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75" windowWidth="14820" windowHeight="7845" tabRatio="894" activeTab="6"/>
  </bookViews>
  <sheets>
    <sheet name="CĐPS" sheetId="15" r:id="rId1"/>
    <sheet name="TH" sheetId="34" r:id="rId2"/>
    <sheet name="SC-I" sheetId="48" r:id="rId3"/>
    <sheet name="SC-II" sheetId="49" r:id="rId4"/>
    <sheet name="SC-III" sheetId="50" r:id="rId5"/>
    <sheet name="SC-IV" sheetId="51" r:id="rId6"/>
    <sheet name="CTTK (2)" sheetId="71" r:id="rId7"/>
    <sheet name="CTTK" sheetId="47" r:id="rId8"/>
    <sheet name="IN-TC" sheetId="39" r:id="rId9"/>
    <sheet name="111" sheetId="42" r:id="rId10"/>
    <sheet name="112" sheetId="43" r:id="rId11"/>
    <sheet name="331" sheetId="12" r:id="rId12"/>
    <sheet name="331-CT" sheetId="14" r:id="rId13"/>
    <sheet name="131" sheetId="62" r:id="rId14"/>
    <sheet name="131-CT" sheetId="63" r:id="rId15"/>
    <sheet name="NXT" sheetId="55" r:id="rId16"/>
    <sheet name="152-CT" sheetId="57" r:id="rId17"/>
    <sheet name="341" sheetId="45" r:id="rId18"/>
    <sheet name="341-CT" sheetId="52" r:id="rId19"/>
    <sheet name="411" sheetId="54" r:id="rId20"/>
    <sheet name="IN-NX" sheetId="56" r:id="rId21"/>
    <sheet name="TK" sheetId="58" r:id="rId22"/>
    <sheet name="BTGT" sheetId="60" r:id="rId23"/>
    <sheet name="BK-NL" sheetId="69" r:id="rId24"/>
    <sheet name="THEGT" sheetId="61" r:id="rId25"/>
    <sheet name="SO-TS" sheetId="64" r:id="rId26"/>
    <sheet name="THE-TS" sheetId="68" r:id="rId27"/>
    <sheet name="Sheet2" sheetId="53" r:id="rId28"/>
    <sheet name="Sheet1" sheetId="70" r:id="rId29"/>
  </sheets>
  <externalReferences>
    <externalReference r:id="rId30"/>
    <externalReference r:id="rId31"/>
    <externalReference r:id="rId32"/>
  </externalReferences>
  <definedNames>
    <definedName name="_C111">TH!$S$10:$S$4646</definedName>
    <definedName name="_C112">TH!$V$10:$V$4646</definedName>
    <definedName name="_Fill" localSheetId="10" hidden="1">#REF!</definedName>
    <definedName name="_Fill" localSheetId="14" hidden="1">#REF!</definedName>
    <definedName name="_Fill" localSheetId="18" hidden="1">#REF!</definedName>
    <definedName name="_Fill" localSheetId="19" hidden="1">#REF!</definedName>
    <definedName name="_Fill" localSheetId="7" hidden="1">#REF!</definedName>
    <definedName name="_Fill" localSheetId="6" hidden="1">#REF!</definedName>
    <definedName name="_Fill" localSheetId="27" hidden="1">#REF!</definedName>
    <definedName name="_xlnm._FilterDatabase" localSheetId="9" hidden="1">'111'!$A$12:$J$178</definedName>
    <definedName name="_xlnm._FilterDatabase" localSheetId="10" hidden="1">'112'!$A$10:$K$128</definedName>
    <definedName name="_xlnm._FilterDatabase" localSheetId="13" hidden="1">'131'!$A$1:$N$22</definedName>
    <definedName name="_xlnm._FilterDatabase" localSheetId="16" hidden="1">'152-CT'!$A$12:$Q$166</definedName>
    <definedName name="_xlnm._FilterDatabase" localSheetId="11" hidden="1">'331'!$A$3:$I$100</definedName>
    <definedName name="_xlnm._FilterDatabase" localSheetId="12" hidden="1">'331-CT'!$A$12:$L$67</definedName>
    <definedName name="_xlnm._FilterDatabase" localSheetId="17" hidden="1">'341'!$A$4:$P$57</definedName>
    <definedName name="_xlnm._FilterDatabase" localSheetId="7" hidden="1">CTTK!$A$14:$J$807</definedName>
    <definedName name="_xlnm._FilterDatabase" localSheetId="6" hidden="1">'CTTK (2)'!$A$14:$J$807</definedName>
    <definedName name="_xlnm._FilterDatabase" localSheetId="15" hidden="1">NXT!$B$11:$O$121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TH!$A$9:$AF$4646</definedName>
    <definedName name="_xlnm._FilterDatabase" localSheetId="21" hidden="1">TK!$A$1:$J$1</definedName>
    <definedName name="_N111">TH!$R$10:$R$4646</definedName>
    <definedName name="_N112">TH!$U$10:$U$4646</definedName>
    <definedName name="_TH">TH!$K$10:$K$4646</definedName>
    <definedName name="DG">TH!$J$10:$J$4646</definedName>
    <definedName name="Dong">IF(Loai="x",ROW(Loai)-1,"")</definedName>
    <definedName name="Dong1" localSheetId="6">IF(!Loai1="x",ROW([0]!Loai1)-1,"")</definedName>
    <definedName name="Dong1">IF(!Loai1="x",ROW(Loai1)-1,"")</definedName>
    <definedName name="Dong10" localSheetId="6">IF(!Loai7="x",ROW([0]!Loai7)-1,"")</definedName>
    <definedName name="Dong10">IF(!Loai7="x",ROW(Loai7)-1,"")</definedName>
    <definedName name="Dong11" localSheetId="6">IF(!Loai8="x",ROW([0]!Loai8)-1,"")</definedName>
    <definedName name="Dong11">IF(!Loai8="x",ROW(Loai8)-1,"")</definedName>
    <definedName name="Dong12" localSheetId="6">IF(!Loai9="x",ROW([0]!Loai9)-1,"")</definedName>
    <definedName name="Dong12">IF(!Loai9="x",ROW(Loai9)-1,"")</definedName>
    <definedName name="Dong13" localSheetId="6">IF(!Loai10="x",ROW([0]!Loai10)-1,"")</definedName>
    <definedName name="Dong13">IF(!Loai10="x",ROW(Loai10)-1,"")</definedName>
    <definedName name="Dong14" localSheetId="6">IF(!Loai11="x",ROW([0]!Loai11)-1,"")</definedName>
    <definedName name="Dong14">IF(!Loai11="x",ROW(Loai11)-1,"")</definedName>
    <definedName name="Dong2" localSheetId="6">IF(!Loai2="x",ROW([0]!Loai2)-1,"")</definedName>
    <definedName name="Dong2">IF(!Loai2="x",ROW(Loai2)-1,"")</definedName>
    <definedName name="Dong3" localSheetId="6">IF(!Loai3="x",ROW([0]!Loai3)-1,"")</definedName>
    <definedName name="Dong3">IF(!Loai3="x",ROW(Loai3)-1,"")</definedName>
    <definedName name="Dong4" localSheetId="6">IF(!Loai4="x",ROW([0]!Loai4)-1,"")</definedName>
    <definedName name="Dong4">IF(!Loai4="x",ROW(Loai4)-1,"")</definedName>
    <definedName name="Dong5" localSheetId="6">IF(!Loai5="x",ROW(Loai5)-1,"")</definedName>
    <definedName name="Dong5">IF(!Loai5="x",ROW(Loai5)-1,"")</definedName>
    <definedName name="Dong6" localSheetId="6">IF(!Loai6="1",ROW([0]!Loai6)-1,"")</definedName>
    <definedName name="Dong6">IF(!Loai6="1",ROW(Loai6)-1,"")</definedName>
    <definedName name="Dong7" localSheetId="6">IF(!Loai6="2",ROW([0]!Loai6)-1,"")</definedName>
    <definedName name="Dong7">IF(!Loai6="2",ROW(Loai6)-1,"")</definedName>
    <definedName name="Dong8" localSheetId="6">IF(!Loai6="3",ROW([0]!Loai6)-1,"")</definedName>
    <definedName name="Dong8">IF(!Loai6="3",ROW(Loai6)-1,"")</definedName>
    <definedName name="Dong9" localSheetId="6">IF(!Loai6="4",ROW([0]!Loai6)-1,"")</definedName>
    <definedName name="Dong9">IF(!Loai6="4",ROW(Loai6)-1,"")</definedName>
    <definedName name="DS_131">'131'!$B$5:$B$21</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'331'!$B$4:$B$99</definedName>
    <definedName name="DSKU">'341'!$B$5:$B$55</definedName>
    <definedName name="DSNL">NXT!$N$12:$S$562</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TH!$H$10:$H$4646</definedName>
    <definedName name="KHC">TH!$O$10:$O$4646</definedName>
    <definedName name="KHN">TH!$N$10:$N$4646</definedName>
    <definedName name="Loai">OFFSET(TH!$P$5,,,COUNTA(TH!$P$5:$P$10951))</definedName>
    <definedName name="Loai1">OFFSET(TH!$Q$5,,,COUNTA(TH!$Q$5:$Q$42817))</definedName>
    <definedName name="Loai10">OFFSET(TH!$AD$5,,,COUNTA(TH!$AD$5:$AD$42817))</definedName>
    <definedName name="Loai11">OFFSET(TH!$Y$5,,,COUNTA(TH!$Y$5:$Y$42817))</definedName>
    <definedName name="Loai2">OFFSET(TH!$T$5,,,COUNTA(TH!$T$5:$T$42817))</definedName>
    <definedName name="Loai3">OFFSET('SO-TS'!$P$13,,,COUNTA('SO-TS'!$P$13:$P$3936))</definedName>
    <definedName name="Loai4">OFFSET(TH!$W$5,,,COUNTA(TH!$W$5:$W$42817))</definedName>
    <definedName name="Loai5">OFFSET(TH!$X$5,,,COUNTA(TH!$X$5:$X$42817))</definedName>
    <definedName name="Loai6">OFFSET(TH!$Z$5,,,COUNTA(TH!$Z$5:$Z$42817))</definedName>
    <definedName name="Loai7">OFFSET(TH!$AA$5,,,COUNTA(TH!$AA$5:$AA$42817))</definedName>
    <definedName name="Loai8">OFFSET(TH!$AB$5,,,COUNTA(TH!$AB$5:$AB$42817))</definedName>
    <definedName name="Loai9">OFFSET(TH!$AC$5,,,COUNTA(TH!$AC$5:$AC$42817))</definedName>
    <definedName name="MH">TH!$F$10:$F$4646</definedName>
    <definedName name="NXT">NXT!$A$12:$A$442</definedName>
    <definedName name="_xlnm.Print_Area" localSheetId="9">'111'!$A$1:$J$191</definedName>
    <definedName name="_xlnm.Print_Area" localSheetId="10">'112'!$A$1:$I$138</definedName>
    <definedName name="_xlnm.Print_Area" localSheetId="13">'131'!$A$1:$N$27</definedName>
    <definedName name="_xlnm.Print_Area" localSheetId="16">'152-CT'!$B$2:$M$166</definedName>
    <definedName name="_xlnm.Print_Area" localSheetId="11">'331'!$A$1:$H$100</definedName>
    <definedName name="_xlnm.Print_Area" localSheetId="12">'331-CT'!$A$1:$J$82</definedName>
    <definedName name="_xlnm.Print_Area" localSheetId="17">'341'!$A$1:$P$56</definedName>
    <definedName name="_xlnm.Print_Area" localSheetId="18">'341-CT'!$A$1:$N$41</definedName>
    <definedName name="_xlnm.Print_Area" localSheetId="23">'BK-NL'!$A$11:$K$71</definedName>
    <definedName name="_xlnm.Print_Area" localSheetId="22">BTGT!$A$106:$P$176</definedName>
    <definedName name="_xlnm.Print_Area" localSheetId="7">CTTK!$A$2:$I$820</definedName>
    <definedName name="_xlnm.Print_Area" localSheetId="6">'CTTK (2)'!$A$2:$I$820</definedName>
    <definedName name="_xlnm.Print_Area" localSheetId="20">'IN-NX'!$A$1:$I$39</definedName>
    <definedName name="_xlnm.Print_Area" localSheetId="8">'IN-TC'!$B$1:$O$28</definedName>
    <definedName name="_xlnm.Print_Area" localSheetId="15">NXT!$C$13:$L$126</definedName>
    <definedName name="_xlnm.Print_Area" localSheetId="5">'SC-IV'!$A$1:$BA$65</definedName>
    <definedName name="_xlnm.Print_Area" localSheetId="28">Sheet1!$A$2:$F$59</definedName>
    <definedName name="_xlnm.Print_Area" localSheetId="27">Sheet2!$A$1:$G$21</definedName>
    <definedName name="_xlnm.Print_Area" localSheetId="25">'SO-TS'!$A$1:$O$79</definedName>
    <definedName name="_xlnm.Print_Area" localSheetId="26">'THE-TS'!$A$2:$H$53</definedName>
    <definedName name="_xlnm.Print_Area" localSheetId="21">TK!$A$1:$J$38</definedName>
    <definedName name="_xlnm.Print_Titles" localSheetId="9">'111'!$10:$12</definedName>
    <definedName name="_xlnm.Print_Titles" localSheetId="10">'112'!$8:$10</definedName>
    <definedName name="_xlnm.Print_Titles" localSheetId="14">'131-CT'!$12:$15</definedName>
    <definedName name="_xlnm.Print_Titles" localSheetId="11">'331'!$2:$3</definedName>
    <definedName name="_xlnm.Print_Titles" localSheetId="12">'331-CT'!$10:$12</definedName>
    <definedName name="_xlnm.Print_Titles" localSheetId="23">'BK-NL'!$11:$13</definedName>
    <definedName name="_xlnm.Print_Titles" localSheetId="7">CTTK!$11:$13</definedName>
    <definedName name="_xlnm.Print_Titles" localSheetId="6">'CTTK (2)'!$11:$13</definedName>
    <definedName name="_xlnm.Print_Titles" localSheetId="15">NXT!$8:$11</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5">'SO-TS'!$9:$12</definedName>
    <definedName name="SL">TH!$I$10:$I$4646</definedName>
    <definedName name="TH">TH!$M$10:$M$4646</definedName>
    <definedName name="TM">TH!$A$10:$O$4646</definedName>
  </definedNames>
  <calcPr calcId="124519"/>
</workbook>
</file>

<file path=xl/calcChain.xml><?xml version="1.0" encoding="utf-8"?>
<calcChain xmlns="http://schemas.openxmlformats.org/spreadsheetml/2006/main">
  <c r="H807" i="71"/>
  <c r="H16"/>
  <c r="I16"/>
  <c r="H17" s="1"/>
  <c r="I17"/>
  <c r="I15"/>
  <c r="H15"/>
  <c r="G806"/>
  <c r="F806"/>
  <c r="I14"/>
  <c r="H14"/>
  <c r="P11" i="34"/>
  <c r="Q11"/>
  <c r="R11"/>
  <c r="S11"/>
  <c r="T11"/>
  <c r="U11"/>
  <c r="V11"/>
  <c r="W11"/>
  <c r="X11"/>
  <c r="Y11"/>
  <c r="AA11"/>
  <c r="AB11"/>
  <c r="AC11"/>
  <c r="AD11"/>
  <c r="P12"/>
  <c r="Q12"/>
  <c r="R12"/>
  <c r="S12"/>
  <c r="T12"/>
  <c r="U12"/>
  <c r="V12"/>
  <c r="W12"/>
  <c r="X12"/>
  <c r="Y12"/>
  <c r="AA12"/>
  <c r="AB12"/>
  <c r="AC12"/>
  <c r="AD12"/>
  <c r="P13"/>
  <c r="Q13"/>
  <c r="R13"/>
  <c r="S13"/>
  <c r="T13"/>
  <c r="U13"/>
  <c r="V13"/>
  <c r="W13"/>
  <c r="X13"/>
  <c r="Y13"/>
  <c r="AA13"/>
  <c r="AB13"/>
  <c r="AC13"/>
  <c r="AD13"/>
  <c r="P14"/>
  <c r="Q14"/>
  <c r="R14"/>
  <c r="S14"/>
  <c r="T14"/>
  <c r="U14"/>
  <c r="V14"/>
  <c r="W14"/>
  <c r="X14"/>
  <c r="Y14"/>
  <c r="AA14"/>
  <c r="AB14"/>
  <c r="AC14"/>
  <c r="AD14"/>
  <c r="P15"/>
  <c r="Q15"/>
  <c r="R15"/>
  <c r="S15"/>
  <c r="T15"/>
  <c r="U15"/>
  <c r="V15"/>
  <c r="W15"/>
  <c r="X15"/>
  <c r="Y15"/>
  <c r="AA15"/>
  <c r="AB15"/>
  <c r="AC15"/>
  <c r="AD15"/>
  <c r="P16"/>
  <c r="Q16"/>
  <c r="R16"/>
  <c r="S16"/>
  <c r="T16"/>
  <c r="U16"/>
  <c r="V16"/>
  <c r="W16"/>
  <c r="X16"/>
  <c r="Y16"/>
  <c r="AA16"/>
  <c r="AB16"/>
  <c r="AC16"/>
  <c r="AD16"/>
  <c r="P17"/>
  <c r="Q17"/>
  <c r="R17"/>
  <c r="S17"/>
  <c r="T17"/>
  <c r="U17"/>
  <c r="V17"/>
  <c r="W17"/>
  <c r="X17"/>
  <c r="Y17"/>
  <c r="AA17"/>
  <c r="AB17"/>
  <c r="AC17"/>
  <c r="AD17"/>
  <c r="P18"/>
  <c r="Q18"/>
  <c r="R18"/>
  <c r="S18"/>
  <c r="T18"/>
  <c r="U18"/>
  <c r="V18"/>
  <c r="W18"/>
  <c r="X18"/>
  <c r="Y18"/>
  <c r="AA18"/>
  <c r="AB18"/>
  <c r="AC18"/>
  <c r="AD18"/>
  <c r="P19"/>
  <c r="Q19"/>
  <c r="R19"/>
  <c r="S19"/>
  <c r="T19"/>
  <c r="U19"/>
  <c r="V19"/>
  <c r="W19"/>
  <c r="X19"/>
  <c r="Y19"/>
  <c r="AA19"/>
  <c r="AB19"/>
  <c r="AC19"/>
  <c r="AD19"/>
  <c r="P20"/>
  <c r="Q20"/>
  <c r="R20"/>
  <c r="S20"/>
  <c r="T20"/>
  <c r="U20"/>
  <c r="V20"/>
  <c r="W20"/>
  <c r="X20"/>
  <c r="Y20"/>
  <c r="AA20"/>
  <c r="AB20"/>
  <c r="AC20"/>
  <c r="AD20"/>
  <c r="P21"/>
  <c r="Q21"/>
  <c r="R21"/>
  <c r="S21"/>
  <c r="T21"/>
  <c r="U21"/>
  <c r="V21"/>
  <c r="W21"/>
  <c r="X21"/>
  <c r="Y21"/>
  <c r="AA21"/>
  <c r="AB21"/>
  <c r="AC21"/>
  <c r="AD21"/>
  <c r="P22"/>
  <c r="Q22"/>
  <c r="R22"/>
  <c r="S22"/>
  <c r="T22"/>
  <c r="U22"/>
  <c r="V22"/>
  <c r="W22"/>
  <c r="X22"/>
  <c r="Y22"/>
  <c r="AA22"/>
  <c r="AB22"/>
  <c r="AC22"/>
  <c r="AD22"/>
  <c r="P23"/>
  <c r="Q23"/>
  <c r="R23"/>
  <c r="S23"/>
  <c r="T23"/>
  <c r="U23"/>
  <c r="V23"/>
  <c r="W23"/>
  <c r="X23"/>
  <c r="Y23"/>
  <c r="AA23"/>
  <c r="AB23"/>
  <c r="AC23"/>
  <c r="AD23"/>
  <c r="P24"/>
  <c r="Q24"/>
  <c r="R24"/>
  <c r="S24"/>
  <c r="T24"/>
  <c r="U24"/>
  <c r="V24"/>
  <c r="W24"/>
  <c r="X24"/>
  <c r="Y24"/>
  <c r="AA24"/>
  <c r="AB24"/>
  <c r="AC24"/>
  <c r="AD24"/>
  <c r="P25"/>
  <c r="Q25"/>
  <c r="R25"/>
  <c r="S25"/>
  <c r="T25"/>
  <c r="U25"/>
  <c r="V25"/>
  <c r="W25"/>
  <c r="X25"/>
  <c r="Y25"/>
  <c r="AA25"/>
  <c r="AB25"/>
  <c r="AC25"/>
  <c r="AD25"/>
  <c r="P26"/>
  <c r="Q26"/>
  <c r="R26"/>
  <c r="S26"/>
  <c r="T26"/>
  <c r="U26"/>
  <c r="V26"/>
  <c r="W26"/>
  <c r="X26"/>
  <c r="Y26"/>
  <c r="AA26"/>
  <c r="AB26"/>
  <c r="AC26"/>
  <c r="AD26"/>
  <c r="P27"/>
  <c r="Q27"/>
  <c r="R27"/>
  <c r="S27"/>
  <c r="T27"/>
  <c r="U27"/>
  <c r="V27"/>
  <c r="W27"/>
  <c r="X27"/>
  <c r="Y27"/>
  <c r="AA27"/>
  <c r="AB27"/>
  <c r="AC27"/>
  <c r="AD27"/>
  <c r="P28"/>
  <c r="Q28"/>
  <c r="R28"/>
  <c r="S28"/>
  <c r="T28"/>
  <c r="U28"/>
  <c r="V28"/>
  <c r="W28"/>
  <c r="X28"/>
  <c r="Y28"/>
  <c r="AA28"/>
  <c r="AB28"/>
  <c r="AC28"/>
  <c r="AD28"/>
  <c r="P29"/>
  <c r="Q29"/>
  <c r="R29"/>
  <c r="S29"/>
  <c r="T29"/>
  <c r="U29"/>
  <c r="V29"/>
  <c r="W29"/>
  <c r="X29"/>
  <c r="Y29"/>
  <c r="AA29"/>
  <c r="AB29"/>
  <c r="AC29"/>
  <c r="AD29"/>
  <c r="P30"/>
  <c r="Q30"/>
  <c r="R30"/>
  <c r="S30"/>
  <c r="T30"/>
  <c r="U30"/>
  <c r="V30"/>
  <c r="W30"/>
  <c r="X30"/>
  <c r="Y30"/>
  <c r="AA30"/>
  <c r="AB30"/>
  <c r="AC30"/>
  <c r="AD30"/>
  <c r="P31"/>
  <c r="Q31"/>
  <c r="R31"/>
  <c r="S31"/>
  <c r="T31"/>
  <c r="U31"/>
  <c r="V31"/>
  <c r="W31"/>
  <c r="X31"/>
  <c r="Y31"/>
  <c r="AA31"/>
  <c r="AB31"/>
  <c r="AC31"/>
  <c r="AD31"/>
  <c r="P32"/>
  <c r="Q32"/>
  <c r="R32"/>
  <c r="S32"/>
  <c r="T32"/>
  <c r="U32"/>
  <c r="V32"/>
  <c r="W32"/>
  <c r="X32"/>
  <c r="Y32"/>
  <c r="AA32"/>
  <c r="AB32"/>
  <c r="AC32"/>
  <c r="AD32"/>
  <c r="P33"/>
  <c r="Q33"/>
  <c r="R33"/>
  <c r="S33"/>
  <c r="T33"/>
  <c r="U33"/>
  <c r="V33"/>
  <c r="W33"/>
  <c r="X33"/>
  <c r="Y33"/>
  <c r="AA33"/>
  <c r="AB33"/>
  <c r="AC33"/>
  <c r="AD33"/>
  <c r="P34"/>
  <c r="Q34"/>
  <c r="R34"/>
  <c r="S34"/>
  <c r="T34"/>
  <c r="U34"/>
  <c r="V34"/>
  <c r="W34"/>
  <c r="X34"/>
  <c r="Y34"/>
  <c r="AA34"/>
  <c r="AB34"/>
  <c r="AC34"/>
  <c r="AD34"/>
  <c r="P35"/>
  <c r="Q35"/>
  <c r="R35"/>
  <c r="S35"/>
  <c r="T35"/>
  <c r="U35"/>
  <c r="V35"/>
  <c r="W35"/>
  <c r="X35"/>
  <c r="Y35"/>
  <c r="AA35"/>
  <c r="AB35"/>
  <c r="AC35"/>
  <c r="AD35"/>
  <c r="P36"/>
  <c r="Q36"/>
  <c r="R36"/>
  <c r="S36"/>
  <c r="T36"/>
  <c r="U36"/>
  <c r="V36"/>
  <c r="W36"/>
  <c r="X36"/>
  <c r="Y36"/>
  <c r="AA36"/>
  <c r="AB36"/>
  <c r="AC36"/>
  <c r="AD36"/>
  <c r="P37"/>
  <c r="Q37"/>
  <c r="R37"/>
  <c r="S37"/>
  <c r="T37"/>
  <c r="U37"/>
  <c r="V37"/>
  <c r="W37"/>
  <c r="X37"/>
  <c r="Y37"/>
  <c r="AA37"/>
  <c r="AB37"/>
  <c r="AC37"/>
  <c r="AD37"/>
  <c r="P38"/>
  <c r="Q38"/>
  <c r="R38"/>
  <c r="S38"/>
  <c r="T38"/>
  <c r="U38"/>
  <c r="V38"/>
  <c r="W38"/>
  <c r="X38"/>
  <c r="Y38"/>
  <c r="AA38"/>
  <c r="AB38"/>
  <c r="AC38"/>
  <c r="AD38"/>
  <c r="P39"/>
  <c r="Q39"/>
  <c r="R39"/>
  <c r="S39"/>
  <c r="T39"/>
  <c r="U39"/>
  <c r="V39"/>
  <c r="W39"/>
  <c r="X39"/>
  <c r="Y39"/>
  <c r="AA39"/>
  <c r="AB39"/>
  <c r="AC39"/>
  <c r="AD39"/>
  <c r="P40"/>
  <c r="Q40"/>
  <c r="R40"/>
  <c r="S40"/>
  <c r="T40"/>
  <c r="U40"/>
  <c r="V40"/>
  <c r="W40"/>
  <c r="X40"/>
  <c r="Y40"/>
  <c r="AA40"/>
  <c r="AB40"/>
  <c r="AC40"/>
  <c r="AD40"/>
  <c r="P41"/>
  <c r="Q41"/>
  <c r="R41"/>
  <c r="S41"/>
  <c r="T41"/>
  <c r="U41"/>
  <c r="V41"/>
  <c r="W41"/>
  <c r="X41"/>
  <c r="Y41"/>
  <c r="AA41"/>
  <c r="AB41"/>
  <c r="AC41"/>
  <c r="AD41"/>
  <c r="P42"/>
  <c r="Q42"/>
  <c r="R42"/>
  <c r="S42"/>
  <c r="T42"/>
  <c r="U42"/>
  <c r="V42"/>
  <c r="W42"/>
  <c r="X42"/>
  <c r="Y42"/>
  <c r="AA42"/>
  <c r="AB42"/>
  <c r="AC42"/>
  <c r="AD42"/>
  <c r="P43"/>
  <c r="Q43"/>
  <c r="R43"/>
  <c r="S43"/>
  <c r="T43"/>
  <c r="U43"/>
  <c r="V43"/>
  <c r="W43"/>
  <c r="X43"/>
  <c r="Y43"/>
  <c r="AA43"/>
  <c r="AB43"/>
  <c r="AC43"/>
  <c r="AD43"/>
  <c r="P44"/>
  <c r="Q44"/>
  <c r="R44"/>
  <c r="S44"/>
  <c r="T44"/>
  <c r="U44"/>
  <c r="V44"/>
  <c r="W44"/>
  <c r="X44"/>
  <c r="Y44"/>
  <c r="AA44"/>
  <c r="AB44"/>
  <c r="AC44"/>
  <c r="AD44"/>
  <c r="P45"/>
  <c r="Q45"/>
  <c r="R45"/>
  <c r="S45"/>
  <c r="T45"/>
  <c r="U45"/>
  <c r="V45"/>
  <c r="W45"/>
  <c r="X45"/>
  <c r="Y45"/>
  <c r="AA45"/>
  <c r="AB45"/>
  <c r="AC45"/>
  <c r="AD45"/>
  <c r="P46"/>
  <c r="Q46"/>
  <c r="R46"/>
  <c r="S46"/>
  <c r="T46"/>
  <c r="U46"/>
  <c r="V46"/>
  <c r="W46"/>
  <c r="X46"/>
  <c r="Y46"/>
  <c r="AA46"/>
  <c r="AB46"/>
  <c r="AC46"/>
  <c r="AD46"/>
  <c r="P47"/>
  <c r="Q47"/>
  <c r="R47"/>
  <c r="S47"/>
  <c r="T47"/>
  <c r="U47"/>
  <c r="V47"/>
  <c r="W47"/>
  <c r="X47"/>
  <c r="Y47"/>
  <c r="AA47"/>
  <c r="AB47"/>
  <c r="AC47"/>
  <c r="AD47"/>
  <c r="P48"/>
  <c r="Q48"/>
  <c r="R48"/>
  <c r="S48"/>
  <c r="T48"/>
  <c r="U48"/>
  <c r="V48"/>
  <c r="W48"/>
  <c r="X48"/>
  <c r="Y48"/>
  <c r="AA48"/>
  <c r="AB48"/>
  <c r="AC48"/>
  <c r="AD48"/>
  <c r="P49"/>
  <c r="Q49"/>
  <c r="R49"/>
  <c r="S49"/>
  <c r="T49"/>
  <c r="U49"/>
  <c r="V49"/>
  <c r="W49"/>
  <c r="X49"/>
  <c r="Y49"/>
  <c r="AA49"/>
  <c r="AB49"/>
  <c r="AC49"/>
  <c r="AD49"/>
  <c r="P50"/>
  <c r="Q50"/>
  <c r="R50"/>
  <c r="S50"/>
  <c r="T50"/>
  <c r="U50"/>
  <c r="V50"/>
  <c r="W50"/>
  <c r="X50"/>
  <c r="Y50"/>
  <c r="AA50"/>
  <c r="AB50"/>
  <c r="AC50"/>
  <c r="AD50"/>
  <c r="P51"/>
  <c r="Q51"/>
  <c r="R51"/>
  <c r="S51"/>
  <c r="T51"/>
  <c r="U51"/>
  <c r="V51"/>
  <c r="W51"/>
  <c r="X51"/>
  <c r="Y51"/>
  <c r="AA51"/>
  <c r="AB51"/>
  <c r="AC51"/>
  <c r="AD51"/>
  <c r="P52"/>
  <c r="Q52"/>
  <c r="R52"/>
  <c r="S52"/>
  <c r="T52"/>
  <c r="U52"/>
  <c r="V52"/>
  <c r="W52"/>
  <c r="X52"/>
  <c r="Y52"/>
  <c r="AA52"/>
  <c r="AB52"/>
  <c r="AC52"/>
  <c r="AD52"/>
  <c r="P53"/>
  <c r="Q53"/>
  <c r="R53"/>
  <c r="S53"/>
  <c r="T53"/>
  <c r="U53"/>
  <c r="V53"/>
  <c r="W53"/>
  <c r="X53"/>
  <c r="Y53"/>
  <c r="AA53"/>
  <c r="AB53"/>
  <c r="AC53"/>
  <c r="AD53"/>
  <c r="P54"/>
  <c r="Q54"/>
  <c r="R54"/>
  <c r="S54"/>
  <c r="T54"/>
  <c r="U54"/>
  <c r="V54"/>
  <c r="W54"/>
  <c r="X54"/>
  <c r="Y54"/>
  <c r="AA54"/>
  <c r="AB54"/>
  <c r="AC54"/>
  <c r="AD54"/>
  <c r="P55"/>
  <c r="Q55"/>
  <c r="R55"/>
  <c r="S55"/>
  <c r="T55"/>
  <c r="U55"/>
  <c r="V55"/>
  <c r="W55"/>
  <c r="X55"/>
  <c r="Y55"/>
  <c r="AA55"/>
  <c r="AB55"/>
  <c r="AC55"/>
  <c r="AD55"/>
  <c r="P56"/>
  <c r="Q56"/>
  <c r="R56"/>
  <c r="S56"/>
  <c r="T56"/>
  <c r="U56"/>
  <c r="V56"/>
  <c r="W56"/>
  <c r="X56"/>
  <c r="Y56"/>
  <c r="AA56"/>
  <c r="AB56"/>
  <c r="AC56"/>
  <c r="AD56"/>
  <c r="P57"/>
  <c r="Q57"/>
  <c r="R57"/>
  <c r="S57"/>
  <c r="T57"/>
  <c r="U57"/>
  <c r="V57"/>
  <c r="W57"/>
  <c r="X57"/>
  <c r="Y57"/>
  <c r="AA57"/>
  <c r="AB57"/>
  <c r="AC57"/>
  <c r="AD57"/>
  <c r="P58"/>
  <c r="Q58"/>
  <c r="R58"/>
  <c r="S58"/>
  <c r="T58"/>
  <c r="U58"/>
  <c r="V58"/>
  <c r="W58"/>
  <c r="X58"/>
  <c r="Y58"/>
  <c r="AA58"/>
  <c r="AB58"/>
  <c r="AC58"/>
  <c r="AD58"/>
  <c r="P59"/>
  <c r="Q59"/>
  <c r="R59"/>
  <c r="S59"/>
  <c r="T59"/>
  <c r="U59"/>
  <c r="V59"/>
  <c r="W59"/>
  <c r="X59"/>
  <c r="Y59"/>
  <c r="AA59"/>
  <c r="AB59"/>
  <c r="AC59"/>
  <c r="AD59"/>
  <c r="P60"/>
  <c r="Q60"/>
  <c r="R60"/>
  <c r="S60"/>
  <c r="T60"/>
  <c r="U60"/>
  <c r="V60"/>
  <c r="W60"/>
  <c r="X60"/>
  <c r="Y60"/>
  <c r="AA60"/>
  <c r="AB60"/>
  <c r="AC60"/>
  <c r="AD60"/>
  <c r="P61"/>
  <c r="Q61"/>
  <c r="R61"/>
  <c r="S61"/>
  <c r="T61"/>
  <c r="U61"/>
  <c r="V61"/>
  <c r="W61"/>
  <c r="X61"/>
  <c r="Y61"/>
  <c r="AA61"/>
  <c r="AB61"/>
  <c r="AC61"/>
  <c r="AD61"/>
  <c r="P62"/>
  <c r="Q62"/>
  <c r="R62"/>
  <c r="S62"/>
  <c r="T62"/>
  <c r="U62"/>
  <c r="V62"/>
  <c r="W62"/>
  <c r="X62"/>
  <c r="Y62"/>
  <c r="AA62"/>
  <c r="AB62"/>
  <c r="AC62"/>
  <c r="AD62"/>
  <c r="P63"/>
  <c r="Q63"/>
  <c r="R63"/>
  <c r="S63"/>
  <c r="T63"/>
  <c r="U63"/>
  <c r="V63"/>
  <c r="W63"/>
  <c r="X63"/>
  <c r="Y63"/>
  <c r="AA63"/>
  <c r="AB63"/>
  <c r="AC63"/>
  <c r="AD63"/>
  <c r="P64"/>
  <c r="Q64"/>
  <c r="R64"/>
  <c r="S64"/>
  <c r="T64"/>
  <c r="U64"/>
  <c r="V64"/>
  <c r="W64"/>
  <c r="X64"/>
  <c r="Y64"/>
  <c r="AA64"/>
  <c r="AB64"/>
  <c r="AC64"/>
  <c r="AD64"/>
  <c r="P65"/>
  <c r="Q65"/>
  <c r="R65"/>
  <c r="S65"/>
  <c r="T65"/>
  <c r="U65"/>
  <c r="V65"/>
  <c r="W65"/>
  <c r="X65"/>
  <c r="Y65"/>
  <c r="AA65"/>
  <c r="AB65"/>
  <c r="AC65"/>
  <c r="AD65"/>
  <c r="P66"/>
  <c r="Q66"/>
  <c r="R66"/>
  <c r="S66"/>
  <c r="T66"/>
  <c r="U66"/>
  <c r="V66"/>
  <c r="W66"/>
  <c r="X66"/>
  <c r="Y66"/>
  <c r="AA66"/>
  <c r="AB66"/>
  <c r="AC66"/>
  <c r="AD66"/>
  <c r="P67"/>
  <c r="Q67"/>
  <c r="R67"/>
  <c r="S67"/>
  <c r="T67"/>
  <c r="U67"/>
  <c r="V67"/>
  <c r="W67"/>
  <c r="X67"/>
  <c r="Y67"/>
  <c r="AA67"/>
  <c r="AB67"/>
  <c r="AC67"/>
  <c r="AD67"/>
  <c r="P68"/>
  <c r="Q68"/>
  <c r="R68"/>
  <c r="S68"/>
  <c r="T68"/>
  <c r="U68"/>
  <c r="V68"/>
  <c r="W68"/>
  <c r="X68"/>
  <c r="Y68"/>
  <c r="AA68"/>
  <c r="AB68"/>
  <c r="AC68"/>
  <c r="AD68"/>
  <c r="P69"/>
  <c r="Q69"/>
  <c r="R69"/>
  <c r="S69"/>
  <c r="T69"/>
  <c r="U69"/>
  <c r="V69"/>
  <c r="W69"/>
  <c r="X69"/>
  <c r="Y69"/>
  <c r="AA69"/>
  <c r="AB69"/>
  <c r="AC69"/>
  <c r="AD69"/>
  <c r="P70"/>
  <c r="Q70"/>
  <c r="R70"/>
  <c r="S70"/>
  <c r="T70"/>
  <c r="U70"/>
  <c r="V70"/>
  <c r="W70"/>
  <c r="X70"/>
  <c r="Y70"/>
  <c r="AA70"/>
  <c r="AB70"/>
  <c r="AC70"/>
  <c r="AD70"/>
  <c r="P71"/>
  <c r="Q71"/>
  <c r="R71"/>
  <c r="S71"/>
  <c r="T71"/>
  <c r="U71"/>
  <c r="V71"/>
  <c r="W71"/>
  <c r="X71"/>
  <c r="Y71"/>
  <c r="AA71"/>
  <c r="AB71"/>
  <c r="AC71"/>
  <c r="AD71"/>
  <c r="P72"/>
  <c r="Q72"/>
  <c r="R72"/>
  <c r="S72"/>
  <c r="T72"/>
  <c r="U72"/>
  <c r="V72"/>
  <c r="W72"/>
  <c r="X72"/>
  <c r="Y72"/>
  <c r="AA72"/>
  <c r="AB72"/>
  <c r="AC72"/>
  <c r="AD72"/>
  <c r="P73"/>
  <c r="Q73"/>
  <c r="R73"/>
  <c r="S73"/>
  <c r="T73"/>
  <c r="U73"/>
  <c r="V73"/>
  <c r="W73"/>
  <c r="X73"/>
  <c r="Y73"/>
  <c r="AA73"/>
  <c r="AB73"/>
  <c r="AC73"/>
  <c r="AD73"/>
  <c r="P74"/>
  <c r="Q74"/>
  <c r="R74"/>
  <c r="S74"/>
  <c r="T74"/>
  <c r="U74"/>
  <c r="V74"/>
  <c r="W74"/>
  <c r="X74"/>
  <c r="Y74"/>
  <c r="AA74"/>
  <c r="AB74"/>
  <c r="AC74"/>
  <c r="AD74"/>
  <c r="P75"/>
  <c r="Q75"/>
  <c r="R75"/>
  <c r="S75"/>
  <c r="T75"/>
  <c r="U75"/>
  <c r="V75"/>
  <c r="W75"/>
  <c r="X75"/>
  <c r="Y75"/>
  <c r="AA75"/>
  <c r="AB75"/>
  <c r="AC75"/>
  <c r="AD75"/>
  <c r="P76"/>
  <c r="Q76"/>
  <c r="R76"/>
  <c r="S76"/>
  <c r="T76"/>
  <c r="U76"/>
  <c r="V76"/>
  <c r="W76"/>
  <c r="X76"/>
  <c r="Y76"/>
  <c r="AA76"/>
  <c r="AB76"/>
  <c r="AC76"/>
  <c r="AD76"/>
  <c r="P77"/>
  <c r="Q77"/>
  <c r="R77"/>
  <c r="S77"/>
  <c r="T77"/>
  <c r="U77"/>
  <c r="V77"/>
  <c r="W77"/>
  <c r="X77"/>
  <c r="Y77"/>
  <c r="AA77"/>
  <c r="AB77"/>
  <c r="AC77"/>
  <c r="AD77"/>
  <c r="P78"/>
  <c r="Q78"/>
  <c r="R78"/>
  <c r="S78"/>
  <c r="T78"/>
  <c r="U78"/>
  <c r="V78"/>
  <c r="W78"/>
  <c r="X78"/>
  <c r="Y78"/>
  <c r="AA78"/>
  <c r="AB78"/>
  <c r="AC78"/>
  <c r="AD78"/>
  <c r="P79"/>
  <c r="Q79"/>
  <c r="R79"/>
  <c r="S79"/>
  <c r="T79"/>
  <c r="U79"/>
  <c r="V79"/>
  <c r="W79"/>
  <c r="X79"/>
  <c r="Y79"/>
  <c r="AA79"/>
  <c r="AB79"/>
  <c r="AC79"/>
  <c r="AD79"/>
  <c r="P80"/>
  <c r="Q80"/>
  <c r="R80"/>
  <c r="S80"/>
  <c r="T80"/>
  <c r="U80"/>
  <c r="V80"/>
  <c r="W80"/>
  <c r="X80"/>
  <c r="Y80"/>
  <c r="AA80"/>
  <c r="AB80"/>
  <c r="AC80"/>
  <c r="AD80"/>
  <c r="P81"/>
  <c r="Q81"/>
  <c r="R81"/>
  <c r="S81"/>
  <c r="T81"/>
  <c r="U81"/>
  <c r="V81"/>
  <c r="W81"/>
  <c r="X81"/>
  <c r="Y81"/>
  <c r="AA81"/>
  <c r="AB81"/>
  <c r="AC81"/>
  <c r="AD81"/>
  <c r="P82"/>
  <c r="Q82"/>
  <c r="R82"/>
  <c r="S82"/>
  <c r="T82"/>
  <c r="U82"/>
  <c r="V82"/>
  <c r="W82"/>
  <c r="X82"/>
  <c r="Y82"/>
  <c r="AA82"/>
  <c r="AB82"/>
  <c r="AC82"/>
  <c r="AD82"/>
  <c r="P83"/>
  <c r="Q83"/>
  <c r="R83"/>
  <c r="S83"/>
  <c r="T83"/>
  <c r="U83"/>
  <c r="V83"/>
  <c r="W83"/>
  <c r="X83"/>
  <c r="Y83"/>
  <c r="AA83"/>
  <c r="AB83"/>
  <c r="AC83"/>
  <c r="AD83"/>
  <c r="P84"/>
  <c r="Q84"/>
  <c r="R84"/>
  <c r="S84"/>
  <c r="T84"/>
  <c r="U84"/>
  <c r="V84"/>
  <c r="W84"/>
  <c r="X84"/>
  <c r="Y84"/>
  <c r="AA84"/>
  <c r="AB84"/>
  <c r="AC84"/>
  <c r="AD84"/>
  <c r="P85"/>
  <c r="Q85"/>
  <c r="R85"/>
  <c r="S85"/>
  <c r="T85"/>
  <c r="U85"/>
  <c r="V85"/>
  <c r="W85"/>
  <c r="X85"/>
  <c r="Y85"/>
  <c r="AA85"/>
  <c r="AB85"/>
  <c r="AC85"/>
  <c r="AD85"/>
  <c r="P86"/>
  <c r="Q86"/>
  <c r="R86"/>
  <c r="S86"/>
  <c r="T86"/>
  <c r="U86"/>
  <c r="V86"/>
  <c r="W86"/>
  <c r="X86"/>
  <c r="Y86"/>
  <c r="AA86"/>
  <c r="AB86"/>
  <c r="AC86"/>
  <c r="AD86"/>
  <c r="P87"/>
  <c r="Q87"/>
  <c r="R87"/>
  <c r="S87"/>
  <c r="T87"/>
  <c r="U87"/>
  <c r="V87"/>
  <c r="W87"/>
  <c r="X87"/>
  <c r="Y87"/>
  <c r="AA87"/>
  <c r="AB87"/>
  <c r="AC87"/>
  <c r="AD87"/>
  <c r="P88"/>
  <c r="Q88"/>
  <c r="R88"/>
  <c r="S88"/>
  <c r="T88"/>
  <c r="U88"/>
  <c r="V88"/>
  <c r="W88"/>
  <c r="X88"/>
  <c r="Y88"/>
  <c r="AA88"/>
  <c r="AB88"/>
  <c r="AC88"/>
  <c r="AD88"/>
  <c r="P89"/>
  <c r="Q89"/>
  <c r="R89"/>
  <c r="S89"/>
  <c r="T89"/>
  <c r="U89"/>
  <c r="V89"/>
  <c r="W89"/>
  <c r="X89"/>
  <c r="Y89"/>
  <c r="AA89"/>
  <c r="AB89"/>
  <c r="AC89"/>
  <c r="AD89"/>
  <c r="P90"/>
  <c r="Q90"/>
  <c r="R90"/>
  <c r="S90"/>
  <c r="T90"/>
  <c r="U90"/>
  <c r="V90"/>
  <c r="W90"/>
  <c r="X90"/>
  <c r="Y90"/>
  <c r="AA90"/>
  <c r="AB90"/>
  <c r="AC90"/>
  <c r="AD90"/>
  <c r="P91"/>
  <c r="Q91"/>
  <c r="R91"/>
  <c r="S91"/>
  <c r="T91"/>
  <c r="U91"/>
  <c r="V91"/>
  <c r="W91"/>
  <c r="X91"/>
  <c r="Y91"/>
  <c r="AA91"/>
  <c r="AB91"/>
  <c r="AC91"/>
  <c r="AD91"/>
  <c r="P92"/>
  <c r="Q92"/>
  <c r="R92"/>
  <c r="S92"/>
  <c r="T92"/>
  <c r="U92"/>
  <c r="V92"/>
  <c r="W92"/>
  <c r="X92"/>
  <c r="Y92"/>
  <c r="AA92"/>
  <c r="AB92"/>
  <c r="AC92"/>
  <c r="AD92"/>
  <c r="P93"/>
  <c r="Q93"/>
  <c r="R93"/>
  <c r="S93"/>
  <c r="T93"/>
  <c r="U93"/>
  <c r="V93"/>
  <c r="W93"/>
  <c r="X93"/>
  <c r="Y93"/>
  <c r="AA93"/>
  <c r="AB93"/>
  <c r="AC93"/>
  <c r="AD93"/>
  <c r="P94"/>
  <c r="Q94"/>
  <c r="R94"/>
  <c r="S94"/>
  <c r="T94"/>
  <c r="U94"/>
  <c r="V94"/>
  <c r="W94"/>
  <c r="X94"/>
  <c r="Y94"/>
  <c r="AA94"/>
  <c r="AB94"/>
  <c r="AC94"/>
  <c r="AD94"/>
  <c r="P95"/>
  <c r="Q95"/>
  <c r="R95"/>
  <c r="S95"/>
  <c r="T95"/>
  <c r="U95"/>
  <c r="V95"/>
  <c r="W95"/>
  <c r="X95"/>
  <c r="Y95"/>
  <c r="AA95"/>
  <c r="AB95"/>
  <c r="AC95"/>
  <c r="AD95"/>
  <c r="P96"/>
  <c r="Q96"/>
  <c r="R96"/>
  <c r="S96"/>
  <c r="T96"/>
  <c r="U96"/>
  <c r="V96"/>
  <c r="W96"/>
  <c r="X96"/>
  <c r="Y96"/>
  <c r="AA96"/>
  <c r="AB96"/>
  <c r="AC96"/>
  <c r="AD96"/>
  <c r="P97"/>
  <c r="Q97"/>
  <c r="R97"/>
  <c r="S97"/>
  <c r="T97"/>
  <c r="U97"/>
  <c r="V97"/>
  <c r="W97"/>
  <c r="X97"/>
  <c r="Y97"/>
  <c r="AA97"/>
  <c r="AB97"/>
  <c r="AC97"/>
  <c r="AD97"/>
  <c r="P98"/>
  <c r="Q98"/>
  <c r="R98"/>
  <c r="S98"/>
  <c r="T98"/>
  <c r="U98"/>
  <c r="V98"/>
  <c r="W98"/>
  <c r="X98"/>
  <c r="Y98"/>
  <c r="AA98"/>
  <c r="AB98"/>
  <c r="AC98"/>
  <c r="AD98"/>
  <c r="P99"/>
  <c r="Q99"/>
  <c r="R99"/>
  <c r="S99"/>
  <c r="T99"/>
  <c r="U99"/>
  <c r="V99"/>
  <c r="W99"/>
  <c r="X99"/>
  <c r="Y99"/>
  <c r="AA99"/>
  <c r="AB99"/>
  <c r="AC99"/>
  <c r="AD99"/>
  <c r="P100"/>
  <c r="Q100"/>
  <c r="R100"/>
  <c r="S100"/>
  <c r="T100"/>
  <c r="U100"/>
  <c r="V100"/>
  <c r="W100"/>
  <c r="X100"/>
  <c r="Y100"/>
  <c r="AA100"/>
  <c r="AB100"/>
  <c r="AC100"/>
  <c r="AD100"/>
  <c r="P101"/>
  <c r="Q101"/>
  <c r="R101"/>
  <c r="S101"/>
  <c r="T101"/>
  <c r="U101"/>
  <c r="V101"/>
  <c r="W101"/>
  <c r="X101"/>
  <c r="Y101"/>
  <c r="AA101"/>
  <c r="AB101"/>
  <c r="AC101"/>
  <c r="AD101"/>
  <c r="P102"/>
  <c r="Q102"/>
  <c r="R102"/>
  <c r="S102"/>
  <c r="T102"/>
  <c r="U102"/>
  <c r="V102"/>
  <c r="W102"/>
  <c r="X102"/>
  <c r="Y102"/>
  <c r="AA102"/>
  <c r="AB102"/>
  <c r="AC102"/>
  <c r="AD102"/>
  <c r="P103"/>
  <c r="Q103"/>
  <c r="R103"/>
  <c r="S103"/>
  <c r="T103"/>
  <c r="U103"/>
  <c r="V103"/>
  <c r="W103"/>
  <c r="X103"/>
  <c r="Y103"/>
  <c r="AA103"/>
  <c r="AB103"/>
  <c r="AC103"/>
  <c r="AD103"/>
  <c r="P104"/>
  <c r="Q104"/>
  <c r="R104"/>
  <c r="S104"/>
  <c r="T104"/>
  <c r="U104"/>
  <c r="V104"/>
  <c r="W104"/>
  <c r="X104"/>
  <c r="Y104"/>
  <c r="AA104"/>
  <c r="AB104"/>
  <c r="AC104"/>
  <c r="AD104"/>
  <c r="P105"/>
  <c r="Q105"/>
  <c r="R105"/>
  <c r="S105"/>
  <c r="T105"/>
  <c r="U105"/>
  <c r="V105"/>
  <c r="W105"/>
  <c r="X105"/>
  <c r="Y105"/>
  <c r="AA105"/>
  <c r="AB105"/>
  <c r="AC105"/>
  <c r="AD105"/>
  <c r="P106"/>
  <c r="Q106"/>
  <c r="R106"/>
  <c r="S106"/>
  <c r="T106"/>
  <c r="U106"/>
  <c r="V106"/>
  <c r="W106"/>
  <c r="X106"/>
  <c r="Y106"/>
  <c r="AA106"/>
  <c r="AB106"/>
  <c r="AC106"/>
  <c r="AD106"/>
  <c r="P107"/>
  <c r="Q107"/>
  <c r="R107"/>
  <c r="S107"/>
  <c r="T107"/>
  <c r="U107"/>
  <c r="V107"/>
  <c r="W107"/>
  <c r="X107"/>
  <c r="Y107"/>
  <c r="AA107"/>
  <c r="AB107"/>
  <c r="AC107"/>
  <c r="AD107"/>
  <c r="P108"/>
  <c r="Q108"/>
  <c r="R108"/>
  <c r="S108"/>
  <c r="T108"/>
  <c r="U108"/>
  <c r="V108"/>
  <c r="W108"/>
  <c r="X108"/>
  <c r="Y108"/>
  <c r="AA108"/>
  <c r="AB108"/>
  <c r="AC108"/>
  <c r="AD108"/>
  <c r="P109"/>
  <c r="Q109"/>
  <c r="R109"/>
  <c r="S109"/>
  <c r="T109"/>
  <c r="U109"/>
  <c r="V109"/>
  <c r="W109"/>
  <c r="X109"/>
  <c r="Y109"/>
  <c r="AA109"/>
  <c r="AB109"/>
  <c r="AC109"/>
  <c r="AD109"/>
  <c r="P110"/>
  <c r="Q110"/>
  <c r="R110"/>
  <c r="S110"/>
  <c r="T110"/>
  <c r="U110"/>
  <c r="V110"/>
  <c r="W110"/>
  <c r="X110"/>
  <c r="Y110"/>
  <c r="AA110"/>
  <c r="AB110"/>
  <c r="AC110"/>
  <c r="AD110"/>
  <c r="P111"/>
  <c r="Q111"/>
  <c r="R111"/>
  <c r="S111"/>
  <c r="T111"/>
  <c r="U111"/>
  <c r="V111"/>
  <c r="W111"/>
  <c r="X111"/>
  <c r="Y111"/>
  <c r="AA111"/>
  <c r="AB111"/>
  <c r="AC111"/>
  <c r="AD111"/>
  <c r="P112"/>
  <c r="Q112"/>
  <c r="R112"/>
  <c r="S112"/>
  <c r="T112"/>
  <c r="U112"/>
  <c r="V112"/>
  <c r="W112"/>
  <c r="X112"/>
  <c r="Y112"/>
  <c r="AA112"/>
  <c r="AB112"/>
  <c r="AC112"/>
  <c r="AD112"/>
  <c r="P113"/>
  <c r="Q113"/>
  <c r="R113"/>
  <c r="S113"/>
  <c r="T113"/>
  <c r="U113"/>
  <c r="V113"/>
  <c r="W113"/>
  <c r="X113"/>
  <c r="Y113"/>
  <c r="AA113"/>
  <c r="AB113"/>
  <c r="AC113"/>
  <c r="AD113"/>
  <c r="P114"/>
  <c r="Q114"/>
  <c r="R114"/>
  <c r="S114"/>
  <c r="T114"/>
  <c r="U114"/>
  <c r="V114"/>
  <c r="W114"/>
  <c r="X114"/>
  <c r="Y114"/>
  <c r="AA114"/>
  <c r="AB114"/>
  <c r="AC114"/>
  <c r="AD114"/>
  <c r="P115"/>
  <c r="Q115"/>
  <c r="R115"/>
  <c r="S115"/>
  <c r="T115"/>
  <c r="U115"/>
  <c r="V115"/>
  <c r="W115"/>
  <c r="X115"/>
  <c r="Y115"/>
  <c r="AA115"/>
  <c r="AB115"/>
  <c r="AC115"/>
  <c r="AD115"/>
  <c r="P116"/>
  <c r="Q116"/>
  <c r="R116"/>
  <c r="S116"/>
  <c r="T116"/>
  <c r="U116"/>
  <c r="V116"/>
  <c r="W116"/>
  <c r="X116"/>
  <c r="Y116"/>
  <c r="AA116"/>
  <c r="AB116"/>
  <c r="AC116"/>
  <c r="AD116"/>
  <c r="P117"/>
  <c r="Q117"/>
  <c r="R117"/>
  <c r="S117"/>
  <c r="T117"/>
  <c r="U117"/>
  <c r="V117"/>
  <c r="W117"/>
  <c r="X117"/>
  <c r="Y117"/>
  <c r="AA117"/>
  <c r="AB117"/>
  <c r="AC117"/>
  <c r="AD117"/>
  <c r="P118"/>
  <c r="Q118"/>
  <c r="R118"/>
  <c r="S118"/>
  <c r="T118"/>
  <c r="U118"/>
  <c r="V118"/>
  <c r="W118"/>
  <c r="X118"/>
  <c r="Y118"/>
  <c r="AA118"/>
  <c r="AB118"/>
  <c r="AC118"/>
  <c r="AD118"/>
  <c r="P119"/>
  <c r="Q119"/>
  <c r="R119"/>
  <c r="S119"/>
  <c r="T119"/>
  <c r="U119"/>
  <c r="V119"/>
  <c r="W119"/>
  <c r="X119"/>
  <c r="Y119"/>
  <c r="AA119"/>
  <c r="AB119"/>
  <c r="AC119"/>
  <c r="AD119"/>
  <c r="P120"/>
  <c r="Q120"/>
  <c r="R120"/>
  <c r="S120"/>
  <c r="T120"/>
  <c r="U120"/>
  <c r="V120"/>
  <c r="W120"/>
  <c r="X120"/>
  <c r="Y120"/>
  <c r="AA120"/>
  <c r="AB120"/>
  <c r="AC120"/>
  <c r="AD120"/>
  <c r="P121"/>
  <c r="Q121"/>
  <c r="R121"/>
  <c r="S121"/>
  <c r="T121"/>
  <c r="U121"/>
  <c r="V121"/>
  <c r="W121"/>
  <c r="X121"/>
  <c r="Y121"/>
  <c r="AA121"/>
  <c r="AB121"/>
  <c r="AC121"/>
  <c r="AD121"/>
  <c r="P122"/>
  <c r="Q122"/>
  <c r="R122"/>
  <c r="S122"/>
  <c r="T122"/>
  <c r="U122"/>
  <c r="V122"/>
  <c r="W122"/>
  <c r="X122"/>
  <c r="Y122"/>
  <c r="AA122"/>
  <c r="AB122"/>
  <c r="AC122"/>
  <c r="AD122"/>
  <c r="P123"/>
  <c r="Q123"/>
  <c r="R123"/>
  <c r="S123"/>
  <c r="T123"/>
  <c r="U123"/>
  <c r="V123"/>
  <c r="W123"/>
  <c r="X123"/>
  <c r="Y123"/>
  <c r="AA123"/>
  <c r="AB123"/>
  <c r="AC123"/>
  <c r="AD123"/>
  <c r="P124"/>
  <c r="Q124"/>
  <c r="R124"/>
  <c r="S124"/>
  <c r="T124"/>
  <c r="U124"/>
  <c r="V124"/>
  <c r="W124"/>
  <c r="X124"/>
  <c r="Y124"/>
  <c r="AA124"/>
  <c r="AB124"/>
  <c r="AC124"/>
  <c r="AD124"/>
  <c r="P125"/>
  <c r="Q125"/>
  <c r="R125"/>
  <c r="S125"/>
  <c r="T125"/>
  <c r="U125"/>
  <c r="V125"/>
  <c r="W125"/>
  <c r="X125"/>
  <c r="Y125"/>
  <c r="AA125"/>
  <c r="AB125"/>
  <c r="AC125"/>
  <c r="AD125"/>
  <c r="P126"/>
  <c r="Q126"/>
  <c r="R126"/>
  <c r="S126"/>
  <c r="T126"/>
  <c r="U126"/>
  <c r="V126"/>
  <c r="W126"/>
  <c r="X126"/>
  <c r="Y126"/>
  <c r="AA126"/>
  <c r="AB126"/>
  <c r="AC126"/>
  <c r="AD126"/>
  <c r="P127"/>
  <c r="Q127"/>
  <c r="R127"/>
  <c r="S127"/>
  <c r="T127"/>
  <c r="U127"/>
  <c r="V127"/>
  <c r="W127"/>
  <c r="X127"/>
  <c r="Y127"/>
  <c r="AA127"/>
  <c r="AB127"/>
  <c r="AC127"/>
  <c r="AD127"/>
  <c r="P128"/>
  <c r="Q128"/>
  <c r="R128"/>
  <c r="S128"/>
  <c r="T128"/>
  <c r="U128"/>
  <c r="V128"/>
  <c r="W128"/>
  <c r="X128"/>
  <c r="Y128"/>
  <c r="AA128"/>
  <c r="AB128"/>
  <c r="AC128"/>
  <c r="AD128"/>
  <c r="P129"/>
  <c r="Q129"/>
  <c r="R129"/>
  <c r="S129"/>
  <c r="T129"/>
  <c r="U129"/>
  <c r="V129"/>
  <c r="W129"/>
  <c r="X129"/>
  <c r="Y129"/>
  <c r="AA129"/>
  <c r="AB129"/>
  <c r="AC129"/>
  <c r="AD129"/>
  <c r="P130"/>
  <c r="Q130"/>
  <c r="R130"/>
  <c r="S130"/>
  <c r="T130"/>
  <c r="U130"/>
  <c r="V130"/>
  <c r="W130"/>
  <c r="X130"/>
  <c r="Y130"/>
  <c r="AA130"/>
  <c r="AB130"/>
  <c r="AC130"/>
  <c r="AD130"/>
  <c r="P131"/>
  <c r="Q131"/>
  <c r="R131"/>
  <c r="S131"/>
  <c r="T131"/>
  <c r="U131"/>
  <c r="V131"/>
  <c r="W131"/>
  <c r="X131"/>
  <c r="Y131"/>
  <c r="AA131"/>
  <c r="AB131"/>
  <c r="AC131"/>
  <c r="AD131"/>
  <c r="P132"/>
  <c r="Q132"/>
  <c r="R132"/>
  <c r="S132"/>
  <c r="T132"/>
  <c r="U132"/>
  <c r="V132"/>
  <c r="W132"/>
  <c r="X132"/>
  <c r="Y132"/>
  <c r="AA132"/>
  <c r="AB132"/>
  <c r="AC132"/>
  <c r="AD132"/>
  <c r="P133"/>
  <c r="Q133"/>
  <c r="R133"/>
  <c r="S133"/>
  <c r="T133"/>
  <c r="U133"/>
  <c r="V133"/>
  <c r="W133"/>
  <c r="X133"/>
  <c r="Y133"/>
  <c r="AA133"/>
  <c r="AB133"/>
  <c r="AC133"/>
  <c r="AD133"/>
  <c r="P134"/>
  <c r="Q134"/>
  <c r="R134"/>
  <c r="S134"/>
  <c r="T134"/>
  <c r="U134"/>
  <c r="V134"/>
  <c r="W134"/>
  <c r="X134"/>
  <c r="Y134"/>
  <c r="AA134"/>
  <c r="AB134"/>
  <c r="AC134"/>
  <c r="AD134"/>
  <c r="P135"/>
  <c r="Q135"/>
  <c r="R135"/>
  <c r="S135"/>
  <c r="T135"/>
  <c r="U135"/>
  <c r="V135"/>
  <c r="W135"/>
  <c r="X135"/>
  <c r="Y135"/>
  <c r="AA135"/>
  <c r="AB135"/>
  <c r="AC135"/>
  <c r="AD135"/>
  <c r="P136"/>
  <c r="Q136"/>
  <c r="R136"/>
  <c r="S136"/>
  <c r="T136"/>
  <c r="U136"/>
  <c r="V136"/>
  <c r="W136"/>
  <c r="X136"/>
  <c r="Y136"/>
  <c r="AA136"/>
  <c r="AB136"/>
  <c r="AC136"/>
  <c r="AD136"/>
  <c r="P137"/>
  <c r="Q137"/>
  <c r="R137"/>
  <c r="S137"/>
  <c r="T137"/>
  <c r="U137"/>
  <c r="V137"/>
  <c r="W137"/>
  <c r="X137"/>
  <c r="Y137"/>
  <c r="AA137"/>
  <c r="AB137"/>
  <c r="AC137"/>
  <c r="AD137"/>
  <c r="P138"/>
  <c r="Q138"/>
  <c r="R138"/>
  <c r="S138"/>
  <c r="T138"/>
  <c r="U138"/>
  <c r="V138"/>
  <c r="W138"/>
  <c r="X138"/>
  <c r="Y138"/>
  <c r="AA138"/>
  <c r="AB138"/>
  <c r="AC138"/>
  <c r="AD138"/>
  <c r="P139"/>
  <c r="Q139"/>
  <c r="R139"/>
  <c r="S139"/>
  <c r="T139"/>
  <c r="U139"/>
  <c r="V139"/>
  <c r="W139"/>
  <c r="X139"/>
  <c r="Y139"/>
  <c r="AA139"/>
  <c r="AB139"/>
  <c r="AC139"/>
  <c r="AD139"/>
  <c r="P140"/>
  <c r="Q140"/>
  <c r="R140"/>
  <c r="S140"/>
  <c r="T140"/>
  <c r="U140"/>
  <c r="V140"/>
  <c r="W140"/>
  <c r="X140"/>
  <c r="Y140"/>
  <c r="AA140"/>
  <c r="AB140"/>
  <c r="AC140"/>
  <c r="AD140"/>
  <c r="P141"/>
  <c r="Q141"/>
  <c r="R141"/>
  <c r="S141"/>
  <c r="T141"/>
  <c r="U141"/>
  <c r="V141"/>
  <c r="W141"/>
  <c r="X141"/>
  <c r="Y141"/>
  <c r="AA141"/>
  <c r="AB141"/>
  <c r="AC141"/>
  <c r="AD141"/>
  <c r="P142"/>
  <c r="Q142"/>
  <c r="R142"/>
  <c r="S142"/>
  <c r="T142"/>
  <c r="U142"/>
  <c r="V142"/>
  <c r="W142"/>
  <c r="X142"/>
  <c r="Y142"/>
  <c r="AA142"/>
  <c r="AB142"/>
  <c r="AC142"/>
  <c r="AD142"/>
  <c r="P143"/>
  <c r="Q143"/>
  <c r="R143"/>
  <c r="S143"/>
  <c r="T143"/>
  <c r="U143"/>
  <c r="V143"/>
  <c r="W143"/>
  <c r="X143"/>
  <c r="Y143"/>
  <c r="AA143"/>
  <c r="AB143"/>
  <c r="AC143"/>
  <c r="AD143"/>
  <c r="P144"/>
  <c r="Q144"/>
  <c r="R144"/>
  <c r="S144"/>
  <c r="T144"/>
  <c r="U144"/>
  <c r="V144"/>
  <c r="W144"/>
  <c r="X144"/>
  <c r="Y144"/>
  <c r="AA144"/>
  <c r="AB144"/>
  <c r="AC144"/>
  <c r="AD144"/>
  <c r="P145"/>
  <c r="Q145"/>
  <c r="R145"/>
  <c r="S145"/>
  <c r="T145"/>
  <c r="U145"/>
  <c r="V145"/>
  <c r="W145"/>
  <c r="X145"/>
  <c r="Y145"/>
  <c r="AA145"/>
  <c r="AB145"/>
  <c r="AC145"/>
  <c r="AD145"/>
  <c r="P146"/>
  <c r="Q146"/>
  <c r="R146"/>
  <c r="S146"/>
  <c r="T146"/>
  <c r="U146"/>
  <c r="V146"/>
  <c r="W146"/>
  <c r="X146"/>
  <c r="Y146"/>
  <c r="AA146"/>
  <c r="AB146"/>
  <c r="AC146"/>
  <c r="AD146"/>
  <c r="P147"/>
  <c r="Q147"/>
  <c r="R147"/>
  <c r="S147"/>
  <c r="T147"/>
  <c r="U147"/>
  <c r="V147"/>
  <c r="W147"/>
  <c r="X147"/>
  <c r="Y147"/>
  <c r="AA147"/>
  <c r="AB147"/>
  <c r="AC147"/>
  <c r="AD147"/>
  <c r="P148"/>
  <c r="Q148"/>
  <c r="R148"/>
  <c r="S148"/>
  <c r="T148"/>
  <c r="U148"/>
  <c r="V148"/>
  <c r="W148"/>
  <c r="X148"/>
  <c r="Y148"/>
  <c r="AA148"/>
  <c r="AB148"/>
  <c r="AC148"/>
  <c r="AD148"/>
  <c r="P149"/>
  <c r="Q149"/>
  <c r="R149"/>
  <c r="S149"/>
  <c r="T149"/>
  <c r="U149"/>
  <c r="V149"/>
  <c r="W149"/>
  <c r="X149"/>
  <c r="Y149"/>
  <c r="AA149"/>
  <c r="AB149"/>
  <c r="AC149"/>
  <c r="AD149"/>
  <c r="P150"/>
  <c r="Q150"/>
  <c r="R150"/>
  <c r="S150"/>
  <c r="T150"/>
  <c r="U150"/>
  <c r="V150"/>
  <c r="W150"/>
  <c r="X150"/>
  <c r="Y150"/>
  <c r="AA150"/>
  <c r="AB150"/>
  <c r="AC150"/>
  <c r="AD150"/>
  <c r="P151"/>
  <c r="Q151"/>
  <c r="R151"/>
  <c r="S151"/>
  <c r="T151"/>
  <c r="U151"/>
  <c r="V151"/>
  <c r="W151"/>
  <c r="X151"/>
  <c r="Y151"/>
  <c r="AA151"/>
  <c r="AB151"/>
  <c r="AC151"/>
  <c r="AD151"/>
  <c r="P152"/>
  <c r="Q152"/>
  <c r="R152"/>
  <c r="S152"/>
  <c r="T152"/>
  <c r="U152"/>
  <c r="V152"/>
  <c r="W152"/>
  <c r="X152"/>
  <c r="Y152"/>
  <c r="AA152"/>
  <c r="AB152"/>
  <c r="AC152"/>
  <c r="AD152"/>
  <c r="P153"/>
  <c r="Q153"/>
  <c r="R153"/>
  <c r="S153"/>
  <c r="T153"/>
  <c r="U153"/>
  <c r="V153"/>
  <c r="W153"/>
  <c r="X153"/>
  <c r="Y153"/>
  <c r="AA153"/>
  <c r="AB153"/>
  <c r="AC153"/>
  <c r="AD153"/>
  <c r="P154"/>
  <c r="Q154"/>
  <c r="R154"/>
  <c r="S154"/>
  <c r="T154"/>
  <c r="U154"/>
  <c r="V154"/>
  <c r="W154"/>
  <c r="X154"/>
  <c r="Y154"/>
  <c r="AA154"/>
  <c r="AB154"/>
  <c r="AC154"/>
  <c r="AD154"/>
  <c r="P155"/>
  <c r="Q155"/>
  <c r="R155"/>
  <c r="S155"/>
  <c r="T155"/>
  <c r="U155"/>
  <c r="V155"/>
  <c r="W155"/>
  <c r="X155"/>
  <c r="Y155"/>
  <c r="AA155"/>
  <c r="AB155"/>
  <c r="AC155"/>
  <c r="AD155"/>
  <c r="P156"/>
  <c r="Q156"/>
  <c r="R156"/>
  <c r="S156"/>
  <c r="T156"/>
  <c r="U156"/>
  <c r="V156"/>
  <c r="W156"/>
  <c r="X156"/>
  <c r="Y156"/>
  <c r="AA156"/>
  <c r="AB156"/>
  <c r="AC156"/>
  <c r="AD156"/>
  <c r="P157"/>
  <c r="Q157"/>
  <c r="R157"/>
  <c r="S157"/>
  <c r="T157"/>
  <c r="U157"/>
  <c r="V157"/>
  <c r="W157"/>
  <c r="X157"/>
  <c r="Y157"/>
  <c r="AA157"/>
  <c r="AB157"/>
  <c r="AC157"/>
  <c r="AD157"/>
  <c r="P158"/>
  <c r="Q158"/>
  <c r="R158"/>
  <c r="S158"/>
  <c r="T158"/>
  <c r="U158"/>
  <c r="V158"/>
  <c r="W158"/>
  <c r="X158"/>
  <c r="Y158"/>
  <c r="AA158"/>
  <c r="AB158"/>
  <c r="AC158"/>
  <c r="AD158"/>
  <c r="P159"/>
  <c r="Q159"/>
  <c r="R159"/>
  <c r="S159"/>
  <c r="T159"/>
  <c r="U159"/>
  <c r="V159"/>
  <c r="W159"/>
  <c r="X159"/>
  <c r="Y159"/>
  <c r="AA159"/>
  <c r="AB159"/>
  <c r="AC159"/>
  <c r="AD159"/>
  <c r="P160"/>
  <c r="Q160"/>
  <c r="R160"/>
  <c r="S160"/>
  <c r="T160"/>
  <c r="U160"/>
  <c r="V160"/>
  <c r="W160"/>
  <c r="X160"/>
  <c r="Y160"/>
  <c r="AA160"/>
  <c r="AB160"/>
  <c r="AC160"/>
  <c r="AD160"/>
  <c r="P161"/>
  <c r="Q161"/>
  <c r="R161"/>
  <c r="S161"/>
  <c r="T161"/>
  <c r="U161"/>
  <c r="V161"/>
  <c r="W161"/>
  <c r="X161"/>
  <c r="Y161"/>
  <c r="AA161"/>
  <c r="AB161"/>
  <c r="AC161"/>
  <c r="AD161"/>
  <c r="P162"/>
  <c r="Q162"/>
  <c r="R162"/>
  <c r="S162"/>
  <c r="T162"/>
  <c r="U162"/>
  <c r="V162"/>
  <c r="W162"/>
  <c r="X162"/>
  <c r="Y162"/>
  <c r="AA162"/>
  <c r="AB162"/>
  <c r="AC162"/>
  <c r="AD162"/>
  <c r="P163"/>
  <c r="Q163"/>
  <c r="R163"/>
  <c r="S163"/>
  <c r="T163"/>
  <c r="U163"/>
  <c r="V163"/>
  <c r="W163"/>
  <c r="X163"/>
  <c r="Y163"/>
  <c r="AA163"/>
  <c r="AB163"/>
  <c r="AC163"/>
  <c r="AD163"/>
  <c r="P164"/>
  <c r="Q164"/>
  <c r="R164"/>
  <c r="S164"/>
  <c r="T164"/>
  <c r="U164"/>
  <c r="V164"/>
  <c r="W164"/>
  <c r="X164"/>
  <c r="Y164"/>
  <c r="AA164"/>
  <c r="AB164"/>
  <c r="AC164"/>
  <c r="AD164"/>
  <c r="P165"/>
  <c r="Q165"/>
  <c r="R165"/>
  <c r="S165"/>
  <c r="T165"/>
  <c r="U165"/>
  <c r="V165"/>
  <c r="W165"/>
  <c r="X165"/>
  <c r="Y165"/>
  <c r="AA165"/>
  <c r="AB165"/>
  <c r="AC165"/>
  <c r="AD165"/>
  <c r="P166"/>
  <c r="Q166"/>
  <c r="R166"/>
  <c r="S166"/>
  <c r="T166"/>
  <c r="U166"/>
  <c r="V166"/>
  <c r="W166"/>
  <c r="X166"/>
  <c r="Y166"/>
  <c r="AA166"/>
  <c r="AB166"/>
  <c r="AC166"/>
  <c r="AD166"/>
  <c r="P167"/>
  <c r="Q167"/>
  <c r="R167"/>
  <c r="S167"/>
  <c r="T167"/>
  <c r="U167"/>
  <c r="V167"/>
  <c r="W167"/>
  <c r="X167"/>
  <c r="Y167"/>
  <c r="AA167"/>
  <c r="AB167"/>
  <c r="AC167"/>
  <c r="AD167"/>
  <c r="P168"/>
  <c r="Q168"/>
  <c r="R168"/>
  <c r="S168"/>
  <c r="T168"/>
  <c r="U168"/>
  <c r="V168"/>
  <c r="W168"/>
  <c r="X168"/>
  <c r="Y168"/>
  <c r="AA168"/>
  <c r="AB168"/>
  <c r="AC168"/>
  <c r="AD168"/>
  <c r="P169"/>
  <c r="Q169"/>
  <c r="R169"/>
  <c r="S169"/>
  <c r="T169"/>
  <c r="U169"/>
  <c r="V169"/>
  <c r="W169"/>
  <c r="X169"/>
  <c r="Y169"/>
  <c r="AA169"/>
  <c r="AB169"/>
  <c r="AC169"/>
  <c r="AD169"/>
  <c r="P170"/>
  <c r="Q170"/>
  <c r="R170"/>
  <c r="S170"/>
  <c r="T170"/>
  <c r="U170"/>
  <c r="V170"/>
  <c r="W170"/>
  <c r="X170"/>
  <c r="Y170"/>
  <c r="AA170"/>
  <c r="AB170"/>
  <c r="AC170"/>
  <c r="AD170"/>
  <c r="P171"/>
  <c r="Q171"/>
  <c r="R171"/>
  <c r="S171"/>
  <c r="T171"/>
  <c r="U171"/>
  <c r="V171"/>
  <c r="W171"/>
  <c r="X171"/>
  <c r="Y171"/>
  <c r="AA171"/>
  <c r="AB171"/>
  <c r="AC171"/>
  <c r="AD171"/>
  <c r="P172"/>
  <c r="Q172"/>
  <c r="R172"/>
  <c r="S172"/>
  <c r="T172"/>
  <c r="U172"/>
  <c r="V172"/>
  <c r="W172"/>
  <c r="X172"/>
  <c r="Y172"/>
  <c r="AA172"/>
  <c r="AB172"/>
  <c r="AC172"/>
  <c r="AD172"/>
  <c r="P173"/>
  <c r="Q173"/>
  <c r="R173"/>
  <c r="S173"/>
  <c r="T173"/>
  <c r="U173"/>
  <c r="V173"/>
  <c r="W173"/>
  <c r="X173"/>
  <c r="Y173"/>
  <c r="AA173"/>
  <c r="AB173"/>
  <c r="AC173"/>
  <c r="AD173"/>
  <c r="P174"/>
  <c r="Q174"/>
  <c r="R174"/>
  <c r="S174"/>
  <c r="T174"/>
  <c r="U174"/>
  <c r="V174"/>
  <c r="W174"/>
  <c r="X174"/>
  <c r="Y174"/>
  <c r="AA174"/>
  <c r="AB174"/>
  <c r="AC174"/>
  <c r="AD174"/>
  <c r="P175"/>
  <c r="Q175"/>
  <c r="R175"/>
  <c r="S175"/>
  <c r="T175"/>
  <c r="U175"/>
  <c r="V175"/>
  <c r="W175"/>
  <c r="X175"/>
  <c r="Y175"/>
  <c r="AA175"/>
  <c r="AB175"/>
  <c r="AC175"/>
  <c r="AD175"/>
  <c r="P176"/>
  <c r="Q176"/>
  <c r="R176"/>
  <c r="S176"/>
  <c r="T176"/>
  <c r="U176"/>
  <c r="V176"/>
  <c r="W176"/>
  <c r="X176"/>
  <c r="Y176"/>
  <c r="AA176"/>
  <c r="AB176"/>
  <c r="AC176"/>
  <c r="AD176"/>
  <c r="P177"/>
  <c r="Q177"/>
  <c r="R177"/>
  <c r="S177"/>
  <c r="T177"/>
  <c r="U177"/>
  <c r="V177"/>
  <c r="W177"/>
  <c r="X177"/>
  <c r="Y177"/>
  <c r="AA177"/>
  <c r="AB177"/>
  <c r="AC177"/>
  <c r="AD177"/>
  <c r="P178"/>
  <c r="Q178"/>
  <c r="R178"/>
  <c r="S178"/>
  <c r="T178"/>
  <c r="U178"/>
  <c r="V178"/>
  <c r="W178"/>
  <c r="X178"/>
  <c r="Y178"/>
  <c r="AA178"/>
  <c r="AB178"/>
  <c r="AC178"/>
  <c r="AD178"/>
  <c r="P179"/>
  <c r="Q179"/>
  <c r="R179"/>
  <c r="S179"/>
  <c r="T179"/>
  <c r="U179"/>
  <c r="V179"/>
  <c r="W179"/>
  <c r="X179"/>
  <c r="Y179"/>
  <c r="AA179"/>
  <c r="AB179"/>
  <c r="AC179"/>
  <c r="AD179"/>
  <c r="P180"/>
  <c r="Q180"/>
  <c r="R180"/>
  <c r="S180"/>
  <c r="T180"/>
  <c r="U180"/>
  <c r="V180"/>
  <c r="W180"/>
  <c r="X180"/>
  <c r="Y180"/>
  <c r="AA180"/>
  <c r="AB180"/>
  <c r="AC180"/>
  <c r="AD180"/>
  <c r="P181"/>
  <c r="Q181"/>
  <c r="R181"/>
  <c r="S181"/>
  <c r="T181"/>
  <c r="U181"/>
  <c r="V181"/>
  <c r="W181"/>
  <c r="X181"/>
  <c r="Y181"/>
  <c r="AA181"/>
  <c r="AB181"/>
  <c r="AC181"/>
  <c r="AD181"/>
  <c r="P182"/>
  <c r="Q182"/>
  <c r="R182"/>
  <c r="S182"/>
  <c r="T182"/>
  <c r="U182"/>
  <c r="V182"/>
  <c r="W182"/>
  <c r="X182"/>
  <c r="Y182"/>
  <c r="AA182"/>
  <c r="AB182"/>
  <c r="AC182"/>
  <c r="AD182"/>
  <c r="P183"/>
  <c r="Q183"/>
  <c r="R183"/>
  <c r="S183"/>
  <c r="T183"/>
  <c r="U183"/>
  <c r="V183"/>
  <c r="W183"/>
  <c r="X183"/>
  <c r="Y183"/>
  <c r="AA183"/>
  <c r="AB183"/>
  <c r="AC183"/>
  <c r="AD183"/>
  <c r="P184"/>
  <c r="Q184"/>
  <c r="R184"/>
  <c r="S184"/>
  <c r="T184"/>
  <c r="U184"/>
  <c r="V184"/>
  <c r="W184"/>
  <c r="X184"/>
  <c r="Y184"/>
  <c r="AA184"/>
  <c r="AB184"/>
  <c r="AC184"/>
  <c r="AD184"/>
  <c r="P185"/>
  <c r="Q185"/>
  <c r="R185"/>
  <c r="S185"/>
  <c r="T185"/>
  <c r="U185"/>
  <c r="V185"/>
  <c r="W185"/>
  <c r="X185"/>
  <c r="Y185"/>
  <c r="AA185"/>
  <c r="AB185"/>
  <c r="AC185"/>
  <c r="AD185"/>
  <c r="P186"/>
  <c r="Q186"/>
  <c r="R186"/>
  <c r="S186"/>
  <c r="T186"/>
  <c r="U186"/>
  <c r="V186"/>
  <c r="W186"/>
  <c r="X186"/>
  <c r="Y186"/>
  <c r="AA186"/>
  <c r="AB186"/>
  <c r="AC186"/>
  <c r="AD186"/>
  <c r="P187"/>
  <c r="Q187"/>
  <c r="R187"/>
  <c r="S187"/>
  <c r="T187"/>
  <c r="U187"/>
  <c r="V187"/>
  <c r="W187"/>
  <c r="X187"/>
  <c r="Y187"/>
  <c r="AA187"/>
  <c r="AB187"/>
  <c r="AC187"/>
  <c r="AD187"/>
  <c r="P188"/>
  <c r="Q188"/>
  <c r="R188"/>
  <c r="S188"/>
  <c r="T188"/>
  <c r="U188"/>
  <c r="V188"/>
  <c r="W188"/>
  <c r="X188"/>
  <c r="Y188"/>
  <c r="AA188"/>
  <c r="AB188"/>
  <c r="AC188"/>
  <c r="AD188"/>
  <c r="P189"/>
  <c r="Q189"/>
  <c r="R189"/>
  <c r="S189"/>
  <c r="T189"/>
  <c r="U189"/>
  <c r="V189"/>
  <c r="W189"/>
  <c r="X189"/>
  <c r="Y189"/>
  <c r="AA189"/>
  <c r="AB189"/>
  <c r="AC189"/>
  <c r="AD189"/>
  <c r="P190"/>
  <c r="Q190"/>
  <c r="R190"/>
  <c r="S190"/>
  <c r="T190"/>
  <c r="U190"/>
  <c r="V190"/>
  <c r="W190"/>
  <c r="X190"/>
  <c r="Y190"/>
  <c r="AA190"/>
  <c r="AB190"/>
  <c r="AC190"/>
  <c r="AD190"/>
  <c r="P191"/>
  <c r="Q191"/>
  <c r="R191"/>
  <c r="S191"/>
  <c r="T191"/>
  <c r="U191"/>
  <c r="V191"/>
  <c r="W191"/>
  <c r="X191"/>
  <c r="Y191"/>
  <c r="AA191"/>
  <c r="AB191"/>
  <c r="AC191"/>
  <c r="AD191"/>
  <c r="P192"/>
  <c r="Q192"/>
  <c r="R192"/>
  <c r="S192"/>
  <c r="T192"/>
  <c r="U192"/>
  <c r="V192"/>
  <c r="W192"/>
  <c r="X192"/>
  <c r="Y192"/>
  <c r="AA192"/>
  <c r="AB192"/>
  <c r="AC192"/>
  <c r="AD192"/>
  <c r="P193"/>
  <c r="Q193"/>
  <c r="R193"/>
  <c r="S193"/>
  <c r="T193"/>
  <c r="U193"/>
  <c r="V193"/>
  <c r="W193"/>
  <c r="X193"/>
  <c r="Y193"/>
  <c r="AA193"/>
  <c r="AB193"/>
  <c r="AC193"/>
  <c r="AD193"/>
  <c r="P194"/>
  <c r="Q194"/>
  <c r="R194"/>
  <c r="S194"/>
  <c r="T194"/>
  <c r="U194"/>
  <c r="V194"/>
  <c r="W194"/>
  <c r="X194"/>
  <c r="Y194"/>
  <c r="AA194"/>
  <c r="AB194"/>
  <c r="AC194"/>
  <c r="AD194"/>
  <c r="P195"/>
  <c r="Q195"/>
  <c r="R195"/>
  <c r="S195"/>
  <c r="T195"/>
  <c r="U195"/>
  <c r="V195"/>
  <c r="W195"/>
  <c r="X195"/>
  <c r="Y195"/>
  <c r="AA195"/>
  <c r="AB195"/>
  <c r="AC195"/>
  <c r="AD195"/>
  <c r="P196"/>
  <c r="Q196"/>
  <c r="R196"/>
  <c r="S196"/>
  <c r="T196"/>
  <c r="U196"/>
  <c r="V196"/>
  <c r="W196"/>
  <c r="X196"/>
  <c r="Y196"/>
  <c r="AA196"/>
  <c r="AB196"/>
  <c r="AC196"/>
  <c r="AD196"/>
  <c r="P197"/>
  <c r="Q197"/>
  <c r="R197"/>
  <c r="S197"/>
  <c r="T197"/>
  <c r="U197"/>
  <c r="V197"/>
  <c r="W197"/>
  <c r="X197"/>
  <c r="Y197"/>
  <c r="AA197"/>
  <c r="AB197"/>
  <c r="AC197"/>
  <c r="AD197"/>
  <c r="P198"/>
  <c r="Q198"/>
  <c r="R198"/>
  <c r="S198"/>
  <c r="T198"/>
  <c r="U198"/>
  <c r="V198"/>
  <c r="W198"/>
  <c r="X198"/>
  <c r="Y198"/>
  <c r="AA198"/>
  <c r="AB198"/>
  <c r="AC198"/>
  <c r="AD198"/>
  <c r="P199"/>
  <c r="Q199"/>
  <c r="R199"/>
  <c r="S199"/>
  <c r="T199"/>
  <c r="U199"/>
  <c r="V199"/>
  <c r="W199"/>
  <c r="X199"/>
  <c r="Y199"/>
  <c r="AA199"/>
  <c r="AB199"/>
  <c r="AC199"/>
  <c r="AD199"/>
  <c r="P200"/>
  <c r="Q200"/>
  <c r="R200"/>
  <c r="S200"/>
  <c r="T200"/>
  <c r="U200"/>
  <c r="V200"/>
  <c r="W200"/>
  <c r="X200"/>
  <c r="Y200"/>
  <c r="AA200"/>
  <c r="AB200"/>
  <c r="AC200"/>
  <c r="AD200"/>
  <c r="P201"/>
  <c r="Q201"/>
  <c r="R201"/>
  <c r="S201"/>
  <c r="T201"/>
  <c r="U201"/>
  <c r="V201"/>
  <c r="W201"/>
  <c r="X201"/>
  <c r="Y201"/>
  <c r="AA201"/>
  <c r="AB201"/>
  <c r="AC201"/>
  <c r="AD201"/>
  <c r="P202"/>
  <c r="Q202"/>
  <c r="R202"/>
  <c r="S202"/>
  <c r="T202"/>
  <c r="U202"/>
  <c r="V202"/>
  <c r="W202"/>
  <c r="X202"/>
  <c r="Y202"/>
  <c r="AA202"/>
  <c r="AB202"/>
  <c r="AC202"/>
  <c r="AD202"/>
  <c r="P203"/>
  <c r="Q203"/>
  <c r="R203"/>
  <c r="S203"/>
  <c r="T203"/>
  <c r="U203"/>
  <c r="V203"/>
  <c r="W203"/>
  <c r="X203"/>
  <c r="Y203"/>
  <c r="AA203"/>
  <c r="AB203"/>
  <c r="AC203"/>
  <c r="AD203"/>
  <c r="P204"/>
  <c r="Q204"/>
  <c r="R204"/>
  <c r="S204"/>
  <c r="T204"/>
  <c r="U204"/>
  <c r="V204"/>
  <c r="W204"/>
  <c r="X204"/>
  <c r="Y204"/>
  <c r="AA204"/>
  <c r="AB204"/>
  <c r="AC204"/>
  <c r="AD204"/>
  <c r="P205"/>
  <c r="Q205"/>
  <c r="R205"/>
  <c r="S205"/>
  <c r="T205"/>
  <c r="U205"/>
  <c r="V205"/>
  <c r="W205"/>
  <c r="X205"/>
  <c r="Y205"/>
  <c r="AA205"/>
  <c r="AB205"/>
  <c r="AC205"/>
  <c r="AD205"/>
  <c r="P206"/>
  <c r="Q206"/>
  <c r="R206"/>
  <c r="S206"/>
  <c r="T206"/>
  <c r="U206"/>
  <c r="V206"/>
  <c r="W206"/>
  <c r="X206"/>
  <c r="Y206"/>
  <c r="AA206"/>
  <c r="AB206"/>
  <c r="AC206"/>
  <c r="AD206"/>
  <c r="P207"/>
  <c r="Q207"/>
  <c r="R207"/>
  <c r="S207"/>
  <c r="T207"/>
  <c r="U207"/>
  <c r="V207"/>
  <c r="W207"/>
  <c r="X207"/>
  <c r="Y207"/>
  <c r="AA207"/>
  <c r="AB207"/>
  <c r="AC207"/>
  <c r="AD207"/>
  <c r="P208"/>
  <c r="Q208"/>
  <c r="R208"/>
  <c r="S208"/>
  <c r="T208"/>
  <c r="U208"/>
  <c r="V208"/>
  <c r="W208"/>
  <c r="X208"/>
  <c r="Y208"/>
  <c r="AA208"/>
  <c r="AB208"/>
  <c r="AC208"/>
  <c r="AD208"/>
  <c r="P209"/>
  <c r="Q209"/>
  <c r="R209"/>
  <c r="S209"/>
  <c r="T209"/>
  <c r="U209"/>
  <c r="V209"/>
  <c r="W209"/>
  <c r="X209"/>
  <c r="Y209"/>
  <c r="AA209"/>
  <c r="AB209"/>
  <c r="AC209"/>
  <c r="AD209"/>
  <c r="P210"/>
  <c r="Q210"/>
  <c r="R210"/>
  <c r="S210"/>
  <c r="T210"/>
  <c r="U210"/>
  <c r="V210"/>
  <c r="W210"/>
  <c r="X210"/>
  <c r="Y210"/>
  <c r="AA210"/>
  <c r="AB210"/>
  <c r="AC210"/>
  <c r="AD210"/>
  <c r="P211"/>
  <c r="Q211"/>
  <c r="R211"/>
  <c r="S211"/>
  <c r="T211"/>
  <c r="U211"/>
  <c r="V211"/>
  <c r="W211"/>
  <c r="X211"/>
  <c r="Y211"/>
  <c r="AA211"/>
  <c r="AB211"/>
  <c r="AC211"/>
  <c r="AD211"/>
  <c r="P212"/>
  <c r="Q212"/>
  <c r="R212"/>
  <c r="S212"/>
  <c r="T212"/>
  <c r="U212"/>
  <c r="V212"/>
  <c r="W212"/>
  <c r="X212"/>
  <c r="Y212"/>
  <c r="AA212"/>
  <c r="AB212"/>
  <c r="AC212"/>
  <c r="AD212"/>
  <c r="P213"/>
  <c r="Q213"/>
  <c r="R213"/>
  <c r="S213"/>
  <c r="T213"/>
  <c r="U213"/>
  <c r="V213"/>
  <c r="W213"/>
  <c r="X213"/>
  <c r="Y213"/>
  <c r="AA213"/>
  <c r="AB213"/>
  <c r="AC213"/>
  <c r="AD213"/>
  <c r="P214"/>
  <c r="Q214"/>
  <c r="R214"/>
  <c r="S214"/>
  <c r="T214"/>
  <c r="U214"/>
  <c r="V214"/>
  <c r="W214"/>
  <c r="X214"/>
  <c r="Y214"/>
  <c r="AA214"/>
  <c r="AB214"/>
  <c r="AC214"/>
  <c r="AD214"/>
  <c r="P215"/>
  <c r="Q215"/>
  <c r="R215"/>
  <c r="S215"/>
  <c r="T215"/>
  <c r="U215"/>
  <c r="V215"/>
  <c r="W215"/>
  <c r="X215"/>
  <c r="Y215"/>
  <c r="AA215"/>
  <c r="AB215"/>
  <c r="AC215"/>
  <c r="AD215"/>
  <c r="P216"/>
  <c r="Q216"/>
  <c r="R216"/>
  <c r="S216"/>
  <c r="T216"/>
  <c r="U216"/>
  <c r="V216"/>
  <c r="W216"/>
  <c r="X216"/>
  <c r="Y216"/>
  <c r="AA216"/>
  <c r="AB216"/>
  <c r="AC216"/>
  <c r="AD216"/>
  <c r="P217"/>
  <c r="Q217"/>
  <c r="R217"/>
  <c r="S217"/>
  <c r="T217"/>
  <c r="U217"/>
  <c r="V217"/>
  <c r="W217"/>
  <c r="X217"/>
  <c r="Y217"/>
  <c r="AA217"/>
  <c r="AB217"/>
  <c r="AC217"/>
  <c r="AD217"/>
  <c r="P218"/>
  <c r="Q218"/>
  <c r="R218"/>
  <c r="S218"/>
  <c r="T218"/>
  <c r="U218"/>
  <c r="V218"/>
  <c r="W218"/>
  <c r="X218"/>
  <c r="Y218"/>
  <c r="AA218"/>
  <c r="AB218"/>
  <c r="AC218"/>
  <c r="AD218"/>
  <c r="P219"/>
  <c r="Q219"/>
  <c r="R219"/>
  <c r="S219"/>
  <c r="T219"/>
  <c r="U219"/>
  <c r="V219"/>
  <c r="W219"/>
  <c r="X219"/>
  <c r="Y219"/>
  <c r="AA219"/>
  <c r="AB219"/>
  <c r="AC219"/>
  <c r="AD219"/>
  <c r="P220"/>
  <c r="Q220"/>
  <c r="R220"/>
  <c r="S220"/>
  <c r="T220"/>
  <c r="U220"/>
  <c r="V220"/>
  <c r="W220"/>
  <c r="X220"/>
  <c r="Y220"/>
  <c r="AA220"/>
  <c r="AB220"/>
  <c r="AC220"/>
  <c r="AD220"/>
  <c r="P221"/>
  <c r="Q221"/>
  <c r="R221"/>
  <c r="S221"/>
  <c r="T221"/>
  <c r="U221"/>
  <c r="V221"/>
  <c r="W221"/>
  <c r="X221"/>
  <c r="Y221"/>
  <c r="AA221"/>
  <c r="AB221"/>
  <c r="AC221"/>
  <c r="AD221"/>
  <c r="P222"/>
  <c r="Q222"/>
  <c r="R222"/>
  <c r="S222"/>
  <c r="T222"/>
  <c r="U222"/>
  <c r="V222"/>
  <c r="W222"/>
  <c r="X222"/>
  <c r="Y222"/>
  <c r="AA222"/>
  <c r="AB222"/>
  <c r="AC222"/>
  <c r="AD222"/>
  <c r="P223"/>
  <c r="Q223"/>
  <c r="R223"/>
  <c r="S223"/>
  <c r="T223"/>
  <c r="U223"/>
  <c r="V223"/>
  <c r="W223"/>
  <c r="X223"/>
  <c r="Y223"/>
  <c r="AA223"/>
  <c r="AB223"/>
  <c r="AC223"/>
  <c r="AD223"/>
  <c r="P224"/>
  <c r="Q224"/>
  <c r="R224"/>
  <c r="S224"/>
  <c r="T224"/>
  <c r="U224"/>
  <c r="V224"/>
  <c r="W224"/>
  <c r="X224"/>
  <c r="Y224"/>
  <c r="AA224"/>
  <c r="AB224"/>
  <c r="AC224"/>
  <c r="AD224"/>
  <c r="P225"/>
  <c r="Q225"/>
  <c r="R225"/>
  <c r="S225"/>
  <c r="T225"/>
  <c r="U225"/>
  <c r="V225"/>
  <c r="W225"/>
  <c r="X225"/>
  <c r="Y225"/>
  <c r="AA225"/>
  <c r="AB225"/>
  <c r="AC225"/>
  <c r="AD225"/>
  <c r="P226"/>
  <c r="Q226"/>
  <c r="R226"/>
  <c r="S226"/>
  <c r="T226"/>
  <c r="U226"/>
  <c r="V226"/>
  <c r="W226"/>
  <c r="X226"/>
  <c r="Y226"/>
  <c r="AA226"/>
  <c r="AB226"/>
  <c r="AC226"/>
  <c r="AD226"/>
  <c r="P227"/>
  <c r="Q227"/>
  <c r="R227"/>
  <c r="S227"/>
  <c r="T227"/>
  <c r="U227"/>
  <c r="V227"/>
  <c r="W227"/>
  <c r="X227"/>
  <c r="Y227"/>
  <c r="AA227"/>
  <c r="AB227"/>
  <c r="AC227"/>
  <c r="AD227"/>
  <c r="P228"/>
  <c r="Q228"/>
  <c r="R228"/>
  <c r="S228"/>
  <c r="T228"/>
  <c r="U228"/>
  <c r="V228"/>
  <c r="W228"/>
  <c r="X228"/>
  <c r="Y228"/>
  <c r="AA228"/>
  <c r="AB228"/>
  <c r="AC228"/>
  <c r="AD228"/>
  <c r="P229"/>
  <c r="Q229"/>
  <c r="R229"/>
  <c r="S229"/>
  <c r="T229"/>
  <c r="U229"/>
  <c r="V229"/>
  <c r="W229"/>
  <c r="X229"/>
  <c r="Y229"/>
  <c r="AA229"/>
  <c r="AB229"/>
  <c r="AC229"/>
  <c r="AD229"/>
  <c r="P230"/>
  <c r="Q230"/>
  <c r="R230"/>
  <c r="S230"/>
  <c r="T230"/>
  <c r="U230"/>
  <c r="V230"/>
  <c r="W230"/>
  <c r="X230"/>
  <c r="Y230"/>
  <c r="AA230"/>
  <c r="AB230"/>
  <c r="AC230"/>
  <c r="AD230"/>
  <c r="P231"/>
  <c r="Q231"/>
  <c r="R231"/>
  <c r="S231"/>
  <c r="T231"/>
  <c r="U231"/>
  <c r="V231"/>
  <c r="W231"/>
  <c r="X231"/>
  <c r="Y231"/>
  <c r="AA231"/>
  <c r="AB231"/>
  <c r="AC231"/>
  <c r="AD231"/>
  <c r="P232"/>
  <c r="Q232"/>
  <c r="R232"/>
  <c r="S232"/>
  <c r="T232"/>
  <c r="U232"/>
  <c r="V232"/>
  <c r="W232"/>
  <c r="X232"/>
  <c r="Y232"/>
  <c r="AA232"/>
  <c r="AB232"/>
  <c r="AC232"/>
  <c r="AD232"/>
  <c r="P233"/>
  <c r="Q233"/>
  <c r="R233"/>
  <c r="S233"/>
  <c r="T233"/>
  <c r="U233"/>
  <c r="V233"/>
  <c r="W233"/>
  <c r="X233"/>
  <c r="Y233"/>
  <c r="AA233"/>
  <c r="AB233"/>
  <c r="AC233"/>
  <c r="AD233"/>
  <c r="P234"/>
  <c r="Q234"/>
  <c r="R234"/>
  <c r="S234"/>
  <c r="T234"/>
  <c r="U234"/>
  <c r="V234"/>
  <c r="W234"/>
  <c r="X234"/>
  <c r="Y234"/>
  <c r="AA234"/>
  <c r="AB234"/>
  <c r="AC234"/>
  <c r="AD234"/>
  <c r="P235"/>
  <c r="Q235"/>
  <c r="R235"/>
  <c r="S235"/>
  <c r="T235"/>
  <c r="U235"/>
  <c r="V235"/>
  <c r="W235"/>
  <c r="X235"/>
  <c r="Y235"/>
  <c r="AA235"/>
  <c r="AB235"/>
  <c r="AC235"/>
  <c r="AD235"/>
  <c r="P236"/>
  <c r="Q236"/>
  <c r="R236"/>
  <c r="S236"/>
  <c r="T236"/>
  <c r="U236"/>
  <c r="V236"/>
  <c r="W236"/>
  <c r="X236"/>
  <c r="Y236"/>
  <c r="AA236"/>
  <c r="AB236"/>
  <c r="AC236"/>
  <c r="AD236"/>
  <c r="P237"/>
  <c r="Q237"/>
  <c r="R237"/>
  <c r="S237"/>
  <c r="T237"/>
  <c r="U237"/>
  <c r="V237"/>
  <c r="W237"/>
  <c r="X237"/>
  <c r="Y237"/>
  <c r="AA237"/>
  <c r="AB237"/>
  <c r="AC237"/>
  <c r="AD237"/>
  <c r="P238"/>
  <c r="Q238"/>
  <c r="R238"/>
  <c r="S238"/>
  <c r="T238"/>
  <c r="U238"/>
  <c r="V238"/>
  <c r="W238"/>
  <c r="X238"/>
  <c r="Y238"/>
  <c r="AA238"/>
  <c r="AB238"/>
  <c r="AC238"/>
  <c r="AD238"/>
  <c r="P239"/>
  <c r="Q239"/>
  <c r="R239"/>
  <c r="S239"/>
  <c r="T239"/>
  <c r="U239"/>
  <c r="V239"/>
  <c r="W239"/>
  <c r="X239"/>
  <c r="Y239"/>
  <c r="AA239"/>
  <c r="AB239"/>
  <c r="AC239"/>
  <c r="AD239"/>
  <c r="P240"/>
  <c r="Q240"/>
  <c r="R240"/>
  <c r="S240"/>
  <c r="T240"/>
  <c r="U240"/>
  <c r="V240"/>
  <c r="W240"/>
  <c r="X240"/>
  <c r="Y240"/>
  <c r="AA240"/>
  <c r="AB240"/>
  <c r="AC240"/>
  <c r="AD240"/>
  <c r="P241"/>
  <c r="Q241"/>
  <c r="R241"/>
  <c r="S241"/>
  <c r="T241"/>
  <c r="U241"/>
  <c r="V241"/>
  <c r="W241"/>
  <c r="X241"/>
  <c r="Y241"/>
  <c r="AA241"/>
  <c r="AB241"/>
  <c r="AC241"/>
  <c r="AD241"/>
  <c r="P242"/>
  <c r="Q242"/>
  <c r="R242"/>
  <c r="S242"/>
  <c r="T242"/>
  <c r="U242"/>
  <c r="V242"/>
  <c r="W242"/>
  <c r="X242"/>
  <c r="Y242"/>
  <c r="AA242"/>
  <c r="AB242"/>
  <c r="AC242"/>
  <c r="AD242"/>
  <c r="P243"/>
  <c r="Q243"/>
  <c r="R243"/>
  <c r="S243"/>
  <c r="T243"/>
  <c r="U243"/>
  <c r="V243"/>
  <c r="W243"/>
  <c r="X243"/>
  <c r="Y243"/>
  <c r="AA243"/>
  <c r="AB243"/>
  <c r="AC243"/>
  <c r="AD243"/>
  <c r="P244"/>
  <c r="Q244"/>
  <c r="R244"/>
  <c r="S244"/>
  <c r="T244"/>
  <c r="U244"/>
  <c r="V244"/>
  <c r="W244"/>
  <c r="X244"/>
  <c r="Y244"/>
  <c r="AA244"/>
  <c r="AB244"/>
  <c r="AC244"/>
  <c r="AD244"/>
  <c r="P245"/>
  <c r="Q245"/>
  <c r="R245"/>
  <c r="S245"/>
  <c r="T245"/>
  <c r="U245"/>
  <c r="V245"/>
  <c r="W245"/>
  <c r="X245"/>
  <c r="Y245"/>
  <c r="AA245"/>
  <c r="AB245"/>
  <c r="AC245"/>
  <c r="AD245"/>
  <c r="P246"/>
  <c r="Q246"/>
  <c r="R246"/>
  <c r="S246"/>
  <c r="T246"/>
  <c r="U246"/>
  <c r="V246"/>
  <c r="W246"/>
  <c r="X246"/>
  <c r="Y246"/>
  <c r="AA246"/>
  <c r="AB246"/>
  <c r="AC246"/>
  <c r="AD246"/>
  <c r="P247"/>
  <c r="Q247"/>
  <c r="R247"/>
  <c r="S247"/>
  <c r="T247"/>
  <c r="U247"/>
  <c r="V247"/>
  <c r="W247"/>
  <c r="X247"/>
  <c r="Y247"/>
  <c r="AA247"/>
  <c r="AB247"/>
  <c r="AC247"/>
  <c r="AD247"/>
  <c r="P248"/>
  <c r="Q248"/>
  <c r="R248"/>
  <c r="S248"/>
  <c r="T248"/>
  <c r="U248"/>
  <c r="V248"/>
  <c r="W248"/>
  <c r="X248"/>
  <c r="Y248"/>
  <c r="AA248"/>
  <c r="AB248"/>
  <c r="AC248"/>
  <c r="AD248"/>
  <c r="P249"/>
  <c r="Q249"/>
  <c r="R249"/>
  <c r="S249"/>
  <c r="T249"/>
  <c r="U249"/>
  <c r="V249"/>
  <c r="W249"/>
  <c r="X249"/>
  <c r="Y249"/>
  <c r="AA249"/>
  <c r="AB249"/>
  <c r="AC249"/>
  <c r="AD249"/>
  <c r="P250"/>
  <c r="Q250"/>
  <c r="R250"/>
  <c r="S250"/>
  <c r="T250"/>
  <c r="U250"/>
  <c r="V250"/>
  <c r="W250"/>
  <c r="X250"/>
  <c r="Y250"/>
  <c r="AA250"/>
  <c r="AB250"/>
  <c r="AC250"/>
  <c r="AD250"/>
  <c r="P251"/>
  <c r="Q251"/>
  <c r="R251"/>
  <c r="S251"/>
  <c r="T251"/>
  <c r="U251"/>
  <c r="V251"/>
  <c r="W251"/>
  <c r="X251"/>
  <c r="Y251"/>
  <c r="AA251"/>
  <c r="AB251"/>
  <c r="AC251"/>
  <c r="AD251"/>
  <c r="P252"/>
  <c r="Q252"/>
  <c r="R252"/>
  <c r="S252"/>
  <c r="T252"/>
  <c r="U252"/>
  <c r="V252"/>
  <c r="W252"/>
  <c r="X252"/>
  <c r="Y252"/>
  <c r="AA252"/>
  <c r="AB252"/>
  <c r="AC252"/>
  <c r="AD252"/>
  <c r="P253"/>
  <c r="Q253"/>
  <c r="R253"/>
  <c r="S253"/>
  <c r="T253"/>
  <c r="U253"/>
  <c r="V253"/>
  <c r="W253"/>
  <c r="X253"/>
  <c r="Y253"/>
  <c r="AA253"/>
  <c r="AB253"/>
  <c r="AC253"/>
  <c r="AD253"/>
  <c r="P254"/>
  <c r="Q254"/>
  <c r="R254"/>
  <c r="S254"/>
  <c r="T254"/>
  <c r="U254"/>
  <c r="V254"/>
  <c r="W254"/>
  <c r="X254"/>
  <c r="Y254"/>
  <c r="AA254"/>
  <c r="AB254"/>
  <c r="AC254"/>
  <c r="AD254"/>
  <c r="P255"/>
  <c r="Q255"/>
  <c r="R255"/>
  <c r="S255"/>
  <c r="T255"/>
  <c r="U255"/>
  <c r="V255"/>
  <c r="W255"/>
  <c r="X255"/>
  <c r="Y255"/>
  <c r="AA255"/>
  <c r="AB255"/>
  <c r="AC255"/>
  <c r="AD255"/>
  <c r="P256"/>
  <c r="Q256"/>
  <c r="R256"/>
  <c r="S256"/>
  <c r="T256"/>
  <c r="U256"/>
  <c r="V256"/>
  <c r="W256"/>
  <c r="X256"/>
  <c r="Y256"/>
  <c r="AA256"/>
  <c r="AB256"/>
  <c r="AC256"/>
  <c r="AD256"/>
  <c r="P257"/>
  <c r="Q257"/>
  <c r="R257"/>
  <c r="S257"/>
  <c r="T257"/>
  <c r="U257"/>
  <c r="V257"/>
  <c r="W257"/>
  <c r="X257"/>
  <c r="Y257"/>
  <c r="AA257"/>
  <c r="AB257"/>
  <c r="AC257"/>
  <c r="AD257"/>
  <c r="P258"/>
  <c r="Q258"/>
  <c r="R258"/>
  <c r="S258"/>
  <c r="T258"/>
  <c r="U258"/>
  <c r="V258"/>
  <c r="W258"/>
  <c r="X258"/>
  <c r="Y258"/>
  <c r="AA258"/>
  <c r="AB258"/>
  <c r="AC258"/>
  <c r="AD258"/>
  <c r="P259"/>
  <c r="Q259"/>
  <c r="R259"/>
  <c r="S259"/>
  <c r="T259"/>
  <c r="U259"/>
  <c r="V259"/>
  <c r="W259"/>
  <c r="X259"/>
  <c r="Y259"/>
  <c r="AA259"/>
  <c r="AB259"/>
  <c r="AC259"/>
  <c r="AD259"/>
  <c r="P260"/>
  <c r="Q260"/>
  <c r="R260"/>
  <c r="S260"/>
  <c r="T260"/>
  <c r="U260"/>
  <c r="V260"/>
  <c r="W260"/>
  <c r="X260"/>
  <c r="Y260"/>
  <c r="AA260"/>
  <c r="AB260"/>
  <c r="AC260"/>
  <c r="AD260"/>
  <c r="P261"/>
  <c r="Q261"/>
  <c r="R261"/>
  <c r="S261"/>
  <c r="T261"/>
  <c r="U261"/>
  <c r="V261"/>
  <c r="W261"/>
  <c r="X261"/>
  <c r="Y261"/>
  <c r="AA261"/>
  <c r="AB261"/>
  <c r="AC261"/>
  <c r="AD261"/>
  <c r="P262"/>
  <c r="Q262"/>
  <c r="R262"/>
  <c r="S262"/>
  <c r="T262"/>
  <c r="U262"/>
  <c r="V262"/>
  <c r="W262"/>
  <c r="X262"/>
  <c r="Y262"/>
  <c r="AA262"/>
  <c r="AB262"/>
  <c r="AC262"/>
  <c r="AD262"/>
  <c r="P263"/>
  <c r="Q263"/>
  <c r="R263"/>
  <c r="S263"/>
  <c r="T263"/>
  <c r="U263"/>
  <c r="V263"/>
  <c r="W263"/>
  <c r="X263"/>
  <c r="Y263"/>
  <c r="AA263"/>
  <c r="AB263"/>
  <c r="AC263"/>
  <c r="AD263"/>
  <c r="P264"/>
  <c r="Q264"/>
  <c r="R264"/>
  <c r="S264"/>
  <c r="T264"/>
  <c r="U264"/>
  <c r="V264"/>
  <c r="W264"/>
  <c r="X264"/>
  <c r="Y264"/>
  <c r="AA264"/>
  <c r="AB264"/>
  <c r="AC264"/>
  <c r="AD264"/>
  <c r="P265"/>
  <c r="Q265"/>
  <c r="R265"/>
  <c r="S265"/>
  <c r="T265"/>
  <c r="U265"/>
  <c r="V265"/>
  <c r="W265"/>
  <c r="X265"/>
  <c r="Y265"/>
  <c r="AA265"/>
  <c r="AB265"/>
  <c r="AC265"/>
  <c r="AD265"/>
  <c r="P266"/>
  <c r="Q266"/>
  <c r="R266"/>
  <c r="S266"/>
  <c r="T266"/>
  <c r="U266"/>
  <c r="V266"/>
  <c r="W266"/>
  <c r="X266"/>
  <c r="Y266"/>
  <c r="AA266"/>
  <c r="AB266"/>
  <c r="AC266"/>
  <c r="AD266"/>
  <c r="P267"/>
  <c r="Q267"/>
  <c r="R267"/>
  <c r="S267"/>
  <c r="T267"/>
  <c r="U267"/>
  <c r="V267"/>
  <c r="W267"/>
  <c r="X267"/>
  <c r="Y267"/>
  <c r="AA267"/>
  <c r="AB267"/>
  <c r="AC267"/>
  <c r="AD267"/>
  <c r="P268"/>
  <c r="Q268"/>
  <c r="R268"/>
  <c r="S268"/>
  <c r="T268"/>
  <c r="U268"/>
  <c r="V268"/>
  <c r="W268"/>
  <c r="X268"/>
  <c r="Y268"/>
  <c r="AA268"/>
  <c r="AB268"/>
  <c r="AC268"/>
  <c r="AD268"/>
  <c r="P269"/>
  <c r="Q269"/>
  <c r="R269"/>
  <c r="S269"/>
  <c r="T269"/>
  <c r="U269"/>
  <c r="V269"/>
  <c r="W269"/>
  <c r="X269"/>
  <c r="Y269"/>
  <c r="AA269"/>
  <c r="AB269"/>
  <c r="AC269"/>
  <c r="AD269"/>
  <c r="P270"/>
  <c r="Q270"/>
  <c r="R270"/>
  <c r="S270"/>
  <c r="T270"/>
  <c r="U270"/>
  <c r="V270"/>
  <c r="W270"/>
  <c r="X270"/>
  <c r="Y270"/>
  <c r="AA270"/>
  <c r="AB270"/>
  <c r="AC270"/>
  <c r="AD270"/>
  <c r="P271"/>
  <c r="Q271"/>
  <c r="R271"/>
  <c r="S271"/>
  <c r="T271"/>
  <c r="U271"/>
  <c r="V271"/>
  <c r="W271"/>
  <c r="X271"/>
  <c r="Y271"/>
  <c r="AA271"/>
  <c r="AB271"/>
  <c r="AC271"/>
  <c r="AD271"/>
  <c r="P272"/>
  <c r="Q272"/>
  <c r="R272"/>
  <c r="S272"/>
  <c r="T272"/>
  <c r="U272"/>
  <c r="V272"/>
  <c r="W272"/>
  <c r="X272"/>
  <c r="Y272"/>
  <c r="AA272"/>
  <c r="AB272"/>
  <c r="AC272"/>
  <c r="AD272"/>
  <c r="P273"/>
  <c r="Q273"/>
  <c r="R273"/>
  <c r="S273"/>
  <c r="T273"/>
  <c r="U273"/>
  <c r="V273"/>
  <c r="W273"/>
  <c r="X273"/>
  <c r="Y273"/>
  <c r="AA273"/>
  <c r="AB273"/>
  <c r="AC273"/>
  <c r="AD273"/>
  <c r="P274"/>
  <c r="Q274"/>
  <c r="R274"/>
  <c r="S274"/>
  <c r="T274"/>
  <c r="U274"/>
  <c r="V274"/>
  <c r="W274"/>
  <c r="X274"/>
  <c r="Y274"/>
  <c r="AA274"/>
  <c r="AB274"/>
  <c r="AC274"/>
  <c r="AD274"/>
  <c r="P275"/>
  <c r="Q275"/>
  <c r="R275"/>
  <c r="S275"/>
  <c r="T275"/>
  <c r="U275"/>
  <c r="V275"/>
  <c r="W275"/>
  <c r="X275"/>
  <c r="Y275"/>
  <c r="AA275"/>
  <c r="AB275"/>
  <c r="AC275"/>
  <c r="AD275"/>
  <c r="P276"/>
  <c r="Q276"/>
  <c r="R276"/>
  <c r="S276"/>
  <c r="T276"/>
  <c r="U276"/>
  <c r="V276"/>
  <c r="W276"/>
  <c r="X276"/>
  <c r="Y276"/>
  <c r="AA276"/>
  <c r="AB276"/>
  <c r="AC276"/>
  <c r="AD276"/>
  <c r="P277"/>
  <c r="Q277"/>
  <c r="R277"/>
  <c r="S277"/>
  <c r="T277"/>
  <c r="U277"/>
  <c r="V277"/>
  <c r="W277"/>
  <c r="X277"/>
  <c r="Y277"/>
  <c r="AA277"/>
  <c r="AB277"/>
  <c r="AC277"/>
  <c r="AD277"/>
  <c r="P278"/>
  <c r="Q278"/>
  <c r="R278"/>
  <c r="S278"/>
  <c r="T278"/>
  <c r="U278"/>
  <c r="V278"/>
  <c r="W278"/>
  <c r="X278"/>
  <c r="Y278"/>
  <c r="AA278"/>
  <c r="AB278"/>
  <c r="AC278"/>
  <c r="AD278"/>
  <c r="P279"/>
  <c r="Q279"/>
  <c r="R279"/>
  <c r="S279"/>
  <c r="T279"/>
  <c r="U279"/>
  <c r="V279"/>
  <c r="W279"/>
  <c r="X279"/>
  <c r="Y279"/>
  <c r="AA279"/>
  <c r="AB279"/>
  <c r="AC279"/>
  <c r="AD279"/>
  <c r="P280"/>
  <c r="Q280"/>
  <c r="R280"/>
  <c r="S280"/>
  <c r="T280"/>
  <c r="U280"/>
  <c r="V280"/>
  <c r="W280"/>
  <c r="X280"/>
  <c r="Y280"/>
  <c r="AA280"/>
  <c r="AB280"/>
  <c r="AC280"/>
  <c r="AD280"/>
  <c r="P281"/>
  <c r="Q281"/>
  <c r="R281"/>
  <c r="S281"/>
  <c r="T281"/>
  <c r="U281"/>
  <c r="V281"/>
  <c r="W281"/>
  <c r="X281"/>
  <c r="Y281"/>
  <c r="AA281"/>
  <c r="AB281"/>
  <c r="AC281"/>
  <c r="AD281"/>
  <c r="P282"/>
  <c r="Q282"/>
  <c r="R282"/>
  <c r="S282"/>
  <c r="T282"/>
  <c r="U282"/>
  <c r="V282"/>
  <c r="W282"/>
  <c r="X282"/>
  <c r="Y282"/>
  <c r="AA282"/>
  <c r="AB282"/>
  <c r="AC282"/>
  <c r="AD282"/>
  <c r="P283"/>
  <c r="Q283"/>
  <c r="R283"/>
  <c r="S283"/>
  <c r="T283"/>
  <c r="U283"/>
  <c r="V283"/>
  <c r="W283"/>
  <c r="X283"/>
  <c r="Y283"/>
  <c r="AA283"/>
  <c r="AB283"/>
  <c r="AC283"/>
  <c r="AD283"/>
  <c r="P284"/>
  <c r="Q284"/>
  <c r="R284"/>
  <c r="S284"/>
  <c r="T284"/>
  <c r="U284"/>
  <c r="V284"/>
  <c r="W284"/>
  <c r="X284"/>
  <c r="Y284"/>
  <c r="AA284"/>
  <c r="AB284"/>
  <c r="AC284"/>
  <c r="AD284"/>
  <c r="P285"/>
  <c r="Q285"/>
  <c r="R285"/>
  <c r="S285"/>
  <c r="T285"/>
  <c r="U285"/>
  <c r="V285"/>
  <c r="W285"/>
  <c r="X285"/>
  <c r="Y285"/>
  <c r="AA285"/>
  <c r="AB285"/>
  <c r="AC285"/>
  <c r="AD285"/>
  <c r="P286"/>
  <c r="Q286"/>
  <c r="R286"/>
  <c r="S286"/>
  <c r="T286"/>
  <c r="U286"/>
  <c r="V286"/>
  <c r="W286"/>
  <c r="X286"/>
  <c r="Y286"/>
  <c r="AA286"/>
  <c r="AB286"/>
  <c r="AC286"/>
  <c r="AD286"/>
  <c r="P287"/>
  <c r="Q287"/>
  <c r="R287"/>
  <c r="S287"/>
  <c r="T287"/>
  <c r="U287"/>
  <c r="V287"/>
  <c r="W287"/>
  <c r="X287"/>
  <c r="Y287"/>
  <c r="AA287"/>
  <c r="AB287"/>
  <c r="AC287"/>
  <c r="AD287"/>
  <c r="P288"/>
  <c r="Q288"/>
  <c r="R288"/>
  <c r="S288"/>
  <c r="T288"/>
  <c r="U288"/>
  <c r="V288"/>
  <c r="W288"/>
  <c r="X288"/>
  <c r="Y288"/>
  <c r="AA288"/>
  <c r="AB288"/>
  <c r="AC288"/>
  <c r="AD288"/>
  <c r="P289"/>
  <c r="Q289"/>
  <c r="R289"/>
  <c r="S289"/>
  <c r="T289"/>
  <c r="U289"/>
  <c r="V289"/>
  <c r="W289"/>
  <c r="X289"/>
  <c r="Y289"/>
  <c r="AA289"/>
  <c r="AB289"/>
  <c r="AC289"/>
  <c r="AD289"/>
  <c r="P290"/>
  <c r="Q290"/>
  <c r="R290"/>
  <c r="S290"/>
  <c r="T290"/>
  <c r="U290"/>
  <c r="V290"/>
  <c r="W290"/>
  <c r="X290"/>
  <c r="Y290"/>
  <c r="AA290"/>
  <c r="AB290"/>
  <c r="AC290"/>
  <c r="AD290"/>
  <c r="P291"/>
  <c r="Q291"/>
  <c r="R291"/>
  <c r="S291"/>
  <c r="T291"/>
  <c r="U291"/>
  <c r="V291"/>
  <c r="W291"/>
  <c r="X291"/>
  <c r="Y291"/>
  <c r="AA291"/>
  <c r="AB291"/>
  <c r="AC291"/>
  <c r="AD291"/>
  <c r="P292"/>
  <c r="Q292"/>
  <c r="R292"/>
  <c r="S292"/>
  <c r="T292"/>
  <c r="U292"/>
  <c r="V292"/>
  <c r="W292"/>
  <c r="X292"/>
  <c r="Y292"/>
  <c r="AA292"/>
  <c r="AB292"/>
  <c r="AC292"/>
  <c r="AD292"/>
  <c r="P293"/>
  <c r="Q293"/>
  <c r="R293"/>
  <c r="S293"/>
  <c r="T293"/>
  <c r="U293"/>
  <c r="V293"/>
  <c r="W293"/>
  <c r="X293"/>
  <c r="Y293"/>
  <c r="AA293"/>
  <c r="AB293"/>
  <c r="AC293"/>
  <c r="AD293"/>
  <c r="P294"/>
  <c r="Q294"/>
  <c r="R294"/>
  <c r="S294"/>
  <c r="T294"/>
  <c r="U294"/>
  <c r="V294"/>
  <c r="W294"/>
  <c r="X294"/>
  <c r="Y294"/>
  <c r="AA294"/>
  <c r="AB294"/>
  <c r="AC294"/>
  <c r="AD294"/>
  <c r="P295"/>
  <c r="Q295"/>
  <c r="R295"/>
  <c r="S295"/>
  <c r="T295"/>
  <c r="U295"/>
  <c r="V295"/>
  <c r="W295"/>
  <c r="X295"/>
  <c r="Y295"/>
  <c r="AA295"/>
  <c r="AB295"/>
  <c r="AC295"/>
  <c r="AD295"/>
  <c r="P296"/>
  <c r="Q296"/>
  <c r="R296"/>
  <c r="S296"/>
  <c r="T296"/>
  <c r="U296"/>
  <c r="V296"/>
  <c r="W296"/>
  <c r="X296"/>
  <c r="Y296"/>
  <c r="AA296"/>
  <c r="AB296"/>
  <c r="AC296"/>
  <c r="AD296"/>
  <c r="P297"/>
  <c r="Q297"/>
  <c r="R297"/>
  <c r="S297"/>
  <c r="T297"/>
  <c r="U297"/>
  <c r="V297"/>
  <c r="W297"/>
  <c r="X297"/>
  <c r="Y297"/>
  <c r="AA297"/>
  <c r="AB297"/>
  <c r="AC297"/>
  <c r="AD297"/>
  <c r="P298"/>
  <c r="Q298"/>
  <c r="R298"/>
  <c r="S298"/>
  <c r="T298"/>
  <c r="U298"/>
  <c r="V298"/>
  <c r="W298"/>
  <c r="X298"/>
  <c r="Y298"/>
  <c r="AA298"/>
  <c r="AB298"/>
  <c r="AC298"/>
  <c r="AD298"/>
  <c r="P299"/>
  <c r="Q299"/>
  <c r="R299"/>
  <c r="S299"/>
  <c r="T299"/>
  <c r="U299"/>
  <c r="V299"/>
  <c r="W299"/>
  <c r="X299"/>
  <c r="Y299"/>
  <c r="AA299"/>
  <c r="AB299"/>
  <c r="AC299"/>
  <c r="AD299"/>
  <c r="P300"/>
  <c r="Q300"/>
  <c r="R300"/>
  <c r="S300"/>
  <c r="T300"/>
  <c r="U300"/>
  <c r="V300"/>
  <c r="W300"/>
  <c r="X300"/>
  <c r="Y300"/>
  <c r="AA300"/>
  <c r="AB300"/>
  <c r="AC300"/>
  <c r="AD300"/>
  <c r="P301"/>
  <c r="Q301"/>
  <c r="R301"/>
  <c r="S301"/>
  <c r="T301"/>
  <c r="U301"/>
  <c r="V301"/>
  <c r="W301"/>
  <c r="X301"/>
  <c r="Y301"/>
  <c r="AA301"/>
  <c r="AB301"/>
  <c r="AC301"/>
  <c r="AD301"/>
  <c r="P302"/>
  <c r="Q302"/>
  <c r="R302"/>
  <c r="S302"/>
  <c r="T302"/>
  <c r="U302"/>
  <c r="V302"/>
  <c r="W302"/>
  <c r="X302"/>
  <c r="Y302"/>
  <c r="AA302"/>
  <c r="AB302"/>
  <c r="AC302"/>
  <c r="AD302"/>
  <c r="P303"/>
  <c r="Q303"/>
  <c r="R303"/>
  <c r="S303"/>
  <c r="T303"/>
  <c r="U303"/>
  <c r="V303"/>
  <c r="W303"/>
  <c r="X303"/>
  <c r="Y303"/>
  <c r="AA303"/>
  <c r="AB303"/>
  <c r="AC303"/>
  <c r="AD303"/>
  <c r="P304"/>
  <c r="Q304"/>
  <c r="R304"/>
  <c r="S304"/>
  <c r="T304"/>
  <c r="U304"/>
  <c r="V304"/>
  <c r="W304"/>
  <c r="X304"/>
  <c r="Y304"/>
  <c r="AA304"/>
  <c r="AB304"/>
  <c r="AC304"/>
  <c r="AD304"/>
  <c r="P305"/>
  <c r="Q305"/>
  <c r="R305"/>
  <c r="S305"/>
  <c r="T305"/>
  <c r="U305"/>
  <c r="V305"/>
  <c r="W305"/>
  <c r="X305"/>
  <c r="Y305"/>
  <c r="AA305"/>
  <c r="AB305"/>
  <c r="AC305"/>
  <c r="AD305"/>
  <c r="P306"/>
  <c r="Q306"/>
  <c r="R306"/>
  <c r="S306"/>
  <c r="T306"/>
  <c r="U306"/>
  <c r="V306"/>
  <c r="W306"/>
  <c r="X306"/>
  <c r="Y306"/>
  <c r="AA306"/>
  <c r="AB306"/>
  <c r="AC306"/>
  <c r="AD306"/>
  <c r="P307"/>
  <c r="Q307"/>
  <c r="R307"/>
  <c r="S307"/>
  <c r="T307"/>
  <c r="U307"/>
  <c r="V307"/>
  <c r="W307"/>
  <c r="X307"/>
  <c r="Y307"/>
  <c r="AA307"/>
  <c r="AB307"/>
  <c r="AC307"/>
  <c r="AD307"/>
  <c r="P308"/>
  <c r="Q308"/>
  <c r="R308"/>
  <c r="S308"/>
  <c r="T308"/>
  <c r="U308"/>
  <c r="V308"/>
  <c r="W308"/>
  <c r="X308"/>
  <c r="Y308"/>
  <c r="AA308"/>
  <c r="AB308"/>
  <c r="AC308"/>
  <c r="AD308"/>
  <c r="P309"/>
  <c r="Q309"/>
  <c r="R309"/>
  <c r="S309"/>
  <c r="T309"/>
  <c r="U309"/>
  <c r="V309"/>
  <c r="W309"/>
  <c r="X309"/>
  <c r="Y309"/>
  <c r="AA309"/>
  <c r="AB309"/>
  <c r="AC309"/>
  <c r="AD309"/>
  <c r="P310"/>
  <c r="Q310"/>
  <c r="R310"/>
  <c r="S310"/>
  <c r="T310"/>
  <c r="U310"/>
  <c r="V310"/>
  <c r="W310"/>
  <c r="X310"/>
  <c r="Y310"/>
  <c r="AA310"/>
  <c r="AB310"/>
  <c r="AC310"/>
  <c r="AD310"/>
  <c r="P311"/>
  <c r="Q311"/>
  <c r="R311"/>
  <c r="S311"/>
  <c r="T311"/>
  <c r="U311"/>
  <c r="V311"/>
  <c r="W311"/>
  <c r="X311"/>
  <c r="Y311"/>
  <c r="AA311"/>
  <c r="AB311"/>
  <c r="AC311"/>
  <c r="AD311"/>
  <c r="P312"/>
  <c r="Q312"/>
  <c r="R312"/>
  <c r="S312"/>
  <c r="T312"/>
  <c r="U312"/>
  <c r="V312"/>
  <c r="W312"/>
  <c r="X312"/>
  <c r="Y312"/>
  <c r="AA312"/>
  <c r="AB312"/>
  <c r="AC312"/>
  <c r="AD312"/>
  <c r="P313"/>
  <c r="Q313"/>
  <c r="R313"/>
  <c r="S313"/>
  <c r="T313"/>
  <c r="U313"/>
  <c r="V313"/>
  <c r="W313"/>
  <c r="X313"/>
  <c r="Y313"/>
  <c r="AA313"/>
  <c r="AB313"/>
  <c r="AC313"/>
  <c r="AD313"/>
  <c r="P314"/>
  <c r="Q314"/>
  <c r="R314"/>
  <c r="S314"/>
  <c r="T314"/>
  <c r="U314"/>
  <c r="V314"/>
  <c r="W314"/>
  <c r="X314"/>
  <c r="Y314"/>
  <c r="AA314"/>
  <c r="AB314"/>
  <c r="AC314"/>
  <c r="AD314"/>
  <c r="P315"/>
  <c r="Q315"/>
  <c r="R315"/>
  <c r="S315"/>
  <c r="T315"/>
  <c r="U315"/>
  <c r="V315"/>
  <c r="W315"/>
  <c r="X315"/>
  <c r="Y315"/>
  <c r="AA315"/>
  <c r="AB315"/>
  <c r="AC315"/>
  <c r="AD315"/>
  <c r="P316"/>
  <c r="Q316"/>
  <c r="R316"/>
  <c r="S316"/>
  <c r="T316"/>
  <c r="U316"/>
  <c r="V316"/>
  <c r="W316"/>
  <c r="X316"/>
  <c r="Y316"/>
  <c r="AA316"/>
  <c r="AB316"/>
  <c r="AC316"/>
  <c r="AD316"/>
  <c r="P317"/>
  <c r="Q317"/>
  <c r="R317"/>
  <c r="S317"/>
  <c r="T317"/>
  <c r="U317"/>
  <c r="V317"/>
  <c r="W317"/>
  <c r="X317"/>
  <c r="Y317"/>
  <c r="AA317"/>
  <c r="AB317"/>
  <c r="AC317"/>
  <c r="AD317"/>
  <c r="P318"/>
  <c r="Q318"/>
  <c r="R318"/>
  <c r="S318"/>
  <c r="T318"/>
  <c r="U318"/>
  <c r="V318"/>
  <c r="W318"/>
  <c r="X318"/>
  <c r="Y318"/>
  <c r="AA318"/>
  <c r="AB318"/>
  <c r="AC318"/>
  <c r="AD318"/>
  <c r="P319"/>
  <c r="Q319"/>
  <c r="R319"/>
  <c r="S319"/>
  <c r="T319"/>
  <c r="U319"/>
  <c r="V319"/>
  <c r="W319"/>
  <c r="X319"/>
  <c r="Y319"/>
  <c r="AA319"/>
  <c r="AB319"/>
  <c r="AC319"/>
  <c r="AD319"/>
  <c r="P320"/>
  <c r="Q320"/>
  <c r="R320"/>
  <c r="S320"/>
  <c r="T320"/>
  <c r="U320"/>
  <c r="V320"/>
  <c r="W320"/>
  <c r="X320"/>
  <c r="Y320"/>
  <c r="AA320"/>
  <c r="AB320"/>
  <c r="AC320"/>
  <c r="AD320"/>
  <c r="P321"/>
  <c r="Q321"/>
  <c r="R321"/>
  <c r="S321"/>
  <c r="T321"/>
  <c r="U321"/>
  <c r="V321"/>
  <c r="W321"/>
  <c r="X321"/>
  <c r="Y321"/>
  <c r="AA321"/>
  <c r="AB321"/>
  <c r="AC321"/>
  <c r="AD321"/>
  <c r="P322"/>
  <c r="Q322"/>
  <c r="R322"/>
  <c r="S322"/>
  <c r="T322"/>
  <c r="U322"/>
  <c r="V322"/>
  <c r="W322"/>
  <c r="X322"/>
  <c r="Y322"/>
  <c r="AA322"/>
  <c r="AB322"/>
  <c r="AC322"/>
  <c r="AD322"/>
  <c r="P323"/>
  <c r="Q323"/>
  <c r="R323"/>
  <c r="S323"/>
  <c r="T323"/>
  <c r="U323"/>
  <c r="V323"/>
  <c r="W323"/>
  <c r="X323"/>
  <c r="Y323"/>
  <c r="AA323"/>
  <c r="AB323"/>
  <c r="AC323"/>
  <c r="AD323"/>
  <c r="P324"/>
  <c r="Q324"/>
  <c r="R324"/>
  <c r="S324"/>
  <c r="T324"/>
  <c r="U324"/>
  <c r="V324"/>
  <c r="W324"/>
  <c r="X324"/>
  <c r="Y324"/>
  <c r="AA324"/>
  <c r="AB324"/>
  <c r="AC324"/>
  <c r="AD324"/>
  <c r="P325"/>
  <c r="Q325"/>
  <c r="R325"/>
  <c r="S325"/>
  <c r="T325"/>
  <c r="U325"/>
  <c r="V325"/>
  <c r="W325"/>
  <c r="X325"/>
  <c r="Y325"/>
  <c r="AA325"/>
  <c r="AB325"/>
  <c r="AC325"/>
  <c r="AD325"/>
  <c r="P326"/>
  <c r="Q326"/>
  <c r="R326"/>
  <c r="S326"/>
  <c r="T326"/>
  <c r="U326"/>
  <c r="V326"/>
  <c r="W326"/>
  <c r="X326"/>
  <c r="Y326"/>
  <c r="AA326"/>
  <c r="AB326"/>
  <c r="AC326"/>
  <c r="AD326"/>
  <c r="P327"/>
  <c r="Q327"/>
  <c r="R327"/>
  <c r="S327"/>
  <c r="T327"/>
  <c r="U327"/>
  <c r="V327"/>
  <c r="W327"/>
  <c r="X327"/>
  <c r="Y327"/>
  <c r="AA327"/>
  <c r="AB327"/>
  <c r="AC327"/>
  <c r="AD327"/>
  <c r="P328"/>
  <c r="Q328"/>
  <c r="R328"/>
  <c r="S328"/>
  <c r="T328"/>
  <c r="U328"/>
  <c r="V328"/>
  <c r="W328"/>
  <c r="X328"/>
  <c r="Y328"/>
  <c r="AA328"/>
  <c r="AB328"/>
  <c r="AC328"/>
  <c r="AD328"/>
  <c r="P329"/>
  <c r="Q329"/>
  <c r="R329"/>
  <c r="S329"/>
  <c r="T329"/>
  <c r="U329"/>
  <c r="V329"/>
  <c r="W329"/>
  <c r="X329"/>
  <c r="Y329"/>
  <c r="AA329"/>
  <c r="AB329"/>
  <c r="AC329"/>
  <c r="AD329"/>
  <c r="P330"/>
  <c r="Q330"/>
  <c r="R330"/>
  <c r="S330"/>
  <c r="T330"/>
  <c r="U330"/>
  <c r="V330"/>
  <c r="W330"/>
  <c r="X330"/>
  <c r="Y330"/>
  <c r="AA330"/>
  <c r="AB330"/>
  <c r="AC330"/>
  <c r="AD330"/>
  <c r="P331"/>
  <c r="Q331"/>
  <c r="R331"/>
  <c r="S331"/>
  <c r="T331"/>
  <c r="U331"/>
  <c r="V331"/>
  <c r="W331"/>
  <c r="X331"/>
  <c r="Y331"/>
  <c r="AA331"/>
  <c r="AB331"/>
  <c r="AC331"/>
  <c r="AD331"/>
  <c r="P332"/>
  <c r="Q332"/>
  <c r="R332"/>
  <c r="S332"/>
  <c r="T332"/>
  <c r="U332"/>
  <c r="V332"/>
  <c r="W332"/>
  <c r="X332"/>
  <c r="Y332"/>
  <c r="AA332"/>
  <c r="AB332"/>
  <c r="AC332"/>
  <c r="AD332"/>
  <c r="P333"/>
  <c r="Q333"/>
  <c r="R333"/>
  <c r="S333"/>
  <c r="T333"/>
  <c r="U333"/>
  <c r="V333"/>
  <c r="W333"/>
  <c r="X333"/>
  <c r="Y333"/>
  <c r="AA333"/>
  <c r="AB333"/>
  <c r="AC333"/>
  <c r="AD333"/>
  <c r="P334"/>
  <c r="Q334"/>
  <c r="R334"/>
  <c r="S334"/>
  <c r="T334"/>
  <c r="U334"/>
  <c r="V334"/>
  <c r="W334"/>
  <c r="X334"/>
  <c r="Y334"/>
  <c r="AA334"/>
  <c r="AB334"/>
  <c r="AC334"/>
  <c r="AD334"/>
  <c r="P335"/>
  <c r="Q335"/>
  <c r="R335"/>
  <c r="S335"/>
  <c r="T335"/>
  <c r="U335"/>
  <c r="V335"/>
  <c r="W335"/>
  <c r="X335"/>
  <c r="Y335"/>
  <c r="AA335"/>
  <c r="AB335"/>
  <c r="AC335"/>
  <c r="AD335"/>
  <c r="P336"/>
  <c r="Q336"/>
  <c r="R336"/>
  <c r="S336"/>
  <c r="T336"/>
  <c r="U336"/>
  <c r="V336"/>
  <c r="W336"/>
  <c r="X336"/>
  <c r="Y336"/>
  <c r="AA336"/>
  <c r="AB336"/>
  <c r="AC336"/>
  <c r="AD336"/>
  <c r="P337"/>
  <c r="Q337"/>
  <c r="R337"/>
  <c r="S337"/>
  <c r="T337"/>
  <c r="U337"/>
  <c r="V337"/>
  <c r="W337"/>
  <c r="X337"/>
  <c r="Y337"/>
  <c r="AA337"/>
  <c r="AB337"/>
  <c r="AC337"/>
  <c r="AD337"/>
  <c r="P338"/>
  <c r="Q338"/>
  <c r="R338"/>
  <c r="S338"/>
  <c r="T338"/>
  <c r="U338"/>
  <c r="V338"/>
  <c r="W338"/>
  <c r="X338"/>
  <c r="Y338"/>
  <c r="AA338"/>
  <c r="AB338"/>
  <c r="AC338"/>
  <c r="AD338"/>
  <c r="P339"/>
  <c r="Q339"/>
  <c r="R339"/>
  <c r="S339"/>
  <c r="T339"/>
  <c r="U339"/>
  <c r="V339"/>
  <c r="W339"/>
  <c r="X339"/>
  <c r="Y339"/>
  <c r="AA339"/>
  <c r="AB339"/>
  <c r="AC339"/>
  <c r="AD339"/>
  <c r="P340"/>
  <c r="Q340"/>
  <c r="R340"/>
  <c r="S340"/>
  <c r="T340"/>
  <c r="U340"/>
  <c r="V340"/>
  <c r="W340"/>
  <c r="X340"/>
  <c r="Y340"/>
  <c r="AA340"/>
  <c r="AB340"/>
  <c r="AC340"/>
  <c r="AD340"/>
  <c r="P341"/>
  <c r="Q341"/>
  <c r="R341"/>
  <c r="S341"/>
  <c r="T341"/>
  <c r="U341"/>
  <c r="V341"/>
  <c r="W341"/>
  <c r="X341"/>
  <c r="Y341"/>
  <c r="AA341"/>
  <c r="AB341"/>
  <c r="AC341"/>
  <c r="AD341"/>
  <c r="P342"/>
  <c r="Q342"/>
  <c r="R342"/>
  <c r="S342"/>
  <c r="T342"/>
  <c r="U342"/>
  <c r="V342"/>
  <c r="W342"/>
  <c r="X342"/>
  <c r="Y342"/>
  <c r="AA342"/>
  <c r="AB342"/>
  <c r="AC342"/>
  <c r="AD342"/>
  <c r="P343"/>
  <c r="Q343"/>
  <c r="R343"/>
  <c r="S343"/>
  <c r="T343"/>
  <c r="U343"/>
  <c r="V343"/>
  <c r="W343"/>
  <c r="X343"/>
  <c r="Y343"/>
  <c r="AA343"/>
  <c r="AB343"/>
  <c r="AC343"/>
  <c r="AD343"/>
  <c r="P344"/>
  <c r="Q344"/>
  <c r="R344"/>
  <c r="S344"/>
  <c r="T344"/>
  <c r="U344"/>
  <c r="V344"/>
  <c r="W344"/>
  <c r="X344"/>
  <c r="Y344"/>
  <c r="AA344"/>
  <c r="AB344"/>
  <c r="AC344"/>
  <c r="AD344"/>
  <c r="P345"/>
  <c r="Q345"/>
  <c r="R345"/>
  <c r="S345"/>
  <c r="T345"/>
  <c r="U345"/>
  <c r="V345"/>
  <c r="W345"/>
  <c r="X345"/>
  <c r="Y345"/>
  <c r="AA345"/>
  <c r="AB345"/>
  <c r="AC345"/>
  <c r="AD345"/>
  <c r="P346"/>
  <c r="Q346"/>
  <c r="R346"/>
  <c r="S346"/>
  <c r="T346"/>
  <c r="U346"/>
  <c r="V346"/>
  <c r="W346"/>
  <c r="X346"/>
  <c r="Y346"/>
  <c r="AA346"/>
  <c r="AB346"/>
  <c r="AC346"/>
  <c r="AD346"/>
  <c r="P347"/>
  <c r="Q347"/>
  <c r="R347"/>
  <c r="S347"/>
  <c r="T347"/>
  <c r="U347"/>
  <c r="V347"/>
  <c r="W347"/>
  <c r="X347"/>
  <c r="Y347"/>
  <c r="AA347"/>
  <c r="AB347"/>
  <c r="AC347"/>
  <c r="AD347"/>
  <c r="P348"/>
  <c r="Q348"/>
  <c r="R348"/>
  <c r="S348"/>
  <c r="T348"/>
  <c r="U348"/>
  <c r="V348"/>
  <c r="W348"/>
  <c r="X348"/>
  <c r="Y348"/>
  <c r="AA348"/>
  <c r="AB348"/>
  <c r="AC348"/>
  <c r="AD348"/>
  <c r="P349"/>
  <c r="Q349"/>
  <c r="R349"/>
  <c r="S349"/>
  <c r="T349"/>
  <c r="U349"/>
  <c r="V349"/>
  <c r="W349"/>
  <c r="X349"/>
  <c r="Y349"/>
  <c r="AA349"/>
  <c r="AB349"/>
  <c r="AC349"/>
  <c r="AD349"/>
  <c r="P350"/>
  <c r="Q350"/>
  <c r="R350"/>
  <c r="S350"/>
  <c r="T350"/>
  <c r="U350"/>
  <c r="V350"/>
  <c r="W350"/>
  <c r="X350"/>
  <c r="Y350"/>
  <c r="AA350"/>
  <c r="AB350"/>
  <c r="AC350"/>
  <c r="AD350"/>
  <c r="P351"/>
  <c r="Q351"/>
  <c r="R351"/>
  <c r="S351"/>
  <c r="T351"/>
  <c r="U351"/>
  <c r="V351"/>
  <c r="W351"/>
  <c r="X351"/>
  <c r="Y351"/>
  <c r="AA351"/>
  <c r="AB351"/>
  <c r="AC351"/>
  <c r="AD351"/>
  <c r="P352"/>
  <c r="Q352"/>
  <c r="R352"/>
  <c r="S352"/>
  <c r="T352"/>
  <c r="U352"/>
  <c r="V352"/>
  <c r="W352"/>
  <c r="X352"/>
  <c r="Y352"/>
  <c r="AA352"/>
  <c r="AB352"/>
  <c r="AC352"/>
  <c r="AD352"/>
  <c r="P353"/>
  <c r="Q353"/>
  <c r="R353"/>
  <c r="S353"/>
  <c r="T353"/>
  <c r="U353"/>
  <c r="V353"/>
  <c r="W353"/>
  <c r="X353"/>
  <c r="Y353"/>
  <c r="AA353"/>
  <c r="AB353"/>
  <c r="AC353"/>
  <c r="AD353"/>
  <c r="P354"/>
  <c r="Q354"/>
  <c r="R354"/>
  <c r="S354"/>
  <c r="T354"/>
  <c r="U354"/>
  <c r="V354"/>
  <c r="W354"/>
  <c r="X354"/>
  <c r="Y354"/>
  <c r="AA354"/>
  <c r="AB354"/>
  <c r="AC354"/>
  <c r="AD354"/>
  <c r="P355"/>
  <c r="Q355"/>
  <c r="R355"/>
  <c r="S355"/>
  <c r="T355"/>
  <c r="U355"/>
  <c r="V355"/>
  <c r="W355"/>
  <c r="X355"/>
  <c r="Y355"/>
  <c r="AA355"/>
  <c r="AB355"/>
  <c r="AC355"/>
  <c r="AD355"/>
  <c r="P356"/>
  <c r="Q356"/>
  <c r="R356"/>
  <c r="S356"/>
  <c r="T356"/>
  <c r="U356"/>
  <c r="V356"/>
  <c r="W356"/>
  <c r="X356"/>
  <c r="Y356"/>
  <c r="AA356"/>
  <c r="AB356"/>
  <c r="AC356"/>
  <c r="AD356"/>
  <c r="P357"/>
  <c r="Q357"/>
  <c r="R357"/>
  <c r="S357"/>
  <c r="T357"/>
  <c r="U357"/>
  <c r="V357"/>
  <c r="W357"/>
  <c r="X357"/>
  <c r="Y357"/>
  <c r="AA357"/>
  <c r="AB357"/>
  <c r="AC357"/>
  <c r="AD357"/>
  <c r="P358"/>
  <c r="Q358"/>
  <c r="R358"/>
  <c r="S358"/>
  <c r="T358"/>
  <c r="U358"/>
  <c r="V358"/>
  <c r="W358"/>
  <c r="X358"/>
  <c r="Y358"/>
  <c r="AA358"/>
  <c r="AB358"/>
  <c r="AC358"/>
  <c r="AD358"/>
  <c r="P359"/>
  <c r="Q359"/>
  <c r="R359"/>
  <c r="S359"/>
  <c r="T359"/>
  <c r="U359"/>
  <c r="V359"/>
  <c r="W359"/>
  <c r="X359"/>
  <c r="Y359"/>
  <c r="AA359"/>
  <c r="AB359"/>
  <c r="AC359"/>
  <c r="AD359"/>
  <c r="P360"/>
  <c r="Q360"/>
  <c r="R360"/>
  <c r="S360"/>
  <c r="T360"/>
  <c r="U360"/>
  <c r="V360"/>
  <c r="W360"/>
  <c r="X360"/>
  <c r="Y360"/>
  <c r="AA360"/>
  <c r="AB360"/>
  <c r="AC360"/>
  <c r="AD360"/>
  <c r="P361"/>
  <c r="Q361"/>
  <c r="R361"/>
  <c r="S361"/>
  <c r="T361"/>
  <c r="U361"/>
  <c r="V361"/>
  <c r="W361"/>
  <c r="X361"/>
  <c r="Y361"/>
  <c r="AA361"/>
  <c r="AB361"/>
  <c r="AC361"/>
  <c r="AD361"/>
  <c r="P362"/>
  <c r="Q362"/>
  <c r="R362"/>
  <c r="S362"/>
  <c r="T362"/>
  <c r="U362"/>
  <c r="V362"/>
  <c r="W362"/>
  <c r="X362"/>
  <c r="Y362"/>
  <c r="AA362"/>
  <c r="AB362"/>
  <c r="AC362"/>
  <c r="AD362"/>
  <c r="P363"/>
  <c r="Q363"/>
  <c r="R363"/>
  <c r="S363"/>
  <c r="T363"/>
  <c r="U363"/>
  <c r="V363"/>
  <c r="W363"/>
  <c r="X363"/>
  <c r="Y363"/>
  <c r="AA363"/>
  <c r="AB363"/>
  <c r="AC363"/>
  <c r="AD363"/>
  <c r="P364"/>
  <c r="Q364"/>
  <c r="R364"/>
  <c r="S364"/>
  <c r="T364"/>
  <c r="U364"/>
  <c r="V364"/>
  <c r="W364"/>
  <c r="X364"/>
  <c r="Y364"/>
  <c r="AA364"/>
  <c r="AB364"/>
  <c r="AC364"/>
  <c r="AD364"/>
  <c r="P365"/>
  <c r="Q365"/>
  <c r="R365"/>
  <c r="S365"/>
  <c r="T365"/>
  <c r="U365"/>
  <c r="V365"/>
  <c r="W365"/>
  <c r="X365"/>
  <c r="Y365"/>
  <c r="AA365"/>
  <c r="AB365"/>
  <c r="AC365"/>
  <c r="AD365"/>
  <c r="P366"/>
  <c r="Q366"/>
  <c r="R366"/>
  <c r="S366"/>
  <c r="T366"/>
  <c r="U366"/>
  <c r="V366"/>
  <c r="W366"/>
  <c r="X366"/>
  <c r="Y366"/>
  <c r="AA366"/>
  <c r="AB366"/>
  <c r="AC366"/>
  <c r="AD366"/>
  <c r="P367"/>
  <c r="Q367"/>
  <c r="R367"/>
  <c r="S367"/>
  <c r="T367"/>
  <c r="U367"/>
  <c r="V367"/>
  <c r="W367"/>
  <c r="X367"/>
  <c r="Y367"/>
  <c r="AA367"/>
  <c r="AB367"/>
  <c r="AC367"/>
  <c r="AD367"/>
  <c r="P368"/>
  <c r="Q368"/>
  <c r="R368"/>
  <c r="S368"/>
  <c r="T368"/>
  <c r="U368"/>
  <c r="V368"/>
  <c r="W368"/>
  <c r="X368"/>
  <c r="Y368"/>
  <c r="AA368"/>
  <c r="AB368"/>
  <c r="AC368"/>
  <c r="AD368"/>
  <c r="P369"/>
  <c r="Q369"/>
  <c r="R369"/>
  <c r="S369"/>
  <c r="T369"/>
  <c r="U369"/>
  <c r="V369"/>
  <c r="W369"/>
  <c r="X369"/>
  <c r="Y369"/>
  <c r="AA369"/>
  <c r="AB369"/>
  <c r="AC369"/>
  <c r="AD369"/>
  <c r="P370"/>
  <c r="Q370"/>
  <c r="R370"/>
  <c r="S370"/>
  <c r="T370"/>
  <c r="U370"/>
  <c r="V370"/>
  <c r="W370"/>
  <c r="X370"/>
  <c r="Y370"/>
  <c r="AA370"/>
  <c r="AB370"/>
  <c r="AC370"/>
  <c r="AD370"/>
  <c r="P371"/>
  <c r="Q371"/>
  <c r="R371"/>
  <c r="S371"/>
  <c r="T371"/>
  <c r="U371"/>
  <c r="V371"/>
  <c r="W371"/>
  <c r="X371"/>
  <c r="Y371"/>
  <c r="AA371"/>
  <c r="AB371"/>
  <c r="AC371"/>
  <c r="AD371"/>
  <c r="P372"/>
  <c r="Q372"/>
  <c r="R372"/>
  <c r="S372"/>
  <c r="T372"/>
  <c r="U372"/>
  <c r="V372"/>
  <c r="W372"/>
  <c r="X372"/>
  <c r="Y372"/>
  <c r="AA372"/>
  <c r="AB372"/>
  <c r="AC372"/>
  <c r="AD372"/>
  <c r="P373"/>
  <c r="Q373"/>
  <c r="R373"/>
  <c r="S373"/>
  <c r="T373"/>
  <c r="U373"/>
  <c r="V373"/>
  <c r="W373"/>
  <c r="X373"/>
  <c r="Y373"/>
  <c r="AA373"/>
  <c r="AB373"/>
  <c r="AC373"/>
  <c r="AD373"/>
  <c r="P374"/>
  <c r="Q374"/>
  <c r="R374"/>
  <c r="S374"/>
  <c r="T374"/>
  <c r="U374"/>
  <c r="V374"/>
  <c r="W374"/>
  <c r="X374"/>
  <c r="Y374"/>
  <c r="AA374"/>
  <c r="AB374"/>
  <c r="AC374"/>
  <c r="AD374"/>
  <c r="P375"/>
  <c r="Q375"/>
  <c r="R375"/>
  <c r="S375"/>
  <c r="T375"/>
  <c r="U375"/>
  <c r="V375"/>
  <c r="W375"/>
  <c r="X375"/>
  <c r="Y375"/>
  <c r="AA375"/>
  <c r="AB375"/>
  <c r="AC375"/>
  <c r="AD375"/>
  <c r="P376"/>
  <c r="Q376"/>
  <c r="R376"/>
  <c r="S376"/>
  <c r="T376"/>
  <c r="U376"/>
  <c r="V376"/>
  <c r="W376"/>
  <c r="X376"/>
  <c r="Y376"/>
  <c r="AA376"/>
  <c r="AB376"/>
  <c r="AC376"/>
  <c r="AD376"/>
  <c r="P377"/>
  <c r="Q377"/>
  <c r="R377"/>
  <c r="S377"/>
  <c r="T377"/>
  <c r="U377"/>
  <c r="V377"/>
  <c r="W377"/>
  <c r="X377"/>
  <c r="Y377"/>
  <c r="AA377"/>
  <c r="AB377"/>
  <c r="AC377"/>
  <c r="AD377"/>
  <c r="P378"/>
  <c r="Q378"/>
  <c r="R378"/>
  <c r="S378"/>
  <c r="T378"/>
  <c r="U378"/>
  <c r="V378"/>
  <c r="W378"/>
  <c r="X378"/>
  <c r="Y378"/>
  <c r="AA378"/>
  <c r="AB378"/>
  <c r="AC378"/>
  <c r="AD378"/>
  <c r="P379"/>
  <c r="Q379"/>
  <c r="R379"/>
  <c r="S379"/>
  <c r="T379"/>
  <c r="U379"/>
  <c r="V379"/>
  <c r="W379"/>
  <c r="X379"/>
  <c r="Y379"/>
  <c r="AA379"/>
  <c r="AB379"/>
  <c r="AC379"/>
  <c r="AD379"/>
  <c r="P380"/>
  <c r="Q380"/>
  <c r="R380"/>
  <c r="S380"/>
  <c r="T380"/>
  <c r="U380"/>
  <c r="V380"/>
  <c r="W380"/>
  <c r="X380"/>
  <c r="Y380"/>
  <c r="AA380"/>
  <c r="AB380"/>
  <c r="AC380"/>
  <c r="AD380"/>
  <c r="P381"/>
  <c r="Q381"/>
  <c r="R381"/>
  <c r="S381"/>
  <c r="T381"/>
  <c r="U381"/>
  <c r="V381"/>
  <c r="W381"/>
  <c r="X381"/>
  <c r="Y381"/>
  <c r="AA381"/>
  <c r="AB381"/>
  <c r="AC381"/>
  <c r="AD381"/>
  <c r="P382"/>
  <c r="Q382"/>
  <c r="R382"/>
  <c r="S382"/>
  <c r="T382"/>
  <c r="U382"/>
  <c r="V382"/>
  <c r="W382"/>
  <c r="X382"/>
  <c r="Y382"/>
  <c r="AA382"/>
  <c r="AB382"/>
  <c r="AC382"/>
  <c r="AD382"/>
  <c r="P383"/>
  <c r="Q383"/>
  <c r="R383"/>
  <c r="S383"/>
  <c r="T383"/>
  <c r="U383"/>
  <c r="V383"/>
  <c r="W383"/>
  <c r="X383"/>
  <c r="Y383"/>
  <c r="AA383"/>
  <c r="AB383"/>
  <c r="AC383"/>
  <c r="AD383"/>
  <c r="P384"/>
  <c r="Q384"/>
  <c r="R384"/>
  <c r="S384"/>
  <c r="T384"/>
  <c r="U384"/>
  <c r="V384"/>
  <c r="W384"/>
  <c r="X384"/>
  <c r="Y384"/>
  <c r="AA384"/>
  <c r="AB384"/>
  <c r="AC384"/>
  <c r="AD384"/>
  <c r="P385"/>
  <c r="Q385"/>
  <c r="R385"/>
  <c r="S385"/>
  <c r="T385"/>
  <c r="U385"/>
  <c r="V385"/>
  <c r="W385"/>
  <c r="X385"/>
  <c r="Y385"/>
  <c r="AA385"/>
  <c r="AB385"/>
  <c r="AC385"/>
  <c r="AD385"/>
  <c r="P386"/>
  <c r="Q386"/>
  <c r="R386"/>
  <c r="S386"/>
  <c r="T386"/>
  <c r="U386"/>
  <c r="V386"/>
  <c r="W386"/>
  <c r="X386"/>
  <c r="Y386"/>
  <c r="AA386"/>
  <c r="AB386"/>
  <c r="AC386"/>
  <c r="AD386"/>
  <c r="P387"/>
  <c r="Q387"/>
  <c r="R387"/>
  <c r="S387"/>
  <c r="T387"/>
  <c r="U387"/>
  <c r="V387"/>
  <c r="W387"/>
  <c r="X387"/>
  <c r="Y387"/>
  <c r="AA387"/>
  <c r="AB387"/>
  <c r="AC387"/>
  <c r="AD387"/>
  <c r="P388"/>
  <c r="Q388"/>
  <c r="R388"/>
  <c r="S388"/>
  <c r="T388"/>
  <c r="U388"/>
  <c r="V388"/>
  <c r="W388"/>
  <c r="X388"/>
  <c r="Y388"/>
  <c r="AA388"/>
  <c r="AB388"/>
  <c r="AC388"/>
  <c r="AD388"/>
  <c r="P389"/>
  <c r="Q389"/>
  <c r="R389"/>
  <c r="S389"/>
  <c r="T389"/>
  <c r="U389"/>
  <c r="V389"/>
  <c r="W389"/>
  <c r="X389"/>
  <c r="Y389"/>
  <c r="AA389"/>
  <c r="AB389"/>
  <c r="AC389"/>
  <c r="AD389"/>
  <c r="P390"/>
  <c r="Q390"/>
  <c r="R390"/>
  <c r="S390"/>
  <c r="T390"/>
  <c r="U390"/>
  <c r="V390"/>
  <c r="W390"/>
  <c r="X390"/>
  <c r="Y390"/>
  <c r="AA390"/>
  <c r="AB390"/>
  <c r="AC390"/>
  <c r="AD390"/>
  <c r="P391"/>
  <c r="Q391"/>
  <c r="R391"/>
  <c r="S391"/>
  <c r="T391"/>
  <c r="U391"/>
  <c r="V391"/>
  <c r="W391"/>
  <c r="X391"/>
  <c r="Y391"/>
  <c r="AA391"/>
  <c r="AB391"/>
  <c r="AC391"/>
  <c r="AD391"/>
  <c r="P392"/>
  <c r="Q392"/>
  <c r="R392"/>
  <c r="S392"/>
  <c r="T392"/>
  <c r="U392"/>
  <c r="V392"/>
  <c r="W392"/>
  <c r="X392"/>
  <c r="Y392"/>
  <c r="AA392"/>
  <c r="AB392"/>
  <c r="AC392"/>
  <c r="AD392"/>
  <c r="P393"/>
  <c r="Q393"/>
  <c r="R393"/>
  <c r="S393"/>
  <c r="T393"/>
  <c r="U393"/>
  <c r="V393"/>
  <c r="W393"/>
  <c r="X393"/>
  <c r="Y393"/>
  <c r="AA393"/>
  <c r="AB393"/>
  <c r="AC393"/>
  <c r="AD393"/>
  <c r="P394"/>
  <c r="Q394"/>
  <c r="R394"/>
  <c r="S394"/>
  <c r="T394"/>
  <c r="U394"/>
  <c r="V394"/>
  <c r="W394"/>
  <c r="X394"/>
  <c r="Y394"/>
  <c r="AA394"/>
  <c r="AB394"/>
  <c r="AC394"/>
  <c r="AD394"/>
  <c r="P395"/>
  <c r="Q395"/>
  <c r="R395"/>
  <c r="S395"/>
  <c r="T395"/>
  <c r="U395"/>
  <c r="V395"/>
  <c r="W395"/>
  <c r="X395"/>
  <c r="Y395"/>
  <c r="AA395"/>
  <c r="AB395"/>
  <c r="AC395"/>
  <c r="AD395"/>
  <c r="P396"/>
  <c r="Q396"/>
  <c r="R396"/>
  <c r="S396"/>
  <c r="T396"/>
  <c r="U396"/>
  <c r="V396"/>
  <c r="W396"/>
  <c r="X396"/>
  <c r="Y396"/>
  <c r="AA396"/>
  <c r="AB396"/>
  <c r="AC396"/>
  <c r="AD396"/>
  <c r="P397"/>
  <c r="Q397"/>
  <c r="R397"/>
  <c r="S397"/>
  <c r="T397"/>
  <c r="U397"/>
  <c r="V397"/>
  <c r="W397"/>
  <c r="X397"/>
  <c r="Y397"/>
  <c r="AA397"/>
  <c r="AB397"/>
  <c r="AC397"/>
  <c r="AD397"/>
  <c r="P398"/>
  <c r="Q398"/>
  <c r="R398"/>
  <c r="S398"/>
  <c r="T398"/>
  <c r="U398"/>
  <c r="V398"/>
  <c r="W398"/>
  <c r="X398"/>
  <c r="Y398"/>
  <c r="AA398"/>
  <c r="AB398"/>
  <c r="AC398"/>
  <c r="AD398"/>
  <c r="P399"/>
  <c r="Q399"/>
  <c r="R399"/>
  <c r="S399"/>
  <c r="T399"/>
  <c r="U399"/>
  <c r="V399"/>
  <c r="W399"/>
  <c r="X399"/>
  <c r="Y399"/>
  <c r="AA399"/>
  <c r="AB399"/>
  <c r="AC399"/>
  <c r="AD399"/>
  <c r="P400"/>
  <c r="Q400"/>
  <c r="R400"/>
  <c r="S400"/>
  <c r="T400"/>
  <c r="U400"/>
  <c r="V400"/>
  <c r="W400"/>
  <c r="X400"/>
  <c r="Y400"/>
  <c r="AA400"/>
  <c r="AB400"/>
  <c r="AC400"/>
  <c r="AD400"/>
  <c r="P401"/>
  <c r="Q401"/>
  <c r="R401"/>
  <c r="S401"/>
  <c r="T401"/>
  <c r="U401"/>
  <c r="V401"/>
  <c r="W401"/>
  <c r="X401"/>
  <c r="Y401"/>
  <c r="AA401"/>
  <c r="AB401"/>
  <c r="AC401"/>
  <c r="AD401"/>
  <c r="P402"/>
  <c r="Q402"/>
  <c r="R402"/>
  <c r="S402"/>
  <c r="T402"/>
  <c r="U402"/>
  <c r="V402"/>
  <c r="W402"/>
  <c r="X402"/>
  <c r="Y402"/>
  <c r="AA402"/>
  <c r="AB402"/>
  <c r="AC402"/>
  <c r="AD402"/>
  <c r="P403"/>
  <c r="Q403"/>
  <c r="R403"/>
  <c r="S403"/>
  <c r="T403"/>
  <c r="U403"/>
  <c r="V403"/>
  <c r="W403"/>
  <c r="X403"/>
  <c r="Y403"/>
  <c r="AA403"/>
  <c r="AB403"/>
  <c r="AC403"/>
  <c r="AD403"/>
  <c r="P404"/>
  <c r="Q404"/>
  <c r="R404"/>
  <c r="S404"/>
  <c r="T404"/>
  <c r="U404"/>
  <c r="V404"/>
  <c r="W404"/>
  <c r="X404"/>
  <c r="Y404"/>
  <c r="AA404"/>
  <c r="AB404"/>
  <c r="AC404"/>
  <c r="AD404"/>
  <c r="P405"/>
  <c r="Q405"/>
  <c r="R405"/>
  <c r="S405"/>
  <c r="T405"/>
  <c r="U405"/>
  <c r="V405"/>
  <c r="W405"/>
  <c r="X405"/>
  <c r="Y405"/>
  <c r="AA405"/>
  <c r="AB405"/>
  <c r="AC405"/>
  <c r="AD405"/>
  <c r="P406"/>
  <c r="Q406"/>
  <c r="R406"/>
  <c r="S406"/>
  <c r="T406"/>
  <c r="U406"/>
  <c r="V406"/>
  <c r="W406"/>
  <c r="X406"/>
  <c r="Y406"/>
  <c r="AA406"/>
  <c r="AB406"/>
  <c r="AC406"/>
  <c r="AD406"/>
  <c r="P407"/>
  <c r="Q407"/>
  <c r="R407"/>
  <c r="S407"/>
  <c r="T407"/>
  <c r="U407"/>
  <c r="V407"/>
  <c r="W407"/>
  <c r="X407"/>
  <c r="Y407"/>
  <c r="AA407"/>
  <c r="AB407"/>
  <c r="AC407"/>
  <c r="AD407"/>
  <c r="P408"/>
  <c r="Q408"/>
  <c r="R408"/>
  <c r="S408"/>
  <c r="T408"/>
  <c r="U408"/>
  <c r="V408"/>
  <c r="W408"/>
  <c r="X408"/>
  <c r="Y408"/>
  <c r="AA408"/>
  <c r="AB408"/>
  <c r="AC408"/>
  <c r="AD408"/>
  <c r="P409"/>
  <c r="Q409"/>
  <c r="R409"/>
  <c r="S409"/>
  <c r="T409"/>
  <c r="U409"/>
  <c r="V409"/>
  <c r="W409"/>
  <c r="X409"/>
  <c r="Y409"/>
  <c r="AA409"/>
  <c r="AB409"/>
  <c r="AC409"/>
  <c r="AD409"/>
  <c r="P410"/>
  <c r="Q410"/>
  <c r="R410"/>
  <c r="S410"/>
  <c r="T410"/>
  <c r="U410"/>
  <c r="V410"/>
  <c r="W410"/>
  <c r="X410"/>
  <c r="Y410"/>
  <c r="AA410"/>
  <c r="AB410"/>
  <c r="AC410"/>
  <c r="AD410"/>
  <c r="P411"/>
  <c r="Q411"/>
  <c r="R411"/>
  <c r="S411"/>
  <c r="T411"/>
  <c r="U411"/>
  <c r="V411"/>
  <c r="W411"/>
  <c r="X411"/>
  <c r="Y411"/>
  <c r="AA411"/>
  <c r="AB411"/>
  <c r="AC411"/>
  <c r="AD411"/>
  <c r="P412"/>
  <c r="Q412"/>
  <c r="R412"/>
  <c r="S412"/>
  <c r="T412"/>
  <c r="U412"/>
  <c r="V412"/>
  <c r="W412"/>
  <c r="X412"/>
  <c r="Y412"/>
  <c r="AA412"/>
  <c r="AB412"/>
  <c r="AC412"/>
  <c r="AD412"/>
  <c r="P413"/>
  <c r="Q413"/>
  <c r="R413"/>
  <c r="S413"/>
  <c r="T413"/>
  <c r="U413"/>
  <c r="V413"/>
  <c r="W413"/>
  <c r="X413"/>
  <c r="Y413"/>
  <c r="AA413"/>
  <c r="AB413"/>
  <c r="AC413"/>
  <c r="AD413"/>
  <c r="P414"/>
  <c r="Q414"/>
  <c r="R414"/>
  <c r="S414"/>
  <c r="T414"/>
  <c r="U414"/>
  <c r="V414"/>
  <c r="W414"/>
  <c r="X414"/>
  <c r="Y414"/>
  <c r="AA414"/>
  <c r="AB414"/>
  <c r="AC414"/>
  <c r="AD414"/>
  <c r="P415"/>
  <c r="Q415"/>
  <c r="R415"/>
  <c r="S415"/>
  <c r="T415"/>
  <c r="U415"/>
  <c r="V415"/>
  <c r="W415"/>
  <c r="X415"/>
  <c r="Y415"/>
  <c r="AA415"/>
  <c r="AB415"/>
  <c r="AC415"/>
  <c r="AD415"/>
  <c r="P416"/>
  <c r="Q416"/>
  <c r="R416"/>
  <c r="S416"/>
  <c r="T416"/>
  <c r="U416"/>
  <c r="V416"/>
  <c r="W416"/>
  <c r="X416"/>
  <c r="Y416"/>
  <c r="AA416"/>
  <c r="AB416"/>
  <c r="AC416"/>
  <c r="AD416"/>
  <c r="P417"/>
  <c r="Q417"/>
  <c r="R417"/>
  <c r="S417"/>
  <c r="T417"/>
  <c r="U417"/>
  <c r="V417"/>
  <c r="W417"/>
  <c r="X417"/>
  <c r="Y417"/>
  <c r="AA417"/>
  <c r="AB417"/>
  <c r="AC417"/>
  <c r="AD417"/>
  <c r="P418"/>
  <c r="Q418"/>
  <c r="R418"/>
  <c r="S418"/>
  <c r="T418"/>
  <c r="U418"/>
  <c r="V418"/>
  <c r="W418"/>
  <c r="X418"/>
  <c r="Y418"/>
  <c r="AA418"/>
  <c r="AB418"/>
  <c r="AC418"/>
  <c r="AD418"/>
  <c r="P419"/>
  <c r="Q419"/>
  <c r="R419"/>
  <c r="S419"/>
  <c r="T419"/>
  <c r="U419"/>
  <c r="V419"/>
  <c r="W419"/>
  <c r="X419"/>
  <c r="Y419"/>
  <c r="AA419"/>
  <c r="AB419"/>
  <c r="AC419"/>
  <c r="AD419"/>
  <c r="P420"/>
  <c r="Q420"/>
  <c r="R420"/>
  <c r="S420"/>
  <c r="T420"/>
  <c r="U420"/>
  <c r="V420"/>
  <c r="W420"/>
  <c r="X420"/>
  <c r="Y420"/>
  <c r="AA420"/>
  <c r="AB420"/>
  <c r="AC420"/>
  <c r="AD420"/>
  <c r="P421"/>
  <c r="Q421"/>
  <c r="R421"/>
  <c r="S421"/>
  <c r="T421"/>
  <c r="U421"/>
  <c r="V421"/>
  <c r="W421"/>
  <c r="X421"/>
  <c r="Y421"/>
  <c r="AA421"/>
  <c r="AB421"/>
  <c r="AC421"/>
  <c r="AD421"/>
  <c r="P422"/>
  <c r="Q422"/>
  <c r="R422"/>
  <c r="S422"/>
  <c r="T422"/>
  <c r="U422"/>
  <c r="V422"/>
  <c r="W422"/>
  <c r="X422"/>
  <c r="Y422"/>
  <c r="AA422"/>
  <c r="AB422"/>
  <c r="AC422"/>
  <c r="AD422"/>
  <c r="P423"/>
  <c r="Q423"/>
  <c r="R423"/>
  <c r="S423"/>
  <c r="T423"/>
  <c r="U423"/>
  <c r="V423"/>
  <c r="W423"/>
  <c r="X423"/>
  <c r="Y423"/>
  <c r="AA423"/>
  <c r="AB423"/>
  <c r="AC423"/>
  <c r="AD423"/>
  <c r="P424"/>
  <c r="Q424"/>
  <c r="R424"/>
  <c r="S424"/>
  <c r="T424"/>
  <c r="U424"/>
  <c r="V424"/>
  <c r="W424"/>
  <c r="X424"/>
  <c r="Y424"/>
  <c r="AA424"/>
  <c r="AB424"/>
  <c r="AC424"/>
  <c r="AD424"/>
  <c r="P425"/>
  <c r="Q425"/>
  <c r="R425"/>
  <c r="S425"/>
  <c r="T425"/>
  <c r="U425"/>
  <c r="V425"/>
  <c r="W425"/>
  <c r="X425"/>
  <c r="Y425"/>
  <c r="AA425"/>
  <c r="AB425"/>
  <c r="AC425"/>
  <c r="AD425"/>
  <c r="P426"/>
  <c r="Q426"/>
  <c r="R426"/>
  <c r="S426"/>
  <c r="T426"/>
  <c r="U426"/>
  <c r="V426"/>
  <c r="W426"/>
  <c r="X426"/>
  <c r="Y426"/>
  <c r="AA426"/>
  <c r="AB426"/>
  <c r="AC426"/>
  <c r="AD426"/>
  <c r="P427"/>
  <c r="Q427"/>
  <c r="R427"/>
  <c r="S427"/>
  <c r="T427"/>
  <c r="U427"/>
  <c r="V427"/>
  <c r="W427"/>
  <c r="X427"/>
  <c r="Y427"/>
  <c r="AA427"/>
  <c r="AB427"/>
  <c r="AC427"/>
  <c r="AD427"/>
  <c r="P428"/>
  <c r="Q428"/>
  <c r="R428"/>
  <c r="S428"/>
  <c r="T428"/>
  <c r="U428"/>
  <c r="V428"/>
  <c r="W428"/>
  <c r="X428"/>
  <c r="Y428"/>
  <c r="AA428"/>
  <c r="AB428"/>
  <c r="AC428"/>
  <c r="AD428"/>
  <c r="P429"/>
  <c r="Q429"/>
  <c r="R429"/>
  <c r="S429"/>
  <c r="T429"/>
  <c r="U429"/>
  <c r="V429"/>
  <c r="W429"/>
  <c r="X429"/>
  <c r="Y429"/>
  <c r="AA429"/>
  <c r="AB429"/>
  <c r="AC429"/>
  <c r="AD429"/>
  <c r="P430"/>
  <c r="Q430"/>
  <c r="R430"/>
  <c r="S430"/>
  <c r="T430"/>
  <c r="U430"/>
  <c r="V430"/>
  <c r="W430"/>
  <c r="X430"/>
  <c r="Y430"/>
  <c r="AA430"/>
  <c r="AB430"/>
  <c r="AC430"/>
  <c r="AD430"/>
  <c r="P431"/>
  <c r="Q431"/>
  <c r="R431"/>
  <c r="S431"/>
  <c r="T431"/>
  <c r="U431"/>
  <c r="V431"/>
  <c r="W431"/>
  <c r="X431"/>
  <c r="Y431"/>
  <c r="AA431"/>
  <c r="AB431"/>
  <c r="AC431"/>
  <c r="AD431"/>
  <c r="P432"/>
  <c r="Q432"/>
  <c r="R432"/>
  <c r="S432"/>
  <c r="T432"/>
  <c r="U432"/>
  <c r="V432"/>
  <c r="W432"/>
  <c r="X432"/>
  <c r="Y432"/>
  <c r="AA432"/>
  <c r="AB432"/>
  <c r="AC432"/>
  <c r="AD432"/>
  <c r="P433"/>
  <c r="Q433"/>
  <c r="R433"/>
  <c r="S433"/>
  <c r="T433"/>
  <c r="U433"/>
  <c r="V433"/>
  <c r="W433"/>
  <c r="X433"/>
  <c r="Y433"/>
  <c r="AA433"/>
  <c r="AB433"/>
  <c r="AC433"/>
  <c r="AD433"/>
  <c r="P434"/>
  <c r="Q434"/>
  <c r="R434"/>
  <c r="S434"/>
  <c r="T434"/>
  <c r="U434"/>
  <c r="V434"/>
  <c r="W434"/>
  <c r="X434"/>
  <c r="Y434"/>
  <c r="AA434"/>
  <c r="AB434"/>
  <c r="AC434"/>
  <c r="AD434"/>
  <c r="P435"/>
  <c r="Q435"/>
  <c r="R435"/>
  <c r="S435"/>
  <c r="T435"/>
  <c r="U435"/>
  <c r="V435"/>
  <c r="W435"/>
  <c r="X435"/>
  <c r="Y435"/>
  <c r="AA435"/>
  <c r="AB435"/>
  <c r="AC435"/>
  <c r="AD435"/>
  <c r="P436"/>
  <c r="Q436"/>
  <c r="R436"/>
  <c r="S436"/>
  <c r="T436"/>
  <c r="U436"/>
  <c r="V436"/>
  <c r="W436"/>
  <c r="X436"/>
  <c r="Y436"/>
  <c r="AA436"/>
  <c r="AB436"/>
  <c r="AC436"/>
  <c r="AD436"/>
  <c r="P437"/>
  <c r="Q437"/>
  <c r="R437"/>
  <c r="S437"/>
  <c r="T437"/>
  <c r="U437"/>
  <c r="V437"/>
  <c r="W437"/>
  <c r="X437"/>
  <c r="Y437"/>
  <c r="AA437"/>
  <c r="AB437"/>
  <c r="AC437"/>
  <c r="AD437"/>
  <c r="P438"/>
  <c r="Q438"/>
  <c r="R438"/>
  <c r="S438"/>
  <c r="T438"/>
  <c r="U438"/>
  <c r="V438"/>
  <c r="W438"/>
  <c r="X438"/>
  <c r="Y438"/>
  <c r="AA438"/>
  <c r="AB438"/>
  <c r="AC438"/>
  <c r="AD438"/>
  <c r="P439"/>
  <c r="Q439"/>
  <c r="R439"/>
  <c r="S439"/>
  <c r="T439"/>
  <c r="U439"/>
  <c r="V439"/>
  <c r="W439"/>
  <c r="X439"/>
  <c r="Y439"/>
  <c r="AA439"/>
  <c r="AB439"/>
  <c r="AC439"/>
  <c r="AD439"/>
  <c r="P440"/>
  <c r="Q440"/>
  <c r="R440"/>
  <c r="S440"/>
  <c r="T440"/>
  <c r="U440"/>
  <c r="V440"/>
  <c r="W440"/>
  <c r="X440"/>
  <c r="Y440"/>
  <c r="AA440"/>
  <c r="AB440"/>
  <c r="AC440"/>
  <c r="AD440"/>
  <c r="P441"/>
  <c r="Q441"/>
  <c r="R441"/>
  <c r="S441"/>
  <c r="T441"/>
  <c r="U441"/>
  <c r="V441"/>
  <c r="W441"/>
  <c r="X441"/>
  <c r="Y441"/>
  <c r="AA441"/>
  <c r="AB441"/>
  <c r="AC441"/>
  <c r="AD441"/>
  <c r="P442"/>
  <c r="Q442"/>
  <c r="R442"/>
  <c r="S442"/>
  <c r="T442"/>
  <c r="U442"/>
  <c r="V442"/>
  <c r="W442"/>
  <c r="X442"/>
  <c r="Y442"/>
  <c r="AA442"/>
  <c r="AB442"/>
  <c r="AC442"/>
  <c r="AD442"/>
  <c r="P443"/>
  <c r="Q443"/>
  <c r="R443"/>
  <c r="S443"/>
  <c r="T443"/>
  <c r="U443"/>
  <c r="V443"/>
  <c r="W443"/>
  <c r="X443"/>
  <c r="Y443"/>
  <c r="AA443"/>
  <c r="AB443"/>
  <c r="AC443"/>
  <c r="AD443"/>
  <c r="P444"/>
  <c r="Q444"/>
  <c r="R444"/>
  <c r="S444"/>
  <c r="T444"/>
  <c r="U444"/>
  <c r="V444"/>
  <c r="W444"/>
  <c r="X444"/>
  <c r="Y444"/>
  <c r="AA444"/>
  <c r="AB444"/>
  <c r="AC444"/>
  <c r="AD444"/>
  <c r="P445"/>
  <c r="Q445"/>
  <c r="R445"/>
  <c r="S445"/>
  <c r="T445"/>
  <c r="U445"/>
  <c r="V445"/>
  <c r="W445"/>
  <c r="X445"/>
  <c r="Y445"/>
  <c r="AA445"/>
  <c r="AB445"/>
  <c r="AC445"/>
  <c r="AD445"/>
  <c r="P446"/>
  <c r="Q446"/>
  <c r="R446"/>
  <c r="S446"/>
  <c r="T446"/>
  <c r="U446"/>
  <c r="V446"/>
  <c r="W446"/>
  <c r="X446"/>
  <c r="Y446"/>
  <c r="AA446"/>
  <c r="AB446"/>
  <c r="AC446"/>
  <c r="AD446"/>
  <c r="P447"/>
  <c r="Q447"/>
  <c r="R447"/>
  <c r="S447"/>
  <c r="T447"/>
  <c r="U447"/>
  <c r="V447"/>
  <c r="W447"/>
  <c r="X447"/>
  <c r="Y447"/>
  <c r="AA447"/>
  <c r="AB447"/>
  <c r="AC447"/>
  <c r="AD447"/>
  <c r="P448"/>
  <c r="Q448"/>
  <c r="R448"/>
  <c r="S448"/>
  <c r="T448"/>
  <c r="U448"/>
  <c r="V448"/>
  <c r="W448"/>
  <c r="X448"/>
  <c r="Y448"/>
  <c r="AA448"/>
  <c r="AB448"/>
  <c r="AC448"/>
  <c r="AD448"/>
  <c r="P449"/>
  <c r="Q449"/>
  <c r="R449"/>
  <c r="S449"/>
  <c r="T449"/>
  <c r="U449"/>
  <c r="V449"/>
  <c r="W449"/>
  <c r="X449"/>
  <c r="Y449"/>
  <c r="AA449"/>
  <c r="AB449"/>
  <c r="AC449"/>
  <c r="AD449"/>
  <c r="P450"/>
  <c r="Q450"/>
  <c r="R450"/>
  <c r="S450"/>
  <c r="T450"/>
  <c r="U450"/>
  <c r="V450"/>
  <c r="W450"/>
  <c r="X450"/>
  <c r="Y450"/>
  <c r="AA450"/>
  <c r="AB450"/>
  <c r="AC450"/>
  <c r="AD450"/>
  <c r="P451"/>
  <c r="Q451"/>
  <c r="R451"/>
  <c r="S451"/>
  <c r="T451"/>
  <c r="U451"/>
  <c r="V451"/>
  <c r="W451"/>
  <c r="X451"/>
  <c r="Y451"/>
  <c r="AA451"/>
  <c r="AB451"/>
  <c r="AC451"/>
  <c r="AD451"/>
  <c r="P452"/>
  <c r="Q452"/>
  <c r="R452"/>
  <c r="S452"/>
  <c r="T452"/>
  <c r="U452"/>
  <c r="V452"/>
  <c r="W452"/>
  <c r="X452"/>
  <c r="Y452"/>
  <c r="AA452"/>
  <c r="AB452"/>
  <c r="AC452"/>
  <c r="AD452"/>
  <c r="P453"/>
  <c r="Q453"/>
  <c r="R453"/>
  <c r="S453"/>
  <c r="T453"/>
  <c r="U453"/>
  <c r="V453"/>
  <c r="W453"/>
  <c r="X453"/>
  <c r="Y453"/>
  <c r="AA453"/>
  <c r="AB453"/>
  <c r="AC453"/>
  <c r="AD453"/>
  <c r="P454"/>
  <c r="Q454"/>
  <c r="R454"/>
  <c r="S454"/>
  <c r="T454"/>
  <c r="U454"/>
  <c r="V454"/>
  <c r="W454"/>
  <c r="X454"/>
  <c r="Y454"/>
  <c r="AA454"/>
  <c r="AB454"/>
  <c r="AC454"/>
  <c r="AD454"/>
  <c r="P455"/>
  <c r="Q455"/>
  <c r="R455"/>
  <c r="S455"/>
  <c r="T455"/>
  <c r="U455"/>
  <c r="V455"/>
  <c r="W455"/>
  <c r="X455"/>
  <c r="Y455"/>
  <c r="AA455"/>
  <c r="AB455"/>
  <c r="AC455"/>
  <c r="AD455"/>
  <c r="P456"/>
  <c r="Q456"/>
  <c r="R456"/>
  <c r="S456"/>
  <c r="T456"/>
  <c r="U456"/>
  <c r="V456"/>
  <c r="W456"/>
  <c r="X456"/>
  <c r="Y456"/>
  <c r="AA456"/>
  <c r="AB456"/>
  <c r="AC456"/>
  <c r="AD456"/>
  <c r="P457"/>
  <c r="Q457"/>
  <c r="R457"/>
  <c r="S457"/>
  <c r="T457"/>
  <c r="U457"/>
  <c r="V457"/>
  <c r="W457"/>
  <c r="X457"/>
  <c r="Y457"/>
  <c r="AA457"/>
  <c r="AB457"/>
  <c r="AC457"/>
  <c r="AD457"/>
  <c r="P458"/>
  <c r="Q458"/>
  <c r="R458"/>
  <c r="S458"/>
  <c r="T458"/>
  <c r="U458"/>
  <c r="V458"/>
  <c r="W458"/>
  <c r="X458"/>
  <c r="Y458"/>
  <c r="AA458"/>
  <c r="AB458"/>
  <c r="AC458"/>
  <c r="AD458"/>
  <c r="P459"/>
  <c r="Q459"/>
  <c r="R459"/>
  <c r="S459"/>
  <c r="T459"/>
  <c r="U459"/>
  <c r="V459"/>
  <c r="W459"/>
  <c r="X459"/>
  <c r="Y459"/>
  <c r="AA459"/>
  <c r="AB459"/>
  <c r="AC459"/>
  <c r="AD459"/>
  <c r="P460"/>
  <c r="Q460"/>
  <c r="R460"/>
  <c r="S460"/>
  <c r="T460"/>
  <c r="U460"/>
  <c r="V460"/>
  <c r="W460"/>
  <c r="X460"/>
  <c r="Y460"/>
  <c r="AA460"/>
  <c r="AB460"/>
  <c r="AC460"/>
  <c r="AD460"/>
  <c r="P461"/>
  <c r="Q461"/>
  <c r="R461"/>
  <c r="S461"/>
  <c r="T461"/>
  <c r="U461"/>
  <c r="V461"/>
  <c r="W461"/>
  <c r="X461"/>
  <c r="Y461"/>
  <c r="AA461"/>
  <c r="AB461"/>
  <c r="AC461"/>
  <c r="AD461"/>
  <c r="P462"/>
  <c r="Q462"/>
  <c r="R462"/>
  <c r="S462"/>
  <c r="T462"/>
  <c r="U462"/>
  <c r="V462"/>
  <c r="W462"/>
  <c r="X462"/>
  <c r="Y462"/>
  <c r="AA462"/>
  <c r="AB462"/>
  <c r="AC462"/>
  <c r="AD462"/>
  <c r="P463"/>
  <c r="Q463"/>
  <c r="R463"/>
  <c r="S463"/>
  <c r="T463"/>
  <c r="U463"/>
  <c r="V463"/>
  <c r="W463"/>
  <c r="X463"/>
  <c r="Y463"/>
  <c r="AA463"/>
  <c r="AB463"/>
  <c r="AC463"/>
  <c r="AD463"/>
  <c r="P464"/>
  <c r="Q464"/>
  <c r="R464"/>
  <c r="S464"/>
  <c r="T464"/>
  <c r="U464"/>
  <c r="V464"/>
  <c r="W464"/>
  <c r="X464"/>
  <c r="Y464"/>
  <c r="AA464"/>
  <c r="AB464"/>
  <c r="AC464"/>
  <c r="AD464"/>
  <c r="P465"/>
  <c r="Q465"/>
  <c r="R465"/>
  <c r="S465"/>
  <c r="T465"/>
  <c r="U465"/>
  <c r="V465"/>
  <c r="W465"/>
  <c r="X465"/>
  <c r="Y465"/>
  <c r="AA465"/>
  <c r="AB465"/>
  <c r="AC465"/>
  <c r="AD465"/>
  <c r="P466"/>
  <c r="Q466"/>
  <c r="R466"/>
  <c r="S466"/>
  <c r="T466"/>
  <c r="U466"/>
  <c r="V466"/>
  <c r="W466"/>
  <c r="X466"/>
  <c r="Y466"/>
  <c r="AA466"/>
  <c r="AB466"/>
  <c r="AC466"/>
  <c r="AD466"/>
  <c r="P467"/>
  <c r="Q467"/>
  <c r="R467"/>
  <c r="S467"/>
  <c r="T467"/>
  <c r="U467"/>
  <c r="V467"/>
  <c r="W467"/>
  <c r="X467"/>
  <c r="Y467"/>
  <c r="AA467"/>
  <c r="AB467"/>
  <c r="AC467"/>
  <c r="AD467"/>
  <c r="P468"/>
  <c r="Q468"/>
  <c r="R468"/>
  <c r="S468"/>
  <c r="T468"/>
  <c r="U468"/>
  <c r="V468"/>
  <c r="W468"/>
  <c r="X468"/>
  <c r="Y468"/>
  <c r="AA468"/>
  <c r="AB468"/>
  <c r="AC468"/>
  <c r="AD468"/>
  <c r="P469"/>
  <c r="Q469"/>
  <c r="R469"/>
  <c r="S469"/>
  <c r="T469"/>
  <c r="U469"/>
  <c r="V469"/>
  <c r="W469"/>
  <c r="X469"/>
  <c r="Y469"/>
  <c r="AA469"/>
  <c r="AB469"/>
  <c r="AC469"/>
  <c r="AD469"/>
  <c r="P470"/>
  <c r="Q470"/>
  <c r="R470"/>
  <c r="S470"/>
  <c r="T470"/>
  <c r="U470"/>
  <c r="V470"/>
  <c r="W470"/>
  <c r="X470"/>
  <c r="Y470"/>
  <c r="AA470"/>
  <c r="AB470"/>
  <c r="AC470"/>
  <c r="AD470"/>
  <c r="P471"/>
  <c r="Q471"/>
  <c r="R471"/>
  <c r="S471"/>
  <c r="T471"/>
  <c r="U471"/>
  <c r="V471"/>
  <c r="W471"/>
  <c r="X471"/>
  <c r="Y471"/>
  <c r="AA471"/>
  <c r="AB471"/>
  <c r="AC471"/>
  <c r="AD471"/>
  <c r="P472"/>
  <c r="Q472"/>
  <c r="R472"/>
  <c r="S472"/>
  <c r="T472"/>
  <c r="U472"/>
  <c r="V472"/>
  <c r="W472"/>
  <c r="X472"/>
  <c r="Y472"/>
  <c r="AA472"/>
  <c r="AB472"/>
  <c r="AC472"/>
  <c r="AD472"/>
  <c r="P473"/>
  <c r="Q473"/>
  <c r="R473"/>
  <c r="S473"/>
  <c r="T473"/>
  <c r="U473"/>
  <c r="V473"/>
  <c r="W473"/>
  <c r="X473"/>
  <c r="Y473"/>
  <c r="AA473"/>
  <c r="AB473"/>
  <c r="AC473"/>
  <c r="AD473"/>
  <c r="P474"/>
  <c r="Q474"/>
  <c r="R474"/>
  <c r="S474"/>
  <c r="T474"/>
  <c r="U474"/>
  <c r="V474"/>
  <c r="W474"/>
  <c r="X474"/>
  <c r="Y474"/>
  <c r="AA474"/>
  <c r="AB474"/>
  <c r="AC474"/>
  <c r="AD474"/>
  <c r="P475"/>
  <c r="Q475"/>
  <c r="R475"/>
  <c r="S475"/>
  <c r="T475"/>
  <c r="U475"/>
  <c r="V475"/>
  <c r="W475"/>
  <c r="X475"/>
  <c r="Y475"/>
  <c r="AA475"/>
  <c r="AB475"/>
  <c r="AC475"/>
  <c r="AD475"/>
  <c r="P476"/>
  <c r="Q476"/>
  <c r="R476"/>
  <c r="S476"/>
  <c r="T476"/>
  <c r="U476"/>
  <c r="V476"/>
  <c r="W476"/>
  <c r="X476"/>
  <c r="Y476"/>
  <c r="AA476"/>
  <c r="AB476"/>
  <c r="AC476"/>
  <c r="AD476"/>
  <c r="P477"/>
  <c r="Q477"/>
  <c r="R477"/>
  <c r="S477"/>
  <c r="T477"/>
  <c r="U477"/>
  <c r="V477"/>
  <c r="W477"/>
  <c r="X477"/>
  <c r="Y477"/>
  <c r="AA477"/>
  <c r="AB477"/>
  <c r="AC477"/>
  <c r="AD477"/>
  <c r="P478"/>
  <c r="Q478"/>
  <c r="R478"/>
  <c r="S478"/>
  <c r="T478"/>
  <c r="U478"/>
  <c r="V478"/>
  <c r="W478"/>
  <c r="X478"/>
  <c r="Y478"/>
  <c r="AA478"/>
  <c r="AB478"/>
  <c r="AC478"/>
  <c r="AD478"/>
  <c r="P479"/>
  <c r="Q479"/>
  <c r="R479"/>
  <c r="S479"/>
  <c r="T479"/>
  <c r="U479"/>
  <c r="V479"/>
  <c r="W479"/>
  <c r="X479"/>
  <c r="Y479"/>
  <c r="AA479"/>
  <c r="AB479"/>
  <c r="AC479"/>
  <c r="AD479"/>
  <c r="P480"/>
  <c r="Q480"/>
  <c r="R480"/>
  <c r="S480"/>
  <c r="T480"/>
  <c r="U480"/>
  <c r="V480"/>
  <c r="W480"/>
  <c r="X480"/>
  <c r="Y480"/>
  <c r="AA480"/>
  <c r="AB480"/>
  <c r="AC480"/>
  <c r="AD480"/>
  <c r="P481"/>
  <c r="Q481"/>
  <c r="R481"/>
  <c r="S481"/>
  <c r="T481"/>
  <c r="U481"/>
  <c r="V481"/>
  <c r="W481"/>
  <c r="X481"/>
  <c r="Y481"/>
  <c r="AA481"/>
  <c r="AB481"/>
  <c r="AC481"/>
  <c r="AD481"/>
  <c r="P482"/>
  <c r="Q482"/>
  <c r="R482"/>
  <c r="S482"/>
  <c r="T482"/>
  <c r="U482"/>
  <c r="V482"/>
  <c r="W482"/>
  <c r="X482"/>
  <c r="Y482"/>
  <c r="AA482"/>
  <c r="AB482"/>
  <c r="AC482"/>
  <c r="AD482"/>
  <c r="P483"/>
  <c r="Q483"/>
  <c r="R483"/>
  <c r="S483"/>
  <c r="T483"/>
  <c r="U483"/>
  <c r="V483"/>
  <c r="W483"/>
  <c r="X483"/>
  <c r="Y483"/>
  <c r="AA483"/>
  <c r="AB483"/>
  <c r="AC483"/>
  <c r="AD483"/>
  <c r="P484"/>
  <c r="Q484"/>
  <c r="R484"/>
  <c r="S484"/>
  <c r="T484"/>
  <c r="U484"/>
  <c r="V484"/>
  <c r="W484"/>
  <c r="X484"/>
  <c r="Y484"/>
  <c r="AA484"/>
  <c r="AB484"/>
  <c r="AC484"/>
  <c r="AD484"/>
  <c r="P485"/>
  <c r="Q485"/>
  <c r="R485"/>
  <c r="S485"/>
  <c r="T485"/>
  <c r="U485"/>
  <c r="V485"/>
  <c r="W485"/>
  <c r="X485"/>
  <c r="Y485"/>
  <c r="AA485"/>
  <c r="AB485"/>
  <c r="AC485"/>
  <c r="AD485"/>
  <c r="P486"/>
  <c r="Q486"/>
  <c r="R486"/>
  <c r="S486"/>
  <c r="T486"/>
  <c r="U486"/>
  <c r="V486"/>
  <c r="W486"/>
  <c r="X486"/>
  <c r="Y486"/>
  <c r="AA486"/>
  <c r="AB486"/>
  <c r="AC486"/>
  <c r="AD486"/>
  <c r="P487"/>
  <c r="Q487"/>
  <c r="R487"/>
  <c r="S487"/>
  <c r="T487"/>
  <c r="U487"/>
  <c r="V487"/>
  <c r="W487"/>
  <c r="X487"/>
  <c r="Y487"/>
  <c r="AA487"/>
  <c r="AB487"/>
  <c r="AC487"/>
  <c r="AD487"/>
  <c r="P488"/>
  <c r="Q488"/>
  <c r="R488"/>
  <c r="S488"/>
  <c r="T488"/>
  <c r="U488"/>
  <c r="V488"/>
  <c r="W488"/>
  <c r="X488"/>
  <c r="Y488"/>
  <c r="AA488"/>
  <c r="AB488"/>
  <c r="AC488"/>
  <c r="AD488"/>
  <c r="P489"/>
  <c r="Q489"/>
  <c r="R489"/>
  <c r="S489"/>
  <c r="T489"/>
  <c r="U489"/>
  <c r="V489"/>
  <c r="W489"/>
  <c r="X489"/>
  <c r="Y489"/>
  <c r="AA489"/>
  <c r="AB489"/>
  <c r="AC489"/>
  <c r="AD489"/>
  <c r="P490"/>
  <c r="Q490"/>
  <c r="R490"/>
  <c r="S490"/>
  <c r="T490"/>
  <c r="U490"/>
  <c r="V490"/>
  <c r="W490"/>
  <c r="X490"/>
  <c r="Y490"/>
  <c r="AA490"/>
  <c r="AB490"/>
  <c r="AC490"/>
  <c r="AD490"/>
  <c r="P491"/>
  <c r="Q491"/>
  <c r="R491"/>
  <c r="S491"/>
  <c r="T491"/>
  <c r="U491"/>
  <c r="V491"/>
  <c r="W491"/>
  <c r="X491"/>
  <c r="Y491"/>
  <c r="AA491"/>
  <c r="AB491"/>
  <c r="AC491"/>
  <c r="AD491"/>
  <c r="P492"/>
  <c r="Q492"/>
  <c r="R492"/>
  <c r="S492"/>
  <c r="T492"/>
  <c r="U492"/>
  <c r="V492"/>
  <c r="W492"/>
  <c r="X492"/>
  <c r="Y492"/>
  <c r="AA492"/>
  <c r="AB492"/>
  <c r="AC492"/>
  <c r="AD492"/>
  <c r="P493"/>
  <c r="Q493"/>
  <c r="R493"/>
  <c r="S493"/>
  <c r="T493"/>
  <c r="U493"/>
  <c r="V493"/>
  <c r="W493"/>
  <c r="X493"/>
  <c r="Y493"/>
  <c r="AA493"/>
  <c r="AB493"/>
  <c r="AC493"/>
  <c r="AD493"/>
  <c r="P494"/>
  <c r="Q494"/>
  <c r="R494"/>
  <c r="S494"/>
  <c r="T494"/>
  <c r="U494"/>
  <c r="V494"/>
  <c r="W494"/>
  <c r="X494"/>
  <c r="Y494"/>
  <c r="AA494"/>
  <c r="AB494"/>
  <c r="AC494"/>
  <c r="AD494"/>
  <c r="P495"/>
  <c r="Q495"/>
  <c r="R495"/>
  <c r="S495"/>
  <c r="T495"/>
  <c r="U495"/>
  <c r="V495"/>
  <c r="W495"/>
  <c r="X495"/>
  <c r="Y495"/>
  <c r="AA495"/>
  <c r="AB495"/>
  <c r="AC495"/>
  <c r="AD495"/>
  <c r="P496"/>
  <c r="Q496"/>
  <c r="R496"/>
  <c r="S496"/>
  <c r="T496"/>
  <c r="U496"/>
  <c r="V496"/>
  <c r="W496"/>
  <c r="X496"/>
  <c r="Y496"/>
  <c r="AA496"/>
  <c r="AB496"/>
  <c r="AC496"/>
  <c r="AD496"/>
  <c r="P497"/>
  <c r="Q497"/>
  <c r="R497"/>
  <c r="S497"/>
  <c r="T497"/>
  <c r="U497"/>
  <c r="V497"/>
  <c r="W497"/>
  <c r="X497"/>
  <c r="Y497"/>
  <c r="AA497"/>
  <c r="AB497"/>
  <c r="AC497"/>
  <c r="AD497"/>
  <c r="P498"/>
  <c r="Q498"/>
  <c r="R498"/>
  <c r="S498"/>
  <c r="T498"/>
  <c r="U498"/>
  <c r="V498"/>
  <c r="W498"/>
  <c r="X498"/>
  <c r="Y498"/>
  <c r="AA498"/>
  <c r="AB498"/>
  <c r="AC498"/>
  <c r="AD498"/>
  <c r="P499"/>
  <c r="Q499"/>
  <c r="R499"/>
  <c r="S499"/>
  <c r="T499"/>
  <c r="U499"/>
  <c r="V499"/>
  <c r="W499"/>
  <c r="X499"/>
  <c r="Y499"/>
  <c r="AA499"/>
  <c r="AB499"/>
  <c r="AC499"/>
  <c r="AD499"/>
  <c r="P500"/>
  <c r="Q500"/>
  <c r="R500"/>
  <c r="S500"/>
  <c r="T500"/>
  <c r="U500"/>
  <c r="V500"/>
  <c r="W500"/>
  <c r="X500"/>
  <c r="Y500"/>
  <c r="AA500"/>
  <c r="AB500"/>
  <c r="AC500"/>
  <c r="AD500"/>
  <c r="P501"/>
  <c r="Q501"/>
  <c r="R501"/>
  <c r="S501"/>
  <c r="T501"/>
  <c r="U501"/>
  <c r="V501"/>
  <c r="W501"/>
  <c r="X501"/>
  <c r="Y501"/>
  <c r="AA501"/>
  <c r="AB501"/>
  <c r="AC501"/>
  <c r="AD501"/>
  <c r="P502"/>
  <c r="Q502"/>
  <c r="R502"/>
  <c r="S502"/>
  <c r="T502"/>
  <c r="U502"/>
  <c r="V502"/>
  <c r="W502"/>
  <c r="X502"/>
  <c r="Y502"/>
  <c r="AA502"/>
  <c r="AB502"/>
  <c r="AC502"/>
  <c r="AD502"/>
  <c r="P503"/>
  <c r="Q503"/>
  <c r="R503"/>
  <c r="S503"/>
  <c r="T503"/>
  <c r="U503"/>
  <c r="V503"/>
  <c r="W503"/>
  <c r="X503"/>
  <c r="Y503"/>
  <c r="AA503"/>
  <c r="AB503"/>
  <c r="AC503"/>
  <c r="AD503"/>
  <c r="P504"/>
  <c r="Q504"/>
  <c r="R504"/>
  <c r="S504"/>
  <c r="T504"/>
  <c r="U504"/>
  <c r="V504"/>
  <c r="W504"/>
  <c r="X504"/>
  <c r="Y504"/>
  <c r="AA504"/>
  <c r="AB504"/>
  <c r="AC504"/>
  <c r="AD504"/>
  <c r="P505"/>
  <c r="Q505"/>
  <c r="R505"/>
  <c r="S505"/>
  <c r="T505"/>
  <c r="U505"/>
  <c r="V505"/>
  <c r="W505"/>
  <c r="X505"/>
  <c r="Y505"/>
  <c r="AA505"/>
  <c r="AB505"/>
  <c r="AC505"/>
  <c r="AD505"/>
  <c r="P506"/>
  <c r="Q506"/>
  <c r="R506"/>
  <c r="S506"/>
  <c r="T506"/>
  <c r="U506"/>
  <c r="V506"/>
  <c r="W506"/>
  <c r="X506"/>
  <c r="Y506"/>
  <c r="AA506"/>
  <c r="AB506"/>
  <c r="AC506"/>
  <c r="AD506"/>
  <c r="P507"/>
  <c r="Q507"/>
  <c r="R507"/>
  <c r="S507"/>
  <c r="T507"/>
  <c r="U507"/>
  <c r="V507"/>
  <c r="W507"/>
  <c r="X507"/>
  <c r="Y507"/>
  <c r="AA507"/>
  <c r="AB507"/>
  <c r="AC507"/>
  <c r="AD507"/>
  <c r="P508"/>
  <c r="Q508"/>
  <c r="R508"/>
  <c r="S508"/>
  <c r="T508"/>
  <c r="U508"/>
  <c r="V508"/>
  <c r="W508"/>
  <c r="X508"/>
  <c r="Y508"/>
  <c r="AA508"/>
  <c r="AB508"/>
  <c r="AC508"/>
  <c r="AD508"/>
  <c r="P509"/>
  <c r="Q509"/>
  <c r="R509"/>
  <c r="S509"/>
  <c r="T509"/>
  <c r="U509"/>
  <c r="V509"/>
  <c r="W509"/>
  <c r="X509"/>
  <c r="Y509"/>
  <c r="AA509"/>
  <c r="AB509"/>
  <c r="AC509"/>
  <c r="AD509"/>
  <c r="P510"/>
  <c r="Q510"/>
  <c r="R510"/>
  <c r="S510"/>
  <c r="T510"/>
  <c r="U510"/>
  <c r="V510"/>
  <c r="W510"/>
  <c r="X510"/>
  <c r="Y510"/>
  <c r="AA510"/>
  <c r="AB510"/>
  <c r="AC510"/>
  <c r="AD510"/>
  <c r="P511"/>
  <c r="Q511"/>
  <c r="R511"/>
  <c r="S511"/>
  <c r="T511"/>
  <c r="U511"/>
  <c r="V511"/>
  <c r="W511"/>
  <c r="X511"/>
  <c r="Y511"/>
  <c r="AA511"/>
  <c r="AB511"/>
  <c r="AC511"/>
  <c r="AD511"/>
  <c r="P512"/>
  <c r="Q512"/>
  <c r="R512"/>
  <c r="S512"/>
  <c r="T512"/>
  <c r="U512"/>
  <c r="V512"/>
  <c r="W512"/>
  <c r="X512"/>
  <c r="Y512"/>
  <c r="AA512"/>
  <c r="AB512"/>
  <c r="AC512"/>
  <c r="AD512"/>
  <c r="P513"/>
  <c r="Q513"/>
  <c r="R513"/>
  <c r="S513"/>
  <c r="T513"/>
  <c r="U513"/>
  <c r="V513"/>
  <c r="W513"/>
  <c r="X513"/>
  <c r="Y513"/>
  <c r="AA513"/>
  <c r="AB513"/>
  <c r="AC513"/>
  <c r="AD513"/>
  <c r="P514"/>
  <c r="Q514"/>
  <c r="R514"/>
  <c r="S514"/>
  <c r="T514"/>
  <c r="U514"/>
  <c r="V514"/>
  <c r="W514"/>
  <c r="X514"/>
  <c r="Y514"/>
  <c r="AA514"/>
  <c r="AB514"/>
  <c r="AC514"/>
  <c r="AD514"/>
  <c r="P515"/>
  <c r="Q515"/>
  <c r="R515"/>
  <c r="S515"/>
  <c r="T515"/>
  <c r="U515"/>
  <c r="V515"/>
  <c r="W515"/>
  <c r="X515"/>
  <c r="Y515"/>
  <c r="AA515"/>
  <c r="AB515"/>
  <c r="AC515"/>
  <c r="AD515"/>
  <c r="P516"/>
  <c r="Q516"/>
  <c r="R516"/>
  <c r="S516"/>
  <c r="T516"/>
  <c r="U516"/>
  <c r="V516"/>
  <c r="W516"/>
  <c r="X516"/>
  <c r="Y516"/>
  <c r="AA516"/>
  <c r="AB516"/>
  <c r="AC516"/>
  <c r="AD516"/>
  <c r="P517"/>
  <c r="Q517"/>
  <c r="R517"/>
  <c r="S517"/>
  <c r="T517"/>
  <c r="U517"/>
  <c r="V517"/>
  <c r="W517"/>
  <c r="X517"/>
  <c r="Y517"/>
  <c r="AA517"/>
  <c r="AB517"/>
  <c r="AC517"/>
  <c r="AD517"/>
  <c r="P518"/>
  <c r="Q518"/>
  <c r="R518"/>
  <c r="S518"/>
  <c r="T518"/>
  <c r="U518"/>
  <c r="V518"/>
  <c r="W518"/>
  <c r="X518"/>
  <c r="Y518"/>
  <c r="AA518"/>
  <c r="AB518"/>
  <c r="AC518"/>
  <c r="AD518"/>
  <c r="P519"/>
  <c r="Q519"/>
  <c r="R519"/>
  <c r="S519"/>
  <c r="T519"/>
  <c r="U519"/>
  <c r="V519"/>
  <c r="W519"/>
  <c r="X519"/>
  <c r="Y519"/>
  <c r="AA519"/>
  <c r="AB519"/>
  <c r="AC519"/>
  <c r="AD519"/>
  <c r="P520"/>
  <c r="Q520"/>
  <c r="R520"/>
  <c r="S520"/>
  <c r="T520"/>
  <c r="U520"/>
  <c r="V520"/>
  <c r="W520"/>
  <c r="X520"/>
  <c r="Y520"/>
  <c r="AA520"/>
  <c r="AB520"/>
  <c r="AC520"/>
  <c r="AD520"/>
  <c r="P521"/>
  <c r="Q521"/>
  <c r="R521"/>
  <c r="S521"/>
  <c r="T521"/>
  <c r="U521"/>
  <c r="V521"/>
  <c r="W521"/>
  <c r="X521"/>
  <c r="Y521"/>
  <c r="AA521"/>
  <c r="AB521"/>
  <c r="AC521"/>
  <c r="AD521"/>
  <c r="P522"/>
  <c r="Q522"/>
  <c r="R522"/>
  <c r="S522"/>
  <c r="T522"/>
  <c r="U522"/>
  <c r="V522"/>
  <c r="W522"/>
  <c r="X522"/>
  <c r="Y522"/>
  <c r="AA522"/>
  <c r="AB522"/>
  <c r="AC522"/>
  <c r="AD522"/>
  <c r="P523"/>
  <c r="Q523"/>
  <c r="R523"/>
  <c r="S523"/>
  <c r="T523"/>
  <c r="U523"/>
  <c r="V523"/>
  <c r="W523"/>
  <c r="X523"/>
  <c r="Y523"/>
  <c r="AA523"/>
  <c r="AB523"/>
  <c r="AC523"/>
  <c r="AD523"/>
  <c r="P524"/>
  <c r="Q524"/>
  <c r="R524"/>
  <c r="S524"/>
  <c r="T524"/>
  <c r="U524"/>
  <c r="V524"/>
  <c r="W524"/>
  <c r="X524"/>
  <c r="Y524"/>
  <c r="AA524"/>
  <c r="AB524"/>
  <c r="AC524"/>
  <c r="AD524"/>
  <c r="P525"/>
  <c r="Q525"/>
  <c r="R525"/>
  <c r="S525"/>
  <c r="T525"/>
  <c r="U525"/>
  <c r="V525"/>
  <c r="W525"/>
  <c r="X525"/>
  <c r="Y525"/>
  <c r="AA525"/>
  <c r="AB525"/>
  <c r="AC525"/>
  <c r="AD525"/>
  <c r="P526"/>
  <c r="Q526"/>
  <c r="R526"/>
  <c r="S526"/>
  <c r="T526"/>
  <c r="U526"/>
  <c r="V526"/>
  <c r="W526"/>
  <c r="X526"/>
  <c r="Y526"/>
  <c r="AA526"/>
  <c r="AB526"/>
  <c r="AC526"/>
  <c r="AD526"/>
  <c r="P527"/>
  <c r="Q527"/>
  <c r="R527"/>
  <c r="S527"/>
  <c r="T527"/>
  <c r="U527"/>
  <c r="V527"/>
  <c r="W527"/>
  <c r="X527"/>
  <c r="Y527"/>
  <c r="AA527"/>
  <c r="AB527"/>
  <c r="AC527"/>
  <c r="AD527"/>
  <c r="P528"/>
  <c r="Q528"/>
  <c r="R528"/>
  <c r="S528"/>
  <c r="T528"/>
  <c r="U528"/>
  <c r="V528"/>
  <c r="W528"/>
  <c r="X528"/>
  <c r="Y528"/>
  <c r="AA528"/>
  <c r="AB528"/>
  <c r="AC528"/>
  <c r="AD528"/>
  <c r="P529"/>
  <c r="Q529"/>
  <c r="R529"/>
  <c r="S529"/>
  <c r="T529"/>
  <c r="U529"/>
  <c r="V529"/>
  <c r="W529"/>
  <c r="X529"/>
  <c r="Y529"/>
  <c r="AA529"/>
  <c r="AB529"/>
  <c r="AC529"/>
  <c r="AD529"/>
  <c r="P530"/>
  <c r="Q530"/>
  <c r="R530"/>
  <c r="S530"/>
  <c r="T530"/>
  <c r="U530"/>
  <c r="V530"/>
  <c r="W530"/>
  <c r="X530"/>
  <c r="Y530"/>
  <c r="AA530"/>
  <c r="AB530"/>
  <c r="AC530"/>
  <c r="AD530"/>
  <c r="P531"/>
  <c r="Q531"/>
  <c r="R531"/>
  <c r="S531"/>
  <c r="T531"/>
  <c r="U531"/>
  <c r="V531"/>
  <c r="W531"/>
  <c r="X531"/>
  <c r="Y531"/>
  <c r="AA531"/>
  <c r="AB531"/>
  <c r="AC531"/>
  <c r="AD531"/>
  <c r="P532"/>
  <c r="Q532"/>
  <c r="R532"/>
  <c r="S532"/>
  <c r="T532"/>
  <c r="U532"/>
  <c r="V532"/>
  <c r="W532"/>
  <c r="X532"/>
  <c r="Y532"/>
  <c r="AA532"/>
  <c r="AB532"/>
  <c r="AC532"/>
  <c r="AD532"/>
  <c r="P533"/>
  <c r="Q533"/>
  <c r="R533"/>
  <c r="S533"/>
  <c r="T533"/>
  <c r="U533"/>
  <c r="V533"/>
  <c r="W533"/>
  <c r="X533"/>
  <c r="Y533"/>
  <c r="AA533"/>
  <c r="AB533"/>
  <c r="AC533"/>
  <c r="AD533"/>
  <c r="P534"/>
  <c r="Q534"/>
  <c r="R534"/>
  <c r="S534"/>
  <c r="T534"/>
  <c r="U534"/>
  <c r="V534"/>
  <c r="W534"/>
  <c r="X534"/>
  <c r="Y534"/>
  <c r="AA534"/>
  <c r="AB534"/>
  <c r="AC534"/>
  <c r="AD534"/>
  <c r="P535"/>
  <c r="Q535"/>
  <c r="R535"/>
  <c r="S535"/>
  <c r="T535"/>
  <c r="U535"/>
  <c r="V535"/>
  <c r="W535"/>
  <c r="X535"/>
  <c r="Y535"/>
  <c r="AA535"/>
  <c r="AB535"/>
  <c r="AC535"/>
  <c r="AD535"/>
  <c r="P536"/>
  <c r="Q536"/>
  <c r="R536"/>
  <c r="S536"/>
  <c r="T536"/>
  <c r="U536"/>
  <c r="V536"/>
  <c r="W536"/>
  <c r="X536"/>
  <c r="Y536"/>
  <c r="AA536"/>
  <c r="AB536"/>
  <c r="AC536"/>
  <c r="AD536"/>
  <c r="P537"/>
  <c r="Q537"/>
  <c r="R537"/>
  <c r="S537"/>
  <c r="T537"/>
  <c r="U537"/>
  <c r="V537"/>
  <c r="W537"/>
  <c r="X537"/>
  <c r="Y537"/>
  <c r="AA537"/>
  <c r="AB537"/>
  <c r="AC537"/>
  <c r="AD537"/>
  <c r="P538"/>
  <c r="Q538"/>
  <c r="R538"/>
  <c r="S538"/>
  <c r="T538"/>
  <c r="U538"/>
  <c r="V538"/>
  <c r="W538"/>
  <c r="X538"/>
  <c r="Y538"/>
  <c r="AA538"/>
  <c r="AB538"/>
  <c r="AC538"/>
  <c r="AD538"/>
  <c r="P539"/>
  <c r="Q539"/>
  <c r="R539"/>
  <c r="S539"/>
  <c r="T539"/>
  <c r="U539"/>
  <c r="V539"/>
  <c r="W539"/>
  <c r="X539"/>
  <c r="Y539"/>
  <c r="AA539"/>
  <c r="AB539"/>
  <c r="AC539"/>
  <c r="AD539"/>
  <c r="P540"/>
  <c r="Q540"/>
  <c r="R540"/>
  <c r="S540"/>
  <c r="T540"/>
  <c r="U540"/>
  <c r="V540"/>
  <c r="W540"/>
  <c r="X540"/>
  <c r="Y540"/>
  <c r="AA540"/>
  <c r="AB540"/>
  <c r="AC540"/>
  <c r="AD540"/>
  <c r="P541"/>
  <c r="Q541"/>
  <c r="R541"/>
  <c r="S541"/>
  <c r="T541"/>
  <c r="U541"/>
  <c r="V541"/>
  <c r="W541"/>
  <c r="X541"/>
  <c r="Y541"/>
  <c r="AA541"/>
  <c r="AB541"/>
  <c r="AC541"/>
  <c r="AD541"/>
  <c r="P542"/>
  <c r="Q542"/>
  <c r="R542"/>
  <c r="S542"/>
  <c r="T542"/>
  <c r="U542"/>
  <c r="V542"/>
  <c r="W542"/>
  <c r="X542"/>
  <c r="Y542"/>
  <c r="AA542"/>
  <c r="AB542"/>
  <c r="AC542"/>
  <c r="AD542"/>
  <c r="P543"/>
  <c r="Q543"/>
  <c r="R543"/>
  <c r="S543"/>
  <c r="T543"/>
  <c r="U543"/>
  <c r="V543"/>
  <c r="W543"/>
  <c r="X543"/>
  <c r="Y543"/>
  <c r="AA543"/>
  <c r="AB543"/>
  <c r="AC543"/>
  <c r="AD543"/>
  <c r="P544"/>
  <c r="Q544"/>
  <c r="R544"/>
  <c r="S544"/>
  <c r="T544"/>
  <c r="U544"/>
  <c r="V544"/>
  <c r="W544"/>
  <c r="X544"/>
  <c r="Y544"/>
  <c r="AA544"/>
  <c r="AB544"/>
  <c r="AC544"/>
  <c r="AD544"/>
  <c r="P545"/>
  <c r="Q545"/>
  <c r="R545"/>
  <c r="S545"/>
  <c r="T545"/>
  <c r="U545"/>
  <c r="V545"/>
  <c r="W545"/>
  <c r="X545"/>
  <c r="Y545"/>
  <c r="AA545"/>
  <c r="AB545"/>
  <c r="AC545"/>
  <c r="AD545"/>
  <c r="P546"/>
  <c r="Q546"/>
  <c r="R546"/>
  <c r="S546"/>
  <c r="T546"/>
  <c r="U546"/>
  <c r="V546"/>
  <c r="W546"/>
  <c r="X546"/>
  <c r="Y546"/>
  <c r="AA546"/>
  <c r="AB546"/>
  <c r="AC546"/>
  <c r="AD546"/>
  <c r="P547"/>
  <c r="Q547"/>
  <c r="R547"/>
  <c r="S547"/>
  <c r="T547"/>
  <c r="U547"/>
  <c r="V547"/>
  <c r="W547"/>
  <c r="X547"/>
  <c r="Y547"/>
  <c r="AA547"/>
  <c r="AB547"/>
  <c r="AC547"/>
  <c r="AD547"/>
  <c r="P548"/>
  <c r="Q548"/>
  <c r="R548"/>
  <c r="S548"/>
  <c r="T548"/>
  <c r="U548"/>
  <c r="V548"/>
  <c r="W548"/>
  <c r="X548"/>
  <c r="Y548"/>
  <c r="AA548"/>
  <c r="AB548"/>
  <c r="AC548"/>
  <c r="AD548"/>
  <c r="P549"/>
  <c r="Q549"/>
  <c r="R549"/>
  <c r="S549"/>
  <c r="T549"/>
  <c r="U549"/>
  <c r="V549"/>
  <c r="W549"/>
  <c r="X549"/>
  <c r="Y549"/>
  <c r="AA549"/>
  <c r="AB549"/>
  <c r="AC549"/>
  <c r="AD549"/>
  <c r="P550"/>
  <c r="Q550"/>
  <c r="R550"/>
  <c r="S550"/>
  <c r="T550"/>
  <c r="U550"/>
  <c r="V550"/>
  <c r="W550"/>
  <c r="X550"/>
  <c r="Y550"/>
  <c r="AA550"/>
  <c r="AB550"/>
  <c r="AC550"/>
  <c r="AD550"/>
  <c r="P551"/>
  <c r="Q551"/>
  <c r="R551"/>
  <c r="S551"/>
  <c r="T551"/>
  <c r="U551"/>
  <c r="V551"/>
  <c r="W551"/>
  <c r="X551"/>
  <c r="Y551"/>
  <c r="AA551"/>
  <c r="AB551"/>
  <c r="AC551"/>
  <c r="AD551"/>
  <c r="P552"/>
  <c r="Q552"/>
  <c r="R552"/>
  <c r="S552"/>
  <c r="T552"/>
  <c r="U552"/>
  <c r="V552"/>
  <c r="W552"/>
  <c r="X552"/>
  <c r="Y552"/>
  <c r="AA552"/>
  <c r="AB552"/>
  <c r="AC552"/>
  <c r="AD552"/>
  <c r="P553"/>
  <c r="Q553"/>
  <c r="R553"/>
  <c r="S553"/>
  <c r="T553"/>
  <c r="U553"/>
  <c r="V553"/>
  <c r="W553"/>
  <c r="X553"/>
  <c r="Y553"/>
  <c r="AA553"/>
  <c r="AB553"/>
  <c r="AC553"/>
  <c r="AD553"/>
  <c r="P554"/>
  <c r="Q554"/>
  <c r="R554"/>
  <c r="S554"/>
  <c r="T554"/>
  <c r="U554"/>
  <c r="V554"/>
  <c r="W554"/>
  <c r="X554"/>
  <c r="Y554"/>
  <c r="AA554"/>
  <c r="AB554"/>
  <c r="AC554"/>
  <c r="AD554"/>
  <c r="P555"/>
  <c r="Q555"/>
  <c r="R555"/>
  <c r="S555"/>
  <c r="T555"/>
  <c r="U555"/>
  <c r="V555"/>
  <c r="W555"/>
  <c r="X555"/>
  <c r="Y555"/>
  <c r="AA555"/>
  <c r="AB555"/>
  <c r="AC555"/>
  <c r="AD555"/>
  <c r="P556"/>
  <c r="Q556"/>
  <c r="R556"/>
  <c r="S556"/>
  <c r="T556"/>
  <c r="U556"/>
  <c r="V556"/>
  <c r="W556"/>
  <c r="X556"/>
  <c r="Y556"/>
  <c r="AA556"/>
  <c r="AB556"/>
  <c r="AC556"/>
  <c r="AD556"/>
  <c r="P557"/>
  <c r="Q557"/>
  <c r="R557"/>
  <c r="S557"/>
  <c r="T557"/>
  <c r="U557"/>
  <c r="V557"/>
  <c r="W557"/>
  <c r="X557"/>
  <c r="Y557"/>
  <c r="AA557"/>
  <c r="AB557"/>
  <c r="AC557"/>
  <c r="AD557"/>
  <c r="P558"/>
  <c r="Q558"/>
  <c r="R558"/>
  <c r="S558"/>
  <c r="T558"/>
  <c r="U558"/>
  <c r="V558"/>
  <c r="W558"/>
  <c r="X558"/>
  <c r="Y558"/>
  <c r="AA558"/>
  <c r="AB558"/>
  <c r="AC558"/>
  <c r="AD558"/>
  <c r="P559"/>
  <c r="Q559"/>
  <c r="R559"/>
  <c r="S559"/>
  <c r="T559"/>
  <c r="U559"/>
  <c r="V559"/>
  <c r="W559"/>
  <c r="X559"/>
  <c r="Y559"/>
  <c r="AA559"/>
  <c r="AB559"/>
  <c r="AC559"/>
  <c r="AD559"/>
  <c r="P560"/>
  <c r="Q560"/>
  <c r="R560"/>
  <c r="S560"/>
  <c r="T560"/>
  <c r="U560"/>
  <c r="V560"/>
  <c r="W560"/>
  <c r="X560"/>
  <c r="Y560"/>
  <c r="AA560"/>
  <c r="AB560"/>
  <c r="AC560"/>
  <c r="AD560"/>
  <c r="P561"/>
  <c r="Q561"/>
  <c r="R561"/>
  <c r="S561"/>
  <c r="T561"/>
  <c r="U561"/>
  <c r="V561"/>
  <c r="W561"/>
  <c r="X561"/>
  <c r="Y561"/>
  <c r="AA561"/>
  <c r="AB561"/>
  <c r="AC561"/>
  <c r="AD561"/>
  <c r="P562"/>
  <c r="Q562"/>
  <c r="R562"/>
  <c r="S562"/>
  <c r="T562"/>
  <c r="U562"/>
  <c r="V562"/>
  <c r="W562"/>
  <c r="X562"/>
  <c r="Y562"/>
  <c r="AA562"/>
  <c r="AB562"/>
  <c r="AC562"/>
  <c r="AD562"/>
  <c r="P563"/>
  <c r="Q563"/>
  <c r="R563"/>
  <c r="S563"/>
  <c r="T563"/>
  <c r="U563"/>
  <c r="V563"/>
  <c r="W563"/>
  <c r="X563"/>
  <c r="Y563"/>
  <c r="AA563"/>
  <c r="AB563"/>
  <c r="AC563"/>
  <c r="AD563"/>
  <c r="P564"/>
  <c r="Q564"/>
  <c r="R564"/>
  <c r="S564"/>
  <c r="T564"/>
  <c r="U564"/>
  <c r="V564"/>
  <c r="W564"/>
  <c r="X564"/>
  <c r="Y564"/>
  <c r="AA564"/>
  <c r="AB564"/>
  <c r="AC564"/>
  <c r="AD564"/>
  <c r="P565"/>
  <c r="Q565"/>
  <c r="R565"/>
  <c r="S565"/>
  <c r="T565"/>
  <c r="U565"/>
  <c r="V565"/>
  <c r="W565"/>
  <c r="X565"/>
  <c r="Y565"/>
  <c r="AA565"/>
  <c r="AB565"/>
  <c r="AC565"/>
  <c r="AD565"/>
  <c r="P566"/>
  <c r="Q566"/>
  <c r="R566"/>
  <c r="S566"/>
  <c r="T566"/>
  <c r="U566"/>
  <c r="V566"/>
  <c r="W566"/>
  <c r="X566"/>
  <c r="Y566"/>
  <c r="AA566"/>
  <c r="AB566"/>
  <c r="AC566"/>
  <c r="AD566"/>
  <c r="P567"/>
  <c r="Q567"/>
  <c r="R567"/>
  <c r="S567"/>
  <c r="T567"/>
  <c r="U567"/>
  <c r="V567"/>
  <c r="W567"/>
  <c r="X567"/>
  <c r="Y567"/>
  <c r="AA567"/>
  <c r="AB567"/>
  <c r="AC567"/>
  <c r="AD567"/>
  <c r="P568"/>
  <c r="Q568"/>
  <c r="R568"/>
  <c r="S568"/>
  <c r="T568"/>
  <c r="U568"/>
  <c r="V568"/>
  <c r="W568"/>
  <c r="X568"/>
  <c r="Y568"/>
  <c r="AA568"/>
  <c r="AB568"/>
  <c r="AC568"/>
  <c r="AD568"/>
  <c r="P569"/>
  <c r="Q569"/>
  <c r="R569"/>
  <c r="S569"/>
  <c r="T569"/>
  <c r="U569"/>
  <c r="V569"/>
  <c r="W569"/>
  <c r="X569"/>
  <c r="Y569"/>
  <c r="AA569"/>
  <c r="AB569"/>
  <c r="AC569"/>
  <c r="AD569"/>
  <c r="P570"/>
  <c r="Q570"/>
  <c r="R570"/>
  <c r="S570"/>
  <c r="T570"/>
  <c r="U570"/>
  <c r="V570"/>
  <c r="W570"/>
  <c r="X570"/>
  <c r="Y570"/>
  <c r="AA570"/>
  <c r="AB570"/>
  <c r="AC570"/>
  <c r="AD570"/>
  <c r="P571"/>
  <c r="Q571"/>
  <c r="R571"/>
  <c r="S571"/>
  <c r="T571"/>
  <c r="U571"/>
  <c r="V571"/>
  <c r="W571"/>
  <c r="X571"/>
  <c r="Y571"/>
  <c r="AA571"/>
  <c r="AB571"/>
  <c r="AC571"/>
  <c r="AD571"/>
  <c r="P572"/>
  <c r="Q572"/>
  <c r="R572"/>
  <c r="S572"/>
  <c r="T572"/>
  <c r="U572"/>
  <c r="V572"/>
  <c r="W572"/>
  <c r="X572"/>
  <c r="Y572"/>
  <c r="AA572"/>
  <c r="AB572"/>
  <c r="AC572"/>
  <c r="AD572"/>
  <c r="P573"/>
  <c r="Q573"/>
  <c r="R573"/>
  <c r="S573"/>
  <c r="T573"/>
  <c r="U573"/>
  <c r="V573"/>
  <c r="W573"/>
  <c r="X573"/>
  <c r="Y573"/>
  <c r="AA573"/>
  <c r="AB573"/>
  <c r="AC573"/>
  <c r="AD573"/>
  <c r="P574"/>
  <c r="Q574"/>
  <c r="R574"/>
  <c r="S574"/>
  <c r="T574"/>
  <c r="U574"/>
  <c r="V574"/>
  <c r="W574"/>
  <c r="X574"/>
  <c r="Y574"/>
  <c r="AA574"/>
  <c r="AB574"/>
  <c r="AC574"/>
  <c r="AD574"/>
  <c r="P575"/>
  <c r="Q575"/>
  <c r="R575"/>
  <c r="S575"/>
  <c r="T575"/>
  <c r="U575"/>
  <c r="V575"/>
  <c r="W575"/>
  <c r="X575"/>
  <c r="Y575"/>
  <c r="AA575"/>
  <c r="AB575"/>
  <c r="AC575"/>
  <c r="AD575"/>
  <c r="P576"/>
  <c r="Q576"/>
  <c r="R576"/>
  <c r="S576"/>
  <c r="T576"/>
  <c r="U576"/>
  <c r="V576"/>
  <c r="W576"/>
  <c r="X576"/>
  <c r="Y576"/>
  <c r="AA576"/>
  <c r="AB576"/>
  <c r="AC576"/>
  <c r="AD576"/>
  <c r="P577"/>
  <c r="Q577"/>
  <c r="R577"/>
  <c r="S577"/>
  <c r="T577"/>
  <c r="U577"/>
  <c r="V577"/>
  <c r="W577"/>
  <c r="X577"/>
  <c r="Y577"/>
  <c r="AA577"/>
  <c r="AB577"/>
  <c r="AC577"/>
  <c r="AD577"/>
  <c r="P578"/>
  <c r="Q578"/>
  <c r="R578"/>
  <c r="S578"/>
  <c r="T578"/>
  <c r="U578"/>
  <c r="V578"/>
  <c r="W578"/>
  <c r="X578"/>
  <c r="Y578"/>
  <c r="AA578"/>
  <c r="AB578"/>
  <c r="AC578"/>
  <c r="AD578"/>
  <c r="P579"/>
  <c r="Q579"/>
  <c r="R579"/>
  <c r="S579"/>
  <c r="T579"/>
  <c r="U579"/>
  <c r="V579"/>
  <c r="W579"/>
  <c r="X579"/>
  <c r="Y579"/>
  <c r="AA579"/>
  <c r="AB579"/>
  <c r="AC579"/>
  <c r="AD579"/>
  <c r="P580"/>
  <c r="Q580"/>
  <c r="R580"/>
  <c r="S580"/>
  <c r="T580"/>
  <c r="U580"/>
  <c r="V580"/>
  <c r="W580"/>
  <c r="X580"/>
  <c r="Y580"/>
  <c r="AA580"/>
  <c r="AB580"/>
  <c r="AC580"/>
  <c r="AD580"/>
  <c r="P581"/>
  <c r="Q581"/>
  <c r="R581"/>
  <c r="S581"/>
  <c r="T581"/>
  <c r="U581"/>
  <c r="V581"/>
  <c r="W581"/>
  <c r="X581"/>
  <c r="Y581"/>
  <c r="AA581"/>
  <c r="AB581"/>
  <c r="AC581"/>
  <c r="AD581"/>
  <c r="P582"/>
  <c r="Q582"/>
  <c r="R582"/>
  <c r="S582"/>
  <c r="T582"/>
  <c r="U582"/>
  <c r="V582"/>
  <c r="W582"/>
  <c r="X582"/>
  <c r="Y582"/>
  <c r="AA582"/>
  <c r="AB582"/>
  <c r="AC582"/>
  <c r="AD582"/>
  <c r="P583"/>
  <c r="Q583"/>
  <c r="R583"/>
  <c r="S583"/>
  <c r="T583"/>
  <c r="U583"/>
  <c r="V583"/>
  <c r="W583"/>
  <c r="X583"/>
  <c r="Y583"/>
  <c r="AA583"/>
  <c r="AB583"/>
  <c r="AC583"/>
  <c r="AD583"/>
  <c r="P584"/>
  <c r="Q584"/>
  <c r="R584"/>
  <c r="S584"/>
  <c r="T584"/>
  <c r="U584"/>
  <c r="V584"/>
  <c r="W584"/>
  <c r="X584"/>
  <c r="Y584"/>
  <c r="AA584"/>
  <c r="AB584"/>
  <c r="AC584"/>
  <c r="AD584"/>
  <c r="P585"/>
  <c r="Q585"/>
  <c r="R585"/>
  <c r="S585"/>
  <c r="T585"/>
  <c r="U585"/>
  <c r="V585"/>
  <c r="W585"/>
  <c r="X585"/>
  <c r="Y585"/>
  <c r="AA585"/>
  <c r="AB585"/>
  <c r="AC585"/>
  <c r="AD585"/>
  <c r="P586"/>
  <c r="Q586"/>
  <c r="R586"/>
  <c r="S586"/>
  <c r="T586"/>
  <c r="U586"/>
  <c r="V586"/>
  <c r="W586"/>
  <c r="X586"/>
  <c r="Y586"/>
  <c r="AA586"/>
  <c r="AB586"/>
  <c r="AC586"/>
  <c r="AD586"/>
  <c r="P587"/>
  <c r="Q587"/>
  <c r="R587"/>
  <c r="S587"/>
  <c r="T587"/>
  <c r="U587"/>
  <c r="V587"/>
  <c r="W587"/>
  <c r="X587"/>
  <c r="Y587"/>
  <c r="AA587"/>
  <c r="AB587"/>
  <c r="AC587"/>
  <c r="AD587"/>
  <c r="P588"/>
  <c r="Q588"/>
  <c r="R588"/>
  <c r="S588"/>
  <c r="T588"/>
  <c r="U588"/>
  <c r="V588"/>
  <c r="W588"/>
  <c r="X588"/>
  <c r="Y588"/>
  <c r="AA588"/>
  <c r="AB588"/>
  <c r="AC588"/>
  <c r="AD588"/>
  <c r="P589"/>
  <c r="Q589"/>
  <c r="R589"/>
  <c r="S589"/>
  <c r="T589"/>
  <c r="U589"/>
  <c r="V589"/>
  <c r="W589"/>
  <c r="X589"/>
  <c r="Y589"/>
  <c r="AA589"/>
  <c r="AB589"/>
  <c r="AC589"/>
  <c r="AD589"/>
  <c r="P590"/>
  <c r="Q590"/>
  <c r="R590"/>
  <c r="S590"/>
  <c r="T590"/>
  <c r="U590"/>
  <c r="V590"/>
  <c r="W590"/>
  <c r="X590"/>
  <c r="Y590"/>
  <c r="AA590"/>
  <c r="AB590"/>
  <c r="AC590"/>
  <c r="AD590"/>
  <c r="P591"/>
  <c r="Q591"/>
  <c r="R591"/>
  <c r="S591"/>
  <c r="T591"/>
  <c r="U591"/>
  <c r="V591"/>
  <c r="W591"/>
  <c r="X591"/>
  <c r="Y591"/>
  <c r="AA591"/>
  <c r="AB591"/>
  <c r="AC591"/>
  <c r="AD591"/>
  <c r="P592"/>
  <c r="Q592"/>
  <c r="R592"/>
  <c r="S592"/>
  <c r="T592"/>
  <c r="U592"/>
  <c r="V592"/>
  <c r="W592"/>
  <c r="X592"/>
  <c r="Y592"/>
  <c r="AA592"/>
  <c r="AB592"/>
  <c r="AC592"/>
  <c r="AD592"/>
  <c r="P593"/>
  <c r="Q593"/>
  <c r="R593"/>
  <c r="S593"/>
  <c r="T593"/>
  <c r="U593"/>
  <c r="V593"/>
  <c r="W593"/>
  <c r="X593"/>
  <c r="Y593"/>
  <c r="AA593"/>
  <c r="AB593"/>
  <c r="AC593"/>
  <c r="AD593"/>
  <c r="P594"/>
  <c r="Q594"/>
  <c r="R594"/>
  <c r="S594"/>
  <c r="T594"/>
  <c r="U594"/>
  <c r="V594"/>
  <c r="W594"/>
  <c r="X594"/>
  <c r="Y594"/>
  <c r="AA594"/>
  <c r="AB594"/>
  <c r="AC594"/>
  <c r="AD594"/>
  <c r="P595"/>
  <c r="Q595"/>
  <c r="R595"/>
  <c r="S595"/>
  <c r="T595"/>
  <c r="U595"/>
  <c r="V595"/>
  <c r="W595"/>
  <c r="X595"/>
  <c r="Y595"/>
  <c r="AA595"/>
  <c r="AB595"/>
  <c r="AC595"/>
  <c r="AD595"/>
  <c r="P596"/>
  <c r="Q596"/>
  <c r="R596"/>
  <c r="S596"/>
  <c r="T596"/>
  <c r="U596"/>
  <c r="V596"/>
  <c r="W596"/>
  <c r="X596"/>
  <c r="Y596"/>
  <c r="AA596"/>
  <c r="AB596"/>
  <c r="AC596"/>
  <c r="AD596"/>
  <c r="P597"/>
  <c r="Q597"/>
  <c r="R597"/>
  <c r="S597"/>
  <c r="T597"/>
  <c r="U597"/>
  <c r="V597"/>
  <c r="W597"/>
  <c r="X597"/>
  <c r="Y597"/>
  <c r="AA597"/>
  <c r="AB597"/>
  <c r="AC597"/>
  <c r="AD597"/>
  <c r="P598"/>
  <c r="Q598"/>
  <c r="R598"/>
  <c r="S598"/>
  <c r="T598"/>
  <c r="U598"/>
  <c r="V598"/>
  <c r="W598"/>
  <c r="X598"/>
  <c r="Y598"/>
  <c r="AA598"/>
  <c r="AB598"/>
  <c r="AC598"/>
  <c r="AD598"/>
  <c r="P599"/>
  <c r="Q599"/>
  <c r="R599"/>
  <c r="S599"/>
  <c r="T599"/>
  <c r="U599"/>
  <c r="V599"/>
  <c r="W599"/>
  <c r="X599"/>
  <c r="Y599"/>
  <c r="AA599"/>
  <c r="AB599"/>
  <c r="AC599"/>
  <c r="AD599"/>
  <c r="P600"/>
  <c r="Q600"/>
  <c r="R600"/>
  <c r="S600"/>
  <c r="T600"/>
  <c r="U600"/>
  <c r="V600"/>
  <c r="W600"/>
  <c r="X600"/>
  <c r="Y600"/>
  <c r="AA600"/>
  <c r="AB600"/>
  <c r="AC600"/>
  <c r="AD600"/>
  <c r="P601"/>
  <c r="Q601"/>
  <c r="R601"/>
  <c r="S601"/>
  <c r="T601"/>
  <c r="U601"/>
  <c r="V601"/>
  <c r="W601"/>
  <c r="X601"/>
  <c r="Y601"/>
  <c r="AA601"/>
  <c r="AB601"/>
  <c r="AC601"/>
  <c r="AD601"/>
  <c r="P602"/>
  <c r="Q602"/>
  <c r="R602"/>
  <c r="S602"/>
  <c r="T602"/>
  <c r="U602"/>
  <c r="V602"/>
  <c r="W602"/>
  <c r="X602"/>
  <c r="Y602"/>
  <c r="AA602"/>
  <c r="AB602"/>
  <c r="AC602"/>
  <c r="AD602"/>
  <c r="P603"/>
  <c r="Q603"/>
  <c r="R603"/>
  <c r="S603"/>
  <c r="T603"/>
  <c r="U603"/>
  <c r="V603"/>
  <c r="W603"/>
  <c r="X603"/>
  <c r="Y603"/>
  <c r="AA603"/>
  <c r="AB603"/>
  <c r="AC603"/>
  <c r="AD603"/>
  <c r="P604"/>
  <c r="Q604"/>
  <c r="R604"/>
  <c r="S604"/>
  <c r="T604"/>
  <c r="U604"/>
  <c r="V604"/>
  <c r="W604"/>
  <c r="X604"/>
  <c r="Y604"/>
  <c r="AA604"/>
  <c r="AB604"/>
  <c r="AC604"/>
  <c r="AD604"/>
  <c r="P605"/>
  <c r="Q605"/>
  <c r="R605"/>
  <c r="S605"/>
  <c r="T605"/>
  <c r="U605"/>
  <c r="V605"/>
  <c r="W605"/>
  <c r="X605"/>
  <c r="Y605"/>
  <c r="AA605"/>
  <c r="AB605"/>
  <c r="AC605"/>
  <c r="AD605"/>
  <c r="P606"/>
  <c r="Q606"/>
  <c r="R606"/>
  <c r="S606"/>
  <c r="T606"/>
  <c r="U606"/>
  <c r="V606"/>
  <c r="W606"/>
  <c r="X606"/>
  <c r="Y606"/>
  <c r="AA606"/>
  <c r="AB606"/>
  <c r="AC606"/>
  <c r="AD606"/>
  <c r="P607"/>
  <c r="Q607"/>
  <c r="R607"/>
  <c r="S607"/>
  <c r="T607"/>
  <c r="U607"/>
  <c r="V607"/>
  <c r="W607"/>
  <c r="X607"/>
  <c r="Y607"/>
  <c r="AA607"/>
  <c r="AB607"/>
  <c r="AC607"/>
  <c r="AD607"/>
  <c r="P608"/>
  <c r="Q608"/>
  <c r="R608"/>
  <c r="S608"/>
  <c r="T608"/>
  <c r="U608"/>
  <c r="V608"/>
  <c r="W608"/>
  <c r="X608"/>
  <c r="Y608"/>
  <c r="AA608"/>
  <c r="AB608"/>
  <c r="AC608"/>
  <c r="AD608"/>
  <c r="P609"/>
  <c r="Q609"/>
  <c r="R609"/>
  <c r="S609"/>
  <c r="T609"/>
  <c r="U609"/>
  <c r="V609"/>
  <c r="W609"/>
  <c r="X609"/>
  <c r="Y609"/>
  <c r="AA609"/>
  <c r="AB609"/>
  <c r="AC609"/>
  <c r="AD609"/>
  <c r="P610"/>
  <c r="Q610"/>
  <c r="R610"/>
  <c r="S610"/>
  <c r="T610"/>
  <c r="U610"/>
  <c r="V610"/>
  <c r="W610"/>
  <c r="X610"/>
  <c r="Y610"/>
  <c r="AA610"/>
  <c r="AB610"/>
  <c r="AC610"/>
  <c r="AD610"/>
  <c r="P611"/>
  <c r="Q611"/>
  <c r="R611"/>
  <c r="S611"/>
  <c r="T611"/>
  <c r="U611"/>
  <c r="V611"/>
  <c r="W611"/>
  <c r="X611"/>
  <c r="Y611"/>
  <c r="AA611"/>
  <c r="AB611"/>
  <c r="AC611"/>
  <c r="AD611"/>
  <c r="P612"/>
  <c r="Q612"/>
  <c r="R612"/>
  <c r="S612"/>
  <c r="T612"/>
  <c r="U612"/>
  <c r="V612"/>
  <c r="W612"/>
  <c r="X612"/>
  <c r="Y612"/>
  <c r="AA612"/>
  <c r="AB612"/>
  <c r="AC612"/>
  <c r="AD612"/>
  <c r="P613"/>
  <c r="Q613"/>
  <c r="R613"/>
  <c r="S613"/>
  <c r="T613"/>
  <c r="U613"/>
  <c r="V613"/>
  <c r="W613"/>
  <c r="X613"/>
  <c r="Y613"/>
  <c r="AA613"/>
  <c r="AB613"/>
  <c r="AC613"/>
  <c r="AD613"/>
  <c r="P614"/>
  <c r="Q614"/>
  <c r="R614"/>
  <c r="S614"/>
  <c r="T614"/>
  <c r="U614"/>
  <c r="V614"/>
  <c r="W614"/>
  <c r="X614"/>
  <c r="Y614"/>
  <c r="AA614"/>
  <c r="AB614"/>
  <c r="AC614"/>
  <c r="AD614"/>
  <c r="P615"/>
  <c r="Q615"/>
  <c r="R615"/>
  <c r="S615"/>
  <c r="T615"/>
  <c r="U615"/>
  <c r="V615"/>
  <c r="W615"/>
  <c r="X615"/>
  <c r="Y615"/>
  <c r="AA615"/>
  <c r="AB615"/>
  <c r="AC615"/>
  <c r="AD615"/>
  <c r="P616"/>
  <c r="Q616"/>
  <c r="R616"/>
  <c r="S616"/>
  <c r="T616"/>
  <c r="U616"/>
  <c r="V616"/>
  <c r="W616"/>
  <c r="X616"/>
  <c r="Y616"/>
  <c r="AA616"/>
  <c r="AB616"/>
  <c r="AC616"/>
  <c r="AD616"/>
  <c r="P617"/>
  <c r="Q617"/>
  <c r="R617"/>
  <c r="S617"/>
  <c r="T617"/>
  <c r="U617"/>
  <c r="V617"/>
  <c r="W617"/>
  <c r="X617"/>
  <c r="Y617"/>
  <c r="AA617"/>
  <c r="AB617"/>
  <c r="AC617"/>
  <c r="AD617"/>
  <c r="P618"/>
  <c r="Q618"/>
  <c r="R618"/>
  <c r="S618"/>
  <c r="T618"/>
  <c r="U618"/>
  <c r="V618"/>
  <c r="W618"/>
  <c r="X618"/>
  <c r="Y618"/>
  <c r="AA618"/>
  <c r="AB618"/>
  <c r="AC618"/>
  <c r="AD618"/>
  <c r="P619"/>
  <c r="Q619"/>
  <c r="R619"/>
  <c r="S619"/>
  <c r="T619"/>
  <c r="U619"/>
  <c r="V619"/>
  <c r="W619"/>
  <c r="X619"/>
  <c r="Y619"/>
  <c r="AA619"/>
  <c r="AB619"/>
  <c r="AC619"/>
  <c r="AD619"/>
  <c r="P620"/>
  <c r="Q620"/>
  <c r="R620"/>
  <c r="S620"/>
  <c r="T620"/>
  <c r="U620"/>
  <c r="V620"/>
  <c r="W620"/>
  <c r="X620"/>
  <c r="Y620"/>
  <c r="AA620"/>
  <c r="AB620"/>
  <c r="AC620"/>
  <c r="AD620"/>
  <c r="P621"/>
  <c r="Q621"/>
  <c r="R621"/>
  <c r="S621"/>
  <c r="T621"/>
  <c r="U621"/>
  <c r="V621"/>
  <c r="W621"/>
  <c r="X621"/>
  <c r="Y621"/>
  <c r="AA621"/>
  <c r="AB621"/>
  <c r="AC621"/>
  <c r="AD621"/>
  <c r="P622"/>
  <c r="Q622"/>
  <c r="R622"/>
  <c r="S622"/>
  <c r="T622"/>
  <c r="U622"/>
  <c r="V622"/>
  <c r="W622"/>
  <c r="X622"/>
  <c r="Y622"/>
  <c r="AA622"/>
  <c r="AB622"/>
  <c r="AC622"/>
  <c r="AD622"/>
  <c r="P623"/>
  <c r="Q623"/>
  <c r="R623"/>
  <c r="S623"/>
  <c r="T623"/>
  <c r="U623"/>
  <c r="V623"/>
  <c r="W623"/>
  <c r="X623"/>
  <c r="Y623"/>
  <c r="AA623"/>
  <c r="AB623"/>
  <c r="AC623"/>
  <c r="AD623"/>
  <c r="P624"/>
  <c r="Q624"/>
  <c r="R624"/>
  <c r="S624"/>
  <c r="T624"/>
  <c r="U624"/>
  <c r="V624"/>
  <c r="W624"/>
  <c r="X624"/>
  <c r="Y624"/>
  <c r="AA624"/>
  <c r="AB624"/>
  <c r="AC624"/>
  <c r="AD624"/>
  <c r="P625"/>
  <c r="Q625"/>
  <c r="R625"/>
  <c r="S625"/>
  <c r="T625"/>
  <c r="U625"/>
  <c r="V625"/>
  <c r="W625"/>
  <c r="X625"/>
  <c r="Y625"/>
  <c r="AA625"/>
  <c r="AB625"/>
  <c r="AC625"/>
  <c r="AD625"/>
  <c r="P626"/>
  <c r="Q626"/>
  <c r="R626"/>
  <c r="S626"/>
  <c r="T626"/>
  <c r="U626"/>
  <c r="V626"/>
  <c r="W626"/>
  <c r="X626"/>
  <c r="Y626"/>
  <c r="AA626"/>
  <c r="AB626"/>
  <c r="AC626"/>
  <c r="AD626"/>
  <c r="P627"/>
  <c r="Q627"/>
  <c r="R627"/>
  <c r="S627"/>
  <c r="T627"/>
  <c r="U627"/>
  <c r="V627"/>
  <c r="W627"/>
  <c r="X627"/>
  <c r="Y627"/>
  <c r="AA627"/>
  <c r="AB627"/>
  <c r="AC627"/>
  <c r="AD627"/>
  <c r="P628"/>
  <c r="Q628"/>
  <c r="R628"/>
  <c r="S628"/>
  <c r="T628"/>
  <c r="U628"/>
  <c r="V628"/>
  <c r="W628"/>
  <c r="X628"/>
  <c r="Y628"/>
  <c r="AA628"/>
  <c r="AB628"/>
  <c r="AC628"/>
  <c r="AD628"/>
  <c r="P629"/>
  <c r="Q629"/>
  <c r="R629"/>
  <c r="S629"/>
  <c r="T629"/>
  <c r="U629"/>
  <c r="V629"/>
  <c r="W629"/>
  <c r="X629"/>
  <c r="Y629"/>
  <c r="AA629"/>
  <c r="AB629"/>
  <c r="AC629"/>
  <c r="AD629"/>
  <c r="P630"/>
  <c r="Q630"/>
  <c r="R630"/>
  <c r="S630"/>
  <c r="T630"/>
  <c r="U630"/>
  <c r="V630"/>
  <c r="W630"/>
  <c r="X630"/>
  <c r="Y630"/>
  <c r="AA630"/>
  <c r="AB630"/>
  <c r="AC630"/>
  <c r="AD630"/>
  <c r="P631"/>
  <c r="Q631"/>
  <c r="R631"/>
  <c r="S631"/>
  <c r="T631"/>
  <c r="U631"/>
  <c r="V631"/>
  <c r="W631"/>
  <c r="X631"/>
  <c r="Y631"/>
  <c r="AA631"/>
  <c r="AB631"/>
  <c r="AC631"/>
  <c r="AD631"/>
  <c r="P632"/>
  <c r="Q632"/>
  <c r="R632"/>
  <c r="S632"/>
  <c r="T632"/>
  <c r="U632"/>
  <c r="V632"/>
  <c r="W632"/>
  <c r="X632"/>
  <c r="Y632"/>
  <c r="AA632"/>
  <c r="AB632"/>
  <c r="AC632"/>
  <c r="AD632"/>
  <c r="P633"/>
  <c r="Q633"/>
  <c r="R633"/>
  <c r="S633"/>
  <c r="T633"/>
  <c r="U633"/>
  <c r="V633"/>
  <c r="W633"/>
  <c r="X633"/>
  <c r="Y633"/>
  <c r="AA633"/>
  <c r="AB633"/>
  <c r="AC633"/>
  <c r="AD633"/>
  <c r="P634"/>
  <c r="Q634"/>
  <c r="R634"/>
  <c r="S634"/>
  <c r="T634"/>
  <c r="U634"/>
  <c r="V634"/>
  <c r="W634"/>
  <c r="X634"/>
  <c r="Y634"/>
  <c r="AA634"/>
  <c r="AB634"/>
  <c r="AC634"/>
  <c r="AD634"/>
  <c r="P635"/>
  <c r="Q635"/>
  <c r="R635"/>
  <c r="S635"/>
  <c r="T635"/>
  <c r="U635"/>
  <c r="V635"/>
  <c r="W635"/>
  <c r="X635"/>
  <c r="Y635"/>
  <c r="AA635"/>
  <c r="AB635"/>
  <c r="AC635"/>
  <c r="AD635"/>
  <c r="P636"/>
  <c r="Q636"/>
  <c r="R636"/>
  <c r="S636"/>
  <c r="T636"/>
  <c r="U636"/>
  <c r="V636"/>
  <c r="W636"/>
  <c r="X636"/>
  <c r="Y636"/>
  <c r="AA636"/>
  <c r="AB636"/>
  <c r="AC636"/>
  <c r="AD636"/>
  <c r="P637"/>
  <c r="Q637"/>
  <c r="R637"/>
  <c r="S637"/>
  <c r="T637"/>
  <c r="U637"/>
  <c r="V637"/>
  <c r="W637"/>
  <c r="X637"/>
  <c r="Y637"/>
  <c r="AA637"/>
  <c r="AB637"/>
  <c r="AC637"/>
  <c r="AD637"/>
  <c r="P638"/>
  <c r="Q638"/>
  <c r="R638"/>
  <c r="S638"/>
  <c r="T638"/>
  <c r="U638"/>
  <c r="V638"/>
  <c r="W638"/>
  <c r="X638"/>
  <c r="Y638"/>
  <c r="AA638"/>
  <c r="AB638"/>
  <c r="AC638"/>
  <c r="AD638"/>
  <c r="P639"/>
  <c r="Q639"/>
  <c r="R639"/>
  <c r="S639"/>
  <c r="T639"/>
  <c r="U639"/>
  <c r="V639"/>
  <c r="W639"/>
  <c r="X639"/>
  <c r="Y639"/>
  <c r="AA639"/>
  <c r="AB639"/>
  <c r="AC639"/>
  <c r="AD639"/>
  <c r="P640"/>
  <c r="Q640"/>
  <c r="R640"/>
  <c r="S640"/>
  <c r="T640"/>
  <c r="U640"/>
  <c r="V640"/>
  <c r="W640"/>
  <c r="X640"/>
  <c r="Y640"/>
  <c r="AA640"/>
  <c r="AB640"/>
  <c r="AC640"/>
  <c r="AD640"/>
  <c r="P641"/>
  <c r="Q641"/>
  <c r="R641"/>
  <c r="S641"/>
  <c r="T641"/>
  <c r="U641"/>
  <c r="V641"/>
  <c r="W641"/>
  <c r="X641"/>
  <c r="Y641"/>
  <c r="AA641"/>
  <c r="AB641"/>
  <c r="AC641"/>
  <c r="AD641"/>
  <c r="P642"/>
  <c r="Q642"/>
  <c r="R642"/>
  <c r="S642"/>
  <c r="T642"/>
  <c r="U642"/>
  <c r="V642"/>
  <c r="W642"/>
  <c r="X642"/>
  <c r="Y642"/>
  <c r="AA642"/>
  <c r="AB642"/>
  <c r="AC642"/>
  <c r="AD642"/>
  <c r="P643"/>
  <c r="Q643"/>
  <c r="R643"/>
  <c r="S643"/>
  <c r="T643"/>
  <c r="U643"/>
  <c r="V643"/>
  <c r="W643"/>
  <c r="X643"/>
  <c r="Y643"/>
  <c r="AA643"/>
  <c r="AB643"/>
  <c r="AC643"/>
  <c r="AD643"/>
  <c r="P644"/>
  <c r="Q644"/>
  <c r="R644"/>
  <c r="S644"/>
  <c r="T644"/>
  <c r="U644"/>
  <c r="V644"/>
  <c r="W644"/>
  <c r="X644"/>
  <c r="Y644"/>
  <c r="AA644"/>
  <c r="AB644"/>
  <c r="AC644"/>
  <c r="AD644"/>
  <c r="P645"/>
  <c r="Q645"/>
  <c r="R645"/>
  <c r="S645"/>
  <c r="T645"/>
  <c r="U645"/>
  <c r="V645"/>
  <c r="W645"/>
  <c r="X645"/>
  <c r="Y645"/>
  <c r="AA645"/>
  <c r="AB645"/>
  <c r="AC645"/>
  <c r="AD645"/>
  <c r="P646"/>
  <c r="Q646"/>
  <c r="R646"/>
  <c r="S646"/>
  <c r="T646"/>
  <c r="U646"/>
  <c r="V646"/>
  <c r="W646"/>
  <c r="X646"/>
  <c r="Y646"/>
  <c r="AA646"/>
  <c r="AB646"/>
  <c r="AC646"/>
  <c r="AD646"/>
  <c r="P647"/>
  <c r="Q647"/>
  <c r="R647"/>
  <c r="S647"/>
  <c r="T647"/>
  <c r="U647"/>
  <c r="V647"/>
  <c r="W647"/>
  <c r="X647"/>
  <c r="Y647"/>
  <c r="AA647"/>
  <c r="AB647"/>
  <c r="AC647"/>
  <c r="AD647"/>
  <c r="P648"/>
  <c r="Q648"/>
  <c r="R648"/>
  <c r="S648"/>
  <c r="T648"/>
  <c r="U648"/>
  <c r="V648"/>
  <c r="W648"/>
  <c r="X648"/>
  <c r="Y648"/>
  <c r="AA648"/>
  <c r="AB648"/>
  <c r="AC648"/>
  <c r="AD648"/>
  <c r="P649"/>
  <c r="Q649"/>
  <c r="R649"/>
  <c r="S649"/>
  <c r="T649"/>
  <c r="U649"/>
  <c r="V649"/>
  <c r="W649"/>
  <c r="X649"/>
  <c r="Y649"/>
  <c r="AA649"/>
  <c r="AB649"/>
  <c r="AC649"/>
  <c r="AD649"/>
  <c r="P650"/>
  <c r="Q650"/>
  <c r="R650"/>
  <c r="S650"/>
  <c r="T650"/>
  <c r="U650"/>
  <c r="V650"/>
  <c r="W650"/>
  <c r="X650"/>
  <c r="Y650"/>
  <c r="AA650"/>
  <c r="AB650"/>
  <c r="AC650"/>
  <c r="AD650"/>
  <c r="P651"/>
  <c r="Q651"/>
  <c r="R651"/>
  <c r="S651"/>
  <c r="T651"/>
  <c r="U651"/>
  <c r="V651"/>
  <c r="W651"/>
  <c r="X651"/>
  <c r="Y651"/>
  <c r="AA651"/>
  <c r="AB651"/>
  <c r="AC651"/>
  <c r="AD651"/>
  <c r="P652"/>
  <c r="Q652"/>
  <c r="R652"/>
  <c r="S652"/>
  <c r="T652"/>
  <c r="U652"/>
  <c r="V652"/>
  <c r="W652"/>
  <c r="X652"/>
  <c r="Y652"/>
  <c r="AA652"/>
  <c r="AB652"/>
  <c r="AC652"/>
  <c r="AD652"/>
  <c r="P653"/>
  <c r="Q653"/>
  <c r="R653"/>
  <c r="S653"/>
  <c r="T653"/>
  <c r="U653"/>
  <c r="V653"/>
  <c r="W653"/>
  <c r="X653"/>
  <c r="Y653"/>
  <c r="AA653"/>
  <c r="AB653"/>
  <c r="AC653"/>
  <c r="AD653"/>
  <c r="P654"/>
  <c r="Q654"/>
  <c r="R654"/>
  <c r="S654"/>
  <c r="T654"/>
  <c r="U654"/>
  <c r="V654"/>
  <c r="W654"/>
  <c r="X654"/>
  <c r="Y654"/>
  <c r="AA654"/>
  <c r="AB654"/>
  <c r="AC654"/>
  <c r="AD654"/>
  <c r="P655"/>
  <c r="Q655"/>
  <c r="R655"/>
  <c r="S655"/>
  <c r="T655"/>
  <c r="U655"/>
  <c r="V655"/>
  <c r="W655"/>
  <c r="X655"/>
  <c r="Y655"/>
  <c r="AA655"/>
  <c r="AB655"/>
  <c r="AC655"/>
  <c r="AD655"/>
  <c r="P656"/>
  <c r="Q656"/>
  <c r="R656"/>
  <c r="S656"/>
  <c r="T656"/>
  <c r="U656"/>
  <c r="V656"/>
  <c r="W656"/>
  <c r="X656"/>
  <c r="Y656"/>
  <c r="AA656"/>
  <c r="AB656"/>
  <c r="AC656"/>
  <c r="AD656"/>
  <c r="P657"/>
  <c r="Q657"/>
  <c r="R657"/>
  <c r="S657"/>
  <c r="T657"/>
  <c r="U657"/>
  <c r="V657"/>
  <c r="W657"/>
  <c r="X657"/>
  <c r="Y657"/>
  <c r="AA657"/>
  <c r="AB657"/>
  <c r="AC657"/>
  <c r="AD657"/>
  <c r="P658"/>
  <c r="Q658"/>
  <c r="R658"/>
  <c r="S658"/>
  <c r="T658"/>
  <c r="U658"/>
  <c r="V658"/>
  <c r="W658"/>
  <c r="X658"/>
  <c r="Y658"/>
  <c r="AA658"/>
  <c r="AB658"/>
  <c r="AC658"/>
  <c r="AD658"/>
  <c r="P659"/>
  <c r="Q659"/>
  <c r="R659"/>
  <c r="S659"/>
  <c r="T659"/>
  <c r="U659"/>
  <c r="V659"/>
  <c r="W659"/>
  <c r="X659"/>
  <c r="Y659"/>
  <c r="AA659"/>
  <c r="AB659"/>
  <c r="AC659"/>
  <c r="AD659"/>
  <c r="P660"/>
  <c r="Q660"/>
  <c r="R660"/>
  <c r="S660"/>
  <c r="T660"/>
  <c r="U660"/>
  <c r="V660"/>
  <c r="W660"/>
  <c r="X660"/>
  <c r="Y660"/>
  <c r="AA660"/>
  <c r="AB660"/>
  <c r="AC660"/>
  <c r="AD660"/>
  <c r="P661"/>
  <c r="Q661"/>
  <c r="R661"/>
  <c r="S661"/>
  <c r="T661"/>
  <c r="U661"/>
  <c r="V661"/>
  <c r="W661"/>
  <c r="X661"/>
  <c r="Y661"/>
  <c r="AA661"/>
  <c r="AB661"/>
  <c r="AC661"/>
  <c r="AD661"/>
  <c r="P662"/>
  <c r="Q662"/>
  <c r="R662"/>
  <c r="S662"/>
  <c r="T662"/>
  <c r="U662"/>
  <c r="V662"/>
  <c r="W662"/>
  <c r="X662"/>
  <c r="Y662"/>
  <c r="AA662"/>
  <c r="AB662"/>
  <c r="AC662"/>
  <c r="AD662"/>
  <c r="P663"/>
  <c r="Q663"/>
  <c r="R663"/>
  <c r="S663"/>
  <c r="T663"/>
  <c r="U663"/>
  <c r="V663"/>
  <c r="W663"/>
  <c r="X663"/>
  <c r="Y663"/>
  <c r="AA663"/>
  <c r="AB663"/>
  <c r="AC663"/>
  <c r="AD663"/>
  <c r="P664"/>
  <c r="Q664"/>
  <c r="R664"/>
  <c r="S664"/>
  <c r="T664"/>
  <c r="U664"/>
  <c r="V664"/>
  <c r="W664"/>
  <c r="X664"/>
  <c r="Y664"/>
  <c r="AA664"/>
  <c r="AB664"/>
  <c r="AC664"/>
  <c r="AD664"/>
  <c r="P665"/>
  <c r="Q665"/>
  <c r="R665"/>
  <c r="S665"/>
  <c r="T665"/>
  <c r="U665"/>
  <c r="V665"/>
  <c r="W665"/>
  <c r="X665"/>
  <c r="Y665"/>
  <c r="AA665"/>
  <c r="AB665"/>
  <c r="AC665"/>
  <c r="AD665"/>
  <c r="P666"/>
  <c r="Q666"/>
  <c r="R666"/>
  <c r="S666"/>
  <c r="T666"/>
  <c r="U666"/>
  <c r="V666"/>
  <c r="W666"/>
  <c r="X666"/>
  <c r="Y666"/>
  <c r="AA666"/>
  <c r="AB666"/>
  <c r="AC666"/>
  <c r="AD666"/>
  <c r="P667"/>
  <c r="Q667"/>
  <c r="R667"/>
  <c r="S667"/>
  <c r="T667"/>
  <c r="U667"/>
  <c r="V667"/>
  <c r="W667"/>
  <c r="X667"/>
  <c r="Y667"/>
  <c r="AA667"/>
  <c r="AB667"/>
  <c r="AC667"/>
  <c r="AD667"/>
  <c r="P668"/>
  <c r="Q668"/>
  <c r="R668"/>
  <c r="S668"/>
  <c r="T668"/>
  <c r="U668"/>
  <c r="V668"/>
  <c r="W668"/>
  <c r="X668"/>
  <c r="Y668"/>
  <c r="AA668"/>
  <c r="AB668"/>
  <c r="AC668"/>
  <c r="AD668"/>
  <c r="P669"/>
  <c r="Q669"/>
  <c r="R669"/>
  <c r="S669"/>
  <c r="T669"/>
  <c r="U669"/>
  <c r="V669"/>
  <c r="W669"/>
  <c r="X669"/>
  <c r="Y669"/>
  <c r="AA669"/>
  <c r="AB669"/>
  <c r="AC669"/>
  <c r="AD669"/>
  <c r="P670"/>
  <c r="Q670"/>
  <c r="R670"/>
  <c r="S670"/>
  <c r="T670"/>
  <c r="U670"/>
  <c r="V670"/>
  <c r="W670"/>
  <c r="X670"/>
  <c r="Y670"/>
  <c r="AA670"/>
  <c r="AB670"/>
  <c r="AC670"/>
  <c r="AD670"/>
  <c r="P671"/>
  <c r="Q671"/>
  <c r="R671"/>
  <c r="S671"/>
  <c r="T671"/>
  <c r="U671"/>
  <c r="V671"/>
  <c r="W671"/>
  <c r="X671"/>
  <c r="Y671"/>
  <c r="AA671"/>
  <c r="AB671"/>
  <c r="AC671"/>
  <c r="AD671"/>
  <c r="P672"/>
  <c r="Q672"/>
  <c r="R672"/>
  <c r="S672"/>
  <c r="T672"/>
  <c r="U672"/>
  <c r="V672"/>
  <c r="W672"/>
  <c r="X672"/>
  <c r="Y672"/>
  <c r="AA672"/>
  <c r="AB672"/>
  <c r="AC672"/>
  <c r="AD672"/>
  <c r="P673"/>
  <c r="Q673"/>
  <c r="R673"/>
  <c r="S673"/>
  <c r="T673"/>
  <c r="U673"/>
  <c r="V673"/>
  <c r="W673"/>
  <c r="X673"/>
  <c r="Y673"/>
  <c r="AA673"/>
  <c r="AB673"/>
  <c r="AC673"/>
  <c r="AD673"/>
  <c r="P674"/>
  <c r="Q674"/>
  <c r="R674"/>
  <c r="S674"/>
  <c r="T674"/>
  <c r="U674"/>
  <c r="V674"/>
  <c r="W674"/>
  <c r="X674"/>
  <c r="Y674"/>
  <c r="AA674"/>
  <c r="AB674"/>
  <c r="AC674"/>
  <c r="AD674"/>
  <c r="P675"/>
  <c r="Q675"/>
  <c r="R675"/>
  <c r="S675"/>
  <c r="T675"/>
  <c r="U675"/>
  <c r="V675"/>
  <c r="W675"/>
  <c r="X675"/>
  <c r="Y675"/>
  <c r="AA675"/>
  <c r="AB675"/>
  <c r="AC675"/>
  <c r="AD675"/>
  <c r="P676"/>
  <c r="Q676"/>
  <c r="R676"/>
  <c r="S676"/>
  <c r="T676"/>
  <c r="U676"/>
  <c r="V676"/>
  <c r="W676"/>
  <c r="X676"/>
  <c r="Y676"/>
  <c r="AA676"/>
  <c r="AB676"/>
  <c r="AC676"/>
  <c r="AD676"/>
  <c r="P677"/>
  <c r="Q677"/>
  <c r="R677"/>
  <c r="S677"/>
  <c r="T677"/>
  <c r="U677"/>
  <c r="V677"/>
  <c r="W677"/>
  <c r="X677"/>
  <c r="Y677"/>
  <c r="AA677"/>
  <c r="AB677"/>
  <c r="AC677"/>
  <c r="AD677"/>
  <c r="P678"/>
  <c r="Q678"/>
  <c r="R678"/>
  <c r="S678"/>
  <c r="T678"/>
  <c r="U678"/>
  <c r="V678"/>
  <c r="W678"/>
  <c r="X678"/>
  <c r="Y678"/>
  <c r="AA678"/>
  <c r="AB678"/>
  <c r="AC678"/>
  <c r="AD678"/>
  <c r="P679"/>
  <c r="Q679"/>
  <c r="R679"/>
  <c r="S679"/>
  <c r="T679"/>
  <c r="U679"/>
  <c r="V679"/>
  <c r="W679"/>
  <c r="X679"/>
  <c r="Y679"/>
  <c r="AA679"/>
  <c r="AB679"/>
  <c r="AC679"/>
  <c r="AD679"/>
  <c r="P680"/>
  <c r="Q680"/>
  <c r="R680"/>
  <c r="S680"/>
  <c r="T680"/>
  <c r="U680"/>
  <c r="V680"/>
  <c r="W680"/>
  <c r="X680"/>
  <c r="Y680"/>
  <c r="AA680"/>
  <c r="AB680"/>
  <c r="AC680"/>
  <c r="AD680"/>
  <c r="P681"/>
  <c r="Q681"/>
  <c r="R681"/>
  <c r="S681"/>
  <c r="T681"/>
  <c r="U681"/>
  <c r="V681"/>
  <c r="W681"/>
  <c r="X681"/>
  <c r="Y681"/>
  <c r="AA681"/>
  <c r="AB681"/>
  <c r="AC681"/>
  <c r="AD681"/>
  <c r="P682"/>
  <c r="Q682"/>
  <c r="R682"/>
  <c r="S682"/>
  <c r="T682"/>
  <c r="U682"/>
  <c r="V682"/>
  <c r="W682"/>
  <c r="X682"/>
  <c r="Y682"/>
  <c r="AA682"/>
  <c r="AB682"/>
  <c r="AC682"/>
  <c r="AD682"/>
  <c r="P683"/>
  <c r="Q683"/>
  <c r="R683"/>
  <c r="S683"/>
  <c r="T683"/>
  <c r="U683"/>
  <c r="V683"/>
  <c r="W683"/>
  <c r="X683"/>
  <c r="Y683"/>
  <c r="AA683"/>
  <c r="AB683"/>
  <c r="AC683"/>
  <c r="AD683"/>
  <c r="P684"/>
  <c r="Q684"/>
  <c r="R684"/>
  <c r="S684"/>
  <c r="T684"/>
  <c r="U684"/>
  <c r="V684"/>
  <c r="W684"/>
  <c r="X684"/>
  <c r="Y684"/>
  <c r="AA684"/>
  <c r="AB684"/>
  <c r="AC684"/>
  <c r="AD684"/>
  <c r="P685"/>
  <c r="Q685"/>
  <c r="R685"/>
  <c r="S685"/>
  <c r="T685"/>
  <c r="U685"/>
  <c r="V685"/>
  <c r="W685"/>
  <c r="X685"/>
  <c r="Y685"/>
  <c r="AA685"/>
  <c r="AB685"/>
  <c r="AC685"/>
  <c r="AD685"/>
  <c r="P686"/>
  <c r="Q686"/>
  <c r="R686"/>
  <c r="S686"/>
  <c r="T686"/>
  <c r="U686"/>
  <c r="V686"/>
  <c r="W686"/>
  <c r="X686"/>
  <c r="Y686"/>
  <c r="AA686"/>
  <c r="AB686"/>
  <c r="AC686"/>
  <c r="AD686"/>
  <c r="P687"/>
  <c r="Q687"/>
  <c r="R687"/>
  <c r="S687"/>
  <c r="T687"/>
  <c r="U687"/>
  <c r="V687"/>
  <c r="W687"/>
  <c r="X687"/>
  <c r="Y687"/>
  <c r="AA687"/>
  <c r="AB687"/>
  <c r="AC687"/>
  <c r="AD687"/>
  <c r="P688"/>
  <c r="Q688"/>
  <c r="R688"/>
  <c r="S688"/>
  <c r="T688"/>
  <c r="U688"/>
  <c r="V688"/>
  <c r="W688"/>
  <c r="X688"/>
  <c r="Y688"/>
  <c r="AA688"/>
  <c r="AB688"/>
  <c r="AC688"/>
  <c r="AD688"/>
  <c r="P689"/>
  <c r="Q689"/>
  <c r="R689"/>
  <c r="S689"/>
  <c r="T689"/>
  <c r="U689"/>
  <c r="V689"/>
  <c r="W689"/>
  <c r="X689"/>
  <c r="Y689"/>
  <c r="AA689"/>
  <c r="AB689"/>
  <c r="AC689"/>
  <c r="AD689"/>
  <c r="P690"/>
  <c r="Q690"/>
  <c r="R690"/>
  <c r="S690"/>
  <c r="T690"/>
  <c r="U690"/>
  <c r="V690"/>
  <c r="W690"/>
  <c r="X690"/>
  <c r="Y690"/>
  <c r="AA690"/>
  <c r="AB690"/>
  <c r="AC690"/>
  <c r="AD690"/>
  <c r="P691"/>
  <c r="Q691"/>
  <c r="R691"/>
  <c r="S691"/>
  <c r="T691"/>
  <c r="U691"/>
  <c r="V691"/>
  <c r="W691"/>
  <c r="X691"/>
  <c r="Y691"/>
  <c r="AA691"/>
  <c r="AB691"/>
  <c r="AC691"/>
  <c r="AD691"/>
  <c r="P692"/>
  <c r="Q692"/>
  <c r="R692"/>
  <c r="S692"/>
  <c r="T692"/>
  <c r="U692"/>
  <c r="V692"/>
  <c r="W692"/>
  <c r="X692"/>
  <c r="Y692"/>
  <c r="AA692"/>
  <c r="AB692"/>
  <c r="AC692"/>
  <c r="AD692"/>
  <c r="P693"/>
  <c r="Q693"/>
  <c r="R693"/>
  <c r="S693"/>
  <c r="T693"/>
  <c r="U693"/>
  <c r="V693"/>
  <c r="W693"/>
  <c r="X693"/>
  <c r="Y693"/>
  <c r="AA693"/>
  <c r="AB693"/>
  <c r="AC693"/>
  <c r="AD693"/>
  <c r="P694"/>
  <c r="Q694"/>
  <c r="R694"/>
  <c r="S694"/>
  <c r="T694"/>
  <c r="U694"/>
  <c r="V694"/>
  <c r="W694"/>
  <c r="X694"/>
  <c r="Y694"/>
  <c r="AA694"/>
  <c r="AB694"/>
  <c r="AC694"/>
  <c r="AD694"/>
  <c r="P695"/>
  <c r="Q695"/>
  <c r="R695"/>
  <c r="S695"/>
  <c r="T695"/>
  <c r="U695"/>
  <c r="V695"/>
  <c r="W695"/>
  <c r="X695"/>
  <c r="Y695"/>
  <c r="AA695"/>
  <c r="AB695"/>
  <c r="AC695"/>
  <c r="AD695"/>
  <c r="P696"/>
  <c r="Q696"/>
  <c r="R696"/>
  <c r="S696"/>
  <c r="T696"/>
  <c r="U696"/>
  <c r="V696"/>
  <c r="W696"/>
  <c r="X696"/>
  <c r="Y696"/>
  <c r="AA696"/>
  <c r="AB696"/>
  <c r="AC696"/>
  <c r="AD696"/>
  <c r="P697"/>
  <c r="Q697"/>
  <c r="R697"/>
  <c r="S697"/>
  <c r="T697"/>
  <c r="U697"/>
  <c r="V697"/>
  <c r="W697"/>
  <c r="X697"/>
  <c r="Y697"/>
  <c r="AA697"/>
  <c r="AB697"/>
  <c r="AC697"/>
  <c r="AD697"/>
  <c r="P698"/>
  <c r="Q698"/>
  <c r="R698"/>
  <c r="S698"/>
  <c r="T698"/>
  <c r="U698"/>
  <c r="V698"/>
  <c r="W698"/>
  <c r="X698"/>
  <c r="Y698"/>
  <c r="AA698"/>
  <c r="AB698"/>
  <c r="AC698"/>
  <c r="AD698"/>
  <c r="P699"/>
  <c r="Q699"/>
  <c r="R699"/>
  <c r="S699"/>
  <c r="T699"/>
  <c r="U699"/>
  <c r="V699"/>
  <c r="W699"/>
  <c r="X699"/>
  <c r="Y699"/>
  <c r="AA699"/>
  <c r="AB699"/>
  <c r="AC699"/>
  <c r="AD699"/>
  <c r="P700"/>
  <c r="Q700"/>
  <c r="R700"/>
  <c r="S700"/>
  <c r="T700"/>
  <c r="U700"/>
  <c r="V700"/>
  <c r="W700"/>
  <c r="X700"/>
  <c r="Y700"/>
  <c r="AA700"/>
  <c r="AB700"/>
  <c r="AC700"/>
  <c r="AD700"/>
  <c r="P701"/>
  <c r="Q701"/>
  <c r="R701"/>
  <c r="S701"/>
  <c r="T701"/>
  <c r="U701"/>
  <c r="V701"/>
  <c r="W701"/>
  <c r="X701"/>
  <c r="Y701"/>
  <c r="AA701"/>
  <c r="AB701"/>
  <c r="AC701"/>
  <c r="AD701"/>
  <c r="P702"/>
  <c r="Q702"/>
  <c r="R702"/>
  <c r="S702"/>
  <c r="T702"/>
  <c r="U702"/>
  <c r="V702"/>
  <c r="W702"/>
  <c r="X702"/>
  <c r="Y702"/>
  <c r="AA702"/>
  <c r="AB702"/>
  <c r="AC702"/>
  <c r="AD702"/>
  <c r="P703"/>
  <c r="Q703"/>
  <c r="R703"/>
  <c r="S703"/>
  <c r="T703"/>
  <c r="U703"/>
  <c r="V703"/>
  <c r="W703"/>
  <c r="X703"/>
  <c r="Y703"/>
  <c r="AA703"/>
  <c r="AB703"/>
  <c r="AC703"/>
  <c r="AD703"/>
  <c r="P704"/>
  <c r="Q704"/>
  <c r="R704"/>
  <c r="S704"/>
  <c r="T704"/>
  <c r="U704"/>
  <c r="V704"/>
  <c r="W704"/>
  <c r="X704"/>
  <c r="Y704"/>
  <c r="AA704"/>
  <c r="AB704"/>
  <c r="AC704"/>
  <c r="AD704"/>
  <c r="P705"/>
  <c r="Q705"/>
  <c r="R705"/>
  <c r="S705"/>
  <c r="T705"/>
  <c r="U705"/>
  <c r="V705"/>
  <c r="W705"/>
  <c r="X705"/>
  <c r="Y705"/>
  <c r="AA705"/>
  <c r="AB705"/>
  <c r="AC705"/>
  <c r="AD705"/>
  <c r="P706"/>
  <c r="Q706"/>
  <c r="R706"/>
  <c r="S706"/>
  <c r="T706"/>
  <c r="U706"/>
  <c r="V706"/>
  <c r="W706"/>
  <c r="X706"/>
  <c r="Y706"/>
  <c r="AA706"/>
  <c r="AB706"/>
  <c r="AC706"/>
  <c r="AD706"/>
  <c r="P707"/>
  <c r="Q707"/>
  <c r="R707"/>
  <c r="S707"/>
  <c r="T707"/>
  <c r="U707"/>
  <c r="V707"/>
  <c r="W707"/>
  <c r="X707"/>
  <c r="Y707"/>
  <c r="AA707"/>
  <c r="AB707"/>
  <c r="AC707"/>
  <c r="AD707"/>
  <c r="P708"/>
  <c r="Q708"/>
  <c r="R708"/>
  <c r="S708"/>
  <c r="T708"/>
  <c r="U708"/>
  <c r="V708"/>
  <c r="W708"/>
  <c r="X708"/>
  <c r="Y708"/>
  <c r="AA708"/>
  <c r="AB708"/>
  <c r="AC708"/>
  <c r="AD708"/>
  <c r="P709"/>
  <c r="Q709"/>
  <c r="R709"/>
  <c r="S709"/>
  <c r="T709"/>
  <c r="U709"/>
  <c r="V709"/>
  <c r="W709"/>
  <c r="X709"/>
  <c r="Y709"/>
  <c r="AA709"/>
  <c r="AB709"/>
  <c r="AC709"/>
  <c r="AD709"/>
  <c r="P710"/>
  <c r="Q710"/>
  <c r="R710"/>
  <c r="S710"/>
  <c r="T710"/>
  <c r="U710"/>
  <c r="V710"/>
  <c r="W710"/>
  <c r="X710"/>
  <c r="Y710"/>
  <c r="AA710"/>
  <c r="AB710"/>
  <c r="AC710"/>
  <c r="AD710"/>
  <c r="P711"/>
  <c r="Q711"/>
  <c r="R711"/>
  <c r="S711"/>
  <c r="T711"/>
  <c r="U711"/>
  <c r="V711"/>
  <c r="W711"/>
  <c r="X711"/>
  <c r="Y711"/>
  <c r="AA711"/>
  <c r="AB711"/>
  <c r="AC711"/>
  <c r="AD711"/>
  <c r="P712"/>
  <c r="Q712"/>
  <c r="R712"/>
  <c r="S712"/>
  <c r="T712"/>
  <c r="U712"/>
  <c r="V712"/>
  <c r="W712"/>
  <c r="X712"/>
  <c r="Y712"/>
  <c r="AA712"/>
  <c r="AB712"/>
  <c r="AC712"/>
  <c r="AD712"/>
  <c r="P713"/>
  <c r="Q713"/>
  <c r="R713"/>
  <c r="S713"/>
  <c r="T713"/>
  <c r="U713"/>
  <c r="V713"/>
  <c r="W713"/>
  <c r="X713"/>
  <c r="Y713"/>
  <c r="AA713"/>
  <c r="AB713"/>
  <c r="AC713"/>
  <c r="AD713"/>
  <c r="P714"/>
  <c r="Q714"/>
  <c r="R714"/>
  <c r="S714"/>
  <c r="T714"/>
  <c r="U714"/>
  <c r="V714"/>
  <c r="W714"/>
  <c r="X714"/>
  <c r="Y714"/>
  <c r="AA714"/>
  <c r="AB714"/>
  <c r="AC714"/>
  <c r="AD714"/>
  <c r="P715"/>
  <c r="Q715"/>
  <c r="R715"/>
  <c r="S715"/>
  <c r="T715"/>
  <c r="U715"/>
  <c r="V715"/>
  <c r="W715"/>
  <c r="X715"/>
  <c r="Y715"/>
  <c r="AA715"/>
  <c r="AB715"/>
  <c r="AC715"/>
  <c r="AD715"/>
  <c r="P716"/>
  <c r="Q716"/>
  <c r="R716"/>
  <c r="S716"/>
  <c r="T716"/>
  <c r="U716"/>
  <c r="V716"/>
  <c r="W716"/>
  <c r="X716"/>
  <c r="Y716"/>
  <c r="AA716"/>
  <c r="AB716"/>
  <c r="AC716"/>
  <c r="AD716"/>
  <c r="P717"/>
  <c r="Q717"/>
  <c r="R717"/>
  <c r="S717"/>
  <c r="T717"/>
  <c r="U717"/>
  <c r="V717"/>
  <c r="W717"/>
  <c r="X717"/>
  <c r="Y717"/>
  <c r="AA717"/>
  <c r="AB717"/>
  <c r="AC717"/>
  <c r="AD717"/>
  <c r="P718"/>
  <c r="Q718"/>
  <c r="R718"/>
  <c r="S718"/>
  <c r="T718"/>
  <c r="U718"/>
  <c r="V718"/>
  <c r="W718"/>
  <c r="X718"/>
  <c r="Y718"/>
  <c r="AA718"/>
  <c r="AB718"/>
  <c r="AC718"/>
  <c r="AD718"/>
  <c r="P719"/>
  <c r="Q719"/>
  <c r="R719"/>
  <c r="S719"/>
  <c r="T719"/>
  <c r="U719"/>
  <c r="V719"/>
  <c r="W719"/>
  <c r="X719"/>
  <c r="Y719"/>
  <c r="AA719"/>
  <c r="AB719"/>
  <c r="AC719"/>
  <c r="AD719"/>
  <c r="P720"/>
  <c r="Q720"/>
  <c r="R720"/>
  <c r="S720"/>
  <c r="T720"/>
  <c r="U720"/>
  <c r="V720"/>
  <c r="W720"/>
  <c r="X720"/>
  <c r="Y720"/>
  <c r="AA720"/>
  <c r="AB720"/>
  <c r="AC720"/>
  <c r="AD720"/>
  <c r="P721"/>
  <c r="Q721"/>
  <c r="R721"/>
  <c r="S721"/>
  <c r="T721"/>
  <c r="U721"/>
  <c r="V721"/>
  <c r="W721"/>
  <c r="X721"/>
  <c r="Y721"/>
  <c r="AA721"/>
  <c r="AB721"/>
  <c r="AC721"/>
  <c r="AD721"/>
  <c r="P722"/>
  <c r="Q722"/>
  <c r="R722"/>
  <c r="S722"/>
  <c r="T722"/>
  <c r="U722"/>
  <c r="V722"/>
  <c r="W722"/>
  <c r="X722"/>
  <c r="Y722"/>
  <c r="AA722"/>
  <c r="AB722"/>
  <c r="AC722"/>
  <c r="AD722"/>
  <c r="P723"/>
  <c r="Q723"/>
  <c r="R723"/>
  <c r="S723"/>
  <c r="T723"/>
  <c r="U723"/>
  <c r="V723"/>
  <c r="W723"/>
  <c r="X723"/>
  <c r="Y723"/>
  <c r="AA723"/>
  <c r="AB723"/>
  <c r="AC723"/>
  <c r="AD723"/>
  <c r="P724"/>
  <c r="Q724"/>
  <c r="R724"/>
  <c r="S724"/>
  <c r="T724"/>
  <c r="U724"/>
  <c r="V724"/>
  <c r="W724"/>
  <c r="X724"/>
  <c r="Y724"/>
  <c r="AA724"/>
  <c r="AB724"/>
  <c r="AC724"/>
  <c r="AD724"/>
  <c r="P725"/>
  <c r="Q725"/>
  <c r="R725"/>
  <c r="S725"/>
  <c r="T725"/>
  <c r="U725"/>
  <c r="V725"/>
  <c r="W725"/>
  <c r="X725"/>
  <c r="Y725"/>
  <c r="AA725"/>
  <c r="AB725"/>
  <c r="AC725"/>
  <c r="AD725"/>
  <c r="P726"/>
  <c r="Q726"/>
  <c r="R726"/>
  <c r="S726"/>
  <c r="T726"/>
  <c r="U726"/>
  <c r="V726"/>
  <c r="W726"/>
  <c r="X726"/>
  <c r="Y726"/>
  <c r="AA726"/>
  <c r="AB726"/>
  <c r="AC726"/>
  <c r="AD726"/>
  <c r="P727"/>
  <c r="Q727"/>
  <c r="R727"/>
  <c r="S727"/>
  <c r="T727"/>
  <c r="U727"/>
  <c r="V727"/>
  <c r="W727"/>
  <c r="X727"/>
  <c r="Y727"/>
  <c r="AA727"/>
  <c r="AB727"/>
  <c r="AC727"/>
  <c r="AD727"/>
  <c r="P728"/>
  <c r="Q728"/>
  <c r="R728"/>
  <c r="S728"/>
  <c r="T728"/>
  <c r="U728"/>
  <c r="V728"/>
  <c r="W728"/>
  <c r="X728"/>
  <c r="Y728"/>
  <c r="AA728"/>
  <c r="AB728"/>
  <c r="AC728"/>
  <c r="AD728"/>
  <c r="P729"/>
  <c r="Q729"/>
  <c r="R729"/>
  <c r="S729"/>
  <c r="T729"/>
  <c r="U729"/>
  <c r="V729"/>
  <c r="W729"/>
  <c r="X729"/>
  <c r="Y729"/>
  <c r="AA729"/>
  <c r="AB729"/>
  <c r="AC729"/>
  <c r="AD729"/>
  <c r="P730"/>
  <c r="Q730"/>
  <c r="R730"/>
  <c r="S730"/>
  <c r="T730"/>
  <c r="U730"/>
  <c r="V730"/>
  <c r="W730"/>
  <c r="X730"/>
  <c r="Y730"/>
  <c r="AA730"/>
  <c r="AB730"/>
  <c r="AC730"/>
  <c r="AD730"/>
  <c r="P731"/>
  <c r="Q731"/>
  <c r="R731"/>
  <c r="S731"/>
  <c r="T731"/>
  <c r="U731"/>
  <c r="V731"/>
  <c r="W731"/>
  <c r="X731"/>
  <c r="Y731"/>
  <c r="AA731"/>
  <c r="AB731"/>
  <c r="AC731"/>
  <c r="AD731"/>
  <c r="P732"/>
  <c r="Q732"/>
  <c r="R732"/>
  <c r="S732"/>
  <c r="T732"/>
  <c r="U732"/>
  <c r="V732"/>
  <c r="W732"/>
  <c r="X732"/>
  <c r="Y732"/>
  <c r="AA732"/>
  <c r="AB732"/>
  <c r="AC732"/>
  <c r="AD732"/>
  <c r="P733"/>
  <c r="Q733"/>
  <c r="R733"/>
  <c r="S733"/>
  <c r="T733"/>
  <c r="U733"/>
  <c r="V733"/>
  <c r="W733"/>
  <c r="X733"/>
  <c r="Y733"/>
  <c r="AA733"/>
  <c r="AB733"/>
  <c r="AC733"/>
  <c r="AD733"/>
  <c r="P734"/>
  <c r="Q734"/>
  <c r="R734"/>
  <c r="S734"/>
  <c r="T734"/>
  <c r="U734"/>
  <c r="V734"/>
  <c r="W734"/>
  <c r="X734"/>
  <c r="Y734"/>
  <c r="AA734"/>
  <c r="AB734"/>
  <c r="AC734"/>
  <c r="AD734"/>
  <c r="P735"/>
  <c r="Q735"/>
  <c r="R735"/>
  <c r="S735"/>
  <c r="T735"/>
  <c r="U735"/>
  <c r="V735"/>
  <c r="W735"/>
  <c r="X735"/>
  <c r="Y735"/>
  <c r="AA735"/>
  <c r="AB735"/>
  <c r="AC735"/>
  <c r="AD735"/>
  <c r="P736"/>
  <c r="Q736"/>
  <c r="R736"/>
  <c r="S736"/>
  <c r="T736"/>
  <c r="U736"/>
  <c r="V736"/>
  <c r="W736"/>
  <c r="X736"/>
  <c r="Y736"/>
  <c r="AA736"/>
  <c r="AB736"/>
  <c r="AC736"/>
  <c r="AD736"/>
  <c r="P737"/>
  <c r="Q737"/>
  <c r="R737"/>
  <c r="S737"/>
  <c r="T737"/>
  <c r="U737"/>
  <c r="V737"/>
  <c r="W737"/>
  <c r="X737"/>
  <c r="Y737"/>
  <c r="AA737"/>
  <c r="AB737"/>
  <c r="AC737"/>
  <c r="AD737"/>
  <c r="P738"/>
  <c r="Q738"/>
  <c r="R738"/>
  <c r="S738"/>
  <c r="T738"/>
  <c r="U738"/>
  <c r="V738"/>
  <c r="W738"/>
  <c r="X738"/>
  <c r="Y738"/>
  <c r="AA738"/>
  <c r="AB738"/>
  <c r="AC738"/>
  <c r="AD738"/>
  <c r="P739"/>
  <c r="Q739"/>
  <c r="R739"/>
  <c r="S739"/>
  <c r="T739"/>
  <c r="U739"/>
  <c r="V739"/>
  <c r="W739"/>
  <c r="X739"/>
  <c r="Y739"/>
  <c r="AA739"/>
  <c r="AB739"/>
  <c r="AC739"/>
  <c r="AD739"/>
  <c r="P740"/>
  <c r="Q740"/>
  <c r="R740"/>
  <c r="S740"/>
  <c r="T740"/>
  <c r="U740"/>
  <c r="V740"/>
  <c r="W740"/>
  <c r="X740"/>
  <c r="Y740"/>
  <c r="AA740"/>
  <c r="AB740"/>
  <c r="AC740"/>
  <c r="AD740"/>
  <c r="P741"/>
  <c r="Q741"/>
  <c r="R741"/>
  <c r="S741"/>
  <c r="T741"/>
  <c r="U741"/>
  <c r="V741"/>
  <c r="W741"/>
  <c r="X741"/>
  <c r="Y741"/>
  <c r="AA741"/>
  <c r="AB741"/>
  <c r="AC741"/>
  <c r="AD741"/>
  <c r="P742"/>
  <c r="Q742"/>
  <c r="R742"/>
  <c r="S742"/>
  <c r="T742"/>
  <c r="U742"/>
  <c r="V742"/>
  <c r="W742"/>
  <c r="X742"/>
  <c r="Y742"/>
  <c r="AA742"/>
  <c r="AB742"/>
  <c r="AC742"/>
  <c r="AD742"/>
  <c r="P743"/>
  <c r="Q743"/>
  <c r="R743"/>
  <c r="S743"/>
  <c r="T743"/>
  <c r="U743"/>
  <c r="V743"/>
  <c r="W743"/>
  <c r="X743"/>
  <c r="Y743"/>
  <c r="AA743"/>
  <c r="AB743"/>
  <c r="AC743"/>
  <c r="AD743"/>
  <c r="P744"/>
  <c r="Q744"/>
  <c r="R744"/>
  <c r="S744"/>
  <c r="T744"/>
  <c r="U744"/>
  <c r="V744"/>
  <c r="W744"/>
  <c r="X744"/>
  <c r="Y744"/>
  <c r="AA744"/>
  <c r="AB744"/>
  <c r="AC744"/>
  <c r="AD744"/>
  <c r="P745"/>
  <c r="Q745"/>
  <c r="R745"/>
  <c r="S745"/>
  <c r="T745"/>
  <c r="U745"/>
  <c r="V745"/>
  <c r="W745"/>
  <c r="X745"/>
  <c r="Y745"/>
  <c r="AA745"/>
  <c r="AB745"/>
  <c r="AC745"/>
  <c r="AD745"/>
  <c r="P746"/>
  <c r="Q746"/>
  <c r="R746"/>
  <c r="S746"/>
  <c r="T746"/>
  <c r="U746"/>
  <c r="V746"/>
  <c r="W746"/>
  <c r="X746"/>
  <c r="Y746"/>
  <c r="AA746"/>
  <c r="AB746"/>
  <c r="AC746"/>
  <c r="AD746"/>
  <c r="P747"/>
  <c r="Q747"/>
  <c r="R747"/>
  <c r="S747"/>
  <c r="T747"/>
  <c r="U747"/>
  <c r="V747"/>
  <c r="W747"/>
  <c r="X747"/>
  <c r="Y747"/>
  <c r="AA747"/>
  <c r="AB747"/>
  <c r="AC747"/>
  <c r="AD747"/>
  <c r="P748"/>
  <c r="Q748"/>
  <c r="R748"/>
  <c r="S748"/>
  <c r="T748"/>
  <c r="U748"/>
  <c r="V748"/>
  <c r="W748"/>
  <c r="X748"/>
  <c r="Y748"/>
  <c r="AA748"/>
  <c r="AB748"/>
  <c r="AC748"/>
  <c r="AD748"/>
  <c r="P749"/>
  <c r="Q749"/>
  <c r="R749"/>
  <c r="S749"/>
  <c r="T749"/>
  <c r="U749"/>
  <c r="V749"/>
  <c r="W749"/>
  <c r="X749"/>
  <c r="Y749"/>
  <c r="AA749"/>
  <c r="AB749"/>
  <c r="AC749"/>
  <c r="AD749"/>
  <c r="P750"/>
  <c r="Q750"/>
  <c r="R750"/>
  <c r="S750"/>
  <c r="T750"/>
  <c r="U750"/>
  <c r="V750"/>
  <c r="W750"/>
  <c r="X750"/>
  <c r="Y750"/>
  <c r="AA750"/>
  <c r="AB750"/>
  <c r="AC750"/>
  <c r="AD750"/>
  <c r="P751"/>
  <c r="Q751"/>
  <c r="R751"/>
  <c r="S751"/>
  <c r="T751"/>
  <c r="U751"/>
  <c r="V751"/>
  <c r="W751"/>
  <c r="X751"/>
  <c r="Y751"/>
  <c r="AA751"/>
  <c r="AB751"/>
  <c r="AC751"/>
  <c r="AD751"/>
  <c r="P752"/>
  <c r="Q752"/>
  <c r="R752"/>
  <c r="S752"/>
  <c r="T752"/>
  <c r="U752"/>
  <c r="V752"/>
  <c r="W752"/>
  <c r="X752"/>
  <c r="Y752"/>
  <c r="AA752"/>
  <c r="AB752"/>
  <c r="AC752"/>
  <c r="AD752"/>
  <c r="P753"/>
  <c r="Q753"/>
  <c r="R753"/>
  <c r="S753"/>
  <c r="T753"/>
  <c r="U753"/>
  <c r="V753"/>
  <c r="W753"/>
  <c r="X753"/>
  <c r="Y753"/>
  <c r="AA753"/>
  <c r="AB753"/>
  <c r="AC753"/>
  <c r="AD753"/>
  <c r="P754"/>
  <c r="Q754"/>
  <c r="R754"/>
  <c r="S754"/>
  <c r="T754"/>
  <c r="U754"/>
  <c r="V754"/>
  <c r="W754"/>
  <c r="X754"/>
  <c r="Y754"/>
  <c r="AA754"/>
  <c r="AB754"/>
  <c r="AC754"/>
  <c r="AD754"/>
  <c r="P755"/>
  <c r="Q755"/>
  <c r="R755"/>
  <c r="S755"/>
  <c r="T755"/>
  <c r="U755"/>
  <c r="V755"/>
  <c r="W755"/>
  <c r="X755"/>
  <c r="Y755"/>
  <c r="AA755"/>
  <c r="AB755"/>
  <c r="AC755"/>
  <c r="AD755"/>
  <c r="P756"/>
  <c r="Q756"/>
  <c r="R756"/>
  <c r="S756"/>
  <c r="T756"/>
  <c r="U756"/>
  <c r="V756"/>
  <c r="W756"/>
  <c r="X756"/>
  <c r="Y756"/>
  <c r="AA756"/>
  <c r="AB756"/>
  <c r="AC756"/>
  <c r="AD756"/>
  <c r="P757"/>
  <c r="Q757"/>
  <c r="R757"/>
  <c r="S757"/>
  <c r="T757"/>
  <c r="U757"/>
  <c r="V757"/>
  <c r="W757"/>
  <c r="X757"/>
  <c r="Y757"/>
  <c r="AA757"/>
  <c r="AB757"/>
  <c r="AC757"/>
  <c r="AD757"/>
  <c r="P758"/>
  <c r="Q758"/>
  <c r="R758"/>
  <c r="S758"/>
  <c r="T758"/>
  <c r="U758"/>
  <c r="V758"/>
  <c r="W758"/>
  <c r="X758"/>
  <c r="Y758"/>
  <c r="AA758"/>
  <c r="AB758"/>
  <c r="AC758"/>
  <c r="AD758"/>
  <c r="P759"/>
  <c r="Q759"/>
  <c r="R759"/>
  <c r="S759"/>
  <c r="T759"/>
  <c r="U759"/>
  <c r="V759"/>
  <c r="W759"/>
  <c r="X759"/>
  <c r="Y759"/>
  <c r="AA759"/>
  <c r="AB759"/>
  <c r="AC759"/>
  <c r="AD759"/>
  <c r="P760"/>
  <c r="Q760"/>
  <c r="R760"/>
  <c r="S760"/>
  <c r="T760"/>
  <c r="U760"/>
  <c r="V760"/>
  <c r="W760"/>
  <c r="X760"/>
  <c r="Y760"/>
  <c r="AA760"/>
  <c r="AB760"/>
  <c r="AC760"/>
  <c r="AD760"/>
  <c r="P761"/>
  <c r="Q761"/>
  <c r="R761"/>
  <c r="S761"/>
  <c r="T761"/>
  <c r="U761"/>
  <c r="V761"/>
  <c r="W761"/>
  <c r="X761"/>
  <c r="Y761"/>
  <c r="AA761"/>
  <c r="AB761"/>
  <c r="AC761"/>
  <c r="AD761"/>
  <c r="P762"/>
  <c r="Q762"/>
  <c r="R762"/>
  <c r="S762"/>
  <c r="T762"/>
  <c r="U762"/>
  <c r="V762"/>
  <c r="W762"/>
  <c r="X762"/>
  <c r="Y762"/>
  <c r="AA762"/>
  <c r="AB762"/>
  <c r="AC762"/>
  <c r="AD762"/>
  <c r="P763"/>
  <c r="Q763"/>
  <c r="R763"/>
  <c r="S763"/>
  <c r="T763"/>
  <c r="U763"/>
  <c r="V763"/>
  <c r="W763"/>
  <c r="X763"/>
  <c r="Y763"/>
  <c r="AA763"/>
  <c r="AB763"/>
  <c r="AC763"/>
  <c r="AD763"/>
  <c r="P764"/>
  <c r="Q764"/>
  <c r="R764"/>
  <c r="S764"/>
  <c r="T764"/>
  <c r="U764"/>
  <c r="V764"/>
  <c r="W764"/>
  <c r="X764"/>
  <c r="Y764"/>
  <c r="AA764"/>
  <c r="AB764"/>
  <c r="AC764"/>
  <c r="AD764"/>
  <c r="P765"/>
  <c r="Q765"/>
  <c r="R765"/>
  <c r="S765"/>
  <c r="T765"/>
  <c r="U765"/>
  <c r="V765"/>
  <c r="W765"/>
  <c r="X765"/>
  <c r="Y765"/>
  <c r="AA765"/>
  <c r="AB765"/>
  <c r="AC765"/>
  <c r="AD765"/>
  <c r="P766"/>
  <c r="Q766"/>
  <c r="R766"/>
  <c r="S766"/>
  <c r="T766"/>
  <c r="U766"/>
  <c r="V766"/>
  <c r="W766"/>
  <c r="X766"/>
  <c r="Y766"/>
  <c r="AA766"/>
  <c r="AB766"/>
  <c r="AC766"/>
  <c r="AD766"/>
  <c r="P767"/>
  <c r="Q767"/>
  <c r="R767"/>
  <c r="S767"/>
  <c r="T767"/>
  <c r="U767"/>
  <c r="V767"/>
  <c r="W767"/>
  <c r="X767"/>
  <c r="Y767"/>
  <c r="AA767"/>
  <c r="AB767"/>
  <c r="AC767"/>
  <c r="AD767"/>
  <c r="P768"/>
  <c r="Q768"/>
  <c r="R768"/>
  <c r="S768"/>
  <c r="T768"/>
  <c r="U768"/>
  <c r="V768"/>
  <c r="W768"/>
  <c r="X768"/>
  <c r="Y768"/>
  <c r="AA768"/>
  <c r="AB768"/>
  <c r="AC768"/>
  <c r="AD768"/>
  <c r="P769"/>
  <c r="Q769"/>
  <c r="R769"/>
  <c r="S769"/>
  <c r="T769"/>
  <c r="U769"/>
  <c r="V769"/>
  <c r="W769"/>
  <c r="X769"/>
  <c r="Y769"/>
  <c r="AA769"/>
  <c r="AB769"/>
  <c r="AC769"/>
  <c r="AD769"/>
  <c r="P770"/>
  <c r="Q770"/>
  <c r="R770"/>
  <c r="S770"/>
  <c r="T770"/>
  <c r="U770"/>
  <c r="V770"/>
  <c r="W770"/>
  <c r="X770"/>
  <c r="Y770"/>
  <c r="AA770"/>
  <c r="AB770"/>
  <c r="AC770"/>
  <c r="AD770"/>
  <c r="P771"/>
  <c r="Q771"/>
  <c r="R771"/>
  <c r="S771"/>
  <c r="T771"/>
  <c r="U771"/>
  <c r="V771"/>
  <c r="W771"/>
  <c r="X771"/>
  <c r="Y771"/>
  <c r="AA771"/>
  <c r="AB771"/>
  <c r="AC771"/>
  <c r="AD771"/>
  <c r="P772"/>
  <c r="Q772"/>
  <c r="R772"/>
  <c r="S772"/>
  <c r="T772"/>
  <c r="U772"/>
  <c r="V772"/>
  <c r="W772"/>
  <c r="X772"/>
  <c r="Y772"/>
  <c r="AA772"/>
  <c r="AB772"/>
  <c r="AC772"/>
  <c r="AD772"/>
  <c r="P773"/>
  <c r="Q773"/>
  <c r="R773"/>
  <c r="S773"/>
  <c r="T773"/>
  <c r="U773"/>
  <c r="V773"/>
  <c r="W773"/>
  <c r="X773"/>
  <c r="Y773"/>
  <c r="AA773"/>
  <c r="AB773"/>
  <c r="AC773"/>
  <c r="AD773"/>
  <c r="P774"/>
  <c r="Q774"/>
  <c r="R774"/>
  <c r="S774"/>
  <c r="T774"/>
  <c r="U774"/>
  <c r="V774"/>
  <c r="W774"/>
  <c r="X774"/>
  <c r="Y774"/>
  <c r="AA774"/>
  <c r="AB774"/>
  <c r="AC774"/>
  <c r="AD774"/>
  <c r="P775"/>
  <c r="Q775"/>
  <c r="R775"/>
  <c r="S775"/>
  <c r="T775"/>
  <c r="U775"/>
  <c r="V775"/>
  <c r="W775"/>
  <c r="X775"/>
  <c r="Y775"/>
  <c r="AA775"/>
  <c r="AB775"/>
  <c r="AC775"/>
  <c r="AD775"/>
  <c r="P776"/>
  <c r="Q776"/>
  <c r="R776"/>
  <c r="S776"/>
  <c r="T776"/>
  <c r="U776"/>
  <c r="V776"/>
  <c r="W776"/>
  <c r="X776"/>
  <c r="Y776"/>
  <c r="AA776"/>
  <c r="AB776"/>
  <c r="AC776"/>
  <c r="AD776"/>
  <c r="P777"/>
  <c r="Q777"/>
  <c r="R777"/>
  <c r="S777"/>
  <c r="T777"/>
  <c r="U777"/>
  <c r="V777"/>
  <c r="W777"/>
  <c r="X777"/>
  <c r="Y777"/>
  <c r="AA777"/>
  <c r="AB777"/>
  <c r="AC777"/>
  <c r="AD777"/>
  <c r="P778"/>
  <c r="Q778"/>
  <c r="R778"/>
  <c r="S778"/>
  <c r="T778"/>
  <c r="U778"/>
  <c r="V778"/>
  <c r="W778"/>
  <c r="X778"/>
  <c r="Y778"/>
  <c r="AA778"/>
  <c r="AB778"/>
  <c r="AC778"/>
  <c r="AD778"/>
  <c r="P779"/>
  <c r="Q779"/>
  <c r="R779"/>
  <c r="S779"/>
  <c r="T779"/>
  <c r="U779"/>
  <c r="V779"/>
  <c r="W779"/>
  <c r="X779"/>
  <c r="Y779"/>
  <c r="AA779"/>
  <c r="AB779"/>
  <c r="AC779"/>
  <c r="AD779"/>
  <c r="P780"/>
  <c r="Q780"/>
  <c r="R780"/>
  <c r="S780"/>
  <c r="T780"/>
  <c r="U780"/>
  <c r="V780"/>
  <c r="W780"/>
  <c r="X780"/>
  <c r="Y780"/>
  <c r="AA780"/>
  <c r="AB780"/>
  <c r="AC780"/>
  <c r="AD780"/>
  <c r="P781"/>
  <c r="Q781"/>
  <c r="R781"/>
  <c r="S781"/>
  <c r="T781"/>
  <c r="U781"/>
  <c r="V781"/>
  <c r="W781"/>
  <c r="X781"/>
  <c r="Y781"/>
  <c r="AA781"/>
  <c r="AB781"/>
  <c r="AC781"/>
  <c r="AD781"/>
  <c r="P782"/>
  <c r="Q782"/>
  <c r="R782"/>
  <c r="S782"/>
  <c r="T782"/>
  <c r="U782"/>
  <c r="V782"/>
  <c r="W782"/>
  <c r="X782"/>
  <c r="Y782"/>
  <c r="AA782"/>
  <c r="AB782"/>
  <c r="AC782"/>
  <c r="AD782"/>
  <c r="P783"/>
  <c r="Q783"/>
  <c r="R783"/>
  <c r="S783"/>
  <c r="T783"/>
  <c r="U783"/>
  <c r="V783"/>
  <c r="W783"/>
  <c r="X783"/>
  <c r="Y783"/>
  <c r="AA783"/>
  <c r="AB783"/>
  <c r="AC783"/>
  <c r="AD783"/>
  <c r="P784"/>
  <c r="Q784"/>
  <c r="R784"/>
  <c r="S784"/>
  <c r="T784"/>
  <c r="U784"/>
  <c r="V784"/>
  <c r="W784"/>
  <c r="X784"/>
  <c r="Y784"/>
  <c r="AA784"/>
  <c r="AB784"/>
  <c r="AC784"/>
  <c r="AD784"/>
  <c r="P785"/>
  <c r="Q785"/>
  <c r="R785"/>
  <c r="S785"/>
  <c r="T785"/>
  <c r="U785"/>
  <c r="V785"/>
  <c r="W785"/>
  <c r="X785"/>
  <c r="Y785"/>
  <c r="AA785"/>
  <c r="AB785"/>
  <c r="AC785"/>
  <c r="AD785"/>
  <c r="P786"/>
  <c r="Q786"/>
  <c r="R786"/>
  <c r="S786"/>
  <c r="T786"/>
  <c r="U786"/>
  <c r="V786"/>
  <c r="W786"/>
  <c r="X786"/>
  <c r="Y786"/>
  <c r="AA786"/>
  <c r="AB786"/>
  <c r="AC786"/>
  <c r="AD786"/>
  <c r="P787"/>
  <c r="Q787"/>
  <c r="R787"/>
  <c r="S787"/>
  <c r="T787"/>
  <c r="U787"/>
  <c r="V787"/>
  <c r="W787"/>
  <c r="X787"/>
  <c r="Y787"/>
  <c r="AA787"/>
  <c r="AB787"/>
  <c r="AC787"/>
  <c r="AD787"/>
  <c r="P788"/>
  <c r="Q788"/>
  <c r="R788"/>
  <c r="S788"/>
  <c r="T788"/>
  <c r="U788"/>
  <c r="V788"/>
  <c r="W788"/>
  <c r="X788"/>
  <c r="Y788"/>
  <c r="AA788"/>
  <c r="AB788"/>
  <c r="AC788"/>
  <c r="AD788"/>
  <c r="P789"/>
  <c r="Q789"/>
  <c r="R789"/>
  <c r="S789"/>
  <c r="T789"/>
  <c r="U789"/>
  <c r="V789"/>
  <c r="W789"/>
  <c r="X789"/>
  <c r="Y789"/>
  <c r="AA789"/>
  <c r="AB789"/>
  <c r="AC789"/>
  <c r="AD789"/>
  <c r="P790"/>
  <c r="Q790"/>
  <c r="R790"/>
  <c r="S790"/>
  <c r="T790"/>
  <c r="U790"/>
  <c r="V790"/>
  <c r="W790"/>
  <c r="X790"/>
  <c r="Y790"/>
  <c r="AA790"/>
  <c r="AB790"/>
  <c r="AC790"/>
  <c r="AD790"/>
  <c r="P791"/>
  <c r="Q791"/>
  <c r="R791"/>
  <c r="S791"/>
  <c r="T791"/>
  <c r="U791"/>
  <c r="V791"/>
  <c r="W791"/>
  <c r="X791"/>
  <c r="Y791"/>
  <c r="AA791"/>
  <c r="AB791"/>
  <c r="AC791"/>
  <c r="AD791"/>
  <c r="P792"/>
  <c r="Q792"/>
  <c r="R792"/>
  <c r="S792"/>
  <c r="T792"/>
  <c r="U792"/>
  <c r="V792"/>
  <c r="W792"/>
  <c r="X792"/>
  <c r="Y792"/>
  <c r="AA792"/>
  <c r="AB792"/>
  <c r="AC792"/>
  <c r="AD792"/>
  <c r="P793"/>
  <c r="Q793"/>
  <c r="R793"/>
  <c r="S793"/>
  <c r="T793"/>
  <c r="U793"/>
  <c r="V793"/>
  <c r="W793"/>
  <c r="X793"/>
  <c r="Y793"/>
  <c r="AA793"/>
  <c r="AB793"/>
  <c r="AC793"/>
  <c r="AD793"/>
  <c r="P794"/>
  <c r="Q794"/>
  <c r="R794"/>
  <c r="S794"/>
  <c r="T794"/>
  <c r="U794"/>
  <c r="V794"/>
  <c r="W794"/>
  <c r="X794"/>
  <c r="Y794"/>
  <c r="AA794"/>
  <c r="AB794"/>
  <c r="AC794"/>
  <c r="AD794"/>
  <c r="P795"/>
  <c r="Q795"/>
  <c r="R795"/>
  <c r="S795"/>
  <c r="T795"/>
  <c r="U795"/>
  <c r="V795"/>
  <c r="W795"/>
  <c r="X795"/>
  <c r="Y795"/>
  <c r="AA795"/>
  <c r="AB795"/>
  <c r="AC795"/>
  <c r="AD795"/>
  <c r="P796"/>
  <c r="Q796"/>
  <c r="R796"/>
  <c r="S796"/>
  <c r="T796"/>
  <c r="U796"/>
  <c r="V796"/>
  <c r="W796"/>
  <c r="X796"/>
  <c r="Y796"/>
  <c r="AA796"/>
  <c r="AB796"/>
  <c r="AC796"/>
  <c r="AD796"/>
  <c r="P797"/>
  <c r="Q797"/>
  <c r="R797"/>
  <c r="S797"/>
  <c r="T797"/>
  <c r="U797"/>
  <c r="V797"/>
  <c r="W797"/>
  <c r="X797"/>
  <c r="Y797"/>
  <c r="AA797"/>
  <c r="AB797"/>
  <c r="AC797"/>
  <c r="AD797"/>
  <c r="P798"/>
  <c r="Q798"/>
  <c r="R798"/>
  <c r="S798"/>
  <c r="T798"/>
  <c r="U798"/>
  <c r="V798"/>
  <c r="W798"/>
  <c r="X798"/>
  <c r="Y798"/>
  <c r="AA798"/>
  <c r="AB798"/>
  <c r="AC798"/>
  <c r="AD798"/>
  <c r="P799"/>
  <c r="Q799"/>
  <c r="R799"/>
  <c r="S799"/>
  <c r="T799"/>
  <c r="U799"/>
  <c r="V799"/>
  <c r="W799"/>
  <c r="X799"/>
  <c r="Y799"/>
  <c r="AA799"/>
  <c r="AB799"/>
  <c r="AC799"/>
  <c r="AD799"/>
  <c r="P800"/>
  <c r="Q800"/>
  <c r="R800"/>
  <c r="S800"/>
  <c r="T800"/>
  <c r="U800"/>
  <c r="V800"/>
  <c r="W800"/>
  <c r="X800"/>
  <c r="Y800"/>
  <c r="AA800"/>
  <c r="AB800"/>
  <c r="AC800"/>
  <c r="AD800"/>
  <c r="P801"/>
  <c r="Q801"/>
  <c r="R801"/>
  <c r="S801"/>
  <c r="T801"/>
  <c r="U801"/>
  <c r="V801"/>
  <c r="W801"/>
  <c r="X801"/>
  <c r="Y801"/>
  <c r="AA801"/>
  <c r="AB801"/>
  <c r="AC801"/>
  <c r="AD801"/>
  <c r="P802"/>
  <c r="Q802"/>
  <c r="R802"/>
  <c r="S802"/>
  <c r="T802"/>
  <c r="U802"/>
  <c r="V802"/>
  <c r="W802"/>
  <c r="X802"/>
  <c r="Y802"/>
  <c r="AA802"/>
  <c r="AB802"/>
  <c r="AC802"/>
  <c r="AD802"/>
  <c r="P803"/>
  <c r="Q803"/>
  <c r="R803"/>
  <c r="S803"/>
  <c r="T803"/>
  <c r="U803"/>
  <c r="V803"/>
  <c r="W803"/>
  <c r="X803"/>
  <c r="Y803"/>
  <c r="AA803"/>
  <c r="AB803"/>
  <c r="AC803"/>
  <c r="AD803"/>
  <c r="P804"/>
  <c r="Q804"/>
  <c r="R804"/>
  <c r="S804"/>
  <c r="T804"/>
  <c r="U804"/>
  <c r="V804"/>
  <c r="W804"/>
  <c r="X804"/>
  <c r="Y804"/>
  <c r="AA804"/>
  <c r="AB804"/>
  <c r="AC804"/>
  <c r="AD804"/>
  <c r="P805"/>
  <c r="Q805"/>
  <c r="R805"/>
  <c r="S805"/>
  <c r="T805"/>
  <c r="U805"/>
  <c r="V805"/>
  <c r="W805"/>
  <c r="X805"/>
  <c r="Y805"/>
  <c r="AA805"/>
  <c r="AB805"/>
  <c r="AC805"/>
  <c r="AD805"/>
  <c r="P806"/>
  <c r="Q806"/>
  <c r="R806"/>
  <c r="S806"/>
  <c r="T806"/>
  <c r="U806"/>
  <c r="V806"/>
  <c r="W806"/>
  <c r="X806"/>
  <c r="Y806"/>
  <c r="AA806"/>
  <c r="AB806"/>
  <c r="AC806"/>
  <c r="AD806"/>
  <c r="P807"/>
  <c r="Q807"/>
  <c r="R807"/>
  <c r="S807"/>
  <c r="T807"/>
  <c r="U807"/>
  <c r="V807"/>
  <c r="W807"/>
  <c r="X807"/>
  <c r="Y807"/>
  <c r="AA807"/>
  <c r="AB807"/>
  <c r="AC807"/>
  <c r="AD807"/>
  <c r="P808"/>
  <c r="Q808"/>
  <c r="R808"/>
  <c r="S808"/>
  <c r="T808"/>
  <c r="U808"/>
  <c r="V808"/>
  <c r="W808"/>
  <c r="X808"/>
  <c r="Y808"/>
  <c r="AA808"/>
  <c r="AB808"/>
  <c r="AC808"/>
  <c r="AD808"/>
  <c r="P809"/>
  <c r="Q809"/>
  <c r="R809"/>
  <c r="S809"/>
  <c r="T809"/>
  <c r="U809"/>
  <c r="V809"/>
  <c r="W809"/>
  <c r="X809"/>
  <c r="Y809"/>
  <c r="AA809"/>
  <c r="AB809"/>
  <c r="AC809"/>
  <c r="AD809"/>
  <c r="P810"/>
  <c r="Q810"/>
  <c r="R810"/>
  <c r="S810"/>
  <c r="T810"/>
  <c r="U810"/>
  <c r="V810"/>
  <c r="W810"/>
  <c r="X810"/>
  <c r="Y810"/>
  <c r="AA810"/>
  <c r="AB810"/>
  <c r="AC810"/>
  <c r="AD810"/>
  <c r="P811"/>
  <c r="Q811"/>
  <c r="R811"/>
  <c r="S811"/>
  <c r="T811"/>
  <c r="U811"/>
  <c r="V811"/>
  <c r="W811"/>
  <c r="X811"/>
  <c r="Y811"/>
  <c r="AA811"/>
  <c r="AB811"/>
  <c r="AC811"/>
  <c r="AD811"/>
  <c r="P812"/>
  <c r="Q812"/>
  <c r="R812"/>
  <c r="S812"/>
  <c r="T812"/>
  <c r="U812"/>
  <c r="V812"/>
  <c r="W812"/>
  <c r="X812"/>
  <c r="Y812"/>
  <c r="AA812"/>
  <c r="AB812"/>
  <c r="AC812"/>
  <c r="AD812"/>
  <c r="P813"/>
  <c r="Q813"/>
  <c r="R813"/>
  <c r="S813"/>
  <c r="T813"/>
  <c r="U813"/>
  <c r="V813"/>
  <c r="W813"/>
  <c r="X813"/>
  <c r="Y813"/>
  <c r="AA813"/>
  <c r="AB813"/>
  <c r="AC813"/>
  <c r="AD813"/>
  <c r="P814"/>
  <c r="Q814"/>
  <c r="R814"/>
  <c r="S814"/>
  <c r="T814"/>
  <c r="U814"/>
  <c r="V814"/>
  <c r="W814"/>
  <c r="X814"/>
  <c r="Y814"/>
  <c r="AA814"/>
  <c r="AB814"/>
  <c r="AC814"/>
  <c r="AD814"/>
  <c r="P815"/>
  <c r="Q815"/>
  <c r="R815"/>
  <c r="S815"/>
  <c r="T815"/>
  <c r="U815"/>
  <c r="V815"/>
  <c r="W815"/>
  <c r="X815"/>
  <c r="Y815"/>
  <c r="AA815"/>
  <c r="AB815"/>
  <c r="AC815"/>
  <c r="AD815"/>
  <c r="P816"/>
  <c r="Q816"/>
  <c r="R816"/>
  <c r="S816"/>
  <c r="T816"/>
  <c r="U816"/>
  <c r="V816"/>
  <c r="W816"/>
  <c r="X816"/>
  <c r="Y816"/>
  <c r="AA816"/>
  <c r="AB816"/>
  <c r="AC816"/>
  <c r="AD816"/>
  <c r="P817"/>
  <c r="Q817"/>
  <c r="R817"/>
  <c r="S817"/>
  <c r="T817"/>
  <c r="U817"/>
  <c r="V817"/>
  <c r="W817"/>
  <c r="X817"/>
  <c r="Y817"/>
  <c r="AA817"/>
  <c r="AB817"/>
  <c r="AC817"/>
  <c r="AD817"/>
  <c r="P818"/>
  <c r="Q818"/>
  <c r="R818"/>
  <c r="S818"/>
  <c r="T818"/>
  <c r="U818"/>
  <c r="V818"/>
  <c r="W818"/>
  <c r="X818"/>
  <c r="Y818"/>
  <c r="AA818"/>
  <c r="AB818"/>
  <c r="AC818"/>
  <c r="AD818"/>
  <c r="P819"/>
  <c r="Q819"/>
  <c r="R819"/>
  <c r="S819"/>
  <c r="T819"/>
  <c r="U819"/>
  <c r="V819"/>
  <c r="W819"/>
  <c r="X819"/>
  <c r="Y819"/>
  <c r="AA819"/>
  <c r="AB819"/>
  <c r="AC819"/>
  <c r="AD819"/>
  <c r="P820"/>
  <c r="Q820"/>
  <c r="R820"/>
  <c r="S820"/>
  <c r="T820"/>
  <c r="U820"/>
  <c r="V820"/>
  <c r="W820"/>
  <c r="X820"/>
  <c r="Y820"/>
  <c r="AA820"/>
  <c r="AB820"/>
  <c r="AC820"/>
  <c r="AD820"/>
  <c r="P821"/>
  <c r="Q821"/>
  <c r="R821"/>
  <c r="S821"/>
  <c r="T821"/>
  <c r="U821"/>
  <c r="V821"/>
  <c r="W821"/>
  <c r="X821"/>
  <c r="Y821"/>
  <c r="AA821"/>
  <c r="AB821"/>
  <c r="AC821"/>
  <c r="AD821"/>
  <c r="P822"/>
  <c r="Q822"/>
  <c r="R822"/>
  <c r="S822"/>
  <c r="T822"/>
  <c r="U822"/>
  <c r="V822"/>
  <c r="W822"/>
  <c r="X822"/>
  <c r="Y822"/>
  <c r="AA822"/>
  <c r="AB822"/>
  <c r="AC822"/>
  <c r="AD822"/>
  <c r="P823"/>
  <c r="Q823"/>
  <c r="R823"/>
  <c r="S823"/>
  <c r="T823"/>
  <c r="U823"/>
  <c r="V823"/>
  <c r="W823"/>
  <c r="X823"/>
  <c r="Y823"/>
  <c r="AA823"/>
  <c r="AB823"/>
  <c r="AC823"/>
  <c r="AD823"/>
  <c r="P824"/>
  <c r="Q824"/>
  <c r="R824"/>
  <c r="S824"/>
  <c r="T824"/>
  <c r="U824"/>
  <c r="V824"/>
  <c r="W824"/>
  <c r="X824"/>
  <c r="Y824"/>
  <c r="AA824"/>
  <c r="AB824"/>
  <c r="AC824"/>
  <c r="AD824"/>
  <c r="P825"/>
  <c r="Q825"/>
  <c r="R825"/>
  <c r="S825"/>
  <c r="T825"/>
  <c r="U825"/>
  <c r="V825"/>
  <c r="W825"/>
  <c r="X825"/>
  <c r="Y825"/>
  <c r="AA825"/>
  <c r="AB825"/>
  <c r="AC825"/>
  <c r="AD825"/>
  <c r="P826"/>
  <c r="Q826"/>
  <c r="R826"/>
  <c r="S826"/>
  <c r="T826"/>
  <c r="U826"/>
  <c r="V826"/>
  <c r="W826"/>
  <c r="X826"/>
  <c r="Y826"/>
  <c r="AA826"/>
  <c r="AB826"/>
  <c r="AC826"/>
  <c r="AD826"/>
  <c r="P827"/>
  <c r="Q827"/>
  <c r="R827"/>
  <c r="S827"/>
  <c r="T827"/>
  <c r="U827"/>
  <c r="V827"/>
  <c r="W827"/>
  <c r="X827"/>
  <c r="Y827"/>
  <c r="AA827"/>
  <c r="AB827"/>
  <c r="AC827"/>
  <c r="AD827"/>
  <c r="P828"/>
  <c r="Q828"/>
  <c r="R828"/>
  <c r="S828"/>
  <c r="T828"/>
  <c r="U828"/>
  <c r="V828"/>
  <c r="W828"/>
  <c r="X828"/>
  <c r="Y828"/>
  <c r="AA828"/>
  <c r="AB828"/>
  <c r="AC828"/>
  <c r="AD828"/>
  <c r="P829"/>
  <c r="Q829"/>
  <c r="R829"/>
  <c r="S829"/>
  <c r="T829"/>
  <c r="U829"/>
  <c r="V829"/>
  <c r="W829"/>
  <c r="X829"/>
  <c r="Y829"/>
  <c r="AA829"/>
  <c r="AB829"/>
  <c r="AC829"/>
  <c r="AD829"/>
  <c r="P830"/>
  <c r="Q830"/>
  <c r="R830"/>
  <c r="S830"/>
  <c r="T830"/>
  <c r="U830"/>
  <c r="V830"/>
  <c r="W830"/>
  <c r="X830"/>
  <c r="Y830"/>
  <c r="AA830"/>
  <c r="AB830"/>
  <c r="AC830"/>
  <c r="AD830"/>
  <c r="P831"/>
  <c r="Q831"/>
  <c r="R831"/>
  <c r="S831"/>
  <c r="T831"/>
  <c r="U831"/>
  <c r="V831"/>
  <c r="W831"/>
  <c r="X831"/>
  <c r="Y831"/>
  <c r="AA831"/>
  <c r="AB831"/>
  <c r="AC831"/>
  <c r="AD831"/>
  <c r="P832"/>
  <c r="Q832"/>
  <c r="R832"/>
  <c r="S832"/>
  <c r="T832"/>
  <c r="U832"/>
  <c r="V832"/>
  <c r="W832"/>
  <c r="X832"/>
  <c r="Y832"/>
  <c r="AA832"/>
  <c r="AB832"/>
  <c r="AC832"/>
  <c r="AD832"/>
  <c r="P833"/>
  <c r="Q833"/>
  <c r="R833"/>
  <c r="S833"/>
  <c r="T833"/>
  <c r="U833"/>
  <c r="V833"/>
  <c r="W833"/>
  <c r="X833"/>
  <c r="Y833"/>
  <c r="AA833"/>
  <c r="AB833"/>
  <c r="AC833"/>
  <c r="AD833"/>
  <c r="P834"/>
  <c r="Q834"/>
  <c r="R834"/>
  <c r="S834"/>
  <c r="T834"/>
  <c r="U834"/>
  <c r="V834"/>
  <c r="W834"/>
  <c r="X834"/>
  <c r="Y834"/>
  <c r="AA834"/>
  <c r="AB834"/>
  <c r="AC834"/>
  <c r="AD834"/>
  <c r="P835"/>
  <c r="Q835"/>
  <c r="R835"/>
  <c r="S835"/>
  <c r="T835"/>
  <c r="U835"/>
  <c r="V835"/>
  <c r="W835"/>
  <c r="X835"/>
  <c r="Y835"/>
  <c r="AA835"/>
  <c r="AB835"/>
  <c r="AC835"/>
  <c r="AD835"/>
  <c r="P836"/>
  <c r="Q836"/>
  <c r="R836"/>
  <c r="S836"/>
  <c r="T836"/>
  <c r="U836"/>
  <c r="V836"/>
  <c r="W836"/>
  <c r="X836"/>
  <c r="Y836"/>
  <c r="AA836"/>
  <c r="AB836"/>
  <c r="AC836"/>
  <c r="AD836"/>
  <c r="P837"/>
  <c r="Q837"/>
  <c r="R837"/>
  <c r="S837"/>
  <c r="T837"/>
  <c r="U837"/>
  <c r="V837"/>
  <c r="W837"/>
  <c r="X837"/>
  <c r="Y837"/>
  <c r="AA837"/>
  <c r="AB837"/>
  <c r="AC837"/>
  <c r="AD837"/>
  <c r="P838"/>
  <c r="Q838"/>
  <c r="R838"/>
  <c r="S838"/>
  <c r="T838"/>
  <c r="U838"/>
  <c r="V838"/>
  <c r="W838"/>
  <c r="X838"/>
  <c r="Y838"/>
  <c r="AA838"/>
  <c r="AB838"/>
  <c r="AC838"/>
  <c r="AD838"/>
  <c r="P839"/>
  <c r="Q839"/>
  <c r="R839"/>
  <c r="S839"/>
  <c r="T839"/>
  <c r="U839"/>
  <c r="V839"/>
  <c r="W839"/>
  <c r="X839"/>
  <c r="Y839"/>
  <c r="AA839"/>
  <c r="AB839"/>
  <c r="AC839"/>
  <c r="AD839"/>
  <c r="P840"/>
  <c r="Q840"/>
  <c r="R840"/>
  <c r="S840"/>
  <c r="T840"/>
  <c r="U840"/>
  <c r="V840"/>
  <c r="W840"/>
  <c r="X840"/>
  <c r="Y840"/>
  <c r="AA840"/>
  <c r="AB840"/>
  <c r="AC840"/>
  <c r="AD840"/>
  <c r="P841"/>
  <c r="Q841"/>
  <c r="R841"/>
  <c r="S841"/>
  <c r="T841"/>
  <c r="U841"/>
  <c r="V841"/>
  <c r="W841"/>
  <c r="X841"/>
  <c r="Y841"/>
  <c r="AA841"/>
  <c r="AB841"/>
  <c r="AC841"/>
  <c r="AD841"/>
  <c r="P842"/>
  <c r="Q842"/>
  <c r="R842"/>
  <c r="S842"/>
  <c r="T842"/>
  <c r="U842"/>
  <c r="V842"/>
  <c r="W842"/>
  <c r="X842"/>
  <c r="Y842"/>
  <c r="AA842"/>
  <c r="AB842"/>
  <c r="AC842"/>
  <c r="AD842"/>
  <c r="P843"/>
  <c r="Q843"/>
  <c r="R843"/>
  <c r="S843"/>
  <c r="T843"/>
  <c r="U843"/>
  <c r="V843"/>
  <c r="W843"/>
  <c r="X843"/>
  <c r="Y843"/>
  <c r="AA843"/>
  <c r="AB843"/>
  <c r="AC843"/>
  <c r="AD843"/>
  <c r="P844"/>
  <c r="Q844"/>
  <c r="R844"/>
  <c r="S844"/>
  <c r="T844"/>
  <c r="U844"/>
  <c r="V844"/>
  <c r="W844"/>
  <c r="X844"/>
  <c r="Y844"/>
  <c r="AA844"/>
  <c r="AB844"/>
  <c r="AC844"/>
  <c r="AD844"/>
  <c r="P845"/>
  <c r="Q845"/>
  <c r="R845"/>
  <c r="S845"/>
  <c r="T845"/>
  <c r="U845"/>
  <c r="V845"/>
  <c r="W845"/>
  <c r="X845"/>
  <c r="Y845"/>
  <c r="AA845"/>
  <c r="AB845"/>
  <c r="AC845"/>
  <c r="AD845"/>
  <c r="P846"/>
  <c r="Q846"/>
  <c r="R846"/>
  <c r="S846"/>
  <c r="T846"/>
  <c r="U846"/>
  <c r="V846"/>
  <c r="W846"/>
  <c r="X846"/>
  <c r="Y846"/>
  <c r="AA846"/>
  <c r="AB846"/>
  <c r="AC846"/>
  <c r="AD846"/>
  <c r="P847"/>
  <c r="Q847"/>
  <c r="R847"/>
  <c r="S847"/>
  <c r="T847"/>
  <c r="U847"/>
  <c r="V847"/>
  <c r="W847"/>
  <c r="X847"/>
  <c r="Y847"/>
  <c r="AA847"/>
  <c r="AB847"/>
  <c r="AC847"/>
  <c r="AD847"/>
  <c r="P848"/>
  <c r="Q848"/>
  <c r="R848"/>
  <c r="S848"/>
  <c r="T848"/>
  <c r="U848"/>
  <c r="V848"/>
  <c r="W848"/>
  <c r="X848"/>
  <c r="Y848"/>
  <c r="AA848"/>
  <c r="AB848"/>
  <c r="AC848"/>
  <c r="AD848"/>
  <c r="P849"/>
  <c r="Q849"/>
  <c r="R849"/>
  <c r="S849"/>
  <c r="T849"/>
  <c r="U849"/>
  <c r="V849"/>
  <c r="W849"/>
  <c r="X849"/>
  <c r="Y849"/>
  <c r="AA849"/>
  <c r="AB849"/>
  <c r="AC849"/>
  <c r="AD849"/>
  <c r="P850"/>
  <c r="Q850"/>
  <c r="R850"/>
  <c r="S850"/>
  <c r="T850"/>
  <c r="U850"/>
  <c r="V850"/>
  <c r="W850"/>
  <c r="X850"/>
  <c r="Y850"/>
  <c r="AA850"/>
  <c r="AB850"/>
  <c r="AC850"/>
  <c r="AD850"/>
  <c r="P851"/>
  <c r="Q851"/>
  <c r="R851"/>
  <c r="S851"/>
  <c r="T851"/>
  <c r="U851"/>
  <c r="V851"/>
  <c r="W851"/>
  <c r="X851"/>
  <c r="Y851"/>
  <c r="AA851"/>
  <c r="AB851"/>
  <c r="AC851"/>
  <c r="AD851"/>
  <c r="P852"/>
  <c r="Q852"/>
  <c r="R852"/>
  <c r="S852"/>
  <c r="T852"/>
  <c r="U852"/>
  <c r="V852"/>
  <c r="W852"/>
  <c r="X852"/>
  <c r="Y852"/>
  <c r="AA852"/>
  <c r="AB852"/>
  <c r="AC852"/>
  <c r="AD852"/>
  <c r="P853"/>
  <c r="Q853"/>
  <c r="R853"/>
  <c r="S853"/>
  <c r="T853"/>
  <c r="U853"/>
  <c r="V853"/>
  <c r="W853"/>
  <c r="X853"/>
  <c r="Y853"/>
  <c r="AA853"/>
  <c r="AB853"/>
  <c r="AC853"/>
  <c r="AD853"/>
  <c r="P854"/>
  <c r="Q854"/>
  <c r="R854"/>
  <c r="S854"/>
  <c r="T854"/>
  <c r="U854"/>
  <c r="V854"/>
  <c r="W854"/>
  <c r="X854"/>
  <c r="Y854"/>
  <c r="AA854"/>
  <c r="AB854"/>
  <c r="AC854"/>
  <c r="AD854"/>
  <c r="P855"/>
  <c r="Q855"/>
  <c r="R855"/>
  <c r="S855"/>
  <c r="T855"/>
  <c r="U855"/>
  <c r="V855"/>
  <c r="W855"/>
  <c r="X855"/>
  <c r="Y855"/>
  <c r="AA855"/>
  <c r="AB855"/>
  <c r="AC855"/>
  <c r="AD855"/>
  <c r="P856"/>
  <c r="Q856"/>
  <c r="R856"/>
  <c r="S856"/>
  <c r="T856"/>
  <c r="U856"/>
  <c r="V856"/>
  <c r="W856"/>
  <c r="X856"/>
  <c r="Y856"/>
  <c r="AA856"/>
  <c r="AB856"/>
  <c r="AC856"/>
  <c r="AD856"/>
  <c r="P857"/>
  <c r="Q857"/>
  <c r="R857"/>
  <c r="S857"/>
  <c r="T857"/>
  <c r="U857"/>
  <c r="V857"/>
  <c r="W857"/>
  <c r="X857"/>
  <c r="Y857"/>
  <c r="AA857"/>
  <c r="AB857"/>
  <c r="AC857"/>
  <c r="AD857"/>
  <c r="P858"/>
  <c r="Q858"/>
  <c r="R858"/>
  <c r="S858"/>
  <c r="T858"/>
  <c r="U858"/>
  <c r="V858"/>
  <c r="W858"/>
  <c r="X858"/>
  <c r="Y858"/>
  <c r="AA858"/>
  <c r="AB858"/>
  <c r="AC858"/>
  <c r="AD858"/>
  <c r="P859"/>
  <c r="Q859"/>
  <c r="R859"/>
  <c r="S859"/>
  <c r="T859"/>
  <c r="U859"/>
  <c r="V859"/>
  <c r="W859"/>
  <c r="X859"/>
  <c r="Y859"/>
  <c r="AA859"/>
  <c r="AB859"/>
  <c r="AC859"/>
  <c r="AD859"/>
  <c r="P860"/>
  <c r="Q860"/>
  <c r="R860"/>
  <c r="S860"/>
  <c r="T860"/>
  <c r="U860"/>
  <c r="V860"/>
  <c r="W860"/>
  <c r="X860"/>
  <c r="Y860"/>
  <c r="AA860"/>
  <c r="AB860"/>
  <c r="AC860"/>
  <c r="AD860"/>
  <c r="P861"/>
  <c r="Q861"/>
  <c r="R861"/>
  <c r="S861"/>
  <c r="T861"/>
  <c r="U861"/>
  <c r="V861"/>
  <c r="W861"/>
  <c r="X861"/>
  <c r="Y861"/>
  <c r="AA861"/>
  <c r="AB861"/>
  <c r="AC861"/>
  <c r="AD861"/>
  <c r="P862"/>
  <c r="Q862"/>
  <c r="R862"/>
  <c r="S862"/>
  <c r="T862"/>
  <c r="U862"/>
  <c r="V862"/>
  <c r="W862"/>
  <c r="X862"/>
  <c r="Y862"/>
  <c r="AA862"/>
  <c r="AB862"/>
  <c r="AC862"/>
  <c r="AD862"/>
  <c r="P863"/>
  <c r="Q863"/>
  <c r="R863"/>
  <c r="S863"/>
  <c r="T863"/>
  <c r="U863"/>
  <c r="V863"/>
  <c r="W863"/>
  <c r="X863"/>
  <c r="Y863"/>
  <c r="AA863"/>
  <c r="AB863"/>
  <c r="AC863"/>
  <c r="AD863"/>
  <c r="P864"/>
  <c r="Q864"/>
  <c r="R864"/>
  <c r="S864"/>
  <c r="T864"/>
  <c r="U864"/>
  <c r="V864"/>
  <c r="W864"/>
  <c r="X864"/>
  <c r="Y864"/>
  <c r="AA864"/>
  <c r="AB864"/>
  <c r="AC864"/>
  <c r="AD864"/>
  <c r="P865"/>
  <c r="Q865"/>
  <c r="R865"/>
  <c r="S865"/>
  <c r="T865"/>
  <c r="U865"/>
  <c r="V865"/>
  <c r="W865"/>
  <c r="X865"/>
  <c r="Y865"/>
  <c r="AA865"/>
  <c r="AB865"/>
  <c r="AC865"/>
  <c r="AD865"/>
  <c r="P866"/>
  <c r="Q866"/>
  <c r="R866"/>
  <c r="S866"/>
  <c r="T866"/>
  <c r="U866"/>
  <c r="V866"/>
  <c r="W866"/>
  <c r="X866"/>
  <c r="Y866"/>
  <c r="AA866"/>
  <c r="AB866"/>
  <c r="AC866"/>
  <c r="AD866"/>
  <c r="P867"/>
  <c r="Q867"/>
  <c r="R867"/>
  <c r="S867"/>
  <c r="T867"/>
  <c r="U867"/>
  <c r="V867"/>
  <c r="W867"/>
  <c r="X867"/>
  <c r="Y867"/>
  <c r="AA867"/>
  <c r="AB867"/>
  <c r="AC867"/>
  <c r="AD867"/>
  <c r="P868"/>
  <c r="Q868"/>
  <c r="R868"/>
  <c r="S868"/>
  <c r="T868"/>
  <c r="U868"/>
  <c r="V868"/>
  <c r="W868"/>
  <c r="X868"/>
  <c r="Y868"/>
  <c r="AA868"/>
  <c r="AB868"/>
  <c r="AC868"/>
  <c r="AD868"/>
  <c r="P869"/>
  <c r="Q869"/>
  <c r="R869"/>
  <c r="S869"/>
  <c r="T869"/>
  <c r="U869"/>
  <c r="V869"/>
  <c r="W869"/>
  <c r="X869"/>
  <c r="Y869"/>
  <c r="AA869"/>
  <c r="AB869"/>
  <c r="AC869"/>
  <c r="AD869"/>
  <c r="P870"/>
  <c r="Q870"/>
  <c r="R870"/>
  <c r="S870"/>
  <c r="T870"/>
  <c r="U870"/>
  <c r="V870"/>
  <c r="W870"/>
  <c r="X870"/>
  <c r="Y870"/>
  <c r="AA870"/>
  <c r="AB870"/>
  <c r="AC870"/>
  <c r="AD870"/>
  <c r="P871"/>
  <c r="Q871"/>
  <c r="R871"/>
  <c r="S871"/>
  <c r="T871"/>
  <c r="U871"/>
  <c r="V871"/>
  <c r="W871"/>
  <c r="X871"/>
  <c r="Y871"/>
  <c r="AA871"/>
  <c r="AB871"/>
  <c r="AC871"/>
  <c r="AD871"/>
  <c r="P872"/>
  <c r="Q872"/>
  <c r="R872"/>
  <c r="S872"/>
  <c r="T872"/>
  <c r="U872"/>
  <c r="V872"/>
  <c r="W872"/>
  <c r="X872"/>
  <c r="Y872"/>
  <c r="AA872"/>
  <c r="AB872"/>
  <c r="AC872"/>
  <c r="AD872"/>
  <c r="P873"/>
  <c r="Q873"/>
  <c r="R873"/>
  <c r="S873"/>
  <c r="T873"/>
  <c r="U873"/>
  <c r="V873"/>
  <c r="W873"/>
  <c r="X873"/>
  <c r="Y873"/>
  <c r="AA873"/>
  <c r="AB873"/>
  <c r="AC873"/>
  <c r="AD873"/>
  <c r="P874"/>
  <c r="Q874"/>
  <c r="R874"/>
  <c r="S874"/>
  <c r="T874"/>
  <c r="U874"/>
  <c r="V874"/>
  <c r="W874"/>
  <c r="X874"/>
  <c r="Y874"/>
  <c r="AA874"/>
  <c r="AB874"/>
  <c r="AC874"/>
  <c r="AD874"/>
  <c r="P875"/>
  <c r="Q875"/>
  <c r="R875"/>
  <c r="S875"/>
  <c r="T875"/>
  <c r="U875"/>
  <c r="V875"/>
  <c r="W875"/>
  <c r="X875"/>
  <c r="Y875"/>
  <c r="AA875"/>
  <c r="AB875"/>
  <c r="AC875"/>
  <c r="AD875"/>
  <c r="P876"/>
  <c r="Q876"/>
  <c r="R876"/>
  <c r="S876"/>
  <c r="T876"/>
  <c r="U876"/>
  <c r="V876"/>
  <c r="W876"/>
  <c r="X876"/>
  <c r="Y876"/>
  <c r="AA876"/>
  <c r="AB876"/>
  <c r="AC876"/>
  <c r="AD876"/>
  <c r="P877"/>
  <c r="Q877"/>
  <c r="R877"/>
  <c r="S877"/>
  <c r="T877"/>
  <c r="U877"/>
  <c r="V877"/>
  <c r="W877"/>
  <c r="X877"/>
  <c r="Y877"/>
  <c r="AA877"/>
  <c r="AB877"/>
  <c r="AC877"/>
  <c r="AD877"/>
  <c r="P878"/>
  <c r="Q878"/>
  <c r="R878"/>
  <c r="S878"/>
  <c r="T878"/>
  <c r="U878"/>
  <c r="V878"/>
  <c r="W878"/>
  <c r="X878"/>
  <c r="Y878"/>
  <c r="AA878"/>
  <c r="AB878"/>
  <c r="AC878"/>
  <c r="AD878"/>
  <c r="P879"/>
  <c r="Q879"/>
  <c r="R879"/>
  <c r="S879"/>
  <c r="T879"/>
  <c r="U879"/>
  <c r="V879"/>
  <c r="W879"/>
  <c r="X879"/>
  <c r="Y879"/>
  <c r="AA879"/>
  <c r="AB879"/>
  <c r="AC879"/>
  <c r="AD879"/>
  <c r="P880"/>
  <c r="Q880"/>
  <c r="R880"/>
  <c r="S880"/>
  <c r="T880"/>
  <c r="U880"/>
  <c r="V880"/>
  <c r="W880"/>
  <c r="X880"/>
  <c r="Y880"/>
  <c r="AA880"/>
  <c r="AB880"/>
  <c r="AC880"/>
  <c r="AD880"/>
  <c r="P881"/>
  <c r="Q881"/>
  <c r="R881"/>
  <c r="S881"/>
  <c r="T881"/>
  <c r="U881"/>
  <c r="V881"/>
  <c r="W881"/>
  <c r="X881"/>
  <c r="Y881"/>
  <c r="AA881"/>
  <c r="AB881"/>
  <c r="AC881"/>
  <c r="AD881"/>
  <c r="P882"/>
  <c r="Q882"/>
  <c r="R882"/>
  <c r="S882"/>
  <c r="T882"/>
  <c r="U882"/>
  <c r="V882"/>
  <c r="W882"/>
  <c r="X882"/>
  <c r="Y882"/>
  <c r="AA882"/>
  <c r="AB882"/>
  <c r="AC882"/>
  <c r="AD882"/>
  <c r="P883"/>
  <c r="Q883"/>
  <c r="R883"/>
  <c r="S883"/>
  <c r="T883"/>
  <c r="U883"/>
  <c r="V883"/>
  <c r="W883"/>
  <c r="X883"/>
  <c r="Y883"/>
  <c r="AA883"/>
  <c r="AB883"/>
  <c r="AC883"/>
  <c r="AD883"/>
  <c r="P884"/>
  <c r="Q884"/>
  <c r="R884"/>
  <c r="S884"/>
  <c r="T884"/>
  <c r="U884"/>
  <c r="V884"/>
  <c r="W884"/>
  <c r="X884"/>
  <c r="Y884"/>
  <c r="AA884"/>
  <c r="AB884"/>
  <c r="AC884"/>
  <c r="AD884"/>
  <c r="P885"/>
  <c r="Q885"/>
  <c r="R885"/>
  <c r="S885"/>
  <c r="T885"/>
  <c r="U885"/>
  <c r="V885"/>
  <c r="W885"/>
  <c r="X885"/>
  <c r="Y885"/>
  <c r="AA885"/>
  <c r="AB885"/>
  <c r="AC885"/>
  <c r="AD885"/>
  <c r="P886"/>
  <c r="Q886"/>
  <c r="R886"/>
  <c r="S886"/>
  <c r="T886"/>
  <c r="U886"/>
  <c r="V886"/>
  <c r="W886"/>
  <c r="X886"/>
  <c r="Y886"/>
  <c r="AA886"/>
  <c r="AB886"/>
  <c r="AC886"/>
  <c r="AD886"/>
  <c r="P887"/>
  <c r="Q887"/>
  <c r="R887"/>
  <c r="S887"/>
  <c r="T887"/>
  <c r="U887"/>
  <c r="V887"/>
  <c r="W887"/>
  <c r="X887"/>
  <c r="Y887"/>
  <c r="AA887"/>
  <c r="AB887"/>
  <c r="AC887"/>
  <c r="AD887"/>
  <c r="P888"/>
  <c r="Q888"/>
  <c r="R888"/>
  <c r="S888"/>
  <c r="T888"/>
  <c r="U888"/>
  <c r="V888"/>
  <c r="W888"/>
  <c r="X888"/>
  <c r="Y888"/>
  <c r="AA888"/>
  <c r="AB888"/>
  <c r="AC888"/>
  <c r="AD888"/>
  <c r="P889"/>
  <c r="Q889"/>
  <c r="R889"/>
  <c r="S889"/>
  <c r="T889"/>
  <c r="U889"/>
  <c r="V889"/>
  <c r="W889"/>
  <c r="X889"/>
  <c r="Y889"/>
  <c r="AA889"/>
  <c r="AB889"/>
  <c r="AC889"/>
  <c r="AD889"/>
  <c r="P890"/>
  <c r="Q890"/>
  <c r="R890"/>
  <c r="S890"/>
  <c r="T890"/>
  <c r="U890"/>
  <c r="V890"/>
  <c r="W890"/>
  <c r="X890"/>
  <c r="Y890"/>
  <c r="AA890"/>
  <c r="AB890"/>
  <c r="AC890"/>
  <c r="AD890"/>
  <c r="P891"/>
  <c r="Q891"/>
  <c r="R891"/>
  <c r="S891"/>
  <c r="T891"/>
  <c r="U891"/>
  <c r="V891"/>
  <c r="W891"/>
  <c r="X891"/>
  <c r="Y891"/>
  <c r="AA891"/>
  <c r="AB891"/>
  <c r="AC891"/>
  <c r="AD891"/>
  <c r="P892"/>
  <c r="Q892"/>
  <c r="R892"/>
  <c r="S892"/>
  <c r="T892"/>
  <c r="U892"/>
  <c r="V892"/>
  <c r="W892"/>
  <c r="X892"/>
  <c r="Y892"/>
  <c r="AA892"/>
  <c r="AB892"/>
  <c r="AC892"/>
  <c r="AD892"/>
  <c r="P893"/>
  <c r="Q893"/>
  <c r="R893"/>
  <c r="S893"/>
  <c r="T893"/>
  <c r="U893"/>
  <c r="V893"/>
  <c r="W893"/>
  <c r="X893"/>
  <c r="Y893"/>
  <c r="AA893"/>
  <c r="AB893"/>
  <c r="AC893"/>
  <c r="AD893"/>
  <c r="P894"/>
  <c r="Q894"/>
  <c r="R894"/>
  <c r="S894"/>
  <c r="T894"/>
  <c r="U894"/>
  <c r="V894"/>
  <c r="W894"/>
  <c r="X894"/>
  <c r="Y894"/>
  <c r="AA894"/>
  <c r="AB894"/>
  <c r="AC894"/>
  <c r="AD894"/>
  <c r="P895"/>
  <c r="Q895"/>
  <c r="R895"/>
  <c r="S895"/>
  <c r="T895"/>
  <c r="U895"/>
  <c r="V895"/>
  <c r="W895"/>
  <c r="X895"/>
  <c r="Y895"/>
  <c r="AA895"/>
  <c r="AB895"/>
  <c r="AC895"/>
  <c r="AD895"/>
  <c r="P896"/>
  <c r="Q896"/>
  <c r="R896"/>
  <c r="S896"/>
  <c r="T896"/>
  <c r="U896"/>
  <c r="V896"/>
  <c r="W896"/>
  <c r="X896"/>
  <c r="Y896"/>
  <c r="AA896"/>
  <c r="AB896"/>
  <c r="AC896"/>
  <c r="AD896"/>
  <c r="P897"/>
  <c r="Q897"/>
  <c r="R897"/>
  <c r="S897"/>
  <c r="T897"/>
  <c r="U897"/>
  <c r="V897"/>
  <c r="W897"/>
  <c r="X897"/>
  <c r="Y897"/>
  <c r="AA897"/>
  <c r="AB897"/>
  <c r="AC897"/>
  <c r="AD897"/>
  <c r="P898"/>
  <c r="Q898"/>
  <c r="R898"/>
  <c r="S898"/>
  <c r="T898"/>
  <c r="U898"/>
  <c r="V898"/>
  <c r="W898"/>
  <c r="X898"/>
  <c r="Y898"/>
  <c r="AA898"/>
  <c r="AB898"/>
  <c r="AC898"/>
  <c r="AD898"/>
  <c r="P899"/>
  <c r="Q899"/>
  <c r="R899"/>
  <c r="S899"/>
  <c r="T899"/>
  <c r="U899"/>
  <c r="V899"/>
  <c r="W899"/>
  <c r="X899"/>
  <c r="Y899"/>
  <c r="AA899"/>
  <c r="AB899"/>
  <c r="AC899"/>
  <c r="AD899"/>
  <c r="P900"/>
  <c r="Q900"/>
  <c r="R900"/>
  <c r="S900"/>
  <c r="T900"/>
  <c r="U900"/>
  <c r="V900"/>
  <c r="W900"/>
  <c r="X900"/>
  <c r="Y900"/>
  <c r="AA900"/>
  <c r="AB900"/>
  <c r="AC900"/>
  <c r="AD900"/>
  <c r="P901"/>
  <c r="Q901"/>
  <c r="R901"/>
  <c r="S901"/>
  <c r="T901"/>
  <c r="U901"/>
  <c r="V901"/>
  <c r="W901"/>
  <c r="X901"/>
  <c r="Y901"/>
  <c r="AA901"/>
  <c r="AB901"/>
  <c r="AC901"/>
  <c r="AD901"/>
  <c r="P902"/>
  <c r="Q902"/>
  <c r="R902"/>
  <c r="S902"/>
  <c r="T902"/>
  <c r="U902"/>
  <c r="V902"/>
  <c r="W902"/>
  <c r="X902"/>
  <c r="Y902"/>
  <c r="AA902"/>
  <c r="AB902"/>
  <c r="AC902"/>
  <c r="AD902"/>
  <c r="P903"/>
  <c r="Q903"/>
  <c r="R903"/>
  <c r="S903"/>
  <c r="T903"/>
  <c r="U903"/>
  <c r="V903"/>
  <c r="W903"/>
  <c r="X903"/>
  <c r="Y903"/>
  <c r="AA903"/>
  <c r="AB903"/>
  <c r="AC903"/>
  <c r="AD903"/>
  <c r="P904"/>
  <c r="Q904"/>
  <c r="R904"/>
  <c r="S904"/>
  <c r="T904"/>
  <c r="U904"/>
  <c r="V904"/>
  <c r="W904"/>
  <c r="X904"/>
  <c r="Y904"/>
  <c r="AA904"/>
  <c r="AB904"/>
  <c r="AC904"/>
  <c r="AD904"/>
  <c r="P905"/>
  <c r="Q905"/>
  <c r="R905"/>
  <c r="S905"/>
  <c r="T905"/>
  <c r="U905"/>
  <c r="V905"/>
  <c r="W905"/>
  <c r="X905"/>
  <c r="Y905"/>
  <c r="AA905"/>
  <c r="AB905"/>
  <c r="AC905"/>
  <c r="AD905"/>
  <c r="P906"/>
  <c r="Q906"/>
  <c r="R906"/>
  <c r="S906"/>
  <c r="T906"/>
  <c r="U906"/>
  <c r="V906"/>
  <c r="W906"/>
  <c r="X906"/>
  <c r="Y906"/>
  <c r="AA906"/>
  <c r="AB906"/>
  <c r="AC906"/>
  <c r="AD906"/>
  <c r="P907"/>
  <c r="Q907"/>
  <c r="R907"/>
  <c r="S907"/>
  <c r="T907"/>
  <c r="U907"/>
  <c r="V907"/>
  <c r="W907"/>
  <c r="X907"/>
  <c r="Y907"/>
  <c r="AA907"/>
  <c r="AB907"/>
  <c r="AC907"/>
  <c r="AD907"/>
  <c r="P908"/>
  <c r="Q908"/>
  <c r="R908"/>
  <c r="S908"/>
  <c r="T908"/>
  <c r="U908"/>
  <c r="V908"/>
  <c r="W908"/>
  <c r="X908"/>
  <c r="Y908"/>
  <c r="AA908"/>
  <c r="AB908"/>
  <c r="AC908"/>
  <c r="AD908"/>
  <c r="P909"/>
  <c r="Q909"/>
  <c r="R909"/>
  <c r="S909"/>
  <c r="T909"/>
  <c r="U909"/>
  <c r="V909"/>
  <c r="W909"/>
  <c r="X909"/>
  <c r="Y909"/>
  <c r="AA909"/>
  <c r="AB909"/>
  <c r="AC909"/>
  <c r="AD909"/>
  <c r="P910"/>
  <c r="Q910"/>
  <c r="R910"/>
  <c r="S910"/>
  <c r="T910"/>
  <c r="U910"/>
  <c r="V910"/>
  <c r="W910"/>
  <c r="X910"/>
  <c r="Y910"/>
  <c r="AA910"/>
  <c r="AB910"/>
  <c r="AC910"/>
  <c r="AD910"/>
  <c r="P911"/>
  <c r="Q911"/>
  <c r="R911"/>
  <c r="S911"/>
  <c r="T911"/>
  <c r="U911"/>
  <c r="V911"/>
  <c r="W911"/>
  <c r="X911"/>
  <c r="Y911"/>
  <c r="AA911"/>
  <c r="AB911"/>
  <c r="AC911"/>
  <c r="AD911"/>
  <c r="P912"/>
  <c r="Q912"/>
  <c r="R912"/>
  <c r="S912"/>
  <c r="T912"/>
  <c r="U912"/>
  <c r="V912"/>
  <c r="W912"/>
  <c r="X912"/>
  <c r="Y912"/>
  <c r="AA912"/>
  <c r="AB912"/>
  <c r="AC912"/>
  <c r="AD912"/>
  <c r="P913"/>
  <c r="Q913"/>
  <c r="R913"/>
  <c r="S913"/>
  <c r="T913"/>
  <c r="U913"/>
  <c r="V913"/>
  <c r="W913"/>
  <c r="X913"/>
  <c r="Y913"/>
  <c r="AA913"/>
  <c r="AB913"/>
  <c r="AC913"/>
  <c r="AD913"/>
  <c r="P914"/>
  <c r="Q914"/>
  <c r="R914"/>
  <c r="S914"/>
  <c r="T914"/>
  <c r="U914"/>
  <c r="V914"/>
  <c r="W914"/>
  <c r="X914"/>
  <c r="Y914"/>
  <c r="AA914"/>
  <c r="AB914"/>
  <c r="AC914"/>
  <c r="AD914"/>
  <c r="P915"/>
  <c r="Q915"/>
  <c r="R915"/>
  <c r="S915"/>
  <c r="T915"/>
  <c r="U915"/>
  <c r="V915"/>
  <c r="W915"/>
  <c r="X915"/>
  <c r="Y915"/>
  <c r="AA915"/>
  <c r="AB915"/>
  <c r="AC915"/>
  <c r="AD915"/>
  <c r="P916"/>
  <c r="Q916"/>
  <c r="R916"/>
  <c r="S916"/>
  <c r="T916"/>
  <c r="U916"/>
  <c r="V916"/>
  <c r="W916"/>
  <c r="X916"/>
  <c r="Y916"/>
  <c r="AA916"/>
  <c r="AB916"/>
  <c r="AC916"/>
  <c r="AD916"/>
  <c r="P917"/>
  <c r="Q917"/>
  <c r="R917"/>
  <c r="S917"/>
  <c r="T917"/>
  <c r="U917"/>
  <c r="V917"/>
  <c r="W917"/>
  <c r="X917"/>
  <c r="Y917"/>
  <c r="AA917"/>
  <c r="AB917"/>
  <c r="AC917"/>
  <c r="AD917"/>
  <c r="P918"/>
  <c r="Q918"/>
  <c r="R918"/>
  <c r="S918"/>
  <c r="T918"/>
  <c r="U918"/>
  <c r="V918"/>
  <c r="W918"/>
  <c r="X918"/>
  <c r="Y918"/>
  <c r="AA918"/>
  <c r="AB918"/>
  <c r="AC918"/>
  <c r="AD918"/>
  <c r="P919"/>
  <c r="Q919"/>
  <c r="R919"/>
  <c r="S919"/>
  <c r="T919"/>
  <c r="U919"/>
  <c r="V919"/>
  <c r="W919"/>
  <c r="X919"/>
  <c r="Y919"/>
  <c r="AA919"/>
  <c r="AB919"/>
  <c r="AC919"/>
  <c r="AD919"/>
  <c r="P920"/>
  <c r="Q920"/>
  <c r="R920"/>
  <c r="S920"/>
  <c r="T920"/>
  <c r="U920"/>
  <c r="V920"/>
  <c r="W920"/>
  <c r="X920"/>
  <c r="Y920"/>
  <c r="AA920"/>
  <c r="AB920"/>
  <c r="AC920"/>
  <c r="AD920"/>
  <c r="P921"/>
  <c r="Q921"/>
  <c r="R921"/>
  <c r="S921"/>
  <c r="T921"/>
  <c r="U921"/>
  <c r="V921"/>
  <c r="W921"/>
  <c r="X921"/>
  <c r="Y921"/>
  <c r="AA921"/>
  <c r="AB921"/>
  <c r="AC921"/>
  <c r="AD921"/>
  <c r="P922"/>
  <c r="Q922"/>
  <c r="R922"/>
  <c r="S922"/>
  <c r="T922"/>
  <c r="U922"/>
  <c r="V922"/>
  <c r="W922"/>
  <c r="X922"/>
  <c r="Y922"/>
  <c r="AA922"/>
  <c r="AB922"/>
  <c r="AC922"/>
  <c r="AD922"/>
  <c r="P923"/>
  <c r="Q923"/>
  <c r="R923"/>
  <c r="S923"/>
  <c r="T923"/>
  <c r="U923"/>
  <c r="V923"/>
  <c r="W923"/>
  <c r="X923"/>
  <c r="Y923"/>
  <c r="AA923"/>
  <c r="AB923"/>
  <c r="AC923"/>
  <c r="AD923"/>
  <c r="P924"/>
  <c r="Q924"/>
  <c r="R924"/>
  <c r="S924"/>
  <c r="T924"/>
  <c r="U924"/>
  <c r="V924"/>
  <c r="W924"/>
  <c r="X924"/>
  <c r="Y924"/>
  <c r="AA924"/>
  <c r="AB924"/>
  <c r="AC924"/>
  <c r="AD924"/>
  <c r="P925"/>
  <c r="Q925"/>
  <c r="R925"/>
  <c r="S925"/>
  <c r="T925"/>
  <c r="U925"/>
  <c r="V925"/>
  <c r="W925"/>
  <c r="X925"/>
  <c r="Y925"/>
  <c r="AA925"/>
  <c r="AB925"/>
  <c r="AC925"/>
  <c r="AD925"/>
  <c r="P926"/>
  <c r="Q926"/>
  <c r="R926"/>
  <c r="S926"/>
  <c r="T926"/>
  <c r="U926"/>
  <c r="V926"/>
  <c r="W926"/>
  <c r="X926"/>
  <c r="Y926"/>
  <c r="AA926"/>
  <c r="AB926"/>
  <c r="AC926"/>
  <c r="AD926"/>
  <c r="P927"/>
  <c r="Q927"/>
  <c r="R927"/>
  <c r="S927"/>
  <c r="T927"/>
  <c r="U927"/>
  <c r="V927"/>
  <c r="W927"/>
  <c r="X927"/>
  <c r="Y927"/>
  <c r="AA927"/>
  <c r="AB927"/>
  <c r="AC927"/>
  <c r="AD927"/>
  <c r="P928"/>
  <c r="Q928"/>
  <c r="R928"/>
  <c r="S928"/>
  <c r="T928"/>
  <c r="U928"/>
  <c r="V928"/>
  <c r="W928"/>
  <c r="X928"/>
  <c r="Y928"/>
  <c r="AA928"/>
  <c r="AB928"/>
  <c r="AC928"/>
  <c r="AD928"/>
  <c r="P929"/>
  <c r="Q929"/>
  <c r="R929"/>
  <c r="S929"/>
  <c r="T929"/>
  <c r="U929"/>
  <c r="V929"/>
  <c r="W929"/>
  <c r="X929"/>
  <c r="Y929"/>
  <c r="AA929"/>
  <c r="AB929"/>
  <c r="AC929"/>
  <c r="AD929"/>
  <c r="P930"/>
  <c r="Q930"/>
  <c r="R930"/>
  <c r="S930"/>
  <c r="T930"/>
  <c r="U930"/>
  <c r="V930"/>
  <c r="W930"/>
  <c r="X930"/>
  <c r="Y930"/>
  <c r="AA930"/>
  <c r="AB930"/>
  <c r="AC930"/>
  <c r="AD930"/>
  <c r="P931"/>
  <c r="Q931"/>
  <c r="R931"/>
  <c r="S931"/>
  <c r="T931"/>
  <c r="U931"/>
  <c r="V931"/>
  <c r="W931"/>
  <c r="X931"/>
  <c r="Y931"/>
  <c r="AA931"/>
  <c r="AB931"/>
  <c r="AC931"/>
  <c r="AD931"/>
  <c r="P932"/>
  <c r="Q932"/>
  <c r="R932"/>
  <c r="S932"/>
  <c r="T932"/>
  <c r="U932"/>
  <c r="V932"/>
  <c r="W932"/>
  <c r="X932"/>
  <c r="Y932"/>
  <c r="AA932"/>
  <c r="AB932"/>
  <c r="AC932"/>
  <c r="AD932"/>
  <c r="P933"/>
  <c r="Q933"/>
  <c r="R933"/>
  <c r="S933"/>
  <c r="T933"/>
  <c r="U933"/>
  <c r="V933"/>
  <c r="W933"/>
  <c r="X933"/>
  <c r="Y933"/>
  <c r="AA933"/>
  <c r="AB933"/>
  <c r="AC933"/>
  <c r="AD933"/>
  <c r="P934"/>
  <c r="Q934"/>
  <c r="R934"/>
  <c r="S934"/>
  <c r="T934"/>
  <c r="U934"/>
  <c r="V934"/>
  <c r="W934"/>
  <c r="X934"/>
  <c r="Y934"/>
  <c r="AA934"/>
  <c r="AB934"/>
  <c r="AC934"/>
  <c r="AD934"/>
  <c r="P935"/>
  <c r="Q935"/>
  <c r="R935"/>
  <c r="S935"/>
  <c r="T935"/>
  <c r="U935"/>
  <c r="V935"/>
  <c r="W935"/>
  <c r="X935"/>
  <c r="Y935"/>
  <c r="AA935"/>
  <c r="AB935"/>
  <c r="AC935"/>
  <c r="AD935"/>
  <c r="P936"/>
  <c r="Q936"/>
  <c r="R936"/>
  <c r="S936"/>
  <c r="T936"/>
  <c r="U936"/>
  <c r="V936"/>
  <c r="W936"/>
  <c r="X936"/>
  <c r="Y936"/>
  <c r="AA936"/>
  <c r="AB936"/>
  <c r="AC936"/>
  <c r="AD936"/>
  <c r="P937"/>
  <c r="Q937"/>
  <c r="R937"/>
  <c r="S937"/>
  <c r="T937"/>
  <c r="U937"/>
  <c r="V937"/>
  <c r="W937"/>
  <c r="X937"/>
  <c r="Y937"/>
  <c r="AA937"/>
  <c r="AB937"/>
  <c r="AC937"/>
  <c r="AD937"/>
  <c r="P938"/>
  <c r="Q938"/>
  <c r="R938"/>
  <c r="S938"/>
  <c r="T938"/>
  <c r="U938"/>
  <c r="V938"/>
  <c r="W938"/>
  <c r="X938"/>
  <c r="Y938"/>
  <c r="AA938"/>
  <c r="AB938"/>
  <c r="AC938"/>
  <c r="AD938"/>
  <c r="P939"/>
  <c r="Q939"/>
  <c r="R939"/>
  <c r="S939"/>
  <c r="T939"/>
  <c r="U939"/>
  <c r="V939"/>
  <c r="W939"/>
  <c r="X939"/>
  <c r="Y939"/>
  <c r="AA939"/>
  <c r="AB939"/>
  <c r="AC939"/>
  <c r="AD939"/>
  <c r="P940"/>
  <c r="Q940"/>
  <c r="R940"/>
  <c r="S940"/>
  <c r="T940"/>
  <c r="U940"/>
  <c r="V940"/>
  <c r="W940"/>
  <c r="X940"/>
  <c r="Y940"/>
  <c r="AA940"/>
  <c r="AB940"/>
  <c r="AC940"/>
  <c r="AD940"/>
  <c r="P941"/>
  <c r="Q941"/>
  <c r="R941"/>
  <c r="S941"/>
  <c r="T941"/>
  <c r="U941"/>
  <c r="V941"/>
  <c r="W941"/>
  <c r="X941"/>
  <c r="Y941"/>
  <c r="AA941"/>
  <c r="AB941"/>
  <c r="AC941"/>
  <c r="AD941"/>
  <c r="P942"/>
  <c r="Q942"/>
  <c r="R942"/>
  <c r="S942"/>
  <c r="T942"/>
  <c r="U942"/>
  <c r="V942"/>
  <c r="W942"/>
  <c r="X942"/>
  <c r="Y942"/>
  <c r="AA942"/>
  <c r="AB942"/>
  <c r="AC942"/>
  <c r="AD942"/>
  <c r="P943"/>
  <c r="Q943"/>
  <c r="R943"/>
  <c r="S943"/>
  <c r="T943"/>
  <c r="U943"/>
  <c r="V943"/>
  <c r="W943"/>
  <c r="X943"/>
  <c r="Y943"/>
  <c r="AA943"/>
  <c r="AB943"/>
  <c r="AC943"/>
  <c r="AD943"/>
  <c r="P944"/>
  <c r="Q944"/>
  <c r="R944"/>
  <c r="S944"/>
  <c r="T944"/>
  <c r="U944"/>
  <c r="V944"/>
  <c r="W944"/>
  <c r="X944"/>
  <c r="Y944"/>
  <c r="AA944"/>
  <c r="AB944"/>
  <c r="AC944"/>
  <c r="AD944"/>
  <c r="P945"/>
  <c r="Q945"/>
  <c r="R945"/>
  <c r="S945"/>
  <c r="T945"/>
  <c r="U945"/>
  <c r="V945"/>
  <c r="W945"/>
  <c r="X945"/>
  <c r="Y945"/>
  <c r="AA945"/>
  <c r="AB945"/>
  <c r="AC945"/>
  <c r="AD945"/>
  <c r="P946"/>
  <c r="Q946"/>
  <c r="R946"/>
  <c r="S946"/>
  <c r="T946"/>
  <c r="U946"/>
  <c r="V946"/>
  <c r="W946"/>
  <c r="X946"/>
  <c r="Y946"/>
  <c r="AA946"/>
  <c r="AB946"/>
  <c r="AC946"/>
  <c r="AD946"/>
  <c r="P947"/>
  <c r="Q947"/>
  <c r="R947"/>
  <c r="S947"/>
  <c r="T947"/>
  <c r="U947"/>
  <c r="V947"/>
  <c r="W947"/>
  <c r="X947"/>
  <c r="Y947"/>
  <c r="AA947"/>
  <c r="AB947"/>
  <c r="AC947"/>
  <c r="AD947"/>
  <c r="P948"/>
  <c r="Q948"/>
  <c r="R948"/>
  <c r="S948"/>
  <c r="T948"/>
  <c r="U948"/>
  <c r="V948"/>
  <c r="W948"/>
  <c r="X948"/>
  <c r="Y948"/>
  <c r="AA948"/>
  <c r="AB948"/>
  <c r="AC948"/>
  <c r="AD948"/>
  <c r="P949"/>
  <c r="Q949"/>
  <c r="R949"/>
  <c r="S949"/>
  <c r="T949"/>
  <c r="U949"/>
  <c r="V949"/>
  <c r="W949"/>
  <c r="X949"/>
  <c r="Y949"/>
  <c r="AA949"/>
  <c r="AB949"/>
  <c r="AC949"/>
  <c r="AD949"/>
  <c r="P950"/>
  <c r="Q950"/>
  <c r="R950"/>
  <c r="S950"/>
  <c r="T950"/>
  <c r="U950"/>
  <c r="V950"/>
  <c r="W950"/>
  <c r="X950"/>
  <c r="Y950"/>
  <c r="AA950"/>
  <c r="AB950"/>
  <c r="AC950"/>
  <c r="AD950"/>
  <c r="P951"/>
  <c r="Q951"/>
  <c r="R951"/>
  <c r="S951"/>
  <c r="T951"/>
  <c r="U951"/>
  <c r="V951"/>
  <c r="W951"/>
  <c r="X951"/>
  <c r="Y951"/>
  <c r="AA951"/>
  <c r="AB951"/>
  <c r="AC951"/>
  <c r="AD951"/>
  <c r="P952"/>
  <c r="Q952"/>
  <c r="R952"/>
  <c r="S952"/>
  <c r="T952"/>
  <c r="U952"/>
  <c r="V952"/>
  <c r="W952"/>
  <c r="X952"/>
  <c r="Y952"/>
  <c r="AA952"/>
  <c r="AB952"/>
  <c r="AC952"/>
  <c r="AD952"/>
  <c r="P953"/>
  <c r="Q953"/>
  <c r="R953"/>
  <c r="S953"/>
  <c r="T953"/>
  <c r="U953"/>
  <c r="V953"/>
  <c r="W953"/>
  <c r="X953"/>
  <c r="Y953"/>
  <c r="AA953"/>
  <c r="AB953"/>
  <c r="AC953"/>
  <c r="AD953"/>
  <c r="P954"/>
  <c r="Q954"/>
  <c r="R954"/>
  <c r="S954"/>
  <c r="T954"/>
  <c r="U954"/>
  <c r="V954"/>
  <c r="W954"/>
  <c r="X954"/>
  <c r="Y954"/>
  <c r="AA954"/>
  <c r="AB954"/>
  <c r="AC954"/>
  <c r="AD954"/>
  <c r="P955"/>
  <c r="Q955"/>
  <c r="R955"/>
  <c r="S955"/>
  <c r="T955"/>
  <c r="U955"/>
  <c r="V955"/>
  <c r="W955"/>
  <c r="X955"/>
  <c r="Y955"/>
  <c r="AA955"/>
  <c r="AB955"/>
  <c r="AC955"/>
  <c r="AD955"/>
  <c r="P956"/>
  <c r="Q956"/>
  <c r="R956"/>
  <c r="S956"/>
  <c r="T956"/>
  <c r="U956"/>
  <c r="V956"/>
  <c r="W956"/>
  <c r="X956"/>
  <c r="Y956"/>
  <c r="AA956"/>
  <c r="AB956"/>
  <c r="AC956"/>
  <c r="AD956"/>
  <c r="P957"/>
  <c r="Q957"/>
  <c r="R957"/>
  <c r="S957"/>
  <c r="T957"/>
  <c r="U957"/>
  <c r="V957"/>
  <c r="W957"/>
  <c r="X957"/>
  <c r="Y957"/>
  <c r="AA957"/>
  <c r="AB957"/>
  <c r="AC957"/>
  <c r="AD957"/>
  <c r="P958"/>
  <c r="Q958"/>
  <c r="R958"/>
  <c r="S958"/>
  <c r="T958"/>
  <c r="U958"/>
  <c r="V958"/>
  <c r="W958"/>
  <c r="X958"/>
  <c r="Y958"/>
  <c r="AA958"/>
  <c r="AB958"/>
  <c r="AC958"/>
  <c r="AD958"/>
  <c r="P959"/>
  <c r="Q959"/>
  <c r="R959"/>
  <c r="S959"/>
  <c r="T959"/>
  <c r="U959"/>
  <c r="V959"/>
  <c r="W959"/>
  <c r="X959"/>
  <c r="Y959"/>
  <c r="AA959"/>
  <c r="AB959"/>
  <c r="AC959"/>
  <c r="AD959"/>
  <c r="P960"/>
  <c r="Q960"/>
  <c r="R960"/>
  <c r="S960"/>
  <c r="T960"/>
  <c r="U960"/>
  <c r="V960"/>
  <c r="W960"/>
  <c r="X960"/>
  <c r="Y960"/>
  <c r="AA960"/>
  <c r="AB960"/>
  <c r="AC960"/>
  <c r="AD960"/>
  <c r="P961"/>
  <c r="Q961"/>
  <c r="R961"/>
  <c r="S961"/>
  <c r="T961"/>
  <c r="U961"/>
  <c r="V961"/>
  <c r="W961"/>
  <c r="X961"/>
  <c r="Y961"/>
  <c r="AA961"/>
  <c r="AB961"/>
  <c r="AC961"/>
  <c r="AD961"/>
  <c r="P962"/>
  <c r="Q962"/>
  <c r="R962"/>
  <c r="S962"/>
  <c r="T962"/>
  <c r="U962"/>
  <c r="V962"/>
  <c r="W962"/>
  <c r="X962"/>
  <c r="Y962"/>
  <c r="AA962"/>
  <c r="AB962"/>
  <c r="AC962"/>
  <c r="AD962"/>
  <c r="P963"/>
  <c r="Q963"/>
  <c r="R963"/>
  <c r="S963"/>
  <c r="T963"/>
  <c r="U963"/>
  <c r="V963"/>
  <c r="W963"/>
  <c r="X963"/>
  <c r="Y963"/>
  <c r="AA963"/>
  <c r="AB963"/>
  <c r="AC963"/>
  <c r="AD963"/>
  <c r="P964"/>
  <c r="Q964"/>
  <c r="R964"/>
  <c r="S964"/>
  <c r="T964"/>
  <c r="U964"/>
  <c r="V964"/>
  <c r="W964"/>
  <c r="X964"/>
  <c r="Y964"/>
  <c r="AA964"/>
  <c r="AB964"/>
  <c r="AC964"/>
  <c r="AD964"/>
  <c r="P965"/>
  <c r="Q965"/>
  <c r="R965"/>
  <c r="S965"/>
  <c r="T965"/>
  <c r="U965"/>
  <c r="V965"/>
  <c r="W965"/>
  <c r="X965"/>
  <c r="Y965"/>
  <c r="AA965"/>
  <c r="AB965"/>
  <c r="AC965"/>
  <c r="AD965"/>
  <c r="P966"/>
  <c r="Q966"/>
  <c r="R966"/>
  <c r="S966"/>
  <c r="T966"/>
  <c r="U966"/>
  <c r="V966"/>
  <c r="W966"/>
  <c r="X966"/>
  <c r="Y966"/>
  <c r="AA966"/>
  <c r="AB966"/>
  <c r="AC966"/>
  <c r="AD966"/>
  <c r="P967"/>
  <c r="Q967"/>
  <c r="R967"/>
  <c r="S967"/>
  <c r="T967"/>
  <c r="U967"/>
  <c r="V967"/>
  <c r="W967"/>
  <c r="X967"/>
  <c r="Y967"/>
  <c r="AA967"/>
  <c r="AB967"/>
  <c r="AC967"/>
  <c r="AD967"/>
  <c r="P968"/>
  <c r="Q968"/>
  <c r="R968"/>
  <c r="S968"/>
  <c r="T968"/>
  <c r="U968"/>
  <c r="V968"/>
  <c r="W968"/>
  <c r="X968"/>
  <c r="Y968"/>
  <c r="AA968"/>
  <c r="AB968"/>
  <c r="AC968"/>
  <c r="AD968"/>
  <c r="P969"/>
  <c r="Q969"/>
  <c r="R969"/>
  <c r="S969"/>
  <c r="T969"/>
  <c r="U969"/>
  <c r="V969"/>
  <c r="W969"/>
  <c r="X969"/>
  <c r="Y969"/>
  <c r="AA969"/>
  <c r="AB969"/>
  <c r="AC969"/>
  <c r="AD969"/>
  <c r="P970"/>
  <c r="Q970"/>
  <c r="R970"/>
  <c r="S970"/>
  <c r="T970"/>
  <c r="U970"/>
  <c r="V970"/>
  <c r="W970"/>
  <c r="X970"/>
  <c r="Y970"/>
  <c r="AA970"/>
  <c r="AB970"/>
  <c r="AC970"/>
  <c r="AD970"/>
  <c r="P971"/>
  <c r="Q971"/>
  <c r="R971"/>
  <c r="S971"/>
  <c r="T971"/>
  <c r="U971"/>
  <c r="V971"/>
  <c r="W971"/>
  <c r="X971"/>
  <c r="Y971"/>
  <c r="AA971"/>
  <c r="AB971"/>
  <c r="AC971"/>
  <c r="AD971"/>
  <c r="P972"/>
  <c r="Q972"/>
  <c r="R972"/>
  <c r="S972"/>
  <c r="T972"/>
  <c r="U972"/>
  <c r="V972"/>
  <c r="W972"/>
  <c r="X972"/>
  <c r="Y972"/>
  <c r="AA972"/>
  <c r="AB972"/>
  <c r="AC972"/>
  <c r="AD972"/>
  <c r="P973"/>
  <c r="Q973"/>
  <c r="R973"/>
  <c r="S973"/>
  <c r="T973"/>
  <c r="U973"/>
  <c r="V973"/>
  <c r="W973"/>
  <c r="X973"/>
  <c r="Y973"/>
  <c r="AA973"/>
  <c r="AB973"/>
  <c r="AC973"/>
  <c r="AD973"/>
  <c r="P974"/>
  <c r="Q974"/>
  <c r="R974"/>
  <c r="S974"/>
  <c r="T974"/>
  <c r="U974"/>
  <c r="V974"/>
  <c r="W974"/>
  <c r="X974"/>
  <c r="Y974"/>
  <c r="AA974"/>
  <c r="AB974"/>
  <c r="AC974"/>
  <c r="AD974"/>
  <c r="P975"/>
  <c r="Q975"/>
  <c r="R975"/>
  <c r="S975"/>
  <c r="T975"/>
  <c r="U975"/>
  <c r="V975"/>
  <c r="W975"/>
  <c r="X975"/>
  <c r="Y975"/>
  <c r="AA975"/>
  <c r="AB975"/>
  <c r="AC975"/>
  <c r="AD975"/>
  <c r="P976"/>
  <c r="Q976"/>
  <c r="R976"/>
  <c r="S976"/>
  <c r="T976"/>
  <c r="U976"/>
  <c r="V976"/>
  <c r="W976"/>
  <c r="X976"/>
  <c r="Y976"/>
  <c r="AA976"/>
  <c r="AB976"/>
  <c r="AC976"/>
  <c r="AD976"/>
  <c r="P977"/>
  <c r="Q977"/>
  <c r="R977"/>
  <c r="S977"/>
  <c r="T977"/>
  <c r="U977"/>
  <c r="V977"/>
  <c r="W977"/>
  <c r="X977"/>
  <c r="Y977"/>
  <c r="AA977"/>
  <c r="AB977"/>
  <c r="AC977"/>
  <c r="AD977"/>
  <c r="P978"/>
  <c r="Q978"/>
  <c r="R978"/>
  <c r="S978"/>
  <c r="T978"/>
  <c r="U978"/>
  <c r="V978"/>
  <c r="W978"/>
  <c r="X978"/>
  <c r="Y978"/>
  <c r="AA978"/>
  <c r="AB978"/>
  <c r="AC978"/>
  <c r="AD978"/>
  <c r="P979"/>
  <c r="Q979"/>
  <c r="R979"/>
  <c r="S979"/>
  <c r="T979"/>
  <c r="U979"/>
  <c r="V979"/>
  <c r="W979"/>
  <c r="X979"/>
  <c r="Y979"/>
  <c r="AA979"/>
  <c r="AB979"/>
  <c r="AC979"/>
  <c r="AD979"/>
  <c r="P980"/>
  <c r="Q980"/>
  <c r="R980"/>
  <c r="S980"/>
  <c r="T980"/>
  <c r="U980"/>
  <c r="V980"/>
  <c r="W980"/>
  <c r="X980"/>
  <c r="Y980"/>
  <c r="AA980"/>
  <c r="AB980"/>
  <c r="AC980"/>
  <c r="AD980"/>
  <c r="P981"/>
  <c r="Q981"/>
  <c r="R981"/>
  <c r="S981"/>
  <c r="T981"/>
  <c r="U981"/>
  <c r="V981"/>
  <c r="W981"/>
  <c r="X981"/>
  <c r="Y981"/>
  <c r="AA981"/>
  <c r="AB981"/>
  <c r="AC981"/>
  <c r="AD981"/>
  <c r="P982"/>
  <c r="Q982"/>
  <c r="R982"/>
  <c r="S982"/>
  <c r="T982"/>
  <c r="U982"/>
  <c r="V982"/>
  <c r="W982"/>
  <c r="X982"/>
  <c r="Y982"/>
  <c r="AA982"/>
  <c r="AB982"/>
  <c r="AC982"/>
  <c r="AD982"/>
  <c r="P983"/>
  <c r="Q983"/>
  <c r="R983"/>
  <c r="S983"/>
  <c r="T983"/>
  <c r="U983"/>
  <c r="V983"/>
  <c r="W983"/>
  <c r="X983"/>
  <c r="Y983"/>
  <c r="AA983"/>
  <c r="AB983"/>
  <c r="AC983"/>
  <c r="AD983"/>
  <c r="P984"/>
  <c r="Q984"/>
  <c r="R984"/>
  <c r="S984"/>
  <c r="T984"/>
  <c r="U984"/>
  <c r="V984"/>
  <c r="W984"/>
  <c r="X984"/>
  <c r="Y984"/>
  <c r="AA984"/>
  <c r="AB984"/>
  <c r="AC984"/>
  <c r="AD984"/>
  <c r="P985"/>
  <c r="Q985"/>
  <c r="R985"/>
  <c r="S985"/>
  <c r="T985"/>
  <c r="U985"/>
  <c r="V985"/>
  <c r="W985"/>
  <c r="X985"/>
  <c r="Y985"/>
  <c r="AA985"/>
  <c r="AB985"/>
  <c r="AC985"/>
  <c r="AD985"/>
  <c r="P986"/>
  <c r="Q986"/>
  <c r="R986"/>
  <c r="S986"/>
  <c r="T986"/>
  <c r="U986"/>
  <c r="V986"/>
  <c r="W986"/>
  <c r="X986"/>
  <c r="Y986"/>
  <c r="AA986"/>
  <c r="AB986"/>
  <c r="AC986"/>
  <c r="AD986"/>
  <c r="P987"/>
  <c r="Q987"/>
  <c r="R987"/>
  <c r="S987"/>
  <c r="T987"/>
  <c r="U987"/>
  <c r="V987"/>
  <c r="W987"/>
  <c r="X987"/>
  <c r="Y987"/>
  <c r="AA987"/>
  <c r="AB987"/>
  <c r="AC987"/>
  <c r="AD987"/>
  <c r="P988"/>
  <c r="Q988"/>
  <c r="R988"/>
  <c r="S988"/>
  <c r="T988"/>
  <c r="U988"/>
  <c r="V988"/>
  <c r="W988"/>
  <c r="X988"/>
  <c r="Y988"/>
  <c r="AA988"/>
  <c r="AB988"/>
  <c r="AC988"/>
  <c r="AD988"/>
  <c r="P989"/>
  <c r="Q989"/>
  <c r="R989"/>
  <c r="S989"/>
  <c r="T989"/>
  <c r="U989"/>
  <c r="V989"/>
  <c r="W989"/>
  <c r="X989"/>
  <c r="Y989"/>
  <c r="AA989"/>
  <c r="AB989"/>
  <c r="AC989"/>
  <c r="AD989"/>
  <c r="P990"/>
  <c r="Q990"/>
  <c r="R990"/>
  <c r="S990"/>
  <c r="T990"/>
  <c r="U990"/>
  <c r="V990"/>
  <c r="W990"/>
  <c r="X990"/>
  <c r="Y990"/>
  <c r="AA990"/>
  <c r="AB990"/>
  <c r="AC990"/>
  <c r="AD990"/>
  <c r="P991"/>
  <c r="Q991"/>
  <c r="R991"/>
  <c r="S991"/>
  <c r="T991"/>
  <c r="U991"/>
  <c r="V991"/>
  <c r="W991"/>
  <c r="X991"/>
  <c r="Y991"/>
  <c r="AA991"/>
  <c r="AB991"/>
  <c r="AC991"/>
  <c r="AD991"/>
  <c r="P992"/>
  <c r="Q992"/>
  <c r="R992"/>
  <c r="S992"/>
  <c r="T992"/>
  <c r="U992"/>
  <c r="V992"/>
  <c r="W992"/>
  <c r="X992"/>
  <c r="Y992"/>
  <c r="AA992"/>
  <c r="AB992"/>
  <c r="AC992"/>
  <c r="AD992"/>
  <c r="P993"/>
  <c r="Q993"/>
  <c r="R993"/>
  <c r="S993"/>
  <c r="T993"/>
  <c r="U993"/>
  <c r="V993"/>
  <c r="W993"/>
  <c r="X993"/>
  <c r="Y993"/>
  <c r="AA993"/>
  <c r="AB993"/>
  <c r="AC993"/>
  <c r="AD993"/>
  <c r="P994"/>
  <c r="Q994"/>
  <c r="R994"/>
  <c r="S994"/>
  <c r="T994"/>
  <c r="U994"/>
  <c r="V994"/>
  <c r="W994"/>
  <c r="X994"/>
  <c r="Y994"/>
  <c r="AA994"/>
  <c r="AB994"/>
  <c r="AC994"/>
  <c r="AD994"/>
  <c r="P995"/>
  <c r="Q995"/>
  <c r="R995"/>
  <c r="S995"/>
  <c r="T995"/>
  <c r="U995"/>
  <c r="V995"/>
  <c r="W995"/>
  <c r="X995"/>
  <c r="Y995"/>
  <c r="AA995"/>
  <c r="AB995"/>
  <c r="AC995"/>
  <c r="AD995"/>
  <c r="P996"/>
  <c r="Q996"/>
  <c r="R996"/>
  <c r="S996"/>
  <c r="T996"/>
  <c r="U996"/>
  <c r="V996"/>
  <c r="W996"/>
  <c r="X996"/>
  <c r="Y996"/>
  <c r="AA996"/>
  <c r="AB996"/>
  <c r="AC996"/>
  <c r="AD996"/>
  <c r="P997"/>
  <c r="Q997"/>
  <c r="R997"/>
  <c r="S997"/>
  <c r="T997"/>
  <c r="U997"/>
  <c r="V997"/>
  <c r="W997"/>
  <c r="X997"/>
  <c r="Y997"/>
  <c r="AA997"/>
  <c r="AB997"/>
  <c r="AC997"/>
  <c r="AD997"/>
  <c r="P998"/>
  <c r="Q998"/>
  <c r="R998"/>
  <c r="S998"/>
  <c r="T998"/>
  <c r="U998"/>
  <c r="V998"/>
  <c r="W998"/>
  <c r="X998"/>
  <c r="Y998"/>
  <c r="AA998"/>
  <c r="AB998"/>
  <c r="AC998"/>
  <c r="AD998"/>
  <c r="P999"/>
  <c r="Q999"/>
  <c r="R999"/>
  <c r="S999"/>
  <c r="T999"/>
  <c r="U999"/>
  <c r="V999"/>
  <c r="W999"/>
  <c r="X999"/>
  <c r="Y999"/>
  <c r="AA999"/>
  <c r="AB999"/>
  <c r="AC999"/>
  <c r="AD999"/>
  <c r="P1000"/>
  <c r="Q1000"/>
  <c r="R1000"/>
  <c r="S1000"/>
  <c r="T1000"/>
  <c r="U1000"/>
  <c r="V1000"/>
  <c r="W1000"/>
  <c r="X1000"/>
  <c r="Y1000"/>
  <c r="AA1000"/>
  <c r="AB1000"/>
  <c r="AC1000"/>
  <c r="AD1000"/>
  <c r="P1001"/>
  <c r="Q1001"/>
  <c r="R1001"/>
  <c r="S1001"/>
  <c r="T1001"/>
  <c r="U1001"/>
  <c r="V1001"/>
  <c r="W1001"/>
  <c r="X1001"/>
  <c r="Y1001"/>
  <c r="AA1001"/>
  <c r="AB1001"/>
  <c r="AC1001"/>
  <c r="AD1001"/>
  <c r="P1002"/>
  <c r="Q1002"/>
  <c r="R1002"/>
  <c r="S1002"/>
  <c r="T1002"/>
  <c r="U1002"/>
  <c r="V1002"/>
  <c r="W1002"/>
  <c r="X1002"/>
  <c r="Y1002"/>
  <c r="AA1002"/>
  <c r="AB1002"/>
  <c r="AC1002"/>
  <c r="AD1002"/>
  <c r="P1003"/>
  <c r="Q1003"/>
  <c r="R1003"/>
  <c r="S1003"/>
  <c r="T1003"/>
  <c r="U1003"/>
  <c r="V1003"/>
  <c r="W1003"/>
  <c r="X1003"/>
  <c r="Y1003"/>
  <c r="AA1003"/>
  <c r="AB1003"/>
  <c r="AC1003"/>
  <c r="AD1003"/>
  <c r="P1004"/>
  <c r="Q1004"/>
  <c r="R1004"/>
  <c r="S1004"/>
  <c r="T1004"/>
  <c r="U1004"/>
  <c r="V1004"/>
  <c r="W1004"/>
  <c r="X1004"/>
  <c r="Y1004"/>
  <c r="AA1004"/>
  <c r="AB1004"/>
  <c r="AC1004"/>
  <c r="AD1004"/>
  <c r="P1005"/>
  <c r="Q1005"/>
  <c r="R1005"/>
  <c r="S1005"/>
  <c r="T1005"/>
  <c r="U1005"/>
  <c r="V1005"/>
  <c r="W1005"/>
  <c r="X1005"/>
  <c r="Y1005"/>
  <c r="AA1005"/>
  <c r="AB1005"/>
  <c r="AC1005"/>
  <c r="AD1005"/>
  <c r="P1006"/>
  <c r="Q1006"/>
  <c r="R1006"/>
  <c r="S1006"/>
  <c r="T1006"/>
  <c r="U1006"/>
  <c r="V1006"/>
  <c r="W1006"/>
  <c r="X1006"/>
  <c r="Y1006"/>
  <c r="AA1006"/>
  <c r="AB1006"/>
  <c r="AC1006"/>
  <c r="AD1006"/>
  <c r="P1007"/>
  <c r="Q1007"/>
  <c r="R1007"/>
  <c r="S1007"/>
  <c r="T1007"/>
  <c r="U1007"/>
  <c r="V1007"/>
  <c r="W1007"/>
  <c r="X1007"/>
  <c r="Y1007"/>
  <c r="AA1007"/>
  <c r="AB1007"/>
  <c r="AC1007"/>
  <c r="AD1007"/>
  <c r="P1008"/>
  <c r="Q1008"/>
  <c r="R1008"/>
  <c r="S1008"/>
  <c r="T1008"/>
  <c r="U1008"/>
  <c r="V1008"/>
  <c r="W1008"/>
  <c r="X1008"/>
  <c r="Y1008"/>
  <c r="AA1008"/>
  <c r="AB1008"/>
  <c r="AC1008"/>
  <c r="AD1008"/>
  <c r="P1009"/>
  <c r="Q1009"/>
  <c r="R1009"/>
  <c r="S1009"/>
  <c r="T1009"/>
  <c r="U1009"/>
  <c r="V1009"/>
  <c r="W1009"/>
  <c r="X1009"/>
  <c r="Y1009"/>
  <c r="AA1009"/>
  <c r="AB1009"/>
  <c r="AC1009"/>
  <c r="AD1009"/>
  <c r="P1010"/>
  <c r="Q1010"/>
  <c r="R1010"/>
  <c r="S1010"/>
  <c r="T1010"/>
  <c r="U1010"/>
  <c r="V1010"/>
  <c r="W1010"/>
  <c r="X1010"/>
  <c r="Y1010"/>
  <c r="AA1010"/>
  <c r="AB1010"/>
  <c r="AC1010"/>
  <c r="AD1010"/>
  <c r="P1011"/>
  <c r="Q1011"/>
  <c r="R1011"/>
  <c r="S1011"/>
  <c r="T1011"/>
  <c r="U1011"/>
  <c r="V1011"/>
  <c r="W1011"/>
  <c r="X1011"/>
  <c r="Y1011"/>
  <c r="AA1011"/>
  <c r="AB1011"/>
  <c r="AC1011"/>
  <c r="AD1011"/>
  <c r="P1012"/>
  <c r="Q1012"/>
  <c r="R1012"/>
  <c r="S1012"/>
  <c r="T1012"/>
  <c r="U1012"/>
  <c r="V1012"/>
  <c r="W1012"/>
  <c r="X1012"/>
  <c r="Y1012"/>
  <c r="AA1012"/>
  <c r="AB1012"/>
  <c r="AC1012"/>
  <c r="AD1012"/>
  <c r="P1013"/>
  <c r="Q1013"/>
  <c r="R1013"/>
  <c r="S1013"/>
  <c r="T1013"/>
  <c r="U1013"/>
  <c r="V1013"/>
  <c r="W1013"/>
  <c r="X1013"/>
  <c r="Y1013"/>
  <c r="AA1013"/>
  <c r="AB1013"/>
  <c r="AC1013"/>
  <c r="AD1013"/>
  <c r="P1014"/>
  <c r="Q1014"/>
  <c r="R1014"/>
  <c r="S1014"/>
  <c r="T1014"/>
  <c r="U1014"/>
  <c r="V1014"/>
  <c r="W1014"/>
  <c r="X1014"/>
  <c r="Y1014"/>
  <c r="AA1014"/>
  <c r="AB1014"/>
  <c r="AC1014"/>
  <c r="AD1014"/>
  <c r="P1015"/>
  <c r="Q1015"/>
  <c r="R1015"/>
  <c r="S1015"/>
  <c r="T1015"/>
  <c r="U1015"/>
  <c r="V1015"/>
  <c r="W1015"/>
  <c r="X1015"/>
  <c r="Y1015"/>
  <c r="AA1015"/>
  <c r="AB1015"/>
  <c r="AC1015"/>
  <c r="AD1015"/>
  <c r="P1016"/>
  <c r="Q1016"/>
  <c r="R1016"/>
  <c r="S1016"/>
  <c r="T1016"/>
  <c r="U1016"/>
  <c r="V1016"/>
  <c r="W1016"/>
  <c r="X1016"/>
  <c r="Y1016"/>
  <c r="AA1016"/>
  <c r="AB1016"/>
  <c r="AC1016"/>
  <c r="AD1016"/>
  <c r="P1017"/>
  <c r="Q1017"/>
  <c r="R1017"/>
  <c r="S1017"/>
  <c r="T1017"/>
  <c r="U1017"/>
  <c r="V1017"/>
  <c r="W1017"/>
  <c r="X1017"/>
  <c r="Y1017"/>
  <c r="AA1017"/>
  <c r="AB1017"/>
  <c r="AC1017"/>
  <c r="AD1017"/>
  <c r="P1018"/>
  <c r="Q1018"/>
  <c r="R1018"/>
  <c r="S1018"/>
  <c r="T1018"/>
  <c r="U1018"/>
  <c r="V1018"/>
  <c r="W1018"/>
  <c r="X1018"/>
  <c r="Y1018"/>
  <c r="AA1018"/>
  <c r="AB1018"/>
  <c r="AC1018"/>
  <c r="AD1018"/>
  <c r="P1019"/>
  <c r="Q1019"/>
  <c r="R1019"/>
  <c r="S1019"/>
  <c r="T1019"/>
  <c r="U1019"/>
  <c r="V1019"/>
  <c r="W1019"/>
  <c r="X1019"/>
  <c r="Y1019"/>
  <c r="AA1019"/>
  <c r="AB1019"/>
  <c r="AC1019"/>
  <c r="AD1019"/>
  <c r="P1020"/>
  <c r="Q1020"/>
  <c r="R1020"/>
  <c r="S1020"/>
  <c r="T1020"/>
  <c r="U1020"/>
  <c r="V1020"/>
  <c r="W1020"/>
  <c r="X1020"/>
  <c r="Y1020"/>
  <c r="AA1020"/>
  <c r="AB1020"/>
  <c r="AC1020"/>
  <c r="AD1020"/>
  <c r="P1021"/>
  <c r="Q1021"/>
  <c r="R1021"/>
  <c r="S1021"/>
  <c r="T1021"/>
  <c r="U1021"/>
  <c r="V1021"/>
  <c r="W1021"/>
  <c r="X1021"/>
  <c r="Y1021"/>
  <c r="AA1021"/>
  <c r="AB1021"/>
  <c r="AC1021"/>
  <c r="AD1021"/>
  <c r="P1022"/>
  <c r="Q1022"/>
  <c r="R1022"/>
  <c r="S1022"/>
  <c r="T1022"/>
  <c r="U1022"/>
  <c r="V1022"/>
  <c r="W1022"/>
  <c r="X1022"/>
  <c r="Y1022"/>
  <c r="AA1022"/>
  <c r="AB1022"/>
  <c r="AC1022"/>
  <c r="AD1022"/>
  <c r="P1023"/>
  <c r="Q1023"/>
  <c r="R1023"/>
  <c r="S1023"/>
  <c r="T1023"/>
  <c r="U1023"/>
  <c r="V1023"/>
  <c r="W1023"/>
  <c r="X1023"/>
  <c r="Y1023"/>
  <c r="AA1023"/>
  <c r="AB1023"/>
  <c r="AC1023"/>
  <c r="AD1023"/>
  <c r="P1024"/>
  <c r="Q1024"/>
  <c r="R1024"/>
  <c r="S1024"/>
  <c r="T1024"/>
  <c r="U1024"/>
  <c r="V1024"/>
  <c r="W1024"/>
  <c r="X1024"/>
  <c r="Y1024"/>
  <c r="AA1024"/>
  <c r="AB1024"/>
  <c r="AC1024"/>
  <c r="AD1024"/>
  <c r="P1025"/>
  <c r="Q1025"/>
  <c r="R1025"/>
  <c r="S1025"/>
  <c r="T1025"/>
  <c r="U1025"/>
  <c r="V1025"/>
  <c r="W1025"/>
  <c r="X1025"/>
  <c r="Y1025"/>
  <c r="AA1025"/>
  <c r="AB1025"/>
  <c r="AC1025"/>
  <c r="AD1025"/>
  <c r="P1026"/>
  <c r="Q1026"/>
  <c r="R1026"/>
  <c r="S1026"/>
  <c r="T1026"/>
  <c r="U1026"/>
  <c r="V1026"/>
  <c r="W1026"/>
  <c r="X1026"/>
  <c r="Y1026"/>
  <c r="AA1026"/>
  <c r="AB1026"/>
  <c r="AC1026"/>
  <c r="AD1026"/>
  <c r="P1027"/>
  <c r="Q1027"/>
  <c r="R1027"/>
  <c r="S1027"/>
  <c r="T1027"/>
  <c r="U1027"/>
  <c r="V1027"/>
  <c r="W1027"/>
  <c r="X1027"/>
  <c r="Y1027"/>
  <c r="AA1027"/>
  <c r="AB1027"/>
  <c r="AC1027"/>
  <c r="AD1027"/>
  <c r="P1028"/>
  <c r="Q1028"/>
  <c r="R1028"/>
  <c r="S1028"/>
  <c r="T1028"/>
  <c r="U1028"/>
  <c r="V1028"/>
  <c r="W1028"/>
  <c r="X1028"/>
  <c r="Y1028"/>
  <c r="AA1028"/>
  <c r="AB1028"/>
  <c r="AC1028"/>
  <c r="AD1028"/>
  <c r="P1029"/>
  <c r="Q1029"/>
  <c r="R1029"/>
  <c r="S1029"/>
  <c r="T1029"/>
  <c r="U1029"/>
  <c r="V1029"/>
  <c r="W1029"/>
  <c r="X1029"/>
  <c r="Y1029"/>
  <c r="AA1029"/>
  <c r="AB1029"/>
  <c r="AC1029"/>
  <c r="AD1029"/>
  <c r="P1030"/>
  <c r="Q1030"/>
  <c r="R1030"/>
  <c r="S1030"/>
  <c r="T1030"/>
  <c r="U1030"/>
  <c r="V1030"/>
  <c r="W1030"/>
  <c r="X1030"/>
  <c r="Y1030"/>
  <c r="AA1030"/>
  <c r="AB1030"/>
  <c r="AC1030"/>
  <c r="AD1030"/>
  <c r="P1031"/>
  <c r="Q1031"/>
  <c r="R1031"/>
  <c r="S1031"/>
  <c r="T1031"/>
  <c r="U1031"/>
  <c r="V1031"/>
  <c r="W1031"/>
  <c r="X1031"/>
  <c r="Y1031"/>
  <c r="AA1031"/>
  <c r="AB1031"/>
  <c r="AC1031"/>
  <c r="AD1031"/>
  <c r="P1032"/>
  <c r="Q1032"/>
  <c r="R1032"/>
  <c r="S1032"/>
  <c r="T1032"/>
  <c r="U1032"/>
  <c r="V1032"/>
  <c r="W1032"/>
  <c r="X1032"/>
  <c r="Y1032"/>
  <c r="AA1032"/>
  <c r="AB1032"/>
  <c r="AC1032"/>
  <c r="AD1032"/>
  <c r="P1033"/>
  <c r="Q1033"/>
  <c r="R1033"/>
  <c r="S1033"/>
  <c r="T1033"/>
  <c r="U1033"/>
  <c r="V1033"/>
  <c r="W1033"/>
  <c r="X1033"/>
  <c r="Y1033"/>
  <c r="AA1033"/>
  <c r="AB1033"/>
  <c r="AC1033"/>
  <c r="AD1033"/>
  <c r="P1034"/>
  <c r="Q1034"/>
  <c r="R1034"/>
  <c r="S1034"/>
  <c r="T1034"/>
  <c r="U1034"/>
  <c r="V1034"/>
  <c r="W1034"/>
  <c r="X1034"/>
  <c r="Y1034"/>
  <c r="AA1034"/>
  <c r="AB1034"/>
  <c r="AC1034"/>
  <c r="AD1034"/>
  <c r="P1035"/>
  <c r="Q1035"/>
  <c r="R1035"/>
  <c r="S1035"/>
  <c r="T1035"/>
  <c r="U1035"/>
  <c r="V1035"/>
  <c r="W1035"/>
  <c r="X1035"/>
  <c r="Y1035"/>
  <c r="AA1035"/>
  <c r="AB1035"/>
  <c r="AC1035"/>
  <c r="AD1035"/>
  <c r="P1036"/>
  <c r="Q1036"/>
  <c r="R1036"/>
  <c r="S1036"/>
  <c r="T1036"/>
  <c r="U1036"/>
  <c r="V1036"/>
  <c r="W1036"/>
  <c r="X1036"/>
  <c r="Y1036"/>
  <c r="AA1036"/>
  <c r="AB1036"/>
  <c r="AC1036"/>
  <c r="AD1036"/>
  <c r="P1037"/>
  <c r="Q1037"/>
  <c r="R1037"/>
  <c r="S1037"/>
  <c r="T1037"/>
  <c r="U1037"/>
  <c r="V1037"/>
  <c r="W1037"/>
  <c r="X1037"/>
  <c r="Y1037"/>
  <c r="AA1037"/>
  <c r="AB1037"/>
  <c r="AC1037"/>
  <c r="AD1037"/>
  <c r="P1038"/>
  <c r="Q1038"/>
  <c r="R1038"/>
  <c r="S1038"/>
  <c r="T1038"/>
  <c r="U1038"/>
  <c r="V1038"/>
  <c r="W1038"/>
  <c r="X1038"/>
  <c r="Y1038"/>
  <c r="AA1038"/>
  <c r="AB1038"/>
  <c r="AC1038"/>
  <c r="AD1038"/>
  <c r="P1039"/>
  <c r="Q1039"/>
  <c r="R1039"/>
  <c r="S1039"/>
  <c r="T1039"/>
  <c r="U1039"/>
  <c r="V1039"/>
  <c r="W1039"/>
  <c r="X1039"/>
  <c r="Y1039"/>
  <c r="AA1039"/>
  <c r="AB1039"/>
  <c r="AC1039"/>
  <c r="AD1039"/>
  <c r="P1040"/>
  <c r="Q1040"/>
  <c r="R1040"/>
  <c r="S1040"/>
  <c r="T1040"/>
  <c r="U1040"/>
  <c r="V1040"/>
  <c r="W1040"/>
  <c r="X1040"/>
  <c r="Y1040"/>
  <c r="AA1040"/>
  <c r="AB1040"/>
  <c r="AC1040"/>
  <c r="AD1040"/>
  <c r="P1041"/>
  <c r="Q1041"/>
  <c r="R1041"/>
  <c r="S1041"/>
  <c r="T1041"/>
  <c r="U1041"/>
  <c r="V1041"/>
  <c r="W1041"/>
  <c r="X1041"/>
  <c r="Y1041"/>
  <c r="AA1041"/>
  <c r="AB1041"/>
  <c r="AC1041"/>
  <c r="AD1041"/>
  <c r="P1042"/>
  <c r="Q1042"/>
  <c r="R1042"/>
  <c r="S1042"/>
  <c r="T1042"/>
  <c r="U1042"/>
  <c r="V1042"/>
  <c r="W1042"/>
  <c r="X1042"/>
  <c r="Y1042"/>
  <c r="AA1042"/>
  <c r="AB1042"/>
  <c r="AC1042"/>
  <c r="AD1042"/>
  <c r="P1043"/>
  <c r="Q1043"/>
  <c r="R1043"/>
  <c r="S1043"/>
  <c r="T1043"/>
  <c r="U1043"/>
  <c r="V1043"/>
  <c r="W1043"/>
  <c r="X1043"/>
  <c r="Y1043"/>
  <c r="AA1043"/>
  <c r="AB1043"/>
  <c r="AC1043"/>
  <c r="AD1043"/>
  <c r="P1044"/>
  <c r="Q1044"/>
  <c r="R1044"/>
  <c r="S1044"/>
  <c r="T1044"/>
  <c r="U1044"/>
  <c r="V1044"/>
  <c r="W1044"/>
  <c r="X1044"/>
  <c r="Y1044"/>
  <c r="AA1044"/>
  <c r="AB1044"/>
  <c r="AC1044"/>
  <c r="AD1044"/>
  <c r="P1045"/>
  <c r="Q1045"/>
  <c r="R1045"/>
  <c r="S1045"/>
  <c r="T1045"/>
  <c r="U1045"/>
  <c r="V1045"/>
  <c r="W1045"/>
  <c r="X1045"/>
  <c r="Y1045"/>
  <c r="AA1045"/>
  <c r="AB1045"/>
  <c r="AC1045"/>
  <c r="AD1045"/>
  <c r="P1046"/>
  <c r="Q1046"/>
  <c r="R1046"/>
  <c r="S1046"/>
  <c r="T1046"/>
  <c r="U1046"/>
  <c r="V1046"/>
  <c r="W1046"/>
  <c r="X1046"/>
  <c r="Y1046"/>
  <c r="AA1046"/>
  <c r="AB1046"/>
  <c r="AC1046"/>
  <c r="AD1046"/>
  <c r="P1047"/>
  <c r="Q1047"/>
  <c r="R1047"/>
  <c r="S1047"/>
  <c r="T1047"/>
  <c r="U1047"/>
  <c r="V1047"/>
  <c r="W1047"/>
  <c r="X1047"/>
  <c r="Y1047"/>
  <c r="AA1047"/>
  <c r="AB1047"/>
  <c r="AC1047"/>
  <c r="AD1047"/>
  <c r="P1048"/>
  <c r="Q1048"/>
  <c r="R1048"/>
  <c r="S1048"/>
  <c r="T1048"/>
  <c r="U1048"/>
  <c r="V1048"/>
  <c r="W1048"/>
  <c r="X1048"/>
  <c r="Y1048"/>
  <c r="AA1048"/>
  <c r="AB1048"/>
  <c r="AC1048"/>
  <c r="AD1048"/>
  <c r="P1049"/>
  <c r="Q1049"/>
  <c r="R1049"/>
  <c r="S1049"/>
  <c r="T1049"/>
  <c r="U1049"/>
  <c r="V1049"/>
  <c r="W1049"/>
  <c r="X1049"/>
  <c r="Y1049"/>
  <c r="AA1049"/>
  <c r="AB1049"/>
  <c r="AC1049"/>
  <c r="AD1049"/>
  <c r="P1050"/>
  <c r="Q1050"/>
  <c r="R1050"/>
  <c r="S1050"/>
  <c r="T1050"/>
  <c r="U1050"/>
  <c r="V1050"/>
  <c r="W1050"/>
  <c r="X1050"/>
  <c r="Y1050"/>
  <c r="AA1050"/>
  <c r="AB1050"/>
  <c r="AC1050"/>
  <c r="AD1050"/>
  <c r="P1051"/>
  <c r="Q1051"/>
  <c r="R1051"/>
  <c r="S1051"/>
  <c r="T1051"/>
  <c r="U1051"/>
  <c r="V1051"/>
  <c r="W1051"/>
  <c r="X1051"/>
  <c r="Y1051"/>
  <c r="AA1051"/>
  <c r="AB1051"/>
  <c r="AC1051"/>
  <c r="AD1051"/>
  <c r="P1052"/>
  <c r="Q1052"/>
  <c r="R1052"/>
  <c r="S1052"/>
  <c r="T1052"/>
  <c r="U1052"/>
  <c r="V1052"/>
  <c r="W1052"/>
  <c r="X1052"/>
  <c r="Y1052"/>
  <c r="AA1052"/>
  <c r="AB1052"/>
  <c r="AC1052"/>
  <c r="AD1052"/>
  <c r="P1053"/>
  <c r="Q1053"/>
  <c r="R1053"/>
  <c r="S1053"/>
  <c r="T1053"/>
  <c r="U1053"/>
  <c r="V1053"/>
  <c r="W1053"/>
  <c r="X1053"/>
  <c r="Y1053"/>
  <c r="AA1053"/>
  <c r="AB1053"/>
  <c r="AC1053"/>
  <c r="AD1053"/>
  <c r="P1054"/>
  <c r="Q1054"/>
  <c r="R1054"/>
  <c r="S1054"/>
  <c r="T1054"/>
  <c r="U1054"/>
  <c r="V1054"/>
  <c r="W1054"/>
  <c r="X1054"/>
  <c r="Y1054"/>
  <c r="AA1054"/>
  <c r="AB1054"/>
  <c r="AC1054"/>
  <c r="AD1054"/>
  <c r="P1055"/>
  <c r="Q1055"/>
  <c r="R1055"/>
  <c r="S1055"/>
  <c r="T1055"/>
  <c r="U1055"/>
  <c r="V1055"/>
  <c r="W1055"/>
  <c r="X1055"/>
  <c r="Y1055"/>
  <c r="AA1055"/>
  <c r="AB1055"/>
  <c r="AC1055"/>
  <c r="AD1055"/>
  <c r="P1056"/>
  <c r="Q1056"/>
  <c r="R1056"/>
  <c r="S1056"/>
  <c r="T1056"/>
  <c r="U1056"/>
  <c r="V1056"/>
  <c r="W1056"/>
  <c r="X1056"/>
  <c r="Y1056"/>
  <c r="AA1056"/>
  <c r="AB1056"/>
  <c r="AC1056"/>
  <c r="AD1056"/>
  <c r="P1057"/>
  <c r="Q1057"/>
  <c r="R1057"/>
  <c r="S1057"/>
  <c r="T1057"/>
  <c r="U1057"/>
  <c r="V1057"/>
  <c r="W1057"/>
  <c r="X1057"/>
  <c r="Y1057"/>
  <c r="AA1057"/>
  <c r="AB1057"/>
  <c r="AC1057"/>
  <c r="AD1057"/>
  <c r="P1058"/>
  <c r="Q1058"/>
  <c r="R1058"/>
  <c r="S1058"/>
  <c r="T1058"/>
  <c r="U1058"/>
  <c r="V1058"/>
  <c r="W1058"/>
  <c r="X1058"/>
  <c r="Y1058"/>
  <c r="AA1058"/>
  <c r="AB1058"/>
  <c r="AC1058"/>
  <c r="AD1058"/>
  <c r="P1059"/>
  <c r="Q1059"/>
  <c r="R1059"/>
  <c r="S1059"/>
  <c r="T1059"/>
  <c r="U1059"/>
  <c r="V1059"/>
  <c r="W1059"/>
  <c r="X1059"/>
  <c r="Y1059"/>
  <c r="AA1059"/>
  <c r="AB1059"/>
  <c r="AC1059"/>
  <c r="AD1059"/>
  <c r="P1060"/>
  <c r="Q1060"/>
  <c r="R1060"/>
  <c r="S1060"/>
  <c r="T1060"/>
  <c r="U1060"/>
  <c r="V1060"/>
  <c r="W1060"/>
  <c r="X1060"/>
  <c r="Y1060"/>
  <c r="AA1060"/>
  <c r="AB1060"/>
  <c r="AC1060"/>
  <c r="AD1060"/>
  <c r="P1061"/>
  <c r="Q1061"/>
  <c r="R1061"/>
  <c r="S1061"/>
  <c r="T1061"/>
  <c r="U1061"/>
  <c r="V1061"/>
  <c r="W1061"/>
  <c r="X1061"/>
  <c r="Y1061"/>
  <c r="AA1061"/>
  <c r="AB1061"/>
  <c r="AC1061"/>
  <c r="AD1061"/>
  <c r="P1062"/>
  <c r="Q1062"/>
  <c r="R1062"/>
  <c r="S1062"/>
  <c r="T1062"/>
  <c r="U1062"/>
  <c r="V1062"/>
  <c r="W1062"/>
  <c r="X1062"/>
  <c r="Y1062"/>
  <c r="AA1062"/>
  <c r="AB1062"/>
  <c r="AC1062"/>
  <c r="AD1062"/>
  <c r="P1063"/>
  <c r="Q1063"/>
  <c r="R1063"/>
  <c r="S1063"/>
  <c r="T1063"/>
  <c r="U1063"/>
  <c r="V1063"/>
  <c r="W1063"/>
  <c r="X1063"/>
  <c r="Y1063"/>
  <c r="AA1063"/>
  <c r="AB1063"/>
  <c r="AC1063"/>
  <c r="AD1063"/>
  <c r="P1064"/>
  <c r="Q1064"/>
  <c r="R1064"/>
  <c r="S1064"/>
  <c r="T1064"/>
  <c r="U1064"/>
  <c r="V1064"/>
  <c r="W1064"/>
  <c r="X1064"/>
  <c r="Y1064"/>
  <c r="AA1064"/>
  <c r="AB1064"/>
  <c r="AC1064"/>
  <c r="AD1064"/>
  <c r="P1065"/>
  <c r="Q1065"/>
  <c r="R1065"/>
  <c r="S1065"/>
  <c r="T1065"/>
  <c r="U1065"/>
  <c r="V1065"/>
  <c r="W1065"/>
  <c r="X1065"/>
  <c r="Y1065"/>
  <c r="AA1065"/>
  <c r="AB1065"/>
  <c r="AC1065"/>
  <c r="AD1065"/>
  <c r="P1066"/>
  <c r="Q1066"/>
  <c r="R1066"/>
  <c r="S1066"/>
  <c r="T1066"/>
  <c r="U1066"/>
  <c r="V1066"/>
  <c r="W1066"/>
  <c r="X1066"/>
  <c r="Y1066"/>
  <c r="AA1066"/>
  <c r="AB1066"/>
  <c r="AC1066"/>
  <c r="AD1066"/>
  <c r="P1067"/>
  <c r="Q1067"/>
  <c r="R1067"/>
  <c r="S1067"/>
  <c r="T1067"/>
  <c r="U1067"/>
  <c r="V1067"/>
  <c r="W1067"/>
  <c r="X1067"/>
  <c r="Y1067"/>
  <c r="AA1067"/>
  <c r="AB1067"/>
  <c r="AC1067"/>
  <c r="AD1067"/>
  <c r="P1068"/>
  <c r="Q1068"/>
  <c r="R1068"/>
  <c r="S1068"/>
  <c r="T1068"/>
  <c r="U1068"/>
  <c r="V1068"/>
  <c r="W1068"/>
  <c r="X1068"/>
  <c r="Y1068"/>
  <c r="AA1068"/>
  <c r="AB1068"/>
  <c r="AC1068"/>
  <c r="AD1068"/>
  <c r="P1069"/>
  <c r="Q1069"/>
  <c r="R1069"/>
  <c r="S1069"/>
  <c r="T1069"/>
  <c r="U1069"/>
  <c r="V1069"/>
  <c r="W1069"/>
  <c r="X1069"/>
  <c r="Y1069"/>
  <c r="AA1069"/>
  <c r="AB1069"/>
  <c r="AC1069"/>
  <c r="AD1069"/>
  <c r="P1070"/>
  <c r="Q1070"/>
  <c r="R1070"/>
  <c r="S1070"/>
  <c r="T1070"/>
  <c r="U1070"/>
  <c r="V1070"/>
  <c r="W1070"/>
  <c r="X1070"/>
  <c r="Y1070"/>
  <c r="AA1070"/>
  <c r="AB1070"/>
  <c r="AC1070"/>
  <c r="AD1070"/>
  <c r="P1071"/>
  <c r="Q1071"/>
  <c r="R1071"/>
  <c r="S1071"/>
  <c r="T1071"/>
  <c r="U1071"/>
  <c r="V1071"/>
  <c r="W1071"/>
  <c r="X1071"/>
  <c r="Y1071"/>
  <c r="AA1071"/>
  <c r="AB1071"/>
  <c r="AC1071"/>
  <c r="AD1071"/>
  <c r="P1072"/>
  <c r="Q1072"/>
  <c r="R1072"/>
  <c r="S1072"/>
  <c r="T1072"/>
  <c r="U1072"/>
  <c r="V1072"/>
  <c r="W1072"/>
  <c r="X1072"/>
  <c r="Y1072"/>
  <c r="AA1072"/>
  <c r="AB1072"/>
  <c r="AC1072"/>
  <c r="AD1072"/>
  <c r="P1073"/>
  <c r="Q1073"/>
  <c r="R1073"/>
  <c r="S1073"/>
  <c r="T1073"/>
  <c r="U1073"/>
  <c r="V1073"/>
  <c r="W1073"/>
  <c r="X1073"/>
  <c r="Y1073"/>
  <c r="AA1073"/>
  <c r="AB1073"/>
  <c r="AC1073"/>
  <c r="AD1073"/>
  <c r="P1074"/>
  <c r="Q1074"/>
  <c r="R1074"/>
  <c r="S1074"/>
  <c r="T1074"/>
  <c r="U1074"/>
  <c r="V1074"/>
  <c r="W1074"/>
  <c r="X1074"/>
  <c r="Y1074"/>
  <c r="AA1074"/>
  <c r="AB1074"/>
  <c r="AC1074"/>
  <c r="AD1074"/>
  <c r="P1075"/>
  <c r="Q1075"/>
  <c r="R1075"/>
  <c r="S1075"/>
  <c r="T1075"/>
  <c r="U1075"/>
  <c r="V1075"/>
  <c r="W1075"/>
  <c r="X1075"/>
  <c r="Y1075"/>
  <c r="AA1075"/>
  <c r="AB1075"/>
  <c r="AC1075"/>
  <c r="AD1075"/>
  <c r="P1076"/>
  <c r="Q1076"/>
  <c r="R1076"/>
  <c r="S1076"/>
  <c r="T1076"/>
  <c r="U1076"/>
  <c r="V1076"/>
  <c r="W1076"/>
  <c r="X1076"/>
  <c r="Y1076"/>
  <c r="AA1076"/>
  <c r="AB1076"/>
  <c r="AC1076"/>
  <c r="AD1076"/>
  <c r="P1077"/>
  <c r="Q1077"/>
  <c r="R1077"/>
  <c r="S1077"/>
  <c r="T1077"/>
  <c r="U1077"/>
  <c r="V1077"/>
  <c r="W1077"/>
  <c r="X1077"/>
  <c r="Y1077"/>
  <c r="AA1077"/>
  <c r="AB1077"/>
  <c r="AC1077"/>
  <c r="AD1077"/>
  <c r="P1078"/>
  <c r="Q1078"/>
  <c r="R1078"/>
  <c r="S1078"/>
  <c r="T1078"/>
  <c r="U1078"/>
  <c r="V1078"/>
  <c r="W1078"/>
  <c r="X1078"/>
  <c r="Y1078"/>
  <c r="AA1078"/>
  <c r="AB1078"/>
  <c r="AC1078"/>
  <c r="AD1078"/>
  <c r="P1079"/>
  <c r="Q1079"/>
  <c r="R1079"/>
  <c r="S1079"/>
  <c r="T1079"/>
  <c r="U1079"/>
  <c r="V1079"/>
  <c r="W1079"/>
  <c r="X1079"/>
  <c r="Y1079"/>
  <c r="AA1079"/>
  <c r="AB1079"/>
  <c r="AC1079"/>
  <c r="AD1079"/>
  <c r="P1080"/>
  <c r="Q1080"/>
  <c r="R1080"/>
  <c r="S1080"/>
  <c r="T1080"/>
  <c r="U1080"/>
  <c r="V1080"/>
  <c r="W1080"/>
  <c r="X1080"/>
  <c r="Y1080"/>
  <c r="AA1080"/>
  <c r="AB1080"/>
  <c r="AC1080"/>
  <c r="AD1080"/>
  <c r="P1081"/>
  <c r="Q1081"/>
  <c r="R1081"/>
  <c r="S1081"/>
  <c r="T1081"/>
  <c r="U1081"/>
  <c r="V1081"/>
  <c r="W1081"/>
  <c r="X1081"/>
  <c r="Y1081"/>
  <c r="AA1081"/>
  <c r="AB1081"/>
  <c r="AC1081"/>
  <c r="AD1081"/>
  <c r="P1082"/>
  <c r="Q1082"/>
  <c r="R1082"/>
  <c r="S1082"/>
  <c r="T1082"/>
  <c r="U1082"/>
  <c r="V1082"/>
  <c r="W1082"/>
  <c r="X1082"/>
  <c r="Y1082"/>
  <c r="AA1082"/>
  <c r="AB1082"/>
  <c r="AC1082"/>
  <c r="AD1082"/>
  <c r="P1083"/>
  <c r="Q1083"/>
  <c r="R1083"/>
  <c r="S1083"/>
  <c r="T1083"/>
  <c r="U1083"/>
  <c r="V1083"/>
  <c r="W1083"/>
  <c r="X1083"/>
  <c r="Y1083"/>
  <c r="AA1083"/>
  <c r="AB1083"/>
  <c r="AC1083"/>
  <c r="AD1083"/>
  <c r="P1084"/>
  <c r="Q1084"/>
  <c r="R1084"/>
  <c r="S1084"/>
  <c r="T1084"/>
  <c r="U1084"/>
  <c r="V1084"/>
  <c r="W1084"/>
  <c r="X1084"/>
  <c r="Y1084"/>
  <c r="AA1084"/>
  <c r="AB1084"/>
  <c r="AC1084"/>
  <c r="AD1084"/>
  <c r="P1085"/>
  <c r="Q1085"/>
  <c r="R1085"/>
  <c r="S1085"/>
  <c r="T1085"/>
  <c r="U1085"/>
  <c r="V1085"/>
  <c r="W1085"/>
  <c r="X1085"/>
  <c r="Y1085"/>
  <c r="AA1085"/>
  <c r="AB1085"/>
  <c r="AC1085"/>
  <c r="AD1085"/>
  <c r="P1086"/>
  <c r="Q1086"/>
  <c r="R1086"/>
  <c r="S1086"/>
  <c r="T1086"/>
  <c r="U1086"/>
  <c r="V1086"/>
  <c r="W1086"/>
  <c r="X1086"/>
  <c r="Y1086"/>
  <c r="AA1086"/>
  <c r="AB1086"/>
  <c r="AC1086"/>
  <c r="AD1086"/>
  <c r="P1087"/>
  <c r="Q1087"/>
  <c r="R1087"/>
  <c r="S1087"/>
  <c r="T1087"/>
  <c r="U1087"/>
  <c r="V1087"/>
  <c r="W1087"/>
  <c r="X1087"/>
  <c r="Y1087"/>
  <c r="AA1087"/>
  <c r="AB1087"/>
  <c r="AC1087"/>
  <c r="AD1087"/>
  <c r="P1088"/>
  <c r="Q1088"/>
  <c r="R1088"/>
  <c r="S1088"/>
  <c r="T1088"/>
  <c r="U1088"/>
  <c r="V1088"/>
  <c r="W1088"/>
  <c r="X1088"/>
  <c r="Y1088"/>
  <c r="AA1088"/>
  <c r="AB1088"/>
  <c r="AC1088"/>
  <c r="AD1088"/>
  <c r="P1089"/>
  <c r="Q1089"/>
  <c r="R1089"/>
  <c r="S1089"/>
  <c r="T1089"/>
  <c r="U1089"/>
  <c r="V1089"/>
  <c r="W1089"/>
  <c r="X1089"/>
  <c r="Y1089"/>
  <c r="AA1089"/>
  <c r="AB1089"/>
  <c r="AC1089"/>
  <c r="AD1089"/>
  <c r="P1090"/>
  <c r="Q1090"/>
  <c r="R1090"/>
  <c r="S1090"/>
  <c r="T1090"/>
  <c r="U1090"/>
  <c r="V1090"/>
  <c r="W1090"/>
  <c r="X1090"/>
  <c r="Y1090"/>
  <c r="AA1090"/>
  <c r="AB1090"/>
  <c r="AC1090"/>
  <c r="AD1090"/>
  <c r="P1091"/>
  <c r="Q1091"/>
  <c r="R1091"/>
  <c r="S1091"/>
  <c r="T1091"/>
  <c r="U1091"/>
  <c r="V1091"/>
  <c r="W1091"/>
  <c r="X1091"/>
  <c r="Y1091"/>
  <c r="AA1091"/>
  <c r="AB1091"/>
  <c r="AC1091"/>
  <c r="AD1091"/>
  <c r="P1092"/>
  <c r="Q1092"/>
  <c r="R1092"/>
  <c r="S1092"/>
  <c r="T1092"/>
  <c r="U1092"/>
  <c r="V1092"/>
  <c r="W1092"/>
  <c r="X1092"/>
  <c r="Y1092"/>
  <c r="AA1092"/>
  <c r="AB1092"/>
  <c r="AC1092"/>
  <c r="AD1092"/>
  <c r="P1093"/>
  <c r="Q1093"/>
  <c r="R1093"/>
  <c r="S1093"/>
  <c r="T1093"/>
  <c r="U1093"/>
  <c r="V1093"/>
  <c r="W1093"/>
  <c r="X1093"/>
  <c r="Y1093"/>
  <c r="AA1093"/>
  <c r="AB1093"/>
  <c r="AC1093"/>
  <c r="AD1093"/>
  <c r="P1094"/>
  <c r="Q1094"/>
  <c r="R1094"/>
  <c r="S1094"/>
  <c r="T1094"/>
  <c r="U1094"/>
  <c r="V1094"/>
  <c r="W1094"/>
  <c r="X1094"/>
  <c r="Y1094"/>
  <c r="AA1094"/>
  <c r="AB1094"/>
  <c r="AC1094"/>
  <c r="AD1094"/>
  <c r="P1095"/>
  <c r="Q1095"/>
  <c r="R1095"/>
  <c r="S1095"/>
  <c r="T1095"/>
  <c r="U1095"/>
  <c r="V1095"/>
  <c r="W1095"/>
  <c r="X1095"/>
  <c r="Y1095"/>
  <c r="AA1095"/>
  <c r="AB1095"/>
  <c r="AC1095"/>
  <c r="AD1095"/>
  <c r="P1096"/>
  <c r="Q1096"/>
  <c r="R1096"/>
  <c r="S1096"/>
  <c r="T1096"/>
  <c r="U1096"/>
  <c r="V1096"/>
  <c r="W1096"/>
  <c r="X1096"/>
  <c r="Y1096"/>
  <c r="AA1096"/>
  <c r="AB1096"/>
  <c r="AC1096"/>
  <c r="AD1096"/>
  <c r="P1097"/>
  <c r="Q1097"/>
  <c r="R1097"/>
  <c r="S1097"/>
  <c r="T1097"/>
  <c r="U1097"/>
  <c r="V1097"/>
  <c r="W1097"/>
  <c r="X1097"/>
  <c r="Y1097"/>
  <c r="AA1097"/>
  <c r="AB1097"/>
  <c r="AC1097"/>
  <c r="AD1097"/>
  <c r="P1098"/>
  <c r="Q1098"/>
  <c r="R1098"/>
  <c r="S1098"/>
  <c r="T1098"/>
  <c r="U1098"/>
  <c r="V1098"/>
  <c r="W1098"/>
  <c r="X1098"/>
  <c r="Y1098"/>
  <c r="AA1098"/>
  <c r="AB1098"/>
  <c r="AC1098"/>
  <c r="AD1098"/>
  <c r="P1099"/>
  <c r="Q1099"/>
  <c r="R1099"/>
  <c r="S1099"/>
  <c r="T1099"/>
  <c r="U1099"/>
  <c r="V1099"/>
  <c r="W1099"/>
  <c r="X1099"/>
  <c r="Y1099"/>
  <c r="AA1099"/>
  <c r="AB1099"/>
  <c r="AC1099"/>
  <c r="AD1099"/>
  <c r="P1100"/>
  <c r="Q1100"/>
  <c r="R1100"/>
  <c r="S1100"/>
  <c r="T1100"/>
  <c r="U1100"/>
  <c r="V1100"/>
  <c r="W1100"/>
  <c r="X1100"/>
  <c r="Y1100"/>
  <c r="AA1100"/>
  <c r="AB1100"/>
  <c r="AC1100"/>
  <c r="AD1100"/>
  <c r="P1101"/>
  <c r="Q1101"/>
  <c r="R1101"/>
  <c r="S1101"/>
  <c r="T1101"/>
  <c r="U1101"/>
  <c r="V1101"/>
  <c r="W1101"/>
  <c r="X1101"/>
  <c r="Y1101"/>
  <c r="AA1101"/>
  <c r="AB1101"/>
  <c r="AC1101"/>
  <c r="AD1101"/>
  <c r="P1102"/>
  <c r="Q1102"/>
  <c r="R1102"/>
  <c r="S1102"/>
  <c r="T1102"/>
  <c r="U1102"/>
  <c r="V1102"/>
  <c r="W1102"/>
  <c r="X1102"/>
  <c r="Y1102"/>
  <c r="AA1102"/>
  <c r="AB1102"/>
  <c r="AC1102"/>
  <c r="AD1102"/>
  <c r="P1103"/>
  <c r="Q1103"/>
  <c r="R1103"/>
  <c r="S1103"/>
  <c r="T1103"/>
  <c r="U1103"/>
  <c r="V1103"/>
  <c r="W1103"/>
  <c r="X1103"/>
  <c r="Y1103"/>
  <c r="AA1103"/>
  <c r="AB1103"/>
  <c r="AC1103"/>
  <c r="AD1103"/>
  <c r="P1104"/>
  <c r="Q1104"/>
  <c r="R1104"/>
  <c r="S1104"/>
  <c r="T1104"/>
  <c r="U1104"/>
  <c r="V1104"/>
  <c r="W1104"/>
  <c r="X1104"/>
  <c r="Y1104"/>
  <c r="AA1104"/>
  <c r="AB1104"/>
  <c r="AC1104"/>
  <c r="AD1104"/>
  <c r="P1105"/>
  <c r="Q1105"/>
  <c r="R1105"/>
  <c r="S1105"/>
  <c r="T1105"/>
  <c r="U1105"/>
  <c r="V1105"/>
  <c r="W1105"/>
  <c r="X1105"/>
  <c r="Y1105"/>
  <c r="AA1105"/>
  <c r="AB1105"/>
  <c r="AC1105"/>
  <c r="AD1105"/>
  <c r="P1106"/>
  <c r="Q1106"/>
  <c r="R1106"/>
  <c r="S1106"/>
  <c r="T1106"/>
  <c r="U1106"/>
  <c r="V1106"/>
  <c r="W1106"/>
  <c r="X1106"/>
  <c r="Y1106"/>
  <c r="AA1106"/>
  <c r="AB1106"/>
  <c r="AC1106"/>
  <c r="AD1106"/>
  <c r="P1107"/>
  <c r="Q1107"/>
  <c r="R1107"/>
  <c r="S1107"/>
  <c r="T1107"/>
  <c r="U1107"/>
  <c r="V1107"/>
  <c r="W1107"/>
  <c r="X1107"/>
  <c r="Y1107"/>
  <c r="AA1107"/>
  <c r="AB1107"/>
  <c r="AC1107"/>
  <c r="AD1107"/>
  <c r="P1108"/>
  <c r="Q1108"/>
  <c r="R1108"/>
  <c r="S1108"/>
  <c r="T1108"/>
  <c r="U1108"/>
  <c r="V1108"/>
  <c r="W1108"/>
  <c r="X1108"/>
  <c r="Y1108"/>
  <c r="AA1108"/>
  <c r="AB1108"/>
  <c r="AC1108"/>
  <c r="AD1108"/>
  <c r="P1109"/>
  <c r="Q1109"/>
  <c r="R1109"/>
  <c r="S1109"/>
  <c r="T1109"/>
  <c r="U1109"/>
  <c r="V1109"/>
  <c r="W1109"/>
  <c r="X1109"/>
  <c r="Y1109"/>
  <c r="AA1109"/>
  <c r="AB1109"/>
  <c r="AC1109"/>
  <c r="AD1109"/>
  <c r="P1110"/>
  <c r="Q1110"/>
  <c r="R1110"/>
  <c r="S1110"/>
  <c r="T1110"/>
  <c r="U1110"/>
  <c r="V1110"/>
  <c r="W1110"/>
  <c r="X1110"/>
  <c r="Y1110"/>
  <c r="AA1110"/>
  <c r="AB1110"/>
  <c r="AC1110"/>
  <c r="AD1110"/>
  <c r="P1111"/>
  <c r="Q1111"/>
  <c r="R1111"/>
  <c r="S1111"/>
  <c r="T1111"/>
  <c r="U1111"/>
  <c r="V1111"/>
  <c r="W1111"/>
  <c r="X1111"/>
  <c r="Y1111"/>
  <c r="AA1111"/>
  <c r="AB1111"/>
  <c r="AC1111"/>
  <c r="AD1111"/>
  <c r="P1112"/>
  <c r="Q1112"/>
  <c r="R1112"/>
  <c r="S1112"/>
  <c r="T1112"/>
  <c r="U1112"/>
  <c r="V1112"/>
  <c r="W1112"/>
  <c r="X1112"/>
  <c r="Y1112"/>
  <c r="AA1112"/>
  <c r="AB1112"/>
  <c r="AC1112"/>
  <c r="AD1112"/>
  <c r="P1113"/>
  <c r="Q1113"/>
  <c r="R1113"/>
  <c r="S1113"/>
  <c r="T1113"/>
  <c r="U1113"/>
  <c r="V1113"/>
  <c r="W1113"/>
  <c r="X1113"/>
  <c r="Y1113"/>
  <c r="AA1113"/>
  <c r="AB1113"/>
  <c r="AC1113"/>
  <c r="AD1113"/>
  <c r="P1114"/>
  <c r="Q1114"/>
  <c r="R1114"/>
  <c r="S1114"/>
  <c r="T1114"/>
  <c r="U1114"/>
  <c r="V1114"/>
  <c r="W1114"/>
  <c r="X1114"/>
  <c r="Y1114"/>
  <c r="AA1114"/>
  <c r="AB1114"/>
  <c r="AC1114"/>
  <c r="AD1114"/>
  <c r="P1115"/>
  <c r="Q1115"/>
  <c r="R1115"/>
  <c r="S1115"/>
  <c r="T1115"/>
  <c r="U1115"/>
  <c r="V1115"/>
  <c r="W1115"/>
  <c r="X1115"/>
  <c r="Y1115"/>
  <c r="AA1115"/>
  <c r="AB1115"/>
  <c r="AC1115"/>
  <c r="AD1115"/>
  <c r="P1116"/>
  <c r="Q1116"/>
  <c r="R1116"/>
  <c r="S1116"/>
  <c r="T1116"/>
  <c r="U1116"/>
  <c r="V1116"/>
  <c r="W1116"/>
  <c r="X1116"/>
  <c r="Y1116"/>
  <c r="AA1116"/>
  <c r="AB1116"/>
  <c r="AC1116"/>
  <c r="AD1116"/>
  <c r="P1117"/>
  <c r="Q1117"/>
  <c r="R1117"/>
  <c r="S1117"/>
  <c r="T1117"/>
  <c r="U1117"/>
  <c r="V1117"/>
  <c r="W1117"/>
  <c r="X1117"/>
  <c r="Y1117"/>
  <c r="AA1117"/>
  <c r="AB1117"/>
  <c r="AC1117"/>
  <c r="AD1117"/>
  <c r="P1118"/>
  <c r="Q1118"/>
  <c r="R1118"/>
  <c r="S1118"/>
  <c r="T1118"/>
  <c r="U1118"/>
  <c r="V1118"/>
  <c r="W1118"/>
  <c r="X1118"/>
  <c r="Y1118"/>
  <c r="AA1118"/>
  <c r="AB1118"/>
  <c r="AC1118"/>
  <c r="AD1118"/>
  <c r="P1119"/>
  <c r="Q1119"/>
  <c r="R1119"/>
  <c r="S1119"/>
  <c r="T1119"/>
  <c r="U1119"/>
  <c r="V1119"/>
  <c r="W1119"/>
  <c r="X1119"/>
  <c r="Y1119"/>
  <c r="AA1119"/>
  <c r="AB1119"/>
  <c r="AC1119"/>
  <c r="AD1119"/>
  <c r="P1120"/>
  <c r="Q1120"/>
  <c r="R1120"/>
  <c r="S1120"/>
  <c r="T1120"/>
  <c r="U1120"/>
  <c r="V1120"/>
  <c r="W1120"/>
  <c r="X1120"/>
  <c r="Y1120"/>
  <c r="AA1120"/>
  <c r="AB1120"/>
  <c r="AC1120"/>
  <c r="AD1120"/>
  <c r="P1121"/>
  <c r="Q1121"/>
  <c r="R1121"/>
  <c r="S1121"/>
  <c r="T1121"/>
  <c r="U1121"/>
  <c r="V1121"/>
  <c r="W1121"/>
  <c r="X1121"/>
  <c r="Y1121"/>
  <c r="AA1121"/>
  <c r="AB1121"/>
  <c r="AC1121"/>
  <c r="AD1121"/>
  <c r="P1122"/>
  <c r="Q1122"/>
  <c r="R1122"/>
  <c r="S1122"/>
  <c r="T1122"/>
  <c r="U1122"/>
  <c r="V1122"/>
  <c r="W1122"/>
  <c r="X1122"/>
  <c r="Y1122"/>
  <c r="AA1122"/>
  <c r="AB1122"/>
  <c r="AC1122"/>
  <c r="AD1122"/>
  <c r="P1123"/>
  <c r="Q1123"/>
  <c r="R1123"/>
  <c r="S1123"/>
  <c r="T1123"/>
  <c r="U1123"/>
  <c r="V1123"/>
  <c r="W1123"/>
  <c r="X1123"/>
  <c r="Y1123"/>
  <c r="AA1123"/>
  <c r="AB1123"/>
  <c r="AC1123"/>
  <c r="AD1123"/>
  <c r="P1124"/>
  <c r="Q1124"/>
  <c r="R1124"/>
  <c r="S1124"/>
  <c r="T1124"/>
  <c r="U1124"/>
  <c r="V1124"/>
  <c r="W1124"/>
  <c r="X1124"/>
  <c r="Y1124"/>
  <c r="AA1124"/>
  <c r="AB1124"/>
  <c r="AC1124"/>
  <c r="AD1124"/>
  <c r="P1125"/>
  <c r="Q1125"/>
  <c r="R1125"/>
  <c r="S1125"/>
  <c r="T1125"/>
  <c r="U1125"/>
  <c r="V1125"/>
  <c r="W1125"/>
  <c r="X1125"/>
  <c r="Y1125"/>
  <c r="AA1125"/>
  <c r="AB1125"/>
  <c r="AC1125"/>
  <c r="AD1125"/>
  <c r="P1126"/>
  <c r="Q1126"/>
  <c r="R1126"/>
  <c r="S1126"/>
  <c r="T1126"/>
  <c r="U1126"/>
  <c r="V1126"/>
  <c r="W1126"/>
  <c r="X1126"/>
  <c r="Y1126"/>
  <c r="AA1126"/>
  <c r="AB1126"/>
  <c r="AC1126"/>
  <c r="AD1126"/>
  <c r="P1127"/>
  <c r="Q1127"/>
  <c r="R1127"/>
  <c r="S1127"/>
  <c r="T1127"/>
  <c r="U1127"/>
  <c r="V1127"/>
  <c r="W1127"/>
  <c r="X1127"/>
  <c r="Y1127"/>
  <c r="AA1127"/>
  <c r="AB1127"/>
  <c r="AC1127"/>
  <c r="AD1127"/>
  <c r="P1128"/>
  <c r="Q1128"/>
  <c r="R1128"/>
  <c r="S1128"/>
  <c r="T1128"/>
  <c r="U1128"/>
  <c r="V1128"/>
  <c r="W1128"/>
  <c r="X1128"/>
  <c r="Y1128"/>
  <c r="AA1128"/>
  <c r="AB1128"/>
  <c r="AC1128"/>
  <c r="AD1128"/>
  <c r="P1129"/>
  <c r="Q1129"/>
  <c r="R1129"/>
  <c r="S1129"/>
  <c r="T1129"/>
  <c r="U1129"/>
  <c r="V1129"/>
  <c r="W1129"/>
  <c r="X1129"/>
  <c r="Y1129"/>
  <c r="AA1129"/>
  <c r="AB1129"/>
  <c r="AC1129"/>
  <c r="AD1129"/>
  <c r="P1130"/>
  <c r="Q1130"/>
  <c r="R1130"/>
  <c r="S1130"/>
  <c r="T1130"/>
  <c r="U1130"/>
  <c r="V1130"/>
  <c r="W1130"/>
  <c r="X1130"/>
  <c r="Y1130"/>
  <c r="AA1130"/>
  <c r="AB1130"/>
  <c r="AC1130"/>
  <c r="AD1130"/>
  <c r="P1131"/>
  <c r="Q1131"/>
  <c r="R1131"/>
  <c r="S1131"/>
  <c r="T1131"/>
  <c r="U1131"/>
  <c r="V1131"/>
  <c r="W1131"/>
  <c r="X1131"/>
  <c r="Y1131"/>
  <c r="AA1131"/>
  <c r="AB1131"/>
  <c r="AC1131"/>
  <c r="AD1131"/>
  <c r="P1132"/>
  <c r="Q1132"/>
  <c r="R1132"/>
  <c r="S1132"/>
  <c r="T1132"/>
  <c r="U1132"/>
  <c r="V1132"/>
  <c r="W1132"/>
  <c r="X1132"/>
  <c r="Y1132"/>
  <c r="AA1132"/>
  <c r="AB1132"/>
  <c r="AC1132"/>
  <c r="AD1132"/>
  <c r="P1133"/>
  <c r="Q1133"/>
  <c r="R1133"/>
  <c r="S1133"/>
  <c r="T1133"/>
  <c r="U1133"/>
  <c r="V1133"/>
  <c r="W1133"/>
  <c r="X1133"/>
  <c r="Y1133"/>
  <c r="AA1133"/>
  <c r="AB1133"/>
  <c r="AC1133"/>
  <c r="AD1133"/>
  <c r="P1134"/>
  <c r="Q1134"/>
  <c r="R1134"/>
  <c r="S1134"/>
  <c r="T1134"/>
  <c r="U1134"/>
  <c r="V1134"/>
  <c r="W1134"/>
  <c r="X1134"/>
  <c r="Y1134"/>
  <c r="AA1134"/>
  <c r="AB1134"/>
  <c r="AC1134"/>
  <c r="AD1134"/>
  <c r="P1135"/>
  <c r="Q1135"/>
  <c r="R1135"/>
  <c r="S1135"/>
  <c r="T1135"/>
  <c r="U1135"/>
  <c r="V1135"/>
  <c r="W1135"/>
  <c r="X1135"/>
  <c r="Y1135"/>
  <c r="AA1135"/>
  <c r="AB1135"/>
  <c r="AC1135"/>
  <c r="AD1135"/>
  <c r="P1136"/>
  <c r="Q1136"/>
  <c r="R1136"/>
  <c r="S1136"/>
  <c r="T1136"/>
  <c r="U1136"/>
  <c r="V1136"/>
  <c r="W1136"/>
  <c r="X1136"/>
  <c r="Y1136"/>
  <c r="AA1136"/>
  <c r="AB1136"/>
  <c r="AC1136"/>
  <c r="AD1136"/>
  <c r="P1137"/>
  <c r="Q1137"/>
  <c r="R1137"/>
  <c r="S1137"/>
  <c r="T1137"/>
  <c r="U1137"/>
  <c r="V1137"/>
  <c r="W1137"/>
  <c r="X1137"/>
  <c r="Y1137"/>
  <c r="AA1137"/>
  <c r="AB1137"/>
  <c r="AC1137"/>
  <c r="AD1137"/>
  <c r="P1138"/>
  <c r="Q1138"/>
  <c r="R1138"/>
  <c r="S1138"/>
  <c r="T1138"/>
  <c r="U1138"/>
  <c r="V1138"/>
  <c r="W1138"/>
  <c r="X1138"/>
  <c r="Y1138"/>
  <c r="AA1138"/>
  <c r="AB1138"/>
  <c r="AC1138"/>
  <c r="AD1138"/>
  <c r="P1139"/>
  <c r="Q1139"/>
  <c r="R1139"/>
  <c r="S1139"/>
  <c r="T1139"/>
  <c r="U1139"/>
  <c r="V1139"/>
  <c r="W1139"/>
  <c r="X1139"/>
  <c r="Y1139"/>
  <c r="AA1139"/>
  <c r="AB1139"/>
  <c r="AC1139"/>
  <c r="AD1139"/>
  <c r="P1140"/>
  <c r="Q1140"/>
  <c r="R1140"/>
  <c r="S1140"/>
  <c r="T1140"/>
  <c r="U1140"/>
  <c r="V1140"/>
  <c r="W1140"/>
  <c r="X1140"/>
  <c r="Y1140"/>
  <c r="AA1140"/>
  <c r="AB1140"/>
  <c r="AC1140"/>
  <c r="AD1140"/>
  <c r="P1141"/>
  <c r="Q1141"/>
  <c r="R1141"/>
  <c r="S1141"/>
  <c r="T1141"/>
  <c r="U1141"/>
  <c r="V1141"/>
  <c r="W1141"/>
  <c r="X1141"/>
  <c r="Y1141"/>
  <c r="AA1141"/>
  <c r="AB1141"/>
  <c r="AC1141"/>
  <c r="AD1141"/>
  <c r="P1142"/>
  <c r="Q1142"/>
  <c r="R1142"/>
  <c r="S1142"/>
  <c r="T1142"/>
  <c r="U1142"/>
  <c r="V1142"/>
  <c r="W1142"/>
  <c r="X1142"/>
  <c r="Y1142"/>
  <c r="AA1142"/>
  <c r="AB1142"/>
  <c r="AC1142"/>
  <c r="AD1142"/>
  <c r="P1143"/>
  <c r="Q1143"/>
  <c r="R1143"/>
  <c r="S1143"/>
  <c r="T1143"/>
  <c r="U1143"/>
  <c r="V1143"/>
  <c r="W1143"/>
  <c r="X1143"/>
  <c r="Y1143"/>
  <c r="AA1143"/>
  <c r="AB1143"/>
  <c r="AC1143"/>
  <c r="AD1143"/>
  <c r="P1144"/>
  <c r="Q1144"/>
  <c r="R1144"/>
  <c r="S1144"/>
  <c r="T1144"/>
  <c r="U1144"/>
  <c r="V1144"/>
  <c r="W1144"/>
  <c r="X1144"/>
  <c r="Y1144"/>
  <c r="AA1144"/>
  <c r="AB1144"/>
  <c r="AC1144"/>
  <c r="AD1144"/>
  <c r="P1145"/>
  <c r="Q1145"/>
  <c r="R1145"/>
  <c r="S1145"/>
  <c r="T1145"/>
  <c r="U1145"/>
  <c r="V1145"/>
  <c r="W1145"/>
  <c r="X1145"/>
  <c r="Y1145"/>
  <c r="AA1145"/>
  <c r="AB1145"/>
  <c r="AC1145"/>
  <c r="AD1145"/>
  <c r="P1146"/>
  <c r="Q1146"/>
  <c r="R1146"/>
  <c r="S1146"/>
  <c r="T1146"/>
  <c r="U1146"/>
  <c r="V1146"/>
  <c r="W1146"/>
  <c r="X1146"/>
  <c r="Y1146"/>
  <c r="AA1146"/>
  <c r="AB1146"/>
  <c r="AC1146"/>
  <c r="AD1146"/>
  <c r="P1147"/>
  <c r="Q1147"/>
  <c r="R1147"/>
  <c r="S1147"/>
  <c r="T1147"/>
  <c r="U1147"/>
  <c r="V1147"/>
  <c r="W1147"/>
  <c r="X1147"/>
  <c r="Y1147"/>
  <c r="AA1147"/>
  <c r="AB1147"/>
  <c r="AC1147"/>
  <c r="AD1147"/>
  <c r="P1148"/>
  <c r="Q1148"/>
  <c r="R1148"/>
  <c r="S1148"/>
  <c r="T1148"/>
  <c r="U1148"/>
  <c r="V1148"/>
  <c r="W1148"/>
  <c r="X1148"/>
  <c r="Y1148"/>
  <c r="AA1148"/>
  <c r="AB1148"/>
  <c r="AC1148"/>
  <c r="AD1148"/>
  <c r="P1149"/>
  <c r="Q1149"/>
  <c r="R1149"/>
  <c r="S1149"/>
  <c r="T1149"/>
  <c r="U1149"/>
  <c r="V1149"/>
  <c r="W1149"/>
  <c r="X1149"/>
  <c r="Y1149"/>
  <c r="AA1149"/>
  <c r="AB1149"/>
  <c r="AC1149"/>
  <c r="AD1149"/>
  <c r="P1150"/>
  <c r="Q1150"/>
  <c r="R1150"/>
  <c r="S1150"/>
  <c r="T1150"/>
  <c r="U1150"/>
  <c r="V1150"/>
  <c r="W1150"/>
  <c r="X1150"/>
  <c r="Y1150"/>
  <c r="AA1150"/>
  <c r="AB1150"/>
  <c r="AC1150"/>
  <c r="AD1150"/>
  <c r="P1151"/>
  <c r="Q1151"/>
  <c r="R1151"/>
  <c r="S1151"/>
  <c r="T1151"/>
  <c r="U1151"/>
  <c r="V1151"/>
  <c r="W1151"/>
  <c r="X1151"/>
  <c r="Y1151"/>
  <c r="AA1151"/>
  <c r="AB1151"/>
  <c r="AC1151"/>
  <c r="AD1151"/>
  <c r="P1152"/>
  <c r="Q1152"/>
  <c r="R1152"/>
  <c r="S1152"/>
  <c r="T1152"/>
  <c r="U1152"/>
  <c r="V1152"/>
  <c r="W1152"/>
  <c r="X1152"/>
  <c r="Y1152"/>
  <c r="AA1152"/>
  <c r="AB1152"/>
  <c r="AC1152"/>
  <c r="AD1152"/>
  <c r="P1153"/>
  <c r="Q1153"/>
  <c r="R1153"/>
  <c r="S1153"/>
  <c r="T1153"/>
  <c r="U1153"/>
  <c r="V1153"/>
  <c r="W1153"/>
  <c r="X1153"/>
  <c r="Y1153"/>
  <c r="AA1153"/>
  <c r="AB1153"/>
  <c r="AC1153"/>
  <c r="AD1153"/>
  <c r="P1154"/>
  <c r="Q1154"/>
  <c r="R1154"/>
  <c r="S1154"/>
  <c r="T1154"/>
  <c r="U1154"/>
  <c r="V1154"/>
  <c r="W1154"/>
  <c r="X1154"/>
  <c r="Y1154"/>
  <c r="AA1154"/>
  <c r="AB1154"/>
  <c r="AC1154"/>
  <c r="AD1154"/>
  <c r="P1155"/>
  <c r="Q1155"/>
  <c r="R1155"/>
  <c r="S1155"/>
  <c r="T1155"/>
  <c r="U1155"/>
  <c r="V1155"/>
  <c r="W1155"/>
  <c r="X1155"/>
  <c r="Y1155"/>
  <c r="AA1155"/>
  <c r="AB1155"/>
  <c r="AC1155"/>
  <c r="AD1155"/>
  <c r="P1156"/>
  <c r="Q1156"/>
  <c r="R1156"/>
  <c r="S1156"/>
  <c r="T1156"/>
  <c r="U1156"/>
  <c r="V1156"/>
  <c r="W1156"/>
  <c r="X1156"/>
  <c r="Y1156"/>
  <c r="AA1156"/>
  <c r="AB1156"/>
  <c r="AC1156"/>
  <c r="AD1156"/>
  <c r="P1157"/>
  <c r="Q1157"/>
  <c r="R1157"/>
  <c r="S1157"/>
  <c r="T1157"/>
  <c r="U1157"/>
  <c r="V1157"/>
  <c r="W1157"/>
  <c r="X1157"/>
  <c r="Y1157"/>
  <c r="AA1157"/>
  <c r="AB1157"/>
  <c r="AC1157"/>
  <c r="AD1157"/>
  <c r="P1158"/>
  <c r="Q1158"/>
  <c r="R1158"/>
  <c r="S1158"/>
  <c r="T1158"/>
  <c r="U1158"/>
  <c r="V1158"/>
  <c r="W1158"/>
  <c r="X1158"/>
  <c r="Y1158"/>
  <c r="AA1158"/>
  <c r="AB1158"/>
  <c r="AC1158"/>
  <c r="AD1158"/>
  <c r="P1159"/>
  <c r="Q1159"/>
  <c r="R1159"/>
  <c r="S1159"/>
  <c r="T1159"/>
  <c r="U1159"/>
  <c r="V1159"/>
  <c r="W1159"/>
  <c r="X1159"/>
  <c r="Y1159"/>
  <c r="AA1159"/>
  <c r="AB1159"/>
  <c r="AC1159"/>
  <c r="AD1159"/>
  <c r="P1160"/>
  <c r="Q1160"/>
  <c r="R1160"/>
  <c r="S1160"/>
  <c r="T1160"/>
  <c r="U1160"/>
  <c r="V1160"/>
  <c r="W1160"/>
  <c r="X1160"/>
  <c r="Y1160"/>
  <c r="AA1160"/>
  <c r="AB1160"/>
  <c r="AC1160"/>
  <c r="AD1160"/>
  <c r="P1161"/>
  <c r="Q1161"/>
  <c r="R1161"/>
  <c r="S1161"/>
  <c r="T1161"/>
  <c r="U1161"/>
  <c r="V1161"/>
  <c r="W1161"/>
  <c r="X1161"/>
  <c r="Y1161"/>
  <c r="AA1161"/>
  <c r="AB1161"/>
  <c r="AC1161"/>
  <c r="AD1161"/>
  <c r="P1162"/>
  <c r="Q1162"/>
  <c r="R1162"/>
  <c r="S1162"/>
  <c r="T1162"/>
  <c r="U1162"/>
  <c r="V1162"/>
  <c r="W1162"/>
  <c r="X1162"/>
  <c r="Y1162"/>
  <c r="AA1162"/>
  <c r="AB1162"/>
  <c r="AC1162"/>
  <c r="AD1162"/>
  <c r="P1163"/>
  <c r="Q1163"/>
  <c r="R1163"/>
  <c r="S1163"/>
  <c r="T1163"/>
  <c r="U1163"/>
  <c r="V1163"/>
  <c r="W1163"/>
  <c r="X1163"/>
  <c r="Y1163"/>
  <c r="AA1163"/>
  <c r="AB1163"/>
  <c r="AC1163"/>
  <c r="AD1163"/>
  <c r="P1164"/>
  <c r="Q1164"/>
  <c r="R1164"/>
  <c r="S1164"/>
  <c r="T1164"/>
  <c r="U1164"/>
  <c r="V1164"/>
  <c r="W1164"/>
  <c r="X1164"/>
  <c r="Y1164"/>
  <c r="AA1164"/>
  <c r="AB1164"/>
  <c r="AC1164"/>
  <c r="AD1164"/>
  <c r="P1165"/>
  <c r="Q1165"/>
  <c r="R1165"/>
  <c r="S1165"/>
  <c r="T1165"/>
  <c r="U1165"/>
  <c r="V1165"/>
  <c r="W1165"/>
  <c r="X1165"/>
  <c r="Y1165"/>
  <c r="AA1165"/>
  <c r="AB1165"/>
  <c r="AC1165"/>
  <c r="AD1165"/>
  <c r="P1166"/>
  <c r="Q1166"/>
  <c r="R1166"/>
  <c r="S1166"/>
  <c r="T1166"/>
  <c r="U1166"/>
  <c r="V1166"/>
  <c r="W1166"/>
  <c r="X1166"/>
  <c r="Y1166"/>
  <c r="AA1166"/>
  <c r="AB1166"/>
  <c r="AC1166"/>
  <c r="AD1166"/>
  <c r="P1167"/>
  <c r="Q1167"/>
  <c r="R1167"/>
  <c r="S1167"/>
  <c r="T1167"/>
  <c r="U1167"/>
  <c r="V1167"/>
  <c r="W1167"/>
  <c r="X1167"/>
  <c r="Y1167"/>
  <c r="AA1167"/>
  <c r="AB1167"/>
  <c r="AC1167"/>
  <c r="AD1167"/>
  <c r="P1168"/>
  <c r="Q1168"/>
  <c r="R1168"/>
  <c r="S1168"/>
  <c r="T1168"/>
  <c r="U1168"/>
  <c r="V1168"/>
  <c r="W1168"/>
  <c r="X1168"/>
  <c r="Y1168"/>
  <c r="AA1168"/>
  <c r="AB1168"/>
  <c r="AC1168"/>
  <c r="AD1168"/>
  <c r="P1169"/>
  <c r="Q1169"/>
  <c r="R1169"/>
  <c r="S1169"/>
  <c r="T1169"/>
  <c r="U1169"/>
  <c r="V1169"/>
  <c r="W1169"/>
  <c r="X1169"/>
  <c r="Y1169"/>
  <c r="AA1169"/>
  <c r="AB1169"/>
  <c r="AC1169"/>
  <c r="AD1169"/>
  <c r="P1170"/>
  <c r="Q1170"/>
  <c r="R1170"/>
  <c r="S1170"/>
  <c r="T1170"/>
  <c r="U1170"/>
  <c r="V1170"/>
  <c r="W1170"/>
  <c r="X1170"/>
  <c r="Y1170"/>
  <c r="AA1170"/>
  <c r="AB1170"/>
  <c r="AC1170"/>
  <c r="AD1170"/>
  <c r="P1171"/>
  <c r="Q1171"/>
  <c r="R1171"/>
  <c r="S1171"/>
  <c r="T1171"/>
  <c r="U1171"/>
  <c r="V1171"/>
  <c r="W1171"/>
  <c r="X1171"/>
  <c r="Y1171"/>
  <c r="AA1171"/>
  <c r="AB1171"/>
  <c r="AC1171"/>
  <c r="AD1171"/>
  <c r="P1172"/>
  <c r="Q1172"/>
  <c r="R1172"/>
  <c r="S1172"/>
  <c r="T1172"/>
  <c r="U1172"/>
  <c r="V1172"/>
  <c r="W1172"/>
  <c r="X1172"/>
  <c r="Y1172"/>
  <c r="AA1172"/>
  <c r="AB1172"/>
  <c r="AC1172"/>
  <c r="AD1172"/>
  <c r="P1173"/>
  <c r="Q1173"/>
  <c r="R1173"/>
  <c r="S1173"/>
  <c r="T1173"/>
  <c r="U1173"/>
  <c r="V1173"/>
  <c r="W1173"/>
  <c r="X1173"/>
  <c r="Y1173"/>
  <c r="AA1173"/>
  <c r="AB1173"/>
  <c r="AC1173"/>
  <c r="AD1173"/>
  <c r="P1174"/>
  <c r="Q1174"/>
  <c r="R1174"/>
  <c r="S1174"/>
  <c r="T1174"/>
  <c r="U1174"/>
  <c r="V1174"/>
  <c r="W1174"/>
  <c r="X1174"/>
  <c r="Y1174"/>
  <c r="AA1174"/>
  <c r="AB1174"/>
  <c r="AC1174"/>
  <c r="AD1174"/>
  <c r="P1175"/>
  <c r="Q1175"/>
  <c r="R1175"/>
  <c r="S1175"/>
  <c r="T1175"/>
  <c r="U1175"/>
  <c r="V1175"/>
  <c r="W1175"/>
  <c r="X1175"/>
  <c r="Y1175"/>
  <c r="AA1175"/>
  <c r="AB1175"/>
  <c r="AC1175"/>
  <c r="AD1175"/>
  <c r="P1176"/>
  <c r="Q1176"/>
  <c r="R1176"/>
  <c r="S1176"/>
  <c r="T1176"/>
  <c r="U1176"/>
  <c r="V1176"/>
  <c r="W1176"/>
  <c r="X1176"/>
  <c r="Y1176"/>
  <c r="AA1176"/>
  <c r="AB1176"/>
  <c r="AC1176"/>
  <c r="AD1176"/>
  <c r="P1177"/>
  <c r="Q1177"/>
  <c r="R1177"/>
  <c r="S1177"/>
  <c r="T1177"/>
  <c r="U1177"/>
  <c r="V1177"/>
  <c r="W1177"/>
  <c r="X1177"/>
  <c r="Y1177"/>
  <c r="AA1177"/>
  <c r="AB1177"/>
  <c r="AC1177"/>
  <c r="AD1177"/>
  <c r="P1178"/>
  <c r="Q1178"/>
  <c r="R1178"/>
  <c r="S1178"/>
  <c r="T1178"/>
  <c r="U1178"/>
  <c r="V1178"/>
  <c r="W1178"/>
  <c r="X1178"/>
  <c r="Y1178"/>
  <c r="AA1178"/>
  <c r="AB1178"/>
  <c r="AC1178"/>
  <c r="AD1178"/>
  <c r="P1179"/>
  <c r="Q1179"/>
  <c r="R1179"/>
  <c r="S1179"/>
  <c r="T1179"/>
  <c r="U1179"/>
  <c r="V1179"/>
  <c r="W1179"/>
  <c r="X1179"/>
  <c r="Y1179"/>
  <c r="AA1179"/>
  <c r="AB1179"/>
  <c r="AC1179"/>
  <c r="AD1179"/>
  <c r="P1180"/>
  <c r="Q1180"/>
  <c r="R1180"/>
  <c r="S1180"/>
  <c r="T1180"/>
  <c r="U1180"/>
  <c r="V1180"/>
  <c r="W1180"/>
  <c r="X1180"/>
  <c r="Y1180"/>
  <c r="AA1180"/>
  <c r="AB1180"/>
  <c r="AC1180"/>
  <c r="AD1180"/>
  <c r="P1181"/>
  <c r="Q1181"/>
  <c r="R1181"/>
  <c r="S1181"/>
  <c r="T1181"/>
  <c r="U1181"/>
  <c r="V1181"/>
  <c r="W1181"/>
  <c r="X1181"/>
  <c r="Y1181"/>
  <c r="AA1181"/>
  <c r="AB1181"/>
  <c r="AC1181"/>
  <c r="AD1181"/>
  <c r="P1182"/>
  <c r="Q1182"/>
  <c r="R1182"/>
  <c r="S1182"/>
  <c r="T1182"/>
  <c r="U1182"/>
  <c r="V1182"/>
  <c r="W1182"/>
  <c r="X1182"/>
  <c r="Y1182"/>
  <c r="AA1182"/>
  <c r="AB1182"/>
  <c r="AC1182"/>
  <c r="AD1182"/>
  <c r="P1183"/>
  <c r="Q1183"/>
  <c r="R1183"/>
  <c r="S1183"/>
  <c r="T1183"/>
  <c r="U1183"/>
  <c r="V1183"/>
  <c r="W1183"/>
  <c r="X1183"/>
  <c r="Y1183"/>
  <c r="AA1183"/>
  <c r="AB1183"/>
  <c r="AC1183"/>
  <c r="AD1183"/>
  <c r="P1184"/>
  <c r="Q1184"/>
  <c r="R1184"/>
  <c r="S1184"/>
  <c r="T1184"/>
  <c r="U1184"/>
  <c r="V1184"/>
  <c r="W1184"/>
  <c r="X1184"/>
  <c r="Y1184"/>
  <c r="AA1184"/>
  <c r="AB1184"/>
  <c r="AC1184"/>
  <c r="AD1184"/>
  <c r="P1185"/>
  <c r="Q1185"/>
  <c r="R1185"/>
  <c r="S1185"/>
  <c r="T1185"/>
  <c r="U1185"/>
  <c r="V1185"/>
  <c r="W1185"/>
  <c r="X1185"/>
  <c r="Y1185"/>
  <c r="AA1185"/>
  <c r="AB1185"/>
  <c r="AC1185"/>
  <c r="AD1185"/>
  <c r="P1186"/>
  <c r="Q1186"/>
  <c r="R1186"/>
  <c r="S1186"/>
  <c r="T1186"/>
  <c r="U1186"/>
  <c r="V1186"/>
  <c r="W1186"/>
  <c r="X1186"/>
  <c r="Y1186"/>
  <c r="AA1186"/>
  <c r="AB1186"/>
  <c r="AC1186"/>
  <c r="AD1186"/>
  <c r="P1187"/>
  <c r="Q1187"/>
  <c r="R1187"/>
  <c r="S1187"/>
  <c r="T1187"/>
  <c r="U1187"/>
  <c r="V1187"/>
  <c r="W1187"/>
  <c r="X1187"/>
  <c r="Y1187"/>
  <c r="AA1187"/>
  <c r="AB1187"/>
  <c r="AC1187"/>
  <c r="AD1187"/>
  <c r="P1188"/>
  <c r="Q1188"/>
  <c r="R1188"/>
  <c r="S1188"/>
  <c r="T1188"/>
  <c r="U1188"/>
  <c r="V1188"/>
  <c r="W1188"/>
  <c r="X1188"/>
  <c r="Y1188"/>
  <c r="AA1188"/>
  <c r="AB1188"/>
  <c r="AC1188"/>
  <c r="AD1188"/>
  <c r="P1189"/>
  <c r="Q1189"/>
  <c r="R1189"/>
  <c r="S1189"/>
  <c r="T1189"/>
  <c r="U1189"/>
  <c r="V1189"/>
  <c r="W1189"/>
  <c r="X1189"/>
  <c r="Y1189"/>
  <c r="AA1189"/>
  <c r="AB1189"/>
  <c r="AC1189"/>
  <c r="AD1189"/>
  <c r="P1190"/>
  <c r="Q1190"/>
  <c r="R1190"/>
  <c r="S1190"/>
  <c r="T1190"/>
  <c r="U1190"/>
  <c r="V1190"/>
  <c r="W1190"/>
  <c r="X1190"/>
  <c r="Y1190"/>
  <c r="AA1190"/>
  <c r="AB1190"/>
  <c r="AC1190"/>
  <c r="AD1190"/>
  <c r="P1191"/>
  <c r="Q1191"/>
  <c r="R1191"/>
  <c r="S1191"/>
  <c r="T1191"/>
  <c r="U1191"/>
  <c r="V1191"/>
  <c r="W1191"/>
  <c r="X1191"/>
  <c r="Y1191"/>
  <c r="AA1191"/>
  <c r="AB1191"/>
  <c r="AC1191"/>
  <c r="AD1191"/>
  <c r="P1192"/>
  <c r="Q1192"/>
  <c r="R1192"/>
  <c r="S1192"/>
  <c r="T1192"/>
  <c r="U1192"/>
  <c r="V1192"/>
  <c r="W1192"/>
  <c r="X1192"/>
  <c r="Y1192"/>
  <c r="AA1192"/>
  <c r="AB1192"/>
  <c r="AC1192"/>
  <c r="AD1192"/>
  <c r="P1193"/>
  <c r="Q1193"/>
  <c r="R1193"/>
  <c r="S1193"/>
  <c r="T1193"/>
  <c r="U1193"/>
  <c r="V1193"/>
  <c r="W1193"/>
  <c r="X1193"/>
  <c r="Y1193"/>
  <c r="AA1193"/>
  <c r="AB1193"/>
  <c r="AC1193"/>
  <c r="AD1193"/>
  <c r="P1194"/>
  <c r="Q1194"/>
  <c r="R1194"/>
  <c r="S1194"/>
  <c r="T1194"/>
  <c r="U1194"/>
  <c r="V1194"/>
  <c r="W1194"/>
  <c r="X1194"/>
  <c r="Y1194"/>
  <c r="AA1194"/>
  <c r="AB1194"/>
  <c r="AC1194"/>
  <c r="AD1194"/>
  <c r="P1195"/>
  <c r="Q1195"/>
  <c r="R1195"/>
  <c r="S1195"/>
  <c r="T1195"/>
  <c r="U1195"/>
  <c r="V1195"/>
  <c r="W1195"/>
  <c r="X1195"/>
  <c r="Y1195"/>
  <c r="AA1195"/>
  <c r="AB1195"/>
  <c r="AC1195"/>
  <c r="AD1195"/>
  <c r="P1196"/>
  <c r="Q1196"/>
  <c r="R1196"/>
  <c r="S1196"/>
  <c r="T1196"/>
  <c r="U1196"/>
  <c r="V1196"/>
  <c r="W1196"/>
  <c r="X1196"/>
  <c r="Y1196"/>
  <c r="AA1196"/>
  <c r="AB1196"/>
  <c r="AC1196"/>
  <c r="AD1196"/>
  <c r="P1197"/>
  <c r="Q1197"/>
  <c r="R1197"/>
  <c r="S1197"/>
  <c r="T1197"/>
  <c r="U1197"/>
  <c r="V1197"/>
  <c r="W1197"/>
  <c r="X1197"/>
  <c r="Y1197"/>
  <c r="AA1197"/>
  <c r="AB1197"/>
  <c r="AC1197"/>
  <c r="AD1197"/>
  <c r="P1198"/>
  <c r="Q1198"/>
  <c r="R1198"/>
  <c r="S1198"/>
  <c r="T1198"/>
  <c r="U1198"/>
  <c r="V1198"/>
  <c r="W1198"/>
  <c r="X1198"/>
  <c r="Y1198"/>
  <c r="AA1198"/>
  <c r="AB1198"/>
  <c r="AC1198"/>
  <c r="AD1198"/>
  <c r="P1199"/>
  <c r="Q1199"/>
  <c r="R1199"/>
  <c r="S1199"/>
  <c r="T1199"/>
  <c r="U1199"/>
  <c r="V1199"/>
  <c r="W1199"/>
  <c r="X1199"/>
  <c r="Y1199"/>
  <c r="AA1199"/>
  <c r="AB1199"/>
  <c r="AC1199"/>
  <c r="AD1199"/>
  <c r="P1200"/>
  <c r="Q1200"/>
  <c r="R1200"/>
  <c r="S1200"/>
  <c r="T1200"/>
  <c r="U1200"/>
  <c r="V1200"/>
  <c r="W1200"/>
  <c r="X1200"/>
  <c r="Y1200"/>
  <c r="AA1200"/>
  <c r="AB1200"/>
  <c r="AC1200"/>
  <c r="AD1200"/>
  <c r="P1201"/>
  <c r="Q1201"/>
  <c r="R1201"/>
  <c r="S1201"/>
  <c r="T1201"/>
  <c r="U1201"/>
  <c r="V1201"/>
  <c r="W1201"/>
  <c r="X1201"/>
  <c r="Y1201"/>
  <c r="AA1201"/>
  <c r="AB1201"/>
  <c r="AC1201"/>
  <c r="AD1201"/>
  <c r="P1202"/>
  <c r="Q1202"/>
  <c r="R1202"/>
  <c r="S1202"/>
  <c r="T1202"/>
  <c r="U1202"/>
  <c r="V1202"/>
  <c r="W1202"/>
  <c r="X1202"/>
  <c r="Y1202"/>
  <c r="AA1202"/>
  <c r="AB1202"/>
  <c r="AC1202"/>
  <c r="AD1202"/>
  <c r="P1203"/>
  <c r="Q1203"/>
  <c r="R1203"/>
  <c r="S1203"/>
  <c r="T1203"/>
  <c r="U1203"/>
  <c r="V1203"/>
  <c r="W1203"/>
  <c r="X1203"/>
  <c r="Y1203"/>
  <c r="AA1203"/>
  <c r="AB1203"/>
  <c r="AC1203"/>
  <c r="AD1203"/>
  <c r="P1204"/>
  <c r="Q1204"/>
  <c r="R1204"/>
  <c r="S1204"/>
  <c r="T1204"/>
  <c r="U1204"/>
  <c r="V1204"/>
  <c r="W1204"/>
  <c r="X1204"/>
  <c r="Y1204"/>
  <c r="AA1204"/>
  <c r="AB1204"/>
  <c r="AC1204"/>
  <c r="AD1204"/>
  <c r="P1205"/>
  <c r="Q1205"/>
  <c r="R1205"/>
  <c r="S1205"/>
  <c r="T1205"/>
  <c r="U1205"/>
  <c r="V1205"/>
  <c r="W1205"/>
  <c r="X1205"/>
  <c r="Y1205"/>
  <c r="AA1205"/>
  <c r="AB1205"/>
  <c r="AC1205"/>
  <c r="AD1205"/>
  <c r="P1206"/>
  <c r="Q1206"/>
  <c r="R1206"/>
  <c r="S1206"/>
  <c r="T1206"/>
  <c r="U1206"/>
  <c r="V1206"/>
  <c r="W1206"/>
  <c r="X1206"/>
  <c r="Y1206"/>
  <c r="AA1206"/>
  <c r="AB1206"/>
  <c r="AC1206"/>
  <c r="AD1206"/>
  <c r="P1207"/>
  <c r="Q1207"/>
  <c r="R1207"/>
  <c r="S1207"/>
  <c r="T1207"/>
  <c r="U1207"/>
  <c r="V1207"/>
  <c r="W1207"/>
  <c r="X1207"/>
  <c r="Y1207"/>
  <c r="AA1207"/>
  <c r="AB1207"/>
  <c r="AC1207"/>
  <c r="AD1207"/>
  <c r="P1208"/>
  <c r="Q1208"/>
  <c r="R1208"/>
  <c r="S1208"/>
  <c r="T1208"/>
  <c r="U1208"/>
  <c r="V1208"/>
  <c r="W1208"/>
  <c r="X1208"/>
  <c r="Y1208"/>
  <c r="AA1208"/>
  <c r="AB1208"/>
  <c r="AC1208"/>
  <c r="AD1208"/>
  <c r="P1209"/>
  <c r="Q1209"/>
  <c r="R1209"/>
  <c r="S1209"/>
  <c r="T1209"/>
  <c r="U1209"/>
  <c r="V1209"/>
  <c r="W1209"/>
  <c r="X1209"/>
  <c r="Y1209"/>
  <c r="AA1209"/>
  <c r="AB1209"/>
  <c r="AC1209"/>
  <c r="AD1209"/>
  <c r="P1210"/>
  <c r="Q1210"/>
  <c r="R1210"/>
  <c r="S1210"/>
  <c r="T1210"/>
  <c r="U1210"/>
  <c r="V1210"/>
  <c r="W1210"/>
  <c r="X1210"/>
  <c r="Y1210"/>
  <c r="AA1210"/>
  <c r="AB1210"/>
  <c r="AC1210"/>
  <c r="AD1210"/>
  <c r="P1211"/>
  <c r="Q1211"/>
  <c r="R1211"/>
  <c r="S1211"/>
  <c r="T1211"/>
  <c r="U1211"/>
  <c r="V1211"/>
  <c r="W1211"/>
  <c r="X1211"/>
  <c r="Y1211"/>
  <c r="AA1211"/>
  <c r="AB1211"/>
  <c r="AC1211"/>
  <c r="AD1211"/>
  <c r="P1212"/>
  <c r="Q1212"/>
  <c r="R1212"/>
  <c r="S1212"/>
  <c r="T1212"/>
  <c r="U1212"/>
  <c r="V1212"/>
  <c r="W1212"/>
  <c r="X1212"/>
  <c r="Y1212"/>
  <c r="AA1212"/>
  <c r="AB1212"/>
  <c r="AC1212"/>
  <c r="AD1212"/>
  <c r="P1213"/>
  <c r="Q1213"/>
  <c r="R1213"/>
  <c r="S1213"/>
  <c r="T1213"/>
  <c r="U1213"/>
  <c r="V1213"/>
  <c r="W1213"/>
  <c r="X1213"/>
  <c r="Y1213"/>
  <c r="AA1213"/>
  <c r="AB1213"/>
  <c r="AC1213"/>
  <c r="AD1213"/>
  <c r="P1214"/>
  <c r="Q1214"/>
  <c r="R1214"/>
  <c r="S1214"/>
  <c r="T1214"/>
  <c r="U1214"/>
  <c r="V1214"/>
  <c r="W1214"/>
  <c r="X1214"/>
  <c r="Y1214"/>
  <c r="AA1214"/>
  <c r="AB1214"/>
  <c r="AC1214"/>
  <c r="AD1214"/>
  <c r="P1215"/>
  <c r="Q1215"/>
  <c r="R1215"/>
  <c r="S1215"/>
  <c r="T1215"/>
  <c r="U1215"/>
  <c r="V1215"/>
  <c r="W1215"/>
  <c r="X1215"/>
  <c r="Y1215"/>
  <c r="AA1215"/>
  <c r="AB1215"/>
  <c r="AC1215"/>
  <c r="AD1215"/>
  <c r="P1216"/>
  <c r="Q1216"/>
  <c r="R1216"/>
  <c r="S1216"/>
  <c r="T1216"/>
  <c r="U1216"/>
  <c r="V1216"/>
  <c r="W1216"/>
  <c r="X1216"/>
  <c r="Y1216"/>
  <c r="AA1216"/>
  <c r="AB1216"/>
  <c r="AC1216"/>
  <c r="AD1216"/>
  <c r="P1217"/>
  <c r="Q1217"/>
  <c r="R1217"/>
  <c r="S1217"/>
  <c r="T1217"/>
  <c r="U1217"/>
  <c r="V1217"/>
  <c r="W1217"/>
  <c r="X1217"/>
  <c r="Y1217"/>
  <c r="AA1217"/>
  <c r="AB1217"/>
  <c r="AC1217"/>
  <c r="AD1217"/>
  <c r="P1218"/>
  <c r="Q1218"/>
  <c r="R1218"/>
  <c r="S1218"/>
  <c r="T1218"/>
  <c r="U1218"/>
  <c r="V1218"/>
  <c r="W1218"/>
  <c r="X1218"/>
  <c r="Y1218"/>
  <c r="AA1218"/>
  <c r="AB1218"/>
  <c r="AC1218"/>
  <c r="AD1218"/>
  <c r="P1219"/>
  <c r="Q1219"/>
  <c r="R1219"/>
  <c r="S1219"/>
  <c r="T1219"/>
  <c r="U1219"/>
  <c r="V1219"/>
  <c r="W1219"/>
  <c r="X1219"/>
  <c r="Y1219"/>
  <c r="AA1219"/>
  <c r="AB1219"/>
  <c r="AC1219"/>
  <c r="AD1219"/>
  <c r="P1220"/>
  <c r="Q1220"/>
  <c r="R1220"/>
  <c r="S1220"/>
  <c r="T1220"/>
  <c r="U1220"/>
  <c r="V1220"/>
  <c r="W1220"/>
  <c r="X1220"/>
  <c r="Y1220"/>
  <c r="AA1220"/>
  <c r="AB1220"/>
  <c r="AC1220"/>
  <c r="AD1220"/>
  <c r="P1221"/>
  <c r="Q1221"/>
  <c r="R1221"/>
  <c r="S1221"/>
  <c r="T1221"/>
  <c r="U1221"/>
  <c r="V1221"/>
  <c r="W1221"/>
  <c r="X1221"/>
  <c r="Y1221"/>
  <c r="AA1221"/>
  <c r="AB1221"/>
  <c r="AC1221"/>
  <c r="AD1221"/>
  <c r="P1222"/>
  <c r="Q1222"/>
  <c r="R1222"/>
  <c r="S1222"/>
  <c r="T1222"/>
  <c r="U1222"/>
  <c r="V1222"/>
  <c r="W1222"/>
  <c r="X1222"/>
  <c r="Y1222"/>
  <c r="AA1222"/>
  <c r="AB1222"/>
  <c r="AC1222"/>
  <c r="AD1222"/>
  <c r="P1223"/>
  <c r="Q1223"/>
  <c r="R1223"/>
  <c r="S1223"/>
  <c r="T1223"/>
  <c r="U1223"/>
  <c r="V1223"/>
  <c r="W1223"/>
  <c r="X1223"/>
  <c r="Y1223"/>
  <c r="AA1223"/>
  <c r="AB1223"/>
  <c r="AC1223"/>
  <c r="AD1223"/>
  <c r="P1224"/>
  <c r="Q1224"/>
  <c r="R1224"/>
  <c r="S1224"/>
  <c r="T1224"/>
  <c r="U1224"/>
  <c r="V1224"/>
  <c r="W1224"/>
  <c r="X1224"/>
  <c r="Y1224"/>
  <c r="AA1224"/>
  <c r="AB1224"/>
  <c r="AC1224"/>
  <c r="AD1224"/>
  <c r="P1225"/>
  <c r="Q1225"/>
  <c r="R1225"/>
  <c r="S1225"/>
  <c r="T1225"/>
  <c r="U1225"/>
  <c r="V1225"/>
  <c r="W1225"/>
  <c r="X1225"/>
  <c r="Y1225"/>
  <c r="AA1225"/>
  <c r="AB1225"/>
  <c r="AC1225"/>
  <c r="AD1225"/>
  <c r="P1226"/>
  <c r="Q1226"/>
  <c r="R1226"/>
  <c r="S1226"/>
  <c r="T1226"/>
  <c r="U1226"/>
  <c r="V1226"/>
  <c r="W1226"/>
  <c r="X1226"/>
  <c r="Y1226"/>
  <c r="AA1226"/>
  <c r="AB1226"/>
  <c r="AC1226"/>
  <c r="AD1226"/>
  <c r="P1227"/>
  <c r="Q1227"/>
  <c r="R1227"/>
  <c r="S1227"/>
  <c r="T1227"/>
  <c r="U1227"/>
  <c r="V1227"/>
  <c r="W1227"/>
  <c r="X1227"/>
  <c r="Y1227"/>
  <c r="AA1227"/>
  <c r="AB1227"/>
  <c r="AC1227"/>
  <c r="AD1227"/>
  <c r="P1228"/>
  <c r="Q1228"/>
  <c r="R1228"/>
  <c r="S1228"/>
  <c r="T1228"/>
  <c r="U1228"/>
  <c r="V1228"/>
  <c r="W1228"/>
  <c r="X1228"/>
  <c r="Y1228"/>
  <c r="AA1228"/>
  <c r="AB1228"/>
  <c r="AC1228"/>
  <c r="AD1228"/>
  <c r="P1229"/>
  <c r="Q1229"/>
  <c r="R1229"/>
  <c r="S1229"/>
  <c r="T1229"/>
  <c r="U1229"/>
  <c r="V1229"/>
  <c r="W1229"/>
  <c r="X1229"/>
  <c r="Y1229"/>
  <c r="AA1229"/>
  <c r="AB1229"/>
  <c r="AC1229"/>
  <c r="AD1229"/>
  <c r="P1230"/>
  <c r="Q1230"/>
  <c r="R1230"/>
  <c r="S1230"/>
  <c r="T1230"/>
  <c r="U1230"/>
  <c r="V1230"/>
  <c r="W1230"/>
  <c r="X1230"/>
  <c r="Y1230"/>
  <c r="AA1230"/>
  <c r="AB1230"/>
  <c r="AC1230"/>
  <c r="AD1230"/>
  <c r="P1231"/>
  <c r="Q1231"/>
  <c r="R1231"/>
  <c r="S1231"/>
  <c r="T1231"/>
  <c r="U1231"/>
  <c r="V1231"/>
  <c r="W1231"/>
  <c r="X1231"/>
  <c r="Y1231"/>
  <c r="AA1231"/>
  <c r="AB1231"/>
  <c r="AC1231"/>
  <c r="AD1231"/>
  <c r="P1232"/>
  <c r="Q1232"/>
  <c r="R1232"/>
  <c r="S1232"/>
  <c r="T1232"/>
  <c r="U1232"/>
  <c r="V1232"/>
  <c r="W1232"/>
  <c r="X1232"/>
  <c r="Y1232"/>
  <c r="AA1232"/>
  <c r="AB1232"/>
  <c r="AC1232"/>
  <c r="AD1232"/>
  <c r="P1233"/>
  <c r="Q1233"/>
  <c r="R1233"/>
  <c r="S1233"/>
  <c r="T1233"/>
  <c r="U1233"/>
  <c r="V1233"/>
  <c r="W1233"/>
  <c r="X1233"/>
  <c r="Y1233"/>
  <c r="AA1233"/>
  <c r="AB1233"/>
  <c r="AC1233"/>
  <c r="AD1233"/>
  <c r="P1234"/>
  <c r="Q1234"/>
  <c r="R1234"/>
  <c r="S1234"/>
  <c r="T1234"/>
  <c r="U1234"/>
  <c r="V1234"/>
  <c r="W1234"/>
  <c r="X1234"/>
  <c r="Y1234"/>
  <c r="AA1234"/>
  <c r="AB1234"/>
  <c r="AC1234"/>
  <c r="AD1234"/>
  <c r="P1235"/>
  <c r="Q1235"/>
  <c r="R1235"/>
  <c r="S1235"/>
  <c r="T1235"/>
  <c r="U1235"/>
  <c r="V1235"/>
  <c r="W1235"/>
  <c r="X1235"/>
  <c r="Y1235"/>
  <c r="AA1235"/>
  <c r="AB1235"/>
  <c r="AC1235"/>
  <c r="AD1235"/>
  <c r="P1236"/>
  <c r="Q1236"/>
  <c r="R1236"/>
  <c r="S1236"/>
  <c r="T1236"/>
  <c r="U1236"/>
  <c r="V1236"/>
  <c r="W1236"/>
  <c r="X1236"/>
  <c r="Y1236"/>
  <c r="AA1236"/>
  <c r="AB1236"/>
  <c r="AC1236"/>
  <c r="AD1236"/>
  <c r="P1237"/>
  <c r="Q1237"/>
  <c r="R1237"/>
  <c r="S1237"/>
  <c r="T1237"/>
  <c r="U1237"/>
  <c r="V1237"/>
  <c r="W1237"/>
  <c r="X1237"/>
  <c r="Y1237"/>
  <c r="AA1237"/>
  <c r="AB1237"/>
  <c r="AC1237"/>
  <c r="AD1237"/>
  <c r="P1238"/>
  <c r="Q1238"/>
  <c r="R1238"/>
  <c r="S1238"/>
  <c r="T1238"/>
  <c r="U1238"/>
  <c r="V1238"/>
  <c r="W1238"/>
  <c r="X1238"/>
  <c r="Y1238"/>
  <c r="AA1238"/>
  <c r="AB1238"/>
  <c r="AC1238"/>
  <c r="AD1238"/>
  <c r="P1239"/>
  <c r="Q1239"/>
  <c r="R1239"/>
  <c r="S1239"/>
  <c r="T1239"/>
  <c r="U1239"/>
  <c r="V1239"/>
  <c r="W1239"/>
  <c r="X1239"/>
  <c r="Y1239"/>
  <c r="AA1239"/>
  <c r="AB1239"/>
  <c r="AC1239"/>
  <c r="AD1239"/>
  <c r="P1240"/>
  <c r="Q1240"/>
  <c r="R1240"/>
  <c r="S1240"/>
  <c r="T1240"/>
  <c r="U1240"/>
  <c r="V1240"/>
  <c r="W1240"/>
  <c r="X1240"/>
  <c r="Y1240"/>
  <c r="AA1240"/>
  <c r="AB1240"/>
  <c r="AC1240"/>
  <c r="AD1240"/>
  <c r="P1241"/>
  <c r="Q1241"/>
  <c r="R1241"/>
  <c r="S1241"/>
  <c r="T1241"/>
  <c r="U1241"/>
  <c r="V1241"/>
  <c r="W1241"/>
  <c r="X1241"/>
  <c r="Y1241"/>
  <c r="AA1241"/>
  <c r="AB1241"/>
  <c r="AC1241"/>
  <c r="AD1241"/>
  <c r="P1242"/>
  <c r="Q1242"/>
  <c r="R1242"/>
  <c r="S1242"/>
  <c r="T1242"/>
  <c r="U1242"/>
  <c r="V1242"/>
  <c r="W1242"/>
  <c r="X1242"/>
  <c r="Y1242"/>
  <c r="AA1242"/>
  <c r="AB1242"/>
  <c r="AC1242"/>
  <c r="AD1242"/>
  <c r="P1243"/>
  <c r="Q1243"/>
  <c r="R1243"/>
  <c r="S1243"/>
  <c r="T1243"/>
  <c r="U1243"/>
  <c r="V1243"/>
  <c r="W1243"/>
  <c r="X1243"/>
  <c r="Y1243"/>
  <c r="AA1243"/>
  <c r="AB1243"/>
  <c r="AC1243"/>
  <c r="AD1243"/>
  <c r="P1244"/>
  <c r="Q1244"/>
  <c r="R1244"/>
  <c r="S1244"/>
  <c r="T1244"/>
  <c r="U1244"/>
  <c r="V1244"/>
  <c r="W1244"/>
  <c r="X1244"/>
  <c r="Y1244"/>
  <c r="AA1244"/>
  <c r="AB1244"/>
  <c r="AC1244"/>
  <c r="AD1244"/>
  <c r="P1245"/>
  <c r="Q1245"/>
  <c r="R1245"/>
  <c r="S1245"/>
  <c r="T1245"/>
  <c r="U1245"/>
  <c r="V1245"/>
  <c r="W1245"/>
  <c r="X1245"/>
  <c r="Y1245"/>
  <c r="AA1245"/>
  <c r="AB1245"/>
  <c r="AC1245"/>
  <c r="AD1245"/>
  <c r="P1246"/>
  <c r="Q1246"/>
  <c r="R1246"/>
  <c r="S1246"/>
  <c r="T1246"/>
  <c r="U1246"/>
  <c r="V1246"/>
  <c r="W1246"/>
  <c r="X1246"/>
  <c r="Y1246"/>
  <c r="AA1246"/>
  <c r="AB1246"/>
  <c r="AC1246"/>
  <c r="AD1246"/>
  <c r="P1247"/>
  <c r="Q1247"/>
  <c r="R1247"/>
  <c r="S1247"/>
  <c r="T1247"/>
  <c r="U1247"/>
  <c r="V1247"/>
  <c r="W1247"/>
  <c r="X1247"/>
  <c r="Y1247"/>
  <c r="AA1247"/>
  <c r="AB1247"/>
  <c r="AC1247"/>
  <c r="AD1247"/>
  <c r="P1248"/>
  <c r="Q1248"/>
  <c r="R1248"/>
  <c r="S1248"/>
  <c r="T1248"/>
  <c r="U1248"/>
  <c r="V1248"/>
  <c r="W1248"/>
  <c r="X1248"/>
  <c r="Y1248"/>
  <c r="AA1248"/>
  <c r="AB1248"/>
  <c r="AC1248"/>
  <c r="AD1248"/>
  <c r="P1249"/>
  <c r="Q1249"/>
  <c r="R1249"/>
  <c r="S1249"/>
  <c r="T1249"/>
  <c r="U1249"/>
  <c r="V1249"/>
  <c r="W1249"/>
  <c r="X1249"/>
  <c r="Y1249"/>
  <c r="AA1249"/>
  <c r="AB1249"/>
  <c r="AC1249"/>
  <c r="AD1249"/>
  <c r="P1250"/>
  <c r="Q1250"/>
  <c r="R1250"/>
  <c r="S1250"/>
  <c r="T1250"/>
  <c r="U1250"/>
  <c r="V1250"/>
  <c r="W1250"/>
  <c r="X1250"/>
  <c r="Y1250"/>
  <c r="AA1250"/>
  <c r="AB1250"/>
  <c r="AC1250"/>
  <c r="AD1250"/>
  <c r="P1251"/>
  <c r="Q1251"/>
  <c r="R1251"/>
  <c r="S1251"/>
  <c r="T1251"/>
  <c r="U1251"/>
  <c r="V1251"/>
  <c r="W1251"/>
  <c r="X1251"/>
  <c r="Y1251"/>
  <c r="AA1251"/>
  <c r="AB1251"/>
  <c r="AC1251"/>
  <c r="AD1251"/>
  <c r="P1252"/>
  <c r="Q1252"/>
  <c r="R1252"/>
  <c r="S1252"/>
  <c r="T1252"/>
  <c r="U1252"/>
  <c r="V1252"/>
  <c r="W1252"/>
  <c r="X1252"/>
  <c r="Y1252"/>
  <c r="AA1252"/>
  <c r="AB1252"/>
  <c r="AC1252"/>
  <c r="AD1252"/>
  <c r="P1253"/>
  <c r="Q1253"/>
  <c r="R1253"/>
  <c r="S1253"/>
  <c r="T1253"/>
  <c r="U1253"/>
  <c r="V1253"/>
  <c r="W1253"/>
  <c r="X1253"/>
  <c r="Y1253"/>
  <c r="AA1253"/>
  <c r="AB1253"/>
  <c r="AC1253"/>
  <c r="AD1253"/>
  <c r="P1254"/>
  <c r="Q1254"/>
  <c r="R1254"/>
  <c r="S1254"/>
  <c r="T1254"/>
  <c r="U1254"/>
  <c r="V1254"/>
  <c r="W1254"/>
  <c r="X1254"/>
  <c r="Y1254"/>
  <c r="AA1254"/>
  <c r="AB1254"/>
  <c r="AC1254"/>
  <c r="AD1254"/>
  <c r="P1255"/>
  <c r="Q1255"/>
  <c r="R1255"/>
  <c r="S1255"/>
  <c r="T1255"/>
  <c r="U1255"/>
  <c r="V1255"/>
  <c r="W1255"/>
  <c r="X1255"/>
  <c r="Y1255"/>
  <c r="AA1255"/>
  <c r="AB1255"/>
  <c r="AC1255"/>
  <c r="AD1255"/>
  <c r="P1256"/>
  <c r="Q1256"/>
  <c r="R1256"/>
  <c r="S1256"/>
  <c r="T1256"/>
  <c r="U1256"/>
  <c r="V1256"/>
  <c r="W1256"/>
  <c r="X1256"/>
  <c r="Y1256"/>
  <c r="AA1256"/>
  <c r="AB1256"/>
  <c r="AC1256"/>
  <c r="AD1256"/>
  <c r="P1257"/>
  <c r="Q1257"/>
  <c r="R1257"/>
  <c r="S1257"/>
  <c r="T1257"/>
  <c r="U1257"/>
  <c r="V1257"/>
  <c r="W1257"/>
  <c r="X1257"/>
  <c r="Y1257"/>
  <c r="AA1257"/>
  <c r="AB1257"/>
  <c r="AC1257"/>
  <c r="AD1257"/>
  <c r="P1258"/>
  <c r="Q1258"/>
  <c r="R1258"/>
  <c r="S1258"/>
  <c r="T1258"/>
  <c r="U1258"/>
  <c r="V1258"/>
  <c r="W1258"/>
  <c r="X1258"/>
  <c r="Y1258"/>
  <c r="AA1258"/>
  <c r="AB1258"/>
  <c r="AC1258"/>
  <c r="AD1258"/>
  <c r="P1259"/>
  <c r="Q1259"/>
  <c r="R1259"/>
  <c r="S1259"/>
  <c r="T1259"/>
  <c r="U1259"/>
  <c r="V1259"/>
  <c r="W1259"/>
  <c r="X1259"/>
  <c r="Y1259"/>
  <c r="AA1259"/>
  <c r="AB1259"/>
  <c r="AC1259"/>
  <c r="AD1259"/>
  <c r="P1260"/>
  <c r="Q1260"/>
  <c r="R1260"/>
  <c r="S1260"/>
  <c r="T1260"/>
  <c r="U1260"/>
  <c r="V1260"/>
  <c r="W1260"/>
  <c r="X1260"/>
  <c r="Y1260"/>
  <c r="AA1260"/>
  <c r="AB1260"/>
  <c r="AC1260"/>
  <c r="AD1260"/>
  <c r="P1261"/>
  <c r="Q1261"/>
  <c r="R1261"/>
  <c r="S1261"/>
  <c r="T1261"/>
  <c r="U1261"/>
  <c r="V1261"/>
  <c r="W1261"/>
  <c r="X1261"/>
  <c r="Y1261"/>
  <c r="AA1261"/>
  <c r="AB1261"/>
  <c r="AC1261"/>
  <c r="AD1261"/>
  <c r="P1262"/>
  <c r="Q1262"/>
  <c r="R1262"/>
  <c r="S1262"/>
  <c r="T1262"/>
  <c r="U1262"/>
  <c r="V1262"/>
  <c r="W1262"/>
  <c r="X1262"/>
  <c r="Y1262"/>
  <c r="AA1262"/>
  <c r="AB1262"/>
  <c r="AC1262"/>
  <c r="AD1262"/>
  <c r="P1263"/>
  <c r="Q1263"/>
  <c r="R1263"/>
  <c r="S1263"/>
  <c r="T1263"/>
  <c r="U1263"/>
  <c r="V1263"/>
  <c r="W1263"/>
  <c r="X1263"/>
  <c r="Y1263"/>
  <c r="AA1263"/>
  <c r="AB1263"/>
  <c r="AC1263"/>
  <c r="AD1263"/>
  <c r="P1264"/>
  <c r="Q1264"/>
  <c r="R1264"/>
  <c r="S1264"/>
  <c r="T1264"/>
  <c r="U1264"/>
  <c r="V1264"/>
  <c r="W1264"/>
  <c r="X1264"/>
  <c r="Y1264"/>
  <c r="AA1264"/>
  <c r="AB1264"/>
  <c r="AC1264"/>
  <c r="AD1264"/>
  <c r="P1265"/>
  <c r="Q1265"/>
  <c r="R1265"/>
  <c r="S1265"/>
  <c r="T1265"/>
  <c r="U1265"/>
  <c r="V1265"/>
  <c r="W1265"/>
  <c r="X1265"/>
  <c r="Y1265"/>
  <c r="AA1265"/>
  <c r="AB1265"/>
  <c r="AC1265"/>
  <c r="AD1265"/>
  <c r="P1266"/>
  <c r="Q1266"/>
  <c r="R1266"/>
  <c r="S1266"/>
  <c r="T1266"/>
  <c r="U1266"/>
  <c r="V1266"/>
  <c r="W1266"/>
  <c r="X1266"/>
  <c r="Y1266"/>
  <c r="AA1266"/>
  <c r="AB1266"/>
  <c r="AC1266"/>
  <c r="AD1266"/>
  <c r="P1267"/>
  <c r="Q1267"/>
  <c r="R1267"/>
  <c r="S1267"/>
  <c r="T1267"/>
  <c r="U1267"/>
  <c r="V1267"/>
  <c r="W1267"/>
  <c r="X1267"/>
  <c r="Y1267"/>
  <c r="AA1267"/>
  <c r="AB1267"/>
  <c r="AC1267"/>
  <c r="AD1267"/>
  <c r="P1268"/>
  <c r="Q1268"/>
  <c r="R1268"/>
  <c r="S1268"/>
  <c r="T1268"/>
  <c r="U1268"/>
  <c r="V1268"/>
  <c r="W1268"/>
  <c r="X1268"/>
  <c r="Y1268"/>
  <c r="AA1268"/>
  <c r="AB1268"/>
  <c r="AC1268"/>
  <c r="AD1268"/>
  <c r="P1269"/>
  <c r="Q1269"/>
  <c r="R1269"/>
  <c r="S1269"/>
  <c r="T1269"/>
  <c r="U1269"/>
  <c r="V1269"/>
  <c r="W1269"/>
  <c r="X1269"/>
  <c r="Y1269"/>
  <c r="AA1269"/>
  <c r="AB1269"/>
  <c r="AC1269"/>
  <c r="AD1269"/>
  <c r="P1270"/>
  <c r="Q1270"/>
  <c r="R1270"/>
  <c r="S1270"/>
  <c r="T1270"/>
  <c r="U1270"/>
  <c r="V1270"/>
  <c r="W1270"/>
  <c r="X1270"/>
  <c r="Y1270"/>
  <c r="AA1270"/>
  <c r="AB1270"/>
  <c r="AC1270"/>
  <c r="AD1270"/>
  <c r="P1271"/>
  <c r="Q1271"/>
  <c r="R1271"/>
  <c r="S1271"/>
  <c r="T1271"/>
  <c r="U1271"/>
  <c r="V1271"/>
  <c r="W1271"/>
  <c r="X1271"/>
  <c r="Y1271"/>
  <c r="AA1271"/>
  <c r="AB1271"/>
  <c r="AC1271"/>
  <c r="AD1271"/>
  <c r="P1272"/>
  <c r="Q1272"/>
  <c r="R1272"/>
  <c r="S1272"/>
  <c r="T1272"/>
  <c r="U1272"/>
  <c r="V1272"/>
  <c r="W1272"/>
  <c r="X1272"/>
  <c r="Y1272"/>
  <c r="AA1272"/>
  <c r="AB1272"/>
  <c r="AC1272"/>
  <c r="AD1272"/>
  <c r="P1273"/>
  <c r="Q1273"/>
  <c r="R1273"/>
  <c r="S1273"/>
  <c r="T1273"/>
  <c r="U1273"/>
  <c r="V1273"/>
  <c r="W1273"/>
  <c r="X1273"/>
  <c r="Y1273"/>
  <c r="AA1273"/>
  <c r="AB1273"/>
  <c r="AC1273"/>
  <c r="AD1273"/>
  <c r="P1274"/>
  <c r="Q1274"/>
  <c r="R1274"/>
  <c r="S1274"/>
  <c r="T1274"/>
  <c r="U1274"/>
  <c r="V1274"/>
  <c r="W1274"/>
  <c r="X1274"/>
  <c r="Y1274"/>
  <c r="AA1274"/>
  <c r="AB1274"/>
  <c r="AC1274"/>
  <c r="AD1274"/>
  <c r="P1275"/>
  <c r="Q1275"/>
  <c r="R1275"/>
  <c r="S1275"/>
  <c r="T1275"/>
  <c r="U1275"/>
  <c r="V1275"/>
  <c r="W1275"/>
  <c r="X1275"/>
  <c r="Y1275"/>
  <c r="AA1275"/>
  <c r="AB1275"/>
  <c r="AC1275"/>
  <c r="AD1275"/>
  <c r="P1276"/>
  <c r="Q1276"/>
  <c r="R1276"/>
  <c r="S1276"/>
  <c r="T1276"/>
  <c r="U1276"/>
  <c r="V1276"/>
  <c r="W1276"/>
  <c r="X1276"/>
  <c r="Y1276"/>
  <c r="AA1276"/>
  <c r="AB1276"/>
  <c r="AC1276"/>
  <c r="AD1276"/>
  <c r="P1277"/>
  <c r="Q1277"/>
  <c r="R1277"/>
  <c r="S1277"/>
  <c r="T1277"/>
  <c r="U1277"/>
  <c r="V1277"/>
  <c r="W1277"/>
  <c r="X1277"/>
  <c r="Y1277"/>
  <c r="AA1277"/>
  <c r="AB1277"/>
  <c r="AC1277"/>
  <c r="AD1277"/>
  <c r="P1278"/>
  <c r="Q1278"/>
  <c r="R1278"/>
  <c r="S1278"/>
  <c r="T1278"/>
  <c r="U1278"/>
  <c r="V1278"/>
  <c r="W1278"/>
  <c r="X1278"/>
  <c r="Y1278"/>
  <c r="AA1278"/>
  <c r="AB1278"/>
  <c r="AC1278"/>
  <c r="AD1278"/>
  <c r="P1279"/>
  <c r="Q1279"/>
  <c r="R1279"/>
  <c r="S1279"/>
  <c r="T1279"/>
  <c r="U1279"/>
  <c r="V1279"/>
  <c r="W1279"/>
  <c r="X1279"/>
  <c r="Y1279"/>
  <c r="AA1279"/>
  <c r="AB1279"/>
  <c r="AC1279"/>
  <c r="AD1279"/>
  <c r="P1280"/>
  <c r="Q1280"/>
  <c r="R1280"/>
  <c r="S1280"/>
  <c r="T1280"/>
  <c r="U1280"/>
  <c r="V1280"/>
  <c r="W1280"/>
  <c r="X1280"/>
  <c r="Y1280"/>
  <c r="AA1280"/>
  <c r="AB1280"/>
  <c r="AC1280"/>
  <c r="AD1280"/>
  <c r="P1281"/>
  <c r="Q1281"/>
  <c r="R1281"/>
  <c r="S1281"/>
  <c r="T1281"/>
  <c r="U1281"/>
  <c r="V1281"/>
  <c r="W1281"/>
  <c r="X1281"/>
  <c r="Y1281"/>
  <c r="AA1281"/>
  <c r="AB1281"/>
  <c r="AC1281"/>
  <c r="AD1281"/>
  <c r="P1282"/>
  <c r="Q1282"/>
  <c r="R1282"/>
  <c r="S1282"/>
  <c r="T1282"/>
  <c r="U1282"/>
  <c r="V1282"/>
  <c r="W1282"/>
  <c r="X1282"/>
  <c r="Y1282"/>
  <c r="AA1282"/>
  <c r="AB1282"/>
  <c r="AC1282"/>
  <c r="AD1282"/>
  <c r="P1283"/>
  <c r="Q1283"/>
  <c r="R1283"/>
  <c r="S1283"/>
  <c r="T1283"/>
  <c r="U1283"/>
  <c r="V1283"/>
  <c r="W1283"/>
  <c r="X1283"/>
  <c r="Y1283"/>
  <c r="AA1283"/>
  <c r="AB1283"/>
  <c r="AC1283"/>
  <c r="AD1283"/>
  <c r="P1284"/>
  <c r="Q1284"/>
  <c r="R1284"/>
  <c r="S1284"/>
  <c r="T1284"/>
  <c r="U1284"/>
  <c r="V1284"/>
  <c r="W1284"/>
  <c r="X1284"/>
  <c r="Y1284"/>
  <c r="AA1284"/>
  <c r="AB1284"/>
  <c r="AC1284"/>
  <c r="AD1284"/>
  <c r="P1285"/>
  <c r="Q1285"/>
  <c r="R1285"/>
  <c r="S1285"/>
  <c r="T1285"/>
  <c r="U1285"/>
  <c r="V1285"/>
  <c r="W1285"/>
  <c r="X1285"/>
  <c r="Y1285"/>
  <c r="AA1285"/>
  <c r="AB1285"/>
  <c r="AC1285"/>
  <c r="AD1285"/>
  <c r="P1286"/>
  <c r="Q1286"/>
  <c r="R1286"/>
  <c r="S1286"/>
  <c r="T1286"/>
  <c r="U1286"/>
  <c r="V1286"/>
  <c r="W1286"/>
  <c r="X1286"/>
  <c r="Y1286"/>
  <c r="AA1286"/>
  <c r="AB1286"/>
  <c r="AC1286"/>
  <c r="AD1286"/>
  <c r="P1287"/>
  <c r="Q1287"/>
  <c r="R1287"/>
  <c r="S1287"/>
  <c r="T1287"/>
  <c r="U1287"/>
  <c r="V1287"/>
  <c r="W1287"/>
  <c r="X1287"/>
  <c r="Y1287"/>
  <c r="AA1287"/>
  <c r="AB1287"/>
  <c r="AC1287"/>
  <c r="AD1287"/>
  <c r="P1288"/>
  <c r="Q1288"/>
  <c r="R1288"/>
  <c r="S1288"/>
  <c r="T1288"/>
  <c r="U1288"/>
  <c r="V1288"/>
  <c r="W1288"/>
  <c r="X1288"/>
  <c r="Y1288"/>
  <c r="AA1288"/>
  <c r="AB1288"/>
  <c r="AC1288"/>
  <c r="AD1288"/>
  <c r="P1289"/>
  <c r="Q1289"/>
  <c r="R1289"/>
  <c r="S1289"/>
  <c r="T1289"/>
  <c r="U1289"/>
  <c r="V1289"/>
  <c r="W1289"/>
  <c r="X1289"/>
  <c r="Y1289"/>
  <c r="AA1289"/>
  <c r="AB1289"/>
  <c r="AC1289"/>
  <c r="AD1289"/>
  <c r="P1290"/>
  <c r="Q1290"/>
  <c r="R1290"/>
  <c r="S1290"/>
  <c r="T1290"/>
  <c r="U1290"/>
  <c r="V1290"/>
  <c r="W1290"/>
  <c r="X1290"/>
  <c r="Y1290"/>
  <c r="AA1290"/>
  <c r="AB1290"/>
  <c r="AC1290"/>
  <c r="AD1290"/>
  <c r="P1291"/>
  <c r="Q1291"/>
  <c r="R1291"/>
  <c r="S1291"/>
  <c r="T1291"/>
  <c r="U1291"/>
  <c r="V1291"/>
  <c r="W1291"/>
  <c r="X1291"/>
  <c r="Y1291"/>
  <c r="AA1291"/>
  <c r="AB1291"/>
  <c r="AC1291"/>
  <c r="AD1291"/>
  <c r="P1292"/>
  <c r="Q1292"/>
  <c r="R1292"/>
  <c r="S1292"/>
  <c r="T1292"/>
  <c r="U1292"/>
  <c r="V1292"/>
  <c r="W1292"/>
  <c r="X1292"/>
  <c r="Y1292"/>
  <c r="AA1292"/>
  <c r="AB1292"/>
  <c r="AC1292"/>
  <c r="AD1292"/>
  <c r="P1293"/>
  <c r="Q1293"/>
  <c r="R1293"/>
  <c r="S1293"/>
  <c r="T1293"/>
  <c r="U1293"/>
  <c r="V1293"/>
  <c r="W1293"/>
  <c r="X1293"/>
  <c r="Y1293"/>
  <c r="AA1293"/>
  <c r="AB1293"/>
  <c r="AC1293"/>
  <c r="AD1293"/>
  <c r="P1294"/>
  <c r="Q1294"/>
  <c r="R1294"/>
  <c r="S1294"/>
  <c r="T1294"/>
  <c r="U1294"/>
  <c r="V1294"/>
  <c r="W1294"/>
  <c r="X1294"/>
  <c r="Y1294"/>
  <c r="AA1294"/>
  <c r="AB1294"/>
  <c r="AC1294"/>
  <c r="AD1294"/>
  <c r="P1295"/>
  <c r="Q1295"/>
  <c r="R1295"/>
  <c r="S1295"/>
  <c r="T1295"/>
  <c r="U1295"/>
  <c r="V1295"/>
  <c r="W1295"/>
  <c r="X1295"/>
  <c r="Y1295"/>
  <c r="AA1295"/>
  <c r="AB1295"/>
  <c r="AC1295"/>
  <c r="AD1295"/>
  <c r="P1296"/>
  <c r="Q1296"/>
  <c r="R1296"/>
  <c r="S1296"/>
  <c r="T1296"/>
  <c r="U1296"/>
  <c r="V1296"/>
  <c r="W1296"/>
  <c r="X1296"/>
  <c r="Y1296"/>
  <c r="AA1296"/>
  <c r="AB1296"/>
  <c r="AC1296"/>
  <c r="AD1296"/>
  <c r="P1297"/>
  <c r="Q1297"/>
  <c r="R1297"/>
  <c r="S1297"/>
  <c r="T1297"/>
  <c r="U1297"/>
  <c r="V1297"/>
  <c r="W1297"/>
  <c r="X1297"/>
  <c r="Y1297"/>
  <c r="AA1297"/>
  <c r="AB1297"/>
  <c r="AC1297"/>
  <c r="AD1297"/>
  <c r="P1298"/>
  <c r="Q1298"/>
  <c r="R1298"/>
  <c r="S1298"/>
  <c r="T1298"/>
  <c r="U1298"/>
  <c r="V1298"/>
  <c r="W1298"/>
  <c r="X1298"/>
  <c r="Y1298"/>
  <c r="AA1298"/>
  <c r="AB1298"/>
  <c r="AC1298"/>
  <c r="AD1298"/>
  <c r="P1299"/>
  <c r="Q1299"/>
  <c r="R1299"/>
  <c r="S1299"/>
  <c r="T1299"/>
  <c r="U1299"/>
  <c r="V1299"/>
  <c r="W1299"/>
  <c r="X1299"/>
  <c r="Y1299"/>
  <c r="AA1299"/>
  <c r="AB1299"/>
  <c r="AC1299"/>
  <c r="AD1299"/>
  <c r="P1300"/>
  <c r="Q1300"/>
  <c r="R1300"/>
  <c r="S1300"/>
  <c r="T1300"/>
  <c r="U1300"/>
  <c r="V1300"/>
  <c r="W1300"/>
  <c r="X1300"/>
  <c r="Y1300"/>
  <c r="AA1300"/>
  <c r="AB1300"/>
  <c r="AC1300"/>
  <c r="AD1300"/>
  <c r="P1301"/>
  <c r="Q1301"/>
  <c r="R1301"/>
  <c r="S1301"/>
  <c r="T1301"/>
  <c r="U1301"/>
  <c r="V1301"/>
  <c r="W1301"/>
  <c r="X1301"/>
  <c r="Y1301"/>
  <c r="AA1301"/>
  <c r="AB1301"/>
  <c r="AC1301"/>
  <c r="AD1301"/>
  <c r="P1302"/>
  <c r="Q1302"/>
  <c r="R1302"/>
  <c r="S1302"/>
  <c r="T1302"/>
  <c r="U1302"/>
  <c r="V1302"/>
  <c r="W1302"/>
  <c r="X1302"/>
  <c r="Y1302"/>
  <c r="AA1302"/>
  <c r="AB1302"/>
  <c r="AC1302"/>
  <c r="AD1302"/>
  <c r="P1303"/>
  <c r="Q1303"/>
  <c r="R1303"/>
  <c r="S1303"/>
  <c r="T1303"/>
  <c r="U1303"/>
  <c r="V1303"/>
  <c r="W1303"/>
  <c r="X1303"/>
  <c r="Y1303"/>
  <c r="AA1303"/>
  <c r="AB1303"/>
  <c r="AC1303"/>
  <c r="AD1303"/>
  <c r="P1304"/>
  <c r="Q1304"/>
  <c r="R1304"/>
  <c r="S1304"/>
  <c r="T1304"/>
  <c r="U1304"/>
  <c r="V1304"/>
  <c r="W1304"/>
  <c r="X1304"/>
  <c r="Y1304"/>
  <c r="AA1304"/>
  <c r="AB1304"/>
  <c r="AC1304"/>
  <c r="AD1304"/>
  <c r="P1305"/>
  <c r="Q1305"/>
  <c r="R1305"/>
  <c r="S1305"/>
  <c r="T1305"/>
  <c r="U1305"/>
  <c r="V1305"/>
  <c r="W1305"/>
  <c r="X1305"/>
  <c r="Y1305"/>
  <c r="AA1305"/>
  <c r="AB1305"/>
  <c r="AC1305"/>
  <c r="AD1305"/>
  <c r="P1306"/>
  <c r="Q1306"/>
  <c r="R1306"/>
  <c r="S1306"/>
  <c r="T1306"/>
  <c r="U1306"/>
  <c r="V1306"/>
  <c r="W1306"/>
  <c r="X1306"/>
  <c r="Y1306"/>
  <c r="AA1306"/>
  <c r="AB1306"/>
  <c r="AC1306"/>
  <c r="AD1306"/>
  <c r="P1307"/>
  <c r="Q1307"/>
  <c r="R1307"/>
  <c r="S1307"/>
  <c r="T1307"/>
  <c r="U1307"/>
  <c r="V1307"/>
  <c r="W1307"/>
  <c r="X1307"/>
  <c r="Y1307"/>
  <c r="AA1307"/>
  <c r="AB1307"/>
  <c r="AC1307"/>
  <c r="AD1307"/>
  <c r="P1308"/>
  <c r="Q1308"/>
  <c r="R1308"/>
  <c r="S1308"/>
  <c r="T1308"/>
  <c r="U1308"/>
  <c r="V1308"/>
  <c r="W1308"/>
  <c r="X1308"/>
  <c r="Y1308"/>
  <c r="AA1308"/>
  <c r="AB1308"/>
  <c r="AC1308"/>
  <c r="AD1308"/>
  <c r="P1309"/>
  <c r="Q1309"/>
  <c r="R1309"/>
  <c r="S1309"/>
  <c r="T1309"/>
  <c r="U1309"/>
  <c r="V1309"/>
  <c r="W1309"/>
  <c r="X1309"/>
  <c r="Y1309"/>
  <c r="AA1309"/>
  <c r="AB1309"/>
  <c r="AC1309"/>
  <c r="AD1309"/>
  <c r="P1310"/>
  <c r="Q1310"/>
  <c r="R1310"/>
  <c r="S1310"/>
  <c r="T1310"/>
  <c r="U1310"/>
  <c r="V1310"/>
  <c r="W1310"/>
  <c r="X1310"/>
  <c r="Y1310"/>
  <c r="AA1310"/>
  <c r="AB1310"/>
  <c r="AC1310"/>
  <c r="AD1310"/>
  <c r="P1311"/>
  <c r="Q1311"/>
  <c r="R1311"/>
  <c r="S1311"/>
  <c r="T1311"/>
  <c r="U1311"/>
  <c r="V1311"/>
  <c r="W1311"/>
  <c r="X1311"/>
  <c r="Y1311"/>
  <c r="AA1311"/>
  <c r="AB1311"/>
  <c r="AC1311"/>
  <c r="AD1311"/>
  <c r="P1312"/>
  <c r="Q1312"/>
  <c r="R1312"/>
  <c r="S1312"/>
  <c r="T1312"/>
  <c r="U1312"/>
  <c r="V1312"/>
  <c r="W1312"/>
  <c r="X1312"/>
  <c r="Y1312"/>
  <c r="AA1312"/>
  <c r="AB1312"/>
  <c r="AC1312"/>
  <c r="AD1312"/>
  <c r="P1313"/>
  <c r="Q1313"/>
  <c r="R1313"/>
  <c r="S1313"/>
  <c r="T1313"/>
  <c r="U1313"/>
  <c r="V1313"/>
  <c r="W1313"/>
  <c r="X1313"/>
  <c r="Y1313"/>
  <c r="AA1313"/>
  <c r="AB1313"/>
  <c r="AC1313"/>
  <c r="AD1313"/>
  <c r="P1314"/>
  <c r="Q1314"/>
  <c r="R1314"/>
  <c r="S1314"/>
  <c r="T1314"/>
  <c r="U1314"/>
  <c r="V1314"/>
  <c r="W1314"/>
  <c r="X1314"/>
  <c r="Y1314"/>
  <c r="AA1314"/>
  <c r="AB1314"/>
  <c r="AC1314"/>
  <c r="AD1314"/>
  <c r="P1315"/>
  <c r="Q1315"/>
  <c r="R1315"/>
  <c r="S1315"/>
  <c r="T1315"/>
  <c r="U1315"/>
  <c r="V1315"/>
  <c r="W1315"/>
  <c r="X1315"/>
  <c r="Y1315"/>
  <c r="AA1315"/>
  <c r="AB1315"/>
  <c r="AC1315"/>
  <c r="AD1315"/>
  <c r="P1316"/>
  <c r="Q1316"/>
  <c r="R1316"/>
  <c r="S1316"/>
  <c r="T1316"/>
  <c r="U1316"/>
  <c r="V1316"/>
  <c r="W1316"/>
  <c r="X1316"/>
  <c r="Y1316"/>
  <c r="AA1316"/>
  <c r="AB1316"/>
  <c r="AC1316"/>
  <c r="AD1316"/>
  <c r="P1317"/>
  <c r="Q1317"/>
  <c r="R1317"/>
  <c r="S1317"/>
  <c r="T1317"/>
  <c r="U1317"/>
  <c r="V1317"/>
  <c r="W1317"/>
  <c r="X1317"/>
  <c r="Y1317"/>
  <c r="AA1317"/>
  <c r="AB1317"/>
  <c r="AC1317"/>
  <c r="AD1317"/>
  <c r="P1318"/>
  <c r="Q1318"/>
  <c r="R1318"/>
  <c r="S1318"/>
  <c r="T1318"/>
  <c r="U1318"/>
  <c r="V1318"/>
  <c r="W1318"/>
  <c r="X1318"/>
  <c r="Y1318"/>
  <c r="AA1318"/>
  <c r="AB1318"/>
  <c r="AC1318"/>
  <c r="AD1318"/>
  <c r="P1319"/>
  <c r="Q1319"/>
  <c r="R1319"/>
  <c r="S1319"/>
  <c r="T1319"/>
  <c r="U1319"/>
  <c r="V1319"/>
  <c r="W1319"/>
  <c r="X1319"/>
  <c r="Y1319"/>
  <c r="AA1319"/>
  <c r="AB1319"/>
  <c r="AC1319"/>
  <c r="AD1319"/>
  <c r="P1320"/>
  <c r="Q1320"/>
  <c r="R1320"/>
  <c r="S1320"/>
  <c r="T1320"/>
  <c r="U1320"/>
  <c r="V1320"/>
  <c r="W1320"/>
  <c r="X1320"/>
  <c r="Y1320"/>
  <c r="AA1320"/>
  <c r="AB1320"/>
  <c r="AC1320"/>
  <c r="AD1320"/>
  <c r="P1321"/>
  <c r="Q1321"/>
  <c r="R1321"/>
  <c r="S1321"/>
  <c r="T1321"/>
  <c r="U1321"/>
  <c r="V1321"/>
  <c r="W1321"/>
  <c r="X1321"/>
  <c r="Y1321"/>
  <c r="AA1321"/>
  <c r="AB1321"/>
  <c r="AC1321"/>
  <c r="AD1321"/>
  <c r="P1322"/>
  <c r="Q1322"/>
  <c r="R1322"/>
  <c r="S1322"/>
  <c r="T1322"/>
  <c r="U1322"/>
  <c r="V1322"/>
  <c r="W1322"/>
  <c r="X1322"/>
  <c r="Y1322"/>
  <c r="AA1322"/>
  <c r="AB1322"/>
  <c r="AC1322"/>
  <c r="AD1322"/>
  <c r="P1323"/>
  <c r="Q1323"/>
  <c r="R1323"/>
  <c r="S1323"/>
  <c r="T1323"/>
  <c r="U1323"/>
  <c r="V1323"/>
  <c r="W1323"/>
  <c r="X1323"/>
  <c r="Y1323"/>
  <c r="AA1323"/>
  <c r="AB1323"/>
  <c r="AC1323"/>
  <c r="AD1323"/>
  <c r="P1324"/>
  <c r="Q1324"/>
  <c r="R1324"/>
  <c r="S1324"/>
  <c r="T1324"/>
  <c r="U1324"/>
  <c r="V1324"/>
  <c r="W1324"/>
  <c r="X1324"/>
  <c r="Y1324"/>
  <c r="AA1324"/>
  <c r="AB1324"/>
  <c r="AC1324"/>
  <c r="AD1324"/>
  <c r="P1325"/>
  <c r="Q1325"/>
  <c r="R1325"/>
  <c r="S1325"/>
  <c r="T1325"/>
  <c r="U1325"/>
  <c r="V1325"/>
  <c r="W1325"/>
  <c r="X1325"/>
  <c r="Y1325"/>
  <c r="AA1325"/>
  <c r="AB1325"/>
  <c r="AC1325"/>
  <c r="AD1325"/>
  <c r="P1326"/>
  <c r="Q1326"/>
  <c r="R1326"/>
  <c r="S1326"/>
  <c r="T1326"/>
  <c r="U1326"/>
  <c r="V1326"/>
  <c r="W1326"/>
  <c r="X1326"/>
  <c r="Y1326"/>
  <c r="AA1326"/>
  <c r="AB1326"/>
  <c r="AC1326"/>
  <c r="AD1326"/>
  <c r="P1327"/>
  <c r="Q1327"/>
  <c r="R1327"/>
  <c r="S1327"/>
  <c r="T1327"/>
  <c r="U1327"/>
  <c r="V1327"/>
  <c r="W1327"/>
  <c r="X1327"/>
  <c r="Y1327"/>
  <c r="AA1327"/>
  <c r="AB1327"/>
  <c r="AC1327"/>
  <c r="AD1327"/>
  <c r="P1328"/>
  <c r="Q1328"/>
  <c r="R1328"/>
  <c r="S1328"/>
  <c r="T1328"/>
  <c r="U1328"/>
  <c r="V1328"/>
  <c r="W1328"/>
  <c r="X1328"/>
  <c r="Y1328"/>
  <c r="AA1328"/>
  <c r="AB1328"/>
  <c r="AC1328"/>
  <c r="AD1328"/>
  <c r="P1329"/>
  <c r="Q1329"/>
  <c r="R1329"/>
  <c r="S1329"/>
  <c r="T1329"/>
  <c r="U1329"/>
  <c r="V1329"/>
  <c r="W1329"/>
  <c r="X1329"/>
  <c r="Y1329"/>
  <c r="AA1329"/>
  <c r="AB1329"/>
  <c r="AC1329"/>
  <c r="AD1329"/>
  <c r="P1330"/>
  <c r="Q1330"/>
  <c r="R1330"/>
  <c r="S1330"/>
  <c r="T1330"/>
  <c r="U1330"/>
  <c r="V1330"/>
  <c r="W1330"/>
  <c r="X1330"/>
  <c r="Y1330"/>
  <c r="AA1330"/>
  <c r="AB1330"/>
  <c r="AC1330"/>
  <c r="AD1330"/>
  <c r="P1331"/>
  <c r="Q1331"/>
  <c r="R1331"/>
  <c r="S1331"/>
  <c r="T1331"/>
  <c r="U1331"/>
  <c r="V1331"/>
  <c r="W1331"/>
  <c r="X1331"/>
  <c r="Y1331"/>
  <c r="AA1331"/>
  <c r="AB1331"/>
  <c r="AC1331"/>
  <c r="AD1331"/>
  <c r="P1332"/>
  <c r="Q1332"/>
  <c r="R1332"/>
  <c r="S1332"/>
  <c r="T1332"/>
  <c r="U1332"/>
  <c r="V1332"/>
  <c r="W1332"/>
  <c r="X1332"/>
  <c r="Y1332"/>
  <c r="AA1332"/>
  <c r="AB1332"/>
  <c r="AC1332"/>
  <c r="AD1332"/>
  <c r="P1333"/>
  <c r="Q1333"/>
  <c r="R1333"/>
  <c r="S1333"/>
  <c r="T1333"/>
  <c r="U1333"/>
  <c r="V1333"/>
  <c r="W1333"/>
  <c r="X1333"/>
  <c r="Y1333"/>
  <c r="AA1333"/>
  <c r="AB1333"/>
  <c r="AC1333"/>
  <c r="AD1333"/>
  <c r="P1334"/>
  <c r="Q1334"/>
  <c r="R1334"/>
  <c r="S1334"/>
  <c r="T1334"/>
  <c r="U1334"/>
  <c r="V1334"/>
  <c r="W1334"/>
  <c r="X1334"/>
  <c r="Y1334"/>
  <c r="AA1334"/>
  <c r="AB1334"/>
  <c r="AC1334"/>
  <c r="AD1334"/>
  <c r="P1335"/>
  <c r="Q1335"/>
  <c r="R1335"/>
  <c r="S1335"/>
  <c r="T1335"/>
  <c r="U1335"/>
  <c r="V1335"/>
  <c r="W1335"/>
  <c r="X1335"/>
  <c r="Y1335"/>
  <c r="AA1335"/>
  <c r="AB1335"/>
  <c r="AC1335"/>
  <c r="AD1335"/>
  <c r="P1336"/>
  <c r="Q1336"/>
  <c r="R1336"/>
  <c r="S1336"/>
  <c r="T1336"/>
  <c r="U1336"/>
  <c r="V1336"/>
  <c r="W1336"/>
  <c r="X1336"/>
  <c r="Y1336"/>
  <c r="AA1336"/>
  <c r="AB1336"/>
  <c r="AC1336"/>
  <c r="AD1336"/>
  <c r="P1337"/>
  <c r="Q1337"/>
  <c r="R1337"/>
  <c r="S1337"/>
  <c r="T1337"/>
  <c r="U1337"/>
  <c r="V1337"/>
  <c r="W1337"/>
  <c r="X1337"/>
  <c r="Y1337"/>
  <c r="AA1337"/>
  <c r="AB1337"/>
  <c r="AC1337"/>
  <c r="AD1337"/>
  <c r="P1338"/>
  <c r="Q1338"/>
  <c r="R1338"/>
  <c r="S1338"/>
  <c r="T1338"/>
  <c r="U1338"/>
  <c r="V1338"/>
  <c r="W1338"/>
  <c r="X1338"/>
  <c r="Y1338"/>
  <c r="AA1338"/>
  <c r="AB1338"/>
  <c r="AC1338"/>
  <c r="AD1338"/>
  <c r="P1339"/>
  <c r="Q1339"/>
  <c r="R1339"/>
  <c r="S1339"/>
  <c r="T1339"/>
  <c r="U1339"/>
  <c r="V1339"/>
  <c r="W1339"/>
  <c r="X1339"/>
  <c r="Y1339"/>
  <c r="AA1339"/>
  <c r="AB1339"/>
  <c r="AC1339"/>
  <c r="AD1339"/>
  <c r="P1340"/>
  <c r="Q1340"/>
  <c r="R1340"/>
  <c r="S1340"/>
  <c r="T1340"/>
  <c r="U1340"/>
  <c r="V1340"/>
  <c r="W1340"/>
  <c r="X1340"/>
  <c r="Y1340"/>
  <c r="AA1340"/>
  <c r="AB1340"/>
  <c r="AC1340"/>
  <c r="AD1340"/>
  <c r="P1341"/>
  <c r="Q1341"/>
  <c r="R1341"/>
  <c r="S1341"/>
  <c r="T1341"/>
  <c r="U1341"/>
  <c r="V1341"/>
  <c r="W1341"/>
  <c r="X1341"/>
  <c r="Y1341"/>
  <c r="AA1341"/>
  <c r="AB1341"/>
  <c r="AC1341"/>
  <c r="AD1341"/>
  <c r="P1342"/>
  <c r="Q1342"/>
  <c r="R1342"/>
  <c r="S1342"/>
  <c r="T1342"/>
  <c r="U1342"/>
  <c r="V1342"/>
  <c r="W1342"/>
  <c r="X1342"/>
  <c r="Y1342"/>
  <c r="AA1342"/>
  <c r="AB1342"/>
  <c r="AC1342"/>
  <c r="AD1342"/>
  <c r="P1343"/>
  <c r="Q1343"/>
  <c r="R1343"/>
  <c r="S1343"/>
  <c r="T1343"/>
  <c r="U1343"/>
  <c r="V1343"/>
  <c r="W1343"/>
  <c r="X1343"/>
  <c r="Y1343"/>
  <c r="AA1343"/>
  <c r="AB1343"/>
  <c r="AC1343"/>
  <c r="AD1343"/>
  <c r="P1344"/>
  <c r="Q1344"/>
  <c r="R1344"/>
  <c r="S1344"/>
  <c r="T1344"/>
  <c r="U1344"/>
  <c r="V1344"/>
  <c r="W1344"/>
  <c r="X1344"/>
  <c r="Y1344"/>
  <c r="AA1344"/>
  <c r="AB1344"/>
  <c r="AC1344"/>
  <c r="AD1344"/>
  <c r="P1345"/>
  <c r="Q1345"/>
  <c r="R1345"/>
  <c r="S1345"/>
  <c r="T1345"/>
  <c r="U1345"/>
  <c r="V1345"/>
  <c r="W1345"/>
  <c r="X1345"/>
  <c r="Y1345"/>
  <c r="AA1345"/>
  <c r="AB1345"/>
  <c r="AC1345"/>
  <c r="AD1345"/>
  <c r="P1346"/>
  <c r="Q1346"/>
  <c r="R1346"/>
  <c r="S1346"/>
  <c r="T1346"/>
  <c r="U1346"/>
  <c r="V1346"/>
  <c r="W1346"/>
  <c r="X1346"/>
  <c r="Y1346"/>
  <c r="AA1346"/>
  <c r="AB1346"/>
  <c r="AC1346"/>
  <c r="AD1346"/>
  <c r="P1347"/>
  <c r="Q1347"/>
  <c r="R1347"/>
  <c r="S1347"/>
  <c r="T1347"/>
  <c r="U1347"/>
  <c r="V1347"/>
  <c r="W1347"/>
  <c r="X1347"/>
  <c r="Y1347"/>
  <c r="AA1347"/>
  <c r="AB1347"/>
  <c r="AC1347"/>
  <c r="AD1347"/>
  <c r="P1348"/>
  <c r="Q1348"/>
  <c r="R1348"/>
  <c r="S1348"/>
  <c r="T1348"/>
  <c r="U1348"/>
  <c r="V1348"/>
  <c r="W1348"/>
  <c r="X1348"/>
  <c r="Y1348"/>
  <c r="AA1348"/>
  <c r="AB1348"/>
  <c r="AC1348"/>
  <c r="AD1348"/>
  <c r="P1349"/>
  <c r="Q1349"/>
  <c r="R1349"/>
  <c r="S1349"/>
  <c r="T1349"/>
  <c r="U1349"/>
  <c r="V1349"/>
  <c r="W1349"/>
  <c r="X1349"/>
  <c r="Y1349"/>
  <c r="AA1349"/>
  <c r="AB1349"/>
  <c r="AC1349"/>
  <c r="AD1349"/>
  <c r="P1350"/>
  <c r="Q1350"/>
  <c r="R1350"/>
  <c r="S1350"/>
  <c r="T1350"/>
  <c r="U1350"/>
  <c r="V1350"/>
  <c r="W1350"/>
  <c r="X1350"/>
  <c r="Y1350"/>
  <c r="AA1350"/>
  <c r="AB1350"/>
  <c r="AC1350"/>
  <c r="AD1350"/>
  <c r="P1351"/>
  <c r="Q1351"/>
  <c r="R1351"/>
  <c r="S1351"/>
  <c r="T1351"/>
  <c r="U1351"/>
  <c r="V1351"/>
  <c r="W1351"/>
  <c r="X1351"/>
  <c r="Y1351"/>
  <c r="AA1351"/>
  <c r="AB1351"/>
  <c r="AC1351"/>
  <c r="AD1351"/>
  <c r="P1352"/>
  <c r="Q1352"/>
  <c r="R1352"/>
  <c r="S1352"/>
  <c r="T1352"/>
  <c r="U1352"/>
  <c r="V1352"/>
  <c r="W1352"/>
  <c r="X1352"/>
  <c r="Y1352"/>
  <c r="AA1352"/>
  <c r="AB1352"/>
  <c r="AC1352"/>
  <c r="AD1352"/>
  <c r="P1353"/>
  <c r="Q1353"/>
  <c r="R1353"/>
  <c r="S1353"/>
  <c r="T1353"/>
  <c r="U1353"/>
  <c r="V1353"/>
  <c r="W1353"/>
  <c r="X1353"/>
  <c r="Y1353"/>
  <c r="AA1353"/>
  <c r="AB1353"/>
  <c r="AC1353"/>
  <c r="AD1353"/>
  <c r="P1354"/>
  <c r="Q1354"/>
  <c r="R1354"/>
  <c r="S1354"/>
  <c r="T1354"/>
  <c r="U1354"/>
  <c r="V1354"/>
  <c r="W1354"/>
  <c r="X1354"/>
  <c r="Y1354"/>
  <c r="AA1354"/>
  <c r="AB1354"/>
  <c r="AC1354"/>
  <c r="AD1354"/>
  <c r="P1355"/>
  <c r="Q1355"/>
  <c r="R1355"/>
  <c r="S1355"/>
  <c r="T1355"/>
  <c r="U1355"/>
  <c r="V1355"/>
  <c r="W1355"/>
  <c r="X1355"/>
  <c r="Y1355"/>
  <c r="AA1355"/>
  <c r="AB1355"/>
  <c r="AC1355"/>
  <c r="AD1355"/>
  <c r="P1356"/>
  <c r="Q1356"/>
  <c r="R1356"/>
  <c r="S1356"/>
  <c r="T1356"/>
  <c r="U1356"/>
  <c r="V1356"/>
  <c r="W1356"/>
  <c r="X1356"/>
  <c r="Y1356"/>
  <c r="AA1356"/>
  <c r="AB1356"/>
  <c r="AC1356"/>
  <c r="AD1356"/>
  <c r="P1357"/>
  <c r="Q1357"/>
  <c r="R1357"/>
  <c r="S1357"/>
  <c r="T1357"/>
  <c r="U1357"/>
  <c r="V1357"/>
  <c r="W1357"/>
  <c r="X1357"/>
  <c r="Y1357"/>
  <c r="AA1357"/>
  <c r="AB1357"/>
  <c r="AC1357"/>
  <c r="AD1357"/>
  <c r="P1358"/>
  <c r="Q1358"/>
  <c r="R1358"/>
  <c r="S1358"/>
  <c r="T1358"/>
  <c r="U1358"/>
  <c r="V1358"/>
  <c r="W1358"/>
  <c r="X1358"/>
  <c r="Y1358"/>
  <c r="AA1358"/>
  <c r="AB1358"/>
  <c r="AC1358"/>
  <c r="AD1358"/>
  <c r="P1359"/>
  <c r="Q1359"/>
  <c r="R1359"/>
  <c r="S1359"/>
  <c r="T1359"/>
  <c r="U1359"/>
  <c r="V1359"/>
  <c r="W1359"/>
  <c r="X1359"/>
  <c r="Y1359"/>
  <c r="AA1359"/>
  <c r="AB1359"/>
  <c r="AC1359"/>
  <c r="AD1359"/>
  <c r="P1360"/>
  <c r="Q1360"/>
  <c r="R1360"/>
  <c r="S1360"/>
  <c r="T1360"/>
  <c r="U1360"/>
  <c r="V1360"/>
  <c r="W1360"/>
  <c r="X1360"/>
  <c r="Y1360"/>
  <c r="AA1360"/>
  <c r="AB1360"/>
  <c r="AC1360"/>
  <c r="AD1360"/>
  <c r="P1361"/>
  <c r="Q1361"/>
  <c r="R1361"/>
  <c r="S1361"/>
  <c r="T1361"/>
  <c r="U1361"/>
  <c r="V1361"/>
  <c r="W1361"/>
  <c r="X1361"/>
  <c r="Y1361"/>
  <c r="AA1361"/>
  <c r="AB1361"/>
  <c r="AC1361"/>
  <c r="AD1361"/>
  <c r="P1362"/>
  <c r="Q1362"/>
  <c r="R1362"/>
  <c r="S1362"/>
  <c r="T1362"/>
  <c r="U1362"/>
  <c r="V1362"/>
  <c r="W1362"/>
  <c r="X1362"/>
  <c r="Y1362"/>
  <c r="AA1362"/>
  <c r="AB1362"/>
  <c r="AC1362"/>
  <c r="AD1362"/>
  <c r="P1363"/>
  <c r="Q1363"/>
  <c r="R1363"/>
  <c r="S1363"/>
  <c r="T1363"/>
  <c r="U1363"/>
  <c r="V1363"/>
  <c r="W1363"/>
  <c r="X1363"/>
  <c r="Y1363"/>
  <c r="AA1363"/>
  <c r="AB1363"/>
  <c r="AC1363"/>
  <c r="AD1363"/>
  <c r="P1364"/>
  <c r="Q1364"/>
  <c r="R1364"/>
  <c r="S1364"/>
  <c r="T1364"/>
  <c r="U1364"/>
  <c r="V1364"/>
  <c r="W1364"/>
  <c r="X1364"/>
  <c r="Y1364"/>
  <c r="AA1364"/>
  <c r="AB1364"/>
  <c r="AC1364"/>
  <c r="AD1364"/>
  <c r="P1365"/>
  <c r="Q1365"/>
  <c r="R1365"/>
  <c r="S1365"/>
  <c r="T1365"/>
  <c r="U1365"/>
  <c r="V1365"/>
  <c r="W1365"/>
  <c r="X1365"/>
  <c r="Y1365"/>
  <c r="AA1365"/>
  <c r="AB1365"/>
  <c r="AC1365"/>
  <c r="AD1365"/>
  <c r="P1366"/>
  <c r="Q1366"/>
  <c r="R1366"/>
  <c r="S1366"/>
  <c r="T1366"/>
  <c r="U1366"/>
  <c r="V1366"/>
  <c r="W1366"/>
  <c r="X1366"/>
  <c r="Y1366"/>
  <c r="AA1366"/>
  <c r="AB1366"/>
  <c r="AC1366"/>
  <c r="AD1366"/>
  <c r="P1367"/>
  <c r="Q1367"/>
  <c r="R1367"/>
  <c r="S1367"/>
  <c r="T1367"/>
  <c r="U1367"/>
  <c r="V1367"/>
  <c r="W1367"/>
  <c r="X1367"/>
  <c r="Y1367"/>
  <c r="AA1367"/>
  <c r="AB1367"/>
  <c r="AC1367"/>
  <c r="AD1367"/>
  <c r="P1368"/>
  <c r="Q1368"/>
  <c r="R1368"/>
  <c r="S1368"/>
  <c r="T1368"/>
  <c r="U1368"/>
  <c r="V1368"/>
  <c r="W1368"/>
  <c r="X1368"/>
  <c r="Y1368"/>
  <c r="AA1368"/>
  <c r="AB1368"/>
  <c r="AC1368"/>
  <c r="AD1368"/>
  <c r="P1369"/>
  <c r="Q1369"/>
  <c r="R1369"/>
  <c r="S1369"/>
  <c r="T1369"/>
  <c r="U1369"/>
  <c r="V1369"/>
  <c r="W1369"/>
  <c r="X1369"/>
  <c r="Y1369"/>
  <c r="AA1369"/>
  <c r="AB1369"/>
  <c r="AC1369"/>
  <c r="AD1369"/>
  <c r="P1370"/>
  <c r="Q1370"/>
  <c r="R1370"/>
  <c r="S1370"/>
  <c r="T1370"/>
  <c r="U1370"/>
  <c r="V1370"/>
  <c r="W1370"/>
  <c r="X1370"/>
  <c r="Y1370"/>
  <c r="AA1370"/>
  <c r="AB1370"/>
  <c r="AC1370"/>
  <c r="AD1370"/>
  <c r="P1371"/>
  <c r="Q1371"/>
  <c r="R1371"/>
  <c r="S1371"/>
  <c r="T1371"/>
  <c r="U1371"/>
  <c r="V1371"/>
  <c r="W1371"/>
  <c r="X1371"/>
  <c r="Y1371"/>
  <c r="AA1371"/>
  <c r="AB1371"/>
  <c r="AC1371"/>
  <c r="AD1371"/>
  <c r="P1372"/>
  <c r="Q1372"/>
  <c r="R1372"/>
  <c r="S1372"/>
  <c r="T1372"/>
  <c r="U1372"/>
  <c r="V1372"/>
  <c r="W1372"/>
  <c r="X1372"/>
  <c r="Y1372"/>
  <c r="AA1372"/>
  <c r="AB1372"/>
  <c r="AC1372"/>
  <c r="AD1372"/>
  <c r="P1373"/>
  <c r="Q1373"/>
  <c r="R1373"/>
  <c r="S1373"/>
  <c r="T1373"/>
  <c r="U1373"/>
  <c r="V1373"/>
  <c r="W1373"/>
  <c r="X1373"/>
  <c r="Y1373"/>
  <c r="AA1373"/>
  <c r="AB1373"/>
  <c r="AC1373"/>
  <c r="AD1373"/>
  <c r="P1374"/>
  <c r="Q1374"/>
  <c r="R1374"/>
  <c r="S1374"/>
  <c r="T1374"/>
  <c r="U1374"/>
  <c r="V1374"/>
  <c r="W1374"/>
  <c r="X1374"/>
  <c r="Y1374"/>
  <c r="AA1374"/>
  <c r="AB1374"/>
  <c r="AC1374"/>
  <c r="AD1374"/>
  <c r="P1375"/>
  <c r="Q1375"/>
  <c r="R1375"/>
  <c r="S1375"/>
  <c r="T1375"/>
  <c r="U1375"/>
  <c r="V1375"/>
  <c r="W1375"/>
  <c r="X1375"/>
  <c r="Y1375"/>
  <c r="AA1375"/>
  <c r="AB1375"/>
  <c r="AC1375"/>
  <c r="AD1375"/>
  <c r="P1376"/>
  <c r="Q1376"/>
  <c r="R1376"/>
  <c r="S1376"/>
  <c r="T1376"/>
  <c r="U1376"/>
  <c r="V1376"/>
  <c r="W1376"/>
  <c r="X1376"/>
  <c r="Y1376"/>
  <c r="AA1376"/>
  <c r="AB1376"/>
  <c r="AC1376"/>
  <c r="AD1376"/>
  <c r="P1377"/>
  <c r="Q1377"/>
  <c r="R1377"/>
  <c r="S1377"/>
  <c r="T1377"/>
  <c r="U1377"/>
  <c r="V1377"/>
  <c r="W1377"/>
  <c r="X1377"/>
  <c r="Y1377"/>
  <c r="AA1377"/>
  <c r="AB1377"/>
  <c r="AC1377"/>
  <c r="AD1377"/>
  <c r="P1378"/>
  <c r="Q1378"/>
  <c r="R1378"/>
  <c r="S1378"/>
  <c r="T1378"/>
  <c r="U1378"/>
  <c r="V1378"/>
  <c r="W1378"/>
  <c r="X1378"/>
  <c r="Y1378"/>
  <c r="AA1378"/>
  <c r="AB1378"/>
  <c r="AC1378"/>
  <c r="AD1378"/>
  <c r="P1379"/>
  <c r="Q1379"/>
  <c r="R1379"/>
  <c r="S1379"/>
  <c r="T1379"/>
  <c r="U1379"/>
  <c r="V1379"/>
  <c r="W1379"/>
  <c r="X1379"/>
  <c r="Y1379"/>
  <c r="AA1379"/>
  <c r="AB1379"/>
  <c r="AC1379"/>
  <c r="AD1379"/>
  <c r="P1380"/>
  <c r="Q1380"/>
  <c r="R1380"/>
  <c r="S1380"/>
  <c r="T1380"/>
  <c r="U1380"/>
  <c r="V1380"/>
  <c r="W1380"/>
  <c r="X1380"/>
  <c r="Y1380"/>
  <c r="AA1380"/>
  <c r="AB1380"/>
  <c r="AC1380"/>
  <c r="AD1380"/>
  <c r="P1381"/>
  <c r="Q1381"/>
  <c r="R1381"/>
  <c r="S1381"/>
  <c r="T1381"/>
  <c r="U1381"/>
  <c r="V1381"/>
  <c r="W1381"/>
  <c r="X1381"/>
  <c r="Y1381"/>
  <c r="AA1381"/>
  <c r="AB1381"/>
  <c r="AC1381"/>
  <c r="AD1381"/>
  <c r="P1382"/>
  <c r="Q1382"/>
  <c r="R1382"/>
  <c r="S1382"/>
  <c r="T1382"/>
  <c r="U1382"/>
  <c r="V1382"/>
  <c r="W1382"/>
  <c r="X1382"/>
  <c r="Y1382"/>
  <c r="AA1382"/>
  <c r="AB1382"/>
  <c r="AC1382"/>
  <c r="AD1382"/>
  <c r="P1383"/>
  <c r="Q1383"/>
  <c r="R1383"/>
  <c r="S1383"/>
  <c r="T1383"/>
  <c r="U1383"/>
  <c r="V1383"/>
  <c r="W1383"/>
  <c r="X1383"/>
  <c r="Y1383"/>
  <c r="AA1383"/>
  <c r="AB1383"/>
  <c r="AC1383"/>
  <c r="AD1383"/>
  <c r="P1384"/>
  <c r="Q1384"/>
  <c r="R1384"/>
  <c r="S1384"/>
  <c r="T1384"/>
  <c r="U1384"/>
  <c r="V1384"/>
  <c r="W1384"/>
  <c r="X1384"/>
  <c r="Y1384"/>
  <c r="AA1384"/>
  <c r="AB1384"/>
  <c r="AC1384"/>
  <c r="AD1384"/>
  <c r="P1385"/>
  <c r="Q1385"/>
  <c r="R1385"/>
  <c r="S1385"/>
  <c r="T1385"/>
  <c r="U1385"/>
  <c r="V1385"/>
  <c r="W1385"/>
  <c r="X1385"/>
  <c r="Y1385"/>
  <c r="AA1385"/>
  <c r="AB1385"/>
  <c r="AC1385"/>
  <c r="AD1385"/>
  <c r="P1386"/>
  <c r="Q1386"/>
  <c r="R1386"/>
  <c r="S1386"/>
  <c r="T1386"/>
  <c r="U1386"/>
  <c r="V1386"/>
  <c r="W1386"/>
  <c r="X1386"/>
  <c r="Y1386"/>
  <c r="AA1386"/>
  <c r="AB1386"/>
  <c r="AC1386"/>
  <c r="AD1386"/>
  <c r="P1387"/>
  <c r="Q1387"/>
  <c r="R1387"/>
  <c r="S1387"/>
  <c r="T1387"/>
  <c r="U1387"/>
  <c r="V1387"/>
  <c r="W1387"/>
  <c r="X1387"/>
  <c r="Y1387"/>
  <c r="AA1387"/>
  <c r="AB1387"/>
  <c r="AC1387"/>
  <c r="AD1387"/>
  <c r="P1388"/>
  <c r="Q1388"/>
  <c r="R1388"/>
  <c r="S1388"/>
  <c r="T1388"/>
  <c r="U1388"/>
  <c r="V1388"/>
  <c r="W1388"/>
  <c r="X1388"/>
  <c r="Y1388"/>
  <c r="AA1388"/>
  <c r="AB1388"/>
  <c r="AC1388"/>
  <c r="AD1388"/>
  <c r="P1389"/>
  <c r="Q1389"/>
  <c r="R1389"/>
  <c r="S1389"/>
  <c r="T1389"/>
  <c r="U1389"/>
  <c r="V1389"/>
  <c r="W1389"/>
  <c r="X1389"/>
  <c r="Y1389"/>
  <c r="AA1389"/>
  <c r="AB1389"/>
  <c r="AC1389"/>
  <c r="AD1389"/>
  <c r="P1390"/>
  <c r="Q1390"/>
  <c r="R1390"/>
  <c r="S1390"/>
  <c r="T1390"/>
  <c r="U1390"/>
  <c r="V1390"/>
  <c r="W1390"/>
  <c r="X1390"/>
  <c r="Y1390"/>
  <c r="AA1390"/>
  <c r="AB1390"/>
  <c r="AC1390"/>
  <c r="AD1390"/>
  <c r="P1391"/>
  <c r="Q1391"/>
  <c r="R1391"/>
  <c r="S1391"/>
  <c r="T1391"/>
  <c r="U1391"/>
  <c r="V1391"/>
  <c r="W1391"/>
  <c r="X1391"/>
  <c r="Y1391"/>
  <c r="AA1391"/>
  <c r="AB1391"/>
  <c r="AC1391"/>
  <c r="AD1391"/>
  <c r="P1392"/>
  <c r="Q1392"/>
  <c r="R1392"/>
  <c r="S1392"/>
  <c r="T1392"/>
  <c r="U1392"/>
  <c r="V1392"/>
  <c r="W1392"/>
  <c r="X1392"/>
  <c r="Y1392"/>
  <c r="AA1392"/>
  <c r="AB1392"/>
  <c r="AC1392"/>
  <c r="AD1392"/>
  <c r="P1393"/>
  <c r="Q1393"/>
  <c r="R1393"/>
  <c r="S1393"/>
  <c r="T1393"/>
  <c r="U1393"/>
  <c r="V1393"/>
  <c r="W1393"/>
  <c r="X1393"/>
  <c r="Y1393"/>
  <c r="AA1393"/>
  <c r="AB1393"/>
  <c r="AC1393"/>
  <c r="AD1393"/>
  <c r="P1394"/>
  <c r="Q1394"/>
  <c r="R1394"/>
  <c r="S1394"/>
  <c r="T1394"/>
  <c r="U1394"/>
  <c r="V1394"/>
  <c r="W1394"/>
  <c r="X1394"/>
  <c r="Y1394"/>
  <c r="AA1394"/>
  <c r="AB1394"/>
  <c r="AC1394"/>
  <c r="AD1394"/>
  <c r="P1395"/>
  <c r="Q1395"/>
  <c r="R1395"/>
  <c r="S1395"/>
  <c r="T1395"/>
  <c r="U1395"/>
  <c r="V1395"/>
  <c r="W1395"/>
  <c r="X1395"/>
  <c r="Y1395"/>
  <c r="AA1395"/>
  <c r="AB1395"/>
  <c r="AC1395"/>
  <c r="AD1395"/>
  <c r="P1396"/>
  <c r="Q1396"/>
  <c r="R1396"/>
  <c r="S1396"/>
  <c r="T1396"/>
  <c r="U1396"/>
  <c r="V1396"/>
  <c r="W1396"/>
  <c r="X1396"/>
  <c r="Y1396"/>
  <c r="AA1396"/>
  <c r="AB1396"/>
  <c r="AC1396"/>
  <c r="AD1396"/>
  <c r="P1397"/>
  <c r="Q1397"/>
  <c r="R1397"/>
  <c r="S1397"/>
  <c r="T1397"/>
  <c r="U1397"/>
  <c r="V1397"/>
  <c r="W1397"/>
  <c r="X1397"/>
  <c r="Y1397"/>
  <c r="AA1397"/>
  <c r="AB1397"/>
  <c r="AC1397"/>
  <c r="AD1397"/>
  <c r="P1398"/>
  <c r="Q1398"/>
  <c r="R1398"/>
  <c r="S1398"/>
  <c r="T1398"/>
  <c r="U1398"/>
  <c r="V1398"/>
  <c r="W1398"/>
  <c r="X1398"/>
  <c r="Y1398"/>
  <c r="AA1398"/>
  <c r="AB1398"/>
  <c r="AC1398"/>
  <c r="AD1398"/>
  <c r="P1399"/>
  <c r="Q1399"/>
  <c r="R1399"/>
  <c r="S1399"/>
  <c r="T1399"/>
  <c r="U1399"/>
  <c r="V1399"/>
  <c r="W1399"/>
  <c r="X1399"/>
  <c r="Y1399"/>
  <c r="AA1399"/>
  <c r="AB1399"/>
  <c r="AC1399"/>
  <c r="AD1399"/>
  <c r="P1400"/>
  <c r="Q1400"/>
  <c r="R1400"/>
  <c r="S1400"/>
  <c r="T1400"/>
  <c r="U1400"/>
  <c r="V1400"/>
  <c r="W1400"/>
  <c r="X1400"/>
  <c r="Y1400"/>
  <c r="AA1400"/>
  <c r="AB1400"/>
  <c r="AC1400"/>
  <c r="AD1400"/>
  <c r="P1401"/>
  <c r="Q1401"/>
  <c r="R1401"/>
  <c r="S1401"/>
  <c r="T1401"/>
  <c r="U1401"/>
  <c r="V1401"/>
  <c r="W1401"/>
  <c r="X1401"/>
  <c r="Y1401"/>
  <c r="AA1401"/>
  <c r="AB1401"/>
  <c r="AC1401"/>
  <c r="AD1401"/>
  <c r="P1402"/>
  <c r="Q1402"/>
  <c r="R1402"/>
  <c r="S1402"/>
  <c r="T1402"/>
  <c r="U1402"/>
  <c r="V1402"/>
  <c r="W1402"/>
  <c r="X1402"/>
  <c r="Y1402"/>
  <c r="AA1402"/>
  <c r="AB1402"/>
  <c r="AC1402"/>
  <c r="AD1402"/>
  <c r="P1403"/>
  <c r="Q1403"/>
  <c r="R1403"/>
  <c r="S1403"/>
  <c r="T1403"/>
  <c r="U1403"/>
  <c r="V1403"/>
  <c r="W1403"/>
  <c r="X1403"/>
  <c r="Y1403"/>
  <c r="AA1403"/>
  <c r="AB1403"/>
  <c r="AC1403"/>
  <c r="AD1403"/>
  <c r="P1404"/>
  <c r="Q1404"/>
  <c r="R1404"/>
  <c r="S1404"/>
  <c r="T1404"/>
  <c r="U1404"/>
  <c r="V1404"/>
  <c r="W1404"/>
  <c r="X1404"/>
  <c r="Y1404"/>
  <c r="AA1404"/>
  <c r="AB1404"/>
  <c r="AC1404"/>
  <c r="AD1404"/>
  <c r="P1405"/>
  <c r="Q1405"/>
  <c r="R1405"/>
  <c r="S1405"/>
  <c r="T1405"/>
  <c r="U1405"/>
  <c r="V1405"/>
  <c r="W1405"/>
  <c r="X1405"/>
  <c r="Y1405"/>
  <c r="AA1405"/>
  <c r="AB1405"/>
  <c r="AC1405"/>
  <c r="AD1405"/>
  <c r="P1406"/>
  <c r="Q1406"/>
  <c r="R1406"/>
  <c r="S1406"/>
  <c r="T1406"/>
  <c r="U1406"/>
  <c r="V1406"/>
  <c r="W1406"/>
  <c r="X1406"/>
  <c r="Y1406"/>
  <c r="AA1406"/>
  <c r="AB1406"/>
  <c r="AC1406"/>
  <c r="AD1406"/>
  <c r="P1407"/>
  <c r="Q1407"/>
  <c r="R1407"/>
  <c r="S1407"/>
  <c r="T1407"/>
  <c r="U1407"/>
  <c r="V1407"/>
  <c r="W1407"/>
  <c r="X1407"/>
  <c r="Y1407"/>
  <c r="AA1407"/>
  <c r="AB1407"/>
  <c r="AC1407"/>
  <c r="AD1407"/>
  <c r="P1408"/>
  <c r="Q1408"/>
  <c r="R1408"/>
  <c r="S1408"/>
  <c r="T1408"/>
  <c r="U1408"/>
  <c r="V1408"/>
  <c r="W1408"/>
  <c r="X1408"/>
  <c r="Y1408"/>
  <c r="AA1408"/>
  <c r="AB1408"/>
  <c r="AC1408"/>
  <c r="AD1408"/>
  <c r="P1409"/>
  <c r="Q1409"/>
  <c r="R1409"/>
  <c r="S1409"/>
  <c r="T1409"/>
  <c r="U1409"/>
  <c r="V1409"/>
  <c r="W1409"/>
  <c r="X1409"/>
  <c r="Y1409"/>
  <c r="AA1409"/>
  <c r="AB1409"/>
  <c r="AC1409"/>
  <c r="AD1409"/>
  <c r="P1410"/>
  <c r="Q1410"/>
  <c r="R1410"/>
  <c r="S1410"/>
  <c r="T1410"/>
  <c r="U1410"/>
  <c r="V1410"/>
  <c r="W1410"/>
  <c r="X1410"/>
  <c r="Y1410"/>
  <c r="AA1410"/>
  <c r="AB1410"/>
  <c r="AC1410"/>
  <c r="AD1410"/>
  <c r="P1411"/>
  <c r="Q1411"/>
  <c r="R1411"/>
  <c r="S1411"/>
  <c r="T1411"/>
  <c r="U1411"/>
  <c r="V1411"/>
  <c r="W1411"/>
  <c r="X1411"/>
  <c r="Y1411"/>
  <c r="AA1411"/>
  <c r="AB1411"/>
  <c r="AC1411"/>
  <c r="AD1411"/>
  <c r="P1412"/>
  <c r="Q1412"/>
  <c r="R1412"/>
  <c r="S1412"/>
  <c r="T1412"/>
  <c r="U1412"/>
  <c r="V1412"/>
  <c r="W1412"/>
  <c r="X1412"/>
  <c r="Y1412"/>
  <c r="AA1412"/>
  <c r="AB1412"/>
  <c r="AC1412"/>
  <c r="AD1412"/>
  <c r="P1413"/>
  <c r="Q1413"/>
  <c r="R1413"/>
  <c r="S1413"/>
  <c r="T1413"/>
  <c r="U1413"/>
  <c r="V1413"/>
  <c r="W1413"/>
  <c r="X1413"/>
  <c r="Y1413"/>
  <c r="AA1413"/>
  <c r="AB1413"/>
  <c r="AC1413"/>
  <c r="AD1413"/>
  <c r="P1414"/>
  <c r="Q1414"/>
  <c r="R1414"/>
  <c r="S1414"/>
  <c r="T1414"/>
  <c r="U1414"/>
  <c r="V1414"/>
  <c r="W1414"/>
  <c r="X1414"/>
  <c r="Y1414"/>
  <c r="AA1414"/>
  <c r="AB1414"/>
  <c r="AC1414"/>
  <c r="AD1414"/>
  <c r="P1415"/>
  <c r="Q1415"/>
  <c r="R1415"/>
  <c r="S1415"/>
  <c r="T1415"/>
  <c r="U1415"/>
  <c r="V1415"/>
  <c r="W1415"/>
  <c r="X1415"/>
  <c r="Y1415"/>
  <c r="AA1415"/>
  <c r="AB1415"/>
  <c r="AC1415"/>
  <c r="AD1415"/>
  <c r="P1416"/>
  <c r="Q1416"/>
  <c r="R1416"/>
  <c r="S1416"/>
  <c r="T1416"/>
  <c r="U1416"/>
  <c r="V1416"/>
  <c r="W1416"/>
  <c r="X1416"/>
  <c r="Y1416"/>
  <c r="AA1416"/>
  <c r="AB1416"/>
  <c r="AC1416"/>
  <c r="AD1416"/>
  <c r="P1417"/>
  <c r="Q1417"/>
  <c r="R1417"/>
  <c r="S1417"/>
  <c r="T1417"/>
  <c r="U1417"/>
  <c r="V1417"/>
  <c r="W1417"/>
  <c r="X1417"/>
  <c r="Y1417"/>
  <c r="AA1417"/>
  <c r="AB1417"/>
  <c r="AC1417"/>
  <c r="AD1417"/>
  <c r="P1418"/>
  <c r="Q1418"/>
  <c r="R1418"/>
  <c r="S1418"/>
  <c r="T1418"/>
  <c r="U1418"/>
  <c r="V1418"/>
  <c r="W1418"/>
  <c r="X1418"/>
  <c r="Y1418"/>
  <c r="AA1418"/>
  <c r="AB1418"/>
  <c r="AC1418"/>
  <c r="AD1418"/>
  <c r="P1419"/>
  <c r="Q1419"/>
  <c r="R1419"/>
  <c r="S1419"/>
  <c r="T1419"/>
  <c r="U1419"/>
  <c r="V1419"/>
  <c r="W1419"/>
  <c r="X1419"/>
  <c r="Y1419"/>
  <c r="AA1419"/>
  <c r="AB1419"/>
  <c r="AC1419"/>
  <c r="AD1419"/>
  <c r="P1420"/>
  <c r="Q1420"/>
  <c r="R1420"/>
  <c r="S1420"/>
  <c r="T1420"/>
  <c r="U1420"/>
  <c r="V1420"/>
  <c r="W1420"/>
  <c r="X1420"/>
  <c r="Y1420"/>
  <c r="AA1420"/>
  <c r="AB1420"/>
  <c r="AC1420"/>
  <c r="AD1420"/>
  <c r="P1421"/>
  <c r="Q1421"/>
  <c r="R1421"/>
  <c r="S1421"/>
  <c r="T1421"/>
  <c r="U1421"/>
  <c r="V1421"/>
  <c r="W1421"/>
  <c r="X1421"/>
  <c r="Y1421"/>
  <c r="AA1421"/>
  <c r="AB1421"/>
  <c r="AC1421"/>
  <c r="AD1421"/>
  <c r="P1422"/>
  <c r="Q1422"/>
  <c r="R1422"/>
  <c r="S1422"/>
  <c r="T1422"/>
  <c r="U1422"/>
  <c r="V1422"/>
  <c r="W1422"/>
  <c r="X1422"/>
  <c r="Y1422"/>
  <c r="AA1422"/>
  <c r="AB1422"/>
  <c r="AC1422"/>
  <c r="AD1422"/>
  <c r="P1423"/>
  <c r="Q1423"/>
  <c r="R1423"/>
  <c r="S1423"/>
  <c r="T1423"/>
  <c r="U1423"/>
  <c r="V1423"/>
  <c r="W1423"/>
  <c r="X1423"/>
  <c r="Y1423"/>
  <c r="AA1423"/>
  <c r="AB1423"/>
  <c r="AC1423"/>
  <c r="AD1423"/>
  <c r="P1424"/>
  <c r="Q1424"/>
  <c r="R1424"/>
  <c r="S1424"/>
  <c r="T1424"/>
  <c r="U1424"/>
  <c r="V1424"/>
  <c r="W1424"/>
  <c r="X1424"/>
  <c r="Y1424"/>
  <c r="AA1424"/>
  <c r="AB1424"/>
  <c r="AC1424"/>
  <c r="AD1424"/>
  <c r="P1425"/>
  <c r="Q1425"/>
  <c r="R1425"/>
  <c r="S1425"/>
  <c r="T1425"/>
  <c r="U1425"/>
  <c r="V1425"/>
  <c r="W1425"/>
  <c r="X1425"/>
  <c r="Y1425"/>
  <c r="AA1425"/>
  <c r="AB1425"/>
  <c r="AC1425"/>
  <c r="AD1425"/>
  <c r="P1426"/>
  <c r="Q1426"/>
  <c r="R1426"/>
  <c r="S1426"/>
  <c r="T1426"/>
  <c r="U1426"/>
  <c r="V1426"/>
  <c r="W1426"/>
  <c r="X1426"/>
  <c r="Y1426"/>
  <c r="AA1426"/>
  <c r="AB1426"/>
  <c r="AC1426"/>
  <c r="AD1426"/>
  <c r="P1427"/>
  <c r="Q1427"/>
  <c r="R1427"/>
  <c r="S1427"/>
  <c r="T1427"/>
  <c r="U1427"/>
  <c r="V1427"/>
  <c r="W1427"/>
  <c r="X1427"/>
  <c r="Y1427"/>
  <c r="AA1427"/>
  <c r="AB1427"/>
  <c r="AC1427"/>
  <c r="AD1427"/>
  <c r="P1428"/>
  <c r="Q1428"/>
  <c r="R1428"/>
  <c r="S1428"/>
  <c r="T1428"/>
  <c r="U1428"/>
  <c r="V1428"/>
  <c r="W1428"/>
  <c r="X1428"/>
  <c r="Y1428"/>
  <c r="AA1428"/>
  <c r="AB1428"/>
  <c r="AC1428"/>
  <c r="AD1428"/>
  <c r="P1429"/>
  <c r="Q1429"/>
  <c r="R1429"/>
  <c r="S1429"/>
  <c r="T1429"/>
  <c r="U1429"/>
  <c r="V1429"/>
  <c r="W1429"/>
  <c r="X1429"/>
  <c r="Y1429"/>
  <c r="AA1429"/>
  <c r="AB1429"/>
  <c r="AC1429"/>
  <c r="AD1429"/>
  <c r="P1430"/>
  <c r="Q1430"/>
  <c r="R1430"/>
  <c r="S1430"/>
  <c r="T1430"/>
  <c r="U1430"/>
  <c r="V1430"/>
  <c r="W1430"/>
  <c r="X1430"/>
  <c r="Y1430"/>
  <c r="AA1430"/>
  <c r="AB1430"/>
  <c r="AC1430"/>
  <c r="AD1430"/>
  <c r="P1431"/>
  <c r="Q1431"/>
  <c r="R1431"/>
  <c r="S1431"/>
  <c r="T1431"/>
  <c r="U1431"/>
  <c r="V1431"/>
  <c r="W1431"/>
  <c r="X1431"/>
  <c r="Y1431"/>
  <c r="AA1431"/>
  <c r="AB1431"/>
  <c r="AC1431"/>
  <c r="AD1431"/>
  <c r="P1432"/>
  <c r="Q1432"/>
  <c r="R1432"/>
  <c r="S1432"/>
  <c r="T1432"/>
  <c r="U1432"/>
  <c r="V1432"/>
  <c r="W1432"/>
  <c r="X1432"/>
  <c r="Y1432"/>
  <c r="AA1432"/>
  <c r="AB1432"/>
  <c r="AC1432"/>
  <c r="AD1432"/>
  <c r="P1433"/>
  <c r="Q1433"/>
  <c r="R1433"/>
  <c r="S1433"/>
  <c r="T1433"/>
  <c r="U1433"/>
  <c r="V1433"/>
  <c r="W1433"/>
  <c r="X1433"/>
  <c r="Y1433"/>
  <c r="AA1433"/>
  <c r="AB1433"/>
  <c r="AC1433"/>
  <c r="AD1433"/>
  <c r="P1434"/>
  <c r="Q1434"/>
  <c r="R1434"/>
  <c r="S1434"/>
  <c r="T1434"/>
  <c r="U1434"/>
  <c r="V1434"/>
  <c r="W1434"/>
  <c r="X1434"/>
  <c r="Y1434"/>
  <c r="AA1434"/>
  <c r="AB1434"/>
  <c r="AC1434"/>
  <c r="AD1434"/>
  <c r="P1435"/>
  <c r="Q1435"/>
  <c r="R1435"/>
  <c r="S1435"/>
  <c r="T1435"/>
  <c r="U1435"/>
  <c r="V1435"/>
  <c r="W1435"/>
  <c r="X1435"/>
  <c r="Y1435"/>
  <c r="AA1435"/>
  <c r="AB1435"/>
  <c r="AC1435"/>
  <c r="AD1435"/>
  <c r="P1436"/>
  <c r="Q1436"/>
  <c r="R1436"/>
  <c r="S1436"/>
  <c r="T1436"/>
  <c r="U1436"/>
  <c r="V1436"/>
  <c r="W1436"/>
  <c r="X1436"/>
  <c r="Y1436"/>
  <c r="AA1436"/>
  <c r="AB1436"/>
  <c r="AC1436"/>
  <c r="AD1436"/>
  <c r="P1437"/>
  <c r="Q1437"/>
  <c r="R1437"/>
  <c r="S1437"/>
  <c r="T1437"/>
  <c r="U1437"/>
  <c r="V1437"/>
  <c r="W1437"/>
  <c r="X1437"/>
  <c r="Y1437"/>
  <c r="AA1437"/>
  <c r="AB1437"/>
  <c r="AC1437"/>
  <c r="AD1437"/>
  <c r="P1438"/>
  <c r="Q1438"/>
  <c r="R1438"/>
  <c r="S1438"/>
  <c r="T1438"/>
  <c r="U1438"/>
  <c r="V1438"/>
  <c r="W1438"/>
  <c r="X1438"/>
  <c r="Y1438"/>
  <c r="AA1438"/>
  <c r="AB1438"/>
  <c r="AC1438"/>
  <c r="AD1438"/>
  <c r="P1439"/>
  <c r="Q1439"/>
  <c r="R1439"/>
  <c r="S1439"/>
  <c r="T1439"/>
  <c r="U1439"/>
  <c r="V1439"/>
  <c r="W1439"/>
  <c r="X1439"/>
  <c r="Y1439"/>
  <c r="AA1439"/>
  <c r="AB1439"/>
  <c r="AC1439"/>
  <c r="AD1439"/>
  <c r="P1440"/>
  <c r="Q1440"/>
  <c r="R1440"/>
  <c r="S1440"/>
  <c r="T1440"/>
  <c r="U1440"/>
  <c r="V1440"/>
  <c r="W1440"/>
  <c r="X1440"/>
  <c r="Y1440"/>
  <c r="AA1440"/>
  <c r="AB1440"/>
  <c r="AC1440"/>
  <c r="AD1440"/>
  <c r="P1441"/>
  <c r="Q1441"/>
  <c r="R1441"/>
  <c r="S1441"/>
  <c r="T1441"/>
  <c r="U1441"/>
  <c r="V1441"/>
  <c r="W1441"/>
  <c r="X1441"/>
  <c r="Y1441"/>
  <c r="AA1441"/>
  <c r="AB1441"/>
  <c r="AC1441"/>
  <c r="AD1441"/>
  <c r="P1442"/>
  <c r="Q1442"/>
  <c r="R1442"/>
  <c r="S1442"/>
  <c r="T1442"/>
  <c r="U1442"/>
  <c r="V1442"/>
  <c r="W1442"/>
  <c r="X1442"/>
  <c r="Y1442"/>
  <c r="AA1442"/>
  <c r="AB1442"/>
  <c r="AC1442"/>
  <c r="AD1442"/>
  <c r="P1443"/>
  <c r="Q1443"/>
  <c r="R1443"/>
  <c r="S1443"/>
  <c r="T1443"/>
  <c r="U1443"/>
  <c r="V1443"/>
  <c r="W1443"/>
  <c r="X1443"/>
  <c r="Y1443"/>
  <c r="AA1443"/>
  <c r="AB1443"/>
  <c r="AC1443"/>
  <c r="AD1443"/>
  <c r="P1444"/>
  <c r="Q1444"/>
  <c r="R1444"/>
  <c r="S1444"/>
  <c r="T1444"/>
  <c r="U1444"/>
  <c r="V1444"/>
  <c r="W1444"/>
  <c r="X1444"/>
  <c r="Y1444"/>
  <c r="AA1444"/>
  <c r="AB1444"/>
  <c r="AC1444"/>
  <c r="AD1444"/>
  <c r="P1445"/>
  <c r="Q1445"/>
  <c r="R1445"/>
  <c r="S1445"/>
  <c r="T1445"/>
  <c r="U1445"/>
  <c r="V1445"/>
  <c r="W1445"/>
  <c r="X1445"/>
  <c r="Y1445"/>
  <c r="AA1445"/>
  <c r="AB1445"/>
  <c r="AC1445"/>
  <c r="AD1445"/>
  <c r="P1446"/>
  <c r="Q1446"/>
  <c r="R1446"/>
  <c r="S1446"/>
  <c r="T1446"/>
  <c r="U1446"/>
  <c r="V1446"/>
  <c r="W1446"/>
  <c r="X1446"/>
  <c r="Y1446"/>
  <c r="AA1446"/>
  <c r="AB1446"/>
  <c r="AC1446"/>
  <c r="AD1446"/>
  <c r="P1447"/>
  <c r="Q1447"/>
  <c r="R1447"/>
  <c r="S1447"/>
  <c r="T1447"/>
  <c r="U1447"/>
  <c r="V1447"/>
  <c r="W1447"/>
  <c r="X1447"/>
  <c r="Y1447"/>
  <c r="AA1447"/>
  <c r="AB1447"/>
  <c r="AC1447"/>
  <c r="AD1447"/>
  <c r="P1448"/>
  <c r="Q1448"/>
  <c r="R1448"/>
  <c r="S1448"/>
  <c r="T1448"/>
  <c r="U1448"/>
  <c r="V1448"/>
  <c r="W1448"/>
  <c r="X1448"/>
  <c r="Y1448"/>
  <c r="AA1448"/>
  <c r="AB1448"/>
  <c r="AC1448"/>
  <c r="AD1448"/>
  <c r="P1449"/>
  <c r="Q1449"/>
  <c r="R1449"/>
  <c r="S1449"/>
  <c r="T1449"/>
  <c r="U1449"/>
  <c r="V1449"/>
  <c r="W1449"/>
  <c r="X1449"/>
  <c r="Y1449"/>
  <c r="AA1449"/>
  <c r="AB1449"/>
  <c r="AC1449"/>
  <c r="AD1449"/>
  <c r="P1450"/>
  <c r="Q1450"/>
  <c r="R1450"/>
  <c r="S1450"/>
  <c r="T1450"/>
  <c r="U1450"/>
  <c r="V1450"/>
  <c r="W1450"/>
  <c r="X1450"/>
  <c r="Y1450"/>
  <c r="AA1450"/>
  <c r="AB1450"/>
  <c r="AC1450"/>
  <c r="AD1450"/>
  <c r="P1451"/>
  <c r="Q1451"/>
  <c r="R1451"/>
  <c r="S1451"/>
  <c r="T1451"/>
  <c r="U1451"/>
  <c r="V1451"/>
  <c r="W1451"/>
  <c r="X1451"/>
  <c r="Y1451"/>
  <c r="AA1451"/>
  <c r="AB1451"/>
  <c r="AC1451"/>
  <c r="AD1451"/>
  <c r="P1452"/>
  <c r="Q1452"/>
  <c r="R1452"/>
  <c r="S1452"/>
  <c r="T1452"/>
  <c r="U1452"/>
  <c r="V1452"/>
  <c r="W1452"/>
  <c r="X1452"/>
  <c r="Y1452"/>
  <c r="AA1452"/>
  <c r="AB1452"/>
  <c r="AC1452"/>
  <c r="AD1452"/>
  <c r="P1453"/>
  <c r="Q1453"/>
  <c r="R1453"/>
  <c r="S1453"/>
  <c r="T1453"/>
  <c r="U1453"/>
  <c r="V1453"/>
  <c r="W1453"/>
  <c r="X1453"/>
  <c r="Y1453"/>
  <c r="AA1453"/>
  <c r="AB1453"/>
  <c r="AC1453"/>
  <c r="AD1453"/>
  <c r="P1454"/>
  <c r="Q1454"/>
  <c r="R1454"/>
  <c r="S1454"/>
  <c r="T1454"/>
  <c r="U1454"/>
  <c r="V1454"/>
  <c r="W1454"/>
  <c r="X1454"/>
  <c r="Y1454"/>
  <c r="AA1454"/>
  <c r="AB1454"/>
  <c r="AC1454"/>
  <c r="AD1454"/>
  <c r="P1455"/>
  <c r="Q1455"/>
  <c r="R1455"/>
  <c r="S1455"/>
  <c r="T1455"/>
  <c r="U1455"/>
  <c r="V1455"/>
  <c r="W1455"/>
  <c r="X1455"/>
  <c r="Y1455"/>
  <c r="AA1455"/>
  <c r="AB1455"/>
  <c r="AC1455"/>
  <c r="AD1455"/>
  <c r="P1456"/>
  <c r="Q1456"/>
  <c r="R1456"/>
  <c r="S1456"/>
  <c r="T1456"/>
  <c r="U1456"/>
  <c r="V1456"/>
  <c r="W1456"/>
  <c r="X1456"/>
  <c r="Y1456"/>
  <c r="AA1456"/>
  <c r="AB1456"/>
  <c r="AC1456"/>
  <c r="AD1456"/>
  <c r="P1457"/>
  <c r="Q1457"/>
  <c r="R1457"/>
  <c r="S1457"/>
  <c r="T1457"/>
  <c r="U1457"/>
  <c r="V1457"/>
  <c r="W1457"/>
  <c r="X1457"/>
  <c r="Y1457"/>
  <c r="AA1457"/>
  <c r="AB1457"/>
  <c r="AC1457"/>
  <c r="AD1457"/>
  <c r="P1458"/>
  <c r="Q1458"/>
  <c r="R1458"/>
  <c r="S1458"/>
  <c r="T1458"/>
  <c r="U1458"/>
  <c r="V1458"/>
  <c r="W1458"/>
  <c r="X1458"/>
  <c r="Y1458"/>
  <c r="AA1458"/>
  <c r="AB1458"/>
  <c r="AC1458"/>
  <c r="AD1458"/>
  <c r="P1459"/>
  <c r="Q1459"/>
  <c r="R1459"/>
  <c r="S1459"/>
  <c r="T1459"/>
  <c r="U1459"/>
  <c r="V1459"/>
  <c r="W1459"/>
  <c r="X1459"/>
  <c r="Y1459"/>
  <c r="AA1459"/>
  <c r="AB1459"/>
  <c r="AC1459"/>
  <c r="AD1459"/>
  <c r="P1460"/>
  <c r="Q1460"/>
  <c r="R1460"/>
  <c r="S1460"/>
  <c r="T1460"/>
  <c r="U1460"/>
  <c r="V1460"/>
  <c r="W1460"/>
  <c r="X1460"/>
  <c r="Y1460"/>
  <c r="AA1460"/>
  <c r="AB1460"/>
  <c r="AC1460"/>
  <c r="AD1460"/>
  <c r="P1461"/>
  <c r="Q1461"/>
  <c r="R1461"/>
  <c r="S1461"/>
  <c r="T1461"/>
  <c r="U1461"/>
  <c r="V1461"/>
  <c r="W1461"/>
  <c r="X1461"/>
  <c r="Y1461"/>
  <c r="AA1461"/>
  <c r="AB1461"/>
  <c r="AC1461"/>
  <c r="AD1461"/>
  <c r="P1462"/>
  <c r="Q1462"/>
  <c r="R1462"/>
  <c r="S1462"/>
  <c r="T1462"/>
  <c r="U1462"/>
  <c r="V1462"/>
  <c r="W1462"/>
  <c r="X1462"/>
  <c r="Y1462"/>
  <c r="AA1462"/>
  <c r="AB1462"/>
  <c r="AC1462"/>
  <c r="AD1462"/>
  <c r="P1463"/>
  <c r="Q1463"/>
  <c r="R1463"/>
  <c r="S1463"/>
  <c r="T1463"/>
  <c r="U1463"/>
  <c r="V1463"/>
  <c r="W1463"/>
  <c r="X1463"/>
  <c r="Y1463"/>
  <c r="AA1463"/>
  <c r="AB1463"/>
  <c r="AC1463"/>
  <c r="AD1463"/>
  <c r="P1464"/>
  <c r="Q1464"/>
  <c r="R1464"/>
  <c r="S1464"/>
  <c r="T1464"/>
  <c r="U1464"/>
  <c r="V1464"/>
  <c r="W1464"/>
  <c r="X1464"/>
  <c r="Y1464"/>
  <c r="AA1464"/>
  <c r="AB1464"/>
  <c r="AC1464"/>
  <c r="AD1464"/>
  <c r="P1465"/>
  <c r="Q1465"/>
  <c r="R1465"/>
  <c r="S1465"/>
  <c r="T1465"/>
  <c r="U1465"/>
  <c r="V1465"/>
  <c r="W1465"/>
  <c r="X1465"/>
  <c r="Y1465"/>
  <c r="AA1465"/>
  <c r="AB1465"/>
  <c r="AC1465"/>
  <c r="AD1465"/>
  <c r="P1466"/>
  <c r="Q1466"/>
  <c r="R1466"/>
  <c r="S1466"/>
  <c r="T1466"/>
  <c r="U1466"/>
  <c r="V1466"/>
  <c r="W1466"/>
  <c r="X1466"/>
  <c r="Y1466"/>
  <c r="AA1466"/>
  <c r="AB1466"/>
  <c r="AC1466"/>
  <c r="AD1466"/>
  <c r="P1467"/>
  <c r="Q1467"/>
  <c r="R1467"/>
  <c r="S1467"/>
  <c r="T1467"/>
  <c r="U1467"/>
  <c r="V1467"/>
  <c r="W1467"/>
  <c r="X1467"/>
  <c r="Y1467"/>
  <c r="AA1467"/>
  <c r="AB1467"/>
  <c r="AC1467"/>
  <c r="AD1467"/>
  <c r="P1468"/>
  <c r="Q1468"/>
  <c r="R1468"/>
  <c r="S1468"/>
  <c r="T1468"/>
  <c r="U1468"/>
  <c r="V1468"/>
  <c r="W1468"/>
  <c r="X1468"/>
  <c r="Y1468"/>
  <c r="AA1468"/>
  <c r="AB1468"/>
  <c r="AC1468"/>
  <c r="AD1468"/>
  <c r="P1469"/>
  <c r="Q1469"/>
  <c r="R1469"/>
  <c r="S1469"/>
  <c r="T1469"/>
  <c r="U1469"/>
  <c r="V1469"/>
  <c r="W1469"/>
  <c r="X1469"/>
  <c r="Y1469"/>
  <c r="AA1469"/>
  <c r="AB1469"/>
  <c r="AC1469"/>
  <c r="AD1469"/>
  <c r="P1470"/>
  <c r="Q1470"/>
  <c r="R1470"/>
  <c r="S1470"/>
  <c r="T1470"/>
  <c r="U1470"/>
  <c r="V1470"/>
  <c r="W1470"/>
  <c r="X1470"/>
  <c r="Y1470"/>
  <c r="AA1470"/>
  <c r="AB1470"/>
  <c r="AC1470"/>
  <c r="AD1470"/>
  <c r="P1471"/>
  <c r="Q1471"/>
  <c r="R1471"/>
  <c r="S1471"/>
  <c r="T1471"/>
  <c r="U1471"/>
  <c r="V1471"/>
  <c r="W1471"/>
  <c r="X1471"/>
  <c r="Y1471"/>
  <c r="AA1471"/>
  <c r="AB1471"/>
  <c r="AC1471"/>
  <c r="AD1471"/>
  <c r="P1472"/>
  <c r="Q1472"/>
  <c r="R1472"/>
  <c r="S1472"/>
  <c r="T1472"/>
  <c r="U1472"/>
  <c r="V1472"/>
  <c r="W1472"/>
  <c r="X1472"/>
  <c r="Y1472"/>
  <c r="AA1472"/>
  <c r="AB1472"/>
  <c r="AC1472"/>
  <c r="AD1472"/>
  <c r="P1473"/>
  <c r="Q1473"/>
  <c r="R1473"/>
  <c r="S1473"/>
  <c r="T1473"/>
  <c r="U1473"/>
  <c r="V1473"/>
  <c r="W1473"/>
  <c r="X1473"/>
  <c r="Y1473"/>
  <c r="AA1473"/>
  <c r="AB1473"/>
  <c r="AC1473"/>
  <c r="AD1473"/>
  <c r="P1474"/>
  <c r="Q1474"/>
  <c r="R1474"/>
  <c r="S1474"/>
  <c r="T1474"/>
  <c r="U1474"/>
  <c r="V1474"/>
  <c r="W1474"/>
  <c r="X1474"/>
  <c r="Y1474"/>
  <c r="AA1474"/>
  <c r="AB1474"/>
  <c r="AC1474"/>
  <c r="AD1474"/>
  <c r="P1475"/>
  <c r="Q1475"/>
  <c r="R1475"/>
  <c r="S1475"/>
  <c r="T1475"/>
  <c r="U1475"/>
  <c r="V1475"/>
  <c r="W1475"/>
  <c r="X1475"/>
  <c r="Y1475"/>
  <c r="AA1475"/>
  <c r="AB1475"/>
  <c r="AC1475"/>
  <c r="AD1475"/>
  <c r="P1476"/>
  <c r="Q1476"/>
  <c r="R1476"/>
  <c r="S1476"/>
  <c r="T1476"/>
  <c r="U1476"/>
  <c r="V1476"/>
  <c r="W1476"/>
  <c r="X1476"/>
  <c r="Y1476"/>
  <c r="AA1476"/>
  <c r="AB1476"/>
  <c r="AC1476"/>
  <c r="AD1476"/>
  <c r="P1477"/>
  <c r="Q1477"/>
  <c r="R1477"/>
  <c r="S1477"/>
  <c r="T1477"/>
  <c r="U1477"/>
  <c r="V1477"/>
  <c r="W1477"/>
  <c r="X1477"/>
  <c r="Y1477"/>
  <c r="AA1477"/>
  <c r="AB1477"/>
  <c r="AC1477"/>
  <c r="AD1477"/>
  <c r="P1478"/>
  <c r="Q1478"/>
  <c r="R1478"/>
  <c r="S1478"/>
  <c r="T1478"/>
  <c r="U1478"/>
  <c r="V1478"/>
  <c r="W1478"/>
  <c r="X1478"/>
  <c r="Y1478"/>
  <c r="AA1478"/>
  <c r="AB1478"/>
  <c r="AC1478"/>
  <c r="AD1478"/>
  <c r="P1479"/>
  <c r="Q1479"/>
  <c r="R1479"/>
  <c r="S1479"/>
  <c r="T1479"/>
  <c r="U1479"/>
  <c r="V1479"/>
  <c r="W1479"/>
  <c r="X1479"/>
  <c r="Y1479"/>
  <c r="AA1479"/>
  <c r="AB1479"/>
  <c r="AC1479"/>
  <c r="AD1479"/>
  <c r="P1480"/>
  <c r="Q1480"/>
  <c r="R1480"/>
  <c r="S1480"/>
  <c r="T1480"/>
  <c r="U1480"/>
  <c r="V1480"/>
  <c r="W1480"/>
  <c r="X1480"/>
  <c r="Y1480"/>
  <c r="AA1480"/>
  <c r="AB1480"/>
  <c r="AC1480"/>
  <c r="AD1480"/>
  <c r="P1481"/>
  <c r="Q1481"/>
  <c r="R1481"/>
  <c r="S1481"/>
  <c r="T1481"/>
  <c r="U1481"/>
  <c r="V1481"/>
  <c r="W1481"/>
  <c r="X1481"/>
  <c r="Y1481"/>
  <c r="AA1481"/>
  <c r="AB1481"/>
  <c r="AC1481"/>
  <c r="AD1481"/>
  <c r="P1482"/>
  <c r="Q1482"/>
  <c r="R1482"/>
  <c r="S1482"/>
  <c r="T1482"/>
  <c r="U1482"/>
  <c r="V1482"/>
  <c r="W1482"/>
  <c r="X1482"/>
  <c r="Y1482"/>
  <c r="AA1482"/>
  <c r="AB1482"/>
  <c r="AC1482"/>
  <c r="AD1482"/>
  <c r="P1483"/>
  <c r="Q1483"/>
  <c r="R1483"/>
  <c r="S1483"/>
  <c r="T1483"/>
  <c r="U1483"/>
  <c r="V1483"/>
  <c r="W1483"/>
  <c r="X1483"/>
  <c r="Y1483"/>
  <c r="AA1483"/>
  <c r="AB1483"/>
  <c r="AC1483"/>
  <c r="AD1483"/>
  <c r="P1484"/>
  <c r="Q1484"/>
  <c r="R1484"/>
  <c r="S1484"/>
  <c r="T1484"/>
  <c r="U1484"/>
  <c r="V1484"/>
  <c r="W1484"/>
  <c r="X1484"/>
  <c r="Y1484"/>
  <c r="AA1484"/>
  <c r="AB1484"/>
  <c r="AC1484"/>
  <c r="AD1484"/>
  <c r="P1485"/>
  <c r="Q1485"/>
  <c r="R1485"/>
  <c r="S1485"/>
  <c r="T1485"/>
  <c r="U1485"/>
  <c r="V1485"/>
  <c r="W1485"/>
  <c r="X1485"/>
  <c r="Y1485"/>
  <c r="AA1485"/>
  <c r="AB1485"/>
  <c r="AC1485"/>
  <c r="AD1485"/>
  <c r="P1486"/>
  <c r="Q1486"/>
  <c r="R1486"/>
  <c r="S1486"/>
  <c r="T1486"/>
  <c r="U1486"/>
  <c r="V1486"/>
  <c r="W1486"/>
  <c r="X1486"/>
  <c r="Y1486"/>
  <c r="AA1486"/>
  <c r="AB1486"/>
  <c r="AC1486"/>
  <c r="AD1486"/>
  <c r="P1487"/>
  <c r="Q1487"/>
  <c r="R1487"/>
  <c r="S1487"/>
  <c r="T1487"/>
  <c r="U1487"/>
  <c r="V1487"/>
  <c r="W1487"/>
  <c r="X1487"/>
  <c r="Y1487"/>
  <c r="AA1487"/>
  <c r="AB1487"/>
  <c r="AC1487"/>
  <c r="AD1487"/>
  <c r="P1488"/>
  <c r="Q1488"/>
  <c r="R1488"/>
  <c r="S1488"/>
  <c r="T1488"/>
  <c r="U1488"/>
  <c r="V1488"/>
  <c r="W1488"/>
  <c r="X1488"/>
  <c r="Y1488"/>
  <c r="AA1488"/>
  <c r="AB1488"/>
  <c r="AC1488"/>
  <c r="AD1488"/>
  <c r="P1489"/>
  <c r="Q1489"/>
  <c r="R1489"/>
  <c r="S1489"/>
  <c r="T1489"/>
  <c r="U1489"/>
  <c r="V1489"/>
  <c r="W1489"/>
  <c r="X1489"/>
  <c r="Y1489"/>
  <c r="AA1489"/>
  <c r="AB1489"/>
  <c r="AC1489"/>
  <c r="AD1489"/>
  <c r="P1490"/>
  <c r="Q1490"/>
  <c r="R1490"/>
  <c r="S1490"/>
  <c r="T1490"/>
  <c r="U1490"/>
  <c r="V1490"/>
  <c r="W1490"/>
  <c r="X1490"/>
  <c r="Y1490"/>
  <c r="AA1490"/>
  <c r="AB1490"/>
  <c r="AC1490"/>
  <c r="AD1490"/>
  <c r="P1491"/>
  <c r="Q1491"/>
  <c r="R1491"/>
  <c r="S1491"/>
  <c r="T1491"/>
  <c r="U1491"/>
  <c r="V1491"/>
  <c r="W1491"/>
  <c r="X1491"/>
  <c r="Y1491"/>
  <c r="AA1491"/>
  <c r="AB1491"/>
  <c r="AC1491"/>
  <c r="AD1491"/>
  <c r="P1492"/>
  <c r="Q1492"/>
  <c r="R1492"/>
  <c r="S1492"/>
  <c r="T1492"/>
  <c r="U1492"/>
  <c r="V1492"/>
  <c r="W1492"/>
  <c r="X1492"/>
  <c r="Y1492"/>
  <c r="AA1492"/>
  <c r="AB1492"/>
  <c r="AC1492"/>
  <c r="AD1492"/>
  <c r="P1493"/>
  <c r="Q1493"/>
  <c r="R1493"/>
  <c r="S1493"/>
  <c r="T1493"/>
  <c r="U1493"/>
  <c r="V1493"/>
  <c r="W1493"/>
  <c r="X1493"/>
  <c r="Y1493"/>
  <c r="AA1493"/>
  <c r="AB1493"/>
  <c r="AC1493"/>
  <c r="AD1493"/>
  <c r="P1494"/>
  <c r="Q1494"/>
  <c r="R1494"/>
  <c r="S1494"/>
  <c r="T1494"/>
  <c r="U1494"/>
  <c r="V1494"/>
  <c r="W1494"/>
  <c r="X1494"/>
  <c r="Y1494"/>
  <c r="AA1494"/>
  <c r="AB1494"/>
  <c r="AC1494"/>
  <c r="AD1494"/>
  <c r="P1495"/>
  <c r="Q1495"/>
  <c r="R1495"/>
  <c r="S1495"/>
  <c r="T1495"/>
  <c r="U1495"/>
  <c r="V1495"/>
  <c r="W1495"/>
  <c r="X1495"/>
  <c r="Y1495"/>
  <c r="AA1495"/>
  <c r="AB1495"/>
  <c r="AC1495"/>
  <c r="AD1495"/>
  <c r="P1496"/>
  <c r="Q1496"/>
  <c r="R1496"/>
  <c r="S1496"/>
  <c r="T1496"/>
  <c r="U1496"/>
  <c r="V1496"/>
  <c r="W1496"/>
  <c r="X1496"/>
  <c r="Y1496"/>
  <c r="AA1496"/>
  <c r="AB1496"/>
  <c r="AC1496"/>
  <c r="AD1496"/>
  <c r="P1497"/>
  <c r="Q1497"/>
  <c r="R1497"/>
  <c r="S1497"/>
  <c r="T1497"/>
  <c r="U1497"/>
  <c r="V1497"/>
  <c r="W1497"/>
  <c r="X1497"/>
  <c r="Y1497"/>
  <c r="AA1497"/>
  <c r="AB1497"/>
  <c r="AC1497"/>
  <c r="AD1497"/>
  <c r="P1498"/>
  <c r="Q1498"/>
  <c r="R1498"/>
  <c r="S1498"/>
  <c r="T1498"/>
  <c r="U1498"/>
  <c r="V1498"/>
  <c r="W1498"/>
  <c r="X1498"/>
  <c r="Y1498"/>
  <c r="AA1498"/>
  <c r="AB1498"/>
  <c r="AC1498"/>
  <c r="AD1498"/>
  <c r="P1499"/>
  <c r="Q1499"/>
  <c r="R1499"/>
  <c r="S1499"/>
  <c r="T1499"/>
  <c r="U1499"/>
  <c r="V1499"/>
  <c r="W1499"/>
  <c r="X1499"/>
  <c r="Y1499"/>
  <c r="AA1499"/>
  <c r="AB1499"/>
  <c r="AC1499"/>
  <c r="AD1499"/>
  <c r="P1500"/>
  <c r="Q1500"/>
  <c r="R1500"/>
  <c r="S1500"/>
  <c r="T1500"/>
  <c r="U1500"/>
  <c r="V1500"/>
  <c r="W1500"/>
  <c r="X1500"/>
  <c r="Y1500"/>
  <c r="AA1500"/>
  <c r="AB1500"/>
  <c r="AC1500"/>
  <c r="AD1500"/>
  <c r="P1501"/>
  <c r="Q1501"/>
  <c r="R1501"/>
  <c r="S1501"/>
  <c r="T1501"/>
  <c r="U1501"/>
  <c r="V1501"/>
  <c r="W1501"/>
  <c r="X1501"/>
  <c r="Y1501"/>
  <c r="AA1501"/>
  <c r="AB1501"/>
  <c r="AC1501"/>
  <c r="AD1501"/>
  <c r="P1502"/>
  <c r="Q1502"/>
  <c r="R1502"/>
  <c r="S1502"/>
  <c r="T1502"/>
  <c r="U1502"/>
  <c r="V1502"/>
  <c r="W1502"/>
  <c r="X1502"/>
  <c r="Y1502"/>
  <c r="AA1502"/>
  <c r="AB1502"/>
  <c r="AC1502"/>
  <c r="AD1502"/>
  <c r="P1503"/>
  <c r="Q1503"/>
  <c r="R1503"/>
  <c r="S1503"/>
  <c r="T1503"/>
  <c r="U1503"/>
  <c r="V1503"/>
  <c r="W1503"/>
  <c r="X1503"/>
  <c r="Y1503"/>
  <c r="AA1503"/>
  <c r="AB1503"/>
  <c r="AC1503"/>
  <c r="AD1503"/>
  <c r="P1504"/>
  <c r="Q1504"/>
  <c r="R1504"/>
  <c r="S1504"/>
  <c r="T1504"/>
  <c r="U1504"/>
  <c r="V1504"/>
  <c r="W1504"/>
  <c r="X1504"/>
  <c r="Y1504"/>
  <c r="AA1504"/>
  <c r="AB1504"/>
  <c r="AC1504"/>
  <c r="AD1504"/>
  <c r="P1505"/>
  <c r="Q1505"/>
  <c r="R1505"/>
  <c r="S1505"/>
  <c r="T1505"/>
  <c r="U1505"/>
  <c r="V1505"/>
  <c r="W1505"/>
  <c r="X1505"/>
  <c r="Y1505"/>
  <c r="AA1505"/>
  <c r="AB1505"/>
  <c r="AC1505"/>
  <c r="AD1505"/>
  <c r="P1506"/>
  <c r="Q1506"/>
  <c r="R1506"/>
  <c r="S1506"/>
  <c r="T1506"/>
  <c r="U1506"/>
  <c r="V1506"/>
  <c r="W1506"/>
  <c r="X1506"/>
  <c r="Y1506"/>
  <c r="AA1506"/>
  <c r="AB1506"/>
  <c r="AC1506"/>
  <c r="AD1506"/>
  <c r="P1507"/>
  <c r="Q1507"/>
  <c r="R1507"/>
  <c r="S1507"/>
  <c r="T1507"/>
  <c r="U1507"/>
  <c r="V1507"/>
  <c r="W1507"/>
  <c r="X1507"/>
  <c r="Y1507"/>
  <c r="AA1507"/>
  <c r="AB1507"/>
  <c r="AC1507"/>
  <c r="AD1507"/>
  <c r="P1508"/>
  <c r="Q1508"/>
  <c r="R1508"/>
  <c r="S1508"/>
  <c r="T1508"/>
  <c r="U1508"/>
  <c r="V1508"/>
  <c r="W1508"/>
  <c r="X1508"/>
  <c r="Y1508"/>
  <c r="AA1508"/>
  <c r="AB1508"/>
  <c r="AC1508"/>
  <c r="AD1508"/>
  <c r="P1509"/>
  <c r="Q1509"/>
  <c r="R1509"/>
  <c r="S1509"/>
  <c r="T1509"/>
  <c r="U1509"/>
  <c r="V1509"/>
  <c r="W1509"/>
  <c r="X1509"/>
  <c r="Y1509"/>
  <c r="AA1509"/>
  <c r="AB1509"/>
  <c r="AC1509"/>
  <c r="AD1509"/>
  <c r="P1510"/>
  <c r="Q1510"/>
  <c r="R1510"/>
  <c r="S1510"/>
  <c r="T1510"/>
  <c r="U1510"/>
  <c r="V1510"/>
  <c r="W1510"/>
  <c r="X1510"/>
  <c r="Y1510"/>
  <c r="AA1510"/>
  <c r="AB1510"/>
  <c r="AC1510"/>
  <c r="AD1510"/>
  <c r="P1511"/>
  <c r="Q1511"/>
  <c r="R1511"/>
  <c r="S1511"/>
  <c r="T1511"/>
  <c r="U1511"/>
  <c r="V1511"/>
  <c r="W1511"/>
  <c r="X1511"/>
  <c r="Y1511"/>
  <c r="AA1511"/>
  <c r="AB1511"/>
  <c r="AC1511"/>
  <c r="AD1511"/>
  <c r="P1512"/>
  <c r="Q1512"/>
  <c r="R1512"/>
  <c r="S1512"/>
  <c r="T1512"/>
  <c r="U1512"/>
  <c r="V1512"/>
  <c r="W1512"/>
  <c r="X1512"/>
  <c r="Y1512"/>
  <c r="AA1512"/>
  <c r="AB1512"/>
  <c r="AC1512"/>
  <c r="AD1512"/>
  <c r="P1513"/>
  <c r="Q1513"/>
  <c r="R1513"/>
  <c r="S1513"/>
  <c r="T1513"/>
  <c r="U1513"/>
  <c r="V1513"/>
  <c r="W1513"/>
  <c r="X1513"/>
  <c r="Y1513"/>
  <c r="AA1513"/>
  <c r="AB1513"/>
  <c r="AC1513"/>
  <c r="AD1513"/>
  <c r="P1514"/>
  <c r="Q1514"/>
  <c r="R1514"/>
  <c r="S1514"/>
  <c r="T1514"/>
  <c r="U1514"/>
  <c r="V1514"/>
  <c r="W1514"/>
  <c r="X1514"/>
  <c r="Y1514"/>
  <c r="AA1514"/>
  <c r="AB1514"/>
  <c r="AC1514"/>
  <c r="AD1514"/>
  <c r="P1515"/>
  <c r="Q1515"/>
  <c r="R1515"/>
  <c r="S1515"/>
  <c r="T1515"/>
  <c r="U1515"/>
  <c r="V1515"/>
  <c r="W1515"/>
  <c r="X1515"/>
  <c r="Y1515"/>
  <c r="AA1515"/>
  <c r="AB1515"/>
  <c r="AC1515"/>
  <c r="AD1515"/>
  <c r="P1516"/>
  <c r="Q1516"/>
  <c r="R1516"/>
  <c r="S1516"/>
  <c r="T1516"/>
  <c r="U1516"/>
  <c r="V1516"/>
  <c r="W1516"/>
  <c r="X1516"/>
  <c r="Y1516"/>
  <c r="AA1516"/>
  <c r="AB1516"/>
  <c r="AC1516"/>
  <c r="AD1516"/>
  <c r="P1517"/>
  <c r="Q1517"/>
  <c r="R1517"/>
  <c r="S1517"/>
  <c r="T1517"/>
  <c r="U1517"/>
  <c r="V1517"/>
  <c r="W1517"/>
  <c r="X1517"/>
  <c r="Y1517"/>
  <c r="AA1517"/>
  <c r="AB1517"/>
  <c r="AC1517"/>
  <c r="AD1517"/>
  <c r="P1518"/>
  <c r="Q1518"/>
  <c r="R1518"/>
  <c r="S1518"/>
  <c r="T1518"/>
  <c r="U1518"/>
  <c r="V1518"/>
  <c r="W1518"/>
  <c r="X1518"/>
  <c r="Y1518"/>
  <c r="AA1518"/>
  <c r="AB1518"/>
  <c r="AC1518"/>
  <c r="AD1518"/>
  <c r="P1519"/>
  <c r="Q1519"/>
  <c r="R1519"/>
  <c r="S1519"/>
  <c r="T1519"/>
  <c r="U1519"/>
  <c r="V1519"/>
  <c r="W1519"/>
  <c r="X1519"/>
  <c r="Y1519"/>
  <c r="AA1519"/>
  <c r="AB1519"/>
  <c r="AC1519"/>
  <c r="AD1519"/>
  <c r="P1520"/>
  <c r="Q1520"/>
  <c r="R1520"/>
  <c r="S1520"/>
  <c r="T1520"/>
  <c r="U1520"/>
  <c r="V1520"/>
  <c r="W1520"/>
  <c r="X1520"/>
  <c r="Y1520"/>
  <c r="AA1520"/>
  <c r="AB1520"/>
  <c r="AC1520"/>
  <c r="AD1520"/>
  <c r="P1521"/>
  <c r="Q1521"/>
  <c r="R1521"/>
  <c r="S1521"/>
  <c r="T1521"/>
  <c r="U1521"/>
  <c r="V1521"/>
  <c r="W1521"/>
  <c r="X1521"/>
  <c r="Y1521"/>
  <c r="AA1521"/>
  <c r="AB1521"/>
  <c r="AC1521"/>
  <c r="AD1521"/>
  <c r="P1522"/>
  <c r="Q1522"/>
  <c r="R1522"/>
  <c r="S1522"/>
  <c r="T1522"/>
  <c r="U1522"/>
  <c r="V1522"/>
  <c r="W1522"/>
  <c r="X1522"/>
  <c r="Y1522"/>
  <c r="AA1522"/>
  <c r="AB1522"/>
  <c r="AC1522"/>
  <c r="AD1522"/>
  <c r="P1523"/>
  <c r="Q1523"/>
  <c r="R1523"/>
  <c r="S1523"/>
  <c r="T1523"/>
  <c r="U1523"/>
  <c r="V1523"/>
  <c r="W1523"/>
  <c r="X1523"/>
  <c r="Y1523"/>
  <c r="AA1523"/>
  <c r="AB1523"/>
  <c r="AC1523"/>
  <c r="AD1523"/>
  <c r="P1524"/>
  <c r="Q1524"/>
  <c r="R1524"/>
  <c r="S1524"/>
  <c r="T1524"/>
  <c r="U1524"/>
  <c r="V1524"/>
  <c r="W1524"/>
  <c r="X1524"/>
  <c r="Y1524"/>
  <c r="AA1524"/>
  <c r="AB1524"/>
  <c r="AC1524"/>
  <c r="AD1524"/>
  <c r="P1525"/>
  <c r="Q1525"/>
  <c r="R1525"/>
  <c r="S1525"/>
  <c r="T1525"/>
  <c r="U1525"/>
  <c r="V1525"/>
  <c r="W1525"/>
  <c r="X1525"/>
  <c r="Y1525"/>
  <c r="AA1525"/>
  <c r="AB1525"/>
  <c r="AC1525"/>
  <c r="AD1525"/>
  <c r="P1526"/>
  <c r="Q1526"/>
  <c r="R1526"/>
  <c r="S1526"/>
  <c r="T1526"/>
  <c r="U1526"/>
  <c r="V1526"/>
  <c r="W1526"/>
  <c r="X1526"/>
  <c r="Y1526"/>
  <c r="AA1526"/>
  <c r="AB1526"/>
  <c r="AC1526"/>
  <c r="AD1526"/>
  <c r="P1527"/>
  <c r="Q1527"/>
  <c r="R1527"/>
  <c r="S1527"/>
  <c r="T1527"/>
  <c r="U1527"/>
  <c r="V1527"/>
  <c r="W1527"/>
  <c r="X1527"/>
  <c r="Y1527"/>
  <c r="AA1527"/>
  <c r="AB1527"/>
  <c r="AC1527"/>
  <c r="AD1527"/>
  <c r="P1528"/>
  <c r="Q1528"/>
  <c r="R1528"/>
  <c r="S1528"/>
  <c r="T1528"/>
  <c r="U1528"/>
  <c r="V1528"/>
  <c r="W1528"/>
  <c r="X1528"/>
  <c r="Y1528"/>
  <c r="AA1528"/>
  <c r="AB1528"/>
  <c r="AC1528"/>
  <c r="AD1528"/>
  <c r="P1529"/>
  <c r="Q1529"/>
  <c r="R1529"/>
  <c r="S1529"/>
  <c r="T1529"/>
  <c r="U1529"/>
  <c r="V1529"/>
  <c r="W1529"/>
  <c r="X1529"/>
  <c r="Y1529"/>
  <c r="AA1529"/>
  <c r="AB1529"/>
  <c r="AC1529"/>
  <c r="AD1529"/>
  <c r="P1530"/>
  <c r="Q1530"/>
  <c r="R1530"/>
  <c r="S1530"/>
  <c r="T1530"/>
  <c r="U1530"/>
  <c r="V1530"/>
  <c r="W1530"/>
  <c r="X1530"/>
  <c r="Y1530"/>
  <c r="AA1530"/>
  <c r="AB1530"/>
  <c r="AC1530"/>
  <c r="AD1530"/>
  <c r="P1531"/>
  <c r="Q1531"/>
  <c r="R1531"/>
  <c r="S1531"/>
  <c r="T1531"/>
  <c r="U1531"/>
  <c r="V1531"/>
  <c r="W1531"/>
  <c r="X1531"/>
  <c r="Y1531"/>
  <c r="AA1531"/>
  <c r="AB1531"/>
  <c r="AC1531"/>
  <c r="AD1531"/>
  <c r="P1532"/>
  <c r="Q1532"/>
  <c r="R1532"/>
  <c r="S1532"/>
  <c r="T1532"/>
  <c r="U1532"/>
  <c r="V1532"/>
  <c r="W1532"/>
  <c r="X1532"/>
  <c r="Y1532"/>
  <c r="AA1532"/>
  <c r="AB1532"/>
  <c r="AC1532"/>
  <c r="AD1532"/>
  <c r="P1533"/>
  <c r="Q1533"/>
  <c r="R1533"/>
  <c r="S1533"/>
  <c r="T1533"/>
  <c r="U1533"/>
  <c r="V1533"/>
  <c r="W1533"/>
  <c r="X1533"/>
  <c r="Y1533"/>
  <c r="AA1533"/>
  <c r="AB1533"/>
  <c r="AC1533"/>
  <c r="AD1533"/>
  <c r="P1534"/>
  <c r="Q1534"/>
  <c r="R1534"/>
  <c r="S1534"/>
  <c r="T1534"/>
  <c r="U1534"/>
  <c r="V1534"/>
  <c r="W1534"/>
  <c r="X1534"/>
  <c r="Y1534"/>
  <c r="AA1534"/>
  <c r="AB1534"/>
  <c r="AC1534"/>
  <c r="AD1534"/>
  <c r="P1535"/>
  <c r="Q1535"/>
  <c r="R1535"/>
  <c r="S1535"/>
  <c r="T1535"/>
  <c r="U1535"/>
  <c r="V1535"/>
  <c r="W1535"/>
  <c r="X1535"/>
  <c r="Y1535"/>
  <c r="AA1535"/>
  <c r="AB1535"/>
  <c r="AC1535"/>
  <c r="AD1535"/>
  <c r="P1536"/>
  <c r="Q1536"/>
  <c r="R1536"/>
  <c r="S1536"/>
  <c r="T1536"/>
  <c r="U1536"/>
  <c r="V1536"/>
  <c r="W1536"/>
  <c r="X1536"/>
  <c r="Y1536"/>
  <c r="AA1536"/>
  <c r="AB1536"/>
  <c r="AC1536"/>
  <c r="AD1536"/>
  <c r="P1537"/>
  <c r="Q1537"/>
  <c r="R1537"/>
  <c r="S1537"/>
  <c r="T1537"/>
  <c r="U1537"/>
  <c r="V1537"/>
  <c r="W1537"/>
  <c r="X1537"/>
  <c r="Y1537"/>
  <c r="AA1537"/>
  <c r="AB1537"/>
  <c r="AC1537"/>
  <c r="AD1537"/>
  <c r="P1538"/>
  <c r="Q1538"/>
  <c r="R1538"/>
  <c r="S1538"/>
  <c r="T1538"/>
  <c r="U1538"/>
  <c r="V1538"/>
  <c r="W1538"/>
  <c r="X1538"/>
  <c r="Y1538"/>
  <c r="AA1538"/>
  <c r="AB1538"/>
  <c r="AC1538"/>
  <c r="AD1538"/>
  <c r="P1539"/>
  <c r="Q1539"/>
  <c r="R1539"/>
  <c r="S1539"/>
  <c r="T1539"/>
  <c r="U1539"/>
  <c r="V1539"/>
  <c r="W1539"/>
  <c r="X1539"/>
  <c r="Y1539"/>
  <c r="AA1539"/>
  <c r="AB1539"/>
  <c r="AC1539"/>
  <c r="AD1539"/>
  <c r="P1540"/>
  <c r="Q1540"/>
  <c r="R1540"/>
  <c r="S1540"/>
  <c r="T1540"/>
  <c r="U1540"/>
  <c r="V1540"/>
  <c r="W1540"/>
  <c r="X1540"/>
  <c r="Y1540"/>
  <c r="AA1540"/>
  <c r="AB1540"/>
  <c r="AC1540"/>
  <c r="AD1540"/>
  <c r="P1541"/>
  <c r="Q1541"/>
  <c r="R1541"/>
  <c r="S1541"/>
  <c r="T1541"/>
  <c r="U1541"/>
  <c r="V1541"/>
  <c r="W1541"/>
  <c r="X1541"/>
  <c r="Y1541"/>
  <c r="AA1541"/>
  <c r="AB1541"/>
  <c r="AC1541"/>
  <c r="AD1541"/>
  <c r="P1542"/>
  <c r="Q1542"/>
  <c r="R1542"/>
  <c r="S1542"/>
  <c r="T1542"/>
  <c r="U1542"/>
  <c r="V1542"/>
  <c r="W1542"/>
  <c r="X1542"/>
  <c r="Y1542"/>
  <c r="AA1542"/>
  <c r="AB1542"/>
  <c r="AC1542"/>
  <c r="AD1542"/>
  <c r="P1543"/>
  <c r="Q1543"/>
  <c r="R1543"/>
  <c r="S1543"/>
  <c r="T1543"/>
  <c r="U1543"/>
  <c r="V1543"/>
  <c r="W1543"/>
  <c r="X1543"/>
  <c r="Y1543"/>
  <c r="AA1543"/>
  <c r="AB1543"/>
  <c r="AC1543"/>
  <c r="AD1543"/>
  <c r="P1544"/>
  <c r="Q1544"/>
  <c r="R1544"/>
  <c r="S1544"/>
  <c r="T1544"/>
  <c r="U1544"/>
  <c r="V1544"/>
  <c r="W1544"/>
  <c r="X1544"/>
  <c r="Y1544"/>
  <c r="AA1544"/>
  <c r="AB1544"/>
  <c r="AC1544"/>
  <c r="AD1544"/>
  <c r="P1545"/>
  <c r="Q1545"/>
  <c r="R1545"/>
  <c r="S1545"/>
  <c r="T1545"/>
  <c r="U1545"/>
  <c r="V1545"/>
  <c r="W1545"/>
  <c r="X1545"/>
  <c r="Y1545"/>
  <c r="AA1545"/>
  <c r="AB1545"/>
  <c r="AC1545"/>
  <c r="AD1545"/>
  <c r="P1546"/>
  <c r="Q1546"/>
  <c r="R1546"/>
  <c r="S1546"/>
  <c r="T1546"/>
  <c r="U1546"/>
  <c r="V1546"/>
  <c r="W1546"/>
  <c r="X1546"/>
  <c r="Y1546"/>
  <c r="AA1546"/>
  <c r="AB1546"/>
  <c r="AC1546"/>
  <c r="AD1546"/>
  <c r="P1547"/>
  <c r="Q1547"/>
  <c r="R1547"/>
  <c r="S1547"/>
  <c r="T1547"/>
  <c r="U1547"/>
  <c r="V1547"/>
  <c r="W1547"/>
  <c r="X1547"/>
  <c r="Y1547"/>
  <c r="AA1547"/>
  <c r="AB1547"/>
  <c r="AC1547"/>
  <c r="AD1547"/>
  <c r="P1548"/>
  <c r="Q1548"/>
  <c r="R1548"/>
  <c r="S1548"/>
  <c r="T1548"/>
  <c r="U1548"/>
  <c r="V1548"/>
  <c r="W1548"/>
  <c r="X1548"/>
  <c r="Y1548"/>
  <c r="AA1548"/>
  <c r="AB1548"/>
  <c r="AC1548"/>
  <c r="AD1548"/>
  <c r="P1549"/>
  <c r="Q1549"/>
  <c r="R1549"/>
  <c r="S1549"/>
  <c r="T1549"/>
  <c r="U1549"/>
  <c r="V1549"/>
  <c r="W1549"/>
  <c r="X1549"/>
  <c r="Y1549"/>
  <c r="AA1549"/>
  <c r="AB1549"/>
  <c r="AC1549"/>
  <c r="AD1549"/>
  <c r="P1550"/>
  <c r="Q1550"/>
  <c r="R1550"/>
  <c r="S1550"/>
  <c r="T1550"/>
  <c r="U1550"/>
  <c r="V1550"/>
  <c r="W1550"/>
  <c r="X1550"/>
  <c r="Y1550"/>
  <c r="AA1550"/>
  <c r="AB1550"/>
  <c r="AC1550"/>
  <c r="AD1550"/>
  <c r="P1551"/>
  <c r="Q1551"/>
  <c r="R1551"/>
  <c r="S1551"/>
  <c r="T1551"/>
  <c r="U1551"/>
  <c r="V1551"/>
  <c r="W1551"/>
  <c r="X1551"/>
  <c r="Y1551"/>
  <c r="AA1551"/>
  <c r="AB1551"/>
  <c r="AC1551"/>
  <c r="AD1551"/>
  <c r="P1552"/>
  <c r="Q1552"/>
  <c r="R1552"/>
  <c r="S1552"/>
  <c r="T1552"/>
  <c r="U1552"/>
  <c r="V1552"/>
  <c r="W1552"/>
  <c r="X1552"/>
  <c r="Y1552"/>
  <c r="AA1552"/>
  <c r="AB1552"/>
  <c r="AC1552"/>
  <c r="AD1552"/>
  <c r="P1553"/>
  <c r="Q1553"/>
  <c r="R1553"/>
  <c r="S1553"/>
  <c r="T1553"/>
  <c r="U1553"/>
  <c r="V1553"/>
  <c r="W1553"/>
  <c r="X1553"/>
  <c r="Y1553"/>
  <c r="AA1553"/>
  <c r="AB1553"/>
  <c r="AC1553"/>
  <c r="AD1553"/>
  <c r="P1554"/>
  <c r="Q1554"/>
  <c r="R1554"/>
  <c r="S1554"/>
  <c r="T1554"/>
  <c r="U1554"/>
  <c r="V1554"/>
  <c r="W1554"/>
  <c r="X1554"/>
  <c r="Y1554"/>
  <c r="AA1554"/>
  <c r="AB1554"/>
  <c r="AC1554"/>
  <c r="AD1554"/>
  <c r="P1555"/>
  <c r="Q1555"/>
  <c r="R1555"/>
  <c r="S1555"/>
  <c r="T1555"/>
  <c r="U1555"/>
  <c r="V1555"/>
  <c r="W1555"/>
  <c r="X1555"/>
  <c r="Y1555"/>
  <c r="AA1555"/>
  <c r="AB1555"/>
  <c r="AC1555"/>
  <c r="AD1555"/>
  <c r="P1556"/>
  <c r="Q1556"/>
  <c r="R1556"/>
  <c r="S1556"/>
  <c r="T1556"/>
  <c r="U1556"/>
  <c r="V1556"/>
  <c r="W1556"/>
  <c r="X1556"/>
  <c r="Y1556"/>
  <c r="AA1556"/>
  <c r="AB1556"/>
  <c r="AC1556"/>
  <c r="AD1556"/>
  <c r="P1557"/>
  <c r="Q1557"/>
  <c r="R1557"/>
  <c r="S1557"/>
  <c r="T1557"/>
  <c r="U1557"/>
  <c r="V1557"/>
  <c r="W1557"/>
  <c r="X1557"/>
  <c r="Y1557"/>
  <c r="AA1557"/>
  <c r="AB1557"/>
  <c r="AC1557"/>
  <c r="AD1557"/>
  <c r="P1558"/>
  <c r="Q1558"/>
  <c r="R1558"/>
  <c r="S1558"/>
  <c r="T1558"/>
  <c r="U1558"/>
  <c r="V1558"/>
  <c r="W1558"/>
  <c r="X1558"/>
  <c r="Y1558"/>
  <c r="AA1558"/>
  <c r="AB1558"/>
  <c r="AC1558"/>
  <c r="AD1558"/>
  <c r="P1559"/>
  <c r="Q1559"/>
  <c r="R1559"/>
  <c r="S1559"/>
  <c r="T1559"/>
  <c r="U1559"/>
  <c r="V1559"/>
  <c r="W1559"/>
  <c r="X1559"/>
  <c r="Y1559"/>
  <c r="AA1559"/>
  <c r="AB1559"/>
  <c r="AC1559"/>
  <c r="AD1559"/>
  <c r="P1560"/>
  <c r="Q1560"/>
  <c r="R1560"/>
  <c r="S1560"/>
  <c r="T1560"/>
  <c r="U1560"/>
  <c r="V1560"/>
  <c r="W1560"/>
  <c r="X1560"/>
  <c r="Y1560"/>
  <c r="AA1560"/>
  <c r="AB1560"/>
  <c r="AC1560"/>
  <c r="AD1560"/>
  <c r="P1561"/>
  <c r="Q1561"/>
  <c r="R1561"/>
  <c r="S1561"/>
  <c r="T1561"/>
  <c r="U1561"/>
  <c r="V1561"/>
  <c r="W1561"/>
  <c r="X1561"/>
  <c r="Y1561"/>
  <c r="AA1561"/>
  <c r="AB1561"/>
  <c r="AC1561"/>
  <c r="AD1561"/>
  <c r="P1562"/>
  <c r="Q1562"/>
  <c r="R1562"/>
  <c r="S1562"/>
  <c r="T1562"/>
  <c r="U1562"/>
  <c r="V1562"/>
  <c r="W1562"/>
  <c r="X1562"/>
  <c r="Y1562"/>
  <c r="AA1562"/>
  <c r="AB1562"/>
  <c r="AC1562"/>
  <c r="AD1562"/>
  <c r="P1563"/>
  <c r="Q1563"/>
  <c r="R1563"/>
  <c r="S1563"/>
  <c r="T1563"/>
  <c r="U1563"/>
  <c r="V1563"/>
  <c r="W1563"/>
  <c r="X1563"/>
  <c r="Y1563"/>
  <c r="AA1563"/>
  <c r="AB1563"/>
  <c r="AC1563"/>
  <c r="AD1563"/>
  <c r="P1564"/>
  <c r="Q1564"/>
  <c r="R1564"/>
  <c r="S1564"/>
  <c r="T1564"/>
  <c r="U1564"/>
  <c r="V1564"/>
  <c r="W1564"/>
  <c r="X1564"/>
  <c r="Y1564"/>
  <c r="AA1564"/>
  <c r="AB1564"/>
  <c r="AC1564"/>
  <c r="AD1564"/>
  <c r="P1565"/>
  <c r="Q1565"/>
  <c r="R1565"/>
  <c r="S1565"/>
  <c r="T1565"/>
  <c r="U1565"/>
  <c r="V1565"/>
  <c r="W1565"/>
  <c r="X1565"/>
  <c r="Y1565"/>
  <c r="AA1565"/>
  <c r="AB1565"/>
  <c r="AC1565"/>
  <c r="AD1565"/>
  <c r="P1566"/>
  <c r="Q1566"/>
  <c r="R1566"/>
  <c r="S1566"/>
  <c r="T1566"/>
  <c r="U1566"/>
  <c r="V1566"/>
  <c r="W1566"/>
  <c r="X1566"/>
  <c r="Y1566"/>
  <c r="AA1566"/>
  <c r="AB1566"/>
  <c r="AC1566"/>
  <c r="AD1566"/>
  <c r="P1567"/>
  <c r="Q1567"/>
  <c r="R1567"/>
  <c r="S1567"/>
  <c r="T1567"/>
  <c r="U1567"/>
  <c r="V1567"/>
  <c r="W1567"/>
  <c r="X1567"/>
  <c r="Y1567"/>
  <c r="AA1567"/>
  <c r="AB1567"/>
  <c r="AC1567"/>
  <c r="AD1567"/>
  <c r="P1568"/>
  <c r="Q1568"/>
  <c r="R1568"/>
  <c r="S1568"/>
  <c r="T1568"/>
  <c r="U1568"/>
  <c r="V1568"/>
  <c r="W1568"/>
  <c r="X1568"/>
  <c r="Y1568"/>
  <c r="AA1568"/>
  <c r="AB1568"/>
  <c r="AC1568"/>
  <c r="AD1568"/>
  <c r="P1569"/>
  <c r="Q1569"/>
  <c r="R1569"/>
  <c r="S1569"/>
  <c r="T1569"/>
  <c r="U1569"/>
  <c r="V1569"/>
  <c r="W1569"/>
  <c r="X1569"/>
  <c r="Y1569"/>
  <c r="AA1569"/>
  <c r="AB1569"/>
  <c r="AC1569"/>
  <c r="AD1569"/>
  <c r="P1570"/>
  <c r="Q1570"/>
  <c r="R1570"/>
  <c r="S1570"/>
  <c r="T1570"/>
  <c r="U1570"/>
  <c r="V1570"/>
  <c r="W1570"/>
  <c r="X1570"/>
  <c r="Y1570"/>
  <c r="AA1570"/>
  <c r="AB1570"/>
  <c r="AC1570"/>
  <c r="AD1570"/>
  <c r="P1571"/>
  <c r="Q1571"/>
  <c r="R1571"/>
  <c r="S1571"/>
  <c r="T1571"/>
  <c r="U1571"/>
  <c r="V1571"/>
  <c r="W1571"/>
  <c r="X1571"/>
  <c r="Y1571"/>
  <c r="AA1571"/>
  <c r="AB1571"/>
  <c r="AC1571"/>
  <c r="AD1571"/>
  <c r="P1572"/>
  <c r="Q1572"/>
  <c r="R1572"/>
  <c r="S1572"/>
  <c r="T1572"/>
  <c r="U1572"/>
  <c r="V1572"/>
  <c r="W1572"/>
  <c r="X1572"/>
  <c r="Y1572"/>
  <c r="AA1572"/>
  <c r="AB1572"/>
  <c r="AC1572"/>
  <c r="AD1572"/>
  <c r="P1573"/>
  <c r="Q1573"/>
  <c r="R1573"/>
  <c r="S1573"/>
  <c r="T1573"/>
  <c r="U1573"/>
  <c r="V1573"/>
  <c r="W1573"/>
  <c r="X1573"/>
  <c r="Y1573"/>
  <c r="AA1573"/>
  <c r="AB1573"/>
  <c r="AC1573"/>
  <c r="AD1573"/>
  <c r="P1574"/>
  <c r="Q1574"/>
  <c r="R1574"/>
  <c r="S1574"/>
  <c r="T1574"/>
  <c r="U1574"/>
  <c r="V1574"/>
  <c r="W1574"/>
  <c r="X1574"/>
  <c r="Y1574"/>
  <c r="AA1574"/>
  <c r="AB1574"/>
  <c r="AC1574"/>
  <c r="AD1574"/>
  <c r="P1575"/>
  <c r="Q1575"/>
  <c r="R1575"/>
  <c r="S1575"/>
  <c r="T1575"/>
  <c r="U1575"/>
  <c r="V1575"/>
  <c r="W1575"/>
  <c r="X1575"/>
  <c r="Y1575"/>
  <c r="AA1575"/>
  <c r="AB1575"/>
  <c r="AC1575"/>
  <c r="AD1575"/>
  <c r="P1576"/>
  <c r="Q1576"/>
  <c r="R1576"/>
  <c r="S1576"/>
  <c r="T1576"/>
  <c r="U1576"/>
  <c r="V1576"/>
  <c r="W1576"/>
  <c r="X1576"/>
  <c r="Y1576"/>
  <c r="AA1576"/>
  <c r="AB1576"/>
  <c r="AC1576"/>
  <c r="AD1576"/>
  <c r="P1577"/>
  <c r="Q1577"/>
  <c r="R1577"/>
  <c r="S1577"/>
  <c r="T1577"/>
  <c r="U1577"/>
  <c r="V1577"/>
  <c r="W1577"/>
  <c r="X1577"/>
  <c r="Y1577"/>
  <c r="AA1577"/>
  <c r="AB1577"/>
  <c r="AC1577"/>
  <c r="AD1577"/>
  <c r="P1578"/>
  <c r="Q1578"/>
  <c r="R1578"/>
  <c r="S1578"/>
  <c r="T1578"/>
  <c r="U1578"/>
  <c r="V1578"/>
  <c r="W1578"/>
  <c r="X1578"/>
  <c r="Y1578"/>
  <c r="AA1578"/>
  <c r="AB1578"/>
  <c r="AC1578"/>
  <c r="AD1578"/>
  <c r="P1579"/>
  <c r="Q1579"/>
  <c r="R1579"/>
  <c r="S1579"/>
  <c r="T1579"/>
  <c r="U1579"/>
  <c r="V1579"/>
  <c r="W1579"/>
  <c r="X1579"/>
  <c r="Y1579"/>
  <c r="AA1579"/>
  <c r="AB1579"/>
  <c r="AC1579"/>
  <c r="AD1579"/>
  <c r="P1580"/>
  <c r="Q1580"/>
  <c r="R1580"/>
  <c r="S1580"/>
  <c r="T1580"/>
  <c r="U1580"/>
  <c r="V1580"/>
  <c r="W1580"/>
  <c r="X1580"/>
  <c r="Y1580"/>
  <c r="AA1580"/>
  <c r="AB1580"/>
  <c r="AC1580"/>
  <c r="AD1580"/>
  <c r="P1581"/>
  <c r="Q1581"/>
  <c r="R1581"/>
  <c r="S1581"/>
  <c r="T1581"/>
  <c r="U1581"/>
  <c r="V1581"/>
  <c r="W1581"/>
  <c r="X1581"/>
  <c r="Y1581"/>
  <c r="AA1581"/>
  <c r="AB1581"/>
  <c r="AC1581"/>
  <c r="AD1581"/>
  <c r="P1582"/>
  <c r="Q1582"/>
  <c r="R1582"/>
  <c r="S1582"/>
  <c r="T1582"/>
  <c r="U1582"/>
  <c r="V1582"/>
  <c r="W1582"/>
  <c r="X1582"/>
  <c r="Y1582"/>
  <c r="AA1582"/>
  <c r="AB1582"/>
  <c r="AC1582"/>
  <c r="AD1582"/>
  <c r="P1583"/>
  <c r="Q1583"/>
  <c r="R1583"/>
  <c r="S1583"/>
  <c r="T1583"/>
  <c r="U1583"/>
  <c r="V1583"/>
  <c r="W1583"/>
  <c r="X1583"/>
  <c r="Y1583"/>
  <c r="AA1583"/>
  <c r="AB1583"/>
  <c r="AC1583"/>
  <c r="AD1583"/>
  <c r="P1584"/>
  <c r="Q1584"/>
  <c r="R1584"/>
  <c r="S1584"/>
  <c r="T1584"/>
  <c r="U1584"/>
  <c r="V1584"/>
  <c r="W1584"/>
  <c r="X1584"/>
  <c r="Y1584"/>
  <c r="AA1584"/>
  <c r="AB1584"/>
  <c r="AC1584"/>
  <c r="AD1584"/>
  <c r="P1585"/>
  <c r="Q1585"/>
  <c r="R1585"/>
  <c r="S1585"/>
  <c r="T1585"/>
  <c r="U1585"/>
  <c r="V1585"/>
  <c r="W1585"/>
  <c r="X1585"/>
  <c r="Y1585"/>
  <c r="AA1585"/>
  <c r="AB1585"/>
  <c r="AC1585"/>
  <c r="AD1585"/>
  <c r="P1586"/>
  <c r="Q1586"/>
  <c r="R1586"/>
  <c r="S1586"/>
  <c r="T1586"/>
  <c r="U1586"/>
  <c r="V1586"/>
  <c r="W1586"/>
  <c r="X1586"/>
  <c r="Y1586"/>
  <c r="AA1586"/>
  <c r="AB1586"/>
  <c r="AC1586"/>
  <c r="AD1586"/>
  <c r="P1587"/>
  <c r="Q1587"/>
  <c r="R1587"/>
  <c r="S1587"/>
  <c r="T1587"/>
  <c r="U1587"/>
  <c r="V1587"/>
  <c r="W1587"/>
  <c r="X1587"/>
  <c r="Y1587"/>
  <c r="AA1587"/>
  <c r="AB1587"/>
  <c r="AC1587"/>
  <c r="AD1587"/>
  <c r="P1588"/>
  <c r="Q1588"/>
  <c r="R1588"/>
  <c r="S1588"/>
  <c r="T1588"/>
  <c r="U1588"/>
  <c r="V1588"/>
  <c r="W1588"/>
  <c r="X1588"/>
  <c r="Y1588"/>
  <c r="AA1588"/>
  <c r="AB1588"/>
  <c r="AC1588"/>
  <c r="AD1588"/>
  <c r="P1589"/>
  <c r="Q1589"/>
  <c r="R1589"/>
  <c r="S1589"/>
  <c r="T1589"/>
  <c r="U1589"/>
  <c r="V1589"/>
  <c r="W1589"/>
  <c r="X1589"/>
  <c r="Y1589"/>
  <c r="AA1589"/>
  <c r="AB1589"/>
  <c r="AC1589"/>
  <c r="AD1589"/>
  <c r="P1590"/>
  <c r="Q1590"/>
  <c r="R1590"/>
  <c r="S1590"/>
  <c r="T1590"/>
  <c r="U1590"/>
  <c r="V1590"/>
  <c r="W1590"/>
  <c r="X1590"/>
  <c r="Y1590"/>
  <c r="AA1590"/>
  <c r="AB1590"/>
  <c r="AC1590"/>
  <c r="AD1590"/>
  <c r="P1591"/>
  <c r="Q1591"/>
  <c r="R1591"/>
  <c r="S1591"/>
  <c r="T1591"/>
  <c r="U1591"/>
  <c r="V1591"/>
  <c r="W1591"/>
  <c r="X1591"/>
  <c r="Y1591"/>
  <c r="AA1591"/>
  <c r="AB1591"/>
  <c r="AC1591"/>
  <c r="AD1591"/>
  <c r="P1592"/>
  <c r="Q1592"/>
  <c r="R1592"/>
  <c r="S1592"/>
  <c r="T1592"/>
  <c r="U1592"/>
  <c r="V1592"/>
  <c r="W1592"/>
  <c r="X1592"/>
  <c r="Y1592"/>
  <c r="AA1592"/>
  <c r="AB1592"/>
  <c r="AC1592"/>
  <c r="AD1592"/>
  <c r="P1593"/>
  <c r="Q1593"/>
  <c r="R1593"/>
  <c r="S1593"/>
  <c r="T1593"/>
  <c r="U1593"/>
  <c r="V1593"/>
  <c r="W1593"/>
  <c r="X1593"/>
  <c r="Y1593"/>
  <c r="AA1593"/>
  <c r="AB1593"/>
  <c r="AC1593"/>
  <c r="AD1593"/>
  <c r="P1594"/>
  <c r="Q1594"/>
  <c r="R1594"/>
  <c r="S1594"/>
  <c r="T1594"/>
  <c r="U1594"/>
  <c r="V1594"/>
  <c r="W1594"/>
  <c r="X1594"/>
  <c r="Y1594"/>
  <c r="AA1594"/>
  <c r="AB1594"/>
  <c r="AC1594"/>
  <c r="AD1594"/>
  <c r="P1595"/>
  <c r="Q1595"/>
  <c r="R1595"/>
  <c r="S1595"/>
  <c r="T1595"/>
  <c r="U1595"/>
  <c r="V1595"/>
  <c r="W1595"/>
  <c r="X1595"/>
  <c r="Y1595"/>
  <c r="AA1595"/>
  <c r="AB1595"/>
  <c r="AC1595"/>
  <c r="AD1595"/>
  <c r="P1596"/>
  <c r="Q1596"/>
  <c r="R1596"/>
  <c r="S1596"/>
  <c r="T1596"/>
  <c r="U1596"/>
  <c r="V1596"/>
  <c r="W1596"/>
  <c r="X1596"/>
  <c r="Y1596"/>
  <c r="AA1596"/>
  <c r="AB1596"/>
  <c r="AC1596"/>
  <c r="AD1596"/>
  <c r="P1597"/>
  <c r="Q1597"/>
  <c r="R1597"/>
  <c r="S1597"/>
  <c r="T1597"/>
  <c r="U1597"/>
  <c r="V1597"/>
  <c r="W1597"/>
  <c r="X1597"/>
  <c r="Y1597"/>
  <c r="AA1597"/>
  <c r="AB1597"/>
  <c r="AC1597"/>
  <c r="AD1597"/>
  <c r="P1598"/>
  <c r="Q1598"/>
  <c r="R1598"/>
  <c r="S1598"/>
  <c r="T1598"/>
  <c r="U1598"/>
  <c r="V1598"/>
  <c r="W1598"/>
  <c r="X1598"/>
  <c r="Y1598"/>
  <c r="AA1598"/>
  <c r="AB1598"/>
  <c r="AC1598"/>
  <c r="AD1598"/>
  <c r="P1599"/>
  <c r="Q1599"/>
  <c r="R1599"/>
  <c r="S1599"/>
  <c r="T1599"/>
  <c r="U1599"/>
  <c r="V1599"/>
  <c r="W1599"/>
  <c r="X1599"/>
  <c r="Y1599"/>
  <c r="AA1599"/>
  <c r="AB1599"/>
  <c r="AC1599"/>
  <c r="AD1599"/>
  <c r="P1600"/>
  <c r="Q1600"/>
  <c r="R1600"/>
  <c r="S1600"/>
  <c r="T1600"/>
  <c r="U1600"/>
  <c r="V1600"/>
  <c r="W1600"/>
  <c r="X1600"/>
  <c r="Y1600"/>
  <c r="AA1600"/>
  <c r="AB1600"/>
  <c r="AC1600"/>
  <c r="AD1600"/>
  <c r="P1601"/>
  <c r="Q1601"/>
  <c r="R1601"/>
  <c r="S1601"/>
  <c r="T1601"/>
  <c r="U1601"/>
  <c r="V1601"/>
  <c r="W1601"/>
  <c r="X1601"/>
  <c r="Y1601"/>
  <c r="AA1601"/>
  <c r="AB1601"/>
  <c r="AC1601"/>
  <c r="AD1601"/>
  <c r="P1602"/>
  <c r="Q1602"/>
  <c r="R1602"/>
  <c r="S1602"/>
  <c r="T1602"/>
  <c r="U1602"/>
  <c r="V1602"/>
  <c r="W1602"/>
  <c r="X1602"/>
  <c r="Y1602"/>
  <c r="AA1602"/>
  <c r="AB1602"/>
  <c r="AC1602"/>
  <c r="AD1602"/>
  <c r="P1603"/>
  <c r="Q1603"/>
  <c r="R1603"/>
  <c r="S1603"/>
  <c r="T1603"/>
  <c r="U1603"/>
  <c r="V1603"/>
  <c r="W1603"/>
  <c r="X1603"/>
  <c r="Y1603"/>
  <c r="AA1603"/>
  <c r="AB1603"/>
  <c r="AC1603"/>
  <c r="AD1603"/>
  <c r="P1604"/>
  <c r="Q1604"/>
  <c r="R1604"/>
  <c r="S1604"/>
  <c r="T1604"/>
  <c r="U1604"/>
  <c r="V1604"/>
  <c r="W1604"/>
  <c r="X1604"/>
  <c r="Y1604"/>
  <c r="AA1604"/>
  <c r="AB1604"/>
  <c r="AC1604"/>
  <c r="AD1604"/>
  <c r="P1605"/>
  <c r="Q1605"/>
  <c r="R1605"/>
  <c r="S1605"/>
  <c r="T1605"/>
  <c r="U1605"/>
  <c r="V1605"/>
  <c r="W1605"/>
  <c r="X1605"/>
  <c r="Y1605"/>
  <c r="AA1605"/>
  <c r="AB1605"/>
  <c r="AC1605"/>
  <c r="AD1605"/>
  <c r="P1606"/>
  <c r="Q1606"/>
  <c r="R1606"/>
  <c r="S1606"/>
  <c r="T1606"/>
  <c r="U1606"/>
  <c r="V1606"/>
  <c r="W1606"/>
  <c r="X1606"/>
  <c r="Y1606"/>
  <c r="AA1606"/>
  <c r="AB1606"/>
  <c r="AC1606"/>
  <c r="AD1606"/>
  <c r="P1607"/>
  <c r="Q1607"/>
  <c r="R1607"/>
  <c r="S1607"/>
  <c r="T1607"/>
  <c r="U1607"/>
  <c r="V1607"/>
  <c r="W1607"/>
  <c r="X1607"/>
  <c r="Y1607"/>
  <c r="AA1607"/>
  <c r="AB1607"/>
  <c r="AC1607"/>
  <c r="AD1607"/>
  <c r="P1608"/>
  <c r="Q1608"/>
  <c r="R1608"/>
  <c r="S1608"/>
  <c r="T1608"/>
  <c r="U1608"/>
  <c r="V1608"/>
  <c r="W1608"/>
  <c r="X1608"/>
  <c r="Y1608"/>
  <c r="AA1608"/>
  <c r="AB1608"/>
  <c r="AC1608"/>
  <c r="AD1608"/>
  <c r="P1609"/>
  <c r="Q1609"/>
  <c r="R1609"/>
  <c r="S1609"/>
  <c r="T1609"/>
  <c r="U1609"/>
  <c r="V1609"/>
  <c r="W1609"/>
  <c r="X1609"/>
  <c r="Y1609"/>
  <c r="AA1609"/>
  <c r="AB1609"/>
  <c r="AC1609"/>
  <c r="AD1609"/>
  <c r="P1610"/>
  <c r="Q1610"/>
  <c r="R1610"/>
  <c r="S1610"/>
  <c r="T1610"/>
  <c r="U1610"/>
  <c r="V1610"/>
  <c r="W1610"/>
  <c r="X1610"/>
  <c r="Y1610"/>
  <c r="AA1610"/>
  <c r="AB1610"/>
  <c r="AC1610"/>
  <c r="AD1610"/>
  <c r="P1611"/>
  <c r="Q1611"/>
  <c r="R1611"/>
  <c r="S1611"/>
  <c r="T1611"/>
  <c r="U1611"/>
  <c r="V1611"/>
  <c r="W1611"/>
  <c r="X1611"/>
  <c r="Y1611"/>
  <c r="AA1611"/>
  <c r="AB1611"/>
  <c r="AC1611"/>
  <c r="AD1611"/>
  <c r="P1612"/>
  <c r="Q1612"/>
  <c r="R1612"/>
  <c r="S1612"/>
  <c r="T1612"/>
  <c r="U1612"/>
  <c r="V1612"/>
  <c r="W1612"/>
  <c r="X1612"/>
  <c r="Y1612"/>
  <c r="AA1612"/>
  <c r="AB1612"/>
  <c r="AC1612"/>
  <c r="AD1612"/>
  <c r="P1613"/>
  <c r="Q1613"/>
  <c r="R1613"/>
  <c r="S1613"/>
  <c r="T1613"/>
  <c r="U1613"/>
  <c r="V1613"/>
  <c r="W1613"/>
  <c r="X1613"/>
  <c r="Y1613"/>
  <c r="AA1613"/>
  <c r="AB1613"/>
  <c r="AC1613"/>
  <c r="AD1613"/>
  <c r="P1614"/>
  <c r="Q1614"/>
  <c r="R1614"/>
  <c r="S1614"/>
  <c r="T1614"/>
  <c r="U1614"/>
  <c r="V1614"/>
  <c r="W1614"/>
  <c r="X1614"/>
  <c r="Y1614"/>
  <c r="AA1614"/>
  <c r="AB1614"/>
  <c r="AC1614"/>
  <c r="AD1614"/>
  <c r="P1615"/>
  <c r="Q1615"/>
  <c r="R1615"/>
  <c r="S1615"/>
  <c r="T1615"/>
  <c r="U1615"/>
  <c r="V1615"/>
  <c r="W1615"/>
  <c r="X1615"/>
  <c r="Y1615"/>
  <c r="AA1615"/>
  <c r="AB1615"/>
  <c r="AC1615"/>
  <c r="AD1615"/>
  <c r="P1616"/>
  <c r="Q1616"/>
  <c r="R1616"/>
  <c r="S1616"/>
  <c r="T1616"/>
  <c r="U1616"/>
  <c r="V1616"/>
  <c r="W1616"/>
  <c r="X1616"/>
  <c r="Y1616"/>
  <c r="AA1616"/>
  <c r="AB1616"/>
  <c r="AC1616"/>
  <c r="AD1616"/>
  <c r="P1617"/>
  <c r="Q1617"/>
  <c r="R1617"/>
  <c r="S1617"/>
  <c r="T1617"/>
  <c r="U1617"/>
  <c r="V1617"/>
  <c r="W1617"/>
  <c r="X1617"/>
  <c r="Y1617"/>
  <c r="AA1617"/>
  <c r="AB1617"/>
  <c r="AC1617"/>
  <c r="AD1617"/>
  <c r="P1618"/>
  <c r="Q1618"/>
  <c r="R1618"/>
  <c r="S1618"/>
  <c r="T1618"/>
  <c r="U1618"/>
  <c r="V1618"/>
  <c r="W1618"/>
  <c r="X1618"/>
  <c r="Y1618"/>
  <c r="AA1618"/>
  <c r="AB1618"/>
  <c r="AC1618"/>
  <c r="AD1618"/>
  <c r="P1619"/>
  <c r="Q1619"/>
  <c r="R1619"/>
  <c r="S1619"/>
  <c r="T1619"/>
  <c r="U1619"/>
  <c r="V1619"/>
  <c r="W1619"/>
  <c r="X1619"/>
  <c r="Y1619"/>
  <c r="AA1619"/>
  <c r="AB1619"/>
  <c r="AC1619"/>
  <c r="AD1619"/>
  <c r="P1620"/>
  <c r="Q1620"/>
  <c r="R1620"/>
  <c r="S1620"/>
  <c r="T1620"/>
  <c r="U1620"/>
  <c r="V1620"/>
  <c r="W1620"/>
  <c r="X1620"/>
  <c r="Y1620"/>
  <c r="AA1620"/>
  <c r="AB1620"/>
  <c r="AC1620"/>
  <c r="AD1620"/>
  <c r="P1621"/>
  <c r="Q1621"/>
  <c r="R1621"/>
  <c r="S1621"/>
  <c r="T1621"/>
  <c r="U1621"/>
  <c r="V1621"/>
  <c r="W1621"/>
  <c r="X1621"/>
  <c r="Y1621"/>
  <c r="AA1621"/>
  <c r="AB1621"/>
  <c r="AC1621"/>
  <c r="AD1621"/>
  <c r="P1622"/>
  <c r="Q1622"/>
  <c r="R1622"/>
  <c r="S1622"/>
  <c r="T1622"/>
  <c r="U1622"/>
  <c r="V1622"/>
  <c r="W1622"/>
  <c r="X1622"/>
  <c r="Y1622"/>
  <c r="AA1622"/>
  <c r="AB1622"/>
  <c r="AC1622"/>
  <c r="AD1622"/>
  <c r="P1623"/>
  <c r="Q1623"/>
  <c r="R1623"/>
  <c r="S1623"/>
  <c r="T1623"/>
  <c r="U1623"/>
  <c r="V1623"/>
  <c r="W1623"/>
  <c r="X1623"/>
  <c r="Y1623"/>
  <c r="AA1623"/>
  <c r="AB1623"/>
  <c r="AC1623"/>
  <c r="AD1623"/>
  <c r="P1624"/>
  <c r="Q1624"/>
  <c r="R1624"/>
  <c r="S1624"/>
  <c r="T1624"/>
  <c r="U1624"/>
  <c r="V1624"/>
  <c r="W1624"/>
  <c r="X1624"/>
  <c r="Y1624"/>
  <c r="AA1624"/>
  <c r="AB1624"/>
  <c r="AC1624"/>
  <c r="AD1624"/>
  <c r="P1625"/>
  <c r="Q1625"/>
  <c r="R1625"/>
  <c r="S1625"/>
  <c r="T1625"/>
  <c r="U1625"/>
  <c r="V1625"/>
  <c r="W1625"/>
  <c r="X1625"/>
  <c r="Y1625"/>
  <c r="AA1625"/>
  <c r="AB1625"/>
  <c r="AC1625"/>
  <c r="AD1625"/>
  <c r="P1626"/>
  <c r="Q1626"/>
  <c r="R1626"/>
  <c r="S1626"/>
  <c r="T1626"/>
  <c r="U1626"/>
  <c r="V1626"/>
  <c r="W1626"/>
  <c r="X1626"/>
  <c r="Y1626"/>
  <c r="AA1626"/>
  <c r="AB1626"/>
  <c r="AC1626"/>
  <c r="AD1626"/>
  <c r="P1627"/>
  <c r="Q1627"/>
  <c r="R1627"/>
  <c r="S1627"/>
  <c r="T1627"/>
  <c r="U1627"/>
  <c r="V1627"/>
  <c r="W1627"/>
  <c r="X1627"/>
  <c r="Y1627"/>
  <c r="AA1627"/>
  <c r="AB1627"/>
  <c r="AC1627"/>
  <c r="AD1627"/>
  <c r="P1628"/>
  <c r="Q1628"/>
  <c r="R1628"/>
  <c r="S1628"/>
  <c r="T1628"/>
  <c r="U1628"/>
  <c r="V1628"/>
  <c r="W1628"/>
  <c r="X1628"/>
  <c r="Y1628"/>
  <c r="AA1628"/>
  <c r="AB1628"/>
  <c r="AC1628"/>
  <c r="AD1628"/>
  <c r="P1629"/>
  <c r="Q1629"/>
  <c r="R1629"/>
  <c r="S1629"/>
  <c r="T1629"/>
  <c r="U1629"/>
  <c r="V1629"/>
  <c r="W1629"/>
  <c r="X1629"/>
  <c r="Y1629"/>
  <c r="AA1629"/>
  <c r="AB1629"/>
  <c r="AC1629"/>
  <c r="AD1629"/>
  <c r="P1630"/>
  <c r="Q1630"/>
  <c r="R1630"/>
  <c r="S1630"/>
  <c r="T1630"/>
  <c r="U1630"/>
  <c r="V1630"/>
  <c r="W1630"/>
  <c r="X1630"/>
  <c r="Y1630"/>
  <c r="AA1630"/>
  <c r="AB1630"/>
  <c r="AC1630"/>
  <c r="AD1630"/>
  <c r="P1631"/>
  <c r="Q1631"/>
  <c r="R1631"/>
  <c r="S1631"/>
  <c r="T1631"/>
  <c r="U1631"/>
  <c r="V1631"/>
  <c r="W1631"/>
  <c r="X1631"/>
  <c r="Y1631"/>
  <c r="AA1631"/>
  <c r="AB1631"/>
  <c r="AC1631"/>
  <c r="AD1631"/>
  <c r="P1632"/>
  <c r="Q1632"/>
  <c r="R1632"/>
  <c r="S1632"/>
  <c r="T1632"/>
  <c r="U1632"/>
  <c r="V1632"/>
  <c r="W1632"/>
  <c r="X1632"/>
  <c r="Y1632"/>
  <c r="AA1632"/>
  <c r="AB1632"/>
  <c r="AC1632"/>
  <c r="AD1632"/>
  <c r="P1633"/>
  <c r="Q1633"/>
  <c r="R1633"/>
  <c r="S1633"/>
  <c r="T1633"/>
  <c r="U1633"/>
  <c r="V1633"/>
  <c r="W1633"/>
  <c r="X1633"/>
  <c r="Y1633"/>
  <c r="AA1633"/>
  <c r="AB1633"/>
  <c r="AC1633"/>
  <c r="AD1633"/>
  <c r="P1634"/>
  <c r="Q1634"/>
  <c r="R1634"/>
  <c r="S1634"/>
  <c r="T1634"/>
  <c r="U1634"/>
  <c r="V1634"/>
  <c r="W1634"/>
  <c r="X1634"/>
  <c r="Y1634"/>
  <c r="AA1634"/>
  <c r="AB1634"/>
  <c r="AC1634"/>
  <c r="AD1634"/>
  <c r="P1635"/>
  <c r="Q1635"/>
  <c r="R1635"/>
  <c r="S1635"/>
  <c r="T1635"/>
  <c r="U1635"/>
  <c r="V1635"/>
  <c r="W1635"/>
  <c r="X1635"/>
  <c r="Y1635"/>
  <c r="AA1635"/>
  <c r="AB1635"/>
  <c r="AC1635"/>
  <c r="AD1635"/>
  <c r="P1636"/>
  <c r="Q1636"/>
  <c r="R1636"/>
  <c r="S1636"/>
  <c r="T1636"/>
  <c r="U1636"/>
  <c r="V1636"/>
  <c r="W1636"/>
  <c r="X1636"/>
  <c r="Y1636"/>
  <c r="AA1636"/>
  <c r="AB1636"/>
  <c r="AC1636"/>
  <c r="AD1636"/>
  <c r="P1637"/>
  <c r="Q1637"/>
  <c r="R1637"/>
  <c r="S1637"/>
  <c r="T1637"/>
  <c r="U1637"/>
  <c r="V1637"/>
  <c r="W1637"/>
  <c r="X1637"/>
  <c r="Y1637"/>
  <c r="AA1637"/>
  <c r="AB1637"/>
  <c r="AC1637"/>
  <c r="AD1637"/>
  <c r="P1638"/>
  <c r="Q1638"/>
  <c r="R1638"/>
  <c r="S1638"/>
  <c r="T1638"/>
  <c r="U1638"/>
  <c r="V1638"/>
  <c r="W1638"/>
  <c r="X1638"/>
  <c r="Y1638"/>
  <c r="AA1638"/>
  <c r="AB1638"/>
  <c r="AC1638"/>
  <c r="AD1638"/>
  <c r="P1639"/>
  <c r="Q1639"/>
  <c r="R1639"/>
  <c r="S1639"/>
  <c r="T1639"/>
  <c r="U1639"/>
  <c r="V1639"/>
  <c r="W1639"/>
  <c r="X1639"/>
  <c r="Y1639"/>
  <c r="AA1639"/>
  <c r="AB1639"/>
  <c r="AC1639"/>
  <c r="AD1639"/>
  <c r="P1640"/>
  <c r="Q1640"/>
  <c r="R1640"/>
  <c r="S1640"/>
  <c r="T1640"/>
  <c r="U1640"/>
  <c r="V1640"/>
  <c r="W1640"/>
  <c r="X1640"/>
  <c r="Y1640"/>
  <c r="AA1640"/>
  <c r="AB1640"/>
  <c r="AC1640"/>
  <c r="AD1640"/>
  <c r="P1641"/>
  <c r="Q1641"/>
  <c r="R1641"/>
  <c r="S1641"/>
  <c r="T1641"/>
  <c r="U1641"/>
  <c r="V1641"/>
  <c r="W1641"/>
  <c r="X1641"/>
  <c r="Y1641"/>
  <c r="AA1641"/>
  <c r="AB1641"/>
  <c r="AC1641"/>
  <c r="AD1641"/>
  <c r="P1642"/>
  <c r="Q1642"/>
  <c r="R1642"/>
  <c r="S1642"/>
  <c r="T1642"/>
  <c r="U1642"/>
  <c r="V1642"/>
  <c r="W1642"/>
  <c r="X1642"/>
  <c r="Y1642"/>
  <c r="AA1642"/>
  <c r="AB1642"/>
  <c r="AC1642"/>
  <c r="AD1642"/>
  <c r="P1643"/>
  <c r="Q1643"/>
  <c r="R1643"/>
  <c r="S1643"/>
  <c r="T1643"/>
  <c r="U1643"/>
  <c r="V1643"/>
  <c r="W1643"/>
  <c r="X1643"/>
  <c r="Y1643"/>
  <c r="AA1643"/>
  <c r="AB1643"/>
  <c r="AC1643"/>
  <c r="AD1643"/>
  <c r="P1644"/>
  <c r="Q1644"/>
  <c r="R1644"/>
  <c r="S1644"/>
  <c r="T1644"/>
  <c r="U1644"/>
  <c r="V1644"/>
  <c r="W1644"/>
  <c r="X1644"/>
  <c r="Y1644"/>
  <c r="AA1644"/>
  <c r="AB1644"/>
  <c r="AC1644"/>
  <c r="AD1644"/>
  <c r="P1645"/>
  <c r="Q1645"/>
  <c r="R1645"/>
  <c r="S1645"/>
  <c r="T1645"/>
  <c r="U1645"/>
  <c r="V1645"/>
  <c r="W1645"/>
  <c r="X1645"/>
  <c r="Y1645"/>
  <c r="AA1645"/>
  <c r="AB1645"/>
  <c r="AC1645"/>
  <c r="AD1645"/>
  <c r="P1646"/>
  <c r="Q1646"/>
  <c r="R1646"/>
  <c r="S1646"/>
  <c r="T1646"/>
  <c r="U1646"/>
  <c r="V1646"/>
  <c r="W1646"/>
  <c r="X1646"/>
  <c r="Y1646"/>
  <c r="AA1646"/>
  <c r="AB1646"/>
  <c r="AC1646"/>
  <c r="AD1646"/>
  <c r="P1647"/>
  <c r="Q1647"/>
  <c r="R1647"/>
  <c r="S1647"/>
  <c r="T1647"/>
  <c r="U1647"/>
  <c r="V1647"/>
  <c r="W1647"/>
  <c r="X1647"/>
  <c r="Y1647"/>
  <c r="AA1647"/>
  <c r="AB1647"/>
  <c r="AC1647"/>
  <c r="AD1647"/>
  <c r="P1648"/>
  <c r="Q1648"/>
  <c r="R1648"/>
  <c r="S1648"/>
  <c r="T1648"/>
  <c r="U1648"/>
  <c r="V1648"/>
  <c r="W1648"/>
  <c r="X1648"/>
  <c r="Y1648"/>
  <c r="AA1648"/>
  <c r="AB1648"/>
  <c r="AC1648"/>
  <c r="AD1648"/>
  <c r="P1649"/>
  <c r="Q1649"/>
  <c r="R1649"/>
  <c r="S1649"/>
  <c r="T1649"/>
  <c r="U1649"/>
  <c r="V1649"/>
  <c r="W1649"/>
  <c r="X1649"/>
  <c r="Y1649"/>
  <c r="AA1649"/>
  <c r="AB1649"/>
  <c r="AC1649"/>
  <c r="AD1649"/>
  <c r="P1650"/>
  <c r="Q1650"/>
  <c r="R1650"/>
  <c r="S1650"/>
  <c r="T1650"/>
  <c r="U1650"/>
  <c r="V1650"/>
  <c r="W1650"/>
  <c r="X1650"/>
  <c r="Y1650"/>
  <c r="AA1650"/>
  <c r="AB1650"/>
  <c r="AC1650"/>
  <c r="AD1650"/>
  <c r="P1651"/>
  <c r="Q1651"/>
  <c r="R1651"/>
  <c r="S1651"/>
  <c r="T1651"/>
  <c r="U1651"/>
  <c r="V1651"/>
  <c r="W1651"/>
  <c r="X1651"/>
  <c r="Y1651"/>
  <c r="AA1651"/>
  <c r="AB1651"/>
  <c r="AC1651"/>
  <c r="AD1651"/>
  <c r="P1652"/>
  <c r="Q1652"/>
  <c r="R1652"/>
  <c r="S1652"/>
  <c r="T1652"/>
  <c r="U1652"/>
  <c r="V1652"/>
  <c r="W1652"/>
  <c r="X1652"/>
  <c r="Y1652"/>
  <c r="AA1652"/>
  <c r="AB1652"/>
  <c r="AC1652"/>
  <c r="AD1652"/>
  <c r="P1653"/>
  <c r="Q1653"/>
  <c r="R1653"/>
  <c r="S1653"/>
  <c r="T1653"/>
  <c r="U1653"/>
  <c r="V1653"/>
  <c r="W1653"/>
  <c r="X1653"/>
  <c r="Y1653"/>
  <c r="AA1653"/>
  <c r="AB1653"/>
  <c r="AC1653"/>
  <c r="AD1653"/>
  <c r="P1654"/>
  <c r="Q1654"/>
  <c r="R1654"/>
  <c r="S1654"/>
  <c r="T1654"/>
  <c r="U1654"/>
  <c r="V1654"/>
  <c r="W1654"/>
  <c r="X1654"/>
  <c r="Y1654"/>
  <c r="AA1654"/>
  <c r="AB1654"/>
  <c r="AC1654"/>
  <c r="AD1654"/>
  <c r="P1655"/>
  <c r="Q1655"/>
  <c r="R1655"/>
  <c r="S1655"/>
  <c r="T1655"/>
  <c r="U1655"/>
  <c r="V1655"/>
  <c r="W1655"/>
  <c r="X1655"/>
  <c r="Y1655"/>
  <c r="AA1655"/>
  <c r="AB1655"/>
  <c r="AC1655"/>
  <c r="AD1655"/>
  <c r="P1656"/>
  <c r="Q1656"/>
  <c r="R1656"/>
  <c r="S1656"/>
  <c r="T1656"/>
  <c r="U1656"/>
  <c r="V1656"/>
  <c r="W1656"/>
  <c r="X1656"/>
  <c r="Y1656"/>
  <c r="AA1656"/>
  <c r="AB1656"/>
  <c r="AC1656"/>
  <c r="AD1656"/>
  <c r="P1657"/>
  <c r="Q1657"/>
  <c r="R1657"/>
  <c r="S1657"/>
  <c r="T1657"/>
  <c r="U1657"/>
  <c r="V1657"/>
  <c r="W1657"/>
  <c r="X1657"/>
  <c r="Y1657"/>
  <c r="AA1657"/>
  <c r="AB1657"/>
  <c r="AC1657"/>
  <c r="AD1657"/>
  <c r="P1658"/>
  <c r="Q1658"/>
  <c r="R1658"/>
  <c r="S1658"/>
  <c r="T1658"/>
  <c r="U1658"/>
  <c r="V1658"/>
  <c r="W1658"/>
  <c r="X1658"/>
  <c r="Y1658"/>
  <c r="AA1658"/>
  <c r="AB1658"/>
  <c r="AC1658"/>
  <c r="AD1658"/>
  <c r="P1659"/>
  <c r="Q1659"/>
  <c r="R1659"/>
  <c r="S1659"/>
  <c r="T1659"/>
  <c r="U1659"/>
  <c r="V1659"/>
  <c r="W1659"/>
  <c r="X1659"/>
  <c r="Y1659"/>
  <c r="AA1659"/>
  <c r="AB1659"/>
  <c r="AC1659"/>
  <c r="AD1659"/>
  <c r="P1660"/>
  <c r="Q1660"/>
  <c r="R1660"/>
  <c r="S1660"/>
  <c r="T1660"/>
  <c r="U1660"/>
  <c r="V1660"/>
  <c r="W1660"/>
  <c r="X1660"/>
  <c r="Y1660"/>
  <c r="AA1660"/>
  <c r="AB1660"/>
  <c r="AC1660"/>
  <c r="AD1660"/>
  <c r="P1661"/>
  <c r="Q1661"/>
  <c r="R1661"/>
  <c r="S1661"/>
  <c r="T1661"/>
  <c r="U1661"/>
  <c r="V1661"/>
  <c r="W1661"/>
  <c r="X1661"/>
  <c r="Y1661"/>
  <c r="AA1661"/>
  <c r="AB1661"/>
  <c r="AC1661"/>
  <c r="AD1661"/>
  <c r="P1662"/>
  <c r="Q1662"/>
  <c r="R1662"/>
  <c r="S1662"/>
  <c r="T1662"/>
  <c r="U1662"/>
  <c r="V1662"/>
  <c r="W1662"/>
  <c r="X1662"/>
  <c r="Y1662"/>
  <c r="AA1662"/>
  <c r="AB1662"/>
  <c r="AC1662"/>
  <c r="AD1662"/>
  <c r="P1663"/>
  <c r="Q1663"/>
  <c r="R1663"/>
  <c r="S1663"/>
  <c r="T1663"/>
  <c r="U1663"/>
  <c r="V1663"/>
  <c r="W1663"/>
  <c r="X1663"/>
  <c r="Y1663"/>
  <c r="AA1663"/>
  <c r="AB1663"/>
  <c r="AC1663"/>
  <c r="AD1663"/>
  <c r="P1664"/>
  <c r="Q1664"/>
  <c r="R1664"/>
  <c r="S1664"/>
  <c r="T1664"/>
  <c r="U1664"/>
  <c r="V1664"/>
  <c r="W1664"/>
  <c r="X1664"/>
  <c r="Y1664"/>
  <c r="AA1664"/>
  <c r="AB1664"/>
  <c r="AC1664"/>
  <c r="AD1664"/>
  <c r="P1665"/>
  <c r="Q1665"/>
  <c r="R1665"/>
  <c r="S1665"/>
  <c r="T1665"/>
  <c r="U1665"/>
  <c r="V1665"/>
  <c r="W1665"/>
  <c r="X1665"/>
  <c r="Y1665"/>
  <c r="AA1665"/>
  <c r="AB1665"/>
  <c r="AC1665"/>
  <c r="AD1665"/>
  <c r="P1666"/>
  <c r="Q1666"/>
  <c r="R1666"/>
  <c r="S1666"/>
  <c r="T1666"/>
  <c r="U1666"/>
  <c r="V1666"/>
  <c r="W1666"/>
  <c r="X1666"/>
  <c r="Y1666"/>
  <c r="AA1666"/>
  <c r="AB1666"/>
  <c r="AC1666"/>
  <c r="AD1666"/>
  <c r="P1667"/>
  <c r="Q1667"/>
  <c r="R1667"/>
  <c r="S1667"/>
  <c r="T1667"/>
  <c r="U1667"/>
  <c r="V1667"/>
  <c r="W1667"/>
  <c r="X1667"/>
  <c r="Y1667"/>
  <c r="AA1667"/>
  <c r="AB1667"/>
  <c r="AC1667"/>
  <c r="AD1667"/>
  <c r="P1668"/>
  <c r="Q1668"/>
  <c r="R1668"/>
  <c r="S1668"/>
  <c r="T1668"/>
  <c r="U1668"/>
  <c r="V1668"/>
  <c r="W1668"/>
  <c r="X1668"/>
  <c r="Y1668"/>
  <c r="AA1668"/>
  <c r="AB1668"/>
  <c r="AC1668"/>
  <c r="AD1668"/>
  <c r="P1669"/>
  <c r="Q1669"/>
  <c r="R1669"/>
  <c r="S1669"/>
  <c r="T1669"/>
  <c r="U1669"/>
  <c r="V1669"/>
  <c r="W1669"/>
  <c r="X1669"/>
  <c r="Y1669"/>
  <c r="AA1669"/>
  <c r="AB1669"/>
  <c r="AC1669"/>
  <c r="AD1669"/>
  <c r="P1670"/>
  <c r="Q1670"/>
  <c r="R1670"/>
  <c r="S1670"/>
  <c r="T1670"/>
  <c r="U1670"/>
  <c r="V1670"/>
  <c r="W1670"/>
  <c r="X1670"/>
  <c r="Y1670"/>
  <c r="AA1670"/>
  <c r="AB1670"/>
  <c r="AC1670"/>
  <c r="AD1670"/>
  <c r="P1671"/>
  <c r="Q1671"/>
  <c r="R1671"/>
  <c r="S1671"/>
  <c r="T1671"/>
  <c r="U1671"/>
  <c r="V1671"/>
  <c r="W1671"/>
  <c r="X1671"/>
  <c r="Y1671"/>
  <c r="AA1671"/>
  <c r="AB1671"/>
  <c r="AC1671"/>
  <c r="AD1671"/>
  <c r="P1672"/>
  <c r="Q1672"/>
  <c r="R1672"/>
  <c r="S1672"/>
  <c r="T1672"/>
  <c r="U1672"/>
  <c r="V1672"/>
  <c r="W1672"/>
  <c r="X1672"/>
  <c r="Y1672"/>
  <c r="AA1672"/>
  <c r="AB1672"/>
  <c r="AC1672"/>
  <c r="AD1672"/>
  <c r="P1673"/>
  <c r="Q1673"/>
  <c r="R1673"/>
  <c r="S1673"/>
  <c r="T1673"/>
  <c r="U1673"/>
  <c r="V1673"/>
  <c r="W1673"/>
  <c r="X1673"/>
  <c r="Y1673"/>
  <c r="AA1673"/>
  <c r="AB1673"/>
  <c r="AC1673"/>
  <c r="AD1673"/>
  <c r="P1674"/>
  <c r="Q1674"/>
  <c r="R1674"/>
  <c r="S1674"/>
  <c r="T1674"/>
  <c r="U1674"/>
  <c r="V1674"/>
  <c r="W1674"/>
  <c r="X1674"/>
  <c r="Y1674"/>
  <c r="AA1674"/>
  <c r="AB1674"/>
  <c r="AC1674"/>
  <c r="AD1674"/>
  <c r="P1675"/>
  <c r="Q1675"/>
  <c r="R1675"/>
  <c r="S1675"/>
  <c r="T1675"/>
  <c r="U1675"/>
  <c r="V1675"/>
  <c r="W1675"/>
  <c r="X1675"/>
  <c r="Y1675"/>
  <c r="AA1675"/>
  <c r="AB1675"/>
  <c r="AC1675"/>
  <c r="AD1675"/>
  <c r="P1676"/>
  <c r="Q1676"/>
  <c r="R1676"/>
  <c r="S1676"/>
  <c r="T1676"/>
  <c r="U1676"/>
  <c r="V1676"/>
  <c r="W1676"/>
  <c r="X1676"/>
  <c r="Y1676"/>
  <c r="AA1676"/>
  <c r="AB1676"/>
  <c r="AC1676"/>
  <c r="AD1676"/>
  <c r="P1677"/>
  <c r="Q1677"/>
  <c r="R1677"/>
  <c r="S1677"/>
  <c r="T1677"/>
  <c r="U1677"/>
  <c r="V1677"/>
  <c r="W1677"/>
  <c r="X1677"/>
  <c r="Y1677"/>
  <c r="AA1677"/>
  <c r="AB1677"/>
  <c r="AC1677"/>
  <c r="AD1677"/>
  <c r="P1678"/>
  <c r="Q1678"/>
  <c r="R1678"/>
  <c r="S1678"/>
  <c r="T1678"/>
  <c r="U1678"/>
  <c r="V1678"/>
  <c r="W1678"/>
  <c r="X1678"/>
  <c r="Y1678"/>
  <c r="AA1678"/>
  <c r="AB1678"/>
  <c r="AC1678"/>
  <c r="AD1678"/>
  <c r="P1679"/>
  <c r="Q1679"/>
  <c r="R1679"/>
  <c r="S1679"/>
  <c r="T1679"/>
  <c r="U1679"/>
  <c r="V1679"/>
  <c r="W1679"/>
  <c r="X1679"/>
  <c r="Y1679"/>
  <c r="AA1679"/>
  <c r="AB1679"/>
  <c r="AC1679"/>
  <c r="AD1679"/>
  <c r="P1680"/>
  <c r="Q1680"/>
  <c r="R1680"/>
  <c r="S1680"/>
  <c r="T1680"/>
  <c r="U1680"/>
  <c r="V1680"/>
  <c r="W1680"/>
  <c r="X1680"/>
  <c r="Y1680"/>
  <c r="AA1680"/>
  <c r="AB1680"/>
  <c r="AC1680"/>
  <c r="AD1680"/>
  <c r="P1681"/>
  <c r="Q1681"/>
  <c r="R1681"/>
  <c r="S1681"/>
  <c r="T1681"/>
  <c r="U1681"/>
  <c r="V1681"/>
  <c r="W1681"/>
  <c r="X1681"/>
  <c r="Y1681"/>
  <c r="AA1681"/>
  <c r="AB1681"/>
  <c r="AC1681"/>
  <c r="AD1681"/>
  <c r="P1682"/>
  <c r="Q1682"/>
  <c r="R1682"/>
  <c r="S1682"/>
  <c r="T1682"/>
  <c r="U1682"/>
  <c r="V1682"/>
  <c r="W1682"/>
  <c r="X1682"/>
  <c r="Y1682"/>
  <c r="AA1682"/>
  <c r="AB1682"/>
  <c r="AC1682"/>
  <c r="AD1682"/>
  <c r="P1683"/>
  <c r="Q1683"/>
  <c r="R1683"/>
  <c r="S1683"/>
  <c r="T1683"/>
  <c r="U1683"/>
  <c r="V1683"/>
  <c r="W1683"/>
  <c r="X1683"/>
  <c r="Y1683"/>
  <c r="AA1683"/>
  <c r="AB1683"/>
  <c r="AC1683"/>
  <c r="AD1683"/>
  <c r="P1684"/>
  <c r="Q1684"/>
  <c r="R1684"/>
  <c r="S1684"/>
  <c r="T1684"/>
  <c r="U1684"/>
  <c r="V1684"/>
  <c r="W1684"/>
  <c r="X1684"/>
  <c r="Y1684"/>
  <c r="AA1684"/>
  <c r="AB1684"/>
  <c r="AC1684"/>
  <c r="AD1684"/>
  <c r="P1685"/>
  <c r="Q1685"/>
  <c r="R1685"/>
  <c r="S1685"/>
  <c r="T1685"/>
  <c r="U1685"/>
  <c r="V1685"/>
  <c r="W1685"/>
  <c r="X1685"/>
  <c r="Y1685"/>
  <c r="AA1685"/>
  <c r="AB1685"/>
  <c r="AC1685"/>
  <c r="AD1685"/>
  <c r="P1686"/>
  <c r="Q1686"/>
  <c r="R1686"/>
  <c r="S1686"/>
  <c r="T1686"/>
  <c r="U1686"/>
  <c r="V1686"/>
  <c r="W1686"/>
  <c r="X1686"/>
  <c r="Y1686"/>
  <c r="AA1686"/>
  <c r="AB1686"/>
  <c r="AC1686"/>
  <c r="AD1686"/>
  <c r="P1687"/>
  <c r="Q1687"/>
  <c r="R1687"/>
  <c r="S1687"/>
  <c r="T1687"/>
  <c r="U1687"/>
  <c r="V1687"/>
  <c r="W1687"/>
  <c r="X1687"/>
  <c r="Y1687"/>
  <c r="AA1687"/>
  <c r="AB1687"/>
  <c r="AC1687"/>
  <c r="AD1687"/>
  <c r="P1688"/>
  <c r="Q1688"/>
  <c r="R1688"/>
  <c r="S1688"/>
  <c r="T1688"/>
  <c r="U1688"/>
  <c r="V1688"/>
  <c r="W1688"/>
  <c r="X1688"/>
  <c r="Y1688"/>
  <c r="AA1688"/>
  <c r="AB1688"/>
  <c r="AC1688"/>
  <c r="AD1688"/>
  <c r="P1689"/>
  <c r="Q1689"/>
  <c r="R1689"/>
  <c r="S1689"/>
  <c r="T1689"/>
  <c r="U1689"/>
  <c r="V1689"/>
  <c r="W1689"/>
  <c r="X1689"/>
  <c r="Y1689"/>
  <c r="AA1689"/>
  <c r="AB1689"/>
  <c r="AC1689"/>
  <c r="AD1689"/>
  <c r="P1690"/>
  <c r="Q1690"/>
  <c r="R1690"/>
  <c r="S1690"/>
  <c r="T1690"/>
  <c r="U1690"/>
  <c r="V1690"/>
  <c r="W1690"/>
  <c r="X1690"/>
  <c r="Y1690"/>
  <c r="AA1690"/>
  <c r="AB1690"/>
  <c r="AC1690"/>
  <c r="AD1690"/>
  <c r="P1691"/>
  <c r="Q1691"/>
  <c r="R1691"/>
  <c r="S1691"/>
  <c r="T1691"/>
  <c r="U1691"/>
  <c r="V1691"/>
  <c r="W1691"/>
  <c r="X1691"/>
  <c r="Y1691"/>
  <c r="AA1691"/>
  <c r="AB1691"/>
  <c r="AC1691"/>
  <c r="AD1691"/>
  <c r="P1692"/>
  <c r="Q1692"/>
  <c r="R1692"/>
  <c r="S1692"/>
  <c r="T1692"/>
  <c r="U1692"/>
  <c r="V1692"/>
  <c r="W1692"/>
  <c r="X1692"/>
  <c r="Y1692"/>
  <c r="AA1692"/>
  <c r="AB1692"/>
  <c r="AC1692"/>
  <c r="AD1692"/>
  <c r="P1693"/>
  <c r="Q1693"/>
  <c r="R1693"/>
  <c r="S1693"/>
  <c r="T1693"/>
  <c r="U1693"/>
  <c r="V1693"/>
  <c r="W1693"/>
  <c r="X1693"/>
  <c r="Y1693"/>
  <c r="AA1693"/>
  <c r="AB1693"/>
  <c r="AC1693"/>
  <c r="AD1693"/>
  <c r="P1694"/>
  <c r="Q1694"/>
  <c r="R1694"/>
  <c r="S1694"/>
  <c r="T1694"/>
  <c r="U1694"/>
  <c r="V1694"/>
  <c r="W1694"/>
  <c r="X1694"/>
  <c r="Y1694"/>
  <c r="AA1694"/>
  <c r="AB1694"/>
  <c r="AC1694"/>
  <c r="AD1694"/>
  <c r="P1695"/>
  <c r="Q1695"/>
  <c r="R1695"/>
  <c r="S1695"/>
  <c r="T1695"/>
  <c r="U1695"/>
  <c r="V1695"/>
  <c r="W1695"/>
  <c r="X1695"/>
  <c r="Y1695"/>
  <c r="AA1695"/>
  <c r="AB1695"/>
  <c r="AC1695"/>
  <c r="AD1695"/>
  <c r="P1696"/>
  <c r="Q1696"/>
  <c r="R1696"/>
  <c r="S1696"/>
  <c r="T1696"/>
  <c r="U1696"/>
  <c r="V1696"/>
  <c r="W1696"/>
  <c r="X1696"/>
  <c r="Y1696"/>
  <c r="AA1696"/>
  <c r="AB1696"/>
  <c r="AC1696"/>
  <c r="AD1696"/>
  <c r="P1697"/>
  <c r="Q1697"/>
  <c r="R1697"/>
  <c r="S1697"/>
  <c r="T1697"/>
  <c r="U1697"/>
  <c r="V1697"/>
  <c r="W1697"/>
  <c r="X1697"/>
  <c r="Y1697"/>
  <c r="AA1697"/>
  <c r="AB1697"/>
  <c r="AC1697"/>
  <c r="AD1697"/>
  <c r="P1698"/>
  <c r="Q1698"/>
  <c r="R1698"/>
  <c r="S1698"/>
  <c r="T1698"/>
  <c r="U1698"/>
  <c r="V1698"/>
  <c r="W1698"/>
  <c r="X1698"/>
  <c r="Y1698"/>
  <c r="AA1698"/>
  <c r="AB1698"/>
  <c r="AC1698"/>
  <c r="AD1698"/>
  <c r="P1699"/>
  <c r="Q1699"/>
  <c r="R1699"/>
  <c r="S1699"/>
  <c r="T1699"/>
  <c r="U1699"/>
  <c r="V1699"/>
  <c r="W1699"/>
  <c r="X1699"/>
  <c r="Y1699"/>
  <c r="AA1699"/>
  <c r="AB1699"/>
  <c r="AC1699"/>
  <c r="AD1699"/>
  <c r="P1700"/>
  <c r="Q1700"/>
  <c r="R1700"/>
  <c r="S1700"/>
  <c r="T1700"/>
  <c r="U1700"/>
  <c r="V1700"/>
  <c r="W1700"/>
  <c r="X1700"/>
  <c r="Y1700"/>
  <c r="AA1700"/>
  <c r="AB1700"/>
  <c r="AC1700"/>
  <c r="AD1700"/>
  <c r="P1701"/>
  <c r="Q1701"/>
  <c r="R1701"/>
  <c r="S1701"/>
  <c r="T1701"/>
  <c r="U1701"/>
  <c r="V1701"/>
  <c r="W1701"/>
  <c r="X1701"/>
  <c r="Y1701"/>
  <c r="AA1701"/>
  <c r="AB1701"/>
  <c r="AC1701"/>
  <c r="AD1701"/>
  <c r="P1702"/>
  <c r="Q1702"/>
  <c r="R1702"/>
  <c r="S1702"/>
  <c r="T1702"/>
  <c r="U1702"/>
  <c r="V1702"/>
  <c r="W1702"/>
  <c r="X1702"/>
  <c r="Y1702"/>
  <c r="AA1702"/>
  <c r="AB1702"/>
  <c r="AC1702"/>
  <c r="AD1702"/>
  <c r="P1703"/>
  <c r="Q1703"/>
  <c r="R1703"/>
  <c r="S1703"/>
  <c r="T1703"/>
  <c r="U1703"/>
  <c r="V1703"/>
  <c r="W1703"/>
  <c r="X1703"/>
  <c r="Y1703"/>
  <c r="AA1703"/>
  <c r="AB1703"/>
  <c r="AC1703"/>
  <c r="AD1703"/>
  <c r="P1704"/>
  <c r="Q1704"/>
  <c r="R1704"/>
  <c r="S1704"/>
  <c r="T1704"/>
  <c r="U1704"/>
  <c r="V1704"/>
  <c r="W1704"/>
  <c r="X1704"/>
  <c r="Y1704"/>
  <c r="AA1704"/>
  <c r="AB1704"/>
  <c r="AC1704"/>
  <c r="AD1704"/>
  <c r="P1705"/>
  <c r="Q1705"/>
  <c r="R1705"/>
  <c r="S1705"/>
  <c r="T1705"/>
  <c r="U1705"/>
  <c r="V1705"/>
  <c r="W1705"/>
  <c r="X1705"/>
  <c r="Y1705"/>
  <c r="AA1705"/>
  <c r="AB1705"/>
  <c r="AC1705"/>
  <c r="AD1705"/>
  <c r="P1706"/>
  <c r="Q1706"/>
  <c r="R1706"/>
  <c r="S1706"/>
  <c r="T1706"/>
  <c r="U1706"/>
  <c r="V1706"/>
  <c r="W1706"/>
  <c r="X1706"/>
  <c r="Y1706"/>
  <c r="AA1706"/>
  <c r="AB1706"/>
  <c r="AC1706"/>
  <c r="AD1706"/>
  <c r="P1707"/>
  <c r="Q1707"/>
  <c r="R1707"/>
  <c r="S1707"/>
  <c r="T1707"/>
  <c r="U1707"/>
  <c r="V1707"/>
  <c r="W1707"/>
  <c r="X1707"/>
  <c r="Y1707"/>
  <c r="AA1707"/>
  <c r="AB1707"/>
  <c r="AC1707"/>
  <c r="AD1707"/>
  <c r="P1708"/>
  <c r="Q1708"/>
  <c r="R1708"/>
  <c r="S1708"/>
  <c r="T1708"/>
  <c r="U1708"/>
  <c r="V1708"/>
  <c r="W1708"/>
  <c r="X1708"/>
  <c r="Y1708"/>
  <c r="AA1708"/>
  <c r="AB1708"/>
  <c r="AC1708"/>
  <c r="AD1708"/>
  <c r="P1709"/>
  <c r="Q1709"/>
  <c r="R1709"/>
  <c r="S1709"/>
  <c r="T1709"/>
  <c r="U1709"/>
  <c r="V1709"/>
  <c r="W1709"/>
  <c r="X1709"/>
  <c r="Y1709"/>
  <c r="AA1709"/>
  <c r="AB1709"/>
  <c r="AC1709"/>
  <c r="AD1709"/>
  <c r="P1710"/>
  <c r="Q1710"/>
  <c r="R1710"/>
  <c r="S1710"/>
  <c r="T1710"/>
  <c r="U1710"/>
  <c r="V1710"/>
  <c r="W1710"/>
  <c r="X1710"/>
  <c r="Y1710"/>
  <c r="AA1710"/>
  <c r="AB1710"/>
  <c r="AC1710"/>
  <c r="AD1710"/>
  <c r="P1711"/>
  <c r="Q1711"/>
  <c r="R1711"/>
  <c r="S1711"/>
  <c r="T1711"/>
  <c r="U1711"/>
  <c r="V1711"/>
  <c r="W1711"/>
  <c r="X1711"/>
  <c r="Y1711"/>
  <c r="AA1711"/>
  <c r="AB1711"/>
  <c r="AC1711"/>
  <c r="AD1711"/>
  <c r="P1712"/>
  <c r="Q1712"/>
  <c r="R1712"/>
  <c r="S1712"/>
  <c r="T1712"/>
  <c r="U1712"/>
  <c r="V1712"/>
  <c r="W1712"/>
  <c r="X1712"/>
  <c r="Y1712"/>
  <c r="AA1712"/>
  <c r="AB1712"/>
  <c r="AC1712"/>
  <c r="AD1712"/>
  <c r="P1713"/>
  <c r="Q1713"/>
  <c r="R1713"/>
  <c r="S1713"/>
  <c r="T1713"/>
  <c r="U1713"/>
  <c r="V1713"/>
  <c r="W1713"/>
  <c r="X1713"/>
  <c r="Y1713"/>
  <c r="AA1713"/>
  <c r="AB1713"/>
  <c r="AC1713"/>
  <c r="AD1713"/>
  <c r="P1714"/>
  <c r="Q1714"/>
  <c r="R1714"/>
  <c r="S1714"/>
  <c r="T1714"/>
  <c r="U1714"/>
  <c r="V1714"/>
  <c r="W1714"/>
  <c r="X1714"/>
  <c r="Y1714"/>
  <c r="AA1714"/>
  <c r="AB1714"/>
  <c r="AC1714"/>
  <c r="AD1714"/>
  <c r="P1715"/>
  <c r="Q1715"/>
  <c r="R1715"/>
  <c r="S1715"/>
  <c r="T1715"/>
  <c r="U1715"/>
  <c r="V1715"/>
  <c r="W1715"/>
  <c r="X1715"/>
  <c r="Y1715"/>
  <c r="AA1715"/>
  <c r="AB1715"/>
  <c r="AC1715"/>
  <c r="AD1715"/>
  <c r="P1716"/>
  <c r="Q1716"/>
  <c r="R1716"/>
  <c r="S1716"/>
  <c r="T1716"/>
  <c r="U1716"/>
  <c r="V1716"/>
  <c r="W1716"/>
  <c r="X1716"/>
  <c r="Y1716"/>
  <c r="AA1716"/>
  <c r="AB1716"/>
  <c r="AC1716"/>
  <c r="AD1716"/>
  <c r="P1717"/>
  <c r="Q1717"/>
  <c r="R1717"/>
  <c r="S1717"/>
  <c r="T1717"/>
  <c r="U1717"/>
  <c r="V1717"/>
  <c r="W1717"/>
  <c r="X1717"/>
  <c r="Y1717"/>
  <c r="AA1717"/>
  <c r="AB1717"/>
  <c r="AC1717"/>
  <c r="AD1717"/>
  <c r="P1718"/>
  <c r="Q1718"/>
  <c r="R1718"/>
  <c r="S1718"/>
  <c r="T1718"/>
  <c r="U1718"/>
  <c r="V1718"/>
  <c r="W1718"/>
  <c r="X1718"/>
  <c r="Y1718"/>
  <c r="AA1718"/>
  <c r="AB1718"/>
  <c r="AC1718"/>
  <c r="AD1718"/>
  <c r="P1719"/>
  <c r="Q1719"/>
  <c r="R1719"/>
  <c r="S1719"/>
  <c r="T1719"/>
  <c r="U1719"/>
  <c r="V1719"/>
  <c r="W1719"/>
  <c r="X1719"/>
  <c r="Y1719"/>
  <c r="AA1719"/>
  <c r="AB1719"/>
  <c r="AC1719"/>
  <c r="AD1719"/>
  <c r="P1720"/>
  <c r="Q1720"/>
  <c r="R1720"/>
  <c r="S1720"/>
  <c r="T1720"/>
  <c r="U1720"/>
  <c r="V1720"/>
  <c r="W1720"/>
  <c r="X1720"/>
  <c r="Y1720"/>
  <c r="AA1720"/>
  <c r="AB1720"/>
  <c r="AC1720"/>
  <c r="AD1720"/>
  <c r="P1721"/>
  <c r="Q1721"/>
  <c r="R1721"/>
  <c r="S1721"/>
  <c r="T1721"/>
  <c r="U1721"/>
  <c r="V1721"/>
  <c r="W1721"/>
  <c r="X1721"/>
  <c r="Y1721"/>
  <c r="AA1721"/>
  <c r="AB1721"/>
  <c r="AC1721"/>
  <c r="AD1721"/>
  <c r="P1722"/>
  <c r="Q1722"/>
  <c r="R1722"/>
  <c r="S1722"/>
  <c r="T1722"/>
  <c r="U1722"/>
  <c r="V1722"/>
  <c r="W1722"/>
  <c r="X1722"/>
  <c r="Y1722"/>
  <c r="AA1722"/>
  <c r="AB1722"/>
  <c r="AC1722"/>
  <c r="AD1722"/>
  <c r="P1723"/>
  <c r="Q1723"/>
  <c r="R1723"/>
  <c r="S1723"/>
  <c r="T1723"/>
  <c r="U1723"/>
  <c r="V1723"/>
  <c r="W1723"/>
  <c r="X1723"/>
  <c r="Y1723"/>
  <c r="AA1723"/>
  <c r="AB1723"/>
  <c r="AC1723"/>
  <c r="AD1723"/>
  <c r="P1724"/>
  <c r="Q1724"/>
  <c r="R1724"/>
  <c r="S1724"/>
  <c r="T1724"/>
  <c r="U1724"/>
  <c r="V1724"/>
  <c r="W1724"/>
  <c r="X1724"/>
  <c r="Y1724"/>
  <c r="AA1724"/>
  <c r="AB1724"/>
  <c r="AC1724"/>
  <c r="AD1724"/>
  <c r="P1725"/>
  <c r="Q1725"/>
  <c r="R1725"/>
  <c r="S1725"/>
  <c r="T1725"/>
  <c r="U1725"/>
  <c r="V1725"/>
  <c r="W1725"/>
  <c r="X1725"/>
  <c r="Y1725"/>
  <c r="AA1725"/>
  <c r="AB1725"/>
  <c r="AC1725"/>
  <c r="AD1725"/>
  <c r="P1726"/>
  <c r="Q1726"/>
  <c r="R1726"/>
  <c r="S1726"/>
  <c r="T1726"/>
  <c r="U1726"/>
  <c r="V1726"/>
  <c r="W1726"/>
  <c r="X1726"/>
  <c r="Y1726"/>
  <c r="AA1726"/>
  <c r="AB1726"/>
  <c r="AC1726"/>
  <c r="AD1726"/>
  <c r="P1727"/>
  <c r="Q1727"/>
  <c r="R1727"/>
  <c r="S1727"/>
  <c r="T1727"/>
  <c r="U1727"/>
  <c r="V1727"/>
  <c r="W1727"/>
  <c r="X1727"/>
  <c r="Y1727"/>
  <c r="AA1727"/>
  <c r="AB1727"/>
  <c r="AC1727"/>
  <c r="AD1727"/>
  <c r="P1728"/>
  <c r="Q1728"/>
  <c r="R1728"/>
  <c r="S1728"/>
  <c r="T1728"/>
  <c r="U1728"/>
  <c r="V1728"/>
  <c r="W1728"/>
  <c r="X1728"/>
  <c r="Y1728"/>
  <c r="AA1728"/>
  <c r="AB1728"/>
  <c r="AC1728"/>
  <c r="AD1728"/>
  <c r="P1729"/>
  <c r="Q1729"/>
  <c r="R1729"/>
  <c r="S1729"/>
  <c r="T1729"/>
  <c r="U1729"/>
  <c r="V1729"/>
  <c r="W1729"/>
  <c r="X1729"/>
  <c r="Y1729"/>
  <c r="AA1729"/>
  <c r="AB1729"/>
  <c r="AC1729"/>
  <c r="AD1729"/>
  <c r="P1730"/>
  <c r="Q1730"/>
  <c r="R1730"/>
  <c r="S1730"/>
  <c r="T1730"/>
  <c r="U1730"/>
  <c r="V1730"/>
  <c r="W1730"/>
  <c r="X1730"/>
  <c r="Y1730"/>
  <c r="AA1730"/>
  <c r="AB1730"/>
  <c r="AC1730"/>
  <c r="AD1730"/>
  <c r="P1731"/>
  <c r="Q1731"/>
  <c r="R1731"/>
  <c r="S1731"/>
  <c r="T1731"/>
  <c r="U1731"/>
  <c r="V1731"/>
  <c r="W1731"/>
  <c r="X1731"/>
  <c r="Y1731"/>
  <c r="AA1731"/>
  <c r="AB1731"/>
  <c r="AC1731"/>
  <c r="AD1731"/>
  <c r="P1732"/>
  <c r="Q1732"/>
  <c r="R1732"/>
  <c r="S1732"/>
  <c r="T1732"/>
  <c r="U1732"/>
  <c r="V1732"/>
  <c r="W1732"/>
  <c r="X1732"/>
  <c r="Y1732"/>
  <c r="AA1732"/>
  <c r="AB1732"/>
  <c r="AC1732"/>
  <c r="AD1732"/>
  <c r="P1733"/>
  <c r="Q1733"/>
  <c r="R1733"/>
  <c r="S1733"/>
  <c r="T1733"/>
  <c r="U1733"/>
  <c r="V1733"/>
  <c r="W1733"/>
  <c r="X1733"/>
  <c r="Y1733"/>
  <c r="AA1733"/>
  <c r="AB1733"/>
  <c r="AC1733"/>
  <c r="AD1733"/>
  <c r="P1734"/>
  <c r="Q1734"/>
  <c r="R1734"/>
  <c r="S1734"/>
  <c r="T1734"/>
  <c r="U1734"/>
  <c r="V1734"/>
  <c r="W1734"/>
  <c r="X1734"/>
  <c r="Y1734"/>
  <c r="AA1734"/>
  <c r="AB1734"/>
  <c r="AC1734"/>
  <c r="AD1734"/>
  <c r="P1735"/>
  <c r="Q1735"/>
  <c r="R1735"/>
  <c r="S1735"/>
  <c r="T1735"/>
  <c r="U1735"/>
  <c r="V1735"/>
  <c r="W1735"/>
  <c r="X1735"/>
  <c r="Y1735"/>
  <c r="AA1735"/>
  <c r="AB1735"/>
  <c r="AC1735"/>
  <c r="AD1735"/>
  <c r="P1736"/>
  <c r="Q1736"/>
  <c r="R1736"/>
  <c r="S1736"/>
  <c r="T1736"/>
  <c r="U1736"/>
  <c r="V1736"/>
  <c r="W1736"/>
  <c r="X1736"/>
  <c r="Y1736"/>
  <c r="AA1736"/>
  <c r="AB1736"/>
  <c r="AC1736"/>
  <c r="AD1736"/>
  <c r="P1737"/>
  <c r="Q1737"/>
  <c r="R1737"/>
  <c r="S1737"/>
  <c r="T1737"/>
  <c r="U1737"/>
  <c r="V1737"/>
  <c r="W1737"/>
  <c r="X1737"/>
  <c r="Y1737"/>
  <c r="AA1737"/>
  <c r="AB1737"/>
  <c r="AC1737"/>
  <c r="AD1737"/>
  <c r="P1738"/>
  <c r="Q1738"/>
  <c r="R1738"/>
  <c r="S1738"/>
  <c r="T1738"/>
  <c r="U1738"/>
  <c r="V1738"/>
  <c r="W1738"/>
  <c r="X1738"/>
  <c r="Y1738"/>
  <c r="AA1738"/>
  <c r="AB1738"/>
  <c r="AC1738"/>
  <c r="AD1738"/>
  <c r="P1739"/>
  <c r="Q1739"/>
  <c r="R1739"/>
  <c r="S1739"/>
  <c r="T1739"/>
  <c r="U1739"/>
  <c r="V1739"/>
  <c r="W1739"/>
  <c r="X1739"/>
  <c r="Y1739"/>
  <c r="AA1739"/>
  <c r="AB1739"/>
  <c r="AC1739"/>
  <c r="AD1739"/>
  <c r="P1740"/>
  <c r="Q1740"/>
  <c r="R1740"/>
  <c r="S1740"/>
  <c r="T1740"/>
  <c r="U1740"/>
  <c r="V1740"/>
  <c r="W1740"/>
  <c r="X1740"/>
  <c r="Y1740"/>
  <c r="AA1740"/>
  <c r="AB1740"/>
  <c r="AC1740"/>
  <c r="AD1740"/>
  <c r="P1741"/>
  <c r="Q1741"/>
  <c r="R1741"/>
  <c r="S1741"/>
  <c r="T1741"/>
  <c r="U1741"/>
  <c r="V1741"/>
  <c r="W1741"/>
  <c r="X1741"/>
  <c r="Y1741"/>
  <c r="AA1741"/>
  <c r="AB1741"/>
  <c r="AC1741"/>
  <c r="AD1741"/>
  <c r="P1742"/>
  <c r="Q1742"/>
  <c r="R1742"/>
  <c r="S1742"/>
  <c r="T1742"/>
  <c r="U1742"/>
  <c r="V1742"/>
  <c r="W1742"/>
  <c r="X1742"/>
  <c r="Y1742"/>
  <c r="AA1742"/>
  <c r="AB1742"/>
  <c r="AC1742"/>
  <c r="AD1742"/>
  <c r="P1743"/>
  <c r="Q1743"/>
  <c r="R1743"/>
  <c r="S1743"/>
  <c r="T1743"/>
  <c r="U1743"/>
  <c r="V1743"/>
  <c r="W1743"/>
  <c r="X1743"/>
  <c r="Y1743"/>
  <c r="AA1743"/>
  <c r="AB1743"/>
  <c r="AC1743"/>
  <c r="AD1743"/>
  <c r="P1744"/>
  <c r="Q1744"/>
  <c r="R1744"/>
  <c r="S1744"/>
  <c r="T1744"/>
  <c r="U1744"/>
  <c r="V1744"/>
  <c r="W1744"/>
  <c r="X1744"/>
  <c r="Y1744"/>
  <c r="AA1744"/>
  <c r="AB1744"/>
  <c r="AC1744"/>
  <c r="AD1744"/>
  <c r="P1745"/>
  <c r="Q1745"/>
  <c r="R1745"/>
  <c r="S1745"/>
  <c r="T1745"/>
  <c r="U1745"/>
  <c r="V1745"/>
  <c r="W1745"/>
  <c r="X1745"/>
  <c r="Y1745"/>
  <c r="AA1745"/>
  <c r="AB1745"/>
  <c r="AC1745"/>
  <c r="AD1745"/>
  <c r="P1746"/>
  <c r="Q1746"/>
  <c r="R1746"/>
  <c r="S1746"/>
  <c r="T1746"/>
  <c r="U1746"/>
  <c r="V1746"/>
  <c r="W1746"/>
  <c r="X1746"/>
  <c r="Y1746"/>
  <c r="AA1746"/>
  <c r="AB1746"/>
  <c r="AC1746"/>
  <c r="AD1746"/>
  <c r="P1747"/>
  <c r="Q1747"/>
  <c r="R1747"/>
  <c r="S1747"/>
  <c r="T1747"/>
  <c r="U1747"/>
  <c r="V1747"/>
  <c r="W1747"/>
  <c r="X1747"/>
  <c r="Y1747"/>
  <c r="AA1747"/>
  <c r="AB1747"/>
  <c r="AC1747"/>
  <c r="AD1747"/>
  <c r="P1748"/>
  <c r="Q1748"/>
  <c r="R1748"/>
  <c r="S1748"/>
  <c r="T1748"/>
  <c r="U1748"/>
  <c r="V1748"/>
  <c r="W1748"/>
  <c r="X1748"/>
  <c r="Y1748"/>
  <c r="AA1748"/>
  <c r="AB1748"/>
  <c r="AC1748"/>
  <c r="AD1748"/>
  <c r="P1749"/>
  <c r="Q1749"/>
  <c r="R1749"/>
  <c r="S1749"/>
  <c r="T1749"/>
  <c r="U1749"/>
  <c r="V1749"/>
  <c r="W1749"/>
  <c r="X1749"/>
  <c r="Y1749"/>
  <c r="AA1749"/>
  <c r="AB1749"/>
  <c r="AC1749"/>
  <c r="AD1749"/>
  <c r="P1750"/>
  <c r="Q1750"/>
  <c r="R1750"/>
  <c r="S1750"/>
  <c r="T1750"/>
  <c r="U1750"/>
  <c r="V1750"/>
  <c r="W1750"/>
  <c r="X1750"/>
  <c r="Y1750"/>
  <c r="AA1750"/>
  <c r="AB1750"/>
  <c r="AC1750"/>
  <c r="AD1750"/>
  <c r="P1751"/>
  <c r="Q1751"/>
  <c r="R1751"/>
  <c r="S1751"/>
  <c r="T1751"/>
  <c r="U1751"/>
  <c r="V1751"/>
  <c r="W1751"/>
  <c r="X1751"/>
  <c r="Y1751"/>
  <c r="AA1751"/>
  <c r="AB1751"/>
  <c r="AC1751"/>
  <c r="AD1751"/>
  <c r="P1752"/>
  <c r="Q1752"/>
  <c r="R1752"/>
  <c r="S1752"/>
  <c r="T1752"/>
  <c r="U1752"/>
  <c r="V1752"/>
  <c r="W1752"/>
  <c r="X1752"/>
  <c r="Y1752"/>
  <c r="AA1752"/>
  <c r="AB1752"/>
  <c r="AC1752"/>
  <c r="AD1752"/>
  <c r="P1753"/>
  <c r="Q1753"/>
  <c r="R1753"/>
  <c r="S1753"/>
  <c r="T1753"/>
  <c r="U1753"/>
  <c r="V1753"/>
  <c r="W1753"/>
  <c r="X1753"/>
  <c r="Y1753"/>
  <c r="AA1753"/>
  <c r="AB1753"/>
  <c r="AC1753"/>
  <c r="AD1753"/>
  <c r="P1754"/>
  <c r="Q1754"/>
  <c r="R1754"/>
  <c r="S1754"/>
  <c r="T1754"/>
  <c r="U1754"/>
  <c r="V1754"/>
  <c r="W1754"/>
  <c r="X1754"/>
  <c r="Y1754"/>
  <c r="AA1754"/>
  <c r="AB1754"/>
  <c r="AC1754"/>
  <c r="AD1754"/>
  <c r="P1755"/>
  <c r="Q1755"/>
  <c r="R1755"/>
  <c r="S1755"/>
  <c r="T1755"/>
  <c r="U1755"/>
  <c r="V1755"/>
  <c r="W1755"/>
  <c r="X1755"/>
  <c r="Y1755"/>
  <c r="AA1755"/>
  <c r="AB1755"/>
  <c r="AC1755"/>
  <c r="AD1755"/>
  <c r="P1756"/>
  <c r="Q1756"/>
  <c r="R1756"/>
  <c r="S1756"/>
  <c r="T1756"/>
  <c r="U1756"/>
  <c r="V1756"/>
  <c r="W1756"/>
  <c r="X1756"/>
  <c r="Y1756"/>
  <c r="AA1756"/>
  <c r="AB1756"/>
  <c r="AC1756"/>
  <c r="AD1756"/>
  <c r="P1757"/>
  <c r="Q1757"/>
  <c r="R1757"/>
  <c r="S1757"/>
  <c r="T1757"/>
  <c r="U1757"/>
  <c r="V1757"/>
  <c r="W1757"/>
  <c r="X1757"/>
  <c r="Y1757"/>
  <c r="AA1757"/>
  <c r="AB1757"/>
  <c r="AC1757"/>
  <c r="AD1757"/>
  <c r="P1758"/>
  <c r="Q1758"/>
  <c r="R1758"/>
  <c r="S1758"/>
  <c r="T1758"/>
  <c r="U1758"/>
  <c r="V1758"/>
  <c r="W1758"/>
  <c r="X1758"/>
  <c r="Y1758"/>
  <c r="AA1758"/>
  <c r="AB1758"/>
  <c r="AC1758"/>
  <c r="AD1758"/>
  <c r="P1759"/>
  <c r="Q1759"/>
  <c r="R1759"/>
  <c r="S1759"/>
  <c r="T1759"/>
  <c r="U1759"/>
  <c r="V1759"/>
  <c r="W1759"/>
  <c r="X1759"/>
  <c r="Y1759"/>
  <c r="AA1759"/>
  <c r="AB1759"/>
  <c r="AC1759"/>
  <c r="AD1759"/>
  <c r="P1760"/>
  <c r="Q1760"/>
  <c r="R1760"/>
  <c r="S1760"/>
  <c r="T1760"/>
  <c r="U1760"/>
  <c r="V1760"/>
  <c r="W1760"/>
  <c r="X1760"/>
  <c r="Y1760"/>
  <c r="AA1760"/>
  <c r="AB1760"/>
  <c r="AC1760"/>
  <c r="AD1760"/>
  <c r="P1761"/>
  <c r="Q1761"/>
  <c r="R1761"/>
  <c r="S1761"/>
  <c r="T1761"/>
  <c r="U1761"/>
  <c r="V1761"/>
  <c r="W1761"/>
  <c r="X1761"/>
  <c r="Y1761"/>
  <c r="AA1761"/>
  <c r="AB1761"/>
  <c r="AC1761"/>
  <c r="AD1761"/>
  <c r="P1762"/>
  <c r="Q1762"/>
  <c r="R1762"/>
  <c r="S1762"/>
  <c r="T1762"/>
  <c r="U1762"/>
  <c r="V1762"/>
  <c r="W1762"/>
  <c r="X1762"/>
  <c r="Y1762"/>
  <c r="AA1762"/>
  <c r="AB1762"/>
  <c r="AC1762"/>
  <c r="AD1762"/>
  <c r="P1763"/>
  <c r="Q1763"/>
  <c r="R1763"/>
  <c r="S1763"/>
  <c r="T1763"/>
  <c r="U1763"/>
  <c r="V1763"/>
  <c r="W1763"/>
  <c r="X1763"/>
  <c r="Y1763"/>
  <c r="AA1763"/>
  <c r="AB1763"/>
  <c r="AC1763"/>
  <c r="AD1763"/>
  <c r="P1764"/>
  <c r="Q1764"/>
  <c r="R1764"/>
  <c r="S1764"/>
  <c r="T1764"/>
  <c r="U1764"/>
  <c r="V1764"/>
  <c r="W1764"/>
  <c r="X1764"/>
  <c r="Y1764"/>
  <c r="AA1764"/>
  <c r="AB1764"/>
  <c r="AC1764"/>
  <c r="AD1764"/>
  <c r="P1765"/>
  <c r="Q1765"/>
  <c r="R1765"/>
  <c r="S1765"/>
  <c r="T1765"/>
  <c r="U1765"/>
  <c r="V1765"/>
  <c r="W1765"/>
  <c r="X1765"/>
  <c r="Y1765"/>
  <c r="AA1765"/>
  <c r="AB1765"/>
  <c r="AC1765"/>
  <c r="AD1765"/>
  <c r="P1766"/>
  <c r="Q1766"/>
  <c r="R1766"/>
  <c r="S1766"/>
  <c r="T1766"/>
  <c r="U1766"/>
  <c r="V1766"/>
  <c r="W1766"/>
  <c r="X1766"/>
  <c r="Y1766"/>
  <c r="AA1766"/>
  <c r="AB1766"/>
  <c r="AC1766"/>
  <c r="AD1766"/>
  <c r="P1767"/>
  <c r="Q1767"/>
  <c r="R1767"/>
  <c r="S1767"/>
  <c r="T1767"/>
  <c r="U1767"/>
  <c r="V1767"/>
  <c r="W1767"/>
  <c r="X1767"/>
  <c r="Y1767"/>
  <c r="AA1767"/>
  <c r="AB1767"/>
  <c r="AC1767"/>
  <c r="AD1767"/>
  <c r="P1768"/>
  <c r="Q1768"/>
  <c r="R1768"/>
  <c r="S1768"/>
  <c r="T1768"/>
  <c r="U1768"/>
  <c r="V1768"/>
  <c r="W1768"/>
  <c r="X1768"/>
  <c r="Y1768"/>
  <c r="AA1768"/>
  <c r="AB1768"/>
  <c r="AC1768"/>
  <c r="AD1768"/>
  <c r="P1769"/>
  <c r="Q1769"/>
  <c r="R1769"/>
  <c r="S1769"/>
  <c r="T1769"/>
  <c r="U1769"/>
  <c r="V1769"/>
  <c r="W1769"/>
  <c r="X1769"/>
  <c r="Y1769"/>
  <c r="AA1769"/>
  <c r="AB1769"/>
  <c r="AC1769"/>
  <c r="AD1769"/>
  <c r="P1770"/>
  <c r="Q1770"/>
  <c r="R1770"/>
  <c r="S1770"/>
  <c r="T1770"/>
  <c r="U1770"/>
  <c r="V1770"/>
  <c r="W1770"/>
  <c r="X1770"/>
  <c r="Y1770"/>
  <c r="AA1770"/>
  <c r="AB1770"/>
  <c r="AC1770"/>
  <c r="AD1770"/>
  <c r="P1771"/>
  <c r="Q1771"/>
  <c r="R1771"/>
  <c r="S1771"/>
  <c r="T1771"/>
  <c r="U1771"/>
  <c r="V1771"/>
  <c r="W1771"/>
  <c r="X1771"/>
  <c r="Y1771"/>
  <c r="AA1771"/>
  <c r="AB1771"/>
  <c r="AC1771"/>
  <c r="AD1771"/>
  <c r="P1772"/>
  <c r="Q1772"/>
  <c r="R1772"/>
  <c r="S1772"/>
  <c r="T1772"/>
  <c r="U1772"/>
  <c r="V1772"/>
  <c r="W1772"/>
  <c r="X1772"/>
  <c r="Y1772"/>
  <c r="AA1772"/>
  <c r="AB1772"/>
  <c r="AC1772"/>
  <c r="AD1772"/>
  <c r="P1773"/>
  <c r="Q1773"/>
  <c r="R1773"/>
  <c r="S1773"/>
  <c r="T1773"/>
  <c r="U1773"/>
  <c r="V1773"/>
  <c r="W1773"/>
  <c r="X1773"/>
  <c r="Y1773"/>
  <c r="AA1773"/>
  <c r="AB1773"/>
  <c r="AC1773"/>
  <c r="AD1773"/>
  <c r="P1774"/>
  <c r="Q1774"/>
  <c r="R1774"/>
  <c r="S1774"/>
  <c r="T1774"/>
  <c r="U1774"/>
  <c r="V1774"/>
  <c r="W1774"/>
  <c r="X1774"/>
  <c r="Y1774"/>
  <c r="AA1774"/>
  <c r="AB1774"/>
  <c r="AC1774"/>
  <c r="AD1774"/>
  <c r="P1775"/>
  <c r="Q1775"/>
  <c r="R1775"/>
  <c r="S1775"/>
  <c r="T1775"/>
  <c r="U1775"/>
  <c r="V1775"/>
  <c r="W1775"/>
  <c r="X1775"/>
  <c r="Y1775"/>
  <c r="AA1775"/>
  <c r="AB1775"/>
  <c r="AC1775"/>
  <c r="AD1775"/>
  <c r="P1776"/>
  <c r="Q1776"/>
  <c r="R1776"/>
  <c r="S1776"/>
  <c r="T1776"/>
  <c r="U1776"/>
  <c r="V1776"/>
  <c r="W1776"/>
  <c r="X1776"/>
  <c r="Y1776"/>
  <c r="AA1776"/>
  <c r="AB1776"/>
  <c r="AC1776"/>
  <c r="AD1776"/>
  <c r="P1777"/>
  <c r="Q1777"/>
  <c r="R1777"/>
  <c r="S1777"/>
  <c r="T1777"/>
  <c r="U1777"/>
  <c r="V1777"/>
  <c r="W1777"/>
  <c r="X1777"/>
  <c r="Y1777"/>
  <c r="AA1777"/>
  <c r="AB1777"/>
  <c r="AC1777"/>
  <c r="AD1777"/>
  <c r="P1778"/>
  <c r="Q1778"/>
  <c r="R1778"/>
  <c r="S1778"/>
  <c r="T1778"/>
  <c r="U1778"/>
  <c r="V1778"/>
  <c r="W1778"/>
  <c r="X1778"/>
  <c r="Y1778"/>
  <c r="AA1778"/>
  <c r="AB1778"/>
  <c r="AC1778"/>
  <c r="AD1778"/>
  <c r="P1779"/>
  <c r="Q1779"/>
  <c r="R1779"/>
  <c r="S1779"/>
  <c r="T1779"/>
  <c r="U1779"/>
  <c r="V1779"/>
  <c r="W1779"/>
  <c r="X1779"/>
  <c r="Y1779"/>
  <c r="AA1779"/>
  <c r="AB1779"/>
  <c r="AC1779"/>
  <c r="AD1779"/>
  <c r="P1780"/>
  <c r="Q1780"/>
  <c r="R1780"/>
  <c r="S1780"/>
  <c r="T1780"/>
  <c r="U1780"/>
  <c r="V1780"/>
  <c r="W1780"/>
  <c r="X1780"/>
  <c r="Y1780"/>
  <c r="AA1780"/>
  <c r="AB1780"/>
  <c r="AC1780"/>
  <c r="AD1780"/>
  <c r="P1781"/>
  <c r="Q1781"/>
  <c r="R1781"/>
  <c r="S1781"/>
  <c r="T1781"/>
  <c r="U1781"/>
  <c r="V1781"/>
  <c r="W1781"/>
  <c r="X1781"/>
  <c r="Y1781"/>
  <c r="AA1781"/>
  <c r="AB1781"/>
  <c r="AC1781"/>
  <c r="AD1781"/>
  <c r="P1782"/>
  <c r="Q1782"/>
  <c r="R1782"/>
  <c r="S1782"/>
  <c r="T1782"/>
  <c r="U1782"/>
  <c r="V1782"/>
  <c r="W1782"/>
  <c r="X1782"/>
  <c r="Y1782"/>
  <c r="AA1782"/>
  <c r="AB1782"/>
  <c r="AC1782"/>
  <c r="AD1782"/>
  <c r="P1783"/>
  <c r="Q1783"/>
  <c r="R1783"/>
  <c r="S1783"/>
  <c r="T1783"/>
  <c r="U1783"/>
  <c r="V1783"/>
  <c r="W1783"/>
  <c r="X1783"/>
  <c r="Y1783"/>
  <c r="AA1783"/>
  <c r="AB1783"/>
  <c r="AC1783"/>
  <c r="AD1783"/>
  <c r="P1784"/>
  <c r="Q1784"/>
  <c r="R1784"/>
  <c r="S1784"/>
  <c r="T1784"/>
  <c r="U1784"/>
  <c r="V1784"/>
  <c r="W1784"/>
  <c r="X1784"/>
  <c r="Y1784"/>
  <c r="AA1784"/>
  <c r="AB1784"/>
  <c r="AC1784"/>
  <c r="AD1784"/>
  <c r="P1785"/>
  <c r="Q1785"/>
  <c r="R1785"/>
  <c r="S1785"/>
  <c r="T1785"/>
  <c r="U1785"/>
  <c r="V1785"/>
  <c r="W1785"/>
  <c r="X1785"/>
  <c r="Y1785"/>
  <c r="AA1785"/>
  <c r="AB1785"/>
  <c r="AC1785"/>
  <c r="AD1785"/>
  <c r="P1786"/>
  <c r="Q1786"/>
  <c r="R1786"/>
  <c r="S1786"/>
  <c r="T1786"/>
  <c r="U1786"/>
  <c r="V1786"/>
  <c r="W1786"/>
  <c r="X1786"/>
  <c r="Y1786"/>
  <c r="AA1786"/>
  <c r="AB1786"/>
  <c r="AC1786"/>
  <c r="AD1786"/>
  <c r="P1787"/>
  <c r="Q1787"/>
  <c r="R1787"/>
  <c r="S1787"/>
  <c r="T1787"/>
  <c r="U1787"/>
  <c r="V1787"/>
  <c r="W1787"/>
  <c r="X1787"/>
  <c r="Y1787"/>
  <c r="AA1787"/>
  <c r="AB1787"/>
  <c r="AC1787"/>
  <c r="AD1787"/>
  <c r="P1788"/>
  <c r="Q1788"/>
  <c r="R1788"/>
  <c r="S1788"/>
  <c r="T1788"/>
  <c r="U1788"/>
  <c r="V1788"/>
  <c r="W1788"/>
  <c r="X1788"/>
  <c r="Y1788"/>
  <c r="AA1788"/>
  <c r="AB1788"/>
  <c r="AC1788"/>
  <c r="AD1788"/>
  <c r="P1789"/>
  <c r="Q1789"/>
  <c r="R1789"/>
  <c r="S1789"/>
  <c r="T1789"/>
  <c r="U1789"/>
  <c r="V1789"/>
  <c r="W1789"/>
  <c r="X1789"/>
  <c r="Y1789"/>
  <c r="AA1789"/>
  <c r="AB1789"/>
  <c r="AC1789"/>
  <c r="AD1789"/>
  <c r="P1790"/>
  <c r="Q1790"/>
  <c r="R1790"/>
  <c r="S1790"/>
  <c r="T1790"/>
  <c r="U1790"/>
  <c r="V1790"/>
  <c r="W1790"/>
  <c r="X1790"/>
  <c r="Y1790"/>
  <c r="AA1790"/>
  <c r="AB1790"/>
  <c r="AC1790"/>
  <c r="AD1790"/>
  <c r="P1791"/>
  <c r="Q1791"/>
  <c r="R1791"/>
  <c r="S1791"/>
  <c r="T1791"/>
  <c r="U1791"/>
  <c r="V1791"/>
  <c r="W1791"/>
  <c r="X1791"/>
  <c r="Y1791"/>
  <c r="AA1791"/>
  <c r="AB1791"/>
  <c r="AC1791"/>
  <c r="AD1791"/>
  <c r="P1792"/>
  <c r="Q1792"/>
  <c r="R1792"/>
  <c r="S1792"/>
  <c r="T1792"/>
  <c r="U1792"/>
  <c r="V1792"/>
  <c r="W1792"/>
  <c r="X1792"/>
  <c r="Y1792"/>
  <c r="AA1792"/>
  <c r="AB1792"/>
  <c r="AC1792"/>
  <c r="AD1792"/>
  <c r="P1793"/>
  <c r="Q1793"/>
  <c r="R1793"/>
  <c r="S1793"/>
  <c r="T1793"/>
  <c r="U1793"/>
  <c r="V1793"/>
  <c r="W1793"/>
  <c r="X1793"/>
  <c r="Y1793"/>
  <c r="AA1793"/>
  <c r="AB1793"/>
  <c r="AC1793"/>
  <c r="AD1793"/>
  <c r="P1794"/>
  <c r="Q1794"/>
  <c r="R1794"/>
  <c r="S1794"/>
  <c r="T1794"/>
  <c r="U1794"/>
  <c r="V1794"/>
  <c r="W1794"/>
  <c r="X1794"/>
  <c r="Y1794"/>
  <c r="AA1794"/>
  <c r="AB1794"/>
  <c r="AC1794"/>
  <c r="AD1794"/>
  <c r="P1795"/>
  <c r="Q1795"/>
  <c r="R1795"/>
  <c r="S1795"/>
  <c r="T1795"/>
  <c r="U1795"/>
  <c r="V1795"/>
  <c r="W1795"/>
  <c r="X1795"/>
  <c r="Y1795"/>
  <c r="AA1795"/>
  <c r="AB1795"/>
  <c r="AC1795"/>
  <c r="AD1795"/>
  <c r="P1796"/>
  <c r="Q1796"/>
  <c r="R1796"/>
  <c r="S1796"/>
  <c r="T1796"/>
  <c r="U1796"/>
  <c r="V1796"/>
  <c r="W1796"/>
  <c r="X1796"/>
  <c r="Y1796"/>
  <c r="AA1796"/>
  <c r="AB1796"/>
  <c r="AC1796"/>
  <c r="AD1796"/>
  <c r="P1797"/>
  <c r="Q1797"/>
  <c r="R1797"/>
  <c r="S1797"/>
  <c r="T1797"/>
  <c r="U1797"/>
  <c r="V1797"/>
  <c r="W1797"/>
  <c r="X1797"/>
  <c r="Y1797"/>
  <c r="AA1797"/>
  <c r="AB1797"/>
  <c r="AC1797"/>
  <c r="AD1797"/>
  <c r="P1798"/>
  <c r="Q1798"/>
  <c r="R1798"/>
  <c r="S1798"/>
  <c r="T1798"/>
  <c r="U1798"/>
  <c r="V1798"/>
  <c r="W1798"/>
  <c r="X1798"/>
  <c r="Y1798"/>
  <c r="AA1798"/>
  <c r="AB1798"/>
  <c r="AC1798"/>
  <c r="AD1798"/>
  <c r="P1799"/>
  <c r="Q1799"/>
  <c r="R1799"/>
  <c r="S1799"/>
  <c r="T1799"/>
  <c r="U1799"/>
  <c r="V1799"/>
  <c r="W1799"/>
  <c r="X1799"/>
  <c r="Y1799"/>
  <c r="AA1799"/>
  <c r="AB1799"/>
  <c r="AC1799"/>
  <c r="AD1799"/>
  <c r="P1800"/>
  <c r="Q1800"/>
  <c r="R1800"/>
  <c r="S1800"/>
  <c r="T1800"/>
  <c r="U1800"/>
  <c r="V1800"/>
  <c r="W1800"/>
  <c r="X1800"/>
  <c r="Y1800"/>
  <c r="AA1800"/>
  <c r="AB1800"/>
  <c r="AC1800"/>
  <c r="AD1800"/>
  <c r="P1801"/>
  <c r="Q1801"/>
  <c r="R1801"/>
  <c r="S1801"/>
  <c r="T1801"/>
  <c r="U1801"/>
  <c r="V1801"/>
  <c r="W1801"/>
  <c r="X1801"/>
  <c r="Y1801"/>
  <c r="AA1801"/>
  <c r="AB1801"/>
  <c r="AC1801"/>
  <c r="AD1801"/>
  <c r="P1802"/>
  <c r="Q1802"/>
  <c r="R1802"/>
  <c r="S1802"/>
  <c r="T1802"/>
  <c r="U1802"/>
  <c r="V1802"/>
  <c r="W1802"/>
  <c r="X1802"/>
  <c r="Y1802"/>
  <c r="AA1802"/>
  <c r="AB1802"/>
  <c r="AC1802"/>
  <c r="AD1802"/>
  <c r="P1803"/>
  <c r="Q1803"/>
  <c r="R1803"/>
  <c r="S1803"/>
  <c r="T1803"/>
  <c r="U1803"/>
  <c r="V1803"/>
  <c r="W1803"/>
  <c r="X1803"/>
  <c r="Y1803"/>
  <c r="AA1803"/>
  <c r="AB1803"/>
  <c r="AC1803"/>
  <c r="AD1803"/>
  <c r="P1804"/>
  <c r="Q1804"/>
  <c r="R1804"/>
  <c r="S1804"/>
  <c r="T1804"/>
  <c r="U1804"/>
  <c r="V1804"/>
  <c r="W1804"/>
  <c r="X1804"/>
  <c r="Y1804"/>
  <c r="AA1804"/>
  <c r="AB1804"/>
  <c r="AC1804"/>
  <c r="AD1804"/>
  <c r="P1805"/>
  <c r="Q1805"/>
  <c r="R1805"/>
  <c r="S1805"/>
  <c r="T1805"/>
  <c r="U1805"/>
  <c r="V1805"/>
  <c r="W1805"/>
  <c r="X1805"/>
  <c r="Y1805"/>
  <c r="AA1805"/>
  <c r="AB1805"/>
  <c r="AC1805"/>
  <c r="AD1805"/>
  <c r="P1806"/>
  <c r="Q1806"/>
  <c r="R1806"/>
  <c r="S1806"/>
  <c r="T1806"/>
  <c r="U1806"/>
  <c r="V1806"/>
  <c r="W1806"/>
  <c r="X1806"/>
  <c r="Y1806"/>
  <c r="AA1806"/>
  <c r="AB1806"/>
  <c r="AC1806"/>
  <c r="AD1806"/>
  <c r="P1807"/>
  <c r="Q1807"/>
  <c r="R1807"/>
  <c r="S1807"/>
  <c r="T1807"/>
  <c r="U1807"/>
  <c r="V1807"/>
  <c r="W1807"/>
  <c r="X1807"/>
  <c r="Y1807"/>
  <c r="AA1807"/>
  <c r="AB1807"/>
  <c r="AC1807"/>
  <c r="AD1807"/>
  <c r="P1808"/>
  <c r="Q1808"/>
  <c r="R1808"/>
  <c r="S1808"/>
  <c r="T1808"/>
  <c r="U1808"/>
  <c r="V1808"/>
  <c r="W1808"/>
  <c r="X1808"/>
  <c r="Y1808"/>
  <c r="AA1808"/>
  <c r="AB1808"/>
  <c r="AC1808"/>
  <c r="AD1808"/>
  <c r="P1809"/>
  <c r="Q1809"/>
  <c r="R1809"/>
  <c r="S1809"/>
  <c r="T1809"/>
  <c r="U1809"/>
  <c r="V1809"/>
  <c r="W1809"/>
  <c r="X1809"/>
  <c r="Y1809"/>
  <c r="AA1809"/>
  <c r="AB1809"/>
  <c r="AC1809"/>
  <c r="AD1809"/>
  <c r="P1810"/>
  <c r="Q1810"/>
  <c r="R1810"/>
  <c r="S1810"/>
  <c r="T1810"/>
  <c r="U1810"/>
  <c r="V1810"/>
  <c r="W1810"/>
  <c r="X1810"/>
  <c r="Y1810"/>
  <c r="AA1810"/>
  <c r="AB1810"/>
  <c r="AC1810"/>
  <c r="AD1810"/>
  <c r="P1811"/>
  <c r="Q1811"/>
  <c r="R1811"/>
  <c r="S1811"/>
  <c r="T1811"/>
  <c r="U1811"/>
  <c r="V1811"/>
  <c r="W1811"/>
  <c r="X1811"/>
  <c r="Y1811"/>
  <c r="AA1811"/>
  <c r="AB1811"/>
  <c r="AC1811"/>
  <c r="AD1811"/>
  <c r="P1812"/>
  <c r="Q1812"/>
  <c r="R1812"/>
  <c r="S1812"/>
  <c r="T1812"/>
  <c r="U1812"/>
  <c r="V1812"/>
  <c r="W1812"/>
  <c r="X1812"/>
  <c r="Y1812"/>
  <c r="AA1812"/>
  <c r="AB1812"/>
  <c r="AC1812"/>
  <c r="AD1812"/>
  <c r="P1813"/>
  <c r="Q1813"/>
  <c r="R1813"/>
  <c r="S1813"/>
  <c r="T1813"/>
  <c r="U1813"/>
  <c r="V1813"/>
  <c r="W1813"/>
  <c r="X1813"/>
  <c r="Y1813"/>
  <c r="AA1813"/>
  <c r="AB1813"/>
  <c r="AC1813"/>
  <c r="AD1813"/>
  <c r="P1814"/>
  <c r="Q1814"/>
  <c r="R1814"/>
  <c r="S1814"/>
  <c r="T1814"/>
  <c r="U1814"/>
  <c r="V1814"/>
  <c r="W1814"/>
  <c r="X1814"/>
  <c r="Y1814"/>
  <c r="AA1814"/>
  <c r="AB1814"/>
  <c r="AC1814"/>
  <c r="AD1814"/>
  <c r="P1815"/>
  <c r="Q1815"/>
  <c r="R1815"/>
  <c r="S1815"/>
  <c r="T1815"/>
  <c r="U1815"/>
  <c r="V1815"/>
  <c r="W1815"/>
  <c r="X1815"/>
  <c r="Y1815"/>
  <c r="AA1815"/>
  <c r="AB1815"/>
  <c r="AC1815"/>
  <c r="AD1815"/>
  <c r="P1816"/>
  <c r="Q1816"/>
  <c r="R1816"/>
  <c r="S1816"/>
  <c r="T1816"/>
  <c r="U1816"/>
  <c r="V1816"/>
  <c r="W1816"/>
  <c r="X1816"/>
  <c r="Y1816"/>
  <c r="AA1816"/>
  <c r="AB1816"/>
  <c r="AC1816"/>
  <c r="AD1816"/>
  <c r="P1817"/>
  <c r="Q1817"/>
  <c r="R1817"/>
  <c r="S1817"/>
  <c r="T1817"/>
  <c r="U1817"/>
  <c r="V1817"/>
  <c r="W1817"/>
  <c r="X1817"/>
  <c r="Y1817"/>
  <c r="AA1817"/>
  <c r="AB1817"/>
  <c r="AC1817"/>
  <c r="AD1817"/>
  <c r="P1818"/>
  <c r="Q1818"/>
  <c r="R1818"/>
  <c r="S1818"/>
  <c r="T1818"/>
  <c r="U1818"/>
  <c r="V1818"/>
  <c r="W1818"/>
  <c r="X1818"/>
  <c r="Y1818"/>
  <c r="AA1818"/>
  <c r="AB1818"/>
  <c r="AC1818"/>
  <c r="AD1818"/>
  <c r="P1819"/>
  <c r="Q1819"/>
  <c r="R1819"/>
  <c r="S1819"/>
  <c r="T1819"/>
  <c r="U1819"/>
  <c r="V1819"/>
  <c r="W1819"/>
  <c r="X1819"/>
  <c r="Y1819"/>
  <c r="AA1819"/>
  <c r="AB1819"/>
  <c r="AC1819"/>
  <c r="AD1819"/>
  <c r="P1820"/>
  <c r="Q1820"/>
  <c r="R1820"/>
  <c r="S1820"/>
  <c r="T1820"/>
  <c r="U1820"/>
  <c r="V1820"/>
  <c r="W1820"/>
  <c r="X1820"/>
  <c r="Y1820"/>
  <c r="AA1820"/>
  <c r="AB1820"/>
  <c r="AC1820"/>
  <c r="AD1820"/>
  <c r="P1821"/>
  <c r="Q1821"/>
  <c r="R1821"/>
  <c r="S1821"/>
  <c r="T1821"/>
  <c r="U1821"/>
  <c r="V1821"/>
  <c r="W1821"/>
  <c r="X1821"/>
  <c r="Y1821"/>
  <c r="AA1821"/>
  <c r="AB1821"/>
  <c r="AC1821"/>
  <c r="AD1821"/>
  <c r="P1822"/>
  <c r="Q1822"/>
  <c r="R1822"/>
  <c r="S1822"/>
  <c r="T1822"/>
  <c r="U1822"/>
  <c r="V1822"/>
  <c r="W1822"/>
  <c r="X1822"/>
  <c r="Y1822"/>
  <c r="AA1822"/>
  <c r="AB1822"/>
  <c r="AC1822"/>
  <c r="AD1822"/>
  <c r="P1823"/>
  <c r="Q1823"/>
  <c r="R1823"/>
  <c r="S1823"/>
  <c r="T1823"/>
  <c r="U1823"/>
  <c r="V1823"/>
  <c r="W1823"/>
  <c r="X1823"/>
  <c r="Y1823"/>
  <c r="AA1823"/>
  <c r="AB1823"/>
  <c r="AC1823"/>
  <c r="AD1823"/>
  <c r="P1824"/>
  <c r="Q1824"/>
  <c r="R1824"/>
  <c r="S1824"/>
  <c r="T1824"/>
  <c r="U1824"/>
  <c r="V1824"/>
  <c r="W1824"/>
  <c r="X1824"/>
  <c r="Y1824"/>
  <c r="AA1824"/>
  <c r="AB1824"/>
  <c r="AC1824"/>
  <c r="AD1824"/>
  <c r="P1825"/>
  <c r="Q1825"/>
  <c r="R1825"/>
  <c r="S1825"/>
  <c r="T1825"/>
  <c r="U1825"/>
  <c r="V1825"/>
  <c r="W1825"/>
  <c r="X1825"/>
  <c r="Y1825"/>
  <c r="AA1825"/>
  <c r="AB1825"/>
  <c r="AC1825"/>
  <c r="AD1825"/>
  <c r="P1826"/>
  <c r="Q1826"/>
  <c r="R1826"/>
  <c r="S1826"/>
  <c r="T1826"/>
  <c r="U1826"/>
  <c r="V1826"/>
  <c r="W1826"/>
  <c r="X1826"/>
  <c r="Y1826"/>
  <c r="AA1826"/>
  <c r="AB1826"/>
  <c r="AC1826"/>
  <c r="AD1826"/>
  <c r="P1827"/>
  <c r="Q1827"/>
  <c r="R1827"/>
  <c r="S1827"/>
  <c r="T1827"/>
  <c r="U1827"/>
  <c r="V1827"/>
  <c r="W1827"/>
  <c r="X1827"/>
  <c r="Y1827"/>
  <c r="AA1827"/>
  <c r="AB1827"/>
  <c r="AC1827"/>
  <c r="AD1827"/>
  <c r="P1828"/>
  <c r="Q1828"/>
  <c r="R1828"/>
  <c r="S1828"/>
  <c r="T1828"/>
  <c r="U1828"/>
  <c r="V1828"/>
  <c r="W1828"/>
  <c r="X1828"/>
  <c r="Y1828"/>
  <c r="AA1828"/>
  <c r="AB1828"/>
  <c r="AC1828"/>
  <c r="AD1828"/>
  <c r="P1829"/>
  <c r="Q1829"/>
  <c r="R1829"/>
  <c r="S1829"/>
  <c r="T1829"/>
  <c r="U1829"/>
  <c r="V1829"/>
  <c r="W1829"/>
  <c r="X1829"/>
  <c r="Y1829"/>
  <c r="AA1829"/>
  <c r="AB1829"/>
  <c r="AC1829"/>
  <c r="AD1829"/>
  <c r="P1830"/>
  <c r="Q1830"/>
  <c r="R1830"/>
  <c r="S1830"/>
  <c r="T1830"/>
  <c r="U1830"/>
  <c r="V1830"/>
  <c r="W1830"/>
  <c r="X1830"/>
  <c r="Y1830"/>
  <c r="AA1830"/>
  <c r="AB1830"/>
  <c r="AC1830"/>
  <c r="AD1830"/>
  <c r="P1831"/>
  <c r="Q1831"/>
  <c r="R1831"/>
  <c r="S1831"/>
  <c r="T1831"/>
  <c r="U1831"/>
  <c r="V1831"/>
  <c r="W1831"/>
  <c r="X1831"/>
  <c r="Y1831"/>
  <c r="AA1831"/>
  <c r="AB1831"/>
  <c r="AC1831"/>
  <c r="AD1831"/>
  <c r="P1832"/>
  <c r="Q1832"/>
  <c r="R1832"/>
  <c r="S1832"/>
  <c r="T1832"/>
  <c r="U1832"/>
  <c r="V1832"/>
  <c r="W1832"/>
  <c r="X1832"/>
  <c r="Y1832"/>
  <c r="AA1832"/>
  <c r="AB1832"/>
  <c r="AC1832"/>
  <c r="AD1832"/>
  <c r="P1833"/>
  <c r="Q1833"/>
  <c r="R1833"/>
  <c r="S1833"/>
  <c r="T1833"/>
  <c r="U1833"/>
  <c r="V1833"/>
  <c r="W1833"/>
  <c r="X1833"/>
  <c r="Y1833"/>
  <c r="AA1833"/>
  <c r="AB1833"/>
  <c r="AC1833"/>
  <c r="AD1833"/>
  <c r="P1834"/>
  <c r="Q1834"/>
  <c r="R1834"/>
  <c r="S1834"/>
  <c r="T1834"/>
  <c r="U1834"/>
  <c r="V1834"/>
  <c r="W1834"/>
  <c r="X1834"/>
  <c r="Y1834"/>
  <c r="AA1834"/>
  <c r="AB1834"/>
  <c r="AC1834"/>
  <c r="AD1834"/>
  <c r="P1835"/>
  <c r="Q1835"/>
  <c r="R1835"/>
  <c r="S1835"/>
  <c r="T1835"/>
  <c r="U1835"/>
  <c r="V1835"/>
  <c r="W1835"/>
  <c r="X1835"/>
  <c r="Y1835"/>
  <c r="AA1835"/>
  <c r="AB1835"/>
  <c r="AC1835"/>
  <c r="AD1835"/>
  <c r="P1836"/>
  <c r="Q1836"/>
  <c r="R1836"/>
  <c r="S1836"/>
  <c r="T1836"/>
  <c r="U1836"/>
  <c r="V1836"/>
  <c r="W1836"/>
  <c r="X1836"/>
  <c r="Y1836"/>
  <c r="AA1836"/>
  <c r="AB1836"/>
  <c r="AC1836"/>
  <c r="AD1836"/>
  <c r="P1837"/>
  <c r="Q1837"/>
  <c r="R1837"/>
  <c r="S1837"/>
  <c r="T1837"/>
  <c r="U1837"/>
  <c r="V1837"/>
  <c r="W1837"/>
  <c r="X1837"/>
  <c r="Y1837"/>
  <c r="AA1837"/>
  <c r="AB1837"/>
  <c r="AC1837"/>
  <c r="AD1837"/>
  <c r="P1838"/>
  <c r="Q1838"/>
  <c r="R1838"/>
  <c r="S1838"/>
  <c r="T1838"/>
  <c r="U1838"/>
  <c r="V1838"/>
  <c r="W1838"/>
  <c r="X1838"/>
  <c r="Y1838"/>
  <c r="AA1838"/>
  <c r="AB1838"/>
  <c r="AC1838"/>
  <c r="AD1838"/>
  <c r="P1839"/>
  <c r="Q1839"/>
  <c r="R1839"/>
  <c r="S1839"/>
  <c r="T1839"/>
  <c r="U1839"/>
  <c r="V1839"/>
  <c r="W1839"/>
  <c r="X1839"/>
  <c r="Y1839"/>
  <c r="AA1839"/>
  <c r="AB1839"/>
  <c r="AC1839"/>
  <c r="AD1839"/>
  <c r="P1840"/>
  <c r="Q1840"/>
  <c r="R1840"/>
  <c r="S1840"/>
  <c r="T1840"/>
  <c r="U1840"/>
  <c r="V1840"/>
  <c r="W1840"/>
  <c r="X1840"/>
  <c r="Y1840"/>
  <c r="AA1840"/>
  <c r="AB1840"/>
  <c r="AC1840"/>
  <c r="AD1840"/>
  <c r="P1841"/>
  <c r="Q1841"/>
  <c r="R1841"/>
  <c r="S1841"/>
  <c r="T1841"/>
  <c r="U1841"/>
  <c r="V1841"/>
  <c r="W1841"/>
  <c r="X1841"/>
  <c r="Y1841"/>
  <c r="AA1841"/>
  <c r="AB1841"/>
  <c r="AC1841"/>
  <c r="AD1841"/>
  <c r="P1842"/>
  <c r="Q1842"/>
  <c r="R1842"/>
  <c r="S1842"/>
  <c r="T1842"/>
  <c r="U1842"/>
  <c r="V1842"/>
  <c r="W1842"/>
  <c r="X1842"/>
  <c r="Y1842"/>
  <c r="AA1842"/>
  <c r="AB1842"/>
  <c r="AC1842"/>
  <c r="AD1842"/>
  <c r="P1843"/>
  <c r="Q1843"/>
  <c r="R1843"/>
  <c r="S1843"/>
  <c r="T1843"/>
  <c r="U1843"/>
  <c r="V1843"/>
  <c r="W1843"/>
  <c r="X1843"/>
  <c r="Y1843"/>
  <c r="AA1843"/>
  <c r="AB1843"/>
  <c r="AC1843"/>
  <c r="AD1843"/>
  <c r="P1844"/>
  <c r="Q1844"/>
  <c r="R1844"/>
  <c r="S1844"/>
  <c r="T1844"/>
  <c r="U1844"/>
  <c r="V1844"/>
  <c r="W1844"/>
  <c r="X1844"/>
  <c r="Y1844"/>
  <c r="AA1844"/>
  <c r="AB1844"/>
  <c r="AC1844"/>
  <c r="AD1844"/>
  <c r="P1845"/>
  <c r="Q1845"/>
  <c r="R1845"/>
  <c r="S1845"/>
  <c r="T1845"/>
  <c r="U1845"/>
  <c r="V1845"/>
  <c r="W1845"/>
  <c r="X1845"/>
  <c r="Y1845"/>
  <c r="AA1845"/>
  <c r="AB1845"/>
  <c r="AC1845"/>
  <c r="AD1845"/>
  <c r="P1846"/>
  <c r="Q1846"/>
  <c r="R1846"/>
  <c r="S1846"/>
  <c r="T1846"/>
  <c r="U1846"/>
  <c r="V1846"/>
  <c r="W1846"/>
  <c r="X1846"/>
  <c r="Y1846"/>
  <c r="AA1846"/>
  <c r="AB1846"/>
  <c r="AC1846"/>
  <c r="AD1846"/>
  <c r="P1847"/>
  <c r="Q1847"/>
  <c r="R1847"/>
  <c r="S1847"/>
  <c r="T1847"/>
  <c r="U1847"/>
  <c r="V1847"/>
  <c r="W1847"/>
  <c r="X1847"/>
  <c r="Y1847"/>
  <c r="AA1847"/>
  <c r="AB1847"/>
  <c r="AC1847"/>
  <c r="AD1847"/>
  <c r="P1848"/>
  <c r="Q1848"/>
  <c r="R1848"/>
  <c r="S1848"/>
  <c r="T1848"/>
  <c r="U1848"/>
  <c r="V1848"/>
  <c r="W1848"/>
  <c r="X1848"/>
  <c r="Y1848"/>
  <c r="AA1848"/>
  <c r="AB1848"/>
  <c r="AC1848"/>
  <c r="AD1848"/>
  <c r="P1849"/>
  <c r="Q1849"/>
  <c r="R1849"/>
  <c r="S1849"/>
  <c r="T1849"/>
  <c r="U1849"/>
  <c r="V1849"/>
  <c r="W1849"/>
  <c r="X1849"/>
  <c r="Y1849"/>
  <c r="AA1849"/>
  <c r="AB1849"/>
  <c r="AC1849"/>
  <c r="AD1849"/>
  <c r="P1850"/>
  <c r="Q1850"/>
  <c r="R1850"/>
  <c r="S1850"/>
  <c r="T1850"/>
  <c r="U1850"/>
  <c r="V1850"/>
  <c r="W1850"/>
  <c r="X1850"/>
  <c r="Y1850"/>
  <c r="AA1850"/>
  <c r="AB1850"/>
  <c r="AC1850"/>
  <c r="AD1850"/>
  <c r="P1851"/>
  <c r="Q1851"/>
  <c r="R1851"/>
  <c r="S1851"/>
  <c r="T1851"/>
  <c r="U1851"/>
  <c r="V1851"/>
  <c r="W1851"/>
  <c r="X1851"/>
  <c r="Y1851"/>
  <c r="AA1851"/>
  <c r="AB1851"/>
  <c r="AC1851"/>
  <c r="AD1851"/>
  <c r="P1852"/>
  <c r="Q1852"/>
  <c r="R1852"/>
  <c r="S1852"/>
  <c r="T1852"/>
  <c r="U1852"/>
  <c r="V1852"/>
  <c r="W1852"/>
  <c r="X1852"/>
  <c r="Y1852"/>
  <c r="AA1852"/>
  <c r="AB1852"/>
  <c r="AC1852"/>
  <c r="AD1852"/>
  <c r="P1853"/>
  <c r="Q1853"/>
  <c r="R1853"/>
  <c r="S1853"/>
  <c r="T1853"/>
  <c r="U1853"/>
  <c r="V1853"/>
  <c r="W1853"/>
  <c r="X1853"/>
  <c r="Y1853"/>
  <c r="AA1853"/>
  <c r="AB1853"/>
  <c r="AC1853"/>
  <c r="AD1853"/>
  <c r="P1854"/>
  <c r="Q1854"/>
  <c r="R1854"/>
  <c r="S1854"/>
  <c r="T1854"/>
  <c r="U1854"/>
  <c r="V1854"/>
  <c r="W1854"/>
  <c r="X1854"/>
  <c r="Y1854"/>
  <c r="AA1854"/>
  <c r="AB1854"/>
  <c r="AC1854"/>
  <c r="AD1854"/>
  <c r="P1855"/>
  <c r="Q1855"/>
  <c r="R1855"/>
  <c r="S1855"/>
  <c r="T1855"/>
  <c r="U1855"/>
  <c r="V1855"/>
  <c r="W1855"/>
  <c r="X1855"/>
  <c r="Y1855"/>
  <c r="AA1855"/>
  <c r="AB1855"/>
  <c r="AC1855"/>
  <c r="AD1855"/>
  <c r="P1856"/>
  <c r="Q1856"/>
  <c r="R1856"/>
  <c r="S1856"/>
  <c r="T1856"/>
  <c r="U1856"/>
  <c r="V1856"/>
  <c r="W1856"/>
  <c r="X1856"/>
  <c r="Y1856"/>
  <c r="AA1856"/>
  <c r="AB1856"/>
  <c r="AC1856"/>
  <c r="AD1856"/>
  <c r="P1857"/>
  <c r="Q1857"/>
  <c r="R1857"/>
  <c r="S1857"/>
  <c r="T1857"/>
  <c r="U1857"/>
  <c r="V1857"/>
  <c r="W1857"/>
  <c r="X1857"/>
  <c r="Y1857"/>
  <c r="AA1857"/>
  <c r="AB1857"/>
  <c r="AC1857"/>
  <c r="AD1857"/>
  <c r="P1858"/>
  <c r="Q1858"/>
  <c r="R1858"/>
  <c r="S1858"/>
  <c r="T1858"/>
  <c r="U1858"/>
  <c r="V1858"/>
  <c r="W1858"/>
  <c r="X1858"/>
  <c r="Y1858"/>
  <c r="AA1858"/>
  <c r="AB1858"/>
  <c r="AC1858"/>
  <c r="AD1858"/>
  <c r="P1859"/>
  <c r="Q1859"/>
  <c r="R1859"/>
  <c r="S1859"/>
  <c r="T1859"/>
  <c r="U1859"/>
  <c r="V1859"/>
  <c r="W1859"/>
  <c r="X1859"/>
  <c r="Y1859"/>
  <c r="AA1859"/>
  <c r="AB1859"/>
  <c r="AC1859"/>
  <c r="AD1859"/>
  <c r="P1860"/>
  <c r="Q1860"/>
  <c r="R1860"/>
  <c r="S1860"/>
  <c r="T1860"/>
  <c r="U1860"/>
  <c r="V1860"/>
  <c r="W1860"/>
  <c r="X1860"/>
  <c r="Y1860"/>
  <c r="AA1860"/>
  <c r="AB1860"/>
  <c r="AC1860"/>
  <c r="AD1860"/>
  <c r="P1861"/>
  <c r="Q1861"/>
  <c r="R1861"/>
  <c r="S1861"/>
  <c r="T1861"/>
  <c r="U1861"/>
  <c r="V1861"/>
  <c r="W1861"/>
  <c r="X1861"/>
  <c r="Y1861"/>
  <c r="AA1861"/>
  <c r="AB1861"/>
  <c r="AC1861"/>
  <c r="AD1861"/>
  <c r="P1862"/>
  <c r="Q1862"/>
  <c r="R1862"/>
  <c r="S1862"/>
  <c r="T1862"/>
  <c r="U1862"/>
  <c r="V1862"/>
  <c r="W1862"/>
  <c r="X1862"/>
  <c r="Y1862"/>
  <c r="AA1862"/>
  <c r="AB1862"/>
  <c r="AC1862"/>
  <c r="AD1862"/>
  <c r="P1863"/>
  <c r="Q1863"/>
  <c r="R1863"/>
  <c r="S1863"/>
  <c r="T1863"/>
  <c r="U1863"/>
  <c r="V1863"/>
  <c r="W1863"/>
  <c r="X1863"/>
  <c r="Y1863"/>
  <c r="AA1863"/>
  <c r="AB1863"/>
  <c r="AC1863"/>
  <c r="AD1863"/>
  <c r="P1864"/>
  <c r="Q1864"/>
  <c r="R1864"/>
  <c r="S1864"/>
  <c r="T1864"/>
  <c r="U1864"/>
  <c r="V1864"/>
  <c r="W1864"/>
  <c r="X1864"/>
  <c r="Y1864"/>
  <c r="AA1864"/>
  <c r="AB1864"/>
  <c r="AC1864"/>
  <c r="AD1864"/>
  <c r="P1865"/>
  <c r="Q1865"/>
  <c r="R1865"/>
  <c r="S1865"/>
  <c r="T1865"/>
  <c r="U1865"/>
  <c r="V1865"/>
  <c r="W1865"/>
  <c r="X1865"/>
  <c r="Y1865"/>
  <c r="AA1865"/>
  <c r="AB1865"/>
  <c r="AC1865"/>
  <c r="AD1865"/>
  <c r="P1866"/>
  <c r="Q1866"/>
  <c r="R1866"/>
  <c r="S1866"/>
  <c r="T1866"/>
  <c r="U1866"/>
  <c r="V1866"/>
  <c r="W1866"/>
  <c r="X1866"/>
  <c r="Y1866"/>
  <c r="AA1866"/>
  <c r="AB1866"/>
  <c r="AC1866"/>
  <c r="AD1866"/>
  <c r="P1867"/>
  <c r="Q1867"/>
  <c r="R1867"/>
  <c r="S1867"/>
  <c r="T1867"/>
  <c r="U1867"/>
  <c r="V1867"/>
  <c r="W1867"/>
  <c r="X1867"/>
  <c r="Y1867"/>
  <c r="AA1867"/>
  <c r="AB1867"/>
  <c r="AC1867"/>
  <c r="AD1867"/>
  <c r="P1868"/>
  <c r="Q1868"/>
  <c r="R1868"/>
  <c r="S1868"/>
  <c r="T1868"/>
  <c r="U1868"/>
  <c r="V1868"/>
  <c r="W1868"/>
  <c r="X1868"/>
  <c r="Y1868"/>
  <c r="AA1868"/>
  <c r="AB1868"/>
  <c r="AC1868"/>
  <c r="AD1868"/>
  <c r="P1869"/>
  <c r="Q1869"/>
  <c r="R1869"/>
  <c r="S1869"/>
  <c r="T1869"/>
  <c r="U1869"/>
  <c r="V1869"/>
  <c r="W1869"/>
  <c r="X1869"/>
  <c r="Y1869"/>
  <c r="AA1869"/>
  <c r="AB1869"/>
  <c r="AC1869"/>
  <c r="AD1869"/>
  <c r="P1870"/>
  <c r="Q1870"/>
  <c r="R1870"/>
  <c r="S1870"/>
  <c r="T1870"/>
  <c r="U1870"/>
  <c r="V1870"/>
  <c r="W1870"/>
  <c r="X1870"/>
  <c r="Y1870"/>
  <c r="AA1870"/>
  <c r="AB1870"/>
  <c r="AC1870"/>
  <c r="AD1870"/>
  <c r="P1871"/>
  <c r="Q1871"/>
  <c r="R1871"/>
  <c r="S1871"/>
  <c r="T1871"/>
  <c r="U1871"/>
  <c r="V1871"/>
  <c r="W1871"/>
  <c r="X1871"/>
  <c r="Y1871"/>
  <c r="AA1871"/>
  <c r="AB1871"/>
  <c r="AC1871"/>
  <c r="AD1871"/>
  <c r="P1872"/>
  <c r="Q1872"/>
  <c r="R1872"/>
  <c r="S1872"/>
  <c r="T1872"/>
  <c r="U1872"/>
  <c r="V1872"/>
  <c r="W1872"/>
  <c r="X1872"/>
  <c r="Y1872"/>
  <c r="AA1872"/>
  <c r="AB1872"/>
  <c r="AC1872"/>
  <c r="AD1872"/>
  <c r="P1873"/>
  <c r="Q1873"/>
  <c r="R1873"/>
  <c r="S1873"/>
  <c r="T1873"/>
  <c r="U1873"/>
  <c r="V1873"/>
  <c r="W1873"/>
  <c r="X1873"/>
  <c r="Y1873"/>
  <c r="AA1873"/>
  <c r="AB1873"/>
  <c r="AC1873"/>
  <c r="AD1873"/>
  <c r="P1874"/>
  <c r="Q1874"/>
  <c r="R1874"/>
  <c r="S1874"/>
  <c r="T1874"/>
  <c r="U1874"/>
  <c r="V1874"/>
  <c r="W1874"/>
  <c r="X1874"/>
  <c r="Y1874"/>
  <c r="AA1874"/>
  <c r="AB1874"/>
  <c r="AC1874"/>
  <c r="AD1874"/>
  <c r="P1875"/>
  <c r="Q1875"/>
  <c r="R1875"/>
  <c r="S1875"/>
  <c r="T1875"/>
  <c r="U1875"/>
  <c r="V1875"/>
  <c r="W1875"/>
  <c r="X1875"/>
  <c r="Y1875"/>
  <c r="AA1875"/>
  <c r="AB1875"/>
  <c r="AC1875"/>
  <c r="AD1875"/>
  <c r="P1876"/>
  <c r="Q1876"/>
  <c r="R1876"/>
  <c r="S1876"/>
  <c r="T1876"/>
  <c r="U1876"/>
  <c r="V1876"/>
  <c r="W1876"/>
  <c r="X1876"/>
  <c r="Y1876"/>
  <c r="AA1876"/>
  <c r="AB1876"/>
  <c r="AC1876"/>
  <c r="AD1876"/>
  <c r="P1877"/>
  <c r="Q1877"/>
  <c r="R1877"/>
  <c r="S1877"/>
  <c r="T1877"/>
  <c r="U1877"/>
  <c r="V1877"/>
  <c r="W1877"/>
  <c r="X1877"/>
  <c r="Y1877"/>
  <c r="AA1877"/>
  <c r="AB1877"/>
  <c r="AC1877"/>
  <c r="AD1877"/>
  <c r="P1878"/>
  <c r="Q1878"/>
  <c r="R1878"/>
  <c r="S1878"/>
  <c r="T1878"/>
  <c r="U1878"/>
  <c r="V1878"/>
  <c r="W1878"/>
  <c r="X1878"/>
  <c r="Y1878"/>
  <c r="AA1878"/>
  <c r="AB1878"/>
  <c r="AC1878"/>
  <c r="AD1878"/>
  <c r="P1879"/>
  <c r="Q1879"/>
  <c r="R1879"/>
  <c r="S1879"/>
  <c r="T1879"/>
  <c r="U1879"/>
  <c r="V1879"/>
  <c r="W1879"/>
  <c r="X1879"/>
  <c r="Y1879"/>
  <c r="AA1879"/>
  <c r="AB1879"/>
  <c r="AC1879"/>
  <c r="AD1879"/>
  <c r="P1880"/>
  <c r="Q1880"/>
  <c r="R1880"/>
  <c r="S1880"/>
  <c r="T1880"/>
  <c r="U1880"/>
  <c r="V1880"/>
  <c r="W1880"/>
  <c r="X1880"/>
  <c r="Y1880"/>
  <c r="AA1880"/>
  <c r="AB1880"/>
  <c r="AC1880"/>
  <c r="AD1880"/>
  <c r="P1881"/>
  <c r="Q1881"/>
  <c r="R1881"/>
  <c r="S1881"/>
  <c r="T1881"/>
  <c r="U1881"/>
  <c r="V1881"/>
  <c r="W1881"/>
  <c r="X1881"/>
  <c r="Y1881"/>
  <c r="AA1881"/>
  <c r="AB1881"/>
  <c r="AC1881"/>
  <c r="AD1881"/>
  <c r="P1882"/>
  <c r="Q1882"/>
  <c r="R1882"/>
  <c r="S1882"/>
  <c r="T1882"/>
  <c r="U1882"/>
  <c r="V1882"/>
  <c r="W1882"/>
  <c r="X1882"/>
  <c r="Y1882"/>
  <c r="AA1882"/>
  <c r="AB1882"/>
  <c r="AC1882"/>
  <c r="AD1882"/>
  <c r="P1883"/>
  <c r="Q1883"/>
  <c r="R1883"/>
  <c r="S1883"/>
  <c r="T1883"/>
  <c r="U1883"/>
  <c r="V1883"/>
  <c r="W1883"/>
  <c r="X1883"/>
  <c r="Y1883"/>
  <c r="AA1883"/>
  <c r="AB1883"/>
  <c r="AC1883"/>
  <c r="AD1883"/>
  <c r="P1884"/>
  <c r="Q1884"/>
  <c r="R1884"/>
  <c r="S1884"/>
  <c r="T1884"/>
  <c r="U1884"/>
  <c r="V1884"/>
  <c r="W1884"/>
  <c r="X1884"/>
  <c r="Y1884"/>
  <c r="AA1884"/>
  <c r="AB1884"/>
  <c r="AC1884"/>
  <c r="AD1884"/>
  <c r="P1885"/>
  <c r="Q1885"/>
  <c r="R1885"/>
  <c r="S1885"/>
  <c r="T1885"/>
  <c r="U1885"/>
  <c r="V1885"/>
  <c r="W1885"/>
  <c r="X1885"/>
  <c r="Y1885"/>
  <c r="AA1885"/>
  <c r="AB1885"/>
  <c r="AC1885"/>
  <c r="AD1885"/>
  <c r="P1886"/>
  <c r="Q1886"/>
  <c r="R1886"/>
  <c r="S1886"/>
  <c r="T1886"/>
  <c r="U1886"/>
  <c r="V1886"/>
  <c r="W1886"/>
  <c r="X1886"/>
  <c r="Y1886"/>
  <c r="AA1886"/>
  <c r="AB1886"/>
  <c r="AC1886"/>
  <c r="AD1886"/>
  <c r="P1887"/>
  <c r="Q1887"/>
  <c r="R1887"/>
  <c r="S1887"/>
  <c r="T1887"/>
  <c r="U1887"/>
  <c r="V1887"/>
  <c r="W1887"/>
  <c r="X1887"/>
  <c r="Y1887"/>
  <c r="AA1887"/>
  <c r="AB1887"/>
  <c r="AC1887"/>
  <c r="AD1887"/>
  <c r="P1888"/>
  <c r="Q1888"/>
  <c r="R1888"/>
  <c r="S1888"/>
  <c r="T1888"/>
  <c r="U1888"/>
  <c r="V1888"/>
  <c r="W1888"/>
  <c r="X1888"/>
  <c r="Y1888"/>
  <c r="AA1888"/>
  <c r="AB1888"/>
  <c r="AC1888"/>
  <c r="AD1888"/>
  <c r="P1889"/>
  <c r="Q1889"/>
  <c r="R1889"/>
  <c r="S1889"/>
  <c r="T1889"/>
  <c r="U1889"/>
  <c r="V1889"/>
  <c r="W1889"/>
  <c r="X1889"/>
  <c r="Y1889"/>
  <c r="AA1889"/>
  <c r="AB1889"/>
  <c r="AC1889"/>
  <c r="AD1889"/>
  <c r="P1890"/>
  <c r="Q1890"/>
  <c r="R1890"/>
  <c r="S1890"/>
  <c r="T1890"/>
  <c r="U1890"/>
  <c r="V1890"/>
  <c r="W1890"/>
  <c r="X1890"/>
  <c r="Y1890"/>
  <c r="AA1890"/>
  <c r="AB1890"/>
  <c r="AC1890"/>
  <c r="AD1890"/>
  <c r="P1891"/>
  <c r="Q1891"/>
  <c r="R1891"/>
  <c r="S1891"/>
  <c r="T1891"/>
  <c r="U1891"/>
  <c r="V1891"/>
  <c r="W1891"/>
  <c r="X1891"/>
  <c r="Y1891"/>
  <c r="AA1891"/>
  <c r="AB1891"/>
  <c r="AC1891"/>
  <c r="AD1891"/>
  <c r="P1892"/>
  <c r="Q1892"/>
  <c r="R1892"/>
  <c r="S1892"/>
  <c r="T1892"/>
  <c r="U1892"/>
  <c r="V1892"/>
  <c r="W1892"/>
  <c r="X1892"/>
  <c r="Y1892"/>
  <c r="AA1892"/>
  <c r="AB1892"/>
  <c r="AC1892"/>
  <c r="AD1892"/>
  <c r="P1893"/>
  <c r="Q1893"/>
  <c r="R1893"/>
  <c r="S1893"/>
  <c r="T1893"/>
  <c r="U1893"/>
  <c r="V1893"/>
  <c r="W1893"/>
  <c r="X1893"/>
  <c r="Y1893"/>
  <c r="AA1893"/>
  <c r="AB1893"/>
  <c r="AC1893"/>
  <c r="AD1893"/>
  <c r="P1894"/>
  <c r="Q1894"/>
  <c r="R1894"/>
  <c r="S1894"/>
  <c r="T1894"/>
  <c r="U1894"/>
  <c r="V1894"/>
  <c r="W1894"/>
  <c r="X1894"/>
  <c r="Y1894"/>
  <c r="AA1894"/>
  <c r="AB1894"/>
  <c r="AC1894"/>
  <c r="AD1894"/>
  <c r="P1895"/>
  <c r="Q1895"/>
  <c r="R1895"/>
  <c r="S1895"/>
  <c r="T1895"/>
  <c r="U1895"/>
  <c r="V1895"/>
  <c r="W1895"/>
  <c r="X1895"/>
  <c r="Y1895"/>
  <c r="AA1895"/>
  <c r="AB1895"/>
  <c r="AC1895"/>
  <c r="AD1895"/>
  <c r="P1896"/>
  <c r="Q1896"/>
  <c r="R1896"/>
  <c r="S1896"/>
  <c r="T1896"/>
  <c r="U1896"/>
  <c r="V1896"/>
  <c r="W1896"/>
  <c r="X1896"/>
  <c r="Y1896"/>
  <c r="AA1896"/>
  <c r="AB1896"/>
  <c r="AC1896"/>
  <c r="AD1896"/>
  <c r="P1897"/>
  <c r="Q1897"/>
  <c r="R1897"/>
  <c r="S1897"/>
  <c r="T1897"/>
  <c r="U1897"/>
  <c r="V1897"/>
  <c r="W1897"/>
  <c r="X1897"/>
  <c r="Y1897"/>
  <c r="AA1897"/>
  <c r="AB1897"/>
  <c r="AC1897"/>
  <c r="AD1897"/>
  <c r="P1898"/>
  <c r="Q1898"/>
  <c r="R1898"/>
  <c r="S1898"/>
  <c r="T1898"/>
  <c r="U1898"/>
  <c r="V1898"/>
  <c r="W1898"/>
  <c r="X1898"/>
  <c r="Y1898"/>
  <c r="AA1898"/>
  <c r="AB1898"/>
  <c r="AC1898"/>
  <c r="AD1898"/>
  <c r="P1899"/>
  <c r="Q1899"/>
  <c r="R1899"/>
  <c r="S1899"/>
  <c r="T1899"/>
  <c r="U1899"/>
  <c r="V1899"/>
  <c r="W1899"/>
  <c r="X1899"/>
  <c r="Y1899"/>
  <c r="AA1899"/>
  <c r="AB1899"/>
  <c r="AC1899"/>
  <c r="AD1899"/>
  <c r="P1900"/>
  <c r="Q1900"/>
  <c r="R1900"/>
  <c r="S1900"/>
  <c r="T1900"/>
  <c r="U1900"/>
  <c r="V1900"/>
  <c r="W1900"/>
  <c r="X1900"/>
  <c r="Y1900"/>
  <c r="AA1900"/>
  <c r="AB1900"/>
  <c r="AC1900"/>
  <c r="AD1900"/>
  <c r="P1901"/>
  <c r="Q1901"/>
  <c r="R1901"/>
  <c r="S1901"/>
  <c r="T1901"/>
  <c r="U1901"/>
  <c r="V1901"/>
  <c r="W1901"/>
  <c r="X1901"/>
  <c r="Y1901"/>
  <c r="AA1901"/>
  <c r="AB1901"/>
  <c r="AC1901"/>
  <c r="AD1901"/>
  <c r="P1902"/>
  <c r="Q1902"/>
  <c r="R1902"/>
  <c r="S1902"/>
  <c r="T1902"/>
  <c r="U1902"/>
  <c r="V1902"/>
  <c r="W1902"/>
  <c r="X1902"/>
  <c r="Y1902"/>
  <c r="AA1902"/>
  <c r="AB1902"/>
  <c r="AC1902"/>
  <c r="AD1902"/>
  <c r="P1903"/>
  <c r="Q1903"/>
  <c r="R1903"/>
  <c r="S1903"/>
  <c r="T1903"/>
  <c r="U1903"/>
  <c r="V1903"/>
  <c r="W1903"/>
  <c r="X1903"/>
  <c r="Y1903"/>
  <c r="AA1903"/>
  <c r="AB1903"/>
  <c r="AC1903"/>
  <c r="AD1903"/>
  <c r="P1904"/>
  <c r="Q1904"/>
  <c r="R1904"/>
  <c r="S1904"/>
  <c r="T1904"/>
  <c r="U1904"/>
  <c r="V1904"/>
  <c r="W1904"/>
  <c r="X1904"/>
  <c r="Y1904"/>
  <c r="AA1904"/>
  <c r="AB1904"/>
  <c r="AC1904"/>
  <c r="AD1904"/>
  <c r="P1905"/>
  <c r="Q1905"/>
  <c r="R1905"/>
  <c r="S1905"/>
  <c r="T1905"/>
  <c r="U1905"/>
  <c r="V1905"/>
  <c r="W1905"/>
  <c r="X1905"/>
  <c r="Y1905"/>
  <c r="AA1905"/>
  <c r="AB1905"/>
  <c r="AC1905"/>
  <c r="AD1905"/>
  <c r="P1906"/>
  <c r="Q1906"/>
  <c r="R1906"/>
  <c r="S1906"/>
  <c r="T1906"/>
  <c r="U1906"/>
  <c r="V1906"/>
  <c r="W1906"/>
  <c r="X1906"/>
  <c r="Y1906"/>
  <c r="AA1906"/>
  <c r="AB1906"/>
  <c r="AC1906"/>
  <c r="AD1906"/>
  <c r="P1907"/>
  <c r="Q1907"/>
  <c r="R1907"/>
  <c r="S1907"/>
  <c r="T1907"/>
  <c r="U1907"/>
  <c r="V1907"/>
  <c r="W1907"/>
  <c r="X1907"/>
  <c r="Y1907"/>
  <c r="AA1907"/>
  <c r="AB1907"/>
  <c r="AC1907"/>
  <c r="AD1907"/>
  <c r="P1908"/>
  <c r="Q1908"/>
  <c r="R1908"/>
  <c r="S1908"/>
  <c r="T1908"/>
  <c r="U1908"/>
  <c r="V1908"/>
  <c r="W1908"/>
  <c r="X1908"/>
  <c r="Y1908"/>
  <c r="AA1908"/>
  <c r="AB1908"/>
  <c r="AC1908"/>
  <c r="AD1908"/>
  <c r="P1909"/>
  <c r="Q1909"/>
  <c r="R1909"/>
  <c r="S1909"/>
  <c r="T1909"/>
  <c r="U1909"/>
  <c r="V1909"/>
  <c r="W1909"/>
  <c r="X1909"/>
  <c r="Y1909"/>
  <c r="AA1909"/>
  <c r="AB1909"/>
  <c r="AC1909"/>
  <c r="AD1909"/>
  <c r="P1910"/>
  <c r="Q1910"/>
  <c r="R1910"/>
  <c r="S1910"/>
  <c r="T1910"/>
  <c r="U1910"/>
  <c r="V1910"/>
  <c r="W1910"/>
  <c r="X1910"/>
  <c r="Y1910"/>
  <c r="AA1910"/>
  <c r="AB1910"/>
  <c r="AC1910"/>
  <c r="AD1910"/>
  <c r="P1911"/>
  <c r="Q1911"/>
  <c r="R1911"/>
  <c r="S1911"/>
  <c r="T1911"/>
  <c r="U1911"/>
  <c r="V1911"/>
  <c r="W1911"/>
  <c r="X1911"/>
  <c r="Y1911"/>
  <c r="AA1911"/>
  <c r="AB1911"/>
  <c r="AC1911"/>
  <c r="AD1911"/>
  <c r="P1912"/>
  <c r="Q1912"/>
  <c r="R1912"/>
  <c r="S1912"/>
  <c r="T1912"/>
  <c r="U1912"/>
  <c r="V1912"/>
  <c r="W1912"/>
  <c r="X1912"/>
  <c r="Y1912"/>
  <c r="AA1912"/>
  <c r="AB1912"/>
  <c r="AC1912"/>
  <c r="AD1912"/>
  <c r="P1913"/>
  <c r="Q1913"/>
  <c r="R1913"/>
  <c r="S1913"/>
  <c r="T1913"/>
  <c r="U1913"/>
  <c r="V1913"/>
  <c r="W1913"/>
  <c r="X1913"/>
  <c r="Y1913"/>
  <c r="AA1913"/>
  <c r="AB1913"/>
  <c r="AC1913"/>
  <c r="AD1913"/>
  <c r="P1914"/>
  <c r="Q1914"/>
  <c r="R1914"/>
  <c r="S1914"/>
  <c r="T1914"/>
  <c r="U1914"/>
  <c r="V1914"/>
  <c r="W1914"/>
  <c r="X1914"/>
  <c r="Y1914"/>
  <c r="AA1914"/>
  <c r="AB1914"/>
  <c r="AC1914"/>
  <c r="AD1914"/>
  <c r="P1915"/>
  <c r="Q1915"/>
  <c r="R1915"/>
  <c r="S1915"/>
  <c r="T1915"/>
  <c r="U1915"/>
  <c r="V1915"/>
  <c r="W1915"/>
  <c r="X1915"/>
  <c r="Y1915"/>
  <c r="AA1915"/>
  <c r="AB1915"/>
  <c r="AC1915"/>
  <c r="AD1915"/>
  <c r="P1916"/>
  <c r="Q1916"/>
  <c r="R1916"/>
  <c r="S1916"/>
  <c r="T1916"/>
  <c r="U1916"/>
  <c r="V1916"/>
  <c r="W1916"/>
  <c r="X1916"/>
  <c r="Y1916"/>
  <c r="AA1916"/>
  <c r="AB1916"/>
  <c r="AC1916"/>
  <c r="AD1916"/>
  <c r="P1917"/>
  <c r="Q1917"/>
  <c r="R1917"/>
  <c r="S1917"/>
  <c r="T1917"/>
  <c r="U1917"/>
  <c r="V1917"/>
  <c r="W1917"/>
  <c r="X1917"/>
  <c r="Y1917"/>
  <c r="AA1917"/>
  <c r="AB1917"/>
  <c r="AC1917"/>
  <c r="AD1917"/>
  <c r="P1918"/>
  <c r="Q1918"/>
  <c r="R1918"/>
  <c r="S1918"/>
  <c r="T1918"/>
  <c r="U1918"/>
  <c r="V1918"/>
  <c r="W1918"/>
  <c r="X1918"/>
  <c r="Y1918"/>
  <c r="AA1918"/>
  <c r="AB1918"/>
  <c r="AC1918"/>
  <c r="AD1918"/>
  <c r="P1919"/>
  <c r="Q1919"/>
  <c r="R1919"/>
  <c r="S1919"/>
  <c r="T1919"/>
  <c r="U1919"/>
  <c r="V1919"/>
  <c r="W1919"/>
  <c r="X1919"/>
  <c r="Y1919"/>
  <c r="AA1919"/>
  <c r="AB1919"/>
  <c r="AC1919"/>
  <c r="AD1919"/>
  <c r="P1920"/>
  <c r="Q1920"/>
  <c r="R1920"/>
  <c r="S1920"/>
  <c r="T1920"/>
  <c r="U1920"/>
  <c r="V1920"/>
  <c r="W1920"/>
  <c r="X1920"/>
  <c r="Y1920"/>
  <c r="AA1920"/>
  <c r="AB1920"/>
  <c r="AC1920"/>
  <c r="AD1920"/>
  <c r="P1921"/>
  <c r="Q1921"/>
  <c r="R1921"/>
  <c r="S1921"/>
  <c r="T1921"/>
  <c r="U1921"/>
  <c r="V1921"/>
  <c r="W1921"/>
  <c r="X1921"/>
  <c r="Y1921"/>
  <c r="AA1921"/>
  <c r="AB1921"/>
  <c r="AC1921"/>
  <c r="AD1921"/>
  <c r="P1922"/>
  <c r="Q1922"/>
  <c r="R1922"/>
  <c r="S1922"/>
  <c r="T1922"/>
  <c r="U1922"/>
  <c r="V1922"/>
  <c r="W1922"/>
  <c r="X1922"/>
  <c r="Y1922"/>
  <c r="AA1922"/>
  <c r="AB1922"/>
  <c r="AC1922"/>
  <c r="AD1922"/>
  <c r="P1923"/>
  <c r="Q1923"/>
  <c r="R1923"/>
  <c r="S1923"/>
  <c r="T1923"/>
  <c r="U1923"/>
  <c r="V1923"/>
  <c r="W1923"/>
  <c r="X1923"/>
  <c r="Y1923"/>
  <c r="AA1923"/>
  <c r="AB1923"/>
  <c r="AC1923"/>
  <c r="AD1923"/>
  <c r="P1924"/>
  <c r="Q1924"/>
  <c r="R1924"/>
  <c r="S1924"/>
  <c r="T1924"/>
  <c r="U1924"/>
  <c r="V1924"/>
  <c r="W1924"/>
  <c r="X1924"/>
  <c r="Y1924"/>
  <c r="AA1924"/>
  <c r="AB1924"/>
  <c r="AC1924"/>
  <c r="AD1924"/>
  <c r="P1925"/>
  <c r="Q1925"/>
  <c r="R1925"/>
  <c r="S1925"/>
  <c r="T1925"/>
  <c r="U1925"/>
  <c r="V1925"/>
  <c r="W1925"/>
  <c r="X1925"/>
  <c r="Y1925"/>
  <c r="AA1925"/>
  <c r="AB1925"/>
  <c r="AC1925"/>
  <c r="AD1925"/>
  <c r="P1926"/>
  <c r="Q1926"/>
  <c r="R1926"/>
  <c r="S1926"/>
  <c r="T1926"/>
  <c r="U1926"/>
  <c r="V1926"/>
  <c r="W1926"/>
  <c r="X1926"/>
  <c r="Y1926"/>
  <c r="AA1926"/>
  <c r="AB1926"/>
  <c r="AC1926"/>
  <c r="AD1926"/>
  <c r="P1927"/>
  <c r="Q1927"/>
  <c r="R1927"/>
  <c r="S1927"/>
  <c r="T1927"/>
  <c r="U1927"/>
  <c r="V1927"/>
  <c r="W1927"/>
  <c r="X1927"/>
  <c r="Y1927"/>
  <c r="AA1927"/>
  <c r="AB1927"/>
  <c r="AC1927"/>
  <c r="AD1927"/>
  <c r="P1928"/>
  <c r="Q1928"/>
  <c r="R1928"/>
  <c r="S1928"/>
  <c r="T1928"/>
  <c r="U1928"/>
  <c r="V1928"/>
  <c r="W1928"/>
  <c r="X1928"/>
  <c r="Y1928"/>
  <c r="AA1928"/>
  <c r="AB1928"/>
  <c r="AC1928"/>
  <c r="AD1928"/>
  <c r="P1929"/>
  <c r="Q1929"/>
  <c r="R1929"/>
  <c r="S1929"/>
  <c r="T1929"/>
  <c r="U1929"/>
  <c r="V1929"/>
  <c r="W1929"/>
  <c r="X1929"/>
  <c r="Y1929"/>
  <c r="AA1929"/>
  <c r="AB1929"/>
  <c r="AC1929"/>
  <c r="AD1929"/>
  <c r="P1930"/>
  <c r="Q1930"/>
  <c r="R1930"/>
  <c r="S1930"/>
  <c r="T1930"/>
  <c r="U1930"/>
  <c r="V1930"/>
  <c r="W1930"/>
  <c r="X1930"/>
  <c r="Y1930"/>
  <c r="AA1930"/>
  <c r="AB1930"/>
  <c r="AC1930"/>
  <c r="AD1930"/>
  <c r="P1931"/>
  <c r="Q1931"/>
  <c r="R1931"/>
  <c r="S1931"/>
  <c r="T1931"/>
  <c r="U1931"/>
  <c r="V1931"/>
  <c r="W1931"/>
  <c r="X1931"/>
  <c r="Y1931"/>
  <c r="AA1931"/>
  <c r="AB1931"/>
  <c r="AC1931"/>
  <c r="AD1931"/>
  <c r="P1932"/>
  <c r="Q1932"/>
  <c r="R1932"/>
  <c r="S1932"/>
  <c r="T1932"/>
  <c r="U1932"/>
  <c r="V1932"/>
  <c r="W1932"/>
  <c r="X1932"/>
  <c r="Y1932"/>
  <c r="AA1932"/>
  <c r="AB1932"/>
  <c r="AC1932"/>
  <c r="AD1932"/>
  <c r="P1933"/>
  <c r="Q1933"/>
  <c r="R1933"/>
  <c r="S1933"/>
  <c r="T1933"/>
  <c r="U1933"/>
  <c r="V1933"/>
  <c r="W1933"/>
  <c r="X1933"/>
  <c r="Y1933"/>
  <c r="AA1933"/>
  <c r="AB1933"/>
  <c r="AC1933"/>
  <c r="AD1933"/>
  <c r="P1934"/>
  <c r="Q1934"/>
  <c r="R1934"/>
  <c r="S1934"/>
  <c r="T1934"/>
  <c r="U1934"/>
  <c r="V1934"/>
  <c r="W1934"/>
  <c r="X1934"/>
  <c r="Y1934"/>
  <c r="AA1934"/>
  <c r="AB1934"/>
  <c r="AC1934"/>
  <c r="AD1934"/>
  <c r="P1935"/>
  <c r="Q1935"/>
  <c r="R1935"/>
  <c r="S1935"/>
  <c r="T1935"/>
  <c r="U1935"/>
  <c r="V1935"/>
  <c r="W1935"/>
  <c r="X1935"/>
  <c r="Y1935"/>
  <c r="AA1935"/>
  <c r="AB1935"/>
  <c r="AC1935"/>
  <c r="AD1935"/>
  <c r="P1936"/>
  <c r="Q1936"/>
  <c r="R1936"/>
  <c r="S1936"/>
  <c r="T1936"/>
  <c r="U1936"/>
  <c r="V1936"/>
  <c r="W1936"/>
  <c r="X1936"/>
  <c r="Y1936"/>
  <c r="AA1936"/>
  <c r="AB1936"/>
  <c r="AC1936"/>
  <c r="AD1936"/>
  <c r="P1937"/>
  <c r="Q1937"/>
  <c r="R1937"/>
  <c r="S1937"/>
  <c r="T1937"/>
  <c r="U1937"/>
  <c r="V1937"/>
  <c r="W1937"/>
  <c r="X1937"/>
  <c r="Y1937"/>
  <c r="AA1937"/>
  <c r="AB1937"/>
  <c r="AC1937"/>
  <c r="AD1937"/>
  <c r="P1938"/>
  <c r="Q1938"/>
  <c r="R1938"/>
  <c r="S1938"/>
  <c r="T1938"/>
  <c r="U1938"/>
  <c r="V1938"/>
  <c r="W1938"/>
  <c r="X1938"/>
  <c r="Y1938"/>
  <c r="AA1938"/>
  <c r="AB1938"/>
  <c r="AC1938"/>
  <c r="AD1938"/>
  <c r="P1939"/>
  <c r="Q1939"/>
  <c r="R1939"/>
  <c r="S1939"/>
  <c r="T1939"/>
  <c r="U1939"/>
  <c r="V1939"/>
  <c r="W1939"/>
  <c r="X1939"/>
  <c r="Y1939"/>
  <c r="AA1939"/>
  <c r="AB1939"/>
  <c r="AC1939"/>
  <c r="AD1939"/>
  <c r="P1940"/>
  <c r="Q1940"/>
  <c r="R1940"/>
  <c r="S1940"/>
  <c r="T1940"/>
  <c r="U1940"/>
  <c r="V1940"/>
  <c r="W1940"/>
  <c r="X1940"/>
  <c r="Y1940"/>
  <c r="AA1940"/>
  <c r="AB1940"/>
  <c r="AC1940"/>
  <c r="AD1940"/>
  <c r="P1941"/>
  <c r="Q1941"/>
  <c r="R1941"/>
  <c r="S1941"/>
  <c r="T1941"/>
  <c r="U1941"/>
  <c r="V1941"/>
  <c r="W1941"/>
  <c r="X1941"/>
  <c r="Y1941"/>
  <c r="AA1941"/>
  <c r="AB1941"/>
  <c r="AC1941"/>
  <c r="AD1941"/>
  <c r="P1942"/>
  <c r="Q1942"/>
  <c r="R1942"/>
  <c r="S1942"/>
  <c r="T1942"/>
  <c r="U1942"/>
  <c r="V1942"/>
  <c r="W1942"/>
  <c r="X1942"/>
  <c r="Y1942"/>
  <c r="AA1942"/>
  <c r="AB1942"/>
  <c r="AC1942"/>
  <c r="AD1942"/>
  <c r="P1943"/>
  <c r="Q1943"/>
  <c r="R1943"/>
  <c r="S1943"/>
  <c r="T1943"/>
  <c r="U1943"/>
  <c r="V1943"/>
  <c r="W1943"/>
  <c r="X1943"/>
  <c r="Y1943"/>
  <c r="AA1943"/>
  <c r="AB1943"/>
  <c r="AC1943"/>
  <c r="AD1943"/>
  <c r="P1944"/>
  <c r="Q1944"/>
  <c r="R1944"/>
  <c r="S1944"/>
  <c r="T1944"/>
  <c r="U1944"/>
  <c r="V1944"/>
  <c r="W1944"/>
  <c r="X1944"/>
  <c r="Y1944"/>
  <c r="AA1944"/>
  <c r="AB1944"/>
  <c r="AC1944"/>
  <c r="AD1944"/>
  <c r="P1945"/>
  <c r="Q1945"/>
  <c r="R1945"/>
  <c r="S1945"/>
  <c r="T1945"/>
  <c r="U1945"/>
  <c r="V1945"/>
  <c r="W1945"/>
  <c r="X1945"/>
  <c r="Y1945"/>
  <c r="AA1945"/>
  <c r="AB1945"/>
  <c r="AC1945"/>
  <c r="AD1945"/>
  <c r="P1946"/>
  <c r="Q1946"/>
  <c r="R1946"/>
  <c r="S1946"/>
  <c r="T1946"/>
  <c r="U1946"/>
  <c r="V1946"/>
  <c r="W1946"/>
  <c r="X1946"/>
  <c r="Y1946"/>
  <c r="AA1946"/>
  <c r="AB1946"/>
  <c r="AC1946"/>
  <c r="AD1946"/>
  <c r="P1947"/>
  <c r="Q1947"/>
  <c r="R1947"/>
  <c r="S1947"/>
  <c r="T1947"/>
  <c r="U1947"/>
  <c r="V1947"/>
  <c r="W1947"/>
  <c r="X1947"/>
  <c r="Y1947"/>
  <c r="AA1947"/>
  <c r="AB1947"/>
  <c r="AC1947"/>
  <c r="AD1947"/>
  <c r="P1948"/>
  <c r="Q1948"/>
  <c r="R1948"/>
  <c r="S1948"/>
  <c r="T1948"/>
  <c r="U1948"/>
  <c r="V1948"/>
  <c r="W1948"/>
  <c r="X1948"/>
  <c r="Y1948"/>
  <c r="AA1948"/>
  <c r="AB1948"/>
  <c r="AC1948"/>
  <c r="AD1948"/>
  <c r="P1949"/>
  <c r="Q1949"/>
  <c r="R1949"/>
  <c r="S1949"/>
  <c r="T1949"/>
  <c r="U1949"/>
  <c r="V1949"/>
  <c r="W1949"/>
  <c r="X1949"/>
  <c r="Y1949"/>
  <c r="AA1949"/>
  <c r="AB1949"/>
  <c r="AC1949"/>
  <c r="AD1949"/>
  <c r="P1950"/>
  <c r="Q1950"/>
  <c r="R1950"/>
  <c r="S1950"/>
  <c r="T1950"/>
  <c r="U1950"/>
  <c r="V1950"/>
  <c r="W1950"/>
  <c r="X1950"/>
  <c r="Y1950"/>
  <c r="AA1950"/>
  <c r="AB1950"/>
  <c r="AC1950"/>
  <c r="AD1950"/>
  <c r="P1951"/>
  <c r="Q1951"/>
  <c r="R1951"/>
  <c r="S1951"/>
  <c r="T1951"/>
  <c r="U1951"/>
  <c r="V1951"/>
  <c r="W1951"/>
  <c r="X1951"/>
  <c r="Y1951"/>
  <c r="AA1951"/>
  <c r="AB1951"/>
  <c r="AC1951"/>
  <c r="AD1951"/>
  <c r="P1952"/>
  <c r="Q1952"/>
  <c r="R1952"/>
  <c r="S1952"/>
  <c r="T1952"/>
  <c r="U1952"/>
  <c r="V1952"/>
  <c r="W1952"/>
  <c r="X1952"/>
  <c r="Y1952"/>
  <c r="AA1952"/>
  <c r="AB1952"/>
  <c r="AC1952"/>
  <c r="AD1952"/>
  <c r="P1953"/>
  <c r="Q1953"/>
  <c r="R1953"/>
  <c r="S1953"/>
  <c r="T1953"/>
  <c r="U1953"/>
  <c r="V1953"/>
  <c r="W1953"/>
  <c r="X1953"/>
  <c r="Y1953"/>
  <c r="AA1953"/>
  <c r="AB1953"/>
  <c r="AC1953"/>
  <c r="AD1953"/>
  <c r="P1954"/>
  <c r="Q1954"/>
  <c r="R1954"/>
  <c r="S1954"/>
  <c r="T1954"/>
  <c r="U1954"/>
  <c r="V1954"/>
  <c r="W1954"/>
  <c r="X1954"/>
  <c r="Y1954"/>
  <c r="AA1954"/>
  <c r="AB1954"/>
  <c r="AC1954"/>
  <c r="AD1954"/>
  <c r="P1955"/>
  <c r="Q1955"/>
  <c r="R1955"/>
  <c r="S1955"/>
  <c r="T1955"/>
  <c r="U1955"/>
  <c r="V1955"/>
  <c r="W1955"/>
  <c r="X1955"/>
  <c r="Y1955"/>
  <c r="AA1955"/>
  <c r="AB1955"/>
  <c r="AC1955"/>
  <c r="AD1955"/>
  <c r="P1956"/>
  <c r="Q1956"/>
  <c r="R1956"/>
  <c r="S1956"/>
  <c r="T1956"/>
  <c r="U1956"/>
  <c r="V1956"/>
  <c r="W1956"/>
  <c r="X1956"/>
  <c r="Y1956"/>
  <c r="AA1956"/>
  <c r="AB1956"/>
  <c r="AC1956"/>
  <c r="AD1956"/>
  <c r="P1957"/>
  <c r="Q1957"/>
  <c r="R1957"/>
  <c r="S1957"/>
  <c r="T1957"/>
  <c r="U1957"/>
  <c r="V1957"/>
  <c r="W1957"/>
  <c r="X1957"/>
  <c r="Y1957"/>
  <c r="AA1957"/>
  <c r="AB1957"/>
  <c r="AC1957"/>
  <c r="AD1957"/>
  <c r="P1958"/>
  <c r="Q1958"/>
  <c r="R1958"/>
  <c r="S1958"/>
  <c r="T1958"/>
  <c r="U1958"/>
  <c r="V1958"/>
  <c r="W1958"/>
  <c r="X1958"/>
  <c r="Y1958"/>
  <c r="AA1958"/>
  <c r="AB1958"/>
  <c r="AC1958"/>
  <c r="AD1958"/>
  <c r="P1959"/>
  <c r="Q1959"/>
  <c r="R1959"/>
  <c r="S1959"/>
  <c r="T1959"/>
  <c r="U1959"/>
  <c r="V1959"/>
  <c r="W1959"/>
  <c r="X1959"/>
  <c r="Y1959"/>
  <c r="AA1959"/>
  <c r="AB1959"/>
  <c r="AC1959"/>
  <c r="AD1959"/>
  <c r="P1960"/>
  <c r="Q1960"/>
  <c r="R1960"/>
  <c r="S1960"/>
  <c r="T1960"/>
  <c r="U1960"/>
  <c r="V1960"/>
  <c r="W1960"/>
  <c r="X1960"/>
  <c r="Y1960"/>
  <c r="AA1960"/>
  <c r="AB1960"/>
  <c r="AC1960"/>
  <c r="AD1960"/>
  <c r="P1961"/>
  <c r="Q1961"/>
  <c r="R1961"/>
  <c r="S1961"/>
  <c r="T1961"/>
  <c r="U1961"/>
  <c r="V1961"/>
  <c r="W1961"/>
  <c r="X1961"/>
  <c r="Y1961"/>
  <c r="AA1961"/>
  <c r="AB1961"/>
  <c r="AC1961"/>
  <c r="AD1961"/>
  <c r="P1962"/>
  <c r="Q1962"/>
  <c r="R1962"/>
  <c r="S1962"/>
  <c r="T1962"/>
  <c r="U1962"/>
  <c r="V1962"/>
  <c r="W1962"/>
  <c r="X1962"/>
  <c r="Y1962"/>
  <c r="AA1962"/>
  <c r="AB1962"/>
  <c r="AC1962"/>
  <c r="AD1962"/>
  <c r="P1963"/>
  <c r="Q1963"/>
  <c r="R1963"/>
  <c r="S1963"/>
  <c r="T1963"/>
  <c r="U1963"/>
  <c r="V1963"/>
  <c r="W1963"/>
  <c r="X1963"/>
  <c r="Y1963"/>
  <c r="AA1963"/>
  <c r="AB1963"/>
  <c r="AC1963"/>
  <c r="AD1963"/>
  <c r="P1964"/>
  <c r="Q1964"/>
  <c r="R1964"/>
  <c r="S1964"/>
  <c r="T1964"/>
  <c r="U1964"/>
  <c r="V1964"/>
  <c r="W1964"/>
  <c r="X1964"/>
  <c r="Y1964"/>
  <c r="AA1964"/>
  <c r="AB1964"/>
  <c r="AC1964"/>
  <c r="AD1964"/>
  <c r="P1965"/>
  <c r="Q1965"/>
  <c r="R1965"/>
  <c r="S1965"/>
  <c r="T1965"/>
  <c r="U1965"/>
  <c r="V1965"/>
  <c r="W1965"/>
  <c r="X1965"/>
  <c r="Y1965"/>
  <c r="AA1965"/>
  <c r="AB1965"/>
  <c r="AC1965"/>
  <c r="AD1965"/>
  <c r="P1966"/>
  <c r="Q1966"/>
  <c r="R1966"/>
  <c r="S1966"/>
  <c r="T1966"/>
  <c r="U1966"/>
  <c r="V1966"/>
  <c r="W1966"/>
  <c r="X1966"/>
  <c r="Y1966"/>
  <c r="AA1966"/>
  <c r="AB1966"/>
  <c r="AC1966"/>
  <c r="AD1966"/>
  <c r="P1967"/>
  <c r="Q1967"/>
  <c r="R1967"/>
  <c r="S1967"/>
  <c r="T1967"/>
  <c r="U1967"/>
  <c r="V1967"/>
  <c r="W1967"/>
  <c r="X1967"/>
  <c r="Y1967"/>
  <c r="AA1967"/>
  <c r="AB1967"/>
  <c r="AC1967"/>
  <c r="AD1967"/>
  <c r="P1968"/>
  <c r="Q1968"/>
  <c r="R1968"/>
  <c r="S1968"/>
  <c r="T1968"/>
  <c r="U1968"/>
  <c r="V1968"/>
  <c r="W1968"/>
  <c r="X1968"/>
  <c r="Y1968"/>
  <c r="AA1968"/>
  <c r="AB1968"/>
  <c r="AC1968"/>
  <c r="AD1968"/>
  <c r="P1969"/>
  <c r="Q1969"/>
  <c r="R1969"/>
  <c r="S1969"/>
  <c r="T1969"/>
  <c r="U1969"/>
  <c r="V1969"/>
  <c r="W1969"/>
  <c r="X1969"/>
  <c r="Y1969"/>
  <c r="AA1969"/>
  <c r="AB1969"/>
  <c r="AC1969"/>
  <c r="AD1969"/>
  <c r="P1970"/>
  <c r="Q1970"/>
  <c r="R1970"/>
  <c r="S1970"/>
  <c r="T1970"/>
  <c r="U1970"/>
  <c r="V1970"/>
  <c r="W1970"/>
  <c r="X1970"/>
  <c r="Y1970"/>
  <c r="AA1970"/>
  <c r="AB1970"/>
  <c r="AC1970"/>
  <c r="AD1970"/>
  <c r="P1971"/>
  <c r="Q1971"/>
  <c r="R1971"/>
  <c r="S1971"/>
  <c r="T1971"/>
  <c r="U1971"/>
  <c r="V1971"/>
  <c r="W1971"/>
  <c r="X1971"/>
  <c r="Y1971"/>
  <c r="AA1971"/>
  <c r="AB1971"/>
  <c r="AC1971"/>
  <c r="AD1971"/>
  <c r="P1972"/>
  <c r="Q1972"/>
  <c r="R1972"/>
  <c r="S1972"/>
  <c r="T1972"/>
  <c r="U1972"/>
  <c r="V1972"/>
  <c r="W1972"/>
  <c r="X1972"/>
  <c r="Y1972"/>
  <c r="AA1972"/>
  <c r="AB1972"/>
  <c r="AC1972"/>
  <c r="AD1972"/>
  <c r="P1973"/>
  <c r="Q1973"/>
  <c r="R1973"/>
  <c r="S1973"/>
  <c r="T1973"/>
  <c r="U1973"/>
  <c r="V1973"/>
  <c r="W1973"/>
  <c r="X1973"/>
  <c r="Y1973"/>
  <c r="AA1973"/>
  <c r="AB1973"/>
  <c r="AC1973"/>
  <c r="AD1973"/>
  <c r="P1974"/>
  <c r="Q1974"/>
  <c r="R1974"/>
  <c r="S1974"/>
  <c r="T1974"/>
  <c r="U1974"/>
  <c r="V1974"/>
  <c r="W1974"/>
  <c r="X1974"/>
  <c r="Y1974"/>
  <c r="AA1974"/>
  <c r="AB1974"/>
  <c r="AC1974"/>
  <c r="AD1974"/>
  <c r="P1975"/>
  <c r="Q1975"/>
  <c r="R1975"/>
  <c r="S1975"/>
  <c r="T1975"/>
  <c r="U1975"/>
  <c r="V1975"/>
  <c r="W1975"/>
  <c r="X1975"/>
  <c r="Y1975"/>
  <c r="AA1975"/>
  <c r="AB1975"/>
  <c r="AC1975"/>
  <c r="AD1975"/>
  <c r="P1976"/>
  <c r="Q1976"/>
  <c r="R1976"/>
  <c r="S1976"/>
  <c r="T1976"/>
  <c r="U1976"/>
  <c r="V1976"/>
  <c r="W1976"/>
  <c r="X1976"/>
  <c r="Y1976"/>
  <c r="AA1976"/>
  <c r="AB1976"/>
  <c r="AC1976"/>
  <c r="AD1976"/>
  <c r="P1977"/>
  <c r="Q1977"/>
  <c r="R1977"/>
  <c r="S1977"/>
  <c r="T1977"/>
  <c r="U1977"/>
  <c r="V1977"/>
  <c r="W1977"/>
  <c r="X1977"/>
  <c r="Y1977"/>
  <c r="AA1977"/>
  <c r="AB1977"/>
  <c r="AC1977"/>
  <c r="AD1977"/>
  <c r="P1978"/>
  <c r="Q1978"/>
  <c r="R1978"/>
  <c r="S1978"/>
  <c r="T1978"/>
  <c r="U1978"/>
  <c r="V1978"/>
  <c r="W1978"/>
  <c r="X1978"/>
  <c r="Y1978"/>
  <c r="AA1978"/>
  <c r="AB1978"/>
  <c r="AC1978"/>
  <c r="AD1978"/>
  <c r="P1979"/>
  <c r="Q1979"/>
  <c r="R1979"/>
  <c r="S1979"/>
  <c r="T1979"/>
  <c r="U1979"/>
  <c r="V1979"/>
  <c r="W1979"/>
  <c r="X1979"/>
  <c r="Y1979"/>
  <c r="AA1979"/>
  <c r="AB1979"/>
  <c r="AC1979"/>
  <c r="AD1979"/>
  <c r="P1980"/>
  <c r="Q1980"/>
  <c r="R1980"/>
  <c r="S1980"/>
  <c r="T1980"/>
  <c r="U1980"/>
  <c r="V1980"/>
  <c r="W1980"/>
  <c r="X1980"/>
  <c r="Y1980"/>
  <c r="AA1980"/>
  <c r="AB1980"/>
  <c r="AC1980"/>
  <c r="AD1980"/>
  <c r="P1981"/>
  <c r="Q1981"/>
  <c r="R1981"/>
  <c r="S1981"/>
  <c r="T1981"/>
  <c r="U1981"/>
  <c r="V1981"/>
  <c r="W1981"/>
  <c r="X1981"/>
  <c r="Y1981"/>
  <c r="AA1981"/>
  <c r="AB1981"/>
  <c r="AC1981"/>
  <c r="AD1981"/>
  <c r="P1982"/>
  <c r="Q1982"/>
  <c r="R1982"/>
  <c r="S1982"/>
  <c r="T1982"/>
  <c r="U1982"/>
  <c r="V1982"/>
  <c r="W1982"/>
  <c r="X1982"/>
  <c r="Y1982"/>
  <c r="AA1982"/>
  <c r="AB1982"/>
  <c r="AC1982"/>
  <c r="AD1982"/>
  <c r="P1983"/>
  <c r="Q1983"/>
  <c r="R1983"/>
  <c r="S1983"/>
  <c r="T1983"/>
  <c r="U1983"/>
  <c r="V1983"/>
  <c r="W1983"/>
  <c r="X1983"/>
  <c r="Y1983"/>
  <c r="AA1983"/>
  <c r="AB1983"/>
  <c r="AC1983"/>
  <c r="AD1983"/>
  <c r="P1984"/>
  <c r="Q1984"/>
  <c r="R1984"/>
  <c r="S1984"/>
  <c r="T1984"/>
  <c r="U1984"/>
  <c r="V1984"/>
  <c r="W1984"/>
  <c r="X1984"/>
  <c r="Y1984"/>
  <c r="AA1984"/>
  <c r="AB1984"/>
  <c r="AC1984"/>
  <c r="AD1984"/>
  <c r="P1985"/>
  <c r="Q1985"/>
  <c r="R1985"/>
  <c r="S1985"/>
  <c r="T1985"/>
  <c r="U1985"/>
  <c r="V1985"/>
  <c r="W1985"/>
  <c r="X1985"/>
  <c r="Y1985"/>
  <c r="AA1985"/>
  <c r="AB1985"/>
  <c r="AC1985"/>
  <c r="AD1985"/>
  <c r="P1986"/>
  <c r="Q1986"/>
  <c r="R1986"/>
  <c r="S1986"/>
  <c r="T1986"/>
  <c r="U1986"/>
  <c r="V1986"/>
  <c r="W1986"/>
  <c r="X1986"/>
  <c r="Y1986"/>
  <c r="AA1986"/>
  <c r="AB1986"/>
  <c r="AC1986"/>
  <c r="AD1986"/>
  <c r="P1987"/>
  <c r="Q1987"/>
  <c r="R1987"/>
  <c r="S1987"/>
  <c r="T1987"/>
  <c r="U1987"/>
  <c r="V1987"/>
  <c r="W1987"/>
  <c r="X1987"/>
  <c r="Y1987"/>
  <c r="AA1987"/>
  <c r="AB1987"/>
  <c r="AC1987"/>
  <c r="AD1987"/>
  <c r="P1988"/>
  <c r="Q1988"/>
  <c r="R1988"/>
  <c r="S1988"/>
  <c r="T1988"/>
  <c r="U1988"/>
  <c r="V1988"/>
  <c r="W1988"/>
  <c r="X1988"/>
  <c r="Y1988"/>
  <c r="AA1988"/>
  <c r="AB1988"/>
  <c r="AC1988"/>
  <c r="AD1988"/>
  <c r="P1989"/>
  <c r="Q1989"/>
  <c r="R1989"/>
  <c r="S1989"/>
  <c r="T1989"/>
  <c r="U1989"/>
  <c r="V1989"/>
  <c r="W1989"/>
  <c r="X1989"/>
  <c r="Y1989"/>
  <c r="AA1989"/>
  <c r="AB1989"/>
  <c r="AC1989"/>
  <c r="AD1989"/>
  <c r="P1990"/>
  <c r="Q1990"/>
  <c r="R1990"/>
  <c r="S1990"/>
  <c r="T1990"/>
  <c r="U1990"/>
  <c r="V1990"/>
  <c r="W1990"/>
  <c r="X1990"/>
  <c r="Y1990"/>
  <c r="AA1990"/>
  <c r="AB1990"/>
  <c r="AC1990"/>
  <c r="AD1990"/>
  <c r="P1991"/>
  <c r="Q1991"/>
  <c r="R1991"/>
  <c r="S1991"/>
  <c r="T1991"/>
  <c r="U1991"/>
  <c r="V1991"/>
  <c r="W1991"/>
  <c r="X1991"/>
  <c r="Y1991"/>
  <c r="AA1991"/>
  <c r="AB1991"/>
  <c r="AC1991"/>
  <c r="AD1991"/>
  <c r="P1992"/>
  <c r="Q1992"/>
  <c r="R1992"/>
  <c r="S1992"/>
  <c r="T1992"/>
  <c r="U1992"/>
  <c r="V1992"/>
  <c r="W1992"/>
  <c r="X1992"/>
  <c r="Y1992"/>
  <c r="AA1992"/>
  <c r="AB1992"/>
  <c r="AC1992"/>
  <c r="AD1992"/>
  <c r="P1993"/>
  <c r="Q1993"/>
  <c r="R1993"/>
  <c r="S1993"/>
  <c r="T1993"/>
  <c r="U1993"/>
  <c r="V1993"/>
  <c r="W1993"/>
  <c r="X1993"/>
  <c r="Y1993"/>
  <c r="AA1993"/>
  <c r="AB1993"/>
  <c r="AC1993"/>
  <c r="AD1993"/>
  <c r="P1994"/>
  <c r="Q1994"/>
  <c r="R1994"/>
  <c r="S1994"/>
  <c r="T1994"/>
  <c r="U1994"/>
  <c r="V1994"/>
  <c r="W1994"/>
  <c r="X1994"/>
  <c r="Y1994"/>
  <c r="AA1994"/>
  <c r="AB1994"/>
  <c r="AC1994"/>
  <c r="AD1994"/>
  <c r="P1995"/>
  <c r="Q1995"/>
  <c r="R1995"/>
  <c r="S1995"/>
  <c r="T1995"/>
  <c r="U1995"/>
  <c r="V1995"/>
  <c r="W1995"/>
  <c r="X1995"/>
  <c r="Y1995"/>
  <c r="AA1995"/>
  <c r="AB1995"/>
  <c r="AC1995"/>
  <c r="AD1995"/>
  <c r="P1996"/>
  <c r="Q1996"/>
  <c r="R1996"/>
  <c r="S1996"/>
  <c r="T1996"/>
  <c r="U1996"/>
  <c r="V1996"/>
  <c r="W1996"/>
  <c r="X1996"/>
  <c r="Y1996"/>
  <c r="AA1996"/>
  <c r="AB1996"/>
  <c r="AC1996"/>
  <c r="AD1996"/>
  <c r="P1997"/>
  <c r="Q1997"/>
  <c r="R1997"/>
  <c r="S1997"/>
  <c r="T1997"/>
  <c r="U1997"/>
  <c r="V1997"/>
  <c r="W1997"/>
  <c r="X1997"/>
  <c r="Y1997"/>
  <c r="AA1997"/>
  <c r="AB1997"/>
  <c r="AC1997"/>
  <c r="AD1997"/>
  <c r="P1998"/>
  <c r="Q1998"/>
  <c r="R1998"/>
  <c r="S1998"/>
  <c r="T1998"/>
  <c r="U1998"/>
  <c r="V1998"/>
  <c r="W1998"/>
  <c r="X1998"/>
  <c r="Y1998"/>
  <c r="AA1998"/>
  <c r="AB1998"/>
  <c r="AC1998"/>
  <c r="AD1998"/>
  <c r="P1999"/>
  <c r="Q1999"/>
  <c r="R1999"/>
  <c r="S1999"/>
  <c r="T1999"/>
  <c r="U1999"/>
  <c r="V1999"/>
  <c r="W1999"/>
  <c r="X1999"/>
  <c r="Y1999"/>
  <c r="AA1999"/>
  <c r="AB1999"/>
  <c r="AC1999"/>
  <c r="AD1999"/>
  <c r="P2000"/>
  <c r="Q2000"/>
  <c r="R2000"/>
  <c r="S2000"/>
  <c r="T2000"/>
  <c r="U2000"/>
  <c r="V2000"/>
  <c r="W2000"/>
  <c r="X2000"/>
  <c r="Y2000"/>
  <c r="AA2000"/>
  <c r="AB2000"/>
  <c r="AC2000"/>
  <c r="AD2000"/>
  <c r="P2001"/>
  <c r="Q2001"/>
  <c r="R2001"/>
  <c r="S2001"/>
  <c r="T2001"/>
  <c r="U2001"/>
  <c r="V2001"/>
  <c r="W2001"/>
  <c r="X2001"/>
  <c r="Y2001"/>
  <c r="AA2001"/>
  <c r="AB2001"/>
  <c r="AC2001"/>
  <c r="AD2001"/>
  <c r="P2002"/>
  <c r="Q2002"/>
  <c r="R2002"/>
  <c r="S2002"/>
  <c r="T2002"/>
  <c r="U2002"/>
  <c r="V2002"/>
  <c r="W2002"/>
  <c r="X2002"/>
  <c r="Y2002"/>
  <c r="AA2002"/>
  <c r="AB2002"/>
  <c r="AC2002"/>
  <c r="AD2002"/>
  <c r="P2003"/>
  <c r="Q2003"/>
  <c r="R2003"/>
  <c r="S2003"/>
  <c r="T2003"/>
  <c r="U2003"/>
  <c r="V2003"/>
  <c r="W2003"/>
  <c r="X2003"/>
  <c r="Y2003"/>
  <c r="AA2003"/>
  <c r="AB2003"/>
  <c r="AC2003"/>
  <c r="AD2003"/>
  <c r="P2004"/>
  <c r="Q2004"/>
  <c r="R2004"/>
  <c r="S2004"/>
  <c r="T2004"/>
  <c r="U2004"/>
  <c r="V2004"/>
  <c r="W2004"/>
  <c r="X2004"/>
  <c r="Y2004"/>
  <c r="AA2004"/>
  <c r="AB2004"/>
  <c r="AC2004"/>
  <c r="AD2004"/>
  <c r="P2005"/>
  <c r="Q2005"/>
  <c r="R2005"/>
  <c r="S2005"/>
  <c r="T2005"/>
  <c r="U2005"/>
  <c r="V2005"/>
  <c r="W2005"/>
  <c r="X2005"/>
  <c r="Y2005"/>
  <c r="AA2005"/>
  <c r="AB2005"/>
  <c r="AC2005"/>
  <c r="AD2005"/>
  <c r="P2006"/>
  <c r="Q2006"/>
  <c r="R2006"/>
  <c r="S2006"/>
  <c r="T2006"/>
  <c r="U2006"/>
  <c r="V2006"/>
  <c r="W2006"/>
  <c r="X2006"/>
  <c r="Y2006"/>
  <c r="AA2006"/>
  <c r="AB2006"/>
  <c r="AC2006"/>
  <c r="AD2006"/>
  <c r="P2007"/>
  <c r="Q2007"/>
  <c r="R2007"/>
  <c r="S2007"/>
  <c r="T2007"/>
  <c r="U2007"/>
  <c r="V2007"/>
  <c r="W2007"/>
  <c r="X2007"/>
  <c r="Y2007"/>
  <c r="AA2007"/>
  <c r="AB2007"/>
  <c r="AC2007"/>
  <c r="AD2007"/>
  <c r="P2008"/>
  <c r="Q2008"/>
  <c r="R2008"/>
  <c r="S2008"/>
  <c r="T2008"/>
  <c r="U2008"/>
  <c r="V2008"/>
  <c r="W2008"/>
  <c r="X2008"/>
  <c r="Y2008"/>
  <c r="AA2008"/>
  <c r="AB2008"/>
  <c r="AC2008"/>
  <c r="AD2008"/>
  <c r="P2009"/>
  <c r="Q2009"/>
  <c r="R2009"/>
  <c r="S2009"/>
  <c r="T2009"/>
  <c r="U2009"/>
  <c r="V2009"/>
  <c r="W2009"/>
  <c r="X2009"/>
  <c r="Y2009"/>
  <c r="AA2009"/>
  <c r="AB2009"/>
  <c r="AC2009"/>
  <c r="AD2009"/>
  <c r="P2010"/>
  <c r="Q2010"/>
  <c r="R2010"/>
  <c r="S2010"/>
  <c r="T2010"/>
  <c r="U2010"/>
  <c r="V2010"/>
  <c r="W2010"/>
  <c r="X2010"/>
  <c r="Y2010"/>
  <c r="AA2010"/>
  <c r="AB2010"/>
  <c r="AC2010"/>
  <c r="AD2010"/>
  <c r="P2011"/>
  <c r="Q2011"/>
  <c r="R2011"/>
  <c r="S2011"/>
  <c r="T2011"/>
  <c r="U2011"/>
  <c r="V2011"/>
  <c r="W2011"/>
  <c r="X2011"/>
  <c r="Y2011"/>
  <c r="AA2011"/>
  <c r="AB2011"/>
  <c r="AC2011"/>
  <c r="AD2011"/>
  <c r="P2012"/>
  <c r="Q2012"/>
  <c r="R2012"/>
  <c r="S2012"/>
  <c r="T2012"/>
  <c r="U2012"/>
  <c r="V2012"/>
  <c r="W2012"/>
  <c r="X2012"/>
  <c r="Y2012"/>
  <c r="AA2012"/>
  <c r="AB2012"/>
  <c r="AC2012"/>
  <c r="AD2012"/>
  <c r="P2013"/>
  <c r="Q2013"/>
  <c r="R2013"/>
  <c r="S2013"/>
  <c r="T2013"/>
  <c r="U2013"/>
  <c r="V2013"/>
  <c r="W2013"/>
  <c r="X2013"/>
  <c r="Y2013"/>
  <c r="AA2013"/>
  <c r="AB2013"/>
  <c r="AC2013"/>
  <c r="AD2013"/>
  <c r="P2014"/>
  <c r="Q2014"/>
  <c r="R2014"/>
  <c r="S2014"/>
  <c r="T2014"/>
  <c r="U2014"/>
  <c r="V2014"/>
  <c r="W2014"/>
  <c r="X2014"/>
  <c r="Y2014"/>
  <c r="AA2014"/>
  <c r="AB2014"/>
  <c r="AC2014"/>
  <c r="AD2014"/>
  <c r="P2015"/>
  <c r="Q2015"/>
  <c r="R2015"/>
  <c r="S2015"/>
  <c r="T2015"/>
  <c r="U2015"/>
  <c r="V2015"/>
  <c r="W2015"/>
  <c r="X2015"/>
  <c r="Y2015"/>
  <c r="AA2015"/>
  <c r="AB2015"/>
  <c r="AC2015"/>
  <c r="AD2015"/>
  <c r="P2016"/>
  <c r="Q2016"/>
  <c r="R2016"/>
  <c r="S2016"/>
  <c r="T2016"/>
  <c r="U2016"/>
  <c r="V2016"/>
  <c r="W2016"/>
  <c r="X2016"/>
  <c r="Y2016"/>
  <c r="AA2016"/>
  <c r="AB2016"/>
  <c r="AC2016"/>
  <c r="AD2016"/>
  <c r="P2017"/>
  <c r="Q2017"/>
  <c r="R2017"/>
  <c r="S2017"/>
  <c r="T2017"/>
  <c r="U2017"/>
  <c r="V2017"/>
  <c r="W2017"/>
  <c r="X2017"/>
  <c r="Y2017"/>
  <c r="AA2017"/>
  <c r="AB2017"/>
  <c r="AC2017"/>
  <c r="AD2017"/>
  <c r="P2018"/>
  <c r="Q2018"/>
  <c r="R2018"/>
  <c r="S2018"/>
  <c r="T2018"/>
  <c r="U2018"/>
  <c r="V2018"/>
  <c r="W2018"/>
  <c r="X2018"/>
  <c r="Y2018"/>
  <c r="AA2018"/>
  <c r="AB2018"/>
  <c r="AC2018"/>
  <c r="AD2018"/>
  <c r="P2019"/>
  <c r="Q2019"/>
  <c r="R2019"/>
  <c r="S2019"/>
  <c r="T2019"/>
  <c r="U2019"/>
  <c r="V2019"/>
  <c r="W2019"/>
  <c r="X2019"/>
  <c r="Y2019"/>
  <c r="AA2019"/>
  <c r="AB2019"/>
  <c r="AC2019"/>
  <c r="AD2019"/>
  <c r="P2020"/>
  <c r="Q2020"/>
  <c r="R2020"/>
  <c r="S2020"/>
  <c r="T2020"/>
  <c r="U2020"/>
  <c r="V2020"/>
  <c r="W2020"/>
  <c r="X2020"/>
  <c r="Y2020"/>
  <c r="AA2020"/>
  <c r="AB2020"/>
  <c r="AC2020"/>
  <c r="AD2020"/>
  <c r="P2021"/>
  <c r="Q2021"/>
  <c r="R2021"/>
  <c r="S2021"/>
  <c r="T2021"/>
  <c r="U2021"/>
  <c r="V2021"/>
  <c r="W2021"/>
  <c r="X2021"/>
  <c r="Y2021"/>
  <c r="AA2021"/>
  <c r="AB2021"/>
  <c r="AC2021"/>
  <c r="AD2021"/>
  <c r="P2022"/>
  <c r="Q2022"/>
  <c r="R2022"/>
  <c r="S2022"/>
  <c r="T2022"/>
  <c r="U2022"/>
  <c r="V2022"/>
  <c r="W2022"/>
  <c r="X2022"/>
  <c r="Y2022"/>
  <c r="AA2022"/>
  <c r="AB2022"/>
  <c r="AC2022"/>
  <c r="AD2022"/>
  <c r="P2023"/>
  <c r="Q2023"/>
  <c r="R2023"/>
  <c r="S2023"/>
  <c r="T2023"/>
  <c r="U2023"/>
  <c r="V2023"/>
  <c r="W2023"/>
  <c r="X2023"/>
  <c r="Y2023"/>
  <c r="AA2023"/>
  <c r="AB2023"/>
  <c r="AC2023"/>
  <c r="AD2023"/>
  <c r="P2024"/>
  <c r="Q2024"/>
  <c r="R2024"/>
  <c r="S2024"/>
  <c r="T2024"/>
  <c r="U2024"/>
  <c r="V2024"/>
  <c r="W2024"/>
  <c r="X2024"/>
  <c r="Y2024"/>
  <c r="AA2024"/>
  <c r="AB2024"/>
  <c r="AC2024"/>
  <c r="AD2024"/>
  <c r="P2025"/>
  <c r="Q2025"/>
  <c r="R2025"/>
  <c r="S2025"/>
  <c r="T2025"/>
  <c r="U2025"/>
  <c r="V2025"/>
  <c r="W2025"/>
  <c r="X2025"/>
  <c r="Y2025"/>
  <c r="AA2025"/>
  <c r="AB2025"/>
  <c r="AC2025"/>
  <c r="AD2025"/>
  <c r="P2026"/>
  <c r="Q2026"/>
  <c r="R2026"/>
  <c r="S2026"/>
  <c r="T2026"/>
  <c r="U2026"/>
  <c r="V2026"/>
  <c r="W2026"/>
  <c r="X2026"/>
  <c r="Y2026"/>
  <c r="AA2026"/>
  <c r="AB2026"/>
  <c r="AC2026"/>
  <c r="AD2026"/>
  <c r="P2027"/>
  <c r="Q2027"/>
  <c r="R2027"/>
  <c r="S2027"/>
  <c r="T2027"/>
  <c r="U2027"/>
  <c r="V2027"/>
  <c r="W2027"/>
  <c r="X2027"/>
  <c r="Y2027"/>
  <c r="AA2027"/>
  <c r="AB2027"/>
  <c r="AC2027"/>
  <c r="AD2027"/>
  <c r="P2028"/>
  <c r="Q2028"/>
  <c r="R2028"/>
  <c r="S2028"/>
  <c r="T2028"/>
  <c r="U2028"/>
  <c r="V2028"/>
  <c r="W2028"/>
  <c r="X2028"/>
  <c r="Y2028"/>
  <c r="AA2028"/>
  <c r="AB2028"/>
  <c r="AC2028"/>
  <c r="AD2028"/>
  <c r="P2029"/>
  <c r="Q2029"/>
  <c r="R2029"/>
  <c r="S2029"/>
  <c r="T2029"/>
  <c r="U2029"/>
  <c r="V2029"/>
  <c r="W2029"/>
  <c r="X2029"/>
  <c r="Y2029"/>
  <c r="AA2029"/>
  <c r="AB2029"/>
  <c r="AC2029"/>
  <c r="AD2029"/>
  <c r="P2030"/>
  <c r="Q2030"/>
  <c r="R2030"/>
  <c r="S2030"/>
  <c r="T2030"/>
  <c r="U2030"/>
  <c r="V2030"/>
  <c r="W2030"/>
  <c r="X2030"/>
  <c r="Y2030"/>
  <c r="AA2030"/>
  <c r="AB2030"/>
  <c r="AC2030"/>
  <c r="AD2030"/>
  <c r="P2031"/>
  <c r="Q2031"/>
  <c r="R2031"/>
  <c r="S2031"/>
  <c r="T2031"/>
  <c r="U2031"/>
  <c r="V2031"/>
  <c r="W2031"/>
  <c r="X2031"/>
  <c r="Y2031"/>
  <c r="AA2031"/>
  <c r="AB2031"/>
  <c r="AC2031"/>
  <c r="AD2031"/>
  <c r="P2032"/>
  <c r="Q2032"/>
  <c r="R2032"/>
  <c r="S2032"/>
  <c r="T2032"/>
  <c r="U2032"/>
  <c r="V2032"/>
  <c r="W2032"/>
  <c r="X2032"/>
  <c r="Y2032"/>
  <c r="AA2032"/>
  <c r="AB2032"/>
  <c r="AC2032"/>
  <c r="AD2032"/>
  <c r="P2033"/>
  <c r="Q2033"/>
  <c r="R2033"/>
  <c r="S2033"/>
  <c r="T2033"/>
  <c r="U2033"/>
  <c r="V2033"/>
  <c r="W2033"/>
  <c r="X2033"/>
  <c r="Y2033"/>
  <c r="AA2033"/>
  <c r="AB2033"/>
  <c r="AC2033"/>
  <c r="AD2033"/>
  <c r="P2034"/>
  <c r="Q2034"/>
  <c r="R2034"/>
  <c r="S2034"/>
  <c r="T2034"/>
  <c r="U2034"/>
  <c r="V2034"/>
  <c r="W2034"/>
  <c r="X2034"/>
  <c r="Y2034"/>
  <c r="AA2034"/>
  <c r="AB2034"/>
  <c r="AC2034"/>
  <c r="AD2034"/>
  <c r="P2035"/>
  <c r="Q2035"/>
  <c r="R2035"/>
  <c r="S2035"/>
  <c r="T2035"/>
  <c r="U2035"/>
  <c r="V2035"/>
  <c r="W2035"/>
  <c r="X2035"/>
  <c r="Y2035"/>
  <c r="AA2035"/>
  <c r="AB2035"/>
  <c r="AC2035"/>
  <c r="AD2035"/>
  <c r="P2036"/>
  <c r="Q2036"/>
  <c r="R2036"/>
  <c r="S2036"/>
  <c r="T2036"/>
  <c r="U2036"/>
  <c r="V2036"/>
  <c r="W2036"/>
  <c r="X2036"/>
  <c r="Y2036"/>
  <c r="AA2036"/>
  <c r="AB2036"/>
  <c r="AC2036"/>
  <c r="AD2036"/>
  <c r="P2037"/>
  <c r="Q2037"/>
  <c r="R2037"/>
  <c r="S2037"/>
  <c r="T2037"/>
  <c r="U2037"/>
  <c r="V2037"/>
  <c r="W2037"/>
  <c r="X2037"/>
  <c r="Y2037"/>
  <c r="AA2037"/>
  <c r="AB2037"/>
  <c r="AC2037"/>
  <c r="AD2037"/>
  <c r="P2038"/>
  <c r="Q2038"/>
  <c r="R2038"/>
  <c r="S2038"/>
  <c r="T2038"/>
  <c r="U2038"/>
  <c r="V2038"/>
  <c r="W2038"/>
  <c r="X2038"/>
  <c r="Y2038"/>
  <c r="AA2038"/>
  <c r="AB2038"/>
  <c r="AC2038"/>
  <c r="AD2038"/>
  <c r="P2039"/>
  <c r="Q2039"/>
  <c r="R2039"/>
  <c r="S2039"/>
  <c r="T2039"/>
  <c r="U2039"/>
  <c r="V2039"/>
  <c r="W2039"/>
  <c r="X2039"/>
  <c r="Y2039"/>
  <c r="AA2039"/>
  <c r="AB2039"/>
  <c r="AC2039"/>
  <c r="AD2039"/>
  <c r="P2040"/>
  <c r="Q2040"/>
  <c r="R2040"/>
  <c r="S2040"/>
  <c r="T2040"/>
  <c r="U2040"/>
  <c r="V2040"/>
  <c r="W2040"/>
  <c r="X2040"/>
  <c r="Y2040"/>
  <c r="AA2040"/>
  <c r="AB2040"/>
  <c r="AC2040"/>
  <c r="AD2040"/>
  <c r="P2041"/>
  <c r="Q2041"/>
  <c r="R2041"/>
  <c r="S2041"/>
  <c r="T2041"/>
  <c r="U2041"/>
  <c r="V2041"/>
  <c r="W2041"/>
  <c r="X2041"/>
  <c r="Y2041"/>
  <c r="AA2041"/>
  <c r="AB2041"/>
  <c r="AC2041"/>
  <c r="AD2041"/>
  <c r="P2042"/>
  <c r="Q2042"/>
  <c r="R2042"/>
  <c r="S2042"/>
  <c r="T2042"/>
  <c r="U2042"/>
  <c r="V2042"/>
  <c r="W2042"/>
  <c r="X2042"/>
  <c r="Y2042"/>
  <c r="AA2042"/>
  <c r="AB2042"/>
  <c r="AC2042"/>
  <c r="AD2042"/>
  <c r="P2043"/>
  <c r="Q2043"/>
  <c r="R2043"/>
  <c r="S2043"/>
  <c r="T2043"/>
  <c r="U2043"/>
  <c r="V2043"/>
  <c r="W2043"/>
  <c r="X2043"/>
  <c r="Y2043"/>
  <c r="AA2043"/>
  <c r="AB2043"/>
  <c r="AC2043"/>
  <c r="AD2043"/>
  <c r="P2044"/>
  <c r="Q2044"/>
  <c r="R2044"/>
  <c r="S2044"/>
  <c r="T2044"/>
  <c r="U2044"/>
  <c r="V2044"/>
  <c r="W2044"/>
  <c r="X2044"/>
  <c r="Y2044"/>
  <c r="AA2044"/>
  <c r="AB2044"/>
  <c r="AC2044"/>
  <c r="AD2044"/>
  <c r="P2045"/>
  <c r="Q2045"/>
  <c r="R2045"/>
  <c r="S2045"/>
  <c r="T2045"/>
  <c r="U2045"/>
  <c r="V2045"/>
  <c r="W2045"/>
  <c r="X2045"/>
  <c r="Y2045"/>
  <c r="AA2045"/>
  <c r="AB2045"/>
  <c r="AC2045"/>
  <c r="AD2045"/>
  <c r="P2046"/>
  <c r="Q2046"/>
  <c r="R2046"/>
  <c r="S2046"/>
  <c r="T2046"/>
  <c r="U2046"/>
  <c r="V2046"/>
  <c r="W2046"/>
  <c r="X2046"/>
  <c r="Y2046"/>
  <c r="AA2046"/>
  <c r="AB2046"/>
  <c r="AC2046"/>
  <c r="AD2046"/>
  <c r="P2047"/>
  <c r="Q2047"/>
  <c r="R2047"/>
  <c r="S2047"/>
  <c r="T2047"/>
  <c r="U2047"/>
  <c r="V2047"/>
  <c r="W2047"/>
  <c r="X2047"/>
  <c r="Y2047"/>
  <c r="AA2047"/>
  <c r="AB2047"/>
  <c r="AC2047"/>
  <c r="AD2047"/>
  <c r="P2048"/>
  <c r="Q2048"/>
  <c r="R2048"/>
  <c r="S2048"/>
  <c r="T2048"/>
  <c r="U2048"/>
  <c r="V2048"/>
  <c r="W2048"/>
  <c r="X2048"/>
  <c r="Y2048"/>
  <c r="AA2048"/>
  <c r="AB2048"/>
  <c r="AC2048"/>
  <c r="AD2048"/>
  <c r="P2049"/>
  <c r="Q2049"/>
  <c r="R2049"/>
  <c r="S2049"/>
  <c r="T2049"/>
  <c r="U2049"/>
  <c r="V2049"/>
  <c r="W2049"/>
  <c r="X2049"/>
  <c r="Y2049"/>
  <c r="AA2049"/>
  <c r="AB2049"/>
  <c r="AC2049"/>
  <c r="AD2049"/>
  <c r="P2050"/>
  <c r="Q2050"/>
  <c r="R2050"/>
  <c r="S2050"/>
  <c r="T2050"/>
  <c r="U2050"/>
  <c r="V2050"/>
  <c r="W2050"/>
  <c r="X2050"/>
  <c r="Y2050"/>
  <c r="AA2050"/>
  <c r="AB2050"/>
  <c r="AC2050"/>
  <c r="AD2050"/>
  <c r="P2051"/>
  <c r="Q2051"/>
  <c r="R2051"/>
  <c r="S2051"/>
  <c r="T2051"/>
  <c r="U2051"/>
  <c r="V2051"/>
  <c r="W2051"/>
  <c r="X2051"/>
  <c r="Y2051"/>
  <c r="AA2051"/>
  <c r="AB2051"/>
  <c r="AC2051"/>
  <c r="AD2051"/>
  <c r="P2052"/>
  <c r="Q2052"/>
  <c r="R2052"/>
  <c r="S2052"/>
  <c r="T2052"/>
  <c r="U2052"/>
  <c r="V2052"/>
  <c r="W2052"/>
  <c r="X2052"/>
  <c r="Y2052"/>
  <c r="AA2052"/>
  <c r="AB2052"/>
  <c r="AC2052"/>
  <c r="AD2052"/>
  <c r="P2053"/>
  <c r="Q2053"/>
  <c r="R2053"/>
  <c r="S2053"/>
  <c r="T2053"/>
  <c r="U2053"/>
  <c r="V2053"/>
  <c r="W2053"/>
  <c r="X2053"/>
  <c r="Y2053"/>
  <c r="AA2053"/>
  <c r="AB2053"/>
  <c r="AC2053"/>
  <c r="AD2053"/>
  <c r="P2054"/>
  <c r="Q2054"/>
  <c r="R2054"/>
  <c r="S2054"/>
  <c r="T2054"/>
  <c r="U2054"/>
  <c r="V2054"/>
  <c r="W2054"/>
  <c r="X2054"/>
  <c r="Y2054"/>
  <c r="AA2054"/>
  <c r="AB2054"/>
  <c r="AC2054"/>
  <c r="AD2054"/>
  <c r="P2055"/>
  <c r="Q2055"/>
  <c r="R2055"/>
  <c r="S2055"/>
  <c r="T2055"/>
  <c r="U2055"/>
  <c r="V2055"/>
  <c r="W2055"/>
  <c r="X2055"/>
  <c r="Y2055"/>
  <c r="AA2055"/>
  <c r="AB2055"/>
  <c r="AC2055"/>
  <c r="AD2055"/>
  <c r="P2056"/>
  <c r="Q2056"/>
  <c r="R2056"/>
  <c r="S2056"/>
  <c r="T2056"/>
  <c r="U2056"/>
  <c r="V2056"/>
  <c r="W2056"/>
  <c r="X2056"/>
  <c r="Y2056"/>
  <c r="AA2056"/>
  <c r="AB2056"/>
  <c r="AC2056"/>
  <c r="AD2056"/>
  <c r="P2057"/>
  <c r="Q2057"/>
  <c r="R2057"/>
  <c r="S2057"/>
  <c r="T2057"/>
  <c r="U2057"/>
  <c r="V2057"/>
  <c r="W2057"/>
  <c r="X2057"/>
  <c r="Y2057"/>
  <c r="AA2057"/>
  <c r="AB2057"/>
  <c r="AC2057"/>
  <c r="AD2057"/>
  <c r="P2058"/>
  <c r="Q2058"/>
  <c r="R2058"/>
  <c r="S2058"/>
  <c r="T2058"/>
  <c r="U2058"/>
  <c r="V2058"/>
  <c r="W2058"/>
  <c r="X2058"/>
  <c r="Y2058"/>
  <c r="AA2058"/>
  <c r="AB2058"/>
  <c r="AC2058"/>
  <c r="AD2058"/>
  <c r="P2059"/>
  <c r="Q2059"/>
  <c r="R2059"/>
  <c r="S2059"/>
  <c r="T2059"/>
  <c r="U2059"/>
  <c r="V2059"/>
  <c r="W2059"/>
  <c r="X2059"/>
  <c r="Y2059"/>
  <c r="AA2059"/>
  <c r="AB2059"/>
  <c r="AC2059"/>
  <c r="AD2059"/>
  <c r="P2060"/>
  <c r="Q2060"/>
  <c r="R2060"/>
  <c r="S2060"/>
  <c r="T2060"/>
  <c r="U2060"/>
  <c r="V2060"/>
  <c r="W2060"/>
  <c r="X2060"/>
  <c r="Y2060"/>
  <c r="AA2060"/>
  <c r="AB2060"/>
  <c r="AC2060"/>
  <c r="AD2060"/>
  <c r="P2061"/>
  <c r="Q2061"/>
  <c r="R2061"/>
  <c r="S2061"/>
  <c r="T2061"/>
  <c r="U2061"/>
  <c r="V2061"/>
  <c r="W2061"/>
  <c r="X2061"/>
  <c r="Y2061"/>
  <c r="AA2061"/>
  <c r="AB2061"/>
  <c r="AC2061"/>
  <c r="AD2061"/>
  <c r="P2062"/>
  <c r="Q2062"/>
  <c r="R2062"/>
  <c r="S2062"/>
  <c r="T2062"/>
  <c r="U2062"/>
  <c r="V2062"/>
  <c r="W2062"/>
  <c r="X2062"/>
  <c r="Y2062"/>
  <c r="AA2062"/>
  <c r="AB2062"/>
  <c r="AC2062"/>
  <c r="AD2062"/>
  <c r="P2063"/>
  <c r="Q2063"/>
  <c r="R2063"/>
  <c r="S2063"/>
  <c r="T2063"/>
  <c r="U2063"/>
  <c r="V2063"/>
  <c r="W2063"/>
  <c r="X2063"/>
  <c r="Y2063"/>
  <c r="AA2063"/>
  <c r="AB2063"/>
  <c r="AC2063"/>
  <c r="AD2063"/>
  <c r="P2064"/>
  <c r="Q2064"/>
  <c r="R2064"/>
  <c r="S2064"/>
  <c r="T2064"/>
  <c r="U2064"/>
  <c r="V2064"/>
  <c r="W2064"/>
  <c r="X2064"/>
  <c r="Y2064"/>
  <c r="AA2064"/>
  <c r="AB2064"/>
  <c r="AC2064"/>
  <c r="AD2064"/>
  <c r="P2065"/>
  <c r="Q2065"/>
  <c r="R2065"/>
  <c r="S2065"/>
  <c r="T2065"/>
  <c r="U2065"/>
  <c r="V2065"/>
  <c r="W2065"/>
  <c r="X2065"/>
  <c r="Y2065"/>
  <c r="AA2065"/>
  <c r="AB2065"/>
  <c r="AC2065"/>
  <c r="AD2065"/>
  <c r="P2066"/>
  <c r="Q2066"/>
  <c r="R2066"/>
  <c r="S2066"/>
  <c r="T2066"/>
  <c r="U2066"/>
  <c r="V2066"/>
  <c r="W2066"/>
  <c r="X2066"/>
  <c r="Y2066"/>
  <c r="AA2066"/>
  <c r="AB2066"/>
  <c r="AC2066"/>
  <c r="AD2066"/>
  <c r="P2067"/>
  <c r="Q2067"/>
  <c r="R2067"/>
  <c r="S2067"/>
  <c r="T2067"/>
  <c r="U2067"/>
  <c r="V2067"/>
  <c r="W2067"/>
  <c r="X2067"/>
  <c r="Y2067"/>
  <c r="AA2067"/>
  <c r="AB2067"/>
  <c r="AC2067"/>
  <c r="AD2067"/>
  <c r="P2068"/>
  <c r="Q2068"/>
  <c r="R2068"/>
  <c r="S2068"/>
  <c r="T2068"/>
  <c r="U2068"/>
  <c r="V2068"/>
  <c r="W2068"/>
  <c r="X2068"/>
  <c r="Y2068"/>
  <c r="AA2068"/>
  <c r="AB2068"/>
  <c r="AC2068"/>
  <c r="AD2068"/>
  <c r="P2069"/>
  <c r="Q2069"/>
  <c r="R2069"/>
  <c r="S2069"/>
  <c r="T2069"/>
  <c r="U2069"/>
  <c r="V2069"/>
  <c r="W2069"/>
  <c r="X2069"/>
  <c r="Y2069"/>
  <c r="AA2069"/>
  <c r="AB2069"/>
  <c r="AC2069"/>
  <c r="AD2069"/>
  <c r="P2070"/>
  <c r="Q2070"/>
  <c r="R2070"/>
  <c r="S2070"/>
  <c r="T2070"/>
  <c r="U2070"/>
  <c r="V2070"/>
  <c r="W2070"/>
  <c r="X2070"/>
  <c r="Y2070"/>
  <c r="AA2070"/>
  <c r="AB2070"/>
  <c r="AC2070"/>
  <c r="AD2070"/>
  <c r="P2071"/>
  <c r="Q2071"/>
  <c r="R2071"/>
  <c r="S2071"/>
  <c r="T2071"/>
  <c r="U2071"/>
  <c r="V2071"/>
  <c r="W2071"/>
  <c r="X2071"/>
  <c r="Y2071"/>
  <c r="AA2071"/>
  <c r="AB2071"/>
  <c r="AC2071"/>
  <c r="AD2071"/>
  <c r="P2072"/>
  <c r="Q2072"/>
  <c r="R2072"/>
  <c r="S2072"/>
  <c r="T2072"/>
  <c r="U2072"/>
  <c r="V2072"/>
  <c r="W2072"/>
  <c r="X2072"/>
  <c r="Y2072"/>
  <c r="AA2072"/>
  <c r="AB2072"/>
  <c r="AC2072"/>
  <c r="AD2072"/>
  <c r="P2073"/>
  <c r="Q2073"/>
  <c r="R2073"/>
  <c r="S2073"/>
  <c r="T2073"/>
  <c r="U2073"/>
  <c r="V2073"/>
  <c r="W2073"/>
  <c r="X2073"/>
  <c r="Y2073"/>
  <c r="AA2073"/>
  <c r="AB2073"/>
  <c r="AC2073"/>
  <c r="AD2073"/>
  <c r="P2074"/>
  <c r="Q2074"/>
  <c r="R2074"/>
  <c r="S2074"/>
  <c r="T2074"/>
  <c r="U2074"/>
  <c r="V2074"/>
  <c r="W2074"/>
  <c r="X2074"/>
  <c r="Y2074"/>
  <c r="AA2074"/>
  <c r="AB2074"/>
  <c r="AC2074"/>
  <c r="AD2074"/>
  <c r="P2075"/>
  <c r="Q2075"/>
  <c r="R2075"/>
  <c r="S2075"/>
  <c r="T2075"/>
  <c r="U2075"/>
  <c r="V2075"/>
  <c r="W2075"/>
  <c r="X2075"/>
  <c r="Y2075"/>
  <c r="AA2075"/>
  <c r="AB2075"/>
  <c r="AC2075"/>
  <c r="AD2075"/>
  <c r="P2076"/>
  <c r="Q2076"/>
  <c r="R2076"/>
  <c r="S2076"/>
  <c r="T2076"/>
  <c r="U2076"/>
  <c r="V2076"/>
  <c r="W2076"/>
  <c r="X2076"/>
  <c r="Y2076"/>
  <c r="AA2076"/>
  <c r="AB2076"/>
  <c r="AC2076"/>
  <c r="AD2076"/>
  <c r="P2077"/>
  <c r="Q2077"/>
  <c r="R2077"/>
  <c r="S2077"/>
  <c r="T2077"/>
  <c r="U2077"/>
  <c r="V2077"/>
  <c r="W2077"/>
  <c r="X2077"/>
  <c r="Y2077"/>
  <c r="AA2077"/>
  <c r="AB2077"/>
  <c r="AC2077"/>
  <c r="AD2077"/>
  <c r="P2078"/>
  <c r="Q2078"/>
  <c r="R2078"/>
  <c r="S2078"/>
  <c r="T2078"/>
  <c r="U2078"/>
  <c r="V2078"/>
  <c r="W2078"/>
  <c r="X2078"/>
  <c r="Y2078"/>
  <c r="AA2078"/>
  <c r="AB2078"/>
  <c r="AC2078"/>
  <c r="AD2078"/>
  <c r="P2079"/>
  <c r="Q2079"/>
  <c r="R2079"/>
  <c r="S2079"/>
  <c r="T2079"/>
  <c r="U2079"/>
  <c r="V2079"/>
  <c r="W2079"/>
  <c r="X2079"/>
  <c r="Y2079"/>
  <c r="AA2079"/>
  <c r="AB2079"/>
  <c r="AC2079"/>
  <c r="AD2079"/>
  <c r="P2080"/>
  <c r="Q2080"/>
  <c r="R2080"/>
  <c r="S2080"/>
  <c r="T2080"/>
  <c r="U2080"/>
  <c r="V2080"/>
  <c r="W2080"/>
  <c r="X2080"/>
  <c r="Y2080"/>
  <c r="AA2080"/>
  <c r="AB2080"/>
  <c r="AC2080"/>
  <c r="AD2080"/>
  <c r="P2081"/>
  <c r="Q2081"/>
  <c r="R2081"/>
  <c r="S2081"/>
  <c r="T2081"/>
  <c r="U2081"/>
  <c r="V2081"/>
  <c r="W2081"/>
  <c r="X2081"/>
  <c r="Y2081"/>
  <c r="AA2081"/>
  <c r="AB2081"/>
  <c r="AC2081"/>
  <c r="AD2081"/>
  <c r="P2082"/>
  <c r="Q2082"/>
  <c r="R2082"/>
  <c r="S2082"/>
  <c r="T2082"/>
  <c r="U2082"/>
  <c r="V2082"/>
  <c r="W2082"/>
  <c r="X2082"/>
  <c r="Y2082"/>
  <c r="AA2082"/>
  <c r="AB2082"/>
  <c r="AC2082"/>
  <c r="AD2082"/>
  <c r="P2083"/>
  <c r="Q2083"/>
  <c r="R2083"/>
  <c r="S2083"/>
  <c r="T2083"/>
  <c r="U2083"/>
  <c r="V2083"/>
  <c r="W2083"/>
  <c r="X2083"/>
  <c r="Y2083"/>
  <c r="AA2083"/>
  <c r="AB2083"/>
  <c r="AC2083"/>
  <c r="AD2083"/>
  <c r="P2084"/>
  <c r="Q2084"/>
  <c r="R2084"/>
  <c r="S2084"/>
  <c r="T2084"/>
  <c r="U2084"/>
  <c r="V2084"/>
  <c r="W2084"/>
  <c r="X2084"/>
  <c r="Y2084"/>
  <c r="AA2084"/>
  <c r="AB2084"/>
  <c r="AC2084"/>
  <c r="AD2084"/>
  <c r="P2085"/>
  <c r="Q2085"/>
  <c r="R2085"/>
  <c r="S2085"/>
  <c r="T2085"/>
  <c r="U2085"/>
  <c r="V2085"/>
  <c r="W2085"/>
  <c r="X2085"/>
  <c r="Y2085"/>
  <c r="AA2085"/>
  <c r="AB2085"/>
  <c r="AC2085"/>
  <c r="AD2085"/>
  <c r="P2086"/>
  <c r="Q2086"/>
  <c r="R2086"/>
  <c r="S2086"/>
  <c r="T2086"/>
  <c r="U2086"/>
  <c r="V2086"/>
  <c r="W2086"/>
  <c r="X2086"/>
  <c r="Y2086"/>
  <c r="AA2086"/>
  <c r="AB2086"/>
  <c r="AC2086"/>
  <c r="AD2086"/>
  <c r="P2087"/>
  <c r="Q2087"/>
  <c r="R2087"/>
  <c r="S2087"/>
  <c r="T2087"/>
  <c r="U2087"/>
  <c r="V2087"/>
  <c r="W2087"/>
  <c r="X2087"/>
  <c r="Y2087"/>
  <c r="AA2087"/>
  <c r="AB2087"/>
  <c r="AC2087"/>
  <c r="AD2087"/>
  <c r="P2088"/>
  <c r="Q2088"/>
  <c r="R2088"/>
  <c r="S2088"/>
  <c r="T2088"/>
  <c r="U2088"/>
  <c r="V2088"/>
  <c r="W2088"/>
  <c r="X2088"/>
  <c r="Y2088"/>
  <c r="AA2088"/>
  <c r="AB2088"/>
  <c r="AC2088"/>
  <c r="AD2088"/>
  <c r="P2089"/>
  <c r="Q2089"/>
  <c r="R2089"/>
  <c r="S2089"/>
  <c r="T2089"/>
  <c r="U2089"/>
  <c r="V2089"/>
  <c r="W2089"/>
  <c r="X2089"/>
  <c r="Y2089"/>
  <c r="AA2089"/>
  <c r="AB2089"/>
  <c r="AC2089"/>
  <c r="AD2089"/>
  <c r="P2090"/>
  <c r="Q2090"/>
  <c r="R2090"/>
  <c r="S2090"/>
  <c r="T2090"/>
  <c r="U2090"/>
  <c r="V2090"/>
  <c r="W2090"/>
  <c r="X2090"/>
  <c r="Y2090"/>
  <c r="AA2090"/>
  <c r="AB2090"/>
  <c r="AC2090"/>
  <c r="AD2090"/>
  <c r="P2091"/>
  <c r="Q2091"/>
  <c r="R2091"/>
  <c r="S2091"/>
  <c r="T2091"/>
  <c r="U2091"/>
  <c r="V2091"/>
  <c r="W2091"/>
  <c r="X2091"/>
  <c r="Y2091"/>
  <c r="AA2091"/>
  <c r="AB2091"/>
  <c r="AC2091"/>
  <c r="AD2091"/>
  <c r="P2092"/>
  <c r="Q2092"/>
  <c r="R2092"/>
  <c r="S2092"/>
  <c r="T2092"/>
  <c r="U2092"/>
  <c r="V2092"/>
  <c r="W2092"/>
  <c r="X2092"/>
  <c r="Y2092"/>
  <c r="AA2092"/>
  <c r="AB2092"/>
  <c r="AC2092"/>
  <c r="AD2092"/>
  <c r="P2093"/>
  <c r="Q2093"/>
  <c r="R2093"/>
  <c r="S2093"/>
  <c r="T2093"/>
  <c r="U2093"/>
  <c r="V2093"/>
  <c r="W2093"/>
  <c r="X2093"/>
  <c r="Y2093"/>
  <c r="AA2093"/>
  <c r="AB2093"/>
  <c r="AC2093"/>
  <c r="AD2093"/>
  <c r="P2094"/>
  <c r="Q2094"/>
  <c r="R2094"/>
  <c r="S2094"/>
  <c r="T2094"/>
  <c r="U2094"/>
  <c r="V2094"/>
  <c r="W2094"/>
  <c r="X2094"/>
  <c r="Y2094"/>
  <c r="AA2094"/>
  <c r="AB2094"/>
  <c r="AC2094"/>
  <c r="AD2094"/>
  <c r="P2095"/>
  <c r="Q2095"/>
  <c r="R2095"/>
  <c r="S2095"/>
  <c r="T2095"/>
  <c r="U2095"/>
  <c r="V2095"/>
  <c r="W2095"/>
  <c r="X2095"/>
  <c r="Y2095"/>
  <c r="AA2095"/>
  <c r="AB2095"/>
  <c r="AC2095"/>
  <c r="AD2095"/>
  <c r="P2096"/>
  <c r="Q2096"/>
  <c r="R2096"/>
  <c r="S2096"/>
  <c r="T2096"/>
  <c r="U2096"/>
  <c r="V2096"/>
  <c r="W2096"/>
  <c r="X2096"/>
  <c r="Y2096"/>
  <c r="AA2096"/>
  <c r="AB2096"/>
  <c r="AC2096"/>
  <c r="AD2096"/>
  <c r="P2097"/>
  <c r="Q2097"/>
  <c r="R2097"/>
  <c r="S2097"/>
  <c r="T2097"/>
  <c r="U2097"/>
  <c r="V2097"/>
  <c r="W2097"/>
  <c r="X2097"/>
  <c r="Y2097"/>
  <c r="AA2097"/>
  <c r="AB2097"/>
  <c r="AC2097"/>
  <c r="AD2097"/>
  <c r="P2098"/>
  <c r="Q2098"/>
  <c r="R2098"/>
  <c r="S2098"/>
  <c r="T2098"/>
  <c r="U2098"/>
  <c r="V2098"/>
  <c r="W2098"/>
  <c r="X2098"/>
  <c r="Y2098"/>
  <c r="AA2098"/>
  <c r="AB2098"/>
  <c r="AC2098"/>
  <c r="AD2098"/>
  <c r="P2099"/>
  <c r="Q2099"/>
  <c r="R2099"/>
  <c r="S2099"/>
  <c r="T2099"/>
  <c r="U2099"/>
  <c r="V2099"/>
  <c r="W2099"/>
  <c r="X2099"/>
  <c r="Y2099"/>
  <c r="AA2099"/>
  <c r="AB2099"/>
  <c r="AC2099"/>
  <c r="AD2099"/>
  <c r="P2100"/>
  <c r="Q2100"/>
  <c r="R2100"/>
  <c r="S2100"/>
  <c r="T2100"/>
  <c r="U2100"/>
  <c r="V2100"/>
  <c r="W2100"/>
  <c r="X2100"/>
  <c r="Y2100"/>
  <c r="AA2100"/>
  <c r="AB2100"/>
  <c r="AC2100"/>
  <c r="AD2100"/>
  <c r="P2101"/>
  <c r="Q2101"/>
  <c r="R2101"/>
  <c r="S2101"/>
  <c r="T2101"/>
  <c r="U2101"/>
  <c r="V2101"/>
  <c r="W2101"/>
  <c r="X2101"/>
  <c r="Y2101"/>
  <c r="AA2101"/>
  <c r="AB2101"/>
  <c r="AC2101"/>
  <c r="AD2101"/>
  <c r="P2102"/>
  <c r="Q2102"/>
  <c r="R2102"/>
  <c r="S2102"/>
  <c r="T2102"/>
  <c r="U2102"/>
  <c r="V2102"/>
  <c r="W2102"/>
  <c r="X2102"/>
  <c r="Y2102"/>
  <c r="AA2102"/>
  <c r="AB2102"/>
  <c r="AC2102"/>
  <c r="AD2102"/>
  <c r="P2103"/>
  <c r="Q2103"/>
  <c r="R2103"/>
  <c r="S2103"/>
  <c r="T2103"/>
  <c r="U2103"/>
  <c r="V2103"/>
  <c r="W2103"/>
  <c r="X2103"/>
  <c r="Y2103"/>
  <c r="AA2103"/>
  <c r="AB2103"/>
  <c r="AC2103"/>
  <c r="AD2103"/>
  <c r="P2104"/>
  <c r="Q2104"/>
  <c r="R2104"/>
  <c r="S2104"/>
  <c r="T2104"/>
  <c r="U2104"/>
  <c r="V2104"/>
  <c r="W2104"/>
  <c r="X2104"/>
  <c r="Y2104"/>
  <c r="AA2104"/>
  <c r="AB2104"/>
  <c r="AC2104"/>
  <c r="AD2104"/>
  <c r="P2105"/>
  <c r="Q2105"/>
  <c r="R2105"/>
  <c r="S2105"/>
  <c r="T2105"/>
  <c r="U2105"/>
  <c r="V2105"/>
  <c r="W2105"/>
  <c r="X2105"/>
  <c r="Y2105"/>
  <c r="AA2105"/>
  <c r="AB2105"/>
  <c r="AC2105"/>
  <c r="AD2105"/>
  <c r="P2106"/>
  <c r="Q2106"/>
  <c r="R2106"/>
  <c r="S2106"/>
  <c r="T2106"/>
  <c r="U2106"/>
  <c r="V2106"/>
  <c r="W2106"/>
  <c r="X2106"/>
  <c r="Y2106"/>
  <c r="AA2106"/>
  <c r="AB2106"/>
  <c r="AC2106"/>
  <c r="AD2106"/>
  <c r="P2107"/>
  <c r="Q2107"/>
  <c r="R2107"/>
  <c r="S2107"/>
  <c r="T2107"/>
  <c r="U2107"/>
  <c r="V2107"/>
  <c r="W2107"/>
  <c r="X2107"/>
  <c r="Y2107"/>
  <c r="AA2107"/>
  <c r="AB2107"/>
  <c r="AC2107"/>
  <c r="AD2107"/>
  <c r="P2108"/>
  <c r="Q2108"/>
  <c r="R2108"/>
  <c r="S2108"/>
  <c r="T2108"/>
  <c r="U2108"/>
  <c r="V2108"/>
  <c r="W2108"/>
  <c r="X2108"/>
  <c r="Y2108"/>
  <c r="AA2108"/>
  <c r="AB2108"/>
  <c r="AC2108"/>
  <c r="AD2108"/>
  <c r="P2109"/>
  <c r="Q2109"/>
  <c r="R2109"/>
  <c r="S2109"/>
  <c r="T2109"/>
  <c r="U2109"/>
  <c r="V2109"/>
  <c r="W2109"/>
  <c r="X2109"/>
  <c r="Y2109"/>
  <c r="AA2109"/>
  <c r="AB2109"/>
  <c r="AC2109"/>
  <c r="AD2109"/>
  <c r="P2110"/>
  <c r="Q2110"/>
  <c r="R2110"/>
  <c r="S2110"/>
  <c r="T2110"/>
  <c r="U2110"/>
  <c r="V2110"/>
  <c r="W2110"/>
  <c r="X2110"/>
  <c r="Y2110"/>
  <c r="AA2110"/>
  <c r="AB2110"/>
  <c r="AC2110"/>
  <c r="AD2110"/>
  <c r="P2111"/>
  <c r="Q2111"/>
  <c r="R2111"/>
  <c r="S2111"/>
  <c r="T2111"/>
  <c r="U2111"/>
  <c r="V2111"/>
  <c r="W2111"/>
  <c r="X2111"/>
  <c r="Y2111"/>
  <c r="AA2111"/>
  <c r="AB2111"/>
  <c r="AC2111"/>
  <c r="AD2111"/>
  <c r="P2112"/>
  <c r="Q2112"/>
  <c r="R2112"/>
  <c r="S2112"/>
  <c r="T2112"/>
  <c r="U2112"/>
  <c r="V2112"/>
  <c r="W2112"/>
  <c r="X2112"/>
  <c r="Y2112"/>
  <c r="AA2112"/>
  <c r="AB2112"/>
  <c r="AC2112"/>
  <c r="AD2112"/>
  <c r="P2113"/>
  <c r="Q2113"/>
  <c r="R2113"/>
  <c r="S2113"/>
  <c r="T2113"/>
  <c r="U2113"/>
  <c r="V2113"/>
  <c r="W2113"/>
  <c r="X2113"/>
  <c r="Y2113"/>
  <c r="AA2113"/>
  <c r="AB2113"/>
  <c r="AC2113"/>
  <c r="AD2113"/>
  <c r="P2114"/>
  <c r="Q2114"/>
  <c r="R2114"/>
  <c r="S2114"/>
  <c r="T2114"/>
  <c r="U2114"/>
  <c r="V2114"/>
  <c r="W2114"/>
  <c r="X2114"/>
  <c r="Y2114"/>
  <c r="AA2114"/>
  <c r="AB2114"/>
  <c r="AC2114"/>
  <c r="AD2114"/>
  <c r="P2115"/>
  <c r="Q2115"/>
  <c r="R2115"/>
  <c r="S2115"/>
  <c r="T2115"/>
  <c r="U2115"/>
  <c r="V2115"/>
  <c r="W2115"/>
  <c r="X2115"/>
  <c r="Y2115"/>
  <c r="AA2115"/>
  <c r="AB2115"/>
  <c r="AC2115"/>
  <c r="AD2115"/>
  <c r="P2116"/>
  <c r="Q2116"/>
  <c r="R2116"/>
  <c r="S2116"/>
  <c r="T2116"/>
  <c r="U2116"/>
  <c r="V2116"/>
  <c r="W2116"/>
  <c r="X2116"/>
  <c r="Y2116"/>
  <c r="AA2116"/>
  <c r="AB2116"/>
  <c r="AC2116"/>
  <c r="AD2116"/>
  <c r="P2117"/>
  <c r="Q2117"/>
  <c r="R2117"/>
  <c r="S2117"/>
  <c r="T2117"/>
  <c r="U2117"/>
  <c r="V2117"/>
  <c r="W2117"/>
  <c r="X2117"/>
  <c r="Y2117"/>
  <c r="AA2117"/>
  <c r="AB2117"/>
  <c r="AC2117"/>
  <c r="AD2117"/>
  <c r="P2118"/>
  <c r="Q2118"/>
  <c r="R2118"/>
  <c r="S2118"/>
  <c r="T2118"/>
  <c r="U2118"/>
  <c r="V2118"/>
  <c r="W2118"/>
  <c r="X2118"/>
  <c r="Y2118"/>
  <c r="AA2118"/>
  <c r="AB2118"/>
  <c r="AC2118"/>
  <c r="AD2118"/>
  <c r="P2119"/>
  <c r="Q2119"/>
  <c r="R2119"/>
  <c r="S2119"/>
  <c r="T2119"/>
  <c r="U2119"/>
  <c r="V2119"/>
  <c r="W2119"/>
  <c r="X2119"/>
  <c r="Y2119"/>
  <c r="AA2119"/>
  <c r="AB2119"/>
  <c r="AC2119"/>
  <c r="AD2119"/>
  <c r="P2120"/>
  <c r="Q2120"/>
  <c r="R2120"/>
  <c r="S2120"/>
  <c r="T2120"/>
  <c r="U2120"/>
  <c r="V2120"/>
  <c r="W2120"/>
  <c r="X2120"/>
  <c r="Y2120"/>
  <c r="AA2120"/>
  <c r="AB2120"/>
  <c r="AC2120"/>
  <c r="AD2120"/>
  <c r="P2121"/>
  <c r="Q2121"/>
  <c r="R2121"/>
  <c r="S2121"/>
  <c r="T2121"/>
  <c r="U2121"/>
  <c r="V2121"/>
  <c r="W2121"/>
  <c r="X2121"/>
  <c r="Y2121"/>
  <c r="AA2121"/>
  <c r="AB2121"/>
  <c r="AC2121"/>
  <c r="AD2121"/>
  <c r="P2122"/>
  <c r="Q2122"/>
  <c r="R2122"/>
  <c r="S2122"/>
  <c r="T2122"/>
  <c r="U2122"/>
  <c r="V2122"/>
  <c r="W2122"/>
  <c r="X2122"/>
  <c r="Y2122"/>
  <c r="AA2122"/>
  <c r="AB2122"/>
  <c r="AC2122"/>
  <c r="AD2122"/>
  <c r="P2123"/>
  <c r="Q2123"/>
  <c r="R2123"/>
  <c r="S2123"/>
  <c r="T2123"/>
  <c r="U2123"/>
  <c r="V2123"/>
  <c r="W2123"/>
  <c r="X2123"/>
  <c r="Y2123"/>
  <c r="AA2123"/>
  <c r="AB2123"/>
  <c r="AC2123"/>
  <c r="AD2123"/>
  <c r="P2124"/>
  <c r="Q2124"/>
  <c r="R2124"/>
  <c r="S2124"/>
  <c r="T2124"/>
  <c r="U2124"/>
  <c r="V2124"/>
  <c r="W2124"/>
  <c r="X2124"/>
  <c r="Y2124"/>
  <c r="AA2124"/>
  <c r="AB2124"/>
  <c r="AC2124"/>
  <c r="AD2124"/>
  <c r="P2125"/>
  <c r="Q2125"/>
  <c r="R2125"/>
  <c r="S2125"/>
  <c r="T2125"/>
  <c r="U2125"/>
  <c r="V2125"/>
  <c r="W2125"/>
  <c r="X2125"/>
  <c r="Y2125"/>
  <c r="AA2125"/>
  <c r="AB2125"/>
  <c r="AC2125"/>
  <c r="AD2125"/>
  <c r="P2126"/>
  <c r="Q2126"/>
  <c r="R2126"/>
  <c r="S2126"/>
  <c r="T2126"/>
  <c r="U2126"/>
  <c r="V2126"/>
  <c r="W2126"/>
  <c r="X2126"/>
  <c r="Y2126"/>
  <c r="AA2126"/>
  <c r="AB2126"/>
  <c r="AC2126"/>
  <c r="AD2126"/>
  <c r="P2127"/>
  <c r="Q2127"/>
  <c r="R2127"/>
  <c r="S2127"/>
  <c r="T2127"/>
  <c r="U2127"/>
  <c r="V2127"/>
  <c r="W2127"/>
  <c r="X2127"/>
  <c r="Y2127"/>
  <c r="AA2127"/>
  <c r="AB2127"/>
  <c r="AC2127"/>
  <c r="AD2127"/>
  <c r="P2128"/>
  <c r="Q2128"/>
  <c r="R2128"/>
  <c r="S2128"/>
  <c r="T2128"/>
  <c r="U2128"/>
  <c r="V2128"/>
  <c r="W2128"/>
  <c r="X2128"/>
  <c r="Y2128"/>
  <c r="AA2128"/>
  <c r="AB2128"/>
  <c r="AC2128"/>
  <c r="AD2128"/>
  <c r="P2129"/>
  <c r="Q2129"/>
  <c r="R2129"/>
  <c r="S2129"/>
  <c r="T2129"/>
  <c r="U2129"/>
  <c r="V2129"/>
  <c r="W2129"/>
  <c r="X2129"/>
  <c r="Y2129"/>
  <c r="AA2129"/>
  <c r="AB2129"/>
  <c r="AC2129"/>
  <c r="AD2129"/>
  <c r="P2130"/>
  <c r="Q2130"/>
  <c r="R2130"/>
  <c r="S2130"/>
  <c r="T2130"/>
  <c r="U2130"/>
  <c r="V2130"/>
  <c r="W2130"/>
  <c r="X2130"/>
  <c r="Y2130"/>
  <c r="AA2130"/>
  <c r="AB2130"/>
  <c r="AC2130"/>
  <c r="AD2130"/>
  <c r="P2131"/>
  <c r="Q2131"/>
  <c r="R2131"/>
  <c r="S2131"/>
  <c r="T2131"/>
  <c r="U2131"/>
  <c r="V2131"/>
  <c r="W2131"/>
  <c r="X2131"/>
  <c r="Y2131"/>
  <c r="AA2131"/>
  <c r="AB2131"/>
  <c r="AC2131"/>
  <c r="AD2131"/>
  <c r="P2132"/>
  <c r="Q2132"/>
  <c r="R2132"/>
  <c r="S2132"/>
  <c r="T2132"/>
  <c r="U2132"/>
  <c r="V2132"/>
  <c r="W2132"/>
  <c r="X2132"/>
  <c r="Y2132"/>
  <c r="AA2132"/>
  <c r="AB2132"/>
  <c r="AC2132"/>
  <c r="AD2132"/>
  <c r="P2133"/>
  <c r="Q2133"/>
  <c r="R2133"/>
  <c r="S2133"/>
  <c r="T2133"/>
  <c r="U2133"/>
  <c r="V2133"/>
  <c r="W2133"/>
  <c r="X2133"/>
  <c r="Y2133"/>
  <c r="AA2133"/>
  <c r="AB2133"/>
  <c r="AC2133"/>
  <c r="AD2133"/>
  <c r="P2134"/>
  <c r="Q2134"/>
  <c r="R2134"/>
  <c r="S2134"/>
  <c r="T2134"/>
  <c r="U2134"/>
  <c r="V2134"/>
  <c r="W2134"/>
  <c r="X2134"/>
  <c r="Y2134"/>
  <c r="AA2134"/>
  <c r="AB2134"/>
  <c r="AC2134"/>
  <c r="AD2134"/>
  <c r="P2135"/>
  <c r="Q2135"/>
  <c r="R2135"/>
  <c r="S2135"/>
  <c r="T2135"/>
  <c r="U2135"/>
  <c r="V2135"/>
  <c r="W2135"/>
  <c r="X2135"/>
  <c r="Y2135"/>
  <c r="AA2135"/>
  <c r="AB2135"/>
  <c r="AC2135"/>
  <c r="AD2135"/>
  <c r="P2136"/>
  <c r="Q2136"/>
  <c r="R2136"/>
  <c r="S2136"/>
  <c r="T2136"/>
  <c r="U2136"/>
  <c r="V2136"/>
  <c r="W2136"/>
  <c r="X2136"/>
  <c r="Y2136"/>
  <c r="AA2136"/>
  <c r="AB2136"/>
  <c r="AC2136"/>
  <c r="AD2136"/>
  <c r="P2137"/>
  <c r="Q2137"/>
  <c r="R2137"/>
  <c r="S2137"/>
  <c r="T2137"/>
  <c r="U2137"/>
  <c r="V2137"/>
  <c r="W2137"/>
  <c r="X2137"/>
  <c r="Y2137"/>
  <c r="AA2137"/>
  <c r="AB2137"/>
  <c r="AC2137"/>
  <c r="AD2137"/>
  <c r="P2138"/>
  <c r="Q2138"/>
  <c r="R2138"/>
  <c r="S2138"/>
  <c r="T2138"/>
  <c r="U2138"/>
  <c r="V2138"/>
  <c r="W2138"/>
  <c r="X2138"/>
  <c r="Y2138"/>
  <c r="AA2138"/>
  <c r="AB2138"/>
  <c r="AC2138"/>
  <c r="AD2138"/>
  <c r="P2139"/>
  <c r="Q2139"/>
  <c r="R2139"/>
  <c r="S2139"/>
  <c r="T2139"/>
  <c r="U2139"/>
  <c r="V2139"/>
  <c r="W2139"/>
  <c r="X2139"/>
  <c r="Y2139"/>
  <c r="AA2139"/>
  <c r="AB2139"/>
  <c r="AC2139"/>
  <c r="AD2139"/>
  <c r="P2140"/>
  <c r="Q2140"/>
  <c r="R2140"/>
  <c r="S2140"/>
  <c r="T2140"/>
  <c r="U2140"/>
  <c r="V2140"/>
  <c r="W2140"/>
  <c r="X2140"/>
  <c r="Y2140"/>
  <c r="AA2140"/>
  <c r="AB2140"/>
  <c r="AC2140"/>
  <c r="AD2140"/>
  <c r="P2141"/>
  <c r="Q2141"/>
  <c r="R2141"/>
  <c r="S2141"/>
  <c r="T2141"/>
  <c r="U2141"/>
  <c r="V2141"/>
  <c r="W2141"/>
  <c r="X2141"/>
  <c r="Y2141"/>
  <c r="AA2141"/>
  <c r="AB2141"/>
  <c r="AC2141"/>
  <c r="AD2141"/>
  <c r="P2142"/>
  <c r="Q2142"/>
  <c r="R2142"/>
  <c r="S2142"/>
  <c r="T2142"/>
  <c r="U2142"/>
  <c r="V2142"/>
  <c r="W2142"/>
  <c r="X2142"/>
  <c r="Y2142"/>
  <c r="AA2142"/>
  <c r="AB2142"/>
  <c r="AC2142"/>
  <c r="AD2142"/>
  <c r="P2143"/>
  <c r="Q2143"/>
  <c r="R2143"/>
  <c r="S2143"/>
  <c r="T2143"/>
  <c r="U2143"/>
  <c r="V2143"/>
  <c r="W2143"/>
  <c r="X2143"/>
  <c r="Y2143"/>
  <c r="AA2143"/>
  <c r="AB2143"/>
  <c r="AC2143"/>
  <c r="AD2143"/>
  <c r="P2144"/>
  <c r="Q2144"/>
  <c r="R2144"/>
  <c r="S2144"/>
  <c r="T2144"/>
  <c r="U2144"/>
  <c r="V2144"/>
  <c r="W2144"/>
  <c r="X2144"/>
  <c r="Y2144"/>
  <c r="AA2144"/>
  <c r="AB2144"/>
  <c r="AC2144"/>
  <c r="AD2144"/>
  <c r="P2145"/>
  <c r="Q2145"/>
  <c r="R2145"/>
  <c r="S2145"/>
  <c r="T2145"/>
  <c r="U2145"/>
  <c r="V2145"/>
  <c r="W2145"/>
  <c r="X2145"/>
  <c r="Y2145"/>
  <c r="AA2145"/>
  <c r="AB2145"/>
  <c r="AC2145"/>
  <c r="AD2145"/>
  <c r="P2146"/>
  <c r="Q2146"/>
  <c r="R2146"/>
  <c r="S2146"/>
  <c r="T2146"/>
  <c r="U2146"/>
  <c r="V2146"/>
  <c r="W2146"/>
  <c r="X2146"/>
  <c r="Y2146"/>
  <c r="AA2146"/>
  <c r="AB2146"/>
  <c r="AC2146"/>
  <c r="AD2146"/>
  <c r="P2147"/>
  <c r="Q2147"/>
  <c r="R2147"/>
  <c r="S2147"/>
  <c r="T2147"/>
  <c r="U2147"/>
  <c r="V2147"/>
  <c r="W2147"/>
  <c r="X2147"/>
  <c r="Y2147"/>
  <c r="AA2147"/>
  <c r="AB2147"/>
  <c r="AC2147"/>
  <c r="AD2147"/>
  <c r="P2148"/>
  <c r="Q2148"/>
  <c r="R2148"/>
  <c r="S2148"/>
  <c r="T2148"/>
  <c r="U2148"/>
  <c r="V2148"/>
  <c r="W2148"/>
  <c r="X2148"/>
  <c r="Y2148"/>
  <c r="AA2148"/>
  <c r="AB2148"/>
  <c r="AC2148"/>
  <c r="AD2148"/>
  <c r="P2149"/>
  <c r="Q2149"/>
  <c r="R2149"/>
  <c r="S2149"/>
  <c r="T2149"/>
  <c r="U2149"/>
  <c r="V2149"/>
  <c r="W2149"/>
  <c r="X2149"/>
  <c r="Y2149"/>
  <c r="AA2149"/>
  <c r="AB2149"/>
  <c r="AC2149"/>
  <c r="AD2149"/>
  <c r="P2150"/>
  <c r="Q2150"/>
  <c r="R2150"/>
  <c r="S2150"/>
  <c r="T2150"/>
  <c r="U2150"/>
  <c r="V2150"/>
  <c r="W2150"/>
  <c r="X2150"/>
  <c r="Y2150"/>
  <c r="AA2150"/>
  <c r="AB2150"/>
  <c r="AC2150"/>
  <c r="AD2150"/>
  <c r="P2151"/>
  <c r="Q2151"/>
  <c r="R2151"/>
  <c r="S2151"/>
  <c r="T2151"/>
  <c r="U2151"/>
  <c r="V2151"/>
  <c r="W2151"/>
  <c r="X2151"/>
  <c r="Y2151"/>
  <c r="AA2151"/>
  <c r="AB2151"/>
  <c r="AC2151"/>
  <c r="AD2151"/>
  <c r="P2152"/>
  <c r="Q2152"/>
  <c r="R2152"/>
  <c r="S2152"/>
  <c r="T2152"/>
  <c r="U2152"/>
  <c r="V2152"/>
  <c r="W2152"/>
  <c r="X2152"/>
  <c r="Y2152"/>
  <c r="AA2152"/>
  <c r="AB2152"/>
  <c r="AC2152"/>
  <c r="AD2152"/>
  <c r="P2153"/>
  <c r="Q2153"/>
  <c r="R2153"/>
  <c r="S2153"/>
  <c r="T2153"/>
  <c r="U2153"/>
  <c r="V2153"/>
  <c r="W2153"/>
  <c r="X2153"/>
  <c r="Y2153"/>
  <c r="AA2153"/>
  <c r="AB2153"/>
  <c r="AC2153"/>
  <c r="AD2153"/>
  <c r="P2154"/>
  <c r="Q2154"/>
  <c r="R2154"/>
  <c r="S2154"/>
  <c r="T2154"/>
  <c r="U2154"/>
  <c r="V2154"/>
  <c r="W2154"/>
  <c r="X2154"/>
  <c r="Y2154"/>
  <c r="AA2154"/>
  <c r="AB2154"/>
  <c r="AC2154"/>
  <c r="AD2154"/>
  <c r="P2155"/>
  <c r="Q2155"/>
  <c r="R2155"/>
  <c r="S2155"/>
  <c r="T2155"/>
  <c r="U2155"/>
  <c r="V2155"/>
  <c r="W2155"/>
  <c r="X2155"/>
  <c r="Y2155"/>
  <c r="AA2155"/>
  <c r="AB2155"/>
  <c r="AC2155"/>
  <c r="AD2155"/>
  <c r="P2156"/>
  <c r="Q2156"/>
  <c r="R2156"/>
  <c r="S2156"/>
  <c r="T2156"/>
  <c r="U2156"/>
  <c r="V2156"/>
  <c r="W2156"/>
  <c r="X2156"/>
  <c r="Y2156"/>
  <c r="AA2156"/>
  <c r="AB2156"/>
  <c r="AC2156"/>
  <c r="AD2156"/>
  <c r="P2157"/>
  <c r="Q2157"/>
  <c r="R2157"/>
  <c r="S2157"/>
  <c r="T2157"/>
  <c r="U2157"/>
  <c r="V2157"/>
  <c r="W2157"/>
  <c r="X2157"/>
  <c r="Y2157"/>
  <c r="AA2157"/>
  <c r="AB2157"/>
  <c r="AC2157"/>
  <c r="AD2157"/>
  <c r="P2158"/>
  <c r="Q2158"/>
  <c r="R2158"/>
  <c r="S2158"/>
  <c r="T2158"/>
  <c r="U2158"/>
  <c r="V2158"/>
  <c r="W2158"/>
  <c r="X2158"/>
  <c r="Y2158"/>
  <c r="AA2158"/>
  <c r="AB2158"/>
  <c r="AC2158"/>
  <c r="AD2158"/>
  <c r="P2159"/>
  <c r="Q2159"/>
  <c r="R2159"/>
  <c r="S2159"/>
  <c r="T2159"/>
  <c r="U2159"/>
  <c r="V2159"/>
  <c r="W2159"/>
  <c r="X2159"/>
  <c r="Y2159"/>
  <c r="AA2159"/>
  <c r="AB2159"/>
  <c r="AC2159"/>
  <c r="AD2159"/>
  <c r="P2160"/>
  <c r="Q2160"/>
  <c r="R2160"/>
  <c r="S2160"/>
  <c r="T2160"/>
  <c r="U2160"/>
  <c r="V2160"/>
  <c r="W2160"/>
  <c r="X2160"/>
  <c r="Y2160"/>
  <c r="AA2160"/>
  <c r="AB2160"/>
  <c r="AC2160"/>
  <c r="AD2160"/>
  <c r="P2161"/>
  <c r="Q2161"/>
  <c r="R2161"/>
  <c r="S2161"/>
  <c r="T2161"/>
  <c r="U2161"/>
  <c r="V2161"/>
  <c r="W2161"/>
  <c r="X2161"/>
  <c r="Y2161"/>
  <c r="AA2161"/>
  <c r="AB2161"/>
  <c r="AC2161"/>
  <c r="AD2161"/>
  <c r="P2162"/>
  <c r="Q2162"/>
  <c r="R2162"/>
  <c r="S2162"/>
  <c r="T2162"/>
  <c r="U2162"/>
  <c r="V2162"/>
  <c r="W2162"/>
  <c r="X2162"/>
  <c r="Y2162"/>
  <c r="AA2162"/>
  <c r="AB2162"/>
  <c r="AC2162"/>
  <c r="AD2162"/>
  <c r="P2163"/>
  <c r="Q2163"/>
  <c r="R2163"/>
  <c r="S2163"/>
  <c r="T2163"/>
  <c r="U2163"/>
  <c r="V2163"/>
  <c r="W2163"/>
  <c r="X2163"/>
  <c r="Y2163"/>
  <c r="AA2163"/>
  <c r="AB2163"/>
  <c r="AC2163"/>
  <c r="AD2163"/>
  <c r="P2164"/>
  <c r="Q2164"/>
  <c r="R2164"/>
  <c r="S2164"/>
  <c r="T2164"/>
  <c r="U2164"/>
  <c r="V2164"/>
  <c r="W2164"/>
  <c r="X2164"/>
  <c r="Y2164"/>
  <c r="AA2164"/>
  <c r="AB2164"/>
  <c r="AC2164"/>
  <c r="AD2164"/>
  <c r="P2165"/>
  <c r="Q2165"/>
  <c r="R2165"/>
  <c r="S2165"/>
  <c r="T2165"/>
  <c r="U2165"/>
  <c r="V2165"/>
  <c r="W2165"/>
  <c r="X2165"/>
  <c r="Y2165"/>
  <c r="AA2165"/>
  <c r="AB2165"/>
  <c r="AC2165"/>
  <c r="AD2165"/>
  <c r="P2166"/>
  <c r="Q2166"/>
  <c r="R2166"/>
  <c r="S2166"/>
  <c r="T2166"/>
  <c r="U2166"/>
  <c r="V2166"/>
  <c r="W2166"/>
  <c r="X2166"/>
  <c r="Y2166"/>
  <c r="AA2166"/>
  <c r="AB2166"/>
  <c r="AC2166"/>
  <c r="AD2166"/>
  <c r="P2167"/>
  <c r="Q2167"/>
  <c r="R2167"/>
  <c r="S2167"/>
  <c r="T2167"/>
  <c r="U2167"/>
  <c r="V2167"/>
  <c r="W2167"/>
  <c r="X2167"/>
  <c r="Y2167"/>
  <c r="AA2167"/>
  <c r="AB2167"/>
  <c r="AC2167"/>
  <c r="AD2167"/>
  <c r="P2168"/>
  <c r="Q2168"/>
  <c r="R2168"/>
  <c r="S2168"/>
  <c r="T2168"/>
  <c r="U2168"/>
  <c r="V2168"/>
  <c r="W2168"/>
  <c r="X2168"/>
  <c r="Y2168"/>
  <c r="AA2168"/>
  <c r="AB2168"/>
  <c r="AC2168"/>
  <c r="AD2168"/>
  <c r="P2169"/>
  <c r="Q2169"/>
  <c r="R2169"/>
  <c r="S2169"/>
  <c r="T2169"/>
  <c r="U2169"/>
  <c r="V2169"/>
  <c r="W2169"/>
  <c r="X2169"/>
  <c r="Y2169"/>
  <c r="AA2169"/>
  <c r="AB2169"/>
  <c r="AC2169"/>
  <c r="AD2169"/>
  <c r="P2170"/>
  <c r="Q2170"/>
  <c r="R2170"/>
  <c r="S2170"/>
  <c r="T2170"/>
  <c r="U2170"/>
  <c r="V2170"/>
  <c r="W2170"/>
  <c r="X2170"/>
  <c r="Y2170"/>
  <c r="AA2170"/>
  <c r="AB2170"/>
  <c r="AC2170"/>
  <c r="AD2170"/>
  <c r="P2171"/>
  <c r="Q2171"/>
  <c r="R2171"/>
  <c r="S2171"/>
  <c r="T2171"/>
  <c r="U2171"/>
  <c r="V2171"/>
  <c r="W2171"/>
  <c r="X2171"/>
  <c r="Y2171"/>
  <c r="AA2171"/>
  <c r="AB2171"/>
  <c r="AC2171"/>
  <c r="AD2171"/>
  <c r="P2172"/>
  <c r="Q2172"/>
  <c r="R2172"/>
  <c r="S2172"/>
  <c r="T2172"/>
  <c r="U2172"/>
  <c r="V2172"/>
  <c r="W2172"/>
  <c r="X2172"/>
  <c r="Y2172"/>
  <c r="AA2172"/>
  <c r="AB2172"/>
  <c r="AC2172"/>
  <c r="AD2172"/>
  <c r="P2173"/>
  <c r="Q2173"/>
  <c r="R2173"/>
  <c r="S2173"/>
  <c r="T2173"/>
  <c r="U2173"/>
  <c r="V2173"/>
  <c r="W2173"/>
  <c r="X2173"/>
  <c r="Y2173"/>
  <c r="AA2173"/>
  <c r="AB2173"/>
  <c r="AC2173"/>
  <c r="AD2173"/>
  <c r="P2174"/>
  <c r="Q2174"/>
  <c r="R2174"/>
  <c r="S2174"/>
  <c r="T2174"/>
  <c r="U2174"/>
  <c r="V2174"/>
  <c r="W2174"/>
  <c r="X2174"/>
  <c r="Y2174"/>
  <c r="AA2174"/>
  <c r="AB2174"/>
  <c r="AC2174"/>
  <c r="AD2174"/>
  <c r="P2175"/>
  <c r="Q2175"/>
  <c r="R2175"/>
  <c r="S2175"/>
  <c r="T2175"/>
  <c r="U2175"/>
  <c r="V2175"/>
  <c r="W2175"/>
  <c r="X2175"/>
  <c r="Y2175"/>
  <c r="AA2175"/>
  <c r="AB2175"/>
  <c r="AC2175"/>
  <c r="AD2175"/>
  <c r="P2176"/>
  <c r="Q2176"/>
  <c r="R2176"/>
  <c r="S2176"/>
  <c r="T2176"/>
  <c r="U2176"/>
  <c r="V2176"/>
  <c r="W2176"/>
  <c r="X2176"/>
  <c r="Y2176"/>
  <c r="AA2176"/>
  <c r="AB2176"/>
  <c r="AC2176"/>
  <c r="AD2176"/>
  <c r="P2177"/>
  <c r="Q2177"/>
  <c r="R2177"/>
  <c r="S2177"/>
  <c r="T2177"/>
  <c r="U2177"/>
  <c r="V2177"/>
  <c r="W2177"/>
  <c r="X2177"/>
  <c r="Y2177"/>
  <c r="AA2177"/>
  <c r="AB2177"/>
  <c r="AC2177"/>
  <c r="AD2177"/>
  <c r="P2178"/>
  <c r="Q2178"/>
  <c r="R2178"/>
  <c r="S2178"/>
  <c r="T2178"/>
  <c r="U2178"/>
  <c r="V2178"/>
  <c r="W2178"/>
  <c r="X2178"/>
  <c r="Y2178"/>
  <c r="AA2178"/>
  <c r="AB2178"/>
  <c r="AC2178"/>
  <c r="AD2178"/>
  <c r="P2179"/>
  <c r="Q2179"/>
  <c r="R2179"/>
  <c r="S2179"/>
  <c r="T2179"/>
  <c r="U2179"/>
  <c r="V2179"/>
  <c r="W2179"/>
  <c r="X2179"/>
  <c r="Y2179"/>
  <c r="AA2179"/>
  <c r="AB2179"/>
  <c r="AC2179"/>
  <c r="AD2179"/>
  <c r="P2180"/>
  <c r="Q2180"/>
  <c r="R2180"/>
  <c r="S2180"/>
  <c r="T2180"/>
  <c r="U2180"/>
  <c r="V2180"/>
  <c r="W2180"/>
  <c r="X2180"/>
  <c r="Y2180"/>
  <c r="AA2180"/>
  <c r="AB2180"/>
  <c r="AC2180"/>
  <c r="AD2180"/>
  <c r="P2181"/>
  <c r="Q2181"/>
  <c r="R2181"/>
  <c r="S2181"/>
  <c r="T2181"/>
  <c r="U2181"/>
  <c r="V2181"/>
  <c r="W2181"/>
  <c r="X2181"/>
  <c r="Y2181"/>
  <c r="AA2181"/>
  <c r="AB2181"/>
  <c r="AC2181"/>
  <c r="AD2181"/>
  <c r="P2182"/>
  <c r="Q2182"/>
  <c r="R2182"/>
  <c r="S2182"/>
  <c r="T2182"/>
  <c r="U2182"/>
  <c r="V2182"/>
  <c r="W2182"/>
  <c r="X2182"/>
  <c r="Y2182"/>
  <c r="AA2182"/>
  <c r="AB2182"/>
  <c r="AC2182"/>
  <c r="AD2182"/>
  <c r="P2183"/>
  <c r="Q2183"/>
  <c r="R2183"/>
  <c r="S2183"/>
  <c r="T2183"/>
  <c r="U2183"/>
  <c r="V2183"/>
  <c r="W2183"/>
  <c r="X2183"/>
  <c r="Y2183"/>
  <c r="AA2183"/>
  <c r="AB2183"/>
  <c r="AC2183"/>
  <c r="AD2183"/>
  <c r="P2184"/>
  <c r="Q2184"/>
  <c r="R2184"/>
  <c r="S2184"/>
  <c r="T2184"/>
  <c r="U2184"/>
  <c r="V2184"/>
  <c r="W2184"/>
  <c r="X2184"/>
  <c r="Y2184"/>
  <c r="AA2184"/>
  <c r="AB2184"/>
  <c r="AC2184"/>
  <c r="AD2184"/>
  <c r="P2185"/>
  <c r="Q2185"/>
  <c r="R2185"/>
  <c r="S2185"/>
  <c r="T2185"/>
  <c r="U2185"/>
  <c r="V2185"/>
  <c r="W2185"/>
  <c r="X2185"/>
  <c r="Y2185"/>
  <c r="AA2185"/>
  <c r="AB2185"/>
  <c r="AC2185"/>
  <c r="AD2185"/>
  <c r="P2186"/>
  <c r="Q2186"/>
  <c r="R2186"/>
  <c r="S2186"/>
  <c r="T2186"/>
  <c r="U2186"/>
  <c r="V2186"/>
  <c r="W2186"/>
  <c r="X2186"/>
  <c r="Y2186"/>
  <c r="AA2186"/>
  <c r="AB2186"/>
  <c r="AC2186"/>
  <c r="AD2186"/>
  <c r="P2187"/>
  <c r="Q2187"/>
  <c r="R2187"/>
  <c r="S2187"/>
  <c r="T2187"/>
  <c r="U2187"/>
  <c r="V2187"/>
  <c r="W2187"/>
  <c r="X2187"/>
  <c r="Y2187"/>
  <c r="AA2187"/>
  <c r="AB2187"/>
  <c r="AC2187"/>
  <c r="AD2187"/>
  <c r="P2188"/>
  <c r="Q2188"/>
  <c r="R2188"/>
  <c r="S2188"/>
  <c r="T2188"/>
  <c r="U2188"/>
  <c r="V2188"/>
  <c r="W2188"/>
  <c r="X2188"/>
  <c r="Y2188"/>
  <c r="AA2188"/>
  <c r="AB2188"/>
  <c r="AC2188"/>
  <c r="AD2188"/>
  <c r="P2189"/>
  <c r="Q2189"/>
  <c r="R2189"/>
  <c r="S2189"/>
  <c r="T2189"/>
  <c r="U2189"/>
  <c r="V2189"/>
  <c r="W2189"/>
  <c r="X2189"/>
  <c r="Y2189"/>
  <c r="AA2189"/>
  <c r="AB2189"/>
  <c r="AC2189"/>
  <c r="AD2189"/>
  <c r="P2190"/>
  <c r="Q2190"/>
  <c r="R2190"/>
  <c r="S2190"/>
  <c r="T2190"/>
  <c r="U2190"/>
  <c r="V2190"/>
  <c r="W2190"/>
  <c r="X2190"/>
  <c r="Y2190"/>
  <c r="AA2190"/>
  <c r="AB2190"/>
  <c r="AC2190"/>
  <c r="AD2190"/>
  <c r="P2191"/>
  <c r="Q2191"/>
  <c r="R2191"/>
  <c r="S2191"/>
  <c r="T2191"/>
  <c r="U2191"/>
  <c r="V2191"/>
  <c r="W2191"/>
  <c r="X2191"/>
  <c r="Y2191"/>
  <c r="AA2191"/>
  <c r="AB2191"/>
  <c r="AC2191"/>
  <c r="AD2191"/>
  <c r="P2192"/>
  <c r="Q2192"/>
  <c r="R2192"/>
  <c r="S2192"/>
  <c r="T2192"/>
  <c r="U2192"/>
  <c r="V2192"/>
  <c r="W2192"/>
  <c r="X2192"/>
  <c r="Y2192"/>
  <c r="AA2192"/>
  <c r="AB2192"/>
  <c r="AC2192"/>
  <c r="AD2192"/>
  <c r="P2193"/>
  <c r="Q2193"/>
  <c r="R2193"/>
  <c r="S2193"/>
  <c r="T2193"/>
  <c r="U2193"/>
  <c r="V2193"/>
  <c r="W2193"/>
  <c r="X2193"/>
  <c r="Y2193"/>
  <c r="AA2193"/>
  <c r="AB2193"/>
  <c r="AC2193"/>
  <c r="AD2193"/>
  <c r="P2194"/>
  <c r="Q2194"/>
  <c r="R2194"/>
  <c r="S2194"/>
  <c r="T2194"/>
  <c r="U2194"/>
  <c r="V2194"/>
  <c r="W2194"/>
  <c r="X2194"/>
  <c r="Y2194"/>
  <c r="AA2194"/>
  <c r="AB2194"/>
  <c r="AC2194"/>
  <c r="AD2194"/>
  <c r="P2195"/>
  <c r="Q2195"/>
  <c r="R2195"/>
  <c r="S2195"/>
  <c r="T2195"/>
  <c r="U2195"/>
  <c r="V2195"/>
  <c r="W2195"/>
  <c r="X2195"/>
  <c r="Y2195"/>
  <c r="AA2195"/>
  <c r="AB2195"/>
  <c r="AC2195"/>
  <c r="AD2195"/>
  <c r="P2196"/>
  <c r="Q2196"/>
  <c r="R2196"/>
  <c r="S2196"/>
  <c r="T2196"/>
  <c r="U2196"/>
  <c r="V2196"/>
  <c r="W2196"/>
  <c r="X2196"/>
  <c r="Y2196"/>
  <c r="AA2196"/>
  <c r="AB2196"/>
  <c r="AC2196"/>
  <c r="AD2196"/>
  <c r="P2197"/>
  <c r="Q2197"/>
  <c r="R2197"/>
  <c r="S2197"/>
  <c r="T2197"/>
  <c r="U2197"/>
  <c r="V2197"/>
  <c r="W2197"/>
  <c r="X2197"/>
  <c r="Y2197"/>
  <c r="AA2197"/>
  <c r="AB2197"/>
  <c r="AC2197"/>
  <c r="AD2197"/>
  <c r="P2198"/>
  <c r="Q2198"/>
  <c r="R2198"/>
  <c r="S2198"/>
  <c r="T2198"/>
  <c r="U2198"/>
  <c r="V2198"/>
  <c r="W2198"/>
  <c r="X2198"/>
  <c r="Y2198"/>
  <c r="AA2198"/>
  <c r="AB2198"/>
  <c r="AC2198"/>
  <c r="AD2198"/>
  <c r="P2199"/>
  <c r="Q2199"/>
  <c r="R2199"/>
  <c r="S2199"/>
  <c r="T2199"/>
  <c r="U2199"/>
  <c r="V2199"/>
  <c r="W2199"/>
  <c r="X2199"/>
  <c r="Y2199"/>
  <c r="AA2199"/>
  <c r="AB2199"/>
  <c r="AC2199"/>
  <c r="AD2199"/>
  <c r="P2200"/>
  <c r="Q2200"/>
  <c r="R2200"/>
  <c r="S2200"/>
  <c r="T2200"/>
  <c r="U2200"/>
  <c r="V2200"/>
  <c r="W2200"/>
  <c r="X2200"/>
  <c r="Y2200"/>
  <c r="AA2200"/>
  <c r="AB2200"/>
  <c r="AC2200"/>
  <c r="AD2200"/>
  <c r="P2201"/>
  <c r="Q2201"/>
  <c r="R2201"/>
  <c r="S2201"/>
  <c r="T2201"/>
  <c r="U2201"/>
  <c r="V2201"/>
  <c r="W2201"/>
  <c r="X2201"/>
  <c r="Y2201"/>
  <c r="AA2201"/>
  <c r="AB2201"/>
  <c r="AC2201"/>
  <c r="AD2201"/>
  <c r="P2202"/>
  <c r="Q2202"/>
  <c r="R2202"/>
  <c r="S2202"/>
  <c r="T2202"/>
  <c r="U2202"/>
  <c r="V2202"/>
  <c r="W2202"/>
  <c r="X2202"/>
  <c r="Y2202"/>
  <c r="AA2202"/>
  <c r="AB2202"/>
  <c r="AC2202"/>
  <c r="AD2202"/>
  <c r="P2203"/>
  <c r="Q2203"/>
  <c r="R2203"/>
  <c r="S2203"/>
  <c r="T2203"/>
  <c r="U2203"/>
  <c r="V2203"/>
  <c r="W2203"/>
  <c r="X2203"/>
  <c r="Y2203"/>
  <c r="AA2203"/>
  <c r="AB2203"/>
  <c r="AC2203"/>
  <c r="AD2203"/>
  <c r="P2204"/>
  <c r="Q2204"/>
  <c r="R2204"/>
  <c r="S2204"/>
  <c r="T2204"/>
  <c r="U2204"/>
  <c r="V2204"/>
  <c r="W2204"/>
  <c r="X2204"/>
  <c r="Y2204"/>
  <c r="AA2204"/>
  <c r="AB2204"/>
  <c r="AC2204"/>
  <c r="AD2204"/>
  <c r="P2205"/>
  <c r="Q2205"/>
  <c r="R2205"/>
  <c r="S2205"/>
  <c r="T2205"/>
  <c r="U2205"/>
  <c r="V2205"/>
  <c r="W2205"/>
  <c r="X2205"/>
  <c r="Y2205"/>
  <c r="AA2205"/>
  <c r="AB2205"/>
  <c r="AC2205"/>
  <c r="AD2205"/>
  <c r="P2206"/>
  <c r="Q2206"/>
  <c r="R2206"/>
  <c r="S2206"/>
  <c r="T2206"/>
  <c r="U2206"/>
  <c r="V2206"/>
  <c r="W2206"/>
  <c r="X2206"/>
  <c r="Y2206"/>
  <c r="AA2206"/>
  <c r="AB2206"/>
  <c r="AC2206"/>
  <c r="AD2206"/>
  <c r="P2207"/>
  <c r="Q2207"/>
  <c r="R2207"/>
  <c r="S2207"/>
  <c r="T2207"/>
  <c r="U2207"/>
  <c r="V2207"/>
  <c r="W2207"/>
  <c r="X2207"/>
  <c r="Y2207"/>
  <c r="AA2207"/>
  <c r="AB2207"/>
  <c r="AC2207"/>
  <c r="AD2207"/>
  <c r="P2208"/>
  <c r="Q2208"/>
  <c r="R2208"/>
  <c r="S2208"/>
  <c r="T2208"/>
  <c r="U2208"/>
  <c r="V2208"/>
  <c r="W2208"/>
  <c r="X2208"/>
  <c r="Y2208"/>
  <c r="AA2208"/>
  <c r="AB2208"/>
  <c r="AC2208"/>
  <c r="AD2208"/>
  <c r="P2209"/>
  <c r="Q2209"/>
  <c r="R2209"/>
  <c r="S2209"/>
  <c r="T2209"/>
  <c r="U2209"/>
  <c r="V2209"/>
  <c r="W2209"/>
  <c r="X2209"/>
  <c r="Y2209"/>
  <c r="AA2209"/>
  <c r="AB2209"/>
  <c r="AC2209"/>
  <c r="AD2209"/>
  <c r="P2210"/>
  <c r="Q2210"/>
  <c r="R2210"/>
  <c r="S2210"/>
  <c r="T2210"/>
  <c r="U2210"/>
  <c r="V2210"/>
  <c r="W2210"/>
  <c r="X2210"/>
  <c r="Y2210"/>
  <c r="AA2210"/>
  <c r="AB2210"/>
  <c r="AC2210"/>
  <c r="AD2210"/>
  <c r="P2211"/>
  <c r="Q2211"/>
  <c r="R2211"/>
  <c r="S2211"/>
  <c r="T2211"/>
  <c r="U2211"/>
  <c r="V2211"/>
  <c r="W2211"/>
  <c r="X2211"/>
  <c r="Y2211"/>
  <c r="AA2211"/>
  <c r="AB2211"/>
  <c r="AC2211"/>
  <c r="AD2211"/>
  <c r="P2212"/>
  <c r="Q2212"/>
  <c r="R2212"/>
  <c r="S2212"/>
  <c r="T2212"/>
  <c r="U2212"/>
  <c r="V2212"/>
  <c r="W2212"/>
  <c r="X2212"/>
  <c r="Y2212"/>
  <c r="AA2212"/>
  <c r="AB2212"/>
  <c r="AC2212"/>
  <c r="AD2212"/>
  <c r="P2213"/>
  <c r="Q2213"/>
  <c r="R2213"/>
  <c r="S2213"/>
  <c r="T2213"/>
  <c r="U2213"/>
  <c r="V2213"/>
  <c r="W2213"/>
  <c r="X2213"/>
  <c r="Y2213"/>
  <c r="AA2213"/>
  <c r="AB2213"/>
  <c r="AC2213"/>
  <c r="AD2213"/>
  <c r="P2214"/>
  <c r="Q2214"/>
  <c r="R2214"/>
  <c r="S2214"/>
  <c r="T2214"/>
  <c r="U2214"/>
  <c r="V2214"/>
  <c r="W2214"/>
  <c r="X2214"/>
  <c r="Y2214"/>
  <c r="AA2214"/>
  <c r="AB2214"/>
  <c r="AC2214"/>
  <c r="AD2214"/>
  <c r="P2215"/>
  <c r="Q2215"/>
  <c r="R2215"/>
  <c r="S2215"/>
  <c r="T2215"/>
  <c r="U2215"/>
  <c r="V2215"/>
  <c r="W2215"/>
  <c r="X2215"/>
  <c r="Y2215"/>
  <c r="AA2215"/>
  <c r="AB2215"/>
  <c r="AC2215"/>
  <c r="AD2215"/>
  <c r="P2216"/>
  <c r="Q2216"/>
  <c r="R2216"/>
  <c r="S2216"/>
  <c r="T2216"/>
  <c r="U2216"/>
  <c r="V2216"/>
  <c r="W2216"/>
  <c r="X2216"/>
  <c r="Y2216"/>
  <c r="AA2216"/>
  <c r="AB2216"/>
  <c r="AC2216"/>
  <c r="AD2216"/>
  <c r="P2217"/>
  <c r="Q2217"/>
  <c r="R2217"/>
  <c r="S2217"/>
  <c r="T2217"/>
  <c r="U2217"/>
  <c r="V2217"/>
  <c r="W2217"/>
  <c r="X2217"/>
  <c r="Y2217"/>
  <c r="AA2217"/>
  <c r="AB2217"/>
  <c r="AC2217"/>
  <c r="AD2217"/>
  <c r="P2218"/>
  <c r="Q2218"/>
  <c r="R2218"/>
  <c r="S2218"/>
  <c r="T2218"/>
  <c r="U2218"/>
  <c r="V2218"/>
  <c r="W2218"/>
  <c r="X2218"/>
  <c r="Y2218"/>
  <c r="AA2218"/>
  <c r="AB2218"/>
  <c r="AC2218"/>
  <c r="AD2218"/>
  <c r="P2219"/>
  <c r="Q2219"/>
  <c r="R2219"/>
  <c r="S2219"/>
  <c r="T2219"/>
  <c r="U2219"/>
  <c r="V2219"/>
  <c r="W2219"/>
  <c r="X2219"/>
  <c r="Y2219"/>
  <c r="AA2219"/>
  <c r="AB2219"/>
  <c r="AC2219"/>
  <c r="AD2219"/>
  <c r="P2220"/>
  <c r="Q2220"/>
  <c r="R2220"/>
  <c r="S2220"/>
  <c r="T2220"/>
  <c r="U2220"/>
  <c r="V2220"/>
  <c r="W2220"/>
  <c r="X2220"/>
  <c r="Y2220"/>
  <c r="AA2220"/>
  <c r="AB2220"/>
  <c r="AC2220"/>
  <c r="AD2220"/>
  <c r="P2221"/>
  <c r="Q2221"/>
  <c r="R2221"/>
  <c r="S2221"/>
  <c r="T2221"/>
  <c r="U2221"/>
  <c r="V2221"/>
  <c r="W2221"/>
  <c r="X2221"/>
  <c r="Y2221"/>
  <c r="AA2221"/>
  <c r="AB2221"/>
  <c r="AC2221"/>
  <c r="AD2221"/>
  <c r="P2222"/>
  <c r="Q2222"/>
  <c r="R2222"/>
  <c r="S2222"/>
  <c r="T2222"/>
  <c r="U2222"/>
  <c r="V2222"/>
  <c r="W2222"/>
  <c r="X2222"/>
  <c r="Y2222"/>
  <c r="AA2222"/>
  <c r="AB2222"/>
  <c r="AC2222"/>
  <c r="AD2222"/>
  <c r="P2223"/>
  <c r="Q2223"/>
  <c r="R2223"/>
  <c r="S2223"/>
  <c r="T2223"/>
  <c r="U2223"/>
  <c r="V2223"/>
  <c r="W2223"/>
  <c r="X2223"/>
  <c r="Y2223"/>
  <c r="AA2223"/>
  <c r="AB2223"/>
  <c r="AC2223"/>
  <c r="AD2223"/>
  <c r="P2224"/>
  <c r="Q2224"/>
  <c r="R2224"/>
  <c r="S2224"/>
  <c r="T2224"/>
  <c r="U2224"/>
  <c r="V2224"/>
  <c r="W2224"/>
  <c r="X2224"/>
  <c r="Y2224"/>
  <c r="AA2224"/>
  <c r="AB2224"/>
  <c r="AC2224"/>
  <c r="AD2224"/>
  <c r="P2225"/>
  <c r="Q2225"/>
  <c r="R2225"/>
  <c r="S2225"/>
  <c r="T2225"/>
  <c r="U2225"/>
  <c r="V2225"/>
  <c r="W2225"/>
  <c r="X2225"/>
  <c r="Y2225"/>
  <c r="AA2225"/>
  <c r="AB2225"/>
  <c r="AC2225"/>
  <c r="AD2225"/>
  <c r="P2226"/>
  <c r="Q2226"/>
  <c r="R2226"/>
  <c r="S2226"/>
  <c r="T2226"/>
  <c r="U2226"/>
  <c r="V2226"/>
  <c r="W2226"/>
  <c r="X2226"/>
  <c r="Y2226"/>
  <c r="AA2226"/>
  <c r="AB2226"/>
  <c r="AC2226"/>
  <c r="AD2226"/>
  <c r="P2227"/>
  <c r="Q2227"/>
  <c r="R2227"/>
  <c r="S2227"/>
  <c r="T2227"/>
  <c r="U2227"/>
  <c r="V2227"/>
  <c r="W2227"/>
  <c r="X2227"/>
  <c r="Y2227"/>
  <c r="AA2227"/>
  <c r="AB2227"/>
  <c r="AC2227"/>
  <c r="AD2227"/>
  <c r="P2228"/>
  <c r="Q2228"/>
  <c r="R2228"/>
  <c r="S2228"/>
  <c r="T2228"/>
  <c r="U2228"/>
  <c r="V2228"/>
  <c r="W2228"/>
  <c r="X2228"/>
  <c r="Y2228"/>
  <c r="AA2228"/>
  <c r="AB2228"/>
  <c r="AC2228"/>
  <c r="AD2228"/>
  <c r="P2229"/>
  <c r="Q2229"/>
  <c r="R2229"/>
  <c r="S2229"/>
  <c r="T2229"/>
  <c r="U2229"/>
  <c r="V2229"/>
  <c r="W2229"/>
  <c r="X2229"/>
  <c r="Y2229"/>
  <c r="AA2229"/>
  <c r="AB2229"/>
  <c r="AC2229"/>
  <c r="AD2229"/>
  <c r="P2230"/>
  <c r="Q2230"/>
  <c r="R2230"/>
  <c r="S2230"/>
  <c r="T2230"/>
  <c r="U2230"/>
  <c r="V2230"/>
  <c r="W2230"/>
  <c r="X2230"/>
  <c r="Y2230"/>
  <c r="AA2230"/>
  <c r="AB2230"/>
  <c r="AC2230"/>
  <c r="AD2230"/>
  <c r="P2231"/>
  <c r="Q2231"/>
  <c r="R2231"/>
  <c r="S2231"/>
  <c r="T2231"/>
  <c r="U2231"/>
  <c r="V2231"/>
  <c r="W2231"/>
  <c r="X2231"/>
  <c r="Y2231"/>
  <c r="AA2231"/>
  <c r="AB2231"/>
  <c r="AC2231"/>
  <c r="AD2231"/>
  <c r="P2232"/>
  <c r="Q2232"/>
  <c r="R2232"/>
  <c r="S2232"/>
  <c r="T2232"/>
  <c r="U2232"/>
  <c r="V2232"/>
  <c r="W2232"/>
  <c r="X2232"/>
  <c r="Y2232"/>
  <c r="AA2232"/>
  <c r="AB2232"/>
  <c r="AC2232"/>
  <c r="AD2232"/>
  <c r="P2233"/>
  <c r="Q2233"/>
  <c r="R2233"/>
  <c r="S2233"/>
  <c r="T2233"/>
  <c r="U2233"/>
  <c r="V2233"/>
  <c r="W2233"/>
  <c r="X2233"/>
  <c r="Y2233"/>
  <c r="AA2233"/>
  <c r="AB2233"/>
  <c r="AC2233"/>
  <c r="AD2233"/>
  <c r="P2234"/>
  <c r="Q2234"/>
  <c r="R2234"/>
  <c r="S2234"/>
  <c r="T2234"/>
  <c r="U2234"/>
  <c r="V2234"/>
  <c r="W2234"/>
  <c r="X2234"/>
  <c r="Y2234"/>
  <c r="AA2234"/>
  <c r="AB2234"/>
  <c r="AC2234"/>
  <c r="AD2234"/>
  <c r="P2235"/>
  <c r="Q2235"/>
  <c r="R2235"/>
  <c r="S2235"/>
  <c r="T2235"/>
  <c r="U2235"/>
  <c r="V2235"/>
  <c r="W2235"/>
  <c r="X2235"/>
  <c r="Y2235"/>
  <c r="AA2235"/>
  <c r="AB2235"/>
  <c r="AC2235"/>
  <c r="AD2235"/>
  <c r="P2236"/>
  <c r="Q2236"/>
  <c r="R2236"/>
  <c r="S2236"/>
  <c r="T2236"/>
  <c r="U2236"/>
  <c r="V2236"/>
  <c r="W2236"/>
  <c r="X2236"/>
  <c r="Y2236"/>
  <c r="AA2236"/>
  <c r="AB2236"/>
  <c r="AC2236"/>
  <c r="AD2236"/>
  <c r="P2237"/>
  <c r="Q2237"/>
  <c r="R2237"/>
  <c r="S2237"/>
  <c r="T2237"/>
  <c r="U2237"/>
  <c r="V2237"/>
  <c r="W2237"/>
  <c r="X2237"/>
  <c r="Y2237"/>
  <c r="AA2237"/>
  <c r="AB2237"/>
  <c r="AC2237"/>
  <c r="AD2237"/>
  <c r="P2238"/>
  <c r="Q2238"/>
  <c r="R2238"/>
  <c r="S2238"/>
  <c r="T2238"/>
  <c r="U2238"/>
  <c r="V2238"/>
  <c r="W2238"/>
  <c r="X2238"/>
  <c r="Y2238"/>
  <c r="AA2238"/>
  <c r="AB2238"/>
  <c r="AC2238"/>
  <c r="AD2238"/>
  <c r="P2239"/>
  <c r="Q2239"/>
  <c r="R2239"/>
  <c r="S2239"/>
  <c r="T2239"/>
  <c r="U2239"/>
  <c r="V2239"/>
  <c r="W2239"/>
  <c r="X2239"/>
  <c r="Y2239"/>
  <c r="AA2239"/>
  <c r="AB2239"/>
  <c r="AC2239"/>
  <c r="AD2239"/>
  <c r="P2240"/>
  <c r="Q2240"/>
  <c r="R2240"/>
  <c r="S2240"/>
  <c r="T2240"/>
  <c r="U2240"/>
  <c r="V2240"/>
  <c r="W2240"/>
  <c r="X2240"/>
  <c r="Y2240"/>
  <c r="AA2240"/>
  <c r="AB2240"/>
  <c r="AC2240"/>
  <c r="AD2240"/>
  <c r="P2241"/>
  <c r="Q2241"/>
  <c r="R2241"/>
  <c r="S2241"/>
  <c r="T2241"/>
  <c r="U2241"/>
  <c r="V2241"/>
  <c r="W2241"/>
  <c r="X2241"/>
  <c r="Y2241"/>
  <c r="AA2241"/>
  <c r="AB2241"/>
  <c r="AC2241"/>
  <c r="AD2241"/>
  <c r="P2242"/>
  <c r="Q2242"/>
  <c r="R2242"/>
  <c r="S2242"/>
  <c r="T2242"/>
  <c r="U2242"/>
  <c r="V2242"/>
  <c r="W2242"/>
  <c r="X2242"/>
  <c r="Y2242"/>
  <c r="AA2242"/>
  <c r="AB2242"/>
  <c r="AC2242"/>
  <c r="AD2242"/>
  <c r="P2243"/>
  <c r="Q2243"/>
  <c r="R2243"/>
  <c r="S2243"/>
  <c r="T2243"/>
  <c r="U2243"/>
  <c r="V2243"/>
  <c r="W2243"/>
  <c r="X2243"/>
  <c r="Y2243"/>
  <c r="AA2243"/>
  <c r="AB2243"/>
  <c r="AC2243"/>
  <c r="AD2243"/>
  <c r="P2244"/>
  <c r="Q2244"/>
  <c r="R2244"/>
  <c r="S2244"/>
  <c r="T2244"/>
  <c r="U2244"/>
  <c r="V2244"/>
  <c r="W2244"/>
  <c r="X2244"/>
  <c r="Y2244"/>
  <c r="AA2244"/>
  <c r="AB2244"/>
  <c r="AC2244"/>
  <c r="AD2244"/>
  <c r="P2245"/>
  <c r="Q2245"/>
  <c r="R2245"/>
  <c r="S2245"/>
  <c r="T2245"/>
  <c r="U2245"/>
  <c r="V2245"/>
  <c r="W2245"/>
  <c r="X2245"/>
  <c r="Y2245"/>
  <c r="AA2245"/>
  <c r="AB2245"/>
  <c r="AC2245"/>
  <c r="AD2245"/>
  <c r="P2246"/>
  <c r="Q2246"/>
  <c r="R2246"/>
  <c r="S2246"/>
  <c r="T2246"/>
  <c r="U2246"/>
  <c r="V2246"/>
  <c r="W2246"/>
  <c r="X2246"/>
  <c r="Y2246"/>
  <c r="AA2246"/>
  <c r="AB2246"/>
  <c r="AC2246"/>
  <c r="AD2246"/>
  <c r="P2247"/>
  <c r="Q2247"/>
  <c r="R2247"/>
  <c r="S2247"/>
  <c r="T2247"/>
  <c r="U2247"/>
  <c r="V2247"/>
  <c r="W2247"/>
  <c r="X2247"/>
  <c r="Y2247"/>
  <c r="AA2247"/>
  <c r="AB2247"/>
  <c r="AC2247"/>
  <c r="AD2247"/>
  <c r="P2248"/>
  <c r="Q2248"/>
  <c r="R2248"/>
  <c r="S2248"/>
  <c r="T2248"/>
  <c r="U2248"/>
  <c r="V2248"/>
  <c r="W2248"/>
  <c r="X2248"/>
  <c r="Y2248"/>
  <c r="AA2248"/>
  <c r="AB2248"/>
  <c r="AC2248"/>
  <c r="AD2248"/>
  <c r="P2249"/>
  <c r="Q2249"/>
  <c r="R2249"/>
  <c r="S2249"/>
  <c r="T2249"/>
  <c r="U2249"/>
  <c r="V2249"/>
  <c r="W2249"/>
  <c r="X2249"/>
  <c r="Y2249"/>
  <c r="AA2249"/>
  <c r="AB2249"/>
  <c r="AC2249"/>
  <c r="AD2249"/>
  <c r="P2250"/>
  <c r="Q2250"/>
  <c r="R2250"/>
  <c r="S2250"/>
  <c r="T2250"/>
  <c r="U2250"/>
  <c r="V2250"/>
  <c r="W2250"/>
  <c r="X2250"/>
  <c r="Y2250"/>
  <c r="AA2250"/>
  <c r="AB2250"/>
  <c r="AC2250"/>
  <c r="AD2250"/>
  <c r="P2251"/>
  <c r="Q2251"/>
  <c r="R2251"/>
  <c r="S2251"/>
  <c r="T2251"/>
  <c r="U2251"/>
  <c r="V2251"/>
  <c r="W2251"/>
  <c r="X2251"/>
  <c r="Y2251"/>
  <c r="AA2251"/>
  <c r="AB2251"/>
  <c r="AC2251"/>
  <c r="AD2251"/>
  <c r="P2252"/>
  <c r="Q2252"/>
  <c r="R2252"/>
  <c r="S2252"/>
  <c r="T2252"/>
  <c r="U2252"/>
  <c r="V2252"/>
  <c r="W2252"/>
  <c r="X2252"/>
  <c r="Y2252"/>
  <c r="AA2252"/>
  <c r="AB2252"/>
  <c r="AC2252"/>
  <c r="AD2252"/>
  <c r="P2253"/>
  <c r="Q2253"/>
  <c r="R2253"/>
  <c r="S2253"/>
  <c r="T2253"/>
  <c r="U2253"/>
  <c r="V2253"/>
  <c r="W2253"/>
  <c r="X2253"/>
  <c r="Y2253"/>
  <c r="AA2253"/>
  <c r="AB2253"/>
  <c r="AC2253"/>
  <c r="AD2253"/>
  <c r="P2254"/>
  <c r="Q2254"/>
  <c r="R2254"/>
  <c r="S2254"/>
  <c r="T2254"/>
  <c r="U2254"/>
  <c r="V2254"/>
  <c r="W2254"/>
  <c r="X2254"/>
  <c r="Y2254"/>
  <c r="AA2254"/>
  <c r="AB2254"/>
  <c r="AC2254"/>
  <c r="AD2254"/>
  <c r="P2255"/>
  <c r="Q2255"/>
  <c r="R2255"/>
  <c r="S2255"/>
  <c r="T2255"/>
  <c r="U2255"/>
  <c r="V2255"/>
  <c r="W2255"/>
  <c r="X2255"/>
  <c r="Y2255"/>
  <c r="AA2255"/>
  <c r="AB2255"/>
  <c r="AC2255"/>
  <c r="AD2255"/>
  <c r="P2256"/>
  <c r="Q2256"/>
  <c r="R2256"/>
  <c r="S2256"/>
  <c r="T2256"/>
  <c r="U2256"/>
  <c r="V2256"/>
  <c r="W2256"/>
  <c r="X2256"/>
  <c r="Y2256"/>
  <c r="AA2256"/>
  <c r="AB2256"/>
  <c r="AC2256"/>
  <c r="AD2256"/>
  <c r="P2257"/>
  <c r="Q2257"/>
  <c r="R2257"/>
  <c r="S2257"/>
  <c r="T2257"/>
  <c r="U2257"/>
  <c r="V2257"/>
  <c r="W2257"/>
  <c r="X2257"/>
  <c r="Y2257"/>
  <c r="AA2257"/>
  <c r="AB2257"/>
  <c r="AC2257"/>
  <c r="AD2257"/>
  <c r="P2258"/>
  <c r="Q2258"/>
  <c r="R2258"/>
  <c r="S2258"/>
  <c r="T2258"/>
  <c r="U2258"/>
  <c r="V2258"/>
  <c r="W2258"/>
  <c r="X2258"/>
  <c r="Y2258"/>
  <c r="AA2258"/>
  <c r="AB2258"/>
  <c r="AC2258"/>
  <c r="AD2258"/>
  <c r="P2259"/>
  <c r="Q2259"/>
  <c r="R2259"/>
  <c r="S2259"/>
  <c r="T2259"/>
  <c r="U2259"/>
  <c r="V2259"/>
  <c r="W2259"/>
  <c r="X2259"/>
  <c r="Y2259"/>
  <c r="AA2259"/>
  <c r="AB2259"/>
  <c r="AC2259"/>
  <c r="AD2259"/>
  <c r="P2260"/>
  <c r="Q2260"/>
  <c r="R2260"/>
  <c r="S2260"/>
  <c r="T2260"/>
  <c r="U2260"/>
  <c r="V2260"/>
  <c r="W2260"/>
  <c r="X2260"/>
  <c r="Y2260"/>
  <c r="AA2260"/>
  <c r="AB2260"/>
  <c r="AC2260"/>
  <c r="AD2260"/>
  <c r="P2261"/>
  <c r="Q2261"/>
  <c r="R2261"/>
  <c r="S2261"/>
  <c r="T2261"/>
  <c r="U2261"/>
  <c r="V2261"/>
  <c r="W2261"/>
  <c r="X2261"/>
  <c r="Y2261"/>
  <c r="AA2261"/>
  <c r="AB2261"/>
  <c r="AC2261"/>
  <c r="AD2261"/>
  <c r="P2262"/>
  <c r="Q2262"/>
  <c r="R2262"/>
  <c r="S2262"/>
  <c r="T2262"/>
  <c r="U2262"/>
  <c r="V2262"/>
  <c r="W2262"/>
  <c r="X2262"/>
  <c r="Y2262"/>
  <c r="AA2262"/>
  <c r="AB2262"/>
  <c r="AC2262"/>
  <c r="AD2262"/>
  <c r="P2263"/>
  <c r="Q2263"/>
  <c r="R2263"/>
  <c r="S2263"/>
  <c r="T2263"/>
  <c r="U2263"/>
  <c r="V2263"/>
  <c r="W2263"/>
  <c r="X2263"/>
  <c r="Y2263"/>
  <c r="AA2263"/>
  <c r="AB2263"/>
  <c r="AC2263"/>
  <c r="AD2263"/>
  <c r="P2264"/>
  <c r="Q2264"/>
  <c r="R2264"/>
  <c r="S2264"/>
  <c r="T2264"/>
  <c r="U2264"/>
  <c r="V2264"/>
  <c r="W2264"/>
  <c r="X2264"/>
  <c r="Y2264"/>
  <c r="AA2264"/>
  <c r="AB2264"/>
  <c r="AC2264"/>
  <c r="AD2264"/>
  <c r="P2265"/>
  <c r="Q2265"/>
  <c r="R2265"/>
  <c r="S2265"/>
  <c r="T2265"/>
  <c r="U2265"/>
  <c r="V2265"/>
  <c r="W2265"/>
  <c r="X2265"/>
  <c r="Y2265"/>
  <c r="AA2265"/>
  <c r="AB2265"/>
  <c r="AC2265"/>
  <c r="AD2265"/>
  <c r="P2266"/>
  <c r="Q2266"/>
  <c r="R2266"/>
  <c r="S2266"/>
  <c r="T2266"/>
  <c r="U2266"/>
  <c r="V2266"/>
  <c r="W2266"/>
  <c r="X2266"/>
  <c r="Y2266"/>
  <c r="AA2266"/>
  <c r="AB2266"/>
  <c r="AC2266"/>
  <c r="AD2266"/>
  <c r="P2267"/>
  <c r="Q2267"/>
  <c r="R2267"/>
  <c r="S2267"/>
  <c r="T2267"/>
  <c r="U2267"/>
  <c r="V2267"/>
  <c r="W2267"/>
  <c r="X2267"/>
  <c r="Y2267"/>
  <c r="AA2267"/>
  <c r="AB2267"/>
  <c r="AC2267"/>
  <c r="AD2267"/>
  <c r="P2268"/>
  <c r="Q2268"/>
  <c r="R2268"/>
  <c r="S2268"/>
  <c r="T2268"/>
  <c r="U2268"/>
  <c r="V2268"/>
  <c r="W2268"/>
  <c r="X2268"/>
  <c r="Y2268"/>
  <c r="AA2268"/>
  <c r="AB2268"/>
  <c r="AC2268"/>
  <c r="AD2268"/>
  <c r="P2269"/>
  <c r="Q2269"/>
  <c r="R2269"/>
  <c r="S2269"/>
  <c r="T2269"/>
  <c r="U2269"/>
  <c r="V2269"/>
  <c r="W2269"/>
  <c r="X2269"/>
  <c r="Y2269"/>
  <c r="AA2269"/>
  <c r="AB2269"/>
  <c r="AC2269"/>
  <c r="AD2269"/>
  <c r="P2270"/>
  <c r="Q2270"/>
  <c r="R2270"/>
  <c r="S2270"/>
  <c r="T2270"/>
  <c r="U2270"/>
  <c r="V2270"/>
  <c r="W2270"/>
  <c r="X2270"/>
  <c r="Y2270"/>
  <c r="AA2270"/>
  <c r="AB2270"/>
  <c r="AC2270"/>
  <c r="AD2270"/>
  <c r="P2271"/>
  <c r="Q2271"/>
  <c r="R2271"/>
  <c r="S2271"/>
  <c r="T2271"/>
  <c r="U2271"/>
  <c r="V2271"/>
  <c r="W2271"/>
  <c r="X2271"/>
  <c r="Y2271"/>
  <c r="AA2271"/>
  <c r="AB2271"/>
  <c r="AC2271"/>
  <c r="AD2271"/>
  <c r="P2272"/>
  <c r="Q2272"/>
  <c r="R2272"/>
  <c r="S2272"/>
  <c r="T2272"/>
  <c r="U2272"/>
  <c r="V2272"/>
  <c r="W2272"/>
  <c r="X2272"/>
  <c r="Y2272"/>
  <c r="AA2272"/>
  <c r="AB2272"/>
  <c r="AC2272"/>
  <c r="AD2272"/>
  <c r="P2273"/>
  <c r="Q2273"/>
  <c r="R2273"/>
  <c r="S2273"/>
  <c r="T2273"/>
  <c r="U2273"/>
  <c r="V2273"/>
  <c r="W2273"/>
  <c r="X2273"/>
  <c r="Y2273"/>
  <c r="AA2273"/>
  <c r="AB2273"/>
  <c r="AC2273"/>
  <c r="AD2273"/>
  <c r="P2274"/>
  <c r="Q2274"/>
  <c r="R2274"/>
  <c r="S2274"/>
  <c r="T2274"/>
  <c r="U2274"/>
  <c r="V2274"/>
  <c r="W2274"/>
  <c r="X2274"/>
  <c r="Y2274"/>
  <c r="AA2274"/>
  <c r="AB2274"/>
  <c r="AC2274"/>
  <c r="AD2274"/>
  <c r="P2275"/>
  <c r="Q2275"/>
  <c r="R2275"/>
  <c r="S2275"/>
  <c r="T2275"/>
  <c r="U2275"/>
  <c r="V2275"/>
  <c r="W2275"/>
  <c r="X2275"/>
  <c r="Y2275"/>
  <c r="AA2275"/>
  <c r="AB2275"/>
  <c r="AC2275"/>
  <c r="AD2275"/>
  <c r="P2276"/>
  <c r="Q2276"/>
  <c r="R2276"/>
  <c r="S2276"/>
  <c r="T2276"/>
  <c r="U2276"/>
  <c r="V2276"/>
  <c r="W2276"/>
  <c r="X2276"/>
  <c r="Y2276"/>
  <c r="AA2276"/>
  <c r="AB2276"/>
  <c r="AC2276"/>
  <c r="AD2276"/>
  <c r="P2277"/>
  <c r="Q2277"/>
  <c r="R2277"/>
  <c r="S2277"/>
  <c r="T2277"/>
  <c r="U2277"/>
  <c r="V2277"/>
  <c r="W2277"/>
  <c r="X2277"/>
  <c r="Y2277"/>
  <c r="AA2277"/>
  <c r="AB2277"/>
  <c r="AC2277"/>
  <c r="AD2277"/>
  <c r="P2278"/>
  <c r="Q2278"/>
  <c r="R2278"/>
  <c r="S2278"/>
  <c r="T2278"/>
  <c r="U2278"/>
  <c r="V2278"/>
  <c r="W2278"/>
  <c r="X2278"/>
  <c r="Y2278"/>
  <c r="AA2278"/>
  <c r="AB2278"/>
  <c r="AC2278"/>
  <c r="AD2278"/>
  <c r="P2279"/>
  <c r="Q2279"/>
  <c r="R2279"/>
  <c r="S2279"/>
  <c r="T2279"/>
  <c r="U2279"/>
  <c r="V2279"/>
  <c r="W2279"/>
  <c r="X2279"/>
  <c r="Y2279"/>
  <c r="AA2279"/>
  <c r="AB2279"/>
  <c r="AC2279"/>
  <c r="AD2279"/>
  <c r="P2280"/>
  <c r="Q2280"/>
  <c r="R2280"/>
  <c r="S2280"/>
  <c r="T2280"/>
  <c r="U2280"/>
  <c r="V2280"/>
  <c r="W2280"/>
  <c r="X2280"/>
  <c r="Y2280"/>
  <c r="AA2280"/>
  <c r="AB2280"/>
  <c r="AC2280"/>
  <c r="AD2280"/>
  <c r="P2281"/>
  <c r="Q2281"/>
  <c r="R2281"/>
  <c r="S2281"/>
  <c r="T2281"/>
  <c r="U2281"/>
  <c r="V2281"/>
  <c r="W2281"/>
  <c r="X2281"/>
  <c r="Y2281"/>
  <c r="AA2281"/>
  <c r="AB2281"/>
  <c r="AC2281"/>
  <c r="AD2281"/>
  <c r="P2282"/>
  <c r="Q2282"/>
  <c r="R2282"/>
  <c r="S2282"/>
  <c r="T2282"/>
  <c r="U2282"/>
  <c r="V2282"/>
  <c r="W2282"/>
  <c r="X2282"/>
  <c r="Y2282"/>
  <c r="AA2282"/>
  <c r="AB2282"/>
  <c r="AC2282"/>
  <c r="AD2282"/>
  <c r="P2283"/>
  <c r="Q2283"/>
  <c r="R2283"/>
  <c r="S2283"/>
  <c r="T2283"/>
  <c r="U2283"/>
  <c r="V2283"/>
  <c r="W2283"/>
  <c r="X2283"/>
  <c r="Y2283"/>
  <c r="AA2283"/>
  <c r="AB2283"/>
  <c r="AC2283"/>
  <c r="AD2283"/>
  <c r="P2284"/>
  <c r="Q2284"/>
  <c r="R2284"/>
  <c r="S2284"/>
  <c r="T2284"/>
  <c r="U2284"/>
  <c r="V2284"/>
  <c r="W2284"/>
  <c r="X2284"/>
  <c r="Y2284"/>
  <c r="AA2284"/>
  <c r="AB2284"/>
  <c r="AC2284"/>
  <c r="AD2284"/>
  <c r="P2285"/>
  <c r="Q2285"/>
  <c r="R2285"/>
  <c r="S2285"/>
  <c r="T2285"/>
  <c r="U2285"/>
  <c r="V2285"/>
  <c r="W2285"/>
  <c r="X2285"/>
  <c r="Y2285"/>
  <c r="AA2285"/>
  <c r="AB2285"/>
  <c r="AC2285"/>
  <c r="AD2285"/>
  <c r="P2286"/>
  <c r="Q2286"/>
  <c r="R2286"/>
  <c r="S2286"/>
  <c r="T2286"/>
  <c r="U2286"/>
  <c r="V2286"/>
  <c r="W2286"/>
  <c r="X2286"/>
  <c r="Y2286"/>
  <c r="AA2286"/>
  <c r="AB2286"/>
  <c r="AC2286"/>
  <c r="AD2286"/>
  <c r="P2287"/>
  <c r="Q2287"/>
  <c r="R2287"/>
  <c r="S2287"/>
  <c r="T2287"/>
  <c r="U2287"/>
  <c r="V2287"/>
  <c r="W2287"/>
  <c r="X2287"/>
  <c r="Y2287"/>
  <c r="AA2287"/>
  <c r="AB2287"/>
  <c r="AC2287"/>
  <c r="AD2287"/>
  <c r="P2288"/>
  <c r="Q2288"/>
  <c r="R2288"/>
  <c r="S2288"/>
  <c r="T2288"/>
  <c r="U2288"/>
  <c r="V2288"/>
  <c r="W2288"/>
  <c r="X2288"/>
  <c r="Y2288"/>
  <c r="AA2288"/>
  <c r="AB2288"/>
  <c r="AC2288"/>
  <c r="AD2288"/>
  <c r="P2289"/>
  <c r="Q2289"/>
  <c r="R2289"/>
  <c r="S2289"/>
  <c r="T2289"/>
  <c r="U2289"/>
  <c r="V2289"/>
  <c r="W2289"/>
  <c r="X2289"/>
  <c r="Y2289"/>
  <c r="AA2289"/>
  <c r="AB2289"/>
  <c r="AC2289"/>
  <c r="AD2289"/>
  <c r="P2290"/>
  <c r="Q2290"/>
  <c r="R2290"/>
  <c r="S2290"/>
  <c r="T2290"/>
  <c r="U2290"/>
  <c r="V2290"/>
  <c r="W2290"/>
  <c r="X2290"/>
  <c r="Y2290"/>
  <c r="AA2290"/>
  <c r="AB2290"/>
  <c r="AC2290"/>
  <c r="AD2290"/>
  <c r="P2291"/>
  <c r="Q2291"/>
  <c r="R2291"/>
  <c r="S2291"/>
  <c r="T2291"/>
  <c r="U2291"/>
  <c r="V2291"/>
  <c r="W2291"/>
  <c r="X2291"/>
  <c r="Y2291"/>
  <c r="AA2291"/>
  <c r="AB2291"/>
  <c r="AC2291"/>
  <c r="AD2291"/>
  <c r="P2292"/>
  <c r="Q2292"/>
  <c r="R2292"/>
  <c r="S2292"/>
  <c r="T2292"/>
  <c r="U2292"/>
  <c r="V2292"/>
  <c r="W2292"/>
  <c r="X2292"/>
  <c r="Y2292"/>
  <c r="AA2292"/>
  <c r="AB2292"/>
  <c r="AC2292"/>
  <c r="AD2292"/>
  <c r="P2293"/>
  <c r="Q2293"/>
  <c r="R2293"/>
  <c r="S2293"/>
  <c r="T2293"/>
  <c r="U2293"/>
  <c r="V2293"/>
  <c r="W2293"/>
  <c r="X2293"/>
  <c r="Y2293"/>
  <c r="AA2293"/>
  <c r="AB2293"/>
  <c r="AC2293"/>
  <c r="AD2293"/>
  <c r="P2294"/>
  <c r="Q2294"/>
  <c r="R2294"/>
  <c r="S2294"/>
  <c r="T2294"/>
  <c r="U2294"/>
  <c r="V2294"/>
  <c r="W2294"/>
  <c r="X2294"/>
  <c r="Y2294"/>
  <c r="AA2294"/>
  <c r="AB2294"/>
  <c r="AC2294"/>
  <c r="AD2294"/>
  <c r="P2295"/>
  <c r="Q2295"/>
  <c r="R2295"/>
  <c r="S2295"/>
  <c r="T2295"/>
  <c r="U2295"/>
  <c r="V2295"/>
  <c r="W2295"/>
  <c r="X2295"/>
  <c r="Y2295"/>
  <c r="AA2295"/>
  <c r="AB2295"/>
  <c r="AC2295"/>
  <c r="AD2295"/>
  <c r="P2296"/>
  <c r="Q2296"/>
  <c r="R2296"/>
  <c r="S2296"/>
  <c r="T2296"/>
  <c r="U2296"/>
  <c r="V2296"/>
  <c r="W2296"/>
  <c r="X2296"/>
  <c r="Y2296"/>
  <c r="AA2296"/>
  <c r="AB2296"/>
  <c r="AC2296"/>
  <c r="AD2296"/>
  <c r="P2297"/>
  <c r="Q2297"/>
  <c r="R2297"/>
  <c r="S2297"/>
  <c r="T2297"/>
  <c r="U2297"/>
  <c r="V2297"/>
  <c r="W2297"/>
  <c r="X2297"/>
  <c r="Y2297"/>
  <c r="AA2297"/>
  <c r="AB2297"/>
  <c r="AC2297"/>
  <c r="AD2297"/>
  <c r="P2298"/>
  <c r="Q2298"/>
  <c r="R2298"/>
  <c r="S2298"/>
  <c r="T2298"/>
  <c r="U2298"/>
  <c r="V2298"/>
  <c r="W2298"/>
  <c r="X2298"/>
  <c r="Y2298"/>
  <c r="AA2298"/>
  <c r="AB2298"/>
  <c r="AC2298"/>
  <c r="AD2298"/>
  <c r="P2299"/>
  <c r="Q2299"/>
  <c r="R2299"/>
  <c r="S2299"/>
  <c r="T2299"/>
  <c r="U2299"/>
  <c r="V2299"/>
  <c r="W2299"/>
  <c r="X2299"/>
  <c r="Y2299"/>
  <c r="AA2299"/>
  <c r="AB2299"/>
  <c r="AC2299"/>
  <c r="AD2299"/>
  <c r="P2300"/>
  <c r="Q2300"/>
  <c r="R2300"/>
  <c r="S2300"/>
  <c r="T2300"/>
  <c r="U2300"/>
  <c r="V2300"/>
  <c r="W2300"/>
  <c r="X2300"/>
  <c r="Y2300"/>
  <c r="AA2300"/>
  <c r="AB2300"/>
  <c r="AC2300"/>
  <c r="AD2300"/>
  <c r="P2301"/>
  <c r="Q2301"/>
  <c r="R2301"/>
  <c r="S2301"/>
  <c r="T2301"/>
  <c r="U2301"/>
  <c r="V2301"/>
  <c r="W2301"/>
  <c r="X2301"/>
  <c r="Y2301"/>
  <c r="AA2301"/>
  <c r="AB2301"/>
  <c r="AC2301"/>
  <c r="AD2301"/>
  <c r="P2302"/>
  <c r="Q2302"/>
  <c r="R2302"/>
  <c r="S2302"/>
  <c r="T2302"/>
  <c r="U2302"/>
  <c r="V2302"/>
  <c r="W2302"/>
  <c r="X2302"/>
  <c r="Y2302"/>
  <c r="AA2302"/>
  <c r="AB2302"/>
  <c r="AC2302"/>
  <c r="AD2302"/>
  <c r="P2303"/>
  <c r="Q2303"/>
  <c r="R2303"/>
  <c r="S2303"/>
  <c r="T2303"/>
  <c r="U2303"/>
  <c r="V2303"/>
  <c r="W2303"/>
  <c r="X2303"/>
  <c r="Y2303"/>
  <c r="AA2303"/>
  <c r="AB2303"/>
  <c r="AC2303"/>
  <c r="AD2303"/>
  <c r="P2304"/>
  <c r="Q2304"/>
  <c r="R2304"/>
  <c r="S2304"/>
  <c r="T2304"/>
  <c r="U2304"/>
  <c r="V2304"/>
  <c r="W2304"/>
  <c r="X2304"/>
  <c r="Y2304"/>
  <c r="AA2304"/>
  <c r="AB2304"/>
  <c r="AC2304"/>
  <c r="AD2304"/>
  <c r="P2305"/>
  <c r="Q2305"/>
  <c r="R2305"/>
  <c r="S2305"/>
  <c r="T2305"/>
  <c r="U2305"/>
  <c r="V2305"/>
  <c r="W2305"/>
  <c r="X2305"/>
  <c r="Y2305"/>
  <c r="AA2305"/>
  <c r="AB2305"/>
  <c r="AC2305"/>
  <c r="AD2305"/>
  <c r="P2306"/>
  <c r="Q2306"/>
  <c r="R2306"/>
  <c r="S2306"/>
  <c r="T2306"/>
  <c r="U2306"/>
  <c r="V2306"/>
  <c r="W2306"/>
  <c r="X2306"/>
  <c r="Y2306"/>
  <c r="AA2306"/>
  <c r="AB2306"/>
  <c r="AC2306"/>
  <c r="AD2306"/>
  <c r="P2307"/>
  <c r="Q2307"/>
  <c r="R2307"/>
  <c r="S2307"/>
  <c r="T2307"/>
  <c r="U2307"/>
  <c r="V2307"/>
  <c r="W2307"/>
  <c r="X2307"/>
  <c r="Y2307"/>
  <c r="AA2307"/>
  <c r="AB2307"/>
  <c r="AC2307"/>
  <c r="AD2307"/>
  <c r="P2308"/>
  <c r="Q2308"/>
  <c r="R2308"/>
  <c r="S2308"/>
  <c r="T2308"/>
  <c r="U2308"/>
  <c r="V2308"/>
  <c r="W2308"/>
  <c r="X2308"/>
  <c r="Y2308"/>
  <c r="AA2308"/>
  <c r="AB2308"/>
  <c r="AC2308"/>
  <c r="AD2308"/>
  <c r="P2309"/>
  <c r="Q2309"/>
  <c r="R2309"/>
  <c r="S2309"/>
  <c r="T2309"/>
  <c r="U2309"/>
  <c r="V2309"/>
  <c r="W2309"/>
  <c r="X2309"/>
  <c r="Y2309"/>
  <c r="AA2309"/>
  <c r="AB2309"/>
  <c r="AC2309"/>
  <c r="AD2309"/>
  <c r="P2310"/>
  <c r="Q2310"/>
  <c r="R2310"/>
  <c r="S2310"/>
  <c r="T2310"/>
  <c r="U2310"/>
  <c r="V2310"/>
  <c r="W2310"/>
  <c r="X2310"/>
  <c r="Y2310"/>
  <c r="AA2310"/>
  <c r="AB2310"/>
  <c r="AC2310"/>
  <c r="AD2310"/>
  <c r="P2311"/>
  <c r="Q2311"/>
  <c r="R2311"/>
  <c r="S2311"/>
  <c r="T2311"/>
  <c r="U2311"/>
  <c r="V2311"/>
  <c r="W2311"/>
  <c r="X2311"/>
  <c r="Y2311"/>
  <c r="AA2311"/>
  <c r="AB2311"/>
  <c r="AC2311"/>
  <c r="AD2311"/>
  <c r="P2312"/>
  <c r="Q2312"/>
  <c r="R2312"/>
  <c r="S2312"/>
  <c r="T2312"/>
  <c r="U2312"/>
  <c r="V2312"/>
  <c r="W2312"/>
  <c r="X2312"/>
  <c r="Y2312"/>
  <c r="AA2312"/>
  <c r="AB2312"/>
  <c r="AC2312"/>
  <c r="AD2312"/>
  <c r="P2313"/>
  <c r="Q2313"/>
  <c r="R2313"/>
  <c r="S2313"/>
  <c r="T2313"/>
  <c r="U2313"/>
  <c r="V2313"/>
  <c r="W2313"/>
  <c r="X2313"/>
  <c r="Y2313"/>
  <c r="AA2313"/>
  <c r="AB2313"/>
  <c r="AC2313"/>
  <c r="AD2313"/>
  <c r="P2314"/>
  <c r="Q2314"/>
  <c r="R2314"/>
  <c r="S2314"/>
  <c r="T2314"/>
  <c r="U2314"/>
  <c r="V2314"/>
  <c r="W2314"/>
  <c r="X2314"/>
  <c r="Y2314"/>
  <c r="AA2314"/>
  <c r="AB2314"/>
  <c r="AC2314"/>
  <c r="AD2314"/>
  <c r="P2315"/>
  <c r="Q2315"/>
  <c r="R2315"/>
  <c r="S2315"/>
  <c r="T2315"/>
  <c r="U2315"/>
  <c r="V2315"/>
  <c r="W2315"/>
  <c r="X2315"/>
  <c r="Y2315"/>
  <c r="AA2315"/>
  <c r="AB2315"/>
  <c r="AC2315"/>
  <c r="AD2315"/>
  <c r="P2316"/>
  <c r="Q2316"/>
  <c r="R2316"/>
  <c r="S2316"/>
  <c r="T2316"/>
  <c r="U2316"/>
  <c r="V2316"/>
  <c r="W2316"/>
  <c r="X2316"/>
  <c r="Y2316"/>
  <c r="AA2316"/>
  <c r="AB2316"/>
  <c r="AC2316"/>
  <c r="AD2316"/>
  <c r="P2317"/>
  <c r="Q2317"/>
  <c r="R2317"/>
  <c r="S2317"/>
  <c r="T2317"/>
  <c r="U2317"/>
  <c r="V2317"/>
  <c r="W2317"/>
  <c r="X2317"/>
  <c r="Y2317"/>
  <c r="AA2317"/>
  <c r="AB2317"/>
  <c r="AC2317"/>
  <c r="AD2317"/>
  <c r="P2318"/>
  <c r="Q2318"/>
  <c r="R2318"/>
  <c r="S2318"/>
  <c r="T2318"/>
  <c r="U2318"/>
  <c r="V2318"/>
  <c r="W2318"/>
  <c r="X2318"/>
  <c r="Y2318"/>
  <c r="AA2318"/>
  <c r="AB2318"/>
  <c r="AC2318"/>
  <c r="AD2318"/>
  <c r="P2319"/>
  <c r="Q2319"/>
  <c r="R2319"/>
  <c r="S2319"/>
  <c r="T2319"/>
  <c r="U2319"/>
  <c r="V2319"/>
  <c r="W2319"/>
  <c r="X2319"/>
  <c r="Y2319"/>
  <c r="AA2319"/>
  <c r="AB2319"/>
  <c r="AC2319"/>
  <c r="AD2319"/>
  <c r="P2320"/>
  <c r="Q2320"/>
  <c r="R2320"/>
  <c r="S2320"/>
  <c r="T2320"/>
  <c r="U2320"/>
  <c r="V2320"/>
  <c r="W2320"/>
  <c r="X2320"/>
  <c r="Y2320"/>
  <c r="AA2320"/>
  <c r="AB2320"/>
  <c r="AC2320"/>
  <c r="AD2320"/>
  <c r="P2321"/>
  <c r="Q2321"/>
  <c r="R2321"/>
  <c r="S2321"/>
  <c r="T2321"/>
  <c r="U2321"/>
  <c r="V2321"/>
  <c r="W2321"/>
  <c r="X2321"/>
  <c r="Y2321"/>
  <c r="AA2321"/>
  <c r="AB2321"/>
  <c r="AC2321"/>
  <c r="AD2321"/>
  <c r="P2322"/>
  <c r="Q2322"/>
  <c r="R2322"/>
  <c r="S2322"/>
  <c r="T2322"/>
  <c r="U2322"/>
  <c r="V2322"/>
  <c r="W2322"/>
  <c r="X2322"/>
  <c r="Y2322"/>
  <c r="AA2322"/>
  <c r="AB2322"/>
  <c r="AC2322"/>
  <c r="AD2322"/>
  <c r="P2323"/>
  <c r="Q2323"/>
  <c r="R2323"/>
  <c r="S2323"/>
  <c r="T2323"/>
  <c r="U2323"/>
  <c r="V2323"/>
  <c r="W2323"/>
  <c r="X2323"/>
  <c r="Y2323"/>
  <c r="AA2323"/>
  <c r="AB2323"/>
  <c r="AC2323"/>
  <c r="AD2323"/>
  <c r="P2324"/>
  <c r="Q2324"/>
  <c r="R2324"/>
  <c r="S2324"/>
  <c r="T2324"/>
  <c r="U2324"/>
  <c r="V2324"/>
  <c r="W2324"/>
  <c r="X2324"/>
  <c r="Y2324"/>
  <c r="AA2324"/>
  <c r="AB2324"/>
  <c r="AC2324"/>
  <c r="AD2324"/>
  <c r="P2325"/>
  <c r="Q2325"/>
  <c r="R2325"/>
  <c r="S2325"/>
  <c r="T2325"/>
  <c r="U2325"/>
  <c r="V2325"/>
  <c r="W2325"/>
  <c r="X2325"/>
  <c r="Y2325"/>
  <c r="AA2325"/>
  <c r="AB2325"/>
  <c r="AC2325"/>
  <c r="AD2325"/>
  <c r="P2326"/>
  <c r="Q2326"/>
  <c r="R2326"/>
  <c r="S2326"/>
  <c r="T2326"/>
  <c r="U2326"/>
  <c r="V2326"/>
  <c r="W2326"/>
  <c r="X2326"/>
  <c r="Y2326"/>
  <c r="AA2326"/>
  <c r="AB2326"/>
  <c r="AC2326"/>
  <c r="AD2326"/>
  <c r="P2327"/>
  <c r="Q2327"/>
  <c r="R2327"/>
  <c r="S2327"/>
  <c r="T2327"/>
  <c r="U2327"/>
  <c r="V2327"/>
  <c r="W2327"/>
  <c r="X2327"/>
  <c r="Y2327"/>
  <c r="AA2327"/>
  <c r="AB2327"/>
  <c r="AC2327"/>
  <c r="AD2327"/>
  <c r="P2328"/>
  <c r="Q2328"/>
  <c r="R2328"/>
  <c r="S2328"/>
  <c r="T2328"/>
  <c r="U2328"/>
  <c r="V2328"/>
  <c r="W2328"/>
  <c r="X2328"/>
  <c r="Y2328"/>
  <c r="AA2328"/>
  <c r="AB2328"/>
  <c r="AC2328"/>
  <c r="AD2328"/>
  <c r="P2329"/>
  <c r="Q2329"/>
  <c r="R2329"/>
  <c r="S2329"/>
  <c r="T2329"/>
  <c r="U2329"/>
  <c r="V2329"/>
  <c r="W2329"/>
  <c r="X2329"/>
  <c r="Y2329"/>
  <c r="AA2329"/>
  <c r="AB2329"/>
  <c r="AC2329"/>
  <c r="AD2329"/>
  <c r="P2330"/>
  <c r="Q2330"/>
  <c r="R2330"/>
  <c r="S2330"/>
  <c r="T2330"/>
  <c r="U2330"/>
  <c r="V2330"/>
  <c r="W2330"/>
  <c r="X2330"/>
  <c r="Y2330"/>
  <c r="AA2330"/>
  <c r="AB2330"/>
  <c r="AC2330"/>
  <c r="AD2330"/>
  <c r="P2331"/>
  <c r="Q2331"/>
  <c r="R2331"/>
  <c r="S2331"/>
  <c r="T2331"/>
  <c r="U2331"/>
  <c r="V2331"/>
  <c r="W2331"/>
  <c r="X2331"/>
  <c r="Y2331"/>
  <c r="AA2331"/>
  <c r="AB2331"/>
  <c r="AC2331"/>
  <c r="AD2331"/>
  <c r="P2332"/>
  <c r="Q2332"/>
  <c r="R2332"/>
  <c r="S2332"/>
  <c r="T2332"/>
  <c r="U2332"/>
  <c r="V2332"/>
  <c r="W2332"/>
  <c r="X2332"/>
  <c r="Y2332"/>
  <c r="AA2332"/>
  <c r="AB2332"/>
  <c r="AC2332"/>
  <c r="AD2332"/>
  <c r="P2333"/>
  <c r="Q2333"/>
  <c r="R2333"/>
  <c r="S2333"/>
  <c r="T2333"/>
  <c r="U2333"/>
  <c r="V2333"/>
  <c r="W2333"/>
  <c r="X2333"/>
  <c r="Y2333"/>
  <c r="AA2333"/>
  <c r="AB2333"/>
  <c r="AC2333"/>
  <c r="AD2333"/>
  <c r="P2334"/>
  <c r="Q2334"/>
  <c r="R2334"/>
  <c r="S2334"/>
  <c r="T2334"/>
  <c r="U2334"/>
  <c r="V2334"/>
  <c r="W2334"/>
  <c r="X2334"/>
  <c r="Y2334"/>
  <c r="AA2334"/>
  <c r="AB2334"/>
  <c r="AC2334"/>
  <c r="AD2334"/>
  <c r="P2335"/>
  <c r="Q2335"/>
  <c r="R2335"/>
  <c r="S2335"/>
  <c r="T2335"/>
  <c r="U2335"/>
  <c r="V2335"/>
  <c r="W2335"/>
  <c r="X2335"/>
  <c r="Y2335"/>
  <c r="AA2335"/>
  <c r="AB2335"/>
  <c r="AC2335"/>
  <c r="AD2335"/>
  <c r="P2336"/>
  <c r="Q2336"/>
  <c r="R2336"/>
  <c r="S2336"/>
  <c r="T2336"/>
  <c r="U2336"/>
  <c r="V2336"/>
  <c r="W2336"/>
  <c r="X2336"/>
  <c r="Y2336"/>
  <c r="AA2336"/>
  <c r="AB2336"/>
  <c r="AC2336"/>
  <c r="AD2336"/>
  <c r="P2337"/>
  <c r="Q2337"/>
  <c r="R2337"/>
  <c r="S2337"/>
  <c r="T2337"/>
  <c r="U2337"/>
  <c r="V2337"/>
  <c r="W2337"/>
  <c r="X2337"/>
  <c r="Y2337"/>
  <c r="AA2337"/>
  <c r="AB2337"/>
  <c r="AC2337"/>
  <c r="AD2337"/>
  <c r="P2338"/>
  <c r="Q2338"/>
  <c r="R2338"/>
  <c r="S2338"/>
  <c r="T2338"/>
  <c r="U2338"/>
  <c r="V2338"/>
  <c r="W2338"/>
  <c r="X2338"/>
  <c r="Y2338"/>
  <c r="AA2338"/>
  <c r="AB2338"/>
  <c r="AC2338"/>
  <c r="AD2338"/>
  <c r="P2339"/>
  <c r="Q2339"/>
  <c r="R2339"/>
  <c r="S2339"/>
  <c r="T2339"/>
  <c r="U2339"/>
  <c r="V2339"/>
  <c r="W2339"/>
  <c r="X2339"/>
  <c r="Y2339"/>
  <c r="AA2339"/>
  <c r="AB2339"/>
  <c r="AC2339"/>
  <c r="AD2339"/>
  <c r="P2340"/>
  <c r="Q2340"/>
  <c r="R2340"/>
  <c r="S2340"/>
  <c r="T2340"/>
  <c r="U2340"/>
  <c r="V2340"/>
  <c r="W2340"/>
  <c r="X2340"/>
  <c r="Y2340"/>
  <c r="AA2340"/>
  <c r="AB2340"/>
  <c r="AC2340"/>
  <c r="AD2340"/>
  <c r="P2341"/>
  <c r="Q2341"/>
  <c r="R2341"/>
  <c r="S2341"/>
  <c r="T2341"/>
  <c r="U2341"/>
  <c r="V2341"/>
  <c r="W2341"/>
  <c r="X2341"/>
  <c r="Y2341"/>
  <c r="AA2341"/>
  <c r="AB2341"/>
  <c r="AC2341"/>
  <c r="AD2341"/>
  <c r="P2342"/>
  <c r="Q2342"/>
  <c r="R2342"/>
  <c r="S2342"/>
  <c r="T2342"/>
  <c r="U2342"/>
  <c r="V2342"/>
  <c r="W2342"/>
  <c r="X2342"/>
  <c r="Y2342"/>
  <c r="AA2342"/>
  <c r="AB2342"/>
  <c r="AC2342"/>
  <c r="AD2342"/>
  <c r="P2343"/>
  <c r="Q2343"/>
  <c r="R2343"/>
  <c r="S2343"/>
  <c r="T2343"/>
  <c r="U2343"/>
  <c r="V2343"/>
  <c r="W2343"/>
  <c r="X2343"/>
  <c r="Y2343"/>
  <c r="AA2343"/>
  <c r="AB2343"/>
  <c r="AC2343"/>
  <c r="AD2343"/>
  <c r="P2344"/>
  <c r="Q2344"/>
  <c r="R2344"/>
  <c r="S2344"/>
  <c r="T2344"/>
  <c r="U2344"/>
  <c r="V2344"/>
  <c r="W2344"/>
  <c r="X2344"/>
  <c r="Y2344"/>
  <c r="AA2344"/>
  <c r="AB2344"/>
  <c r="AC2344"/>
  <c r="AD2344"/>
  <c r="P2345"/>
  <c r="Q2345"/>
  <c r="R2345"/>
  <c r="S2345"/>
  <c r="T2345"/>
  <c r="U2345"/>
  <c r="V2345"/>
  <c r="W2345"/>
  <c r="X2345"/>
  <c r="Y2345"/>
  <c r="AA2345"/>
  <c r="AB2345"/>
  <c r="AC2345"/>
  <c r="AD2345"/>
  <c r="P2346"/>
  <c r="Q2346"/>
  <c r="R2346"/>
  <c r="S2346"/>
  <c r="T2346"/>
  <c r="U2346"/>
  <c r="V2346"/>
  <c r="W2346"/>
  <c r="X2346"/>
  <c r="Y2346"/>
  <c r="AA2346"/>
  <c r="AB2346"/>
  <c r="AC2346"/>
  <c r="AD2346"/>
  <c r="P2347"/>
  <c r="Q2347"/>
  <c r="R2347"/>
  <c r="S2347"/>
  <c r="T2347"/>
  <c r="U2347"/>
  <c r="V2347"/>
  <c r="W2347"/>
  <c r="X2347"/>
  <c r="Y2347"/>
  <c r="AA2347"/>
  <c r="AB2347"/>
  <c r="AC2347"/>
  <c r="AD2347"/>
  <c r="P2348"/>
  <c r="Q2348"/>
  <c r="R2348"/>
  <c r="S2348"/>
  <c r="T2348"/>
  <c r="U2348"/>
  <c r="V2348"/>
  <c r="W2348"/>
  <c r="X2348"/>
  <c r="Y2348"/>
  <c r="AA2348"/>
  <c r="AB2348"/>
  <c r="AC2348"/>
  <c r="AD2348"/>
  <c r="P2349"/>
  <c r="Q2349"/>
  <c r="R2349"/>
  <c r="S2349"/>
  <c r="T2349"/>
  <c r="U2349"/>
  <c r="V2349"/>
  <c r="W2349"/>
  <c r="X2349"/>
  <c r="Y2349"/>
  <c r="AA2349"/>
  <c r="AB2349"/>
  <c r="AC2349"/>
  <c r="AD2349"/>
  <c r="P2350"/>
  <c r="Q2350"/>
  <c r="R2350"/>
  <c r="S2350"/>
  <c r="T2350"/>
  <c r="U2350"/>
  <c r="V2350"/>
  <c r="W2350"/>
  <c r="X2350"/>
  <c r="Y2350"/>
  <c r="AA2350"/>
  <c r="AB2350"/>
  <c r="AC2350"/>
  <c r="AD2350"/>
  <c r="P2351"/>
  <c r="Q2351"/>
  <c r="R2351"/>
  <c r="S2351"/>
  <c r="T2351"/>
  <c r="U2351"/>
  <c r="V2351"/>
  <c r="W2351"/>
  <c r="X2351"/>
  <c r="Y2351"/>
  <c r="AA2351"/>
  <c r="AB2351"/>
  <c r="AC2351"/>
  <c r="AD2351"/>
  <c r="P2352"/>
  <c r="Q2352"/>
  <c r="R2352"/>
  <c r="S2352"/>
  <c r="T2352"/>
  <c r="U2352"/>
  <c r="V2352"/>
  <c r="W2352"/>
  <c r="X2352"/>
  <c r="Y2352"/>
  <c r="AA2352"/>
  <c r="AB2352"/>
  <c r="AC2352"/>
  <c r="AD2352"/>
  <c r="P2353"/>
  <c r="Q2353"/>
  <c r="R2353"/>
  <c r="S2353"/>
  <c r="T2353"/>
  <c r="U2353"/>
  <c r="V2353"/>
  <c r="W2353"/>
  <c r="X2353"/>
  <c r="Y2353"/>
  <c r="AA2353"/>
  <c r="AB2353"/>
  <c r="AC2353"/>
  <c r="AD2353"/>
  <c r="P2354"/>
  <c r="Q2354"/>
  <c r="R2354"/>
  <c r="S2354"/>
  <c r="T2354"/>
  <c r="U2354"/>
  <c r="V2354"/>
  <c r="W2354"/>
  <c r="X2354"/>
  <c r="Y2354"/>
  <c r="AA2354"/>
  <c r="AB2354"/>
  <c r="AC2354"/>
  <c r="AD2354"/>
  <c r="P2355"/>
  <c r="Q2355"/>
  <c r="R2355"/>
  <c r="S2355"/>
  <c r="T2355"/>
  <c r="U2355"/>
  <c r="V2355"/>
  <c r="W2355"/>
  <c r="X2355"/>
  <c r="Y2355"/>
  <c r="AA2355"/>
  <c r="AB2355"/>
  <c r="AC2355"/>
  <c r="AD2355"/>
  <c r="P2356"/>
  <c r="Q2356"/>
  <c r="R2356"/>
  <c r="S2356"/>
  <c r="T2356"/>
  <c r="U2356"/>
  <c r="V2356"/>
  <c r="W2356"/>
  <c r="X2356"/>
  <c r="Y2356"/>
  <c r="AA2356"/>
  <c r="AB2356"/>
  <c r="AC2356"/>
  <c r="AD2356"/>
  <c r="P2357"/>
  <c r="Q2357"/>
  <c r="R2357"/>
  <c r="S2357"/>
  <c r="T2357"/>
  <c r="U2357"/>
  <c r="V2357"/>
  <c r="W2357"/>
  <c r="X2357"/>
  <c r="Y2357"/>
  <c r="AA2357"/>
  <c r="AB2357"/>
  <c r="AC2357"/>
  <c r="AD2357"/>
  <c r="P2358"/>
  <c r="Q2358"/>
  <c r="R2358"/>
  <c r="S2358"/>
  <c r="T2358"/>
  <c r="U2358"/>
  <c r="V2358"/>
  <c r="W2358"/>
  <c r="X2358"/>
  <c r="Y2358"/>
  <c r="AA2358"/>
  <c r="AB2358"/>
  <c r="AC2358"/>
  <c r="AD2358"/>
  <c r="P2359"/>
  <c r="Q2359"/>
  <c r="R2359"/>
  <c r="S2359"/>
  <c r="T2359"/>
  <c r="U2359"/>
  <c r="V2359"/>
  <c r="W2359"/>
  <c r="X2359"/>
  <c r="Y2359"/>
  <c r="AA2359"/>
  <c r="AB2359"/>
  <c r="AC2359"/>
  <c r="AD2359"/>
  <c r="P2360"/>
  <c r="Q2360"/>
  <c r="R2360"/>
  <c r="S2360"/>
  <c r="T2360"/>
  <c r="U2360"/>
  <c r="V2360"/>
  <c r="W2360"/>
  <c r="X2360"/>
  <c r="Y2360"/>
  <c r="AA2360"/>
  <c r="AB2360"/>
  <c r="AC2360"/>
  <c r="AD2360"/>
  <c r="P2361"/>
  <c r="Q2361"/>
  <c r="R2361"/>
  <c r="S2361"/>
  <c r="T2361"/>
  <c r="U2361"/>
  <c r="V2361"/>
  <c r="W2361"/>
  <c r="X2361"/>
  <c r="Y2361"/>
  <c r="AA2361"/>
  <c r="AB2361"/>
  <c r="AC2361"/>
  <c r="AD2361"/>
  <c r="P2362"/>
  <c r="Q2362"/>
  <c r="R2362"/>
  <c r="S2362"/>
  <c r="T2362"/>
  <c r="U2362"/>
  <c r="V2362"/>
  <c r="W2362"/>
  <c r="X2362"/>
  <c r="Y2362"/>
  <c r="AA2362"/>
  <c r="AB2362"/>
  <c r="AC2362"/>
  <c r="AD2362"/>
  <c r="P2363"/>
  <c r="Q2363"/>
  <c r="R2363"/>
  <c r="S2363"/>
  <c r="T2363"/>
  <c r="U2363"/>
  <c r="V2363"/>
  <c r="W2363"/>
  <c r="X2363"/>
  <c r="Y2363"/>
  <c r="AA2363"/>
  <c r="AB2363"/>
  <c r="AC2363"/>
  <c r="AD2363"/>
  <c r="P2364"/>
  <c r="Q2364"/>
  <c r="R2364"/>
  <c r="S2364"/>
  <c r="T2364"/>
  <c r="U2364"/>
  <c r="V2364"/>
  <c r="W2364"/>
  <c r="X2364"/>
  <c r="Y2364"/>
  <c r="AA2364"/>
  <c r="AB2364"/>
  <c r="AC2364"/>
  <c r="AD2364"/>
  <c r="P2365"/>
  <c r="Q2365"/>
  <c r="R2365"/>
  <c r="S2365"/>
  <c r="T2365"/>
  <c r="U2365"/>
  <c r="V2365"/>
  <c r="W2365"/>
  <c r="X2365"/>
  <c r="Y2365"/>
  <c r="AA2365"/>
  <c r="AB2365"/>
  <c r="AC2365"/>
  <c r="AD2365"/>
  <c r="P2366"/>
  <c r="Q2366"/>
  <c r="R2366"/>
  <c r="S2366"/>
  <c r="T2366"/>
  <c r="U2366"/>
  <c r="V2366"/>
  <c r="W2366"/>
  <c r="X2366"/>
  <c r="Y2366"/>
  <c r="AA2366"/>
  <c r="AB2366"/>
  <c r="AC2366"/>
  <c r="AD2366"/>
  <c r="P2367"/>
  <c r="Q2367"/>
  <c r="R2367"/>
  <c r="S2367"/>
  <c r="T2367"/>
  <c r="U2367"/>
  <c r="V2367"/>
  <c r="W2367"/>
  <c r="X2367"/>
  <c r="Y2367"/>
  <c r="AA2367"/>
  <c r="AB2367"/>
  <c r="AC2367"/>
  <c r="AD2367"/>
  <c r="P2368"/>
  <c r="Q2368"/>
  <c r="R2368"/>
  <c r="S2368"/>
  <c r="T2368"/>
  <c r="U2368"/>
  <c r="V2368"/>
  <c r="W2368"/>
  <c r="X2368"/>
  <c r="Y2368"/>
  <c r="AA2368"/>
  <c r="AB2368"/>
  <c r="AC2368"/>
  <c r="AD2368"/>
  <c r="P2369"/>
  <c r="Q2369"/>
  <c r="R2369"/>
  <c r="S2369"/>
  <c r="T2369"/>
  <c r="U2369"/>
  <c r="V2369"/>
  <c r="W2369"/>
  <c r="X2369"/>
  <c r="Y2369"/>
  <c r="AA2369"/>
  <c r="AB2369"/>
  <c r="AC2369"/>
  <c r="AD2369"/>
  <c r="P2370"/>
  <c r="Q2370"/>
  <c r="R2370"/>
  <c r="S2370"/>
  <c r="T2370"/>
  <c r="U2370"/>
  <c r="V2370"/>
  <c r="W2370"/>
  <c r="X2370"/>
  <c r="Y2370"/>
  <c r="AA2370"/>
  <c r="AB2370"/>
  <c r="AC2370"/>
  <c r="AD2370"/>
  <c r="P2371"/>
  <c r="Q2371"/>
  <c r="R2371"/>
  <c r="S2371"/>
  <c r="T2371"/>
  <c r="U2371"/>
  <c r="V2371"/>
  <c r="W2371"/>
  <c r="X2371"/>
  <c r="Y2371"/>
  <c r="AA2371"/>
  <c r="AB2371"/>
  <c r="AC2371"/>
  <c r="AD2371"/>
  <c r="P2372"/>
  <c r="Q2372"/>
  <c r="R2372"/>
  <c r="S2372"/>
  <c r="T2372"/>
  <c r="U2372"/>
  <c r="V2372"/>
  <c r="W2372"/>
  <c r="X2372"/>
  <c r="Y2372"/>
  <c r="AA2372"/>
  <c r="AB2372"/>
  <c r="AC2372"/>
  <c r="AD2372"/>
  <c r="P2373"/>
  <c r="Q2373"/>
  <c r="R2373"/>
  <c r="S2373"/>
  <c r="T2373"/>
  <c r="U2373"/>
  <c r="V2373"/>
  <c r="W2373"/>
  <c r="X2373"/>
  <c r="Y2373"/>
  <c r="AA2373"/>
  <c r="AB2373"/>
  <c r="AC2373"/>
  <c r="AD2373"/>
  <c r="P2374"/>
  <c r="Q2374"/>
  <c r="R2374"/>
  <c r="S2374"/>
  <c r="T2374"/>
  <c r="U2374"/>
  <c r="V2374"/>
  <c r="W2374"/>
  <c r="X2374"/>
  <c r="Y2374"/>
  <c r="AA2374"/>
  <c r="AB2374"/>
  <c r="AC2374"/>
  <c r="AD2374"/>
  <c r="P2375"/>
  <c r="Q2375"/>
  <c r="R2375"/>
  <c r="S2375"/>
  <c r="T2375"/>
  <c r="U2375"/>
  <c r="V2375"/>
  <c r="W2375"/>
  <c r="X2375"/>
  <c r="Y2375"/>
  <c r="AA2375"/>
  <c r="AB2375"/>
  <c r="AC2375"/>
  <c r="AD2375"/>
  <c r="P2376"/>
  <c r="Q2376"/>
  <c r="R2376"/>
  <c r="S2376"/>
  <c r="T2376"/>
  <c r="U2376"/>
  <c r="V2376"/>
  <c r="W2376"/>
  <c r="X2376"/>
  <c r="Y2376"/>
  <c r="AA2376"/>
  <c r="AB2376"/>
  <c r="AC2376"/>
  <c r="AD2376"/>
  <c r="P2377"/>
  <c r="Q2377"/>
  <c r="R2377"/>
  <c r="S2377"/>
  <c r="T2377"/>
  <c r="U2377"/>
  <c r="V2377"/>
  <c r="W2377"/>
  <c r="X2377"/>
  <c r="Y2377"/>
  <c r="AA2377"/>
  <c r="AB2377"/>
  <c r="AC2377"/>
  <c r="AD2377"/>
  <c r="P2378"/>
  <c r="Q2378"/>
  <c r="R2378"/>
  <c r="S2378"/>
  <c r="T2378"/>
  <c r="U2378"/>
  <c r="V2378"/>
  <c r="W2378"/>
  <c r="X2378"/>
  <c r="Y2378"/>
  <c r="AA2378"/>
  <c r="AB2378"/>
  <c r="AC2378"/>
  <c r="AD2378"/>
  <c r="P2379"/>
  <c r="Q2379"/>
  <c r="R2379"/>
  <c r="S2379"/>
  <c r="T2379"/>
  <c r="U2379"/>
  <c r="V2379"/>
  <c r="W2379"/>
  <c r="X2379"/>
  <c r="Y2379"/>
  <c r="AA2379"/>
  <c r="AB2379"/>
  <c r="AC2379"/>
  <c r="AD2379"/>
  <c r="P2380"/>
  <c r="Q2380"/>
  <c r="R2380"/>
  <c r="S2380"/>
  <c r="T2380"/>
  <c r="U2380"/>
  <c r="V2380"/>
  <c r="W2380"/>
  <c r="X2380"/>
  <c r="Y2380"/>
  <c r="AA2380"/>
  <c r="AB2380"/>
  <c r="AC2380"/>
  <c r="AD2380"/>
  <c r="P2381"/>
  <c r="Q2381"/>
  <c r="R2381"/>
  <c r="S2381"/>
  <c r="T2381"/>
  <c r="U2381"/>
  <c r="V2381"/>
  <c r="W2381"/>
  <c r="X2381"/>
  <c r="Y2381"/>
  <c r="AA2381"/>
  <c r="AB2381"/>
  <c r="AC2381"/>
  <c r="AD2381"/>
  <c r="P2382"/>
  <c r="Q2382"/>
  <c r="R2382"/>
  <c r="S2382"/>
  <c r="T2382"/>
  <c r="U2382"/>
  <c r="V2382"/>
  <c r="W2382"/>
  <c r="X2382"/>
  <c r="Y2382"/>
  <c r="AA2382"/>
  <c r="AB2382"/>
  <c r="AC2382"/>
  <c r="AD2382"/>
  <c r="P2383"/>
  <c r="Q2383"/>
  <c r="R2383"/>
  <c r="S2383"/>
  <c r="T2383"/>
  <c r="U2383"/>
  <c r="V2383"/>
  <c r="W2383"/>
  <c r="X2383"/>
  <c r="Y2383"/>
  <c r="AA2383"/>
  <c r="AB2383"/>
  <c r="AC2383"/>
  <c r="AD2383"/>
  <c r="P2384"/>
  <c r="Q2384"/>
  <c r="R2384"/>
  <c r="S2384"/>
  <c r="T2384"/>
  <c r="U2384"/>
  <c r="V2384"/>
  <c r="W2384"/>
  <c r="X2384"/>
  <c r="Y2384"/>
  <c r="AA2384"/>
  <c r="AB2384"/>
  <c r="AC2384"/>
  <c r="AD2384"/>
  <c r="P2385"/>
  <c r="Q2385"/>
  <c r="R2385"/>
  <c r="S2385"/>
  <c r="T2385"/>
  <c r="U2385"/>
  <c r="V2385"/>
  <c r="W2385"/>
  <c r="X2385"/>
  <c r="Y2385"/>
  <c r="AA2385"/>
  <c r="AB2385"/>
  <c r="AC2385"/>
  <c r="AD2385"/>
  <c r="P2386"/>
  <c r="Q2386"/>
  <c r="R2386"/>
  <c r="S2386"/>
  <c r="T2386"/>
  <c r="U2386"/>
  <c r="V2386"/>
  <c r="W2386"/>
  <c r="X2386"/>
  <c r="Y2386"/>
  <c r="AA2386"/>
  <c r="AB2386"/>
  <c r="AC2386"/>
  <c r="AD2386"/>
  <c r="P2387"/>
  <c r="Q2387"/>
  <c r="R2387"/>
  <c r="S2387"/>
  <c r="T2387"/>
  <c r="U2387"/>
  <c r="V2387"/>
  <c r="W2387"/>
  <c r="X2387"/>
  <c r="Y2387"/>
  <c r="AA2387"/>
  <c r="AB2387"/>
  <c r="AC2387"/>
  <c r="AD2387"/>
  <c r="P2388"/>
  <c r="Q2388"/>
  <c r="R2388"/>
  <c r="S2388"/>
  <c r="T2388"/>
  <c r="U2388"/>
  <c r="V2388"/>
  <c r="W2388"/>
  <c r="X2388"/>
  <c r="Y2388"/>
  <c r="AA2388"/>
  <c r="AB2388"/>
  <c r="AC2388"/>
  <c r="AD2388"/>
  <c r="P2389"/>
  <c r="Q2389"/>
  <c r="R2389"/>
  <c r="S2389"/>
  <c r="T2389"/>
  <c r="U2389"/>
  <c r="V2389"/>
  <c r="W2389"/>
  <c r="X2389"/>
  <c r="Y2389"/>
  <c r="AA2389"/>
  <c r="AB2389"/>
  <c r="AC2389"/>
  <c r="AD2389"/>
  <c r="P2390"/>
  <c r="Q2390"/>
  <c r="R2390"/>
  <c r="S2390"/>
  <c r="T2390"/>
  <c r="U2390"/>
  <c r="V2390"/>
  <c r="W2390"/>
  <c r="X2390"/>
  <c r="Y2390"/>
  <c r="AA2390"/>
  <c r="AB2390"/>
  <c r="AC2390"/>
  <c r="AD2390"/>
  <c r="P2391"/>
  <c r="Q2391"/>
  <c r="R2391"/>
  <c r="S2391"/>
  <c r="T2391"/>
  <c r="U2391"/>
  <c r="V2391"/>
  <c r="W2391"/>
  <c r="X2391"/>
  <c r="Y2391"/>
  <c r="AA2391"/>
  <c r="AB2391"/>
  <c r="AC2391"/>
  <c r="AD2391"/>
  <c r="P2392"/>
  <c r="Q2392"/>
  <c r="R2392"/>
  <c r="S2392"/>
  <c r="T2392"/>
  <c r="U2392"/>
  <c r="V2392"/>
  <c r="W2392"/>
  <c r="X2392"/>
  <c r="Y2392"/>
  <c r="AA2392"/>
  <c r="AB2392"/>
  <c r="AC2392"/>
  <c r="AD2392"/>
  <c r="P2393"/>
  <c r="Q2393"/>
  <c r="R2393"/>
  <c r="S2393"/>
  <c r="T2393"/>
  <c r="U2393"/>
  <c r="V2393"/>
  <c r="W2393"/>
  <c r="X2393"/>
  <c r="Y2393"/>
  <c r="AA2393"/>
  <c r="AB2393"/>
  <c r="AC2393"/>
  <c r="AD2393"/>
  <c r="P2394"/>
  <c r="Q2394"/>
  <c r="R2394"/>
  <c r="S2394"/>
  <c r="T2394"/>
  <c r="U2394"/>
  <c r="V2394"/>
  <c r="W2394"/>
  <c r="X2394"/>
  <c r="Y2394"/>
  <c r="AA2394"/>
  <c r="AB2394"/>
  <c r="AC2394"/>
  <c r="AD2394"/>
  <c r="P2395"/>
  <c r="Q2395"/>
  <c r="R2395"/>
  <c r="S2395"/>
  <c r="T2395"/>
  <c r="U2395"/>
  <c r="V2395"/>
  <c r="W2395"/>
  <c r="X2395"/>
  <c r="Y2395"/>
  <c r="AA2395"/>
  <c r="AB2395"/>
  <c r="AC2395"/>
  <c r="AD2395"/>
  <c r="P2396"/>
  <c r="Q2396"/>
  <c r="R2396"/>
  <c r="S2396"/>
  <c r="T2396"/>
  <c r="U2396"/>
  <c r="V2396"/>
  <c r="W2396"/>
  <c r="X2396"/>
  <c r="Y2396"/>
  <c r="AA2396"/>
  <c r="AB2396"/>
  <c r="AC2396"/>
  <c r="AD2396"/>
  <c r="P2397"/>
  <c r="Q2397"/>
  <c r="R2397"/>
  <c r="S2397"/>
  <c r="T2397"/>
  <c r="U2397"/>
  <c r="V2397"/>
  <c r="W2397"/>
  <c r="X2397"/>
  <c r="Y2397"/>
  <c r="AA2397"/>
  <c r="AB2397"/>
  <c r="AC2397"/>
  <c r="AD2397"/>
  <c r="P2398"/>
  <c r="Q2398"/>
  <c r="R2398"/>
  <c r="S2398"/>
  <c r="T2398"/>
  <c r="U2398"/>
  <c r="V2398"/>
  <c r="W2398"/>
  <c r="X2398"/>
  <c r="Y2398"/>
  <c r="AA2398"/>
  <c r="AB2398"/>
  <c r="AC2398"/>
  <c r="AD2398"/>
  <c r="P2399"/>
  <c r="Q2399"/>
  <c r="R2399"/>
  <c r="S2399"/>
  <c r="T2399"/>
  <c r="U2399"/>
  <c r="V2399"/>
  <c r="W2399"/>
  <c r="X2399"/>
  <c r="Y2399"/>
  <c r="AA2399"/>
  <c r="AB2399"/>
  <c r="AC2399"/>
  <c r="AD2399"/>
  <c r="P2400"/>
  <c r="Q2400"/>
  <c r="R2400"/>
  <c r="S2400"/>
  <c r="T2400"/>
  <c r="U2400"/>
  <c r="V2400"/>
  <c r="W2400"/>
  <c r="X2400"/>
  <c r="Y2400"/>
  <c r="AA2400"/>
  <c r="AB2400"/>
  <c r="AC2400"/>
  <c r="AD2400"/>
  <c r="P2401"/>
  <c r="Q2401"/>
  <c r="R2401"/>
  <c r="S2401"/>
  <c r="T2401"/>
  <c r="U2401"/>
  <c r="V2401"/>
  <c r="W2401"/>
  <c r="X2401"/>
  <c r="Y2401"/>
  <c r="AA2401"/>
  <c r="AB2401"/>
  <c r="AC2401"/>
  <c r="AD2401"/>
  <c r="P2402"/>
  <c r="Q2402"/>
  <c r="R2402"/>
  <c r="S2402"/>
  <c r="T2402"/>
  <c r="U2402"/>
  <c r="V2402"/>
  <c r="W2402"/>
  <c r="X2402"/>
  <c r="Y2402"/>
  <c r="AA2402"/>
  <c r="AB2402"/>
  <c r="AC2402"/>
  <c r="AD2402"/>
  <c r="P2403"/>
  <c r="Q2403"/>
  <c r="R2403"/>
  <c r="S2403"/>
  <c r="T2403"/>
  <c r="U2403"/>
  <c r="V2403"/>
  <c r="W2403"/>
  <c r="X2403"/>
  <c r="Y2403"/>
  <c r="AA2403"/>
  <c r="AB2403"/>
  <c r="AC2403"/>
  <c r="AD2403"/>
  <c r="P2404"/>
  <c r="Q2404"/>
  <c r="R2404"/>
  <c r="S2404"/>
  <c r="T2404"/>
  <c r="U2404"/>
  <c r="V2404"/>
  <c r="W2404"/>
  <c r="X2404"/>
  <c r="Y2404"/>
  <c r="AA2404"/>
  <c r="AB2404"/>
  <c r="AC2404"/>
  <c r="AD2404"/>
  <c r="P2405"/>
  <c r="Q2405"/>
  <c r="R2405"/>
  <c r="S2405"/>
  <c r="T2405"/>
  <c r="U2405"/>
  <c r="V2405"/>
  <c r="W2405"/>
  <c r="X2405"/>
  <c r="Y2405"/>
  <c r="AA2405"/>
  <c r="AB2405"/>
  <c r="AC2405"/>
  <c r="AD2405"/>
  <c r="P2406"/>
  <c r="Q2406"/>
  <c r="R2406"/>
  <c r="S2406"/>
  <c r="T2406"/>
  <c r="U2406"/>
  <c r="V2406"/>
  <c r="W2406"/>
  <c r="X2406"/>
  <c r="Y2406"/>
  <c r="AA2406"/>
  <c r="AB2406"/>
  <c r="AC2406"/>
  <c r="AD2406"/>
  <c r="P2407"/>
  <c r="Q2407"/>
  <c r="R2407"/>
  <c r="S2407"/>
  <c r="T2407"/>
  <c r="U2407"/>
  <c r="V2407"/>
  <c r="W2407"/>
  <c r="X2407"/>
  <c r="Y2407"/>
  <c r="AA2407"/>
  <c r="AB2407"/>
  <c r="AC2407"/>
  <c r="AD2407"/>
  <c r="P2408"/>
  <c r="Q2408"/>
  <c r="R2408"/>
  <c r="S2408"/>
  <c r="T2408"/>
  <c r="U2408"/>
  <c r="V2408"/>
  <c r="W2408"/>
  <c r="X2408"/>
  <c r="Y2408"/>
  <c r="AA2408"/>
  <c r="AB2408"/>
  <c r="AC2408"/>
  <c r="AD2408"/>
  <c r="P2409"/>
  <c r="Q2409"/>
  <c r="R2409"/>
  <c r="S2409"/>
  <c r="T2409"/>
  <c r="U2409"/>
  <c r="V2409"/>
  <c r="W2409"/>
  <c r="X2409"/>
  <c r="Y2409"/>
  <c r="AA2409"/>
  <c r="AB2409"/>
  <c r="AC2409"/>
  <c r="AD2409"/>
  <c r="P2410"/>
  <c r="Q2410"/>
  <c r="R2410"/>
  <c r="S2410"/>
  <c r="T2410"/>
  <c r="U2410"/>
  <c r="V2410"/>
  <c r="W2410"/>
  <c r="X2410"/>
  <c r="Y2410"/>
  <c r="AA2410"/>
  <c r="AB2410"/>
  <c r="AC2410"/>
  <c r="AD2410"/>
  <c r="P2411"/>
  <c r="Q2411"/>
  <c r="R2411"/>
  <c r="S2411"/>
  <c r="T2411"/>
  <c r="U2411"/>
  <c r="V2411"/>
  <c r="W2411"/>
  <c r="X2411"/>
  <c r="Y2411"/>
  <c r="AA2411"/>
  <c r="AB2411"/>
  <c r="AC2411"/>
  <c r="AD2411"/>
  <c r="P2412"/>
  <c r="Q2412"/>
  <c r="R2412"/>
  <c r="S2412"/>
  <c r="T2412"/>
  <c r="U2412"/>
  <c r="V2412"/>
  <c r="W2412"/>
  <c r="X2412"/>
  <c r="Y2412"/>
  <c r="AA2412"/>
  <c r="AB2412"/>
  <c r="AC2412"/>
  <c r="AD2412"/>
  <c r="P2413"/>
  <c r="Q2413"/>
  <c r="R2413"/>
  <c r="S2413"/>
  <c r="T2413"/>
  <c r="U2413"/>
  <c r="V2413"/>
  <c r="W2413"/>
  <c r="X2413"/>
  <c r="Y2413"/>
  <c r="AA2413"/>
  <c r="AB2413"/>
  <c r="AC2413"/>
  <c r="AD2413"/>
  <c r="P2414"/>
  <c r="Q2414"/>
  <c r="R2414"/>
  <c r="S2414"/>
  <c r="T2414"/>
  <c r="U2414"/>
  <c r="V2414"/>
  <c r="W2414"/>
  <c r="X2414"/>
  <c r="Y2414"/>
  <c r="AA2414"/>
  <c r="AB2414"/>
  <c r="AC2414"/>
  <c r="AD2414"/>
  <c r="P2415"/>
  <c r="Q2415"/>
  <c r="R2415"/>
  <c r="S2415"/>
  <c r="T2415"/>
  <c r="U2415"/>
  <c r="V2415"/>
  <c r="W2415"/>
  <c r="X2415"/>
  <c r="Y2415"/>
  <c r="AA2415"/>
  <c r="AB2415"/>
  <c r="AC2415"/>
  <c r="AD2415"/>
  <c r="P2416"/>
  <c r="Q2416"/>
  <c r="R2416"/>
  <c r="S2416"/>
  <c r="T2416"/>
  <c r="U2416"/>
  <c r="V2416"/>
  <c r="W2416"/>
  <c r="X2416"/>
  <c r="Y2416"/>
  <c r="AA2416"/>
  <c r="AB2416"/>
  <c r="AC2416"/>
  <c r="AD2416"/>
  <c r="P2417"/>
  <c r="Q2417"/>
  <c r="R2417"/>
  <c r="S2417"/>
  <c r="T2417"/>
  <c r="U2417"/>
  <c r="V2417"/>
  <c r="W2417"/>
  <c r="X2417"/>
  <c r="Y2417"/>
  <c r="AA2417"/>
  <c r="AB2417"/>
  <c r="AC2417"/>
  <c r="AD2417"/>
  <c r="P2418"/>
  <c r="Q2418"/>
  <c r="R2418"/>
  <c r="S2418"/>
  <c r="T2418"/>
  <c r="U2418"/>
  <c r="V2418"/>
  <c r="W2418"/>
  <c r="X2418"/>
  <c r="Y2418"/>
  <c r="AA2418"/>
  <c r="AB2418"/>
  <c r="AC2418"/>
  <c r="AD2418"/>
  <c r="P2419"/>
  <c r="Q2419"/>
  <c r="R2419"/>
  <c r="S2419"/>
  <c r="T2419"/>
  <c r="U2419"/>
  <c r="V2419"/>
  <c r="W2419"/>
  <c r="X2419"/>
  <c r="Y2419"/>
  <c r="AA2419"/>
  <c r="AB2419"/>
  <c r="AC2419"/>
  <c r="AD2419"/>
  <c r="P2420"/>
  <c r="Q2420"/>
  <c r="R2420"/>
  <c r="S2420"/>
  <c r="T2420"/>
  <c r="U2420"/>
  <c r="V2420"/>
  <c r="W2420"/>
  <c r="X2420"/>
  <c r="Y2420"/>
  <c r="AA2420"/>
  <c r="AB2420"/>
  <c r="AC2420"/>
  <c r="AD2420"/>
  <c r="P2421"/>
  <c r="Q2421"/>
  <c r="R2421"/>
  <c r="S2421"/>
  <c r="T2421"/>
  <c r="U2421"/>
  <c r="V2421"/>
  <c r="W2421"/>
  <c r="X2421"/>
  <c r="Y2421"/>
  <c r="AA2421"/>
  <c r="AB2421"/>
  <c r="AC2421"/>
  <c r="AD2421"/>
  <c r="P2422"/>
  <c r="Q2422"/>
  <c r="R2422"/>
  <c r="S2422"/>
  <c r="T2422"/>
  <c r="U2422"/>
  <c r="V2422"/>
  <c r="W2422"/>
  <c r="X2422"/>
  <c r="Y2422"/>
  <c r="AA2422"/>
  <c r="AB2422"/>
  <c r="AC2422"/>
  <c r="AD2422"/>
  <c r="P2423"/>
  <c r="Q2423"/>
  <c r="R2423"/>
  <c r="S2423"/>
  <c r="T2423"/>
  <c r="U2423"/>
  <c r="V2423"/>
  <c r="W2423"/>
  <c r="X2423"/>
  <c r="Y2423"/>
  <c r="AA2423"/>
  <c r="AB2423"/>
  <c r="AC2423"/>
  <c r="AD2423"/>
  <c r="P2424"/>
  <c r="Q2424"/>
  <c r="R2424"/>
  <c r="S2424"/>
  <c r="T2424"/>
  <c r="U2424"/>
  <c r="V2424"/>
  <c r="W2424"/>
  <c r="X2424"/>
  <c r="Y2424"/>
  <c r="AA2424"/>
  <c r="AB2424"/>
  <c r="AC2424"/>
  <c r="AD2424"/>
  <c r="P2425"/>
  <c r="Q2425"/>
  <c r="R2425"/>
  <c r="S2425"/>
  <c r="T2425"/>
  <c r="U2425"/>
  <c r="V2425"/>
  <c r="W2425"/>
  <c r="X2425"/>
  <c r="Y2425"/>
  <c r="AA2425"/>
  <c r="AB2425"/>
  <c r="AC2425"/>
  <c r="AD2425"/>
  <c r="P2426"/>
  <c r="Q2426"/>
  <c r="R2426"/>
  <c r="S2426"/>
  <c r="T2426"/>
  <c r="U2426"/>
  <c r="V2426"/>
  <c r="W2426"/>
  <c r="X2426"/>
  <c r="Y2426"/>
  <c r="AA2426"/>
  <c r="AB2426"/>
  <c r="AC2426"/>
  <c r="AD2426"/>
  <c r="P2427"/>
  <c r="Q2427"/>
  <c r="R2427"/>
  <c r="S2427"/>
  <c r="T2427"/>
  <c r="U2427"/>
  <c r="V2427"/>
  <c r="W2427"/>
  <c r="X2427"/>
  <c r="Y2427"/>
  <c r="AA2427"/>
  <c r="AB2427"/>
  <c r="AC2427"/>
  <c r="AD2427"/>
  <c r="P2428"/>
  <c r="Q2428"/>
  <c r="R2428"/>
  <c r="S2428"/>
  <c r="T2428"/>
  <c r="U2428"/>
  <c r="V2428"/>
  <c r="W2428"/>
  <c r="X2428"/>
  <c r="Y2428"/>
  <c r="AA2428"/>
  <c r="AB2428"/>
  <c r="AC2428"/>
  <c r="AD2428"/>
  <c r="P2429"/>
  <c r="Q2429"/>
  <c r="R2429"/>
  <c r="S2429"/>
  <c r="T2429"/>
  <c r="U2429"/>
  <c r="V2429"/>
  <c r="W2429"/>
  <c r="X2429"/>
  <c r="Y2429"/>
  <c r="AA2429"/>
  <c r="AB2429"/>
  <c r="AC2429"/>
  <c r="AD2429"/>
  <c r="P2430"/>
  <c r="Q2430"/>
  <c r="R2430"/>
  <c r="S2430"/>
  <c r="T2430"/>
  <c r="U2430"/>
  <c r="V2430"/>
  <c r="W2430"/>
  <c r="X2430"/>
  <c r="Y2430"/>
  <c r="AA2430"/>
  <c r="AB2430"/>
  <c r="AC2430"/>
  <c r="AD2430"/>
  <c r="P2431"/>
  <c r="Q2431"/>
  <c r="R2431"/>
  <c r="S2431"/>
  <c r="T2431"/>
  <c r="U2431"/>
  <c r="V2431"/>
  <c r="W2431"/>
  <c r="X2431"/>
  <c r="Y2431"/>
  <c r="AA2431"/>
  <c r="AB2431"/>
  <c r="AC2431"/>
  <c r="AD2431"/>
  <c r="P2432"/>
  <c r="Q2432"/>
  <c r="R2432"/>
  <c r="S2432"/>
  <c r="T2432"/>
  <c r="U2432"/>
  <c r="V2432"/>
  <c r="W2432"/>
  <c r="X2432"/>
  <c r="Y2432"/>
  <c r="AA2432"/>
  <c r="AB2432"/>
  <c r="AC2432"/>
  <c r="AD2432"/>
  <c r="P2433"/>
  <c r="Q2433"/>
  <c r="R2433"/>
  <c r="S2433"/>
  <c r="T2433"/>
  <c r="U2433"/>
  <c r="V2433"/>
  <c r="W2433"/>
  <c r="X2433"/>
  <c r="Y2433"/>
  <c r="AA2433"/>
  <c r="AB2433"/>
  <c r="AC2433"/>
  <c r="AD2433"/>
  <c r="P2434"/>
  <c r="Q2434"/>
  <c r="R2434"/>
  <c r="S2434"/>
  <c r="T2434"/>
  <c r="U2434"/>
  <c r="V2434"/>
  <c r="W2434"/>
  <c r="X2434"/>
  <c r="Y2434"/>
  <c r="AA2434"/>
  <c r="AB2434"/>
  <c r="AC2434"/>
  <c r="AD2434"/>
  <c r="P2435"/>
  <c r="Q2435"/>
  <c r="R2435"/>
  <c r="S2435"/>
  <c r="T2435"/>
  <c r="U2435"/>
  <c r="V2435"/>
  <c r="W2435"/>
  <c r="X2435"/>
  <c r="Y2435"/>
  <c r="AA2435"/>
  <c r="AB2435"/>
  <c r="AC2435"/>
  <c r="AD2435"/>
  <c r="P2436"/>
  <c r="Q2436"/>
  <c r="R2436"/>
  <c r="S2436"/>
  <c r="T2436"/>
  <c r="U2436"/>
  <c r="V2436"/>
  <c r="W2436"/>
  <c r="X2436"/>
  <c r="Y2436"/>
  <c r="AA2436"/>
  <c r="AB2436"/>
  <c r="AC2436"/>
  <c r="AD2436"/>
  <c r="P2437"/>
  <c r="Q2437"/>
  <c r="R2437"/>
  <c r="S2437"/>
  <c r="T2437"/>
  <c r="U2437"/>
  <c r="V2437"/>
  <c r="W2437"/>
  <c r="X2437"/>
  <c r="Y2437"/>
  <c r="AA2437"/>
  <c r="AB2437"/>
  <c r="AC2437"/>
  <c r="AD2437"/>
  <c r="P2438"/>
  <c r="Q2438"/>
  <c r="R2438"/>
  <c r="S2438"/>
  <c r="T2438"/>
  <c r="U2438"/>
  <c r="V2438"/>
  <c r="W2438"/>
  <c r="X2438"/>
  <c r="Y2438"/>
  <c r="AA2438"/>
  <c r="AB2438"/>
  <c r="AC2438"/>
  <c r="AD2438"/>
  <c r="P2439"/>
  <c r="Q2439"/>
  <c r="R2439"/>
  <c r="S2439"/>
  <c r="T2439"/>
  <c r="U2439"/>
  <c r="V2439"/>
  <c r="W2439"/>
  <c r="X2439"/>
  <c r="Y2439"/>
  <c r="AA2439"/>
  <c r="AB2439"/>
  <c r="AC2439"/>
  <c r="AD2439"/>
  <c r="P2440"/>
  <c r="Q2440"/>
  <c r="R2440"/>
  <c r="S2440"/>
  <c r="T2440"/>
  <c r="U2440"/>
  <c r="V2440"/>
  <c r="W2440"/>
  <c r="X2440"/>
  <c r="Y2440"/>
  <c r="AA2440"/>
  <c r="AB2440"/>
  <c r="AC2440"/>
  <c r="AD2440"/>
  <c r="P2441"/>
  <c r="Q2441"/>
  <c r="R2441"/>
  <c r="S2441"/>
  <c r="T2441"/>
  <c r="U2441"/>
  <c r="V2441"/>
  <c r="W2441"/>
  <c r="X2441"/>
  <c r="Y2441"/>
  <c r="AA2441"/>
  <c r="AB2441"/>
  <c r="AC2441"/>
  <c r="AD2441"/>
  <c r="P2442"/>
  <c r="Q2442"/>
  <c r="R2442"/>
  <c r="S2442"/>
  <c r="T2442"/>
  <c r="U2442"/>
  <c r="V2442"/>
  <c r="W2442"/>
  <c r="X2442"/>
  <c r="Y2442"/>
  <c r="AA2442"/>
  <c r="AB2442"/>
  <c r="AC2442"/>
  <c r="AD2442"/>
  <c r="P2443"/>
  <c r="Q2443"/>
  <c r="R2443"/>
  <c r="S2443"/>
  <c r="T2443"/>
  <c r="U2443"/>
  <c r="V2443"/>
  <c r="W2443"/>
  <c r="X2443"/>
  <c r="Y2443"/>
  <c r="AA2443"/>
  <c r="AB2443"/>
  <c r="AC2443"/>
  <c r="AD2443"/>
  <c r="P2444"/>
  <c r="Q2444"/>
  <c r="R2444"/>
  <c r="S2444"/>
  <c r="T2444"/>
  <c r="U2444"/>
  <c r="V2444"/>
  <c r="W2444"/>
  <c r="X2444"/>
  <c r="Y2444"/>
  <c r="AA2444"/>
  <c r="AB2444"/>
  <c r="AC2444"/>
  <c r="AD2444"/>
  <c r="P2445"/>
  <c r="Q2445"/>
  <c r="R2445"/>
  <c r="S2445"/>
  <c r="T2445"/>
  <c r="U2445"/>
  <c r="V2445"/>
  <c r="W2445"/>
  <c r="X2445"/>
  <c r="Y2445"/>
  <c r="AA2445"/>
  <c r="AB2445"/>
  <c r="AC2445"/>
  <c r="AD2445"/>
  <c r="P2446"/>
  <c r="Q2446"/>
  <c r="R2446"/>
  <c r="S2446"/>
  <c r="T2446"/>
  <c r="U2446"/>
  <c r="V2446"/>
  <c r="W2446"/>
  <c r="X2446"/>
  <c r="Y2446"/>
  <c r="AA2446"/>
  <c r="AB2446"/>
  <c r="AC2446"/>
  <c r="AD2446"/>
  <c r="P2447"/>
  <c r="Q2447"/>
  <c r="R2447"/>
  <c r="S2447"/>
  <c r="T2447"/>
  <c r="U2447"/>
  <c r="V2447"/>
  <c r="W2447"/>
  <c r="X2447"/>
  <c r="Y2447"/>
  <c r="AA2447"/>
  <c r="AB2447"/>
  <c r="AC2447"/>
  <c r="AD2447"/>
  <c r="P2448"/>
  <c r="Q2448"/>
  <c r="R2448"/>
  <c r="S2448"/>
  <c r="T2448"/>
  <c r="U2448"/>
  <c r="V2448"/>
  <c r="W2448"/>
  <c r="X2448"/>
  <c r="Y2448"/>
  <c r="AA2448"/>
  <c r="AB2448"/>
  <c r="AC2448"/>
  <c r="AD2448"/>
  <c r="P2449"/>
  <c r="Q2449"/>
  <c r="R2449"/>
  <c r="S2449"/>
  <c r="T2449"/>
  <c r="U2449"/>
  <c r="V2449"/>
  <c r="W2449"/>
  <c r="X2449"/>
  <c r="Y2449"/>
  <c r="AA2449"/>
  <c r="AB2449"/>
  <c r="AC2449"/>
  <c r="AD2449"/>
  <c r="P2450"/>
  <c r="Q2450"/>
  <c r="R2450"/>
  <c r="S2450"/>
  <c r="T2450"/>
  <c r="U2450"/>
  <c r="V2450"/>
  <c r="W2450"/>
  <c r="X2450"/>
  <c r="Y2450"/>
  <c r="AA2450"/>
  <c r="AB2450"/>
  <c r="AC2450"/>
  <c r="AD2450"/>
  <c r="P2451"/>
  <c r="Q2451"/>
  <c r="R2451"/>
  <c r="S2451"/>
  <c r="T2451"/>
  <c r="U2451"/>
  <c r="V2451"/>
  <c r="W2451"/>
  <c r="X2451"/>
  <c r="Y2451"/>
  <c r="AA2451"/>
  <c r="AB2451"/>
  <c r="AC2451"/>
  <c r="AD2451"/>
  <c r="P2452"/>
  <c r="Q2452"/>
  <c r="R2452"/>
  <c r="S2452"/>
  <c r="T2452"/>
  <c r="U2452"/>
  <c r="V2452"/>
  <c r="W2452"/>
  <c r="X2452"/>
  <c r="Y2452"/>
  <c r="AA2452"/>
  <c r="AB2452"/>
  <c r="AC2452"/>
  <c r="AD2452"/>
  <c r="P2453"/>
  <c r="Q2453"/>
  <c r="R2453"/>
  <c r="S2453"/>
  <c r="T2453"/>
  <c r="U2453"/>
  <c r="V2453"/>
  <c r="W2453"/>
  <c r="X2453"/>
  <c r="Y2453"/>
  <c r="AA2453"/>
  <c r="AB2453"/>
  <c r="AC2453"/>
  <c r="AD2453"/>
  <c r="P2454"/>
  <c r="Q2454"/>
  <c r="R2454"/>
  <c r="S2454"/>
  <c r="T2454"/>
  <c r="U2454"/>
  <c r="V2454"/>
  <c r="W2454"/>
  <c r="X2454"/>
  <c r="Y2454"/>
  <c r="AA2454"/>
  <c r="AB2454"/>
  <c r="AC2454"/>
  <c r="AD2454"/>
  <c r="P2455"/>
  <c r="Q2455"/>
  <c r="R2455"/>
  <c r="S2455"/>
  <c r="T2455"/>
  <c r="U2455"/>
  <c r="V2455"/>
  <c r="W2455"/>
  <c r="X2455"/>
  <c r="Y2455"/>
  <c r="AA2455"/>
  <c r="AB2455"/>
  <c r="AC2455"/>
  <c r="AD2455"/>
  <c r="P2456"/>
  <c r="Q2456"/>
  <c r="R2456"/>
  <c r="S2456"/>
  <c r="T2456"/>
  <c r="U2456"/>
  <c r="V2456"/>
  <c r="W2456"/>
  <c r="X2456"/>
  <c r="Y2456"/>
  <c r="AA2456"/>
  <c r="AB2456"/>
  <c r="AC2456"/>
  <c r="AD2456"/>
  <c r="P2457"/>
  <c r="Q2457"/>
  <c r="R2457"/>
  <c r="S2457"/>
  <c r="T2457"/>
  <c r="U2457"/>
  <c r="V2457"/>
  <c r="W2457"/>
  <c r="X2457"/>
  <c r="Y2457"/>
  <c r="AA2457"/>
  <c r="AB2457"/>
  <c r="AC2457"/>
  <c r="AD2457"/>
  <c r="P2458"/>
  <c r="Q2458"/>
  <c r="R2458"/>
  <c r="S2458"/>
  <c r="T2458"/>
  <c r="U2458"/>
  <c r="V2458"/>
  <c r="W2458"/>
  <c r="X2458"/>
  <c r="Y2458"/>
  <c r="AA2458"/>
  <c r="AB2458"/>
  <c r="AC2458"/>
  <c r="AD2458"/>
  <c r="P2459"/>
  <c r="Q2459"/>
  <c r="R2459"/>
  <c r="S2459"/>
  <c r="T2459"/>
  <c r="U2459"/>
  <c r="V2459"/>
  <c r="W2459"/>
  <c r="X2459"/>
  <c r="Y2459"/>
  <c r="AA2459"/>
  <c r="AB2459"/>
  <c r="AC2459"/>
  <c r="AD2459"/>
  <c r="P2460"/>
  <c r="Q2460"/>
  <c r="R2460"/>
  <c r="S2460"/>
  <c r="T2460"/>
  <c r="U2460"/>
  <c r="V2460"/>
  <c r="W2460"/>
  <c r="X2460"/>
  <c r="Y2460"/>
  <c r="AA2460"/>
  <c r="AB2460"/>
  <c r="AC2460"/>
  <c r="AD2460"/>
  <c r="P2461"/>
  <c r="Q2461"/>
  <c r="R2461"/>
  <c r="S2461"/>
  <c r="T2461"/>
  <c r="U2461"/>
  <c r="V2461"/>
  <c r="W2461"/>
  <c r="X2461"/>
  <c r="Y2461"/>
  <c r="AA2461"/>
  <c r="AB2461"/>
  <c r="AC2461"/>
  <c r="AD2461"/>
  <c r="P2462"/>
  <c r="Q2462"/>
  <c r="R2462"/>
  <c r="S2462"/>
  <c r="T2462"/>
  <c r="U2462"/>
  <c r="V2462"/>
  <c r="W2462"/>
  <c r="X2462"/>
  <c r="Y2462"/>
  <c r="AA2462"/>
  <c r="AB2462"/>
  <c r="AC2462"/>
  <c r="AD2462"/>
  <c r="P2463"/>
  <c r="Q2463"/>
  <c r="R2463"/>
  <c r="S2463"/>
  <c r="T2463"/>
  <c r="U2463"/>
  <c r="V2463"/>
  <c r="W2463"/>
  <c r="X2463"/>
  <c r="Y2463"/>
  <c r="AA2463"/>
  <c r="AB2463"/>
  <c r="AC2463"/>
  <c r="AD2463"/>
  <c r="P2464"/>
  <c r="Q2464"/>
  <c r="R2464"/>
  <c r="S2464"/>
  <c r="T2464"/>
  <c r="U2464"/>
  <c r="V2464"/>
  <c r="W2464"/>
  <c r="X2464"/>
  <c r="Y2464"/>
  <c r="AA2464"/>
  <c r="AB2464"/>
  <c r="AC2464"/>
  <c r="AD2464"/>
  <c r="P2465"/>
  <c r="Q2465"/>
  <c r="R2465"/>
  <c r="S2465"/>
  <c r="T2465"/>
  <c r="U2465"/>
  <c r="V2465"/>
  <c r="W2465"/>
  <c r="X2465"/>
  <c r="Y2465"/>
  <c r="AA2465"/>
  <c r="AB2465"/>
  <c r="AC2465"/>
  <c r="AD2465"/>
  <c r="P2466"/>
  <c r="Q2466"/>
  <c r="R2466"/>
  <c r="S2466"/>
  <c r="T2466"/>
  <c r="U2466"/>
  <c r="V2466"/>
  <c r="W2466"/>
  <c r="X2466"/>
  <c r="Y2466"/>
  <c r="AA2466"/>
  <c r="AB2466"/>
  <c r="AC2466"/>
  <c r="AD2466"/>
  <c r="P2467"/>
  <c r="Q2467"/>
  <c r="R2467"/>
  <c r="S2467"/>
  <c r="T2467"/>
  <c r="U2467"/>
  <c r="V2467"/>
  <c r="W2467"/>
  <c r="X2467"/>
  <c r="Y2467"/>
  <c r="AA2467"/>
  <c r="AB2467"/>
  <c r="AC2467"/>
  <c r="AD2467"/>
  <c r="P2468"/>
  <c r="Q2468"/>
  <c r="R2468"/>
  <c r="S2468"/>
  <c r="T2468"/>
  <c r="U2468"/>
  <c r="V2468"/>
  <c r="W2468"/>
  <c r="X2468"/>
  <c r="Y2468"/>
  <c r="AA2468"/>
  <c r="AB2468"/>
  <c r="AC2468"/>
  <c r="AD2468"/>
  <c r="P2469"/>
  <c r="Q2469"/>
  <c r="R2469"/>
  <c r="S2469"/>
  <c r="T2469"/>
  <c r="U2469"/>
  <c r="V2469"/>
  <c r="W2469"/>
  <c r="X2469"/>
  <c r="Y2469"/>
  <c r="AA2469"/>
  <c r="AB2469"/>
  <c r="AC2469"/>
  <c r="AD2469"/>
  <c r="P2470"/>
  <c r="Q2470"/>
  <c r="R2470"/>
  <c r="S2470"/>
  <c r="T2470"/>
  <c r="U2470"/>
  <c r="V2470"/>
  <c r="W2470"/>
  <c r="X2470"/>
  <c r="Y2470"/>
  <c r="AA2470"/>
  <c r="AB2470"/>
  <c r="AC2470"/>
  <c r="AD2470"/>
  <c r="P2471"/>
  <c r="Q2471"/>
  <c r="R2471"/>
  <c r="S2471"/>
  <c r="T2471"/>
  <c r="U2471"/>
  <c r="V2471"/>
  <c r="W2471"/>
  <c r="X2471"/>
  <c r="Y2471"/>
  <c r="AA2471"/>
  <c r="AB2471"/>
  <c r="AC2471"/>
  <c r="AD2471"/>
  <c r="P2472"/>
  <c r="Q2472"/>
  <c r="R2472"/>
  <c r="S2472"/>
  <c r="T2472"/>
  <c r="U2472"/>
  <c r="V2472"/>
  <c r="W2472"/>
  <c r="X2472"/>
  <c r="Y2472"/>
  <c r="AA2472"/>
  <c r="AB2472"/>
  <c r="AC2472"/>
  <c r="AD2472"/>
  <c r="P2473"/>
  <c r="Q2473"/>
  <c r="R2473"/>
  <c r="S2473"/>
  <c r="T2473"/>
  <c r="U2473"/>
  <c r="V2473"/>
  <c r="W2473"/>
  <c r="X2473"/>
  <c r="Y2473"/>
  <c r="AA2473"/>
  <c r="AB2473"/>
  <c r="AC2473"/>
  <c r="AD2473"/>
  <c r="P2474"/>
  <c r="Q2474"/>
  <c r="R2474"/>
  <c r="S2474"/>
  <c r="T2474"/>
  <c r="U2474"/>
  <c r="V2474"/>
  <c r="W2474"/>
  <c r="X2474"/>
  <c r="Y2474"/>
  <c r="AA2474"/>
  <c r="AB2474"/>
  <c r="AC2474"/>
  <c r="AD2474"/>
  <c r="P2475"/>
  <c r="Q2475"/>
  <c r="R2475"/>
  <c r="S2475"/>
  <c r="T2475"/>
  <c r="U2475"/>
  <c r="V2475"/>
  <c r="W2475"/>
  <c r="X2475"/>
  <c r="Y2475"/>
  <c r="AA2475"/>
  <c r="AB2475"/>
  <c r="AC2475"/>
  <c r="AD2475"/>
  <c r="P2476"/>
  <c r="Q2476"/>
  <c r="R2476"/>
  <c r="S2476"/>
  <c r="T2476"/>
  <c r="U2476"/>
  <c r="V2476"/>
  <c r="W2476"/>
  <c r="X2476"/>
  <c r="Y2476"/>
  <c r="AA2476"/>
  <c r="AB2476"/>
  <c r="AC2476"/>
  <c r="AD2476"/>
  <c r="P2477"/>
  <c r="Q2477"/>
  <c r="R2477"/>
  <c r="S2477"/>
  <c r="T2477"/>
  <c r="U2477"/>
  <c r="V2477"/>
  <c r="W2477"/>
  <c r="X2477"/>
  <c r="Y2477"/>
  <c r="AA2477"/>
  <c r="AB2477"/>
  <c r="AC2477"/>
  <c r="AD2477"/>
  <c r="P2478"/>
  <c r="Q2478"/>
  <c r="R2478"/>
  <c r="S2478"/>
  <c r="T2478"/>
  <c r="U2478"/>
  <c r="V2478"/>
  <c r="W2478"/>
  <c r="X2478"/>
  <c r="Y2478"/>
  <c r="AA2478"/>
  <c r="AB2478"/>
  <c r="AC2478"/>
  <c r="AD2478"/>
  <c r="P2479"/>
  <c r="Q2479"/>
  <c r="R2479"/>
  <c r="S2479"/>
  <c r="T2479"/>
  <c r="U2479"/>
  <c r="V2479"/>
  <c r="W2479"/>
  <c r="X2479"/>
  <c r="Y2479"/>
  <c r="AA2479"/>
  <c r="AB2479"/>
  <c r="AC2479"/>
  <c r="AD2479"/>
  <c r="P2480"/>
  <c r="Q2480"/>
  <c r="R2480"/>
  <c r="S2480"/>
  <c r="T2480"/>
  <c r="U2480"/>
  <c r="V2480"/>
  <c r="W2480"/>
  <c r="X2480"/>
  <c r="Y2480"/>
  <c r="AA2480"/>
  <c r="AB2480"/>
  <c r="AC2480"/>
  <c r="AD2480"/>
  <c r="P2481"/>
  <c r="Q2481"/>
  <c r="R2481"/>
  <c r="S2481"/>
  <c r="T2481"/>
  <c r="U2481"/>
  <c r="V2481"/>
  <c r="W2481"/>
  <c r="X2481"/>
  <c r="Y2481"/>
  <c r="AA2481"/>
  <c r="AB2481"/>
  <c r="AC2481"/>
  <c r="AD2481"/>
  <c r="P2482"/>
  <c r="Q2482"/>
  <c r="R2482"/>
  <c r="S2482"/>
  <c r="T2482"/>
  <c r="U2482"/>
  <c r="V2482"/>
  <c r="W2482"/>
  <c r="X2482"/>
  <c r="Y2482"/>
  <c r="AA2482"/>
  <c r="AB2482"/>
  <c r="AC2482"/>
  <c r="AD2482"/>
  <c r="P2483"/>
  <c r="Q2483"/>
  <c r="R2483"/>
  <c r="S2483"/>
  <c r="T2483"/>
  <c r="U2483"/>
  <c r="V2483"/>
  <c r="W2483"/>
  <c r="X2483"/>
  <c r="Y2483"/>
  <c r="AA2483"/>
  <c r="AB2483"/>
  <c r="AC2483"/>
  <c r="AD2483"/>
  <c r="P2484"/>
  <c r="Q2484"/>
  <c r="R2484"/>
  <c r="S2484"/>
  <c r="T2484"/>
  <c r="U2484"/>
  <c r="V2484"/>
  <c r="W2484"/>
  <c r="X2484"/>
  <c r="Y2484"/>
  <c r="AA2484"/>
  <c r="AB2484"/>
  <c r="AC2484"/>
  <c r="AD2484"/>
  <c r="P2485"/>
  <c r="Q2485"/>
  <c r="R2485"/>
  <c r="S2485"/>
  <c r="T2485"/>
  <c r="U2485"/>
  <c r="V2485"/>
  <c r="W2485"/>
  <c r="X2485"/>
  <c r="Y2485"/>
  <c r="AA2485"/>
  <c r="AB2485"/>
  <c r="AC2485"/>
  <c r="AD2485"/>
  <c r="P2486"/>
  <c r="Q2486"/>
  <c r="R2486"/>
  <c r="S2486"/>
  <c r="T2486"/>
  <c r="U2486"/>
  <c r="V2486"/>
  <c r="W2486"/>
  <c r="X2486"/>
  <c r="Y2486"/>
  <c r="AA2486"/>
  <c r="AB2486"/>
  <c r="AC2486"/>
  <c r="AD2486"/>
  <c r="P2487"/>
  <c r="Q2487"/>
  <c r="R2487"/>
  <c r="S2487"/>
  <c r="T2487"/>
  <c r="U2487"/>
  <c r="V2487"/>
  <c r="W2487"/>
  <c r="X2487"/>
  <c r="Y2487"/>
  <c r="AA2487"/>
  <c r="AB2487"/>
  <c r="AC2487"/>
  <c r="AD2487"/>
  <c r="P2488"/>
  <c r="Q2488"/>
  <c r="R2488"/>
  <c r="S2488"/>
  <c r="T2488"/>
  <c r="U2488"/>
  <c r="V2488"/>
  <c r="W2488"/>
  <c r="X2488"/>
  <c r="Y2488"/>
  <c r="AA2488"/>
  <c r="AB2488"/>
  <c r="AC2488"/>
  <c r="AD2488"/>
  <c r="P2489"/>
  <c r="Q2489"/>
  <c r="R2489"/>
  <c r="S2489"/>
  <c r="T2489"/>
  <c r="U2489"/>
  <c r="V2489"/>
  <c r="W2489"/>
  <c r="X2489"/>
  <c r="Y2489"/>
  <c r="AA2489"/>
  <c r="AB2489"/>
  <c r="AC2489"/>
  <c r="AD2489"/>
  <c r="P2490"/>
  <c r="Q2490"/>
  <c r="R2490"/>
  <c r="S2490"/>
  <c r="T2490"/>
  <c r="U2490"/>
  <c r="V2490"/>
  <c r="W2490"/>
  <c r="X2490"/>
  <c r="Y2490"/>
  <c r="AA2490"/>
  <c r="AB2490"/>
  <c r="AC2490"/>
  <c r="AD2490"/>
  <c r="P2491"/>
  <c r="Q2491"/>
  <c r="R2491"/>
  <c r="S2491"/>
  <c r="T2491"/>
  <c r="U2491"/>
  <c r="V2491"/>
  <c r="W2491"/>
  <c r="X2491"/>
  <c r="Y2491"/>
  <c r="AA2491"/>
  <c r="AB2491"/>
  <c r="AC2491"/>
  <c r="AD2491"/>
  <c r="P2492"/>
  <c r="Q2492"/>
  <c r="R2492"/>
  <c r="S2492"/>
  <c r="T2492"/>
  <c r="U2492"/>
  <c r="V2492"/>
  <c r="W2492"/>
  <c r="X2492"/>
  <c r="Y2492"/>
  <c r="AA2492"/>
  <c r="AB2492"/>
  <c r="AC2492"/>
  <c r="AD2492"/>
  <c r="P2493"/>
  <c r="Q2493"/>
  <c r="R2493"/>
  <c r="S2493"/>
  <c r="T2493"/>
  <c r="U2493"/>
  <c r="V2493"/>
  <c r="W2493"/>
  <c r="X2493"/>
  <c r="Y2493"/>
  <c r="AA2493"/>
  <c r="AB2493"/>
  <c r="AC2493"/>
  <c r="AD2493"/>
  <c r="P2494"/>
  <c r="Q2494"/>
  <c r="R2494"/>
  <c r="S2494"/>
  <c r="T2494"/>
  <c r="U2494"/>
  <c r="V2494"/>
  <c r="W2494"/>
  <c r="X2494"/>
  <c r="Y2494"/>
  <c r="AA2494"/>
  <c r="AB2494"/>
  <c r="AC2494"/>
  <c r="AD2494"/>
  <c r="P2495"/>
  <c r="Q2495"/>
  <c r="R2495"/>
  <c r="S2495"/>
  <c r="T2495"/>
  <c r="U2495"/>
  <c r="V2495"/>
  <c r="W2495"/>
  <c r="X2495"/>
  <c r="Y2495"/>
  <c r="AA2495"/>
  <c r="AB2495"/>
  <c r="AC2495"/>
  <c r="AD2495"/>
  <c r="P2496"/>
  <c r="Q2496"/>
  <c r="R2496"/>
  <c r="S2496"/>
  <c r="T2496"/>
  <c r="U2496"/>
  <c r="V2496"/>
  <c r="W2496"/>
  <c r="X2496"/>
  <c r="Y2496"/>
  <c r="AA2496"/>
  <c r="AB2496"/>
  <c r="AC2496"/>
  <c r="AD2496"/>
  <c r="P2497"/>
  <c r="Q2497"/>
  <c r="R2497"/>
  <c r="S2497"/>
  <c r="T2497"/>
  <c r="U2497"/>
  <c r="V2497"/>
  <c r="W2497"/>
  <c r="X2497"/>
  <c r="Y2497"/>
  <c r="AA2497"/>
  <c r="AB2497"/>
  <c r="AC2497"/>
  <c r="AD2497"/>
  <c r="P2498"/>
  <c r="Q2498"/>
  <c r="R2498"/>
  <c r="S2498"/>
  <c r="T2498"/>
  <c r="U2498"/>
  <c r="V2498"/>
  <c r="W2498"/>
  <c r="X2498"/>
  <c r="Y2498"/>
  <c r="AA2498"/>
  <c r="AB2498"/>
  <c r="AC2498"/>
  <c r="AD2498"/>
  <c r="P2499"/>
  <c r="Q2499"/>
  <c r="R2499"/>
  <c r="S2499"/>
  <c r="T2499"/>
  <c r="U2499"/>
  <c r="V2499"/>
  <c r="W2499"/>
  <c r="X2499"/>
  <c r="Y2499"/>
  <c r="AA2499"/>
  <c r="AB2499"/>
  <c r="AC2499"/>
  <c r="AD2499"/>
  <c r="P2500"/>
  <c r="Q2500"/>
  <c r="R2500"/>
  <c r="S2500"/>
  <c r="T2500"/>
  <c r="U2500"/>
  <c r="V2500"/>
  <c r="W2500"/>
  <c r="X2500"/>
  <c r="Y2500"/>
  <c r="AA2500"/>
  <c r="AB2500"/>
  <c r="AC2500"/>
  <c r="AD2500"/>
  <c r="P2501"/>
  <c r="Q2501"/>
  <c r="R2501"/>
  <c r="S2501"/>
  <c r="T2501"/>
  <c r="U2501"/>
  <c r="V2501"/>
  <c r="W2501"/>
  <c r="X2501"/>
  <c r="Y2501"/>
  <c r="AA2501"/>
  <c r="AB2501"/>
  <c r="AC2501"/>
  <c r="AD2501"/>
  <c r="P2502"/>
  <c r="Q2502"/>
  <c r="R2502"/>
  <c r="S2502"/>
  <c r="T2502"/>
  <c r="U2502"/>
  <c r="V2502"/>
  <c r="W2502"/>
  <c r="X2502"/>
  <c r="Y2502"/>
  <c r="AA2502"/>
  <c r="AB2502"/>
  <c r="AC2502"/>
  <c r="AD2502"/>
  <c r="P2503"/>
  <c r="Q2503"/>
  <c r="R2503"/>
  <c r="S2503"/>
  <c r="T2503"/>
  <c r="U2503"/>
  <c r="V2503"/>
  <c r="W2503"/>
  <c r="X2503"/>
  <c r="Y2503"/>
  <c r="AA2503"/>
  <c r="AB2503"/>
  <c r="AC2503"/>
  <c r="AD2503"/>
  <c r="P2504"/>
  <c r="Q2504"/>
  <c r="R2504"/>
  <c r="S2504"/>
  <c r="T2504"/>
  <c r="U2504"/>
  <c r="V2504"/>
  <c r="W2504"/>
  <c r="X2504"/>
  <c r="Y2504"/>
  <c r="AA2504"/>
  <c r="AB2504"/>
  <c r="AC2504"/>
  <c r="AD2504"/>
  <c r="P2505"/>
  <c r="Q2505"/>
  <c r="R2505"/>
  <c r="S2505"/>
  <c r="T2505"/>
  <c r="U2505"/>
  <c r="V2505"/>
  <c r="W2505"/>
  <c r="X2505"/>
  <c r="Y2505"/>
  <c r="AA2505"/>
  <c r="AB2505"/>
  <c r="AC2505"/>
  <c r="AD2505"/>
  <c r="P2506"/>
  <c r="Q2506"/>
  <c r="R2506"/>
  <c r="S2506"/>
  <c r="T2506"/>
  <c r="U2506"/>
  <c r="V2506"/>
  <c r="W2506"/>
  <c r="X2506"/>
  <c r="Y2506"/>
  <c r="AA2506"/>
  <c r="AB2506"/>
  <c r="AC2506"/>
  <c r="AD2506"/>
  <c r="P2507"/>
  <c r="Q2507"/>
  <c r="R2507"/>
  <c r="S2507"/>
  <c r="T2507"/>
  <c r="U2507"/>
  <c r="V2507"/>
  <c r="W2507"/>
  <c r="X2507"/>
  <c r="Y2507"/>
  <c r="AA2507"/>
  <c r="AB2507"/>
  <c r="AC2507"/>
  <c r="AD2507"/>
  <c r="P2508"/>
  <c r="Q2508"/>
  <c r="R2508"/>
  <c r="S2508"/>
  <c r="T2508"/>
  <c r="U2508"/>
  <c r="V2508"/>
  <c r="W2508"/>
  <c r="X2508"/>
  <c r="Y2508"/>
  <c r="AA2508"/>
  <c r="AB2508"/>
  <c r="AC2508"/>
  <c r="AD2508"/>
  <c r="P2509"/>
  <c r="Q2509"/>
  <c r="R2509"/>
  <c r="S2509"/>
  <c r="T2509"/>
  <c r="U2509"/>
  <c r="V2509"/>
  <c r="W2509"/>
  <c r="X2509"/>
  <c r="Y2509"/>
  <c r="AA2509"/>
  <c r="AB2509"/>
  <c r="AC2509"/>
  <c r="AD2509"/>
  <c r="P2510"/>
  <c r="Q2510"/>
  <c r="R2510"/>
  <c r="S2510"/>
  <c r="T2510"/>
  <c r="U2510"/>
  <c r="V2510"/>
  <c r="W2510"/>
  <c r="X2510"/>
  <c r="Y2510"/>
  <c r="AA2510"/>
  <c r="AB2510"/>
  <c r="AC2510"/>
  <c r="AD2510"/>
  <c r="P2511"/>
  <c r="Q2511"/>
  <c r="R2511"/>
  <c r="S2511"/>
  <c r="T2511"/>
  <c r="U2511"/>
  <c r="V2511"/>
  <c r="W2511"/>
  <c r="X2511"/>
  <c r="Y2511"/>
  <c r="AA2511"/>
  <c r="AB2511"/>
  <c r="AC2511"/>
  <c r="AD2511"/>
  <c r="P2512"/>
  <c r="Q2512"/>
  <c r="R2512"/>
  <c r="S2512"/>
  <c r="T2512"/>
  <c r="U2512"/>
  <c r="V2512"/>
  <c r="W2512"/>
  <c r="X2512"/>
  <c r="Y2512"/>
  <c r="AA2512"/>
  <c r="AB2512"/>
  <c r="AC2512"/>
  <c r="AD2512"/>
  <c r="P2513"/>
  <c r="Q2513"/>
  <c r="R2513"/>
  <c r="S2513"/>
  <c r="T2513"/>
  <c r="U2513"/>
  <c r="V2513"/>
  <c r="W2513"/>
  <c r="X2513"/>
  <c r="Y2513"/>
  <c r="AA2513"/>
  <c r="AB2513"/>
  <c r="AC2513"/>
  <c r="AD2513"/>
  <c r="P2514"/>
  <c r="Q2514"/>
  <c r="R2514"/>
  <c r="S2514"/>
  <c r="T2514"/>
  <c r="U2514"/>
  <c r="V2514"/>
  <c r="W2514"/>
  <c r="X2514"/>
  <c r="Y2514"/>
  <c r="AA2514"/>
  <c r="AB2514"/>
  <c r="AC2514"/>
  <c r="AD2514"/>
  <c r="P2515"/>
  <c r="Q2515"/>
  <c r="R2515"/>
  <c r="S2515"/>
  <c r="T2515"/>
  <c r="U2515"/>
  <c r="V2515"/>
  <c r="W2515"/>
  <c r="X2515"/>
  <c r="Y2515"/>
  <c r="AA2515"/>
  <c r="AB2515"/>
  <c r="AC2515"/>
  <c r="AD2515"/>
  <c r="P2516"/>
  <c r="Q2516"/>
  <c r="R2516"/>
  <c r="S2516"/>
  <c r="T2516"/>
  <c r="U2516"/>
  <c r="V2516"/>
  <c r="W2516"/>
  <c r="X2516"/>
  <c r="Y2516"/>
  <c r="AA2516"/>
  <c r="AB2516"/>
  <c r="AC2516"/>
  <c r="AD2516"/>
  <c r="P2517"/>
  <c r="Q2517"/>
  <c r="R2517"/>
  <c r="S2517"/>
  <c r="T2517"/>
  <c r="U2517"/>
  <c r="V2517"/>
  <c r="W2517"/>
  <c r="X2517"/>
  <c r="Y2517"/>
  <c r="AA2517"/>
  <c r="AB2517"/>
  <c r="AC2517"/>
  <c r="AD2517"/>
  <c r="P2518"/>
  <c r="Q2518"/>
  <c r="R2518"/>
  <c r="S2518"/>
  <c r="T2518"/>
  <c r="U2518"/>
  <c r="V2518"/>
  <c r="W2518"/>
  <c r="X2518"/>
  <c r="Y2518"/>
  <c r="AA2518"/>
  <c r="AB2518"/>
  <c r="AC2518"/>
  <c r="AD2518"/>
  <c r="P2519"/>
  <c r="Q2519"/>
  <c r="R2519"/>
  <c r="S2519"/>
  <c r="T2519"/>
  <c r="U2519"/>
  <c r="V2519"/>
  <c r="W2519"/>
  <c r="X2519"/>
  <c r="Y2519"/>
  <c r="AA2519"/>
  <c r="AB2519"/>
  <c r="AC2519"/>
  <c r="AD2519"/>
  <c r="P2520"/>
  <c r="Q2520"/>
  <c r="R2520"/>
  <c r="S2520"/>
  <c r="T2520"/>
  <c r="U2520"/>
  <c r="V2520"/>
  <c r="W2520"/>
  <c r="X2520"/>
  <c r="Y2520"/>
  <c r="AA2520"/>
  <c r="AB2520"/>
  <c r="AC2520"/>
  <c r="AD2520"/>
  <c r="P2521"/>
  <c r="Q2521"/>
  <c r="R2521"/>
  <c r="S2521"/>
  <c r="T2521"/>
  <c r="U2521"/>
  <c r="V2521"/>
  <c r="W2521"/>
  <c r="X2521"/>
  <c r="Y2521"/>
  <c r="AA2521"/>
  <c r="AB2521"/>
  <c r="AC2521"/>
  <c r="AD2521"/>
  <c r="P2522"/>
  <c r="Q2522"/>
  <c r="R2522"/>
  <c r="S2522"/>
  <c r="T2522"/>
  <c r="U2522"/>
  <c r="V2522"/>
  <c r="W2522"/>
  <c r="X2522"/>
  <c r="Y2522"/>
  <c r="AA2522"/>
  <c r="AB2522"/>
  <c r="AC2522"/>
  <c r="AD2522"/>
  <c r="P2523"/>
  <c r="Q2523"/>
  <c r="R2523"/>
  <c r="S2523"/>
  <c r="T2523"/>
  <c r="U2523"/>
  <c r="V2523"/>
  <c r="W2523"/>
  <c r="X2523"/>
  <c r="Y2523"/>
  <c r="AA2523"/>
  <c r="AB2523"/>
  <c r="AC2523"/>
  <c r="AD2523"/>
  <c r="P2524"/>
  <c r="Q2524"/>
  <c r="R2524"/>
  <c r="S2524"/>
  <c r="T2524"/>
  <c r="U2524"/>
  <c r="V2524"/>
  <c r="W2524"/>
  <c r="X2524"/>
  <c r="Y2524"/>
  <c r="AA2524"/>
  <c r="AB2524"/>
  <c r="AC2524"/>
  <c r="AD2524"/>
  <c r="P2525"/>
  <c r="Q2525"/>
  <c r="R2525"/>
  <c r="S2525"/>
  <c r="T2525"/>
  <c r="U2525"/>
  <c r="V2525"/>
  <c r="W2525"/>
  <c r="X2525"/>
  <c r="Y2525"/>
  <c r="AA2525"/>
  <c r="AB2525"/>
  <c r="AC2525"/>
  <c r="AD2525"/>
  <c r="P2526"/>
  <c r="Q2526"/>
  <c r="R2526"/>
  <c r="S2526"/>
  <c r="T2526"/>
  <c r="U2526"/>
  <c r="V2526"/>
  <c r="W2526"/>
  <c r="X2526"/>
  <c r="Y2526"/>
  <c r="AA2526"/>
  <c r="AB2526"/>
  <c r="AC2526"/>
  <c r="AD2526"/>
  <c r="P2527"/>
  <c r="Q2527"/>
  <c r="R2527"/>
  <c r="S2527"/>
  <c r="T2527"/>
  <c r="U2527"/>
  <c r="V2527"/>
  <c r="W2527"/>
  <c r="X2527"/>
  <c r="Y2527"/>
  <c r="AA2527"/>
  <c r="AB2527"/>
  <c r="AC2527"/>
  <c r="AD2527"/>
  <c r="P2528"/>
  <c r="Q2528"/>
  <c r="R2528"/>
  <c r="S2528"/>
  <c r="T2528"/>
  <c r="U2528"/>
  <c r="V2528"/>
  <c r="W2528"/>
  <c r="X2528"/>
  <c r="Y2528"/>
  <c r="AA2528"/>
  <c r="AB2528"/>
  <c r="AC2528"/>
  <c r="AD2528"/>
  <c r="P2529"/>
  <c r="Q2529"/>
  <c r="R2529"/>
  <c r="S2529"/>
  <c r="T2529"/>
  <c r="U2529"/>
  <c r="V2529"/>
  <c r="W2529"/>
  <c r="X2529"/>
  <c r="Y2529"/>
  <c r="AA2529"/>
  <c r="AB2529"/>
  <c r="AC2529"/>
  <c r="AD2529"/>
  <c r="P2530"/>
  <c r="Q2530"/>
  <c r="R2530"/>
  <c r="S2530"/>
  <c r="T2530"/>
  <c r="U2530"/>
  <c r="V2530"/>
  <c r="W2530"/>
  <c r="X2530"/>
  <c r="Y2530"/>
  <c r="AA2530"/>
  <c r="AB2530"/>
  <c r="AC2530"/>
  <c r="AD2530"/>
  <c r="P2531"/>
  <c r="Q2531"/>
  <c r="R2531"/>
  <c r="S2531"/>
  <c r="T2531"/>
  <c r="U2531"/>
  <c r="V2531"/>
  <c r="W2531"/>
  <c r="X2531"/>
  <c r="Y2531"/>
  <c r="AA2531"/>
  <c r="AB2531"/>
  <c r="AC2531"/>
  <c r="AD2531"/>
  <c r="P2532"/>
  <c r="Q2532"/>
  <c r="R2532"/>
  <c r="S2532"/>
  <c r="T2532"/>
  <c r="U2532"/>
  <c r="V2532"/>
  <c r="W2532"/>
  <c r="X2532"/>
  <c r="Y2532"/>
  <c r="AA2532"/>
  <c r="AB2532"/>
  <c r="AC2532"/>
  <c r="AD2532"/>
  <c r="P2533"/>
  <c r="Q2533"/>
  <c r="R2533"/>
  <c r="S2533"/>
  <c r="T2533"/>
  <c r="U2533"/>
  <c r="V2533"/>
  <c r="W2533"/>
  <c r="X2533"/>
  <c r="Y2533"/>
  <c r="AA2533"/>
  <c r="AB2533"/>
  <c r="AC2533"/>
  <c r="AD2533"/>
  <c r="P2534"/>
  <c r="Q2534"/>
  <c r="R2534"/>
  <c r="S2534"/>
  <c r="T2534"/>
  <c r="U2534"/>
  <c r="V2534"/>
  <c r="W2534"/>
  <c r="X2534"/>
  <c r="Y2534"/>
  <c r="AA2534"/>
  <c r="AB2534"/>
  <c r="AC2534"/>
  <c r="AD2534"/>
  <c r="P2535"/>
  <c r="Q2535"/>
  <c r="R2535"/>
  <c r="S2535"/>
  <c r="T2535"/>
  <c r="U2535"/>
  <c r="V2535"/>
  <c r="W2535"/>
  <c r="X2535"/>
  <c r="Y2535"/>
  <c r="AA2535"/>
  <c r="AB2535"/>
  <c r="AC2535"/>
  <c r="AD2535"/>
  <c r="P2536"/>
  <c r="Q2536"/>
  <c r="R2536"/>
  <c r="S2536"/>
  <c r="T2536"/>
  <c r="U2536"/>
  <c r="V2536"/>
  <c r="W2536"/>
  <c r="X2536"/>
  <c r="Y2536"/>
  <c r="AA2536"/>
  <c r="AB2536"/>
  <c r="AC2536"/>
  <c r="AD2536"/>
  <c r="P2537"/>
  <c r="Q2537"/>
  <c r="R2537"/>
  <c r="S2537"/>
  <c r="T2537"/>
  <c r="U2537"/>
  <c r="V2537"/>
  <c r="W2537"/>
  <c r="X2537"/>
  <c r="Y2537"/>
  <c r="AA2537"/>
  <c r="AB2537"/>
  <c r="AC2537"/>
  <c r="AD2537"/>
  <c r="P2538"/>
  <c r="Q2538"/>
  <c r="R2538"/>
  <c r="S2538"/>
  <c r="T2538"/>
  <c r="U2538"/>
  <c r="V2538"/>
  <c r="W2538"/>
  <c r="X2538"/>
  <c r="Y2538"/>
  <c r="AA2538"/>
  <c r="AB2538"/>
  <c r="AC2538"/>
  <c r="AD2538"/>
  <c r="P2539"/>
  <c r="Q2539"/>
  <c r="R2539"/>
  <c r="S2539"/>
  <c r="T2539"/>
  <c r="U2539"/>
  <c r="V2539"/>
  <c r="W2539"/>
  <c r="X2539"/>
  <c r="Y2539"/>
  <c r="AA2539"/>
  <c r="AB2539"/>
  <c r="AC2539"/>
  <c r="AD2539"/>
  <c r="P2540"/>
  <c r="Q2540"/>
  <c r="R2540"/>
  <c r="S2540"/>
  <c r="T2540"/>
  <c r="U2540"/>
  <c r="V2540"/>
  <c r="W2540"/>
  <c r="X2540"/>
  <c r="Y2540"/>
  <c r="AA2540"/>
  <c r="AB2540"/>
  <c r="AC2540"/>
  <c r="AD2540"/>
  <c r="P2541"/>
  <c r="Q2541"/>
  <c r="R2541"/>
  <c r="S2541"/>
  <c r="T2541"/>
  <c r="U2541"/>
  <c r="V2541"/>
  <c r="W2541"/>
  <c r="X2541"/>
  <c r="Y2541"/>
  <c r="AA2541"/>
  <c r="AB2541"/>
  <c r="AC2541"/>
  <c r="AD2541"/>
  <c r="P2542"/>
  <c r="Q2542"/>
  <c r="R2542"/>
  <c r="S2542"/>
  <c r="T2542"/>
  <c r="U2542"/>
  <c r="V2542"/>
  <c r="W2542"/>
  <c r="X2542"/>
  <c r="Y2542"/>
  <c r="AA2542"/>
  <c r="AB2542"/>
  <c r="AC2542"/>
  <c r="AD2542"/>
  <c r="P2543"/>
  <c r="Q2543"/>
  <c r="R2543"/>
  <c r="S2543"/>
  <c r="T2543"/>
  <c r="U2543"/>
  <c r="V2543"/>
  <c r="W2543"/>
  <c r="X2543"/>
  <c r="Y2543"/>
  <c r="AA2543"/>
  <c r="AB2543"/>
  <c r="AC2543"/>
  <c r="AD2543"/>
  <c r="P2544"/>
  <c r="Q2544"/>
  <c r="R2544"/>
  <c r="S2544"/>
  <c r="T2544"/>
  <c r="U2544"/>
  <c r="V2544"/>
  <c r="W2544"/>
  <c r="X2544"/>
  <c r="Y2544"/>
  <c r="AA2544"/>
  <c r="AB2544"/>
  <c r="AC2544"/>
  <c r="AD2544"/>
  <c r="P2545"/>
  <c r="Q2545"/>
  <c r="R2545"/>
  <c r="S2545"/>
  <c r="T2545"/>
  <c r="U2545"/>
  <c r="V2545"/>
  <c r="W2545"/>
  <c r="X2545"/>
  <c r="Y2545"/>
  <c r="AA2545"/>
  <c r="AB2545"/>
  <c r="AC2545"/>
  <c r="AD2545"/>
  <c r="P2546"/>
  <c r="Q2546"/>
  <c r="R2546"/>
  <c r="S2546"/>
  <c r="T2546"/>
  <c r="U2546"/>
  <c r="V2546"/>
  <c r="W2546"/>
  <c r="X2546"/>
  <c r="Y2546"/>
  <c r="AA2546"/>
  <c r="AB2546"/>
  <c r="AC2546"/>
  <c r="AD2546"/>
  <c r="P2547"/>
  <c r="Q2547"/>
  <c r="R2547"/>
  <c r="S2547"/>
  <c r="T2547"/>
  <c r="U2547"/>
  <c r="V2547"/>
  <c r="W2547"/>
  <c r="X2547"/>
  <c r="Y2547"/>
  <c r="AA2547"/>
  <c r="AB2547"/>
  <c r="AC2547"/>
  <c r="AD2547"/>
  <c r="P2548"/>
  <c r="Q2548"/>
  <c r="R2548"/>
  <c r="S2548"/>
  <c r="T2548"/>
  <c r="U2548"/>
  <c r="V2548"/>
  <c r="W2548"/>
  <c r="X2548"/>
  <c r="Y2548"/>
  <c r="AA2548"/>
  <c r="AB2548"/>
  <c r="AC2548"/>
  <c r="AD2548"/>
  <c r="P2549"/>
  <c r="Q2549"/>
  <c r="R2549"/>
  <c r="S2549"/>
  <c r="T2549"/>
  <c r="U2549"/>
  <c r="V2549"/>
  <c r="W2549"/>
  <c r="X2549"/>
  <c r="Y2549"/>
  <c r="AA2549"/>
  <c r="AB2549"/>
  <c r="AC2549"/>
  <c r="AD2549"/>
  <c r="P2550"/>
  <c r="Q2550"/>
  <c r="R2550"/>
  <c r="S2550"/>
  <c r="T2550"/>
  <c r="U2550"/>
  <c r="V2550"/>
  <c r="W2550"/>
  <c r="X2550"/>
  <c r="Y2550"/>
  <c r="AA2550"/>
  <c r="AB2550"/>
  <c r="AC2550"/>
  <c r="AD2550"/>
  <c r="P2551"/>
  <c r="Q2551"/>
  <c r="R2551"/>
  <c r="S2551"/>
  <c r="T2551"/>
  <c r="U2551"/>
  <c r="V2551"/>
  <c r="W2551"/>
  <c r="X2551"/>
  <c r="Y2551"/>
  <c r="AA2551"/>
  <c r="AB2551"/>
  <c r="AC2551"/>
  <c r="AD2551"/>
  <c r="P2552"/>
  <c r="Q2552"/>
  <c r="R2552"/>
  <c r="S2552"/>
  <c r="T2552"/>
  <c r="U2552"/>
  <c r="V2552"/>
  <c r="W2552"/>
  <c r="X2552"/>
  <c r="Y2552"/>
  <c r="AA2552"/>
  <c r="AB2552"/>
  <c r="AC2552"/>
  <c r="AD2552"/>
  <c r="P2553"/>
  <c r="Q2553"/>
  <c r="R2553"/>
  <c r="S2553"/>
  <c r="T2553"/>
  <c r="U2553"/>
  <c r="V2553"/>
  <c r="W2553"/>
  <c r="X2553"/>
  <c r="Y2553"/>
  <c r="AA2553"/>
  <c r="AB2553"/>
  <c r="AC2553"/>
  <c r="AD2553"/>
  <c r="P2554"/>
  <c r="Q2554"/>
  <c r="R2554"/>
  <c r="S2554"/>
  <c r="T2554"/>
  <c r="U2554"/>
  <c r="V2554"/>
  <c r="W2554"/>
  <c r="X2554"/>
  <c r="Y2554"/>
  <c r="AA2554"/>
  <c r="AB2554"/>
  <c r="AC2554"/>
  <c r="AD2554"/>
  <c r="P2555"/>
  <c r="Q2555"/>
  <c r="R2555"/>
  <c r="S2555"/>
  <c r="T2555"/>
  <c r="U2555"/>
  <c r="V2555"/>
  <c r="W2555"/>
  <c r="X2555"/>
  <c r="Y2555"/>
  <c r="AA2555"/>
  <c r="AB2555"/>
  <c r="AC2555"/>
  <c r="AD2555"/>
  <c r="P2556"/>
  <c r="Q2556"/>
  <c r="R2556"/>
  <c r="S2556"/>
  <c r="T2556"/>
  <c r="U2556"/>
  <c r="V2556"/>
  <c r="W2556"/>
  <c r="X2556"/>
  <c r="Y2556"/>
  <c r="AA2556"/>
  <c r="AB2556"/>
  <c r="AC2556"/>
  <c r="AD2556"/>
  <c r="P2557"/>
  <c r="Q2557"/>
  <c r="R2557"/>
  <c r="S2557"/>
  <c r="T2557"/>
  <c r="U2557"/>
  <c r="V2557"/>
  <c r="W2557"/>
  <c r="X2557"/>
  <c r="Y2557"/>
  <c r="AA2557"/>
  <c r="AB2557"/>
  <c r="AC2557"/>
  <c r="AD2557"/>
  <c r="P2558"/>
  <c r="Q2558"/>
  <c r="R2558"/>
  <c r="S2558"/>
  <c r="T2558"/>
  <c r="U2558"/>
  <c r="V2558"/>
  <c r="W2558"/>
  <c r="X2558"/>
  <c r="Y2558"/>
  <c r="AA2558"/>
  <c r="AB2558"/>
  <c r="AC2558"/>
  <c r="AD2558"/>
  <c r="P2559"/>
  <c r="Q2559"/>
  <c r="R2559"/>
  <c r="S2559"/>
  <c r="T2559"/>
  <c r="U2559"/>
  <c r="V2559"/>
  <c r="W2559"/>
  <c r="X2559"/>
  <c r="Y2559"/>
  <c r="AA2559"/>
  <c r="AB2559"/>
  <c r="AC2559"/>
  <c r="AD2559"/>
  <c r="P2560"/>
  <c r="Q2560"/>
  <c r="R2560"/>
  <c r="S2560"/>
  <c r="T2560"/>
  <c r="U2560"/>
  <c r="V2560"/>
  <c r="W2560"/>
  <c r="X2560"/>
  <c r="Y2560"/>
  <c r="AA2560"/>
  <c r="AB2560"/>
  <c r="AC2560"/>
  <c r="AD2560"/>
  <c r="P2561"/>
  <c r="Q2561"/>
  <c r="R2561"/>
  <c r="S2561"/>
  <c r="T2561"/>
  <c r="U2561"/>
  <c r="V2561"/>
  <c r="W2561"/>
  <c r="X2561"/>
  <c r="Y2561"/>
  <c r="AA2561"/>
  <c r="AB2561"/>
  <c r="AC2561"/>
  <c r="AD2561"/>
  <c r="P2562"/>
  <c r="Q2562"/>
  <c r="R2562"/>
  <c r="S2562"/>
  <c r="T2562"/>
  <c r="U2562"/>
  <c r="V2562"/>
  <c r="W2562"/>
  <c r="X2562"/>
  <c r="Y2562"/>
  <c r="AA2562"/>
  <c r="AB2562"/>
  <c r="AC2562"/>
  <c r="AD2562"/>
  <c r="P2563"/>
  <c r="Q2563"/>
  <c r="R2563"/>
  <c r="S2563"/>
  <c r="T2563"/>
  <c r="U2563"/>
  <c r="V2563"/>
  <c r="W2563"/>
  <c r="X2563"/>
  <c r="Y2563"/>
  <c r="AA2563"/>
  <c r="AB2563"/>
  <c r="AC2563"/>
  <c r="AD2563"/>
  <c r="P2564"/>
  <c r="Q2564"/>
  <c r="R2564"/>
  <c r="S2564"/>
  <c r="T2564"/>
  <c r="U2564"/>
  <c r="V2564"/>
  <c r="W2564"/>
  <c r="X2564"/>
  <c r="Y2564"/>
  <c r="AA2564"/>
  <c r="AB2564"/>
  <c r="AC2564"/>
  <c r="AD2564"/>
  <c r="P2565"/>
  <c r="Q2565"/>
  <c r="R2565"/>
  <c r="S2565"/>
  <c r="T2565"/>
  <c r="U2565"/>
  <c r="V2565"/>
  <c r="W2565"/>
  <c r="X2565"/>
  <c r="Y2565"/>
  <c r="AA2565"/>
  <c r="AB2565"/>
  <c r="AC2565"/>
  <c r="AD2565"/>
  <c r="P2566"/>
  <c r="Q2566"/>
  <c r="R2566"/>
  <c r="S2566"/>
  <c r="T2566"/>
  <c r="U2566"/>
  <c r="V2566"/>
  <c r="W2566"/>
  <c r="X2566"/>
  <c r="Y2566"/>
  <c r="AA2566"/>
  <c r="AB2566"/>
  <c r="AC2566"/>
  <c r="AD2566"/>
  <c r="P2567"/>
  <c r="Q2567"/>
  <c r="R2567"/>
  <c r="S2567"/>
  <c r="T2567"/>
  <c r="U2567"/>
  <c r="V2567"/>
  <c r="W2567"/>
  <c r="X2567"/>
  <c r="Y2567"/>
  <c r="AA2567"/>
  <c r="AB2567"/>
  <c r="AC2567"/>
  <c r="AD2567"/>
  <c r="P2568"/>
  <c r="Q2568"/>
  <c r="R2568"/>
  <c r="S2568"/>
  <c r="T2568"/>
  <c r="U2568"/>
  <c r="V2568"/>
  <c r="W2568"/>
  <c r="X2568"/>
  <c r="Y2568"/>
  <c r="AA2568"/>
  <c r="AB2568"/>
  <c r="AC2568"/>
  <c r="AD2568"/>
  <c r="P2569"/>
  <c r="Q2569"/>
  <c r="R2569"/>
  <c r="S2569"/>
  <c r="T2569"/>
  <c r="U2569"/>
  <c r="V2569"/>
  <c r="W2569"/>
  <c r="X2569"/>
  <c r="Y2569"/>
  <c r="AA2569"/>
  <c r="AB2569"/>
  <c r="AC2569"/>
  <c r="AD2569"/>
  <c r="P2570"/>
  <c r="Q2570"/>
  <c r="R2570"/>
  <c r="S2570"/>
  <c r="T2570"/>
  <c r="U2570"/>
  <c r="V2570"/>
  <c r="W2570"/>
  <c r="X2570"/>
  <c r="Y2570"/>
  <c r="AA2570"/>
  <c r="AB2570"/>
  <c r="AC2570"/>
  <c r="AD2570"/>
  <c r="P2571"/>
  <c r="Q2571"/>
  <c r="R2571"/>
  <c r="S2571"/>
  <c r="T2571"/>
  <c r="U2571"/>
  <c r="V2571"/>
  <c r="W2571"/>
  <c r="X2571"/>
  <c r="Y2571"/>
  <c r="AA2571"/>
  <c r="AB2571"/>
  <c r="AC2571"/>
  <c r="AD2571"/>
  <c r="P2572"/>
  <c r="Q2572"/>
  <c r="R2572"/>
  <c r="S2572"/>
  <c r="T2572"/>
  <c r="U2572"/>
  <c r="V2572"/>
  <c r="W2572"/>
  <c r="X2572"/>
  <c r="Y2572"/>
  <c r="AA2572"/>
  <c r="AB2572"/>
  <c r="AC2572"/>
  <c r="AD2572"/>
  <c r="P2573"/>
  <c r="Q2573"/>
  <c r="R2573"/>
  <c r="S2573"/>
  <c r="T2573"/>
  <c r="U2573"/>
  <c r="V2573"/>
  <c r="W2573"/>
  <c r="X2573"/>
  <c r="Y2573"/>
  <c r="AA2573"/>
  <c r="AB2573"/>
  <c r="AC2573"/>
  <c r="AD2573"/>
  <c r="P2574"/>
  <c r="Q2574"/>
  <c r="R2574"/>
  <c r="S2574"/>
  <c r="T2574"/>
  <c r="U2574"/>
  <c r="V2574"/>
  <c r="W2574"/>
  <c r="X2574"/>
  <c r="Y2574"/>
  <c r="AA2574"/>
  <c r="AB2574"/>
  <c r="AC2574"/>
  <c r="AD2574"/>
  <c r="P2575"/>
  <c r="Q2575"/>
  <c r="R2575"/>
  <c r="S2575"/>
  <c r="T2575"/>
  <c r="U2575"/>
  <c r="V2575"/>
  <c r="W2575"/>
  <c r="X2575"/>
  <c r="Y2575"/>
  <c r="AA2575"/>
  <c r="AB2575"/>
  <c r="AC2575"/>
  <c r="AD2575"/>
  <c r="P2576"/>
  <c r="Q2576"/>
  <c r="R2576"/>
  <c r="S2576"/>
  <c r="T2576"/>
  <c r="U2576"/>
  <c r="V2576"/>
  <c r="W2576"/>
  <c r="X2576"/>
  <c r="Y2576"/>
  <c r="AA2576"/>
  <c r="AB2576"/>
  <c r="AC2576"/>
  <c r="AD2576"/>
  <c r="P2577"/>
  <c r="Q2577"/>
  <c r="R2577"/>
  <c r="S2577"/>
  <c r="T2577"/>
  <c r="U2577"/>
  <c r="V2577"/>
  <c r="W2577"/>
  <c r="X2577"/>
  <c r="Y2577"/>
  <c r="AA2577"/>
  <c r="AB2577"/>
  <c r="AC2577"/>
  <c r="AD2577"/>
  <c r="P2578"/>
  <c r="Q2578"/>
  <c r="R2578"/>
  <c r="S2578"/>
  <c r="T2578"/>
  <c r="U2578"/>
  <c r="V2578"/>
  <c r="W2578"/>
  <c r="X2578"/>
  <c r="Y2578"/>
  <c r="AA2578"/>
  <c r="AB2578"/>
  <c r="AC2578"/>
  <c r="AD2578"/>
  <c r="P2579"/>
  <c r="Q2579"/>
  <c r="R2579"/>
  <c r="S2579"/>
  <c r="T2579"/>
  <c r="U2579"/>
  <c r="V2579"/>
  <c r="W2579"/>
  <c r="X2579"/>
  <c r="Y2579"/>
  <c r="AA2579"/>
  <c r="AB2579"/>
  <c r="AC2579"/>
  <c r="AD2579"/>
  <c r="P2580"/>
  <c r="Q2580"/>
  <c r="R2580"/>
  <c r="S2580"/>
  <c r="T2580"/>
  <c r="U2580"/>
  <c r="V2580"/>
  <c r="W2580"/>
  <c r="X2580"/>
  <c r="Y2580"/>
  <c r="AA2580"/>
  <c r="AB2580"/>
  <c r="AC2580"/>
  <c r="AD2580"/>
  <c r="P2581"/>
  <c r="Q2581"/>
  <c r="R2581"/>
  <c r="S2581"/>
  <c r="T2581"/>
  <c r="U2581"/>
  <c r="V2581"/>
  <c r="W2581"/>
  <c r="X2581"/>
  <c r="Y2581"/>
  <c r="AA2581"/>
  <c r="AB2581"/>
  <c r="AC2581"/>
  <c r="AD2581"/>
  <c r="P2582"/>
  <c r="Q2582"/>
  <c r="R2582"/>
  <c r="S2582"/>
  <c r="T2582"/>
  <c r="U2582"/>
  <c r="V2582"/>
  <c r="W2582"/>
  <c r="X2582"/>
  <c r="Y2582"/>
  <c r="AA2582"/>
  <c r="AB2582"/>
  <c r="AC2582"/>
  <c r="AD2582"/>
  <c r="P2583"/>
  <c r="Q2583"/>
  <c r="R2583"/>
  <c r="S2583"/>
  <c r="T2583"/>
  <c r="U2583"/>
  <c r="V2583"/>
  <c r="W2583"/>
  <c r="X2583"/>
  <c r="Y2583"/>
  <c r="AA2583"/>
  <c r="AB2583"/>
  <c r="AC2583"/>
  <c r="AD2583"/>
  <c r="P2584"/>
  <c r="Q2584"/>
  <c r="R2584"/>
  <c r="S2584"/>
  <c r="T2584"/>
  <c r="U2584"/>
  <c r="V2584"/>
  <c r="W2584"/>
  <c r="X2584"/>
  <c r="Y2584"/>
  <c r="AA2584"/>
  <c r="AB2584"/>
  <c r="AC2584"/>
  <c r="AD2584"/>
  <c r="P2585"/>
  <c r="Q2585"/>
  <c r="R2585"/>
  <c r="S2585"/>
  <c r="T2585"/>
  <c r="U2585"/>
  <c r="V2585"/>
  <c r="W2585"/>
  <c r="X2585"/>
  <c r="Y2585"/>
  <c r="AA2585"/>
  <c r="AB2585"/>
  <c r="AC2585"/>
  <c r="AD2585"/>
  <c r="P2586"/>
  <c r="Q2586"/>
  <c r="R2586"/>
  <c r="S2586"/>
  <c r="T2586"/>
  <c r="U2586"/>
  <c r="V2586"/>
  <c r="W2586"/>
  <c r="X2586"/>
  <c r="Y2586"/>
  <c r="AA2586"/>
  <c r="AB2586"/>
  <c r="AC2586"/>
  <c r="AD2586"/>
  <c r="P2587"/>
  <c r="Q2587"/>
  <c r="R2587"/>
  <c r="S2587"/>
  <c r="T2587"/>
  <c r="U2587"/>
  <c r="V2587"/>
  <c r="W2587"/>
  <c r="X2587"/>
  <c r="Y2587"/>
  <c r="AA2587"/>
  <c r="AB2587"/>
  <c r="AC2587"/>
  <c r="AD2587"/>
  <c r="P2588"/>
  <c r="Q2588"/>
  <c r="R2588"/>
  <c r="S2588"/>
  <c r="T2588"/>
  <c r="U2588"/>
  <c r="V2588"/>
  <c r="W2588"/>
  <c r="X2588"/>
  <c r="Y2588"/>
  <c r="AA2588"/>
  <c r="AB2588"/>
  <c r="AC2588"/>
  <c r="AD2588"/>
  <c r="P2589"/>
  <c r="Q2589"/>
  <c r="R2589"/>
  <c r="S2589"/>
  <c r="T2589"/>
  <c r="U2589"/>
  <c r="V2589"/>
  <c r="W2589"/>
  <c r="X2589"/>
  <c r="Y2589"/>
  <c r="AA2589"/>
  <c r="AB2589"/>
  <c r="AC2589"/>
  <c r="AD2589"/>
  <c r="P2590"/>
  <c r="Q2590"/>
  <c r="R2590"/>
  <c r="S2590"/>
  <c r="T2590"/>
  <c r="U2590"/>
  <c r="V2590"/>
  <c r="W2590"/>
  <c r="X2590"/>
  <c r="Y2590"/>
  <c r="AA2590"/>
  <c r="AB2590"/>
  <c r="AC2590"/>
  <c r="AD2590"/>
  <c r="P2591"/>
  <c r="Q2591"/>
  <c r="R2591"/>
  <c r="S2591"/>
  <c r="T2591"/>
  <c r="U2591"/>
  <c r="V2591"/>
  <c r="W2591"/>
  <c r="X2591"/>
  <c r="Y2591"/>
  <c r="AA2591"/>
  <c r="AB2591"/>
  <c r="AC2591"/>
  <c r="AD2591"/>
  <c r="P2592"/>
  <c r="Q2592"/>
  <c r="R2592"/>
  <c r="S2592"/>
  <c r="T2592"/>
  <c r="U2592"/>
  <c r="V2592"/>
  <c r="W2592"/>
  <c r="X2592"/>
  <c r="Y2592"/>
  <c r="AA2592"/>
  <c r="AB2592"/>
  <c r="AC2592"/>
  <c r="AD2592"/>
  <c r="P2593"/>
  <c r="Q2593"/>
  <c r="R2593"/>
  <c r="S2593"/>
  <c r="T2593"/>
  <c r="U2593"/>
  <c r="V2593"/>
  <c r="W2593"/>
  <c r="X2593"/>
  <c r="Y2593"/>
  <c r="AA2593"/>
  <c r="AB2593"/>
  <c r="AC2593"/>
  <c r="AD2593"/>
  <c r="P2594"/>
  <c r="Q2594"/>
  <c r="R2594"/>
  <c r="S2594"/>
  <c r="T2594"/>
  <c r="U2594"/>
  <c r="V2594"/>
  <c r="W2594"/>
  <c r="X2594"/>
  <c r="Y2594"/>
  <c r="AA2594"/>
  <c r="AB2594"/>
  <c r="AC2594"/>
  <c r="AD2594"/>
  <c r="P2595"/>
  <c r="Q2595"/>
  <c r="R2595"/>
  <c r="S2595"/>
  <c r="T2595"/>
  <c r="U2595"/>
  <c r="V2595"/>
  <c r="W2595"/>
  <c r="X2595"/>
  <c r="Y2595"/>
  <c r="AA2595"/>
  <c r="AB2595"/>
  <c r="AC2595"/>
  <c r="AD2595"/>
  <c r="P2596"/>
  <c r="Q2596"/>
  <c r="R2596"/>
  <c r="S2596"/>
  <c r="T2596"/>
  <c r="U2596"/>
  <c r="V2596"/>
  <c r="W2596"/>
  <c r="X2596"/>
  <c r="Y2596"/>
  <c r="AA2596"/>
  <c r="AB2596"/>
  <c r="AC2596"/>
  <c r="AD2596"/>
  <c r="P2597"/>
  <c r="Q2597"/>
  <c r="R2597"/>
  <c r="S2597"/>
  <c r="T2597"/>
  <c r="U2597"/>
  <c r="V2597"/>
  <c r="W2597"/>
  <c r="X2597"/>
  <c r="Y2597"/>
  <c r="AA2597"/>
  <c r="AB2597"/>
  <c r="AC2597"/>
  <c r="AD2597"/>
  <c r="P2598"/>
  <c r="Q2598"/>
  <c r="R2598"/>
  <c r="S2598"/>
  <c r="T2598"/>
  <c r="U2598"/>
  <c r="V2598"/>
  <c r="W2598"/>
  <c r="X2598"/>
  <c r="Y2598"/>
  <c r="AA2598"/>
  <c r="AB2598"/>
  <c r="AC2598"/>
  <c r="AD2598"/>
  <c r="P2599"/>
  <c r="Q2599"/>
  <c r="R2599"/>
  <c r="S2599"/>
  <c r="T2599"/>
  <c r="U2599"/>
  <c r="V2599"/>
  <c r="W2599"/>
  <c r="X2599"/>
  <c r="Y2599"/>
  <c r="AA2599"/>
  <c r="AB2599"/>
  <c r="AC2599"/>
  <c r="AD2599"/>
  <c r="P2600"/>
  <c r="Q2600"/>
  <c r="R2600"/>
  <c r="S2600"/>
  <c r="T2600"/>
  <c r="U2600"/>
  <c r="V2600"/>
  <c r="W2600"/>
  <c r="X2600"/>
  <c r="Y2600"/>
  <c r="AA2600"/>
  <c r="AB2600"/>
  <c r="AC2600"/>
  <c r="AD2600"/>
  <c r="P2601"/>
  <c r="Q2601"/>
  <c r="R2601"/>
  <c r="S2601"/>
  <c r="T2601"/>
  <c r="U2601"/>
  <c r="V2601"/>
  <c r="W2601"/>
  <c r="X2601"/>
  <c r="Y2601"/>
  <c r="AA2601"/>
  <c r="AB2601"/>
  <c r="AC2601"/>
  <c r="AD2601"/>
  <c r="P2602"/>
  <c r="Q2602"/>
  <c r="R2602"/>
  <c r="S2602"/>
  <c r="T2602"/>
  <c r="U2602"/>
  <c r="V2602"/>
  <c r="W2602"/>
  <c r="X2602"/>
  <c r="Y2602"/>
  <c r="AA2602"/>
  <c r="AB2602"/>
  <c r="AC2602"/>
  <c r="AD2602"/>
  <c r="P2603"/>
  <c r="Q2603"/>
  <c r="R2603"/>
  <c r="S2603"/>
  <c r="T2603"/>
  <c r="U2603"/>
  <c r="V2603"/>
  <c r="W2603"/>
  <c r="X2603"/>
  <c r="Y2603"/>
  <c r="AA2603"/>
  <c r="AB2603"/>
  <c r="AC2603"/>
  <c r="AD2603"/>
  <c r="P2604"/>
  <c r="Q2604"/>
  <c r="R2604"/>
  <c r="S2604"/>
  <c r="T2604"/>
  <c r="U2604"/>
  <c r="V2604"/>
  <c r="W2604"/>
  <c r="X2604"/>
  <c r="Y2604"/>
  <c r="AA2604"/>
  <c r="AB2604"/>
  <c r="AC2604"/>
  <c r="AD2604"/>
  <c r="P2605"/>
  <c r="Q2605"/>
  <c r="R2605"/>
  <c r="S2605"/>
  <c r="T2605"/>
  <c r="U2605"/>
  <c r="V2605"/>
  <c r="W2605"/>
  <c r="X2605"/>
  <c r="Y2605"/>
  <c r="AA2605"/>
  <c r="AB2605"/>
  <c r="AC2605"/>
  <c r="AD2605"/>
  <c r="P2606"/>
  <c r="Q2606"/>
  <c r="R2606"/>
  <c r="S2606"/>
  <c r="T2606"/>
  <c r="U2606"/>
  <c r="V2606"/>
  <c r="W2606"/>
  <c r="X2606"/>
  <c r="Y2606"/>
  <c r="AA2606"/>
  <c r="AB2606"/>
  <c r="AC2606"/>
  <c r="AD2606"/>
  <c r="P2607"/>
  <c r="Q2607"/>
  <c r="R2607"/>
  <c r="S2607"/>
  <c r="T2607"/>
  <c r="U2607"/>
  <c r="V2607"/>
  <c r="W2607"/>
  <c r="X2607"/>
  <c r="Y2607"/>
  <c r="AA2607"/>
  <c r="AB2607"/>
  <c r="AC2607"/>
  <c r="AD2607"/>
  <c r="P2608"/>
  <c r="Q2608"/>
  <c r="R2608"/>
  <c r="S2608"/>
  <c r="T2608"/>
  <c r="U2608"/>
  <c r="V2608"/>
  <c r="W2608"/>
  <c r="X2608"/>
  <c r="Y2608"/>
  <c r="AA2608"/>
  <c r="AB2608"/>
  <c r="AC2608"/>
  <c r="AD2608"/>
  <c r="P2609"/>
  <c r="Q2609"/>
  <c r="R2609"/>
  <c r="S2609"/>
  <c r="T2609"/>
  <c r="U2609"/>
  <c r="V2609"/>
  <c r="W2609"/>
  <c r="X2609"/>
  <c r="Y2609"/>
  <c r="AA2609"/>
  <c r="AB2609"/>
  <c r="AC2609"/>
  <c r="AD2609"/>
  <c r="P2610"/>
  <c r="Q2610"/>
  <c r="R2610"/>
  <c r="S2610"/>
  <c r="T2610"/>
  <c r="U2610"/>
  <c r="V2610"/>
  <c r="W2610"/>
  <c r="X2610"/>
  <c r="Y2610"/>
  <c r="AA2610"/>
  <c r="AB2610"/>
  <c r="AC2610"/>
  <c r="AD2610"/>
  <c r="P2611"/>
  <c r="Q2611"/>
  <c r="R2611"/>
  <c r="S2611"/>
  <c r="T2611"/>
  <c r="U2611"/>
  <c r="V2611"/>
  <c r="W2611"/>
  <c r="X2611"/>
  <c r="Y2611"/>
  <c r="AA2611"/>
  <c r="AB2611"/>
  <c r="AC2611"/>
  <c r="AD2611"/>
  <c r="P2612"/>
  <c r="Q2612"/>
  <c r="R2612"/>
  <c r="S2612"/>
  <c r="T2612"/>
  <c r="U2612"/>
  <c r="V2612"/>
  <c r="W2612"/>
  <c r="X2612"/>
  <c r="Y2612"/>
  <c r="AA2612"/>
  <c r="AB2612"/>
  <c r="AC2612"/>
  <c r="AD2612"/>
  <c r="P2613"/>
  <c r="Q2613"/>
  <c r="R2613"/>
  <c r="S2613"/>
  <c r="T2613"/>
  <c r="U2613"/>
  <c r="V2613"/>
  <c r="W2613"/>
  <c r="X2613"/>
  <c r="Y2613"/>
  <c r="AA2613"/>
  <c r="AB2613"/>
  <c r="AC2613"/>
  <c r="AD2613"/>
  <c r="P2614"/>
  <c r="Q2614"/>
  <c r="R2614"/>
  <c r="S2614"/>
  <c r="T2614"/>
  <c r="U2614"/>
  <c r="V2614"/>
  <c r="W2614"/>
  <c r="X2614"/>
  <c r="Y2614"/>
  <c r="AA2614"/>
  <c r="AB2614"/>
  <c r="AC2614"/>
  <c r="AD2614"/>
  <c r="P2615"/>
  <c r="Q2615"/>
  <c r="R2615"/>
  <c r="S2615"/>
  <c r="T2615"/>
  <c r="U2615"/>
  <c r="V2615"/>
  <c r="W2615"/>
  <c r="X2615"/>
  <c r="Y2615"/>
  <c r="AA2615"/>
  <c r="AB2615"/>
  <c r="AC2615"/>
  <c r="AD2615"/>
  <c r="P2616"/>
  <c r="Q2616"/>
  <c r="R2616"/>
  <c r="S2616"/>
  <c r="T2616"/>
  <c r="U2616"/>
  <c r="V2616"/>
  <c r="W2616"/>
  <c r="X2616"/>
  <c r="Y2616"/>
  <c r="AA2616"/>
  <c r="AB2616"/>
  <c r="AC2616"/>
  <c r="AD2616"/>
  <c r="P2617"/>
  <c r="Q2617"/>
  <c r="R2617"/>
  <c r="S2617"/>
  <c r="T2617"/>
  <c r="U2617"/>
  <c r="V2617"/>
  <c r="W2617"/>
  <c r="X2617"/>
  <c r="Y2617"/>
  <c r="AA2617"/>
  <c r="AB2617"/>
  <c r="AC2617"/>
  <c r="AD2617"/>
  <c r="P2618"/>
  <c r="Q2618"/>
  <c r="R2618"/>
  <c r="S2618"/>
  <c r="T2618"/>
  <c r="U2618"/>
  <c r="V2618"/>
  <c r="W2618"/>
  <c r="X2618"/>
  <c r="Y2618"/>
  <c r="AA2618"/>
  <c r="AB2618"/>
  <c r="AC2618"/>
  <c r="AD2618"/>
  <c r="P2619"/>
  <c r="Q2619"/>
  <c r="R2619"/>
  <c r="S2619"/>
  <c r="T2619"/>
  <c r="U2619"/>
  <c r="V2619"/>
  <c r="W2619"/>
  <c r="X2619"/>
  <c r="Y2619"/>
  <c r="AA2619"/>
  <c r="AB2619"/>
  <c r="AC2619"/>
  <c r="AD2619"/>
  <c r="P2620"/>
  <c r="Q2620"/>
  <c r="R2620"/>
  <c r="S2620"/>
  <c r="T2620"/>
  <c r="U2620"/>
  <c r="V2620"/>
  <c r="W2620"/>
  <c r="X2620"/>
  <c r="Y2620"/>
  <c r="AA2620"/>
  <c r="AB2620"/>
  <c r="AC2620"/>
  <c r="AD2620"/>
  <c r="P2621"/>
  <c r="Q2621"/>
  <c r="R2621"/>
  <c r="S2621"/>
  <c r="T2621"/>
  <c r="U2621"/>
  <c r="V2621"/>
  <c r="W2621"/>
  <c r="X2621"/>
  <c r="Y2621"/>
  <c r="AA2621"/>
  <c r="AB2621"/>
  <c r="AC2621"/>
  <c r="AD2621"/>
  <c r="P2622"/>
  <c r="Q2622"/>
  <c r="R2622"/>
  <c r="S2622"/>
  <c r="T2622"/>
  <c r="U2622"/>
  <c r="V2622"/>
  <c r="W2622"/>
  <c r="X2622"/>
  <c r="Y2622"/>
  <c r="AA2622"/>
  <c r="AB2622"/>
  <c r="AC2622"/>
  <c r="AD2622"/>
  <c r="P2623"/>
  <c r="Q2623"/>
  <c r="R2623"/>
  <c r="S2623"/>
  <c r="T2623"/>
  <c r="U2623"/>
  <c r="V2623"/>
  <c r="W2623"/>
  <c r="X2623"/>
  <c r="Y2623"/>
  <c r="AA2623"/>
  <c r="AB2623"/>
  <c r="AC2623"/>
  <c r="AD2623"/>
  <c r="P2624"/>
  <c r="Q2624"/>
  <c r="R2624"/>
  <c r="S2624"/>
  <c r="T2624"/>
  <c r="U2624"/>
  <c r="V2624"/>
  <c r="W2624"/>
  <c r="X2624"/>
  <c r="Y2624"/>
  <c r="AA2624"/>
  <c r="AB2624"/>
  <c r="AC2624"/>
  <c r="AD2624"/>
  <c r="P2625"/>
  <c r="Q2625"/>
  <c r="R2625"/>
  <c r="S2625"/>
  <c r="T2625"/>
  <c r="U2625"/>
  <c r="V2625"/>
  <c r="W2625"/>
  <c r="X2625"/>
  <c r="Y2625"/>
  <c r="AA2625"/>
  <c r="AB2625"/>
  <c r="AC2625"/>
  <c r="AD2625"/>
  <c r="P2626"/>
  <c r="Q2626"/>
  <c r="R2626"/>
  <c r="S2626"/>
  <c r="T2626"/>
  <c r="U2626"/>
  <c r="V2626"/>
  <c r="W2626"/>
  <c r="X2626"/>
  <c r="Y2626"/>
  <c r="AA2626"/>
  <c r="AB2626"/>
  <c r="AC2626"/>
  <c r="AD2626"/>
  <c r="P2627"/>
  <c r="Q2627"/>
  <c r="R2627"/>
  <c r="S2627"/>
  <c r="T2627"/>
  <c r="U2627"/>
  <c r="V2627"/>
  <c r="W2627"/>
  <c r="X2627"/>
  <c r="Y2627"/>
  <c r="AA2627"/>
  <c r="AB2627"/>
  <c r="AC2627"/>
  <c r="AD2627"/>
  <c r="P2628"/>
  <c r="Q2628"/>
  <c r="R2628"/>
  <c r="S2628"/>
  <c r="T2628"/>
  <c r="U2628"/>
  <c r="V2628"/>
  <c r="W2628"/>
  <c r="X2628"/>
  <c r="Y2628"/>
  <c r="AA2628"/>
  <c r="AB2628"/>
  <c r="AC2628"/>
  <c r="AD2628"/>
  <c r="P2629"/>
  <c r="Q2629"/>
  <c r="R2629"/>
  <c r="S2629"/>
  <c r="T2629"/>
  <c r="U2629"/>
  <c r="V2629"/>
  <c r="W2629"/>
  <c r="X2629"/>
  <c r="Y2629"/>
  <c r="AA2629"/>
  <c r="AB2629"/>
  <c r="AC2629"/>
  <c r="AD2629"/>
  <c r="P2630"/>
  <c r="Q2630"/>
  <c r="R2630"/>
  <c r="S2630"/>
  <c r="T2630"/>
  <c r="U2630"/>
  <c r="V2630"/>
  <c r="W2630"/>
  <c r="X2630"/>
  <c r="Y2630"/>
  <c r="AA2630"/>
  <c r="AB2630"/>
  <c r="AC2630"/>
  <c r="AD2630"/>
  <c r="P2631"/>
  <c r="Q2631"/>
  <c r="R2631"/>
  <c r="S2631"/>
  <c r="T2631"/>
  <c r="U2631"/>
  <c r="V2631"/>
  <c r="W2631"/>
  <c r="X2631"/>
  <c r="Y2631"/>
  <c r="AA2631"/>
  <c r="AB2631"/>
  <c r="AC2631"/>
  <c r="AD2631"/>
  <c r="P2632"/>
  <c r="Q2632"/>
  <c r="R2632"/>
  <c r="S2632"/>
  <c r="T2632"/>
  <c r="U2632"/>
  <c r="V2632"/>
  <c r="W2632"/>
  <c r="X2632"/>
  <c r="Y2632"/>
  <c r="AA2632"/>
  <c r="AB2632"/>
  <c r="AC2632"/>
  <c r="AD2632"/>
  <c r="P2633"/>
  <c r="Q2633"/>
  <c r="R2633"/>
  <c r="S2633"/>
  <c r="T2633"/>
  <c r="U2633"/>
  <c r="V2633"/>
  <c r="W2633"/>
  <c r="X2633"/>
  <c r="Y2633"/>
  <c r="AA2633"/>
  <c r="AB2633"/>
  <c r="AC2633"/>
  <c r="AD2633"/>
  <c r="P2634"/>
  <c r="Q2634"/>
  <c r="R2634"/>
  <c r="S2634"/>
  <c r="T2634"/>
  <c r="U2634"/>
  <c r="V2634"/>
  <c r="W2634"/>
  <c r="X2634"/>
  <c r="Y2634"/>
  <c r="AA2634"/>
  <c r="AB2634"/>
  <c r="AC2634"/>
  <c r="AD2634"/>
  <c r="P2635"/>
  <c r="Q2635"/>
  <c r="R2635"/>
  <c r="S2635"/>
  <c r="T2635"/>
  <c r="U2635"/>
  <c r="V2635"/>
  <c r="W2635"/>
  <c r="X2635"/>
  <c r="Y2635"/>
  <c r="AA2635"/>
  <c r="AB2635"/>
  <c r="AC2635"/>
  <c r="AD2635"/>
  <c r="P2636"/>
  <c r="Q2636"/>
  <c r="R2636"/>
  <c r="S2636"/>
  <c r="T2636"/>
  <c r="U2636"/>
  <c r="V2636"/>
  <c r="W2636"/>
  <c r="X2636"/>
  <c r="Y2636"/>
  <c r="AA2636"/>
  <c r="AB2636"/>
  <c r="AC2636"/>
  <c r="AD2636"/>
  <c r="P2637"/>
  <c r="Q2637"/>
  <c r="R2637"/>
  <c r="S2637"/>
  <c r="T2637"/>
  <c r="U2637"/>
  <c r="V2637"/>
  <c r="W2637"/>
  <c r="X2637"/>
  <c r="Y2637"/>
  <c r="AA2637"/>
  <c r="AB2637"/>
  <c r="AC2637"/>
  <c r="AD2637"/>
  <c r="P2638"/>
  <c r="Q2638"/>
  <c r="R2638"/>
  <c r="S2638"/>
  <c r="T2638"/>
  <c r="U2638"/>
  <c r="V2638"/>
  <c r="W2638"/>
  <c r="X2638"/>
  <c r="Y2638"/>
  <c r="AA2638"/>
  <c r="AB2638"/>
  <c r="AC2638"/>
  <c r="AD2638"/>
  <c r="P2639"/>
  <c r="Q2639"/>
  <c r="R2639"/>
  <c r="S2639"/>
  <c r="T2639"/>
  <c r="U2639"/>
  <c r="V2639"/>
  <c r="W2639"/>
  <c r="X2639"/>
  <c r="Y2639"/>
  <c r="AA2639"/>
  <c r="AB2639"/>
  <c r="AC2639"/>
  <c r="AD2639"/>
  <c r="P2640"/>
  <c r="Q2640"/>
  <c r="R2640"/>
  <c r="S2640"/>
  <c r="T2640"/>
  <c r="U2640"/>
  <c r="V2640"/>
  <c r="W2640"/>
  <c r="X2640"/>
  <c r="Y2640"/>
  <c r="AA2640"/>
  <c r="AB2640"/>
  <c r="AC2640"/>
  <c r="AD2640"/>
  <c r="P2641"/>
  <c r="Q2641"/>
  <c r="R2641"/>
  <c r="S2641"/>
  <c r="T2641"/>
  <c r="U2641"/>
  <c r="V2641"/>
  <c r="W2641"/>
  <c r="X2641"/>
  <c r="Y2641"/>
  <c r="AA2641"/>
  <c r="AB2641"/>
  <c r="AC2641"/>
  <c r="AD2641"/>
  <c r="P2642"/>
  <c r="Q2642"/>
  <c r="R2642"/>
  <c r="S2642"/>
  <c r="T2642"/>
  <c r="U2642"/>
  <c r="V2642"/>
  <c r="W2642"/>
  <c r="X2642"/>
  <c r="Y2642"/>
  <c r="AA2642"/>
  <c r="AB2642"/>
  <c r="AC2642"/>
  <c r="AD2642"/>
  <c r="P2643"/>
  <c r="Q2643"/>
  <c r="R2643"/>
  <c r="S2643"/>
  <c r="T2643"/>
  <c r="U2643"/>
  <c r="V2643"/>
  <c r="W2643"/>
  <c r="X2643"/>
  <c r="Y2643"/>
  <c r="AA2643"/>
  <c r="AB2643"/>
  <c r="AC2643"/>
  <c r="AD2643"/>
  <c r="P2644"/>
  <c r="Q2644"/>
  <c r="R2644"/>
  <c r="S2644"/>
  <c r="T2644"/>
  <c r="U2644"/>
  <c r="V2644"/>
  <c r="W2644"/>
  <c r="X2644"/>
  <c r="Y2644"/>
  <c r="AA2644"/>
  <c r="AB2644"/>
  <c r="AC2644"/>
  <c r="AD2644"/>
  <c r="P2645"/>
  <c r="Q2645"/>
  <c r="R2645"/>
  <c r="S2645"/>
  <c r="T2645"/>
  <c r="U2645"/>
  <c r="V2645"/>
  <c r="W2645"/>
  <c r="X2645"/>
  <c r="Y2645"/>
  <c r="AA2645"/>
  <c r="AB2645"/>
  <c r="AC2645"/>
  <c r="AD2645"/>
  <c r="P2646"/>
  <c r="Q2646"/>
  <c r="R2646"/>
  <c r="S2646"/>
  <c r="T2646"/>
  <c r="U2646"/>
  <c r="V2646"/>
  <c r="W2646"/>
  <c r="X2646"/>
  <c r="Y2646"/>
  <c r="AA2646"/>
  <c r="AB2646"/>
  <c r="AC2646"/>
  <c r="AD2646"/>
  <c r="P2647"/>
  <c r="Q2647"/>
  <c r="R2647"/>
  <c r="S2647"/>
  <c r="T2647"/>
  <c r="U2647"/>
  <c r="V2647"/>
  <c r="W2647"/>
  <c r="X2647"/>
  <c r="Y2647"/>
  <c r="AA2647"/>
  <c r="AB2647"/>
  <c r="AC2647"/>
  <c r="AD2647"/>
  <c r="P2648"/>
  <c r="Q2648"/>
  <c r="R2648"/>
  <c r="S2648"/>
  <c r="T2648"/>
  <c r="U2648"/>
  <c r="V2648"/>
  <c r="W2648"/>
  <c r="X2648"/>
  <c r="Y2648"/>
  <c r="AA2648"/>
  <c r="AB2648"/>
  <c r="AC2648"/>
  <c r="AD2648"/>
  <c r="P2649"/>
  <c r="Q2649"/>
  <c r="R2649"/>
  <c r="S2649"/>
  <c r="T2649"/>
  <c r="U2649"/>
  <c r="V2649"/>
  <c r="W2649"/>
  <c r="X2649"/>
  <c r="Y2649"/>
  <c r="AA2649"/>
  <c r="AB2649"/>
  <c r="AC2649"/>
  <c r="AD2649"/>
  <c r="P2650"/>
  <c r="Q2650"/>
  <c r="R2650"/>
  <c r="S2650"/>
  <c r="T2650"/>
  <c r="U2650"/>
  <c r="V2650"/>
  <c r="W2650"/>
  <c r="X2650"/>
  <c r="Y2650"/>
  <c r="AA2650"/>
  <c r="AB2650"/>
  <c r="AC2650"/>
  <c r="AD2650"/>
  <c r="P2651"/>
  <c r="Q2651"/>
  <c r="R2651"/>
  <c r="S2651"/>
  <c r="T2651"/>
  <c r="U2651"/>
  <c r="V2651"/>
  <c r="W2651"/>
  <c r="X2651"/>
  <c r="Y2651"/>
  <c r="AA2651"/>
  <c r="AB2651"/>
  <c r="AC2651"/>
  <c r="AD2651"/>
  <c r="P2652"/>
  <c r="Q2652"/>
  <c r="R2652"/>
  <c r="S2652"/>
  <c r="T2652"/>
  <c r="U2652"/>
  <c r="V2652"/>
  <c r="W2652"/>
  <c r="X2652"/>
  <c r="Y2652"/>
  <c r="AA2652"/>
  <c r="AB2652"/>
  <c r="AC2652"/>
  <c r="AD2652"/>
  <c r="P2653"/>
  <c r="Q2653"/>
  <c r="R2653"/>
  <c r="S2653"/>
  <c r="T2653"/>
  <c r="U2653"/>
  <c r="V2653"/>
  <c r="W2653"/>
  <c r="X2653"/>
  <c r="Y2653"/>
  <c r="AA2653"/>
  <c r="AB2653"/>
  <c r="AC2653"/>
  <c r="AD2653"/>
  <c r="P2654"/>
  <c r="Q2654"/>
  <c r="R2654"/>
  <c r="S2654"/>
  <c r="T2654"/>
  <c r="U2654"/>
  <c r="V2654"/>
  <c r="W2654"/>
  <c r="X2654"/>
  <c r="Y2654"/>
  <c r="AA2654"/>
  <c r="AB2654"/>
  <c r="AC2654"/>
  <c r="AD2654"/>
  <c r="P2655"/>
  <c r="Q2655"/>
  <c r="R2655"/>
  <c r="S2655"/>
  <c r="T2655"/>
  <c r="U2655"/>
  <c r="V2655"/>
  <c r="W2655"/>
  <c r="X2655"/>
  <c r="Y2655"/>
  <c r="AA2655"/>
  <c r="AB2655"/>
  <c r="AC2655"/>
  <c r="AD2655"/>
  <c r="P2656"/>
  <c r="Q2656"/>
  <c r="R2656"/>
  <c r="S2656"/>
  <c r="T2656"/>
  <c r="U2656"/>
  <c r="V2656"/>
  <c r="W2656"/>
  <c r="X2656"/>
  <c r="Y2656"/>
  <c r="AA2656"/>
  <c r="AB2656"/>
  <c r="AC2656"/>
  <c r="AD2656"/>
  <c r="P2657"/>
  <c r="Q2657"/>
  <c r="R2657"/>
  <c r="S2657"/>
  <c r="T2657"/>
  <c r="U2657"/>
  <c r="V2657"/>
  <c r="W2657"/>
  <c r="X2657"/>
  <c r="Y2657"/>
  <c r="AA2657"/>
  <c r="AB2657"/>
  <c r="AC2657"/>
  <c r="AD2657"/>
  <c r="P2658"/>
  <c r="Q2658"/>
  <c r="R2658"/>
  <c r="S2658"/>
  <c r="T2658"/>
  <c r="U2658"/>
  <c r="V2658"/>
  <c r="W2658"/>
  <c r="X2658"/>
  <c r="Y2658"/>
  <c r="AA2658"/>
  <c r="AB2658"/>
  <c r="AC2658"/>
  <c r="AD2658"/>
  <c r="P2659"/>
  <c r="Q2659"/>
  <c r="R2659"/>
  <c r="S2659"/>
  <c r="T2659"/>
  <c r="U2659"/>
  <c r="V2659"/>
  <c r="W2659"/>
  <c r="X2659"/>
  <c r="Y2659"/>
  <c r="AA2659"/>
  <c r="AB2659"/>
  <c r="AC2659"/>
  <c r="AD2659"/>
  <c r="P2660"/>
  <c r="Q2660"/>
  <c r="R2660"/>
  <c r="S2660"/>
  <c r="T2660"/>
  <c r="U2660"/>
  <c r="V2660"/>
  <c r="W2660"/>
  <c r="X2660"/>
  <c r="Y2660"/>
  <c r="AA2660"/>
  <c r="AB2660"/>
  <c r="AC2660"/>
  <c r="AD2660"/>
  <c r="P2661"/>
  <c r="Q2661"/>
  <c r="R2661"/>
  <c r="S2661"/>
  <c r="T2661"/>
  <c r="U2661"/>
  <c r="V2661"/>
  <c r="W2661"/>
  <c r="X2661"/>
  <c r="Y2661"/>
  <c r="AA2661"/>
  <c r="AB2661"/>
  <c r="AC2661"/>
  <c r="AD2661"/>
  <c r="P2662"/>
  <c r="Q2662"/>
  <c r="R2662"/>
  <c r="S2662"/>
  <c r="T2662"/>
  <c r="U2662"/>
  <c r="V2662"/>
  <c r="W2662"/>
  <c r="X2662"/>
  <c r="Y2662"/>
  <c r="AA2662"/>
  <c r="AB2662"/>
  <c r="AC2662"/>
  <c r="AD2662"/>
  <c r="P2663"/>
  <c r="Q2663"/>
  <c r="R2663"/>
  <c r="S2663"/>
  <c r="T2663"/>
  <c r="U2663"/>
  <c r="V2663"/>
  <c r="W2663"/>
  <c r="X2663"/>
  <c r="Y2663"/>
  <c r="AA2663"/>
  <c r="AB2663"/>
  <c r="AC2663"/>
  <c r="AD2663"/>
  <c r="P2664"/>
  <c r="Q2664"/>
  <c r="R2664"/>
  <c r="S2664"/>
  <c r="T2664"/>
  <c r="U2664"/>
  <c r="V2664"/>
  <c r="W2664"/>
  <c r="X2664"/>
  <c r="Y2664"/>
  <c r="AA2664"/>
  <c r="AB2664"/>
  <c r="AC2664"/>
  <c r="AD2664"/>
  <c r="P2665"/>
  <c r="Q2665"/>
  <c r="R2665"/>
  <c r="S2665"/>
  <c r="T2665"/>
  <c r="U2665"/>
  <c r="V2665"/>
  <c r="W2665"/>
  <c r="X2665"/>
  <c r="Y2665"/>
  <c r="AA2665"/>
  <c r="AB2665"/>
  <c r="AC2665"/>
  <c r="AD2665"/>
  <c r="P2666"/>
  <c r="Q2666"/>
  <c r="R2666"/>
  <c r="S2666"/>
  <c r="T2666"/>
  <c r="U2666"/>
  <c r="V2666"/>
  <c r="W2666"/>
  <c r="X2666"/>
  <c r="Y2666"/>
  <c r="AA2666"/>
  <c r="AB2666"/>
  <c r="AC2666"/>
  <c r="AD2666"/>
  <c r="P2667"/>
  <c r="Q2667"/>
  <c r="R2667"/>
  <c r="S2667"/>
  <c r="T2667"/>
  <c r="U2667"/>
  <c r="V2667"/>
  <c r="W2667"/>
  <c r="X2667"/>
  <c r="Y2667"/>
  <c r="AA2667"/>
  <c r="AB2667"/>
  <c r="AC2667"/>
  <c r="AD2667"/>
  <c r="P2668"/>
  <c r="Q2668"/>
  <c r="R2668"/>
  <c r="S2668"/>
  <c r="T2668"/>
  <c r="U2668"/>
  <c r="V2668"/>
  <c r="W2668"/>
  <c r="X2668"/>
  <c r="Y2668"/>
  <c r="AA2668"/>
  <c r="AB2668"/>
  <c r="AC2668"/>
  <c r="AD2668"/>
  <c r="P2669"/>
  <c r="Q2669"/>
  <c r="R2669"/>
  <c r="S2669"/>
  <c r="T2669"/>
  <c r="U2669"/>
  <c r="V2669"/>
  <c r="W2669"/>
  <c r="X2669"/>
  <c r="Y2669"/>
  <c r="AA2669"/>
  <c r="AB2669"/>
  <c r="AC2669"/>
  <c r="AD2669"/>
  <c r="P2670"/>
  <c r="Q2670"/>
  <c r="R2670"/>
  <c r="S2670"/>
  <c r="T2670"/>
  <c r="U2670"/>
  <c r="V2670"/>
  <c r="W2670"/>
  <c r="X2670"/>
  <c r="Y2670"/>
  <c r="AA2670"/>
  <c r="AB2670"/>
  <c r="AC2670"/>
  <c r="AD2670"/>
  <c r="P2671"/>
  <c r="Q2671"/>
  <c r="R2671"/>
  <c r="S2671"/>
  <c r="T2671"/>
  <c r="U2671"/>
  <c r="V2671"/>
  <c r="W2671"/>
  <c r="X2671"/>
  <c r="Y2671"/>
  <c r="AA2671"/>
  <c r="AB2671"/>
  <c r="AC2671"/>
  <c r="AD2671"/>
  <c r="P2672"/>
  <c r="Q2672"/>
  <c r="R2672"/>
  <c r="S2672"/>
  <c r="T2672"/>
  <c r="U2672"/>
  <c r="V2672"/>
  <c r="W2672"/>
  <c r="X2672"/>
  <c r="Y2672"/>
  <c r="AA2672"/>
  <c r="AB2672"/>
  <c r="AC2672"/>
  <c r="AD2672"/>
  <c r="P2673"/>
  <c r="Q2673"/>
  <c r="R2673"/>
  <c r="S2673"/>
  <c r="T2673"/>
  <c r="U2673"/>
  <c r="V2673"/>
  <c r="W2673"/>
  <c r="X2673"/>
  <c r="Y2673"/>
  <c r="AA2673"/>
  <c r="AB2673"/>
  <c r="AC2673"/>
  <c r="AD2673"/>
  <c r="P2674"/>
  <c r="Q2674"/>
  <c r="R2674"/>
  <c r="S2674"/>
  <c r="T2674"/>
  <c r="U2674"/>
  <c r="V2674"/>
  <c r="W2674"/>
  <c r="X2674"/>
  <c r="Y2674"/>
  <c r="AA2674"/>
  <c r="AB2674"/>
  <c r="AC2674"/>
  <c r="AD2674"/>
  <c r="P2675"/>
  <c r="Q2675"/>
  <c r="R2675"/>
  <c r="S2675"/>
  <c r="T2675"/>
  <c r="U2675"/>
  <c r="V2675"/>
  <c r="W2675"/>
  <c r="X2675"/>
  <c r="Y2675"/>
  <c r="AA2675"/>
  <c r="AB2675"/>
  <c r="AC2675"/>
  <c r="AD2675"/>
  <c r="P2676"/>
  <c r="Q2676"/>
  <c r="R2676"/>
  <c r="S2676"/>
  <c r="T2676"/>
  <c r="U2676"/>
  <c r="V2676"/>
  <c r="W2676"/>
  <c r="X2676"/>
  <c r="Y2676"/>
  <c r="AA2676"/>
  <c r="AB2676"/>
  <c r="AC2676"/>
  <c r="AD2676"/>
  <c r="P2677"/>
  <c r="Q2677"/>
  <c r="R2677"/>
  <c r="S2677"/>
  <c r="T2677"/>
  <c r="U2677"/>
  <c r="V2677"/>
  <c r="W2677"/>
  <c r="X2677"/>
  <c r="Y2677"/>
  <c r="AA2677"/>
  <c r="AB2677"/>
  <c r="AC2677"/>
  <c r="AD2677"/>
  <c r="P2678"/>
  <c r="Q2678"/>
  <c r="R2678"/>
  <c r="S2678"/>
  <c r="T2678"/>
  <c r="U2678"/>
  <c r="V2678"/>
  <c r="W2678"/>
  <c r="X2678"/>
  <c r="Y2678"/>
  <c r="AA2678"/>
  <c r="AB2678"/>
  <c r="AC2678"/>
  <c r="AD2678"/>
  <c r="P2679"/>
  <c r="Q2679"/>
  <c r="R2679"/>
  <c r="S2679"/>
  <c r="T2679"/>
  <c r="U2679"/>
  <c r="V2679"/>
  <c r="W2679"/>
  <c r="X2679"/>
  <c r="Y2679"/>
  <c r="AA2679"/>
  <c r="AB2679"/>
  <c r="AC2679"/>
  <c r="AD2679"/>
  <c r="P2680"/>
  <c r="Q2680"/>
  <c r="R2680"/>
  <c r="S2680"/>
  <c r="T2680"/>
  <c r="U2680"/>
  <c r="V2680"/>
  <c r="W2680"/>
  <c r="X2680"/>
  <c r="Y2680"/>
  <c r="AA2680"/>
  <c r="AB2680"/>
  <c r="AC2680"/>
  <c r="AD2680"/>
  <c r="P2681"/>
  <c r="Q2681"/>
  <c r="R2681"/>
  <c r="S2681"/>
  <c r="T2681"/>
  <c r="U2681"/>
  <c r="V2681"/>
  <c r="W2681"/>
  <c r="X2681"/>
  <c r="Y2681"/>
  <c r="AA2681"/>
  <c r="AB2681"/>
  <c r="AC2681"/>
  <c r="AD2681"/>
  <c r="P2682"/>
  <c r="Q2682"/>
  <c r="R2682"/>
  <c r="S2682"/>
  <c r="T2682"/>
  <c r="U2682"/>
  <c r="V2682"/>
  <c r="W2682"/>
  <c r="X2682"/>
  <c r="Y2682"/>
  <c r="AA2682"/>
  <c r="AB2682"/>
  <c r="AC2682"/>
  <c r="AD2682"/>
  <c r="P2683"/>
  <c r="Q2683"/>
  <c r="R2683"/>
  <c r="S2683"/>
  <c r="T2683"/>
  <c r="U2683"/>
  <c r="V2683"/>
  <c r="W2683"/>
  <c r="X2683"/>
  <c r="Y2683"/>
  <c r="AA2683"/>
  <c r="AB2683"/>
  <c r="AC2683"/>
  <c r="AD2683"/>
  <c r="P2684"/>
  <c r="Q2684"/>
  <c r="R2684"/>
  <c r="S2684"/>
  <c r="T2684"/>
  <c r="U2684"/>
  <c r="V2684"/>
  <c r="W2684"/>
  <c r="X2684"/>
  <c r="Y2684"/>
  <c r="AA2684"/>
  <c r="AB2684"/>
  <c r="AC2684"/>
  <c r="AD2684"/>
  <c r="P2685"/>
  <c r="Q2685"/>
  <c r="R2685"/>
  <c r="S2685"/>
  <c r="T2685"/>
  <c r="U2685"/>
  <c r="V2685"/>
  <c r="W2685"/>
  <c r="X2685"/>
  <c r="Y2685"/>
  <c r="AA2685"/>
  <c r="AB2685"/>
  <c r="AC2685"/>
  <c r="AD2685"/>
  <c r="P2686"/>
  <c r="Q2686"/>
  <c r="R2686"/>
  <c r="S2686"/>
  <c r="T2686"/>
  <c r="U2686"/>
  <c r="V2686"/>
  <c r="W2686"/>
  <c r="X2686"/>
  <c r="Y2686"/>
  <c r="AA2686"/>
  <c r="AB2686"/>
  <c r="AC2686"/>
  <c r="AD2686"/>
  <c r="P2687"/>
  <c r="Q2687"/>
  <c r="R2687"/>
  <c r="S2687"/>
  <c r="T2687"/>
  <c r="U2687"/>
  <c r="V2687"/>
  <c r="W2687"/>
  <c r="X2687"/>
  <c r="Y2687"/>
  <c r="AA2687"/>
  <c r="AB2687"/>
  <c r="AC2687"/>
  <c r="AD2687"/>
  <c r="P2688"/>
  <c r="Q2688"/>
  <c r="R2688"/>
  <c r="S2688"/>
  <c r="T2688"/>
  <c r="U2688"/>
  <c r="V2688"/>
  <c r="W2688"/>
  <c r="X2688"/>
  <c r="Y2688"/>
  <c r="AA2688"/>
  <c r="AB2688"/>
  <c r="AC2688"/>
  <c r="AD2688"/>
  <c r="P2689"/>
  <c r="Q2689"/>
  <c r="R2689"/>
  <c r="S2689"/>
  <c r="T2689"/>
  <c r="U2689"/>
  <c r="V2689"/>
  <c r="W2689"/>
  <c r="X2689"/>
  <c r="Y2689"/>
  <c r="AA2689"/>
  <c r="AB2689"/>
  <c r="AC2689"/>
  <c r="AD2689"/>
  <c r="P2690"/>
  <c r="Q2690"/>
  <c r="R2690"/>
  <c r="S2690"/>
  <c r="T2690"/>
  <c r="U2690"/>
  <c r="V2690"/>
  <c r="W2690"/>
  <c r="X2690"/>
  <c r="Y2690"/>
  <c r="AA2690"/>
  <c r="AB2690"/>
  <c r="AC2690"/>
  <c r="AD2690"/>
  <c r="P2691"/>
  <c r="Q2691"/>
  <c r="R2691"/>
  <c r="S2691"/>
  <c r="T2691"/>
  <c r="U2691"/>
  <c r="V2691"/>
  <c r="W2691"/>
  <c r="X2691"/>
  <c r="Y2691"/>
  <c r="AA2691"/>
  <c r="AB2691"/>
  <c r="AC2691"/>
  <c r="AD2691"/>
  <c r="P2692"/>
  <c r="Q2692"/>
  <c r="R2692"/>
  <c r="S2692"/>
  <c r="T2692"/>
  <c r="U2692"/>
  <c r="V2692"/>
  <c r="W2692"/>
  <c r="X2692"/>
  <c r="Y2692"/>
  <c r="AA2692"/>
  <c r="AB2692"/>
  <c r="AC2692"/>
  <c r="AD2692"/>
  <c r="P2693"/>
  <c r="Q2693"/>
  <c r="R2693"/>
  <c r="S2693"/>
  <c r="T2693"/>
  <c r="U2693"/>
  <c r="V2693"/>
  <c r="W2693"/>
  <c r="X2693"/>
  <c r="Y2693"/>
  <c r="AA2693"/>
  <c r="AB2693"/>
  <c r="AC2693"/>
  <c r="AD2693"/>
  <c r="P2694"/>
  <c r="Q2694"/>
  <c r="R2694"/>
  <c r="S2694"/>
  <c r="T2694"/>
  <c r="U2694"/>
  <c r="V2694"/>
  <c r="W2694"/>
  <c r="X2694"/>
  <c r="Y2694"/>
  <c r="AA2694"/>
  <c r="AB2694"/>
  <c r="AC2694"/>
  <c r="AD2694"/>
  <c r="P2695"/>
  <c r="Q2695"/>
  <c r="R2695"/>
  <c r="S2695"/>
  <c r="T2695"/>
  <c r="U2695"/>
  <c r="V2695"/>
  <c r="W2695"/>
  <c r="X2695"/>
  <c r="Y2695"/>
  <c r="AA2695"/>
  <c r="AB2695"/>
  <c r="AC2695"/>
  <c r="AD2695"/>
  <c r="P2696"/>
  <c r="Q2696"/>
  <c r="R2696"/>
  <c r="S2696"/>
  <c r="T2696"/>
  <c r="U2696"/>
  <c r="V2696"/>
  <c r="W2696"/>
  <c r="X2696"/>
  <c r="Y2696"/>
  <c r="AA2696"/>
  <c r="AB2696"/>
  <c r="AC2696"/>
  <c r="AD2696"/>
  <c r="P2697"/>
  <c r="Q2697"/>
  <c r="R2697"/>
  <c r="S2697"/>
  <c r="T2697"/>
  <c r="U2697"/>
  <c r="V2697"/>
  <c r="W2697"/>
  <c r="X2697"/>
  <c r="Y2697"/>
  <c r="AA2697"/>
  <c r="AB2697"/>
  <c r="AC2697"/>
  <c r="AD2697"/>
  <c r="P2698"/>
  <c r="Q2698"/>
  <c r="R2698"/>
  <c r="S2698"/>
  <c r="T2698"/>
  <c r="U2698"/>
  <c r="V2698"/>
  <c r="W2698"/>
  <c r="X2698"/>
  <c r="Y2698"/>
  <c r="AA2698"/>
  <c r="AB2698"/>
  <c r="AC2698"/>
  <c r="AD2698"/>
  <c r="P2699"/>
  <c r="Q2699"/>
  <c r="R2699"/>
  <c r="S2699"/>
  <c r="T2699"/>
  <c r="U2699"/>
  <c r="V2699"/>
  <c r="W2699"/>
  <c r="X2699"/>
  <c r="Y2699"/>
  <c r="AA2699"/>
  <c r="AB2699"/>
  <c r="AC2699"/>
  <c r="AD2699"/>
  <c r="P2700"/>
  <c r="Q2700"/>
  <c r="R2700"/>
  <c r="S2700"/>
  <c r="T2700"/>
  <c r="U2700"/>
  <c r="V2700"/>
  <c r="W2700"/>
  <c r="X2700"/>
  <c r="Y2700"/>
  <c r="AA2700"/>
  <c r="AB2700"/>
  <c r="AC2700"/>
  <c r="AD2700"/>
  <c r="P2701"/>
  <c r="Q2701"/>
  <c r="R2701"/>
  <c r="S2701"/>
  <c r="T2701"/>
  <c r="U2701"/>
  <c r="V2701"/>
  <c r="W2701"/>
  <c r="X2701"/>
  <c r="Y2701"/>
  <c r="AA2701"/>
  <c r="AB2701"/>
  <c r="AC2701"/>
  <c r="AD2701"/>
  <c r="P2702"/>
  <c r="Q2702"/>
  <c r="R2702"/>
  <c r="S2702"/>
  <c r="T2702"/>
  <c r="U2702"/>
  <c r="V2702"/>
  <c r="W2702"/>
  <c r="X2702"/>
  <c r="Y2702"/>
  <c r="AA2702"/>
  <c r="AB2702"/>
  <c r="AC2702"/>
  <c r="AD2702"/>
  <c r="P2703"/>
  <c r="Q2703"/>
  <c r="R2703"/>
  <c r="S2703"/>
  <c r="T2703"/>
  <c r="U2703"/>
  <c r="V2703"/>
  <c r="W2703"/>
  <c r="X2703"/>
  <c r="Y2703"/>
  <c r="AA2703"/>
  <c r="AB2703"/>
  <c r="AC2703"/>
  <c r="AD2703"/>
  <c r="P2704"/>
  <c r="Q2704"/>
  <c r="R2704"/>
  <c r="S2704"/>
  <c r="T2704"/>
  <c r="U2704"/>
  <c r="V2704"/>
  <c r="W2704"/>
  <c r="X2704"/>
  <c r="Y2704"/>
  <c r="AA2704"/>
  <c r="AB2704"/>
  <c r="AC2704"/>
  <c r="AD2704"/>
  <c r="P2705"/>
  <c r="Q2705"/>
  <c r="R2705"/>
  <c r="S2705"/>
  <c r="T2705"/>
  <c r="U2705"/>
  <c r="V2705"/>
  <c r="W2705"/>
  <c r="X2705"/>
  <c r="Y2705"/>
  <c r="AA2705"/>
  <c r="AB2705"/>
  <c r="AC2705"/>
  <c r="AD2705"/>
  <c r="P2706"/>
  <c r="Q2706"/>
  <c r="R2706"/>
  <c r="S2706"/>
  <c r="T2706"/>
  <c r="U2706"/>
  <c r="V2706"/>
  <c r="W2706"/>
  <c r="X2706"/>
  <c r="Y2706"/>
  <c r="AA2706"/>
  <c r="AB2706"/>
  <c r="AC2706"/>
  <c r="AD2706"/>
  <c r="P2707"/>
  <c r="Q2707"/>
  <c r="R2707"/>
  <c r="S2707"/>
  <c r="T2707"/>
  <c r="U2707"/>
  <c r="V2707"/>
  <c r="W2707"/>
  <c r="X2707"/>
  <c r="Y2707"/>
  <c r="AA2707"/>
  <c r="AB2707"/>
  <c r="AC2707"/>
  <c r="AD2707"/>
  <c r="P2708"/>
  <c r="Q2708"/>
  <c r="R2708"/>
  <c r="S2708"/>
  <c r="T2708"/>
  <c r="U2708"/>
  <c r="V2708"/>
  <c r="W2708"/>
  <c r="X2708"/>
  <c r="Y2708"/>
  <c r="AA2708"/>
  <c r="AB2708"/>
  <c r="AC2708"/>
  <c r="AD2708"/>
  <c r="P2709"/>
  <c r="Q2709"/>
  <c r="R2709"/>
  <c r="S2709"/>
  <c r="T2709"/>
  <c r="U2709"/>
  <c r="V2709"/>
  <c r="W2709"/>
  <c r="X2709"/>
  <c r="Y2709"/>
  <c r="AA2709"/>
  <c r="AB2709"/>
  <c r="AC2709"/>
  <c r="AD2709"/>
  <c r="P2710"/>
  <c r="Q2710"/>
  <c r="R2710"/>
  <c r="S2710"/>
  <c r="T2710"/>
  <c r="U2710"/>
  <c r="V2710"/>
  <c r="W2710"/>
  <c r="X2710"/>
  <c r="Y2710"/>
  <c r="AA2710"/>
  <c r="AB2710"/>
  <c r="AC2710"/>
  <c r="AD2710"/>
  <c r="P2711"/>
  <c r="Q2711"/>
  <c r="R2711"/>
  <c r="S2711"/>
  <c r="T2711"/>
  <c r="U2711"/>
  <c r="V2711"/>
  <c r="W2711"/>
  <c r="X2711"/>
  <c r="Y2711"/>
  <c r="AA2711"/>
  <c r="AB2711"/>
  <c r="AC2711"/>
  <c r="AD2711"/>
  <c r="P2712"/>
  <c r="Q2712"/>
  <c r="R2712"/>
  <c r="S2712"/>
  <c r="T2712"/>
  <c r="U2712"/>
  <c r="V2712"/>
  <c r="W2712"/>
  <c r="X2712"/>
  <c r="Y2712"/>
  <c r="AA2712"/>
  <c r="AB2712"/>
  <c r="AC2712"/>
  <c r="AD2712"/>
  <c r="P2713"/>
  <c r="Q2713"/>
  <c r="R2713"/>
  <c r="S2713"/>
  <c r="T2713"/>
  <c r="U2713"/>
  <c r="V2713"/>
  <c r="W2713"/>
  <c r="X2713"/>
  <c r="Y2713"/>
  <c r="AA2713"/>
  <c r="AB2713"/>
  <c r="AC2713"/>
  <c r="AD2713"/>
  <c r="P2714"/>
  <c r="Q2714"/>
  <c r="R2714"/>
  <c r="S2714"/>
  <c r="T2714"/>
  <c r="U2714"/>
  <c r="V2714"/>
  <c r="W2714"/>
  <c r="X2714"/>
  <c r="Y2714"/>
  <c r="AA2714"/>
  <c r="AB2714"/>
  <c r="AC2714"/>
  <c r="AD2714"/>
  <c r="P2715"/>
  <c r="Q2715"/>
  <c r="R2715"/>
  <c r="S2715"/>
  <c r="T2715"/>
  <c r="U2715"/>
  <c r="V2715"/>
  <c r="W2715"/>
  <c r="X2715"/>
  <c r="Y2715"/>
  <c r="AA2715"/>
  <c r="AB2715"/>
  <c r="AC2715"/>
  <c r="AD2715"/>
  <c r="P2716"/>
  <c r="Q2716"/>
  <c r="R2716"/>
  <c r="S2716"/>
  <c r="T2716"/>
  <c r="U2716"/>
  <c r="V2716"/>
  <c r="W2716"/>
  <c r="X2716"/>
  <c r="Y2716"/>
  <c r="AA2716"/>
  <c r="AB2716"/>
  <c r="AC2716"/>
  <c r="AD2716"/>
  <c r="P2717"/>
  <c r="Q2717"/>
  <c r="R2717"/>
  <c r="S2717"/>
  <c r="T2717"/>
  <c r="U2717"/>
  <c r="V2717"/>
  <c r="W2717"/>
  <c r="X2717"/>
  <c r="Y2717"/>
  <c r="AA2717"/>
  <c r="AB2717"/>
  <c r="AC2717"/>
  <c r="AD2717"/>
  <c r="P2718"/>
  <c r="Q2718"/>
  <c r="R2718"/>
  <c r="S2718"/>
  <c r="T2718"/>
  <c r="U2718"/>
  <c r="V2718"/>
  <c r="W2718"/>
  <c r="X2718"/>
  <c r="Y2718"/>
  <c r="AA2718"/>
  <c r="AB2718"/>
  <c r="AC2718"/>
  <c r="AD2718"/>
  <c r="P2719"/>
  <c r="Q2719"/>
  <c r="R2719"/>
  <c r="S2719"/>
  <c r="T2719"/>
  <c r="U2719"/>
  <c r="V2719"/>
  <c r="W2719"/>
  <c r="X2719"/>
  <c r="Y2719"/>
  <c r="AA2719"/>
  <c r="AB2719"/>
  <c r="AC2719"/>
  <c r="AD2719"/>
  <c r="P2720"/>
  <c r="Q2720"/>
  <c r="R2720"/>
  <c r="S2720"/>
  <c r="T2720"/>
  <c r="U2720"/>
  <c r="V2720"/>
  <c r="W2720"/>
  <c r="X2720"/>
  <c r="Y2720"/>
  <c r="AA2720"/>
  <c r="AB2720"/>
  <c r="AC2720"/>
  <c r="AD2720"/>
  <c r="P2721"/>
  <c r="Q2721"/>
  <c r="R2721"/>
  <c r="S2721"/>
  <c r="T2721"/>
  <c r="U2721"/>
  <c r="V2721"/>
  <c r="W2721"/>
  <c r="X2721"/>
  <c r="Y2721"/>
  <c r="AA2721"/>
  <c r="AB2721"/>
  <c r="AC2721"/>
  <c r="AD2721"/>
  <c r="P2722"/>
  <c r="Q2722"/>
  <c r="R2722"/>
  <c r="S2722"/>
  <c r="T2722"/>
  <c r="U2722"/>
  <c r="V2722"/>
  <c r="W2722"/>
  <c r="X2722"/>
  <c r="Y2722"/>
  <c r="AA2722"/>
  <c r="AB2722"/>
  <c r="AC2722"/>
  <c r="AD2722"/>
  <c r="P2723"/>
  <c r="Q2723"/>
  <c r="R2723"/>
  <c r="S2723"/>
  <c r="T2723"/>
  <c r="U2723"/>
  <c r="V2723"/>
  <c r="W2723"/>
  <c r="X2723"/>
  <c r="Y2723"/>
  <c r="AA2723"/>
  <c r="AB2723"/>
  <c r="AC2723"/>
  <c r="AD2723"/>
  <c r="P2724"/>
  <c r="Q2724"/>
  <c r="R2724"/>
  <c r="S2724"/>
  <c r="T2724"/>
  <c r="U2724"/>
  <c r="V2724"/>
  <c r="W2724"/>
  <c r="X2724"/>
  <c r="Y2724"/>
  <c r="AA2724"/>
  <c r="AB2724"/>
  <c r="AC2724"/>
  <c r="AD2724"/>
  <c r="P2725"/>
  <c r="Q2725"/>
  <c r="R2725"/>
  <c r="S2725"/>
  <c r="T2725"/>
  <c r="U2725"/>
  <c r="V2725"/>
  <c r="W2725"/>
  <c r="X2725"/>
  <c r="Y2725"/>
  <c r="AA2725"/>
  <c r="AB2725"/>
  <c r="AC2725"/>
  <c r="AD2725"/>
  <c r="P2726"/>
  <c r="Q2726"/>
  <c r="R2726"/>
  <c r="S2726"/>
  <c r="T2726"/>
  <c r="U2726"/>
  <c r="V2726"/>
  <c r="W2726"/>
  <c r="X2726"/>
  <c r="Y2726"/>
  <c r="AA2726"/>
  <c r="AB2726"/>
  <c r="AC2726"/>
  <c r="AD2726"/>
  <c r="P2727"/>
  <c r="Q2727"/>
  <c r="R2727"/>
  <c r="S2727"/>
  <c r="T2727"/>
  <c r="U2727"/>
  <c r="V2727"/>
  <c r="W2727"/>
  <c r="X2727"/>
  <c r="Y2727"/>
  <c r="AA2727"/>
  <c r="AB2727"/>
  <c r="AC2727"/>
  <c r="AD2727"/>
  <c r="P2728"/>
  <c r="Q2728"/>
  <c r="R2728"/>
  <c r="S2728"/>
  <c r="T2728"/>
  <c r="U2728"/>
  <c r="V2728"/>
  <c r="W2728"/>
  <c r="X2728"/>
  <c r="Y2728"/>
  <c r="AA2728"/>
  <c r="AB2728"/>
  <c r="AC2728"/>
  <c r="AD2728"/>
  <c r="P2729"/>
  <c r="Q2729"/>
  <c r="R2729"/>
  <c r="S2729"/>
  <c r="T2729"/>
  <c r="U2729"/>
  <c r="V2729"/>
  <c r="W2729"/>
  <c r="X2729"/>
  <c r="Y2729"/>
  <c r="AA2729"/>
  <c r="AB2729"/>
  <c r="AC2729"/>
  <c r="AD2729"/>
  <c r="P2730"/>
  <c r="Q2730"/>
  <c r="R2730"/>
  <c r="S2730"/>
  <c r="T2730"/>
  <c r="U2730"/>
  <c r="V2730"/>
  <c r="W2730"/>
  <c r="X2730"/>
  <c r="Y2730"/>
  <c r="AA2730"/>
  <c r="AB2730"/>
  <c r="AC2730"/>
  <c r="AD2730"/>
  <c r="P2731"/>
  <c r="Q2731"/>
  <c r="R2731"/>
  <c r="S2731"/>
  <c r="T2731"/>
  <c r="U2731"/>
  <c r="V2731"/>
  <c r="W2731"/>
  <c r="X2731"/>
  <c r="Y2731"/>
  <c r="AA2731"/>
  <c r="AB2731"/>
  <c r="AC2731"/>
  <c r="AD2731"/>
  <c r="P2732"/>
  <c r="Q2732"/>
  <c r="R2732"/>
  <c r="S2732"/>
  <c r="T2732"/>
  <c r="U2732"/>
  <c r="V2732"/>
  <c r="W2732"/>
  <c r="X2732"/>
  <c r="Y2732"/>
  <c r="AA2732"/>
  <c r="AB2732"/>
  <c r="AC2732"/>
  <c r="AD2732"/>
  <c r="P2733"/>
  <c r="Q2733"/>
  <c r="R2733"/>
  <c r="S2733"/>
  <c r="T2733"/>
  <c r="U2733"/>
  <c r="V2733"/>
  <c r="W2733"/>
  <c r="X2733"/>
  <c r="Y2733"/>
  <c r="AA2733"/>
  <c r="AB2733"/>
  <c r="AC2733"/>
  <c r="AD2733"/>
  <c r="P2734"/>
  <c r="Q2734"/>
  <c r="R2734"/>
  <c r="S2734"/>
  <c r="T2734"/>
  <c r="U2734"/>
  <c r="V2734"/>
  <c r="W2734"/>
  <c r="X2734"/>
  <c r="Y2734"/>
  <c r="AA2734"/>
  <c r="AB2734"/>
  <c r="AC2734"/>
  <c r="AD2734"/>
  <c r="P2735"/>
  <c r="Q2735"/>
  <c r="R2735"/>
  <c r="S2735"/>
  <c r="T2735"/>
  <c r="U2735"/>
  <c r="V2735"/>
  <c r="W2735"/>
  <c r="X2735"/>
  <c r="Y2735"/>
  <c r="AA2735"/>
  <c r="AB2735"/>
  <c r="AC2735"/>
  <c r="AD2735"/>
  <c r="P2736"/>
  <c r="Q2736"/>
  <c r="R2736"/>
  <c r="S2736"/>
  <c r="T2736"/>
  <c r="U2736"/>
  <c r="V2736"/>
  <c r="W2736"/>
  <c r="X2736"/>
  <c r="Y2736"/>
  <c r="AA2736"/>
  <c r="AB2736"/>
  <c r="AC2736"/>
  <c r="AD2736"/>
  <c r="P2737"/>
  <c r="Q2737"/>
  <c r="R2737"/>
  <c r="S2737"/>
  <c r="T2737"/>
  <c r="U2737"/>
  <c r="V2737"/>
  <c r="W2737"/>
  <c r="X2737"/>
  <c r="Y2737"/>
  <c r="AA2737"/>
  <c r="AB2737"/>
  <c r="AC2737"/>
  <c r="AD2737"/>
  <c r="P2738"/>
  <c r="Q2738"/>
  <c r="R2738"/>
  <c r="S2738"/>
  <c r="T2738"/>
  <c r="U2738"/>
  <c r="V2738"/>
  <c r="W2738"/>
  <c r="X2738"/>
  <c r="Y2738"/>
  <c r="AA2738"/>
  <c r="AB2738"/>
  <c r="AC2738"/>
  <c r="AD2738"/>
  <c r="P2739"/>
  <c r="Q2739"/>
  <c r="R2739"/>
  <c r="S2739"/>
  <c r="T2739"/>
  <c r="U2739"/>
  <c r="V2739"/>
  <c r="W2739"/>
  <c r="X2739"/>
  <c r="Y2739"/>
  <c r="AA2739"/>
  <c r="AB2739"/>
  <c r="AC2739"/>
  <c r="AD2739"/>
  <c r="P2740"/>
  <c r="Q2740"/>
  <c r="R2740"/>
  <c r="S2740"/>
  <c r="T2740"/>
  <c r="U2740"/>
  <c r="V2740"/>
  <c r="W2740"/>
  <c r="X2740"/>
  <c r="Y2740"/>
  <c r="AA2740"/>
  <c r="AB2740"/>
  <c r="AC2740"/>
  <c r="AD2740"/>
  <c r="P2741"/>
  <c r="Q2741"/>
  <c r="R2741"/>
  <c r="S2741"/>
  <c r="T2741"/>
  <c r="U2741"/>
  <c r="V2741"/>
  <c r="W2741"/>
  <c r="X2741"/>
  <c r="Y2741"/>
  <c r="AA2741"/>
  <c r="AB2741"/>
  <c r="AC2741"/>
  <c r="AD2741"/>
  <c r="P2742"/>
  <c r="Q2742"/>
  <c r="R2742"/>
  <c r="S2742"/>
  <c r="T2742"/>
  <c r="U2742"/>
  <c r="V2742"/>
  <c r="W2742"/>
  <c r="X2742"/>
  <c r="Y2742"/>
  <c r="AA2742"/>
  <c r="AB2742"/>
  <c r="AC2742"/>
  <c r="AD2742"/>
  <c r="P2743"/>
  <c r="Q2743"/>
  <c r="R2743"/>
  <c r="S2743"/>
  <c r="T2743"/>
  <c r="U2743"/>
  <c r="V2743"/>
  <c r="W2743"/>
  <c r="X2743"/>
  <c r="Y2743"/>
  <c r="AA2743"/>
  <c r="AB2743"/>
  <c r="AC2743"/>
  <c r="AD2743"/>
  <c r="P2744"/>
  <c r="Q2744"/>
  <c r="R2744"/>
  <c r="S2744"/>
  <c r="T2744"/>
  <c r="U2744"/>
  <c r="V2744"/>
  <c r="W2744"/>
  <c r="X2744"/>
  <c r="Y2744"/>
  <c r="AA2744"/>
  <c r="AB2744"/>
  <c r="AC2744"/>
  <c r="AD2744"/>
  <c r="P2745"/>
  <c r="Q2745"/>
  <c r="R2745"/>
  <c r="S2745"/>
  <c r="T2745"/>
  <c r="U2745"/>
  <c r="V2745"/>
  <c r="W2745"/>
  <c r="X2745"/>
  <c r="Y2745"/>
  <c r="AA2745"/>
  <c r="AB2745"/>
  <c r="AC2745"/>
  <c r="AD2745"/>
  <c r="P2746"/>
  <c r="Q2746"/>
  <c r="R2746"/>
  <c r="S2746"/>
  <c r="T2746"/>
  <c r="U2746"/>
  <c r="V2746"/>
  <c r="W2746"/>
  <c r="X2746"/>
  <c r="Y2746"/>
  <c r="AA2746"/>
  <c r="AB2746"/>
  <c r="AC2746"/>
  <c r="AD2746"/>
  <c r="P2747"/>
  <c r="Q2747"/>
  <c r="R2747"/>
  <c r="S2747"/>
  <c r="T2747"/>
  <c r="U2747"/>
  <c r="V2747"/>
  <c r="W2747"/>
  <c r="X2747"/>
  <c r="Y2747"/>
  <c r="AA2747"/>
  <c r="AB2747"/>
  <c r="AC2747"/>
  <c r="AD2747"/>
  <c r="P2748"/>
  <c r="Q2748"/>
  <c r="R2748"/>
  <c r="S2748"/>
  <c r="T2748"/>
  <c r="U2748"/>
  <c r="V2748"/>
  <c r="W2748"/>
  <c r="X2748"/>
  <c r="Y2748"/>
  <c r="AA2748"/>
  <c r="AB2748"/>
  <c r="AC2748"/>
  <c r="AD2748"/>
  <c r="P2749"/>
  <c r="Q2749"/>
  <c r="R2749"/>
  <c r="S2749"/>
  <c r="T2749"/>
  <c r="U2749"/>
  <c r="V2749"/>
  <c r="W2749"/>
  <c r="X2749"/>
  <c r="Y2749"/>
  <c r="AA2749"/>
  <c r="AB2749"/>
  <c r="AC2749"/>
  <c r="AD2749"/>
  <c r="P2750"/>
  <c r="Q2750"/>
  <c r="R2750"/>
  <c r="S2750"/>
  <c r="T2750"/>
  <c r="U2750"/>
  <c r="V2750"/>
  <c r="W2750"/>
  <c r="X2750"/>
  <c r="Y2750"/>
  <c r="AA2750"/>
  <c r="AB2750"/>
  <c r="AC2750"/>
  <c r="AD2750"/>
  <c r="P2751"/>
  <c r="Q2751"/>
  <c r="R2751"/>
  <c r="S2751"/>
  <c r="T2751"/>
  <c r="U2751"/>
  <c r="V2751"/>
  <c r="W2751"/>
  <c r="X2751"/>
  <c r="Y2751"/>
  <c r="AA2751"/>
  <c r="AB2751"/>
  <c r="AC2751"/>
  <c r="AD2751"/>
  <c r="P2752"/>
  <c r="Q2752"/>
  <c r="R2752"/>
  <c r="S2752"/>
  <c r="T2752"/>
  <c r="U2752"/>
  <c r="V2752"/>
  <c r="W2752"/>
  <c r="X2752"/>
  <c r="Y2752"/>
  <c r="AA2752"/>
  <c r="AB2752"/>
  <c r="AC2752"/>
  <c r="AD2752"/>
  <c r="P2753"/>
  <c r="Q2753"/>
  <c r="R2753"/>
  <c r="S2753"/>
  <c r="T2753"/>
  <c r="U2753"/>
  <c r="V2753"/>
  <c r="W2753"/>
  <c r="X2753"/>
  <c r="Y2753"/>
  <c r="AA2753"/>
  <c r="AB2753"/>
  <c r="AC2753"/>
  <c r="AD2753"/>
  <c r="P2754"/>
  <c r="Q2754"/>
  <c r="R2754"/>
  <c r="S2754"/>
  <c r="T2754"/>
  <c r="U2754"/>
  <c r="V2754"/>
  <c r="W2754"/>
  <c r="X2754"/>
  <c r="Y2754"/>
  <c r="AA2754"/>
  <c r="AB2754"/>
  <c r="AC2754"/>
  <c r="AD2754"/>
  <c r="P2755"/>
  <c r="Q2755"/>
  <c r="R2755"/>
  <c r="S2755"/>
  <c r="T2755"/>
  <c r="U2755"/>
  <c r="V2755"/>
  <c r="W2755"/>
  <c r="X2755"/>
  <c r="Y2755"/>
  <c r="AA2755"/>
  <c r="AB2755"/>
  <c r="AC2755"/>
  <c r="AD2755"/>
  <c r="P2756"/>
  <c r="Q2756"/>
  <c r="R2756"/>
  <c r="S2756"/>
  <c r="T2756"/>
  <c r="U2756"/>
  <c r="V2756"/>
  <c r="W2756"/>
  <c r="X2756"/>
  <c r="Y2756"/>
  <c r="AA2756"/>
  <c r="AB2756"/>
  <c r="AC2756"/>
  <c r="AD2756"/>
  <c r="P2757"/>
  <c r="Q2757"/>
  <c r="R2757"/>
  <c r="S2757"/>
  <c r="T2757"/>
  <c r="U2757"/>
  <c r="V2757"/>
  <c r="W2757"/>
  <c r="X2757"/>
  <c r="Y2757"/>
  <c r="AA2757"/>
  <c r="AB2757"/>
  <c r="AC2757"/>
  <c r="AD2757"/>
  <c r="P2758"/>
  <c r="Q2758"/>
  <c r="R2758"/>
  <c r="S2758"/>
  <c r="T2758"/>
  <c r="U2758"/>
  <c r="V2758"/>
  <c r="W2758"/>
  <c r="X2758"/>
  <c r="Y2758"/>
  <c r="AA2758"/>
  <c r="AB2758"/>
  <c r="AC2758"/>
  <c r="AD2758"/>
  <c r="P2759"/>
  <c r="Q2759"/>
  <c r="R2759"/>
  <c r="S2759"/>
  <c r="T2759"/>
  <c r="U2759"/>
  <c r="V2759"/>
  <c r="W2759"/>
  <c r="X2759"/>
  <c r="Y2759"/>
  <c r="AA2759"/>
  <c r="AB2759"/>
  <c r="AC2759"/>
  <c r="AD2759"/>
  <c r="P2760"/>
  <c r="Q2760"/>
  <c r="R2760"/>
  <c r="S2760"/>
  <c r="T2760"/>
  <c r="U2760"/>
  <c r="V2760"/>
  <c r="W2760"/>
  <c r="X2760"/>
  <c r="Y2760"/>
  <c r="AA2760"/>
  <c r="AB2760"/>
  <c r="AC2760"/>
  <c r="AD2760"/>
  <c r="P2761"/>
  <c r="Q2761"/>
  <c r="R2761"/>
  <c r="S2761"/>
  <c r="T2761"/>
  <c r="U2761"/>
  <c r="V2761"/>
  <c r="W2761"/>
  <c r="X2761"/>
  <c r="Y2761"/>
  <c r="AA2761"/>
  <c r="AB2761"/>
  <c r="AC2761"/>
  <c r="AD2761"/>
  <c r="P2762"/>
  <c r="Q2762"/>
  <c r="R2762"/>
  <c r="S2762"/>
  <c r="T2762"/>
  <c r="U2762"/>
  <c r="V2762"/>
  <c r="W2762"/>
  <c r="X2762"/>
  <c r="Y2762"/>
  <c r="AA2762"/>
  <c r="AB2762"/>
  <c r="AC2762"/>
  <c r="AD2762"/>
  <c r="P2763"/>
  <c r="Q2763"/>
  <c r="R2763"/>
  <c r="S2763"/>
  <c r="T2763"/>
  <c r="U2763"/>
  <c r="V2763"/>
  <c r="W2763"/>
  <c r="X2763"/>
  <c r="Y2763"/>
  <c r="AA2763"/>
  <c r="AB2763"/>
  <c r="AC2763"/>
  <c r="AD2763"/>
  <c r="P2764"/>
  <c r="Q2764"/>
  <c r="R2764"/>
  <c r="S2764"/>
  <c r="T2764"/>
  <c r="U2764"/>
  <c r="V2764"/>
  <c r="W2764"/>
  <c r="X2764"/>
  <c r="Y2764"/>
  <c r="AA2764"/>
  <c r="AB2764"/>
  <c r="AC2764"/>
  <c r="AD2764"/>
  <c r="P2765"/>
  <c r="Q2765"/>
  <c r="R2765"/>
  <c r="S2765"/>
  <c r="T2765"/>
  <c r="U2765"/>
  <c r="V2765"/>
  <c r="W2765"/>
  <c r="X2765"/>
  <c r="Y2765"/>
  <c r="AA2765"/>
  <c r="AB2765"/>
  <c r="AC2765"/>
  <c r="AD2765"/>
  <c r="P2766"/>
  <c r="Q2766"/>
  <c r="R2766"/>
  <c r="S2766"/>
  <c r="T2766"/>
  <c r="U2766"/>
  <c r="V2766"/>
  <c r="W2766"/>
  <c r="X2766"/>
  <c r="Y2766"/>
  <c r="AA2766"/>
  <c r="AB2766"/>
  <c r="AC2766"/>
  <c r="AD2766"/>
  <c r="P2767"/>
  <c r="Q2767"/>
  <c r="R2767"/>
  <c r="S2767"/>
  <c r="T2767"/>
  <c r="U2767"/>
  <c r="V2767"/>
  <c r="W2767"/>
  <c r="X2767"/>
  <c r="Y2767"/>
  <c r="AA2767"/>
  <c r="AB2767"/>
  <c r="AC2767"/>
  <c r="AD2767"/>
  <c r="P2768"/>
  <c r="Q2768"/>
  <c r="R2768"/>
  <c r="S2768"/>
  <c r="T2768"/>
  <c r="U2768"/>
  <c r="V2768"/>
  <c r="W2768"/>
  <c r="X2768"/>
  <c r="Y2768"/>
  <c r="AA2768"/>
  <c r="AB2768"/>
  <c r="AC2768"/>
  <c r="AD2768"/>
  <c r="P2769"/>
  <c r="Q2769"/>
  <c r="R2769"/>
  <c r="S2769"/>
  <c r="T2769"/>
  <c r="U2769"/>
  <c r="V2769"/>
  <c r="W2769"/>
  <c r="X2769"/>
  <c r="Y2769"/>
  <c r="AA2769"/>
  <c r="AB2769"/>
  <c r="AC2769"/>
  <c r="AD2769"/>
  <c r="P2770"/>
  <c r="Q2770"/>
  <c r="R2770"/>
  <c r="S2770"/>
  <c r="T2770"/>
  <c r="U2770"/>
  <c r="V2770"/>
  <c r="W2770"/>
  <c r="X2770"/>
  <c r="Y2770"/>
  <c r="AA2770"/>
  <c r="AB2770"/>
  <c r="AC2770"/>
  <c r="AD2770"/>
  <c r="P2771"/>
  <c r="Q2771"/>
  <c r="R2771"/>
  <c r="S2771"/>
  <c r="T2771"/>
  <c r="U2771"/>
  <c r="V2771"/>
  <c r="W2771"/>
  <c r="X2771"/>
  <c r="Y2771"/>
  <c r="AA2771"/>
  <c r="AB2771"/>
  <c r="AC2771"/>
  <c r="AD2771"/>
  <c r="P2772"/>
  <c r="Q2772"/>
  <c r="R2772"/>
  <c r="S2772"/>
  <c r="T2772"/>
  <c r="U2772"/>
  <c r="V2772"/>
  <c r="W2772"/>
  <c r="X2772"/>
  <c r="Y2772"/>
  <c r="AA2772"/>
  <c r="AB2772"/>
  <c r="AC2772"/>
  <c r="AD2772"/>
  <c r="P2773"/>
  <c r="Q2773"/>
  <c r="R2773"/>
  <c r="S2773"/>
  <c r="T2773"/>
  <c r="U2773"/>
  <c r="V2773"/>
  <c r="W2773"/>
  <c r="X2773"/>
  <c r="Y2773"/>
  <c r="AA2773"/>
  <c r="AB2773"/>
  <c r="AC2773"/>
  <c r="AD2773"/>
  <c r="P2774"/>
  <c r="Q2774"/>
  <c r="R2774"/>
  <c r="S2774"/>
  <c r="T2774"/>
  <c r="U2774"/>
  <c r="V2774"/>
  <c r="W2774"/>
  <c r="X2774"/>
  <c r="Y2774"/>
  <c r="AA2774"/>
  <c r="AB2774"/>
  <c r="AC2774"/>
  <c r="AD2774"/>
  <c r="P2775"/>
  <c r="Q2775"/>
  <c r="R2775"/>
  <c r="S2775"/>
  <c r="T2775"/>
  <c r="U2775"/>
  <c r="V2775"/>
  <c r="W2775"/>
  <c r="X2775"/>
  <c r="Y2775"/>
  <c r="AA2775"/>
  <c r="AB2775"/>
  <c r="AC2775"/>
  <c r="AD2775"/>
  <c r="P2776"/>
  <c r="Q2776"/>
  <c r="R2776"/>
  <c r="S2776"/>
  <c r="T2776"/>
  <c r="U2776"/>
  <c r="V2776"/>
  <c r="W2776"/>
  <c r="X2776"/>
  <c r="Y2776"/>
  <c r="AA2776"/>
  <c r="AB2776"/>
  <c r="AC2776"/>
  <c r="AD2776"/>
  <c r="P2777"/>
  <c r="Q2777"/>
  <c r="R2777"/>
  <c r="S2777"/>
  <c r="T2777"/>
  <c r="U2777"/>
  <c r="V2777"/>
  <c r="W2777"/>
  <c r="X2777"/>
  <c r="Y2777"/>
  <c r="AA2777"/>
  <c r="AB2777"/>
  <c r="AC2777"/>
  <c r="AD2777"/>
  <c r="P2778"/>
  <c r="Q2778"/>
  <c r="R2778"/>
  <c r="S2778"/>
  <c r="T2778"/>
  <c r="U2778"/>
  <c r="V2778"/>
  <c r="W2778"/>
  <c r="X2778"/>
  <c r="Y2778"/>
  <c r="AA2778"/>
  <c r="AB2778"/>
  <c r="AC2778"/>
  <c r="AD2778"/>
  <c r="P2779"/>
  <c r="Q2779"/>
  <c r="R2779"/>
  <c r="S2779"/>
  <c r="T2779"/>
  <c r="U2779"/>
  <c r="V2779"/>
  <c r="W2779"/>
  <c r="X2779"/>
  <c r="Y2779"/>
  <c r="AA2779"/>
  <c r="AB2779"/>
  <c r="AC2779"/>
  <c r="AD2779"/>
  <c r="P2780"/>
  <c r="Q2780"/>
  <c r="R2780"/>
  <c r="S2780"/>
  <c r="T2780"/>
  <c r="U2780"/>
  <c r="V2780"/>
  <c r="W2780"/>
  <c r="X2780"/>
  <c r="Y2780"/>
  <c r="AA2780"/>
  <c r="AB2780"/>
  <c r="AC2780"/>
  <c r="AD2780"/>
  <c r="P2781"/>
  <c r="Q2781"/>
  <c r="R2781"/>
  <c r="S2781"/>
  <c r="T2781"/>
  <c r="U2781"/>
  <c r="V2781"/>
  <c r="W2781"/>
  <c r="X2781"/>
  <c r="Y2781"/>
  <c r="AA2781"/>
  <c r="AB2781"/>
  <c r="AC2781"/>
  <c r="AD2781"/>
  <c r="P2782"/>
  <c r="Q2782"/>
  <c r="R2782"/>
  <c r="S2782"/>
  <c r="T2782"/>
  <c r="U2782"/>
  <c r="V2782"/>
  <c r="W2782"/>
  <c r="X2782"/>
  <c r="Y2782"/>
  <c r="AA2782"/>
  <c r="AB2782"/>
  <c r="AC2782"/>
  <c r="AD2782"/>
  <c r="P2783"/>
  <c r="Q2783"/>
  <c r="R2783"/>
  <c r="S2783"/>
  <c r="T2783"/>
  <c r="U2783"/>
  <c r="V2783"/>
  <c r="W2783"/>
  <c r="X2783"/>
  <c r="Y2783"/>
  <c r="AA2783"/>
  <c r="AB2783"/>
  <c r="AC2783"/>
  <c r="AD2783"/>
  <c r="P2784"/>
  <c r="Q2784"/>
  <c r="R2784"/>
  <c r="S2784"/>
  <c r="T2784"/>
  <c r="U2784"/>
  <c r="V2784"/>
  <c r="W2784"/>
  <c r="X2784"/>
  <c r="Y2784"/>
  <c r="AA2784"/>
  <c r="AB2784"/>
  <c r="AC2784"/>
  <c r="AD2784"/>
  <c r="P2785"/>
  <c r="Q2785"/>
  <c r="R2785"/>
  <c r="S2785"/>
  <c r="T2785"/>
  <c r="U2785"/>
  <c r="V2785"/>
  <c r="W2785"/>
  <c r="X2785"/>
  <c r="Y2785"/>
  <c r="AA2785"/>
  <c r="AB2785"/>
  <c r="AC2785"/>
  <c r="AD2785"/>
  <c r="P2786"/>
  <c r="Q2786"/>
  <c r="R2786"/>
  <c r="S2786"/>
  <c r="T2786"/>
  <c r="U2786"/>
  <c r="V2786"/>
  <c r="W2786"/>
  <c r="X2786"/>
  <c r="Y2786"/>
  <c r="AA2786"/>
  <c r="AB2786"/>
  <c r="AC2786"/>
  <c r="AD2786"/>
  <c r="P2787"/>
  <c r="Q2787"/>
  <c r="R2787"/>
  <c r="S2787"/>
  <c r="T2787"/>
  <c r="U2787"/>
  <c r="V2787"/>
  <c r="W2787"/>
  <c r="X2787"/>
  <c r="Y2787"/>
  <c r="AA2787"/>
  <c r="AB2787"/>
  <c r="AC2787"/>
  <c r="AD2787"/>
  <c r="P2788"/>
  <c r="Q2788"/>
  <c r="R2788"/>
  <c r="S2788"/>
  <c r="T2788"/>
  <c r="U2788"/>
  <c r="V2788"/>
  <c r="W2788"/>
  <c r="X2788"/>
  <c r="Y2788"/>
  <c r="AA2788"/>
  <c r="AB2788"/>
  <c r="AC2788"/>
  <c r="AD2788"/>
  <c r="P2789"/>
  <c r="Q2789"/>
  <c r="R2789"/>
  <c r="S2789"/>
  <c r="T2789"/>
  <c r="U2789"/>
  <c r="V2789"/>
  <c r="W2789"/>
  <c r="X2789"/>
  <c r="Y2789"/>
  <c r="AA2789"/>
  <c r="AB2789"/>
  <c r="AC2789"/>
  <c r="AD2789"/>
  <c r="P2790"/>
  <c r="Q2790"/>
  <c r="R2790"/>
  <c r="S2790"/>
  <c r="T2790"/>
  <c r="U2790"/>
  <c r="V2790"/>
  <c r="W2790"/>
  <c r="X2790"/>
  <c r="Y2790"/>
  <c r="AA2790"/>
  <c r="AB2790"/>
  <c r="AC2790"/>
  <c r="AD2790"/>
  <c r="P2791"/>
  <c r="Q2791"/>
  <c r="R2791"/>
  <c r="S2791"/>
  <c r="T2791"/>
  <c r="U2791"/>
  <c r="V2791"/>
  <c r="W2791"/>
  <c r="X2791"/>
  <c r="Y2791"/>
  <c r="AA2791"/>
  <c r="AB2791"/>
  <c r="AC2791"/>
  <c r="AD2791"/>
  <c r="P2792"/>
  <c r="Q2792"/>
  <c r="R2792"/>
  <c r="S2792"/>
  <c r="T2792"/>
  <c r="U2792"/>
  <c r="V2792"/>
  <c r="W2792"/>
  <c r="X2792"/>
  <c r="Y2792"/>
  <c r="AA2792"/>
  <c r="AB2792"/>
  <c r="AC2792"/>
  <c r="AD2792"/>
  <c r="P2793"/>
  <c r="Q2793"/>
  <c r="R2793"/>
  <c r="S2793"/>
  <c r="T2793"/>
  <c r="U2793"/>
  <c r="V2793"/>
  <c r="W2793"/>
  <c r="X2793"/>
  <c r="Y2793"/>
  <c r="AA2793"/>
  <c r="AB2793"/>
  <c r="AC2793"/>
  <c r="AD2793"/>
  <c r="P2794"/>
  <c r="Q2794"/>
  <c r="R2794"/>
  <c r="S2794"/>
  <c r="T2794"/>
  <c r="U2794"/>
  <c r="V2794"/>
  <c r="W2794"/>
  <c r="X2794"/>
  <c r="Y2794"/>
  <c r="AA2794"/>
  <c r="AB2794"/>
  <c r="AC2794"/>
  <c r="AD2794"/>
  <c r="P2795"/>
  <c r="Q2795"/>
  <c r="R2795"/>
  <c r="S2795"/>
  <c r="T2795"/>
  <c r="U2795"/>
  <c r="V2795"/>
  <c r="W2795"/>
  <c r="X2795"/>
  <c r="Y2795"/>
  <c r="AA2795"/>
  <c r="AB2795"/>
  <c r="AC2795"/>
  <c r="AD2795"/>
  <c r="P2796"/>
  <c r="Q2796"/>
  <c r="R2796"/>
  <c r="S2796"/>
  <c r="T2796"/>
  <c r="U2796"/>
  <c r="V2796"/>
  <c r="W2796"/>
  <c r="X2796"/>
  <c r="Y2796"/>
  <c r="AA2796"/>
  <c r="AB2796"/>
  <c r="AC2796"/>
  <c r="AD2796"/>
  <c r="P2797"/>
  <c r="Q2797"/>
  <c r="R2797"/>
  <c r="S2797"/>
  <c r="T2797"/>
  <c r="U2797"/>
  <c r="V2797"/>
  <c r="W2797"/>
  <c r="X2797"/>
  <c r="Y2797"/>
  <c r="AA2797"/>
  <c r="AB2797"/>
  <c r="AC2797"/>
  <c r="AD2797"/>
  <c r="P2798"/>
  <c r="Q2798"/>
  <c r="R2798"/>
  <c r="S2798"/>
  <c r="T2798"/>
  <c r="U2798"/>
  <c r="V2798"/>
  <c r="W2798"/>
  <c r="X2798"/>
  <c r="Y2798"/>
  <c r="AA2798"/>
  <c r="AB2798"/>
  <c r="AC2798"/>
  <c r="AD2798"/>
  <c r="P2799"/>
  <c r="Q2799"/>
  <c r="R2799"/>
  <c r="S2799"/>
  <c r="T2799"/>
  <c r="U2799"/>
  <c r="V2799"/>
  <c r="W2799"/>
  <c r="X2799"/>
  <c r="Y2799"/>
  <c r="AA2799"/>
  <c r="AB2799"/>
  <c r="AC2799"/>
  <c r="AD2799"/>
  <c r="P2800"/>
  <c r="Q2800"/>
  <c r="R2800"/>
  <c r="S2800"/>
  <c r="T2800"/>
  <c r="U2800"/>
  <c r="V2800"/>
  <c r="W2800"/>
  <c r="X2800"/>
  <c r="Y2800"/>
  <c r="AA2800"/>
  <c r="AB2800"/>
  <c r="AC2800"/>
  <c r="AD2800"/>
  <c r="P2801"/>
  <c r="Q2801"/>
  <c r="R2801"/>
  <c r="S2801"/>
  <c r="T2801"/>
  <c r="U2801"/>
  <c r="V2801"/>
  <c r="W2801"/>
  <c r="X2801"/>
  <c r="Y2801"/>
  <c r="AA2801"/>
  <c r="AB2801"/>
  <c r="AC2801"/>
  <c r="AD2801"/>
  <c r="P2802"/>
  <c r="Q2802"/>
  <c r="R2802"/>
  <c r="S2802"/>
  <c r="T2802"/>
  <c r="U2802"/>
  <c r="V2802"/>
  <c r="W2802"/>
  <c r="X2802"/>
  <c r="Y2802"/>
  <c r="AA2802"/>
  <c r="AB2802"/>
  <c r="AC2802"/>
  <c r="AD2802"/>
  <c r="P2803"/>
  <c r="Q2803"/>
  <c r="R2803"/>
  <c r="S2803"/>
  <c r="T2803"/>
  <c r="U2803"/>
  <c r="V2803"/>
  <c r="W2803"/>
  <c r="X2803"/>
  <c r="Y2803"/>
  <c r="AA2803"/>
  <c r="AB2803"/>
  <c r="AC2803"/>
  <c r="AD2803"/>
  <c r="P2804"/>
  <c r="Q2804"/>
  <c r="R2804"/>
  <c r="S2804"/>
  <c r="T2804"/>
  <c r="U2804"/>
  <c r="V2804"/>
  <c r="W2804"/>
  <c r="X2804"/>
  <c r="Y2804"/>
  <c r="AA2804"/>
  <c r="AB2804"/>
  <c r="AC2804"/>
  <c r="AD2804"/>
  <c r="P2805"/>
  <c r="Q2805"/>
  <c r="R2805"/>
  <c r="S2805"/>
  <c r="T2805"/>
  <c r="U2805"/>
  <c r="V2805"/>
  <c r="W2805"/>
  <c r="X2805"/>
  <c r="Y2805"/>
  <c r="AA2805"/>
  <c r="AB2805"/>
  <c r="AC2805"/>
  <c r="AD2805"/>
  <c r="P2806"/>
  <c r="Q2806"/>
  <c r="R2806"/>
  <c r="S2806"/>
  <c r="T2806"/>
  <c r="U2806"/>
  <c r="V2806"/>
  <c r="W2806"/>
  <c r="X2806"/>
  <c r="Y2806"/>
  <c r="AA2806"/>
  <c r="AB2806"/>
  <c r="AC2806"/>
  <c r="AD2806"/>
  <c r="P2807"/>
  <c r="Q2807"/>
  <c r="R2807"/>
  <c r="S2807"/>
  <c r="T2807"/>
  <c r="U2807"/>
  <c r="V2807"/>
  <c r="W2807"/>
  <c r="X2807"/>
  <c r="Y2807"/>
  <c r="AA2807"/>
  <c r="AB2807"/>
  <c r="AC2807"/>
  <c r="AD2807"/>
  <c r="P2808"/>
  <c r="Q2808"/>
  <c r="R2808"/>
  <c r="S2808"/>
  <c r="T2808"/>
  <c r="U2808"/>
  <c r="V2808"/>
  <c r="W2808"/>
  <c r="X2808"/>
  <c r="Y2808"/>
  <c r="AA2808"/>
  <c r="AB2808"/>
  <c r="AC2808"/>
  <c r="AD2808"/>
  <c r="P2809"/>
  <c r="Q2809"/>
  <c r="R2809"/>
  <c r="S2809"/>
  <c r="T2809"/>
  <c r="U2809"/>
  <c r="V2809"/>
  <c r="W2809"/>
  <c r="X2809"/>
  <c r="Y2809"/>
  <c r="AA2809"/>
  <c r="AB2809"/>
  <c r="AC2809"/>
  <c r="AD2809"/>
  <c r="P2810"/>
  <c r="Q2810"/>
  <c r="R2810"/>
  <c r="S2810"/>
  <c r="T2810"/>
  <c r="U2810"/>
  <c r="V2810"/>
  <c r="W2810"/>
  <c r="X2810"/>
  <c r="Y2810"/>
  <c r="AA2810"/>
  <c r="AB2810"/>
  <c r="AC2810"/>
  <c r="AD2810"/>
  <c r="P2811"/>
  <c r="Q2811"/>
  <c r="R2811"/>
  <c r="S2811"/>
  <c r="T2811"/>
  <c r="U2811"/>
  <c r="V2811"/>
  <c r="W2811"/>
  <c r="X2811"/>
  <c r="Y2811"/>
  <c r="AA2811"/>
  <c r="AB2811"/>
  <c r="AC2811"/>
  <c r="AD2811"/>
  <c r="P2812"/>
  <c r="Q2812"/>
  <c r="R2812"/>
  <c r="S2812"/>
  <c r="T2812"/>
  <c r="U2812"/>
  <c r="V2812"/>
  <c r="W2812"/>
  <c r="X2812"/>
  <c r="Y2812"/>
  <c r="AA2812"/>
  <c r="AB2812"/>
  <c r="AC2812"/>
  <c r="AD2812"/>
  <c r="P2813"/>
  <c r="Q2813"/>
  <c r="R2813"/>
  <c r="S2813"/>
  <c r="T2813"/>
  <c r="U2813"/>
  <c r="V2813"/>
  <c r="W2813"/>
  <c r="X2813"/>
  <c r="Y2813"/>
  <c r="AA2813"/>
  <c r="AB2813"/>
  <c r="AC2813"/>
  <c r="AD2813"/>
  <c r="P2814"/>
  <c r="Q2814"/>
  <c r="R2814"/>
  <c r="S2814"/>
  <c r="T2814"/>
  <c r="U2814"/>
  <c r="V2814"/>
  <c r="W2814"/>
  <c r="X2814"/>
  <c r="Y2814"/>
  <c r="AA2814"/>
  <c r="AB2814"/>
  <c r="AC2814"/>
  <c r="AD2814"/>
  <c r="P2815"/>
  <c r="Q2815"/>
  <c r="R2815"/>
  <c r="S2815"/>
  <c r="T2815"/>
  <c r="U2815"/>
  <c r="V2815"/>
  <c r="W2815"/>
  <c r="X2815"/>
  <c r="Y2815"/>
  <c r="AA2815"/>
  <c r="AB2815"/>
  <c r="AC2815"/>
  <c r="AD2815"/>
  <c r="P2816"/>
  <c r="Q2816"/>
  <c r="R2816"/>
  <c r="S2816"/>
  <c r="T2816"/>
  <c r="U2816"/>
  <c r="V2816"/>
  <c r="W2816"/>
  <c r="X2816"/>
  <c r="Y2816"/>
  <c r="AA2816"/>
  <c r="AB2816"/>
  <c r="AC2816"/>
  <c r="AD2816"/>
  <c r="P2817"/>
  <c r="Q2817"/>
  <c r="R2817"/>
  <c r="S2817"/>
  <c r="T2817"/>
  <c r="U2817"/>
  <c r="V2817"/>
  <c r="W2817"/>
  <c r="X2817"/>
  <c r="Y2817"/>
  <c r="AA2817"/>
  <c r="AB2817"/>
  <c r="AC2817"/>
  <c r="AD2817"/>
  <c r="P2818"/>
  <c r="Q2818"/>
  <c r="R2818"/>
  <c r="S2818"/>
  <c r="T2818"/>
  <c r="U2818"/>
  <c r="V2818"/>
  <c r="W2818"/>
  <c r="X2818"/>
  <c r="Y2818"/>
  <c r="AA2818"/>
  <c r="AB2818"/>
  <c r="AC2818"/>
  <c r="AD2818"/>
  <c r="P2819"/>
  <c r="Q2819"/>
  <c r="R2819"/>
  <c r="S2819"/>
  <c r="T2819"/>
  <c r="U2819"/>
  <c r="V2819"/>
  <c r="W2819"/>
  <c r="X2819"/>
  <c r="Y2819"/>
  <c r="AA2819"/>
  <c r="AB2819"/>
  <c r="AC2819"/>
  <c r="AD2819"/>
  <c r="P2820"/>
  <c r="Q2820"/>
  <c r="R2820"/>
  <c r="S2820"/>
  <c r="T2820"/>
  <c r="U2820"/>
  <c r="V2820"/>
  <c r="W2820"/>
  <c r="X2820"/>
  <c r="Y2820"/>
  <c r="AA2820"/>
  <c r="AB2820"/>
  <c r="AC2820"/>
  <c r="AD2820"/>
  <c r="P2821"/>
  <c r="Q2821"/>
  <c r="R2821"/>
  <c r="S2821"/>
  <c r="T2821"/>
  <c r="U2821"/>
  <c r="V2821"/>
  <c r="W2821"/>
  <c r="X2821"/>
  <c r="Y2821"/>
  <c r="AA2821"/>
  <c r="AB2821"/>
  <c r="AC2821"/>
  <c r="AD2821"/>
  <c r="P2822"/>
  <c r="Q2822"/>
  <c r="R2822"/>
  <c r="S2822"/>
  <c r="T2822"/>
  <c r="U2822"/>
  <c r="V2822"/>
  <c r="W2822"/>
  <c r="X2822"/>
  <c r="Y2822"/>
  <c r="AA2822"/>
  <c r="AB2822"/>
  <c r="AC2822"/>
  <c r="AD2822"/>
  <c r="P2823"/>
  <c r="Q2823"/>
  <c r="R2823"/>
  <c r="S2823"/>
  <c r="T2823"/>
  <c r="U2823"/>
  <c r="V2823"/>
  <c r="W2823"/>
  <c r="X2823"/>
  <c r="Y2823"/>
  <c r="AA2823"/>
  <c r="AB2823"/>
  <c r="AC2823"/>
  <c r="AD2823"/>
  <c r="P2824"/>
  <c r="Q2824"/>
  <c r="R2824"/>
  <c r="S2824"/>
  <c r="T2824"/>
  <c r="U2824"/>
  <c r="V2824"/>
  <c r="W2824"/>
  <c r="X2824"/>
  <c r="Y2824"/>
  <c r="AA2824"/>
  <c r="AB2824"/>
  <c r="AC2824"/>
  <c r="AD2824"/>
  <c r="P2825"/>
  <c r="Q2825"/>
  <c r="R2825"/>
  <c r="S2825"/>
  <c r="T2825"/>
  <c r="U2825"/>
  <c r="V2825"/>
  <c r="W2825"/>
  <c r="X2825"/>
  <c r="Y2825"/>
  <c r="AA2825"/>
  <c r="AB2825"/>
  <c r="AC2825"/>
  <c r="AD2825"/>
  <c r="P2826"/>
  <c r="Q2826"/>
  <c r="R2826"/>
  <c r="S2826"/>
  <c r="T2826"/>
  <c r="U2826"/>
  <c r="V2826"/>
  <c r="W2826"/>
  <c r="X2826"/>
  <c r="Y2826"/>
  <c r="AA2826"/>
  <c r="AB2826"/>
  <c r="AC2826"/>
  <c r="AD2826"/>
  <c r="P2827"/>
  <c r="Q2827"/>
  <c r="R2827"/>
  <c r="S2827"/>
  <c r="T2827"/>
  <c r="U2827"/>
  <c r="V2827"/>
  <c r="W2827"/>
  <c r="X2827"/>
  <c r="Y2827"/>
  <c r="AA2827"/>
  <c r="AB2827"/>
  <c r="AC2827"/>
  <c r="AD2827"/>
  <c r="P2828"/>
  <c r="Q2828"/>
  <c r="R2828"/>
  <c r="S2828"/>
  <c r="T2828"/>
  <c r="U2828"/>
  <c r="V2828"/>
  <c r="W2828"/>
  <c r="X2828"/>
  <c r="Y2828"/>
  <c r="AA2828"/>
  <c r="AB2828"/>
  <c r="AC2828"/>
  <c r="AD2828"/>
  <c r="P2829"/>
  <c r="Q2829"/>
  <c r="R2829"/>
  <c r="S2829"/>
  <c r="T2829"/>
  <c r="U2829"/>
  <c r="V2829"/>
  <c r="W2829"/>
  <c r="X2829"/>
  <c r="Y2829"/>
  <c r="AA2829"/>
  <c r="AB2829"/>
  <c r="AC2829"/>
  <c r="AD2829"/>
  <c r="P2830"/>
  <c r="Q2830"/>
  <c r="R2830"/>
  <c r="S2830"/>
  <c r="T2830"/>
  <c r="U2830"/>
  <c r="V2830"/>
  <c r="W2830"/>
  <c r="X2830"/>
  <c r="Y2830"/>
  <c r="AA2830"/>
  <c r="AB2830"/>
  <c r="AC2830"/>
  <c r="AD2830"/>
  <c r="P2831"/>
  <c r="Q2831"/>
  <c r="R2831"/>
  <c r="S2831"/>
  <c r="T2831"/>
  <c r="U2831"/>
  <c r="V2831"/>
  <c r="W2831"/>
  <c r="X2831"/>
  <c r="Y2831"/>
  <c r="AA2831"/>
  <c r="AB2831"/>
  <c r="AC2831"/>
  <c r="AD2831"/>
  <c r="P2832"/>
  <c r="Q2832"/>
  <c r="R2832"/>
  <c r="S2832"/>
  <c r="T2832"/>
  <c r="U2832"/>
  <c r="V2832"/>
  <c r="W2832"/>
  <c r="X2832"/>
  <c r="Y2832"/>
  <c r="AA2832"/>
  <c r="AB2832"/>
  <c r="AC2832"/>
  <c r="AD2832"/>
  <c r="P2833"/>
  <c r="Q2833"/>
  <c r="R2833"/>
  <c r="S2833"/>
  <c r="T2833"/>
  <c r="U2833"/>
  <c r="V2833"/>
  <c r="W2833"/>
  <c r="X2833"/>
  <c r="Y2833"/>
  <c r="AA2833"/>
  <c r="AB2833"/>
  <c r="AC2833"/>
  <c r="AD2833"/>
  <c r="P2834"/>
  <c r="Q2834"/>
  <c r="R2834"/>
  <c r="S2834"/>
  <c r="T2834"/>
  <c r="U2834"/>
  <c r="V2834"/>
  <c r="W2834"/>
  <c r="X2834"/>
  <c r="Y2834"/>
  <c r="AA2834"/>
  <c r="AB2834"/>
  <c r="AC2834"/>
  <c r="AD2834"/>
  <c r="P2835"/>
  <c r="Q2835"/>
  <c r="R2835"/>
  <c r="S2835"/>
  <c r="T2835"/>
  <c r="U2835"/>
  <c r="V2835"/>
  <c r="W2835"/>
  <c r="X2835"/>
  <c r="Y2835"/>
  <c r="AA2835"/>
  <c r="AB2835"/>
  <c r="AC2835"/>
  <c r="AD2835"/>
  <c r="P2836"/>
  <c r="Q2836"/>
  <c r="R2836"/>
  <c r="S2836"/>
  <c r="T2836"/>
  <c r="U2836"/>
  <c r="V2836"/>
  <c r="W2836"/>
  <c r="X2836"/>
  <c r="Y2836"/>
  <c r="AA2836"/>
  <c r="AB2836"/>
  <c r="AC2836"/>
  <c r="AD2836"/>
  <c r="P2837"/>
  <c r="Q2837"/>
  <c r="R2837"/>
  <c r="S2837"/>
  <c r="T2837"/>
  <c r="U2837"/>
  <c r="V2837"/>
  <c r="W2837"/>
  <c r="X2837"/>
  <c r="Y2837"/>
  <c r="AA2837"/>
  <c r="AB2837"/>
  <c r="AC2837"/>
  <c r="AD2837"/>
  <c r="P2838"/>
  <c r="Q2838"/>
  <c r="R2838"/>
  <c r="S2838"/>
  <c r="T2838"/>
  <c r="U2838"/>
  <c r="V2838"/>
  <c r="W2838"/>
  <c r="X2838"/>
  <c r="Y2838"/>
  <c r="AA2838"/>
  <c r="AB2838"/>
  <c r="AC2838"/>
  <c r="AD2838"/>
  <c r="P2839"/>
  <c r="Q2839"/>
  <c r="R2839"/>
  <c r="S2839"/>
  <c r="T2839"/>
  <c r="U2839"/>
  <c r="V2839"/>
  <c r="W2839"/>
  <c r="X2839"/>
  <c r="Y2839"/>
  <c r="AA2839"/>
  <c r="AB2839"/>
  <c r="AC2839"/>
  <c r="AD2839"/>
  <c r="P2840"/>
  <c r="Q2840"/>
  <c r="R2840"/>
  <c r="S2840"/>
  <c r="T2840"/>
  <c r="U2840"/>
  <c r="V2840"/>
  <c r="W2840"/>
  <c r="X2840"/>
  <c r="Y2840"/>
  <c r="AA2840"/>
  <c r="AB2840"/>
  <c r="AC2840"/>
  <c r="AD2840"/>
  <c r="P2841"/>
  <c r="Q2841"/>
  <c r="R2841"/>
  <c r="S2841"/>
  <c r="T2841"/>
  <c r="U2841"/>
  <c r="V2841"/>
  <c r="W2841"/>
  <c r="X2841"/>
  <c r="Y2841"/>
  <c r="AA2841"/>
  <c r="AB2841"/>
  <c r="AC2841"/>
  <c r="AD2841"/>
  <c r="P2842"/>
  <c r="Q2842"/>
  <c r="R2842"/>
  <c r="S2842"/>
  <c r="T2842"/>
  <c r="U2842"/>
  <c r="V2842"/>
  <c r="W2842"/>
  <c r="X2842"/>
  <c r="Y2842"/>
  <c r="AA2842"/>
  <c r="AB2842"/>
  <c r="AC2842"/>
  <c r="AD2842"/>
  <c r="P2843"/>
  <c r="Q2843"/>
  <c r="R2843"/>
  <c r="S2843"/>
  <c r="T2843"/>
  <c r="U2843"/>
  <c r="V2843"/>
  <c r="W2843"/>
  <c r="X2843"/>
  <c r="Y2843"/>
  <c r="AA2843"/>
  <c r="AB2843"/>
  <c r="AC2843"/>
  <c r="AD2843"/>
  <c r="P2844"/>
  <c r="Q2844"/>
  <c r="R2844"/>
  <c r="S2844"/>
  <c r="T2844"/>
  <c r="U2844"/>
  <c r="V2844"/>
  <c r="W2844"/>
  <c r="X2844"/>
  <c r="Y2844"/>
  <c r="AA2844"/>
  <c r="AB2844"/>
  <c r="AC2844"/>
  <c r="AD2844"/>
  <c r="P2845"/>
  <c r="Q2845"/>
  <c r="R2845"/>
  <c r="S2845"/>
  <c r="T2845"/>
  <c r="U2845"/>
  <c r="V2845"/>
  <c r="W2845"/>
  <c r="X2845"/>
  <c r="Y2845"/>
  <c r="AA2845"/>
  <c r="AB2845"/>
  <c r="AC2845"/>
  <c r="AD2845"/>
  <c r="P2846"/>
  <c r="Q2846"/>
  <c r="R2846"/>
  <c r="S2846"/>
  <c r="T2846"/>
  <c r="U2846"/>
  <c r="V2846"/>
  <c r="W2846"/>
  <c r="X2846"/>
  <c r="Y2846"/>
  <c r="AA2846"/>
  <c r="AB2846"/>
  <c r="AC2846"/>
  <c r="AD2846"/>
  <c r="P2847"/>
  <c r="Q2847"/>
  <c r="R2847"/>
  <c r="S2847"/>
  <c r="T2847"/>
  <c r="U2847"/>
  <c r="V2847"/>
  <c r="W2847"/>
  <c r="X2847"/>
  <c r="Y2847"/>
  <c r="AA2847"/>
  <c r="AB2847"/>
  <c r="AC2847"/>
  <c r="AD2847"/>
  <c r="P2848"/>
  <c r="Q2848"/>
  <c r="R2848"/>
  <c r="S2848"/>
  <c r="T2848"/>
  <c r="U2848"/>
  <c r="V2848"/>
  <c r="W2848"/>
  <c r="X2848"/>
  <c r="Y2848"/>
  <c r="AA2848"/>
  <c r="AB2848"/>
  <c r="AC2848"/>
  <c r="AD2848"/>
  <c r="P2849"/>
  <c r="Q2849"/>
  <c r="R2849"/>
  <c r="S2849"/>
  <c r="T2849"/>
  <c r="U2849"/>
  <c r="V2849"/>
  <c r="W2849"/>
  <c r="X2849"/>
  <c r="Y2849"/>
  <c r="AA2849"/>
  <c r="AB2849"/>
  <c r="AC2849"/>
  <c r="AD2849"/>
  <c r="P2850"/>
  <c r="Q2850"/>
  <c r="R2850"/>
  <c r="S2850"/>
  <c r="T2850"/>
  <c r="U2850"/>
  <c r="V2850"/>
  <c r="W2850"/>
  <c r="X2850"/>
  <c r="Y2850"/>
  <c r="AA2850"/>
  <c r="AB2850"/>
  <c r="AC2850"/>
  <c r="AD2850"/>
  <c r="P2851"/>
  <c r="Q2851"/>
  <c r="R2851"/>
  <c r="S2851"/>
  <c r="T2851"/>
  <c r="U2851"/>
  <c r="V2851"/>
  <c r="W2851"/>
  <c r="X2851"/>
  <c r="Y2851"/>
  <c r="AA2851"/>
  <c r="AB2851"/>
  <c r="AC2851"/>
  <c r="AD2851"/>
  <c r="P2852"/>
  <c r="Q2852"/>
  <c r="R2852"/>
  <c r="S2852"/>
  <c r="T2852"/>
  <c r="U2852"/>
  <c r="V2852"/>
  <c r="W2852"/>
  <c r="X2852"/>
  <c r="Y2852"/>
  <c r="AA2852"/>
  <c r="AB2852"/>
  <c r="AC2852"/>
  <c r="AD2852"/>
  <c r="P2853"/>
  <c r="Q2853"/>
  <c r="R2853"/>
  <c r="S2853"/>
  <c r="T2853"/>
  <c r="U2853"/>
  <c r="V2853"/>
  <c r="W2853"/>
  <c r="X2853"/>
  <c r="Y2853"/>
  <c r="AA2853"/>
  <c r="AB2853"/>
  <c r="AC2853"/>
  <c r="AD2853"/>
  <c r="P2854"/>
  <c r="Q2854"/>
  <c r="R2854"/>
  <c r="S2854"/>
  <c r="T2854"/>
  <c r="U2854"/>
  <c r="V2854"/>
  <c r="W2854"/>
  <c r="X2854"/>
  <c r="Y2854"/>
  <c r="AA2854"/>
  <c r="AB2854"/>
  <c r="AC2854"/>
  <c r="AD2854"/>
  <c r="P2855"/>
  <c r="Q2855"/>
  <c r="R2855"/>
  <c r="S2855"/>
  <c r="T2855"/>
  <c r="U2855"/>
  <c r="V2855"/>
  <c r="W2855"/>
  <c r="X2855"/>
  <c r="Y2855"/>
  <c r="AA2855"/>
  <c r="AB2855"/>
  <c r="AC2855"/>
  <c r="AD2855"/>
  <c r="P2856"/>
  <c r="Q2856"/>
  <c r="R2856"/>
  <c r="S2856"/>
  <c r="T2856"/>
  <c r="U2856"/>
  <c r="V2856"/>
  <c r="W2856"/>
  <c r="X2856"/>
  <c r="Y2856"/>
  <c r="AA2856"/>
  <c r="AB2856"/>
  <c r="AC2856"/>
  <c r="AD2856"/>
  <c r="P2857"/>
  <c r="Q2857"/>
  <c r="R2857"/>
  <c r="S2857"/>
  <c r="T2857"/>
  <c r="U2857"/>
  <c r="V2857"/>
  <c r="W2857"/>
  <c r="X2857"/>
  <c r="Y2857"/>
  <c r="AA2857"/>
  <c r="AB2857"/>
  <c r="AC2857"/>
  <c r="AD2857"/>
  <c r="P2858"/>
  <c r="Q2858"/>
  <c r="R2858"/>
  <c r="S2858"/>
  <c r="T2858"/>
  <c r="U2858"/>
  <c r="V2858"/>
  <c r="W2858"/>
  <c r="X2858"/>
  <c r="Y2858"/>
  <c r="AA2858"/>
  <c r="AB2858"/>
  <c r="AC2858"/>
  <c r="AD2858"/>
  <c r="P2859"/>
  <c r="Q2859"/>
  <c r="R2859"/>
  <c r="S2859"/>
  <c r="T2859"/>
  <c r="U2859"/>
  <c r="V2859"/>
  <c r="W2859"/>
  <c r="X2859"/>
  <c r="Y2859"/>
  <c r="AA2859"/>
  <c r="AB2859"/>
  <c r="AC2859"/>
  <c r="AD2859"/>
  <c r="P2860"/>
  <c r="Q2860"/>
  <c r="R2860"/>
  <c r="S2860"/>
  <c r="T2860"/>
  <c r="U2860"/>
  <c r="V2860"/>
  <c r="W2860"/>
  <c r="X2860"/>
  <c r="Y2860"/>
  <c r="AA2860"/>
  <c r="AB2860"/>
  <c r="AC2860"/>
  <c r="AD2860"/>
  <c r="P2861"/>
  <c r="Q2861"/>
  <c r="R2861"/>
  <c r="S2861"/>
  <c r="T2861"/>
  <c r="U2861"/>
  <c r="V2861"/>
  <c r="W2861"/>
  <c r="X2861"/>
  <c r="Y2861"/>
  <c r="AA2861"/>
  <c r="AB2861"/>
  <c r="AC2861"/>
  <c r="AD2861"/>
  <c r="P2862"/>
  <c r="Q2862"/>
  <c r="R2862"/>
  <c r="S2862"/>
  <c r="T2862"/>
  <c r="U2862"/>
  <c r="V2862"/>
  <c r="W2862"/>
  <c r="X2862"/>
  <c r="Y2862"/>
  <c r="AA2862"/>
  <c r="AB2862"/>
  <c r="AC2862"/>
  <c r="AD2862"/>
  <c r="P2863"/>
  <c r="Q2863"/>
  <c r="R2863"/>
  <c r="S2863"/>
  <c r="T2863"/>
  <c r="U2863"/>
  <c r="V2863"/>
  <c r="W2863"/>
  <c r="X2863"/>
  <c r="Y2863"/>
  <c r="AA2863"/>
  <c r="AB2863"/>
  <c r="AC2863"/>
  <c r="AD2863"/>
  <c r="P2864"/>
  <c r="Q2864"/>
  <c r="R2864"/>
  <c r="S2864"/>
  <c r="T2864"/>
  <c r="U2864"/>
  <c r="V2864"/>
  <c r="W2864"/>
  <c r="X2864"/>
  <c r="Y2864"/>
  <c r="AA2864"/>
  <c r="AB2864"/>
  <c r="AC2864"/>
  <c r="AD2864"/>
  <c r="P2865"/>
  <c r="Q2865"/>
  <c r="R2865"/>
  <c r="S2865"/>
  <c r="T2865"/>
  <c r="U2865"/>
  <c r="V2865"/>
  <c r="W2865"/>
  <c r="X2865"/>
  <c r="Y2865"/>
  <c r="AA2865"/>
  <c r="AB2865"/>
  <c r="AC2865"/>
  <c r="AD2865"/>
  <c r="P2866"/>
  <c r="Q2866"/>
  <c r="R2866"/>
  <c r="S2866"/>
  <c r="T2866"/>
  <c r="U2866"/>
  <c r="V2866"/>
  <c r="W2866"/>
  <c r="X2866"/>
  <c r="Y2866"/>
  <c r="AA2866"/>
  <c r="AB2866"/>
  <c r="AC2866"/>
  <c r="AD2866"/>
  <c r="P2867"/>
  <c r="Q2867"/>
  <c r="R2867"/>
  <c r="S2867"/>
  <c r="T2867"/>
  <c r="U2867"/>
  <c r="V2867"/>
  <c r="W2867"/>
  <c r="X2867"/>
  <c r="Y2867"/>
  <c r="AA2867"/>
  <c r="AB2867"/>
  <c r="AC2867"/>
  <c r="AD2867"/>
  <c r="P2868"/>
  <c r="Q2868"/>
  <c r="R2868"/>
  <c r="S2868"/>
  <c r="T2868"/>
  <c r="U2868"/>
  <c r="V2868"/>
  <c r="W2868"/>
  <c r="X2868"/>
  <c r="Y2868"/>
  <c r="AA2868"/>
  <c r="AB2868"/>
  <c r="AC2868"/>
  <c r="AD2868"/>
  <c r="P2869"/>
  <c r="Q2869"/>
  <c r="R2869"/>
  <c r="S2869"/>
  <c r="T2869"/>
  <c r="U2869"/>
  <c r="V2869"/>
  <c r="W2869"/>
  <c r="X2869"/>
  <c r="Y2869"/>
  <c r="AA2869"/>
  <c r="AB2869"/>
  <c r="AC2869"/>
  <c r="AD2869"/>
  <c r="P2870"/>
  <c r="Q2870"/>
  <c r="R2870"/>
  <c r="S2870"/>
  <c r="T2870"/>
  <c r="U2870"/>
  <c r="V2870"/>
  <c r="W2870"/>
  <c r="X2870"/>
  <c r="Y2870"/>
  <c r="AA2870"/>
  <c r="AB2870"/>
  <c r="AC2870"/>
  <c r="AD2870"/>
  <c r="P2871"/>
  <c r="Q2871"/>
  <c r="R2871"/>
  <c r="S2871"/>
  <c r="T2871"/>
  <c r="U2871"/>
  <c r="V2871"/>
  <c r="W2871"/>
  <c r="X2871"/>
  <c r="Y2871"/>
  <c r="AA2871"/>
  <c r="AB2871"/>
  <c r="AC2871"/>
  <c r="AD2871"/>
  <c r="P2872"/>
  <c r="Q2872"/>
  <c r="R2872"/>
  <c r="S2872"/>
  <c r="T2872"/>
  <c r="U2872"/>
  <c r="V2872"/>
  <c r="W2872"/>
  <c r="X2872"/>
  <c r="Y2872"/>
  <c r="AA2872"/>
  <c r="AB2872"/>
  <c r="AC2872"/>
  <c r="AD2872"/>
  <c r="P2873"/>
  <c r="Q2873"/>
  <c r="R2873"/>
  <c r="S2873"/>
  <c r="T2873"/>
  <c r="U2873"/>
  <c r="V2873"/>
  <c r="W2873"/>
  <c r="X2873"/>
  <c r="Y2873"/>
  <c r="AA2873"/>
  <c r="AB2873"/>
  <c r="AC2873"/>
  <c r="AD2873"/>
  <c r="P2874"/>
  <c r="Q2874"/>
  <c r="R2874"/>
  <c r="S2874"/>
  <c r="T2874"/>
  <c r="U2874"/>
  <c r="V2874"/>
  <c r="W2874"/>
  <c r="X2874"/>
  <c r="Y2874"/>
  <c r="AA2874"/>
  <c r="AB2874"/>
  <c r="AC2874"/>
  <c r="AD2874"/>
  <c r="P2875"/>
  <c r="Q2875"/>
  <c r="R2875"/>
  <c r="S2875"/>
  <c r="T2875"/>
  <c r="U2875"/>
  <c r="V2875"/>
  <c r="W2875"/>
  <c r="X2875"/>
  <c r="Y2875"/>
  <c r="AA2875"/>
  <c r="AB2875"/>
  <c r="AC2875"/>
  <c r="AD2875"/>
  <c r="P2876"/>
  <c r="Q2876"/>
  <c r="R2876"/>
  <c r="S2876"/>
  <c r="T2876"/>
  <c r="U2876"/>
  <c r="V2876"/>
  <c r="W2876"/>
  <c r="X2876"/>
  <c r="Y2876"/>
  <c r="AA2876"/>
  <c r="AB2876"/>
  <c r="AC2876"/>
  <c r="AD2876"/>
  <c r="P2877"/>
  <c r="Q2877"/>
  <c r="R2877"/>
  <c r="S2877"/>
  <c r="T2877"/>
  <c r="U2877"/>
  <c r="V2877"/>
  <c r="W2877"/>
  <c r="X2877"/>
  <c r="Y2877"/>
  <c r="AA2877"/>
  <c r="AB2877"/>
  <c r="AC2877"/>
  <c r="AD2877"/>
  <c r="P2878"/>
  <c r="Q2878"/>
  <c r="R2878"/>
  <c r="S2878"/>
  <c r="T2878"/>
  <c r="U2878"/>
  <c r="V2878"/>
  <c r="W2878"/>
  <c r="X2878"/>
  <c r="Y2878"/>
  <c r="AA2878"/>
  <c r="AB2878"/>
  <c r="AC2878"/>
  <c r="AD2878"/>
  <c r="P2879"/>
  <c r="Q2879"/>
  <c r="R2879"/>
  <c r="S2879"/>
  <c r="T2879"/>
  <c r="U2879"/>
  <c r="V2879"/>
  <c r="W2879"/>
  <c r="X2879"/>
  <c r="Y2879"/>
  <c r="AA2879"/>
  <c r="AB2879"/>
  <c r="AC2879"/>
  <c r="AD2879"/>
  <c r="P2880"/>
  <c r="Q2880"/>
  <c r="R2880"/>
  <c r="S2880"/>
  <c r="T2880"/>
  <c r="U2880"/>
  <c r="V2880"/>
  <c r="W2880"/>
  <c r="X2880"/>
  <c r="Y2880"/>
  <c r="AA2880"/>
  <c r="AB2880"/>
  <c r="AC2880"/>
  <c r="AD2880"/>
  <c r="P2881"/>
  <c r="Q2881"/>
  <c r="R2881"/>
  <c r="S2881"/>
  <c r="T2881"/>
  <c r="U2881"/>
  <c r="V2881"/>
  <c r="W2881"/>
  <c r="X2881"/>
  <c r="Y2881"/>
  <c r="AA2881"/>
  <c r="AB2881"/>
  <c r="AC2881"/>
  <c r="AD2881"/>
  <c r="P2882"/>
  <c r="Q2882"/>
  <c r="R2882"/>
  <c r="S2882"/>
  <c r="T2882"/>
  <c r="U2882"/>
  <c r="V2882"/>
  <c r="W2882"/>
  <c r="X2882"/>
  <c r="Y2882"/>
  <c r="AA2882"/>
  <c r="AB2882"/>
  <c r="AC2882"/>
  <c r="AD2882"/>
  <c r="P2883"/>
  <c r="Q2883"/>
  <c r="R2883"/>
  <c r="S2883"/>
  <c r="T2883"/>
  <c r="U2883"/>
  <c r="V2883"/>
  <c r="W2883"/>
  <c r="X2883"/>
  <c r="Y2883"/>
  <c r="AA2883"/>
  <c r="AB2883"/>
  <c r="AC2883"/>
  <c r="AD2883"/>
  <c r="P2884"/>
  <c r="Q2884"/>
  <c r="R2884"/>
  <c r="S2884"/>
  <c r="T2884"/>
  <c r="U2884"/>
  <c r="V2884"/>
  <c r="W2884"/>
  <c r="X2884"/>
  <c r="Y2884"/>
  <c r="AA2884"/>
  <c r="AB2884"/>
  <c r="AC2884"/>
  <c r="AD2884"/>
  <c r="P2885"/>
  <c r="Q2885"/>
  <c r="R2885"/>
  <c r="S2885"/>
  <c r="T2885"/>
  <c r="U2885"/>
  <c r="V2885"/>
  <c r="W2885"/>
  <c r="X2885"/>
  <c r="Y2885"/>
  <c r="AA2885"/>
  <c r="AB2885"/>
  <c r="AC2885"/>
  <c r="AD2885"/>
  <c r="P2886"/>
  <c r="Q2886"/>
  <c r="R2886"/>
  <c r="S2886"/>
  <c r="T2886"/>
  <c r="U2886"/>
  <c r="V2886"/>
  <c r="W2886"/>
  <c r="X2886"/>
  <c r="Y2886"/>
  <c r="AA2886"/>
  <c r="AB2886"/>
  <c r="AC2886"/>
  <c r="AD2886"/>
  <c r="P2887"/>
  <c r="Q2887"/>
  <c r="R2887"/>
  <c r="S2887"/>
  <c r="T2887"/>
  <c r="U2887"/>
  <c r="V2887"/>
  <c r="W2887"/>
  <c r="X2887"/>
  <c r="Y2887"/>
  <c r="AA2887"/>
  <c r="AB2887"/>
  <c r="AC2887"/>
  <c r="AD2887"/>
  <c r="P2888"/>
  <c r="Q2888"/>
  <c r="R2888"/>
  <c r="S2888"/>
  <c r="T2888"/>
  <c r="U2888"/>
  <c r="V2888"/>
  <c r="W2888"/>
  <c r="X2888"/>
  <c r="Y2888"/>
  <c r="AA2888"/>
  <c r="AB2888"/>
  <c r="AC2888"/>
  <c r="AD2888"/>
  <c r="P2889"/>
  <c r="Q2889"/>
  <c r="R2889"/>
  <c r="S2889"/>
  <c r="T2889"/>
  <c r="U2889"/>
  <c r="V2889"/>
  <c r="W2889"/>
  <c r="X2889"/>
  <c r="Y2889"/>
  <c r="AA2889"/>
  <c r="AB2889"/>
  <c r="AC2889"/>
  <c r="AD2889"/>
  <c r="P2890"/>
  <c r="Q2890"/>
  <c r="R2890"/>
  <c r="S2890"/>
  <c r="T2890"/>
  <c r="U2890"/>
  <c r="V2890"/>
  <c r="W2890"/>
  <c r="X2890"/>
  <c r="Y2890"/>
  <c r="AA2890"/>
  <c r="AB2890"/>
  <c r="AC2890"/>
  <c r="AD2890"/>
  <c r="P2891"/>
  <c r="Q2891"/>
  <c r="R2891"/>
  <c r="S2891"/>
  <c r="T2891"/>
  <c r="U2891"/>
  <c r="V2891"/>
  <c r="W2891"/>
  <c r="X2891"/>
  <c r="Y2891"/>
  <c r="AA2891"/>
  <c r="AB2891"/>
  <c r="AC2891"/>
  <c r="AD2891"/>
  <c r="P2892"/>
  <c r="Q2892"/>
  <c r="R2892"/>
  <c r="S2892"/>
  <c r="T2892"/>
  <c r="U2892"/>
  <c r="V2892"/>
  <c r="W2892"/>
  <c r="X2892"/>
  <c r="Y2892"/>
  <c r="AA2892"/>
  <c r="AB2892"/>
  <c r="AC2892"/>
  <c r="AD2892"/>
  <c r="P2893"/>
  <c r="Q2893"/>
  <c r="R2893"/>
  <c r="S2893"/>
  <c r="T2893"/>
  <c r="U2893"/>
  <c r="V2893"/>
  <c r="W2893"/>
  <c r="X2893"/>
  <c r="Y2893"/>
  <c r="AA2893"/>
  <c r="AB2893"/>
  <c r="AC2893"/>
  <c r="AD2893"/>
  <c r="P2894"/>
  <c r="Q2894"/>
  <c r="R2894"/>
  <c r="S2894"/>
  <c r="T2894"/>
  <c r="U2894"/>
  <c r="V2894"/>
  <c r="W2894"/>
  <c r="X2894"/>
  <c r="Y2894"/>
  <c r="AA2894"/>
  <c r="AB2894"/>
  <c r="AC2894"/>
  <c r="AD2894"/>
  <c r="P2895"/>
  <c r="Q2895"/>
  <c r="R2895"/>
  <c r="S2895"/>
  <c r="T2895"/>
  <c r="U2895"/>
  <c r="V2895"/>
  <c r="W2895"/>
  <c r="X2895"/>
  <c r="Y2895"/>
  <c r="AA2895"/>
  <c r="AB2895"/>
  <c r="AC2895"/>
  <c r="AD2895"/>
  <c r="P2896"/>
  <c r="Q2896"/>
  <c r="R2896"/>
  <c r="S2896"/>
  <c r="T2896"/>
  <c r="U2896"/>
  <c r="V2896"/>
  <c r="W2896"/>
  <c r="X2896"/>
  <c r="Y2896"/>
  <c r="AA2896"/>
  <c r="AB2896"/>
  <c r="AC2896"/>
  <c r="AD2896"/>
  <c r="P2897"/>
  <c r="Q2897"/>
  <c r="R2897"/>
  <c r="S2897"/>
  <c r="T2897"/>
  <c r="U2897"/>
  <c r="V2897"/>
  <c r="W2897"/>
  <c r="X2897"/>
  <c r="Y2897"/>
  <c r="AA2897"/>
  <c r="AB2897"/>
  <c r="AC2897"/>
  <c r="AD2897"/>
  <c r="P2898"/>
  <c r="Q2898"/>
  <c r="R2898"/>
  <c r="S2898"/>
  <c r="T2898"/>
  <c r="U2898"/>
  <c r="V2898"/>
  <c r="W2898"/>
  <c r="X2898"/>
  <c r="Y2898"/>
  <c r="AA2898"/>
  <c r="AB2898"/>
  <c r="AC2898"/>
  <c r="AD2898"/>
  <c r="P2899"/>
  <c r="Q2899"/>
  <c r="R2899"/>
  <c r="S2899"/>
  <c r="T2899"/>
  <c r="U2899"/>
  <c r="V2899"/>
  <c r="W2899"/>
  <c r="X2899"/>
  <c r="Y2899"/>
  <c r="AA2899"/>
  <c r="AB2899"/>
  <c r="AC2899"/>
  <c r="AD2899"/>
  <c r="P2900"/>
  <c r="Q2900"/>
  <c r="R2900"/>
  <c r="S2900"/>
  <c r="T2900"/>
  <c r="U2900"/>
  <c r="V2900"/>
  <c r="W2900"/>
  <c r="X2900"/>
  <c r="Y2900"/>
  <c r="AA2900"/>
  <c r="AB2900"/>
  <c r="AC2900"/>
  <c r="AD2900"/>
  <c r="P2901"/>
  <c r="Q2901"/>
  <c r="R2901"/>
  <c r="S2901"/>
  <c r="T2901"/>
  <c r="U2901"/>
  <c r="V2901"/>
  <c r="W2901"/>
  <c r="X2901"/>
  <c r="Y2901"/>
  <c r="AA2901"/>
  <c r="AB2901"/>
  <c r="AC2901"/>
  <c r="AD2901"/>
  <c r="P2902"/>
  <c r="Q2902"/>
  <c r="R2902"/>
  <c r="S2902"/>
  <c r="T2902"/>
  <c r="U2902"/>
  <c r="V2902"/>
  <c r="W2902"/>
  <c r="X2902"/>
  <c r="Y2902"/>
  <c r="AA2902"/>
  <c r="AB2902"/>
  <c r="AC2902"/>
  <c r="AD2902"/>
  <c r="P2903"/>
  <c r="Q2903"/>
  <c r="R2903"/>
  <c r="S2903"/>
  <c r="T2903"/>
  <c r="U2903"/>
  <c r="V2903"/>
  <c r="W2903"/>
  <c r="X2903"/>
  <c r="Y2903"/>
  <c r="AA2903"/>
  <c r="AB2903"/>
  <c r="AC2903"/>
  <c r="AD2903"/>
  <c r="P2904"/>
  <c r="Q2904"/>
  <c r="R2904"/>
  <c r="S2904"/>
  <c r="T2904"/>
  <c r="U2904"/>
  <c r="V2904"/>
  <c r="W2904"/>
  <c r="X2904"/>
  <c r="Y2904"/>
  <c r="AA2904"/>
  <c r="AB2904"/>
  <c r="AC2904"/>
  <c r="AD2904"/>
  <c r="P2905"/>
  <c r="Q2905"/>
  <c r="R2905"/>
  <c r="S2905"/>
  <c r="T2905"/>
  <c r="U2905"/>
  <c r="V2905"/>
  <c r="W2905"/>
  <c r="X2905"/>
  <c r="Y2905"/>
  <c r="AA2905"/>
  <c r="AB2905"/>
  <c r="AC2905"/>
  <c r="AD2905"/>
  <c r="P2906"/>
  <c r="Q2906"/>
  <c r="R2906"/>
  <c r="S2906"/>
  <c r="T2906"/>
  <c r="U2906"/>
  <c r="V2906"/>
  <c r="W2906"/>
  <c r="X2906"/>
  <c r="Y2906"/>
  <c r="AA2906"/>
  <c r="AB2906"/>
  <c r="AC2906"/>
  <c r="AD2906"/>
  <c r="P2907"/>
  <c r="Q2907"/>
  <c r="R2907"/>
  <c r="S2907"/>
  <c r="T2907"/>
  <c r="U2907"/>
  <c r="V2907"/>
  <c r="W2907"/>
  <c r="X2907"/>
  <c r="Y2907"/>
  <c r="AA2907"/>
  <c r="AB2907"/>
  <c r="AC2907"/>
  <c r="AD2907"/>
  <c r="P2908"/>
  <c r="Q2908"/>
  <c r="R2908"/>
  <c r="S2908"/>
  <c r="T2908"/>
  <c r="U2908"/>
  <c r="V2908"/>
  <c r="W2908"/>
  <c r="X2908"/>
  <c r="Y2908"/>
  <c r="AA2908"/>
  <c r="AB2908"/>
  <c r="AC2908"/>
  <c r="AD2908"/>
  <c r="P2909"/>
  <c r="Q2909"/>
  <c r="R2909"/>
  <c r="S2909"/>
  <c r="T2909"/>
  <c r="U2909"/>
  <c r="V2909"/>
  <c r="W2909"/>
  <c r="X2909"/>
  <c r="Y2909"/>
  <c r="AA2909"/>
  <c r="AB2909"/>
  <c r="AC2909"/>
  <c r="AD2909"/>
  <c r="P2910"/>
  <c r="Q2910"/>
  <c r="R2910"/>
  <c r="S2910"/>
  <c r="T2910"/>
  <c r="U2910"/>
  <c r="V2910"/>
  <c r="W2910"/>
  <c r="X2910"/>
  <c r="Y2910"/>
  <c r="AA2910"/>
  <c r="AB2910"/>
  <c r="AC2910"/>
  <c r="AD2910"/>
  <c r="P2911"/>
  <c r="Q2911"/>
  <c r="R2911"/>
  <c r="S2911"/>
  <c r="T2911"/>
  <c r="U2911"/>
  <c r="V2911"/>
  <c r="W2911"/>
  <c r="X2911"/>
  <c r="Y2911"/>
  <c r="AA2911"/>
  <c r="AB2911"/>
  <c r="AC2911"/>
  <c r="AD2911"/>
  <c r="P2912"/>
  <c r="Q2912"/>
  <c r="R2912"/>
  <c r="S2912"/>
  <c r="T2912"/>
  <c r="U2912"/>
  <c r="V2912"/>
  <c r="W2912"/>
  <c r="X2912"/>
  <c r="Y2912"/>
  <c r="AA2912"/>
  <c r="AB2912"/>
  <c r="AC2912"/>
  <c r="AD2912"/>
  <c r="P2913"/>
  <c r="Q2913"/>
  <c r="R2913"/>
  <c r="S2913"/>
  <c r="T2913"/>
  <c r="U2913"/>
  <c r="V2913"/>
  <c r="W2913"/>
  <c r="X2913"/>
  <c r="Y2913"/>
  <c r="AA2913"/>
  <c r="AB2913"/>
  <c r="AC2913"/>
  <c r="AD2913"/>
  <c r="P2914"/>
  <c r="Q2914"/>
  <c r="R2914"/>
  <c r="S2914"/>
  <c r="T2914"/>
  <c r="U2914"/>
  <c r="V2914"/>
  <c r="W2914"/>
  <c r="X2914"/>
  <c r="Y2914"/>
  <c r="AA2914"/>
  <c r="AB2914"/>
  <c r="AC2914"/>
  <c r="AD2914"/>
  <c r="P2915"/>
  <c r="Q2915"/>
  <c r="R2915"/>
  <c r="S2915"/>
  <c r="T2915"/>
  <c r="U2915"/>
  <c r="V2915"/>
  <c r="W2915"/>
  <c r="X2915"/>
  <c r="Y2915"/>
  <c r="AA2915"/>
  <c r="AB2915"/>
  <c r="AC2915"/>
  <c r="AD2915"/>
  <c r="P2916"/>
  <c r="Q2916"/>
  <c r="R2916"/>
  <c r="S2916"/>
  <c r="T2916"/>
  <c r="U2916"/>
  <c r="V2916"/>
  <c r="W2916"/>
  <c r="X2916"/>
  <c r="Y2916"/>
  <c r="AA2916"/>
  <c r="AB2916"/>
  <c r="AC2916"/>
  <c r="AD2916"/>
  <c r="P2917"/>
  <c r="Q2917"/>
  <c r="R2917"/>
  <c r="S2917"/>
  <c r="T2917"/>
  <c r="U2917"/>
  <c r="V2917"/>
  <c r="W2917"/>
  <c r="X2917"/>
  <c r="Y2917"/>
  <c r="AA2917"/>
  <c r="AB2917"/>
  <c r="AC2917"/>
  <c r="AD2917"/>
  <c r="P2918"/>
  <c r="Q2918"/>
  <c r="R2918"/>
  <c r="S2918"/>
  <c r="T2918"/>
  <c r="U2918"/>
  <c r="V2918"/>
  <c r="W2918"/>
  <c r="X2918"/>
  <c r="Y2918"/>
  <c r="AA2918"/>
  <c r="AB2918"/>
  <c r="AC2918"/>
  <c r="AD2918"/>
  <c r="P2919"/>
  <c r="Q2919"/>
  <c r="R2919"/>
  <c r="S2919"/>
  <c r="T2919"/>
  <c r="U2919"/>
  <c r="V2919"/>
  <c r="W2919"/>
  <c r="X2919"/>
  <c r="Y2919"/>
  <c r="AA2919"/>
  <c r="AB2919"/>
  <c r="AC2919"/>
  <c r="AD2919"/>
  <c r="P2920"/>
  <c r="Q2920"/>
  <c r="R2920"/>
  <c r="S2920"/>
  <c r="T2920"/>
  <c r="U2920"/>
  <c r="V2920"/>
  <c r="W2920"/>
  <c r="X2920"/>
  <c r="Y2920"/>
  <c r="AA2920"/>
  <c r="AB2920"/>
  <c r="AC2920"/>
  <c r="AD2920"/>
  <c r="P2921"/>
  <c r="Q2921"/>
  <c r="R2921"/>
  <c r="S2921"/>
  <c r="T2921"/>
  <c r="U2921"/>
  <c r="V2921"/>
  <c r="W2921"/>
  <c r="X2921"/>
  <c r="Y2921"/>
  <c r="AA2921"/>
  <c r="AB2921"/>
  <c r="AC2921"/>
  <c r="AD2921"/>
  <c r="P2922"/>
  <c r="Q2922"/>
  <c r="R2922"/>
  <c r="S2922"/>
  <c r="T2922"/>
  <c r="U2922"/>
  <c r="V2922"/>
  <c r="W2922"/>
  <c r="X2922"/>
  <c r="Y2922"/>
  <c r="AA2922"/>
  <c r="AB2922"/>
  <c r="AC2922"/>
  <c r="AD2922"/>
  <c r="P2923"/>
  <c r="Q2923"/>
  <c r="R2923"/>
  <c r="S2923"/>
  <c r="T2923"/>
  <c r="U2923"/>
  <c r="V2923"/>
  <c r="W2923"/>
  <c r="X2923"/>
  <c r="Y2923"/>
  <c r="AA2923"/>
  <c r="AB2923"/>
  <c r="AC2923"/>
  <c r="AD2923"/>
  <c r="P2924"/>
  <c r="Q2924"/>
  <c r="R2924"/>
  <c r="S2924"/>
  <c r="T2924"/>
  <c r="U2924"/>
  <c r="V2924"/>
  <c r="W2924"/>
  <c r="X2924"/>
  <c r="Y2924"/>
  <c r="AA2924"/>
  <c r="AB2924"/>
  <c r="AC2924"/>
  <c r="AD2924"/>
  <c r="P2925"/>
  <c r="Q2925"/>
  <c r="R2925"/>
  <c r="S2925"/>
  <c r="T2925"/>
  <c r="U2925"/>
  <c r="V2925"/>
  <c r="W2925"/>
  <c r="X2925"/>
  <c r="Y2925"/>
  <c r="AA2925"/>
  <c r="AB2925"/>
  <c r="AC2925"/>
  <c r="AD2925"/>
  <c r="P2926"/>
  <c r="Q2926"/>
  <c r="R2926"/>
  <c r="S2926"/>
  <c r="T2926"/>
  <c r="U2926"/>
  <c r="V2926"/>
  <c r="W2926"/>
  <c r="X2926"/>
  <c r="Y2926"/>
  <c r="AA2926"/>
  <c r="AB2926"/>
  <c r="AC2926"/>
  <c r="AD2926"/>
  <c r="P2927"/>
  <c r="Q2927"/>
  <c r="R2927"/>
  <c r="S2927"/>
  <c r="T2927"/>
  <c r="U2927"/>
  <c r="V2927"/>
  <c r="W2927"/>
  <c r="X2927"/>
  <c r="Y2927"/>
  <c r="AA2927"/>
  <c r="AB2927"/>
  <c r="AC2927"/>
  <c r="AD2927"/>
  <c r="P2928"/>
  <c r="Q2928"/>
  <c r="R2928"/>
  <c r="S2928"/>
  <c r="T2928"/>
  <c r="U2928"/>
  <c r="V2928"/>
  <c r="W2928"/>
  <c r="X2928"/>
  <c r="Y2928"/>
  <c r="AA2928"/>
  <c r="AB2928"/>
  <c r="AC2928"/>
  <c r="AD2928"/>
  <c r="P2929"/>
  <c r="Q2929"/>
  <c r="R2929"/>
  <c r="S2929"/>
  <c r="T2929"/>
  <c r="U2929"/>
  <c r="V2929"/>
  <c r="W2929"/>
  <c r="X2929"/>
  <c r="Y2929"/>
  <c r="AA2929"/>
  <c r="AB2929"/>
  <c r="AC2929"/>
  <c r="AD2929"/>
  <c r="P2930"/>
  <c r="Q2930"/>
  <c r="R2930"/>
  <c r="S2930"/>
  <c r="T2930"/>
  <c r="U2930"/>
  <c r="V2930"/>
  <c r="W2930"/>
  <c r="X2930"/>
  <c r="Y2930"/>
  <c r="AA2930"/>
  <c r="AB2930"/>
  <c r="AC2930"/>
  <c r="AD2930"/>
  <c r="P2931"/>
  <c r="Q2931"/>
  <c r="R2931"/>
  <c r="S2931"/>
  <c r="T2931"/>
  <c r="U2931"/>
  <c r="V2931"/>
  <c r="W2931"/>
  <c r="X2931"/>
  <c r="Y2931"/>
  <c r="AA2931"/>
  <c r="AB2931"/>
  <c r="AC2931"/>
  <c r="AD2931"/>
  <c r="P2932"/>
  <c r="Q2932"/>
  <c r="R2932"/>
  <c r="S2932"/>
  <c r="T2932"/>
  <c r="U2932"/>
  <c r="V2932"/>
  <c r="W2932"/>
  <c r="X2932"/>
  <c r="Y2932"/>
  <c r="AA2932"/>
  <c r="AB2932"/>
  <c r="AC2932"/>
  <c r="AD2932"/>
  <c r="P2933"/>
  <c r="Q2933"/>
  <c r="R2933"/>
  <c r="S2933"/>
  <c r="T2933"/>
  <c r="U2933"/>
  <c r="V2933"/>
  <c r="W2933"/>
  <c r="X2933"/>
  <c r="Y2933"/>
  <c r="AA2933"/>
  <c r="AB2933"/>
  <c r="AC2933"/>
  <c r="AD2933"/>
  <c r="P2934"/>
  <c r="Q2934"/>
  <c r="R2934"/>
  <c r="S2934"/>
  <c r="T2934"/>
  <c r="U2934"/>
  <c r="V2934"/>
  <c r="W2934"/>
  <c r="X2934"/>
  <c r="Y2934"/>
  <c r="AA2934"/>
  <c r="AB2934"/>
  <c r="AC2934"/>
  <c r="AD2934"/>
  <c r="P2935"/>
  <c r="Q2935"/>
  <c r="R2935"/>
  <c r="S2935"/>
  <c r="T2935"/>
  <c r="U2935"/>
  <c r="V2935"/>
  <c r="W2935"/>
  <c r="X2935"/>
  <c r="Y2935"/>
  <c r="AA2935"/>
  <c r="AB2935"/>
  <c r="AC2935"/>
  <c r="AD2935"/>
  <c r="P2936"/>
  <c r="Q2936"/>
  <c r="R2936"/>
  <c r="S2936"/>
  <c r="T2936"/>
  <c r="U2936"/>
  <c r="V2936"/>
  <c r="W2936"/>
  <c r="X2936"/>
  <c r="Y2936"/>
  <c r="AA2936"/>
  <c r="AB2936"/>
  <c r="AC2936"/>
  <c r="AD2936"/>
  <c r="P2937"/>
  <c r="Q2937"/>
  <c r="R2937"/>
  <c r="S2937"/>
  <c r="T2937"/>
  <c r="U2937"/>
  <c r="V2937"/>
  <c r="W2937"/>
  <c r="X2937"/>
  <c r="Y2937"/>
  <c r="AA2937"/>
  <c r="AB2937"/>
  <c r="AC2937"/>
  <c r="AD2937"/>
  <c r="P2938"/>
  <c r="Q2938"/>
  <c r="R2938"/>
  <c r="S2938"/>
  <c r="T2938"/>
  <c r="U2938"/>
  <c r="V2938"/>
  <c r="W2938"/>
  <c r="X2938"/>
  <c r="Y2938"/>
  <c r="AA2938"/>
  <c r="AB2938"/>
  <c r="AC2938"/>
  <c r="AD2938"/>
  <c r="P2939"/>
  <c r="Q2939"/>
  <c r="R2939"/>
  <c r="S2939"/>
  <c r="T2939"/>
  <c r="U2939"/>
  <c r="V2939"/>
  <c r="W2939"/>
  <c r="X2939"/>
  <c r="Y2939"/>
  <c r="AA2939"/>
  <c r="AB2939"/>
  <c r="AC2939"/>
  <c r="AD2939"/>
  <c r="P2940"/>
  <c r="Q2940"/>
  <c r="R2940"/>
  <c r="S2940"/>
  <c r="T2940"/>
  <c r="U2940"/>
  <c r="V2940"/>
  <c r="W2940"/>
  <c r="X2940"/>
  <c r="Y2940"/>
  <c r="AA2940"/>
  <c r="AB2940"/>
  <c r="AC2940"/>
  <c r="AD2940"/>
  <c r="P2941"/>
  <c r="Q2941"/>
  <c r="R2941"/>
  <c r="S2941"/>
  <c r="T2941"/>
  <c r="U2941"/>
  <c r="V2941"/>
  <c r="W2941"/>
  <c r="X2941"/>
  <c r="Y2941"/>
  <c r="AA2941"/>
  <c r="AB2941"/>
  <c r="AC2941"/>
  <c r="AD2941"/>
  <c r="P2942"/>
  <c r="Q2942"/>
  <c r="R2942"/>
  <c r="S2942"/>
  <c r="T2942"/>
  <c r="U2942"/>
  <c r="V2942"/>
  <c r="W2942"/>
  <c r="X2942"/>
  <c r="Y2942"/>
  <c r="AA2942"/>
  <c r="AB2942"/>
  <c r="AC2942"/>
  <c r="AD2942"/>
  <c r="P2943"/>
  <c r="Q2943"/>
  <c r="R2943"/>
  <c r="S2943"/>
  <c r="T2943"/>
  <c r="U2943"/>
  <c r="V2943"/>
  <c r="W2943"/>
  <c r="X2943"/>
  <c r="Y2943"/>
  <c r="AA2943"/>
  <c r="AB2943"/>
  <c r="AC2943"/>
  <c r="AD2943"/>
  <c r="P2944"/>
  <c r="Q2944"/>
  <c r="R2944"/>
  <c r="S2944"/>
  <c r="T2944"/>
  <c r="U2944"/>
  <c r="V2944"/>
  <c r="W2944"/>
  <c r="X2944"/>
  <c r="Y2944"/>
  <c r="AA2944"/>
  <c r="AB2944"/>
  <c r="AC2944"/>
  <c r="AD2944"/>
  <c r="P2945"/>
  <c r="Q2945"/>
  <c r="R2945"/>
  <c r="S2945"/>
  <c r="T2945"/>
  <c r="U2945"/>
  <c r="V2945"/>
  <c r="W2945"/>
  <c r="X2945"/>
  <c r="Y2945"/>
  <c r="AA2945"/>
  <c r="AB2945"/>
  <c r="AC2945"/>
  <c r="AD2945"/>
  <c r="P2946"/>
  <c r="Q2946"/>
  <c r="R2946"/>
  <c r="S2946"/>
  <c r="T2946"/>
  <c r="U2946"/>
  <c r="V2946"/>
  <c r="W2946"/>
  <c r="X2946"/>
  <c r="Y2946"/>
  <c r="AA2946"/>
  <c r="AB2946"/>
  <c r="AC2946"/>
  <c r="AD2946"/>
  <c r="P2947"/>
  <c r="Q2947"/>
  <c r="R2947"/>
  <c r="S2947"/>
  <c r="T2947"/>
  <c r="U2947"/>
  <c r="V2947"/>
  <c r="W2947"/>
  <c r="X2947"/>
  <c r="Y2947"/>
  <c r="AA2947"/>
  <c r="AB2947"/>
  <c r="AC2947"/>
  <c r="AD2947"/>
  <c r="P2948"/>
  <c r="Q2948"/>
  <c r="R2948"/>
  <c r="S2948"/>
  <c r="T2948"/>
  <c r="U2948"/>
  <c r="V2948"/>
  <c r="W2948"/>
  <c r="X2948"/>
  <c r="Y2948"/>
  <c r="AA2948"/>
  <c r="AB2948"/>
  <c r="AC2948"/>
  <c r="AD2948"/>
  <c r="P2949"/>
  <c r="Q2949"/>
  <c r="R2949"/>
  <c r="S2949"/>
  <c r="T2949"/>
  <c r="U2949"/>
  <c r="V2949"/>
  <c r="W2949"/>
  <c r="X2949"/>
  <c r="Y2949"/>
  <c r="AA2949"/>
  <c r="AB2949"/>
  <c r="AC2949"/>
  <c r="AD2949"/>
  <c r="P2950"/>
  <c r="Q2950"/>
  <c r="R2950"/>
  <c r="S2950"/>
  <c r="T2950"/>
  <c r="U2950"/>
  <c r="V2950"/>
  <c r="W2950"/>
  <c r="X2950"/>
  <c r="Y2950"/>
  <c r="AA2950"/>
  <c r="AB2950"/>
  <c r="AC2950"/>
  <c r="AD2950"/>
  <c r="P2951"/>
  <c r="Q2951"/>
  <c r="R2951"/>
  <c r="S2951"/>
  <c r="T2951"/>
  <c r="U2951"/>
  <c r="V2951"/>
  <c r="W2951"/>
  <c r="X2951"/>
  <c r="Y2951"/>
  <c r="AA2951"/>
  <c r="AB2951"/>
  <c r="AC2951"/>
  <c r="AD2951"/>
  <c r="P2952"/>
  <c r="Q2952"/>
  <c r="R2952"/>
  <c r="S2952"/>
  <c r="T2952"/>
  <c r="U2952"/>
  <c r="V2952"/>
  <c r="W2952"/>
  <c r="X2952"/>
  <c r="Y2952"/>
  <c r="AA2952"/>
  <c r="AB2952"/>
  <c r="AC2952"/>
  <c r="AD2952"/>
  <c r="P2953"/>
  <c r="Q2953"/>
  <c r="R2953"/>
  <c r="S2953"/>
  <c r="T2953"/>
  <c r="U2953"/>
  <c r="V2953"/>
  <c r="W2953"/>
  <c r="X2953"/>
  <c r="Y2953"/>
  <c r="AA2953"/>
  <c r="AB2953"/>
  <c r="AC2953"/>
  <c r="AD2953"/>
  <c r="P2954"/>
  <c r="Q2954"/>
  <c r="R2954"/>
  <c r="S2954"/>
  <c r="T2954"/>
  <c r="U2954"/>
  <c r="V2954"/>
  <c r="W2954"/>
  <c r="X2954"/>
  <c r="Y2954"/>
  <c r="AA2954"/>
  <c r="AB2954"/>
  <c r="AC2954"/>
  <c r="AD2954"/>
  <c r="P2955"/>
  <c r="Q2955"/>
  <c r="R2955"/>
  <c r="S2955"/>
  <c r="T2955"/>
  <c r="U2955"/>
  <c r="V2955"/>
  <c r="W2955"/>
  <c r="X2955"/>
  <c r="Y2955"/>
  <c r="AA2955"/>
  <c r="AB2955"/>
  <c r="AC2955"/>
  <c r="AD2955"/>
  <c r="P2956"/>
  <c r="Q2956"/>
  <c r="R2956"/>
  <c r="S2956"/>
  <c r="T2956"/>
  <c r="U2956"/>
  <c r="V2956"/>
  <c r="W2956"/>
  <c r="X2956"/>
  <c r="Y2956"/>
  <c r="AA2956"/>
  <c r="AB2956"/>
  <c r="AC2956"/>
  <c r="AD2956"/>
  <c r="P2957"/>
  <c r="Q2957"/>
  <c r="R2957"/>
  <c r="S2957"/>
  <c r="T2957"/>
  <c r="U2957"/>
  <c r="V2957"/>
  <c r="W2957"/>
  <c r="X2957"/>
  <c r="Y2957"/>
  <c r="AA2957"/>
  <c r="AB2957"/>
  <c r="AC2957"/>
  <c r="AD2957"/>
  <c r="P2958"/>
  <c r="Q2958"/>
  <c r="R2958"/>
  <c r="S2958"/>
  <c r="T2958"/>
  <c r="U2958"/>
  <c r="V2958"/>
  <c r="W2958"/>
  <c r="X2958"/>
  <c r="Y2958"/>
  <c r="AA2958"/>
  <c r="AB2958"/>
  <c r="AC2958"/>
  <c r="AD2958"/>
  <c r="P2959"/>
  <c r="Q2959"/>
  <c r="R2959"/>
  <c r="S2959"/>
  <c r="T2959"/>
  <c r="U2959"/>
  <c r="V2959"/>
  <c r="W2959"/>
  <c r="X2959"/>
  <c r="Y2959"/>
  <c r="AA2959"/>
  <c r="AB2959"/>
  <c r="AC2959"/>
  <c r="AD2959"/>
  <c r="P2960"/>
  <c r="Q2960"/>
  <c r="R2960"/>
  <c r="S2960"/>
  <c r="T2960"/>
  <c r="U2960"/>
  <c r="V2960"/>
  <c r="W2960"/>
  <c r="X2960"/>
  <c r="Y2960"/>
  <c r="AA2960"/>
  <c r="AB2960"/>
  <c r="AC2960"/>
  <c r="AD2960"/>
  <c r="P2961"/>
  <c r="Q2961"/>
  <c r="R2961"/>
  <c r="S2961"/>
  <c r="T2961"/>
  <c r="U2961"/>
  <c r="V2961"/>
  <c r="W2961"/>
  <c r="X2961"/>
  <c r="Y2961"/>
  <c r="AA2961"/>
  <c r="AB2961"/>
  <c r="AC2961"/>
  <c r="AD2961"/>
  <c r="P2962"/>
  <c r="Q2962"/>
  <c r="R2962"/>
  <c r="S2962"/>
  <c r="T2962"/>
  <c r="U2962"/>
  <c r="V2962"/>
  <c r="W2962"/>
  <c r="X2962"/>
  <c r="Y2962"/>
  <c r="AA2962"/>
  <c r="AB2962"/>
  <c r="AC2962"/>
  <c r="AD2962"/>
  <c r="P2963"/>
  <c r="Q2963"/>
  <c r="R2963"/>
  <c r="S2963"/>
  <c r="T2963"/>
  <c r="U2963"/>
  <c r="V2963"/>
  <c r="W2963"/>
  <c r="X2963"/>
  <c r="Y2963"/>
  <c r="AA2963"/>
  <c r="AB2963"/>
  <c r="AC2963"/>
  <c r="AD2963"/>
  <c r="P2964"/>
  <c r="Q2964"/>
  <c r="R2964"/>
  <c r="S2964"/>
  <c r="T2964"/>
  <c r="U2964"/>
  <c r="V2964"/>
  <c r="W2964"/>
  <c r="X2964"/>
  <c r="Y2964"/>
  <c r="AA2964"/>
  <c r="AB2964"/>
  <c r="AC2964"/>
  <c r="AD2964"/>
  <c r="P2965"/>
  <c r="Q2965"/>
  <c r="R2965"/>
  <c r="S2965"/>
  <c r="T2965"/>
  <c r="U2965"/>
  <c r="V2965"/>
  <c r="W2965"/>
  <c r="X2965"/>
  <c r="Y2965"/>
  <c r="AA2965"/>
  <c r="AB2965"/>
  <c r="AC2965"/>
  <c r="AD2965"/>
  <c r="P2966"/>
  <c r="Q2966"/>
  <c r="R2966"/>
  <c r="S2966"/>
  <c r="T2966"/>
  <c r="U2966"/>
  <c r="V2966"/>
  <c r="W2966"/>
  <c r="X2966"/>
  <c r="Y2966"/>
  <c r="AA2966"/>
  <c r="AB2966"/>
  <c r="AC2966"/>
  <c r="AD2966"/>
  <c r="P2967"/>
  <c r="Q2967"/>
  <c r="R2967"/>
  <c r="S2967"/>
  <c r="T2967"/>
  <c r="U2967"/>
  <c r="V2967"/>
  <c r="W2967"/>
  <c r="X2967"/>
  <c r="Y2967"/>
  <c r="AA2967"/>
  <c r="AB2967"/>
  <c r="AC2967"/>
  <c r="AD2967"/>
  <c r="P2968"/>
  <c r="Q2968"/>
  <c r="R2968"/>
  <c r="S2968"/>
  <c r="T2968"/>
  <c r="U2968"/>
  <c r="V2968"/>
  <c r="W2968"/>
  <c r="X2968"/>
  <c r="Y2968"/>
  <c r="AA2968"/>
  <c r="AB2968"/>
  <c r="AC2968"/>
  <c r="AD2968"/>
  <c r="P2969"/>
  <c r="Q2969"/>
  <c r="R2969"/>
  <c r="S2969"/>
  <c r="T2969"/>
  <c r="U2969"/>
  <c r="V2969"/>
  <c r="W2969"/>
  <c r="X2969"/>
  <c r="Y2969"/>
  <c r="AA2969"/>
  <c r="AB2969"/>
  <c r="AC2969"/>
  <c r="AD2969"/>
  <c r="P2970"/>
  <c r="Q2970"/>
  <c r="R2970"/>
  <c r="S2970"/>
  <c r="T2970"/>
  <c r="U2970"/>
  <c r="V2970"/>
  <c r="W2970"/>
  <c r="X2970"/>
  <c r="Y2970"/>
  <c r="AA2970"/>
  <c r="AB2970"/>
  <c r="AC2970"/>
  <c r="AD2970"/>
  <c r="P2971"/>
  <c r="Q2971"/>
  <c r="R2971"/>
  <c r="S2971"/>
  <c r="T2971"/>
  <c r="U2971"/>
  <c r="V2971"/>
  <c r="W2971"/>
  <c r="X2971"/>
  <c r="Y2971"/>
  <c r="AA2971"/>
  <c r="AB2971"/>
  <c r="AC2971"/>
  <c r="AD2971"/>
  <c r="P2972"/>
  <c r="Q2972"/>
  <c r="R2972"/>
  <c r="S2972"/>
  <c r="T2972"/>
  <c r="U2972"/>
  <c r="V2972"/>
  <c r="W2972"/>
  <c r="X2972"/>
  <c r="Y2972"/>
  <c r="AA2972"/>
  <c r="AB2972"/>
  <c r="AC2972"/>
  <c r="AD2972"/>
  <c r="P2973"/>
  <c r="Q2973"/>
  <c r="R2973"/>
  <c r="S2973"/>
  <c r="T2973"/>
  <c r="U2973"/>
  <c r="V2973"/>
  <c r="W2973"/>
  <c r="X2973"/>
  <c r="Y2973"/>
  <c r="AA2973"/>
  <c r="AB2973"/>
  <c r="AC2973"/>
  <c r="AD2973"/>
  <c r="P2974"/>
  <c r="Q2974"/>
  <c r="R2974"/>
  <c r="S2974"/>
  <c r="T2974"/>
  <c r="U2974"/>
  <c r="V2974"/>
  <c r="W2974"/>
  <c r="X2974"/>
  <c r="Y2974"/>
  <c r="AA2974"/>
  <c r="AB2974"/>
  <c r="AC2974"/>
  <c r="AD2974"/>
  <c r="P2975"/>
  <c r="Q2975"/>
  <c r="R2975"/>
  <c r="S2975"/>
  <c r="T2975"/>
  <c r="U2975"/>
  <c r="V2975"/>
  <c r="W2975"/>
  <c r="X2975"/>
  <c r="Y2975"/>
  <c r="AA2975"/>
  <c r="AB2975"/>
  <c r="AC2975"/>
  <c r="AD2975"/>
  <c r="P2976"/>
  <c r="Q2976"/>
  <c r="R2976"/>
  <c r="S2976"/>
  <c r="T2976"/>
  <c r="U2976"/>
  <c r="V2976"/>
  <c r="W2976"/>
  <c r="X2976"/>
  <c r="Y2976"/>
  <c r="AA2976"/>
  <c r="AB2976"/>
  <c r="AC2976"/>
  <c r="AD2976"/>
  <c r="P2977"/>
  <c r="Q2977"/>
  <c r="R2977"/>
  <c r="S2977"/>
  <c r="T2977"/>
  <c r="U2977"/>
  <c r="V2977"/>
  <c r="W2977"/>
  <c r="X2977"/>
  <c r="Y2977"/>
  <c r="AA2977"/>
  <c r="AB2977"/>
  <c r="AC2977"/>
  <c r="AD2977"/>
  <c r="P2978"/>
  <c r="Q2978"/>
  <c r="R2978"/>
  <c r="S2978"/>
  <c r="T2978"/>
  <c r="U2978"/>
  <c r="V2978"/>
  <c r="W2978"/>
  <c r="X2978"/>
  <c r="Y2978"/>
  <c r="AA2978"/>
  <c r="AB2978"/>
  <c r="AC2978"/>
  <c r="AD2978"/>
  <c r="P2979"/>
  <c r="Q2979"/>
  <c r="R2979"/>
  <c r="S2979"/>
  <c r="T2979"/>
  <c r="U2979"/>
  <c r="V2979"/>
  <c r="W2979"/>
  <c r="X2979"/>
  <c r="Y2979"/>
  <c r="AA2979"/>
  <c r="AB2979"/>
  <c r="AC2979"/>
  <c r="AD2979"/>
  <c r="P2980"/>
  <c r="Q2980"/>
  <c r="R2980"/>
  <c r="S2980"/>
  <c r="T2980"/>
  <c r="U2980"/>
  <c r="V2980"/>
  <c r="W2980"/>
  <c r="X2980"/>
  <c r="Y2980"/>
  <c r="AA2980"/>
  <c r="AB2980"/>
  <c r="AC2980"/>
  <c r="AD2980"/>
  <c r="P2981"/>
  <c r="Q2981"/>
  <c r="R2981"/>
  <c r="S2981"/>
  <c r="T2981"/>
  <c r="U2981"/>
  <c r="V2981"/>
  <c r="W2981"/>
  <c r="X2981"/>
  <c r="Y2981"/>
  <c r="AA2981"/>
  <c r="AB2981"/>
  <c r="AC2981"/>
  <c r="AD2981"/>
  <c r="P2982"/>
  <c r="Q2982"/>
  <c r="R2982"/>
  <c r="S2982"/>
  <c r="T2982"/>
  <c r="U2982"/>
  <c r="V2982"/>
  <c r="W2982"/>
  <c r="X2982"/>
  <c r="Y2982"/>
  <c r="AA2982"/>
  <c r="AB2982"/>
  <c r="AC2982"/>
  <c r="AD2982"/>
  <c r="P2983"/>
  <c r="Q2983"/>
  <c r="R2983"/>
  <c r="S2983"/>
  <c r="T2983"/>
  <c r="U2983"/>
  <c r="V2983"/>
  <c r="W2983"/>
  <c r="X2983"/>
  <c r="Y2983"/>
  <c r="AA2983"/>
  <c r="AB2983"/>
  <c r="AC2983"/>
  <c r="AD2983"/>
  <c r="P2984"/>
  <c r="Q2984"/>
  <c r="R2984"/>
  <c r="S2984"/>
  <c r="T2984"/>
  <c r="U2984"/>
  <c r="V2984"/>
  <c r="W2984"/>
  <c r="X2984"/>
  <c r="Y2984"/>
  <c r="AA2984"/>
  <c r="AB2984"/>
  <c r="AC2984"/>
  <c r="AD2984"/>
  <c r="P2985"/>
  <c r="Q2985"/>
  <c r="R2985"/>
  <c r="S2985"/>
  <c r="T2985"/>
  <c r="U2985"/>
  <c r="V2985"/>
  <c r="W2985"/>
  <c r="X2985"/>
  <c r="Y2985"/>
  <c r="AA2985"/>
  <c r="AB2985"/>
  <c r="AC2985"/>
  <c r="AD2985"/>
  <c r="P2986"/>
  <c r="Q2986"/>
  <c r="R2986"/>
  <c r="S2986"/>
  <c r="T2986"/>
  <c r="U2986"/>
  <c r="V2986"/>
  <c r="W2986"/>
  <c r="X2986"/>
  <c r="Y2986"/>
  <c r="AA2986"/>
  <c r="AB2986"/>
  <c r="AC2986"/>
  <c r="AD2986"/>
  <c r="P2987"/>
  <c r="Q2987"/>
  <c r="R2987"/>
  <c r="S2987"/>
  <c r="T2987"/>
  <c r="U2987"/>
  <c r="V2987"/>
  <c r="W2987"/>
  <c r="X2987"/>
  <c r="Y2987"/>
  <c r="AA2987"/>
  <c r="AB2987"/>
  <c r="AC2987"/>
  <c r="AD2987"/>
  <c r="P2988"/>
  <c r="Q2988"/>
  <c r="R2988"/>
  <c r="S2988"/>
  <c r="T2988"/>
  <c r="U2988"/>
  <c r="V2988"/>
  <c r="W2988"/>
  <c r="X2988"/>
  <c r="Y2988"/>
  <c r="AA2988"/>
  <c r="AB2988"/>
  <c r="AC2988"/>
  <c r="AD2988"/>
  <c r="P2989"/>
  <c r="Q2989"/>
  <c r="R2989"/>
  <c r="S2989"/>
  <c r="T2989"/>
  <c r="U2989"/>
  <c r="V2989"/>
  <c r="W2989"/>
  <c r="X2989"/>
  <c r="Y2989"/>
  <c r="AA2989"/>
  <c r="AB2989"/>
  <c r="AC2989"/>
  <c r="AD2989"/>
  <c r="P2990"/>
  <c r="Q2990"/>
  <c r="R2990"/>
  <c r="S2990"/>
  <c r="T2990"/>
  <c r="U2990"/>
  <c r="V2990"/>
  <c r="W2990"/>
  <c r="X2990"/>
  <c r="Y2990"/>
  <c r="AA2990"/>
  <c r="AB2990"/>
  <c r="AC2990"/>
  <c r="AD2990"/>
  <c r="P2991"/>
  <c r="Q2991"/>
  <c r="R2991"/>
  <c r="S2991"/>
  <c r="T2991"/>
  <c r="U2991"/>
  <c r="V2991"/>
  <c r="W2991"/>
  <c r="X2991"/>
  <c r="Y2991"/>
  <c r="AA2991"/>
  <c r="AB2991"/>
  <c r="AC2991"/>
  <c r="AD2991"/>
  <c r="P2992"/>
  <c r="Q2992"/>
  <c r="R2992"/>
  <c r="S2992"/>
  <c r="T2992"/>
  <c r="U2992"/>
  <c r="V2992"/>
  <c r="W2992"/>
  <c r="X2992"/>
  <c r="Y2992"/>
  <c r="AA2992"/>
  <c r="AB2992"/>
  <c r="AC2992"/>
  <c r="AD2992"/>
  <c r="P2993"/>
  <c r="Q2993"/>
  <c r="R2993"/>
  <c r="S2993"/>
  <c r="T2993"/>
  <c r="U2993"/>
  <c r="V2993"/>
  <c r="W2993"/>
  <c r="X2993"/>
  <c r="Y2993"/>
  <c r="AA2993"/>
  <c r="AB2993"/>
  <c r="AC2993"/>
  <c r="AD2993"/>
  <c r="P2994"/>
  <c r="Q2994"/>
  <c r="R2994"/>
  <c r="S2994"/>
  <c r="T2994"/>
  <c r="U2994"/>
  <c r="V2994"/>
  <c r="W2994"/>
  <c r="X2994"/>
  <c r="Y2994"/>
  <c r="AA2994"/>
  <c r="AB2994"/>
  <c r="AC2994"/>
  <c r="AD2994"/>
  <c r="P2995"/>
  <c r="Q2995"/>
  <c r="R2995"/>
  <c r="S2995"/>
  <c r="T2995"/>
  <c r="U2995"/>
  <c r="V2995"/>
  <c r="W2995"/>
  <c r="X2995"/>
  <c r="Y2995"/>
  <c r="AA2995"/>
  <c r="AB2995"/>
  <c r="AC2995"/>
  <c r="AD2995"/>
  <c r="P2996"/>
  <c r="Q2996"/>
  <c r="R2996"/>
  <c r="S2996"/>
  <c r="T2996"/>
  <c r="U2996"/>
  <c r="V2996"/>
  <c r="W2996"/>
  <c r="X2996"/>
  <c r="Y2996"/>
  <c r="AA2996"/>
  <c r="AB2996"/>
  <c r="AC2996"/>
  <c r="AD2996"/>
  <c r="P2997"/>
  <c r="Q2997"/>
  <c r="R2997"/>
  <c r="S2997"/>
  <c r="T2997"/>
  <c r="U2997"/>
  <c r="V2997"/>
  <c r="W2997"/>
  <c r="X2997"/>
  <c r="Y2997"/>
  <c r="AA2997"/>
  <c r="AB2997"/>
  <c r="AC2997"/>
  <c r="AD2997"/>
  <c r="P2998"/>
  <c r="Q2998"/>
  <c r="R2998"/>
  <c r="S2998"/>
  <c r="T2998"/>
  <c r="U2998"/>
  <c r="V2998"/>
  <c r="W2998"/>
  <c r="X2998"/>
  <c r="Y2998"/>
  <c r="AA2998"/>
  <c r="AB2998"/>
  <c r="AC2998"/>
  <c r="AD2998"/>
  <c r="P2999"/>
  <c r="Q2999"/>
  <c r="R2999"/>
  <c r="S2999"/>
  <c r="T2999"/>
  <c r="U2999"/>
  <c r="V2999"/>
  <c r="W2999"/>
  <c r="X2999"/>
  <c r="Y2999"/>
  <c r="AA2999"/>
  <c r="AB2999"/>
  <c r="AC2999"/>
  <c r="AD2999"/>
  <c r="P3000"/>
  <c r="Q3000"/>
  <c r="R3000"/>
  <c r="S3000"/>
  <c r="T3000"/>
  <c r="U3000"/>
  <c r="V3000"/>
  <c r="W3000"/>
  <c r="X3000"/>
  <c r="Y3000"/>
  <c r="AA3000"/>
  <c r="AB3000"/>
  <c r="AC3000"/>
  <c r="AD3000"/>
  <c r="P3001"/>
  <c r="Q3001"/>
  <c r="R3001"/>
  <c r="S3001"/>
  <c r="T3001"/>
  <c r="U3001"/>
  <c r="V3001"/>
  <c r="W3001"/>
  <c r="X3001"/>
  <c r="Y3001"/>
  <c r="AA3001"/>
  <c r="AB3001"/>
  <c r="AC3001"/>
  <c r="AD3001"/>
  <c r="P3002"/>
  <c r="Q3002"/>
  <c r="R3002"/>
  <c r="S3002"/>
  <c r="T3002"/>
  <c r="U3002"/>
  <c r="V3002"/>
  <c r="W3002"/>
  <c r="X3002"/>
  <c r="Y3002"/>
  <c r="AA3002"/>
  <c r="AB3002"/>
  <c r="AC3002"/>
  <c r="AD3002"/>
  <c r="P3003"/>
  <c r="Q3003"/>
  <c r="R3003"/>
  <c r="S3003"/>
  <c r="T3003"/>
  <c r="U3003"/>
  <c r="V3003"/>
  <c r="W3003"/>
  <c r="X3003"/>
  <c r="Y3003"/>
  <c r="AA3003"/>
  <c r="AB3003"/>
  <c r="AC3003"/>
  <c r="AD3003"/>
  <c r="P3004"/>
  <c r="Q3004"/>
  <c r="R3004"/>
  <c r="S3004"/>
  <c r="T3004"/>
  <c r="U3004"/>
  <c r="V3004"/>
  <c r="W3004"/>
  <c r="X3004"/>
  <c r="Y3004"/>
  <c r="AA3004"/>
  <c r="AB3004"/>
  <c r="AC3004"/>
  <c r="AD3004"/>
  <c r="P3005"/>
  <c r="Q3005"/>
  <c r="R3005"/>
  <c r="S3005"/>
  <c r="T3005"/>
  <c r="U3005"/>
  <c r="V3005"/>
  <c r="W3005"/>
  <c r="X3005"/>
  <c r="Y3005"/>
  <c r="AA3005"/>
  <c r="AB3005"/>
  <c r="AC3005"/>
  <c r="AD3005"/>
  <c r="P3006"/>
  <c r="Q3006"/>
  <c r="R3006"/>
  <c r="S3006"/>
  <c r="T3006"/>
  <c r="U3006"/>
  <c r="V3006"/>
  <c r="W3006"/>
  <c r="X3006"/>
  <c r="Y3006"/>
  <c r="AA3006"/>
  <c r="AB3006"/>
  <c r="AC3006"/>
  <c r="AD3006"/>
  <c r="P3007"/>
  <c r="Q3007"/>
  <c r="R3007"/>
  <c r="S3007"/>
  <c r="T3007"/>
  <c r="U3007"/>
  <c r="V3007"/>
  <c r="W3007"/>
  <c r="X3007"/>
  <c r="Y3007"/>
  <c r="AA3007"/>
  <c r="AB3007"/>
  <c r="AC3007"/>
  <c r="AD3007"/>
  <c r="P3008"/>
  <c r="Q3008"/>
  <c r="R3008"/>
  <c r="S3008"/>
  <c r="T3008"/>
  <c r="U3008"/>
  <c r="V3008"/>
  <c r="W3008"/>
  <c r="X3008"/>
  <c r="Y3008"/>
  <c r="AA3008"/>
  <c r="AB3008"/>
  <c r="AC3008"/>
  <c r="AD3008"/>
  <c r="P3009"/>
  <c r="Q3009"/>
  <c r="R3009"/>
  <c r="S3009"/>
  <c r="T3009"/>
  <c r="U3009"/>
  <c r="V3009"/>
  <c r="W3009"/>
  <c r="X3009"/>
  <c r="Y3009"/>
  <c r="AA3009"/>
  <c r="AB3009"/>
  <c r="AC3009"/>
  <c r="AD3009"/>
  <c r="P3010"/>
  <c r="Q3010"/>
  <c r="R3010"/>
  <c r="S3010"/>
  <c r="T3010"/>
  <c r="U3010"/>
  <c r="V3010"/>
  <c r="W3010"/>
  <c r="X3010"/>
  <c r="Y3010"/>
  <c r="AA3010"/>
  <c r="AB3010"/>
  <c r="AC3010"/>
  <c r="AD3010"/>
  <c r="P3011"/>
  <c r="Q3011"/>
  <c r="R3011"/>
  <c r="S3011"/>
  <c r="T3011"/>
  <c r="U3011"/>
  <c r="V3011"/>
  <c r="W3011"/>
  <c r="X3011"/>
  <c r="Y3011"/>
  <c r="AA3011"/>
  <c r="AB3011"/>
  <c r="AC3011"/>
  <c r="AD3011"/>
  <c r="P3012"/>
  <c r="Q3012"/>
  <c r="R3012"/>
  <c r="S3012"/>
  <c r="T3012"/>
  <c r="U3012"/>
  <c r="V3012"/>
  <c r="W3012"/>
  <c r="X3012"/>
  <c r="Y3012"/>
  <c r="AA3012"/>
  <c r="AB3012"/>
  <c r="AC3012"/>
  <c r="AD3012"/>
  <c r="P3013"/>
  <c r="Q3013"/>
  <c r="R3013"/>
  <c r="S3013"/>
  <c r="T3013"/>
  <c r="U3013"/>
  <c r="V3013"/>
  <c r="W3013"/>
  <c r="X3013"/>
  <c r="Y3013"/>
  <c r="AA3013"/>
  <c r="AB3013"/>
  <c r="AC3013"/>
  <c r="AD3013"/>
  <c r="P3014"/>
  <c r="Q3014"/>
  <c r="R3014"/>
  <c r="S3014"/>
  <c r="T3014"/>
  <c r="U3014"/>
  <c r="V3014"/>
  <c r="W3014"/>
  <c r="X3014"/>
  <c r="Y3014"/>
  <c r="AA3014"/>
  <c r="AB3014"/>
  <c r="AC3014"/>
  <c r="AD3014"/>
  <c r="P3015"/>
  <c r="Q3015"/>
  <c r="R3015"/>
  <c r="S3015"/>
  <c r="T3015"/>
  <c r="U3015"/>
  <c r="V3015"/>
  <c r="W3015"/>
  <c r="X3015"/>
  <c r="Y3015"/>
  <c r="AA3015"/>
  <c r="AB3015"/>
  <c r="AC3015"/>
  <c r="AD3015"/>
  <c r="P3016"/>
  <c r="Q3016"/>
  <c r="R3016"/>
  <c r="S3016"/>
  <c r="T3016"/>
  <c r="U3016"/>
  <c r="V3016"/>
  <c r="W3016"/>
  <c r="X3016"/>
  <c r="Y3016"/>
  <c r="AA3016"/>
  <c r="AB3016"/>
  <c r="AC3016"/>
  <c r="AD3016"/>
  <c r="P3017"/>
  <c r="Q3017"/>
  <c r="R3017"/>
  <c r="S3017"/>
  <c r="T3017"/>
  <c r="U3017"/>
  <c r="V3017"/>
  <c r="W3017"/>
  <c r="X3017"/>
  <c r="Y3017"/>
  <c r="AA3017"/>
  <c r="AB3017"/>
  <c r="AC3017"/>
  <c r="AD3017"/>
  <c r="P3018"/>
  <c r="Q3018"/>
  <c r="R3018"/>
  <c r="S3018"/>
  <c r="T3018"/>
  <c r="U3018"/>
  <c r="V3018"/>
  <c r="W3018"/>
  <c r="X3018"/>
  <c r="Y3018"/>
  <c r="AA3018"/>
  <c r="AB3018"/>
  <c r="AC3018"/>
  <c r="AD3018"/>
  <c r="P3019"/>
  <c r="Q3019"/>
  <c r="R3019"/>
  <c r="S3019"/>
  <c r="T3019"/>
  <c r="U3019"/>
  <c r="V3019"/>
  <c r="W3019"/>
  <c r="X3019"/>
  <c r="Y3019"/>
  <c r="AA3019"/>
  <c r="AB3019"/>
  <c r="AC3019"/>
  <c r="AD3019"/>
  <c r="P3020"/>
  <c r="Q3020"/>
  <c r="R3020"/>
  <c r="S3020"/>
  <c r="T3020"/>
  <c r="U3020"/>
  <c r="V3020"/>
  <c r="W3020"/>
  <c r="X3020"/>
  <c r="Y3020"/>
  <c r="AA3020"/>
  <c r="AB3020"/>
  <c r="AC3020"/>
  <c r="AD3020"/>
  <c r="P3021"/>
  <c r="Q3021"/>
  <c r="R3021"/>
  <c r="S3021"/>
  <c r="T3021"/>
  <c r="U3021"/>
  <c r="V3021"/>
  <c r="W3021"/>
  <c r="X3021"/>
  <c r="Y3021"/>
  <c r="AA3021"/>
  <c r="AB3021"/>
  <c r="AC3021"/>
  <c r="AD3021"/>
  <c r="P3022"/>
  <c r="Q3022"/>
  <c r="R3022"/>
  <c r="S3022"/>
  <c r="T3022"/>
  <c r="U3022"/>
  <c r="V3022"/>
  <c r="W3022"/>
  <c r="X3022"/>
  <c r="Y3022"/>
  <c r="AA3022"/>
  <c r="AB3022"/>
  <c r="AC3022"/>
  <c r="AD3022"/>
  <c r="P3023"/>
  <c r="Q3023"/>
  <c r="R3023"/>
  <c r="S3023"/>
  <c r="T3023"/>
  <c r="U3023"/>
  <c r="V3023"/>
  <c r="W3023"/>
  <c r="X3023"/>
  <c r="Y3023"/>
  <c r="AA3023"/>
  <c r="AB3023"/>
  <c r="AC3023"/>
  <c r="AD3023"/>
  <c r="P3024"/>
  <c r="Q3024"/>
  <c r="R3024"/>
  <c r="S3024"/>
  <c r="T3024"/>
  <c r="U3024"/>
  <c r="V3024"/>
  <c r="W3024"/>
  <c r="X3024"/>
  <c r="Y3024"/>
  <c r="AA3024"/>
  <c r="AB3024"/>
  <c r="AC3024"/>
  <c r="AD3024"/>
  <c r="P3025"/>
  <c r="Q3025"/>
  <c r="R3025"/>
  <c r="S3025"/>
  <c r="T3025"/>
  <c r="U3025"/>
  <c r="V3025"/>
  <c r="W3025"/>
  <c r="X3025"/>
  <c r="Y3025"/>
  <c r="AA3025"/>
  <c r="AB3025"/>
  <c r="AC3025"/>
  <c r="AD3025"/>
  <c r="P3026"/>
  <c r="Q3026"/>
  <c r="R3026"/>
  <c r="S3026"/>
  <c r="T3026"/>
  <c r="U3026"/>
  <c r="V3026"/>
  <c r="W3026"/>
  <c r="X3026"/>
  <c r="Y3026"/>
  <c r="AA3026"/>
  <c r="AB3026"/>
  <c r="AC3026"/>
  <c r="AD3026"/>
  <c r="P3027"/>
  <c r="Q3027"/>
  <c r="R3027"/>
  <c r="S3027"/>
  <c r="T3027"/>
  <c r="U3027"/>
  <c r="V3027"/>
  <c r="W3027"/>
  <c r="X3027"/>
  <c r="Y3027"/>
  <c r="AA3027"/>
  <c r="AB3027"/>
  <c r="AC3027"/>
  <c r="AD3027"/>
  <c r="P3028"/>
  <c r="Q3028"/>
  <c r="R3028"/>
  <c r="S3028"/>
  <c r="T3028"/>
  <c r="U3028"/>
  <c r="V3028"/>
  <c r="W3028"/>
  <c r="X3028"/>
  <c r="Y3028"/>
  <c r="AA3028"/>
  <c r="AB3028"/>
  <c r="AC3028"/>
  <c r="AD3028"/>
  <c r="P3029"/>
  <c r="Q3029"/>
  <c r="R3029"/>
  <c r="S3029"/>
  <c r="T3029"/>
  <c r="U3029"/>
  <c r="V3029"/>
  <c r="W3029"/>
  <c r="X3029"/>
  <c r="Y3029"/>
  <c r="AA3029"/>
  <c r="AB3029"/>
  <c r="AC3029"/>
  <c r="AD3029"/>
  <c r="P3030"/>
  <c r="Q3030"/>
  <c r="R3030"/>
  <c r="S3030"/>
  <c r="T3030"/>
  <c r="U3030"/>
  <c r="V3030"/>
  <c r="W3030"/>
  <c r="X3030"/>
  <c r="Y3030"/>
  <c r="AA3030"/>
  <c r="AB3030"/>
  <c r="AC3030"/>
  <c r="AD3030"/>
  <c r="P3031"/>
  <c r="Q3031"/>
  <c r="R3031"/>
  <c r="S3031"/>
  <c r="T3031"/>
  <c r="U3031"/>
  <c r="V3031"/>
  <c r="W3031"/>
  <c r="X3031"/>
  <c r="Y3031"/>
  <c r="AA3031"/>
  <c r="AB3031"/>
  <c r="AC3031"/>
  <c r="AD3031"/>
  <c r="P3032"/>
  <c r="Q3032"/>
  <c r="R3032"/>
  <c r="S3032"/>
  <c r="T3032"/>
  <c r="U3032"/>
  <c r="V3032"/>
  <c r="W3032"/>
  <c r="X3032"/>
  <c r="Y3032"/>
  <c r="AA3032"/>
  <c r="AB3032"/>
  <c r="AC3032"/>
  <c r="AD3032"/>
  <c r="P3033"/>
  <c r="Q3033"/>
  <c r="R3033"/>
  <c r="S3033"/>
  <c r="T3033"/>
  <c r="U3033"/>
  <c r="V3033"/>
  <c r="W3033"/>
  <c r="X3033"/>
  <c r="Y3033"/>
  <c r="AA3033"/>
  <c r="AB3033"/>
  <c r="AC3033"/>
  <c r="AD3033"/>
  <c r="P3034"/>
  <c r="Q3034"/>
  <c r="R3034"/>
  <c r="S3034"/>
  <c r="T3034"/>
  <c r="U3034"/>
  <c r="V3034"/>
  <c r="W3034"/>
  <c r="X3034"/>
  <c r="Y3034"/>
  <c r="AA3034"/>
  <c r="AB3034"/>
  <c r="AC3034"/>
  <c r="AD3034"/>
  <c r="P3035"/>
  <c r="Q3035"/>
  <c r="R3035"/>
  <c r="S3035"/>
  <c r="T3035"/>
  <c r="U3035"/>
  <c r="V3035"/>
  <c r="W3035"/>
  <c r="X3035"/>
  <c r="Y3035"/>
  <c r="AA3035"/>
  <c r="AB3035"/>
  <c r="AC3035"/>
  <c r="AD3035"/>
  <c r="P3036"/>
  <c r="Q3036"/>
  <c r="R3036"/>
  <c r="S3036"/>
  <c r="T3036"/>
  <c r="U3036"/>
  <c r="V3036"/>
  <c r="W3036"/>
  <c r="X3036"/>
  <c r="Y3036"/>
  <c r="AA3036"/>
  <c r="AB3036"/>
  <c r="AC3036"/>
  <c r="AD3036"/>
  <c r="P3037"/>
  <c r="Q3037"/>
  <c r="R3037"/>
  <c r="S3037"/>
  <c r="T3037"/>
  <c r="U3037"/>
  <c r="V3037"/>
  <c r="W3037"/>
  <c r="X3037"/>
  <c r="Y3037"/>
  <c r="AA3037"/>
  <c r="AB3037"/>
  <c r="AC3037"/>
  <c r="AD3037"/>
  <c r="P3038"/>
  <c r="Q3038"/>
  <c r="R3038"/>
  <c r="S3038"/>
  <c r="T3038"/>
  <c r="U3038"/>
  <c r="V3038"/>
  <c r="W3038"/>
  <c r="X3038"/>
  <c r="Y3038"/>
  <c r="AA3038"/>
  <c r="AB3038"/>
  <c r="AC3038"/>
  <c r="AD3038"/>
  <c r="P3039"/>
  <c r="Q3039"/>
  <c r="R3039"/>
  <c r="S3039"/>
  <c r="T3039"/>
  <c r="U3039"/>
  <c r="V3039"/>
  <c r="W3039"/>
  <c r="X3039"/>
  <c r="Y3039"/>
  <c r="AA3039"/>
  <c r="AB3039"/>
  <c r="AC3039"/>
  <c r="AD3039"/>
  <c r="P3040"/>
  <c r="Q3040"/>
  <c r="R3040"/>
  <c r="S3040"/>
  <c r="T3040"/>
  <c r="U3040"/>
  <c r="V3040"/>
  <c r="W3040"/>
  <c r="X3040"/>
  <c r="Y3040"/>
  <c r="AA3040"/>
  <c r="AB3040"/>
  <c r="AC3040"/>
  <c r="AD3040"/>
  <c r="P3041"/>
  <c r="Q3041"/>
  <c r="R3041"/>
  <c r="S3041"/>
  <c r="T3041"/>
  <c r="U3041"/>
  <c r="V3041"/>
  <c r="W3041"/>
  <c r="X3041"/>
  <c r="Y3041"/>
  <c r="AA3041"/>
  <c r="AB3041"/>
  <c r="AC3041"/>
  <c r="AD3041"/>
  <c r="P3042"/>
  <c r="Q3042"/>
  <c r="R3042"/>
  <c r="S3042"/>
  <c r="T3042"/>
  <c r="U3042"/>
  <c r="V3042"/>
  <c r="W3042"/>
  <c r="X3042"/>
  <c r="Y3042"/>
  <c r="AA3042"/>
  <c r="AB3042"/>
  <c r="AC3042"/>
  <c r="AD3042"/>
  <c r="P3043"/>
  <c r="Q3043"/>
  <c r="R3043"/>
  <c r="S3043"/>
  <c r="T3043"/>
  <c r="U3043"/>
  <c r="V3043"/>
  <c r="W3043"/>
  <c r="X3043"/>
  <c r="Y3043"/>
  <c r="AA3043"/>
  <c r="AB3043"/>
  <c r="AC3043"/>
  <c r="AD3043"/>
  <c r="P3044"/>
  <c r="Q3044"/>
  <c r="R3044"/>
  <c r="S3044"/>
  <c r="T3044"/>
  <c r="U3044"/>
  <c r="V3044"/>
  <c r="W3044"/>
  <c r="X3044"/>
  <c r="Y3044"/>
  <c r="AA3044"/>
  <c r="AB3044"/>
  <c r="AC3044"/>
  <c r="AD3044"/>
  <c r="P3045"/>
  <c r="Q3045"/>
  <c r="R3045"/>
  <c r="S3045"/>
  <c r="T3045"/>
  <c r="U3045"/>
  <c r="V3045"/>
  <c r="W3045"/>
  <c r="X3045"/>
  <c r="Y3045"/>
  <c r="AA3045"/>
  <c r="AB3045"/>
  <c r="AC3045"/>
  <c r="AD3045"/>
  <c r="P3046"/>
  <c r="Q3046"/>
  <c r="R3046"/>
  <c r="S3046"/>
  <c r="T3046"/>
  <c r="U3046"/>
  <c r="V3046"/>
  <c r="W3046"/>
  <c r="X3046"/>
  <c r="Y3046"/>
  <c r="AA3046"/>
  <c r="AB3046"/>
  <c r="AC3046"/>
  <c r="AD3046"/>
  <c r="P3047"/>
  <c r="Q3047"/>
  <c r="R3047"/>
  <c r="S3047"/>
  <c r="T3047"/>
  <c r="U3047"/>
  <c r="V3047"/>
  <c r="W3047"/>
  <c r="X3047"/>
  <c r="Y3047"/>
  <c r="AA3047"/>
  <c r="AB3047"/>
  <c r="AC3047"/>
  <c r="AD3047"/>
  <c r="P3048"/>
  <c r="Q3048"/>
  <c r="R3048"/>
  <c r="S3048"/>
  <c r="T3048"/>
  <c r="U3048"/>
  <c r="V3048"/>
  <c r="W3048"/>
  <c r="X3048"/>
  <c r="Y3048"/>
  <c r="AA3048"/>
  <c r="AB3048"/>
  <c r="AC3048"/>
  <c r="AD3048"/>
  <c r="P3049"/>
  <c r="Q3049"/>
  <c r="R3049"/>
  <c r="S3049"/>
  <c r="T3049"/>
  <c r="U3049"/>
  <c r="V3049"/>
  <c r="W3049"/>
  <c r="X3049"/>
  <c r="Y3049"/>
  <c r="AA3049"/>
  <c r="AB3049"/>
  <c r="AC3049"/>
  <c r="AD3049"/>
  <c r="P3050"/>
  <c r="Q3050"/>
  <c r="R3050"/>
  <c r="S3050"/>
  <c r="T3050"/>
  <c r="U3050"/>
  <c r="V3050"/>
  <c r="W3050"/>
  <c r="X3050"/>
  <c r="Y3050"/>
  <c r="AA3050"/>
  <c r="AB3050"/>
  <c r="AC3050"/>
  <c r="AD3050"/>
  <c r="P3051"/>
  <c r="Q3051"/>
  <c r="R3051"/>
  <c r="S3051"/>
  <c r="T3051"/>
  <c r="U3051"/>
  <c r="V3051"/>
  <c r="W3051"/>
  <c r="X3051"/>
  <c r="Y3051"/>
  <c r="AA3051"/>
  <c r="AB3051"/>
  <c r="AC3051"/>
  <c r="AD3051"/>
  <c r="P3052"/>
  <c r="Q3052"/>
  <c r="R3052"/>
  <c r="S3052"/>
  <c r="T3052"/>
  <c r="U3052"/>
  <c r="V3052"/>
  <c r="W3052"/>
  <c r="X3052"/>
  <c r="Y3052"/>
  <c r="AA3052"/>
  <c r="AB3052"/>
  <c r="AC3052"/>
  <c r="AD3052"/>
  <c r="P3053"/>
  <c r="Q3053"/>
  <c r="R3053"/>
  <c r="S3053"/>
  <c r="T3053"/>
  <c r="U3053"/>
  <c r="V3053"/>
  <c r="W3053"/>
  <c r="X3053"/>
  <c r="Y3053"/>
  <c r="AA3053"/>
  <c r="AB3053"/>
  <c r="AC3053"/>
  <c r="AD3053"/>
  <c r="P3054"/>
  <c r="Q3054"/>
  <c r="R3054"/>
  <c r="S3054"/>
  <c r="T3054"/>
  <c r="U3054"/>
  <c r="V3054"/>
  <c r="W3054"/>
  <c r="X3054"/>
  <c r="Y3054"/>
  <c r="AA3054"/>
  <c r="AB3054"/>
  <c r="AC3054"/>
  <c r="AD3054"/>
  <c r="P3055"/>
  <c r="Q3055"/>
  <c r="R3055"/>
  <c r="S3055"/>
  <c r="T3055"/>
  <c r="U3055"/>
  <c r="V3055"/>
  <c r="W3055"/>
  <c r="X3055"/>
  <c r="Y3055"/>
  <c r="AA3055"/>
  <c r="AB3055"/>
  <c r="AC3055"/>
  <c r="AD3055"/>
  <c r="P3056"/>
  <c r="Q3056"/>
  <c r="R3056"/>
  <c r="S3056"/>
  <c r="T3056"/>
  <c r="U3056"/>
  <c r="V3056"/>
  <c r="W3056"/>
  <c r="X3056"/>
  <c r="Y3056"/>
  <c r="AA3056"/>
  <c r="AB3056"/>
  <c r="AC3056"/>
  <c r="AD3056"/>
  <c r="P3057"/>
  <c r="Q3057"/>
  <c r="R3057"/>
  <c r="S3057"/>
  <c r="T3057"/>
  <c r="U3057"/>
  <c r="V3057"/>
  <c r="W3057"/>
  <c r="X3057"/>
  <c r="Y3057"/>
  <c r="AA3057"/>
  <c r="AB3057"/>
  <c r="AC3057"/>
  <c r="AD3057"/>
  <c r="P3058"/>
  <c r="Q3058"/>
  <c r="R3058"/>
  <c r="S3058"/>
  <c r="T3058"/>
  <c r="U3058"/>
  <c r="V3058"/>
  <c r="W3058"/>
  <c r="X3058"/>
  <c r="Y3058"/>
  <c r="AA3058"/>
  <c r="AB3058"/>
  <c r="AC3058"/>
  <c r="AD3058"/>
  <c r="P3059"/>
  <c r="Q3059"/>
  <c r="R3059"/>
  <c r="S3059"/>
  <c r="T3059"/>
  <c r="U3059"/>
  <c r="V3059"/>
  <c r="W3059"/>
  <c r="X3059"/>
  <c r="Y3059"/>
  <c r="AA3059"/>
  <c r="AB3059"/>
  <c r="AC3059"/>
  <c r="AD3059"/>
  <c r="P3060"/>
  <c r="Q3060"/>
  <c r="R3060"/>
  <c r="S3060"/>
  <c r="T3060"/>
  <c r="U3060"/>
  <c r="V3060"/>
  <c r="W3060"/>
  <c r="X3060"/>
  <c r="Y3060"/>
  <c r="AA3060"/>
  <c r="AB3060"/>
  <c r="AC3060"/>
  <c r="AD3060"/>
  <c r="P3061"/>
  <c r="Q3061"/>
  <c r="R3061"/>
  <c r="S3061"/>
  <c r="T3061"/>
  <c r="U3061"/>
  <c r="V3061"/>
  <c r="W3061"/>
  <c r="X3061"/>
  <c r="Y3061"/>
  <c r="AA3061"/>
  <c r="AB3061"/>
  <c r="AC3061"/>
  <c r="AD3061"/>
  <c r="P3062"/>
  <c r="Q3062"/>
  <c r="R3062"/>
  <c r="S3062"/>
  <c r="T3062"/>
  <c r="U3062"/>
  <c r="V3062"/>
  <c r="W3062"/>
  <c r="X3062"/>
  <c r="Y3062"/>
  <c r="AA3062"/>
  <c r="AB3062"/>
  <c r="AC3062"/>
  <c r="AD3062"/>
  <c r="P3063"/>
  <c r="Q3063"/>
  <c r="R3063"/>
  <c r="S3063"/>
  <c r="T3063"/>
  <c r="U3063"/>
  <c r="V3063"/>
  <c r="W3063"/>
  <c r="X3063"/>
  <c r="Y3063"/>
  <c r="AA3063"/>
  <c r="AB3063"/>
  <c r="AC3063"/>
  <c r="AD3063"/>
  <c r="P3064"/>
  <c r="Q3064"/>
  <c r="R3064"/>
  <c r="S3064"/>
  <c r="T3064"/>
  <c r="U3064"/>
  <c r="V3064"/>
  <c r="W3064"/>
  <c r="X3064"/>
  <c r="Y3064"/>
  <c r="AA3064"/>
  <c r="AB3064"/>
  <c r="AC3064"/>
  <c r="AD3064"/>
  <c r="P3065"/>
  <c r="Q3065"/>
  <c r="R3065"/>
  <c r="S3065"/>
  <c r="T3065"/>
  <c r="U3065"/>
  <c r="V3065"/>
  <c r="W3065"/>
  <c r="X3065"/>
  <c r="Y3065"/>
  <c r="AA3065"/>
  <c r="AB3065"/>
  <c r="AC3065"/>
  <c r="AD3065"/>
  <c r="P3066"/>
  <c r="Q3066"/>
  <c r="R3066"/>
  <c r="S3066"/>
  <c r="T3066"/>
  <c r="U3066"/>
  <c r="V3066"/>
  <c r="W3066"/>
  <c r="X3066"/>
  <c r="Y3066"/>
  <c r="AA3066"/>
  <c r="AB3066"/>
  <c r="AC3066"/>
  <c r="AD3066"/>
  <c r="P3067"/>
  <c r="Q3067"/>
  <c r="R3067"/>
  <c r="S3067"/>
  <c r="T3067"/>
  <c r="U3067"/>
  <c r="V3067"/>
  <c r="W3067"/>
  <c r="X3067"/>
  <c r="Y3067"/>
  <c r="AA3067"/>
  <c r="AB3067"/>
  <c r="AC3067"/>
  <c r="AD3067"/>
  <c r="P3068"/>
  <c r="Q3068"/>
  <c r="R3068"/>
  <c r="S3068"/>
  <c r="T3068"/>
  <c r="U3068"/>
  <c r="V3068"/>
  <c r="W3068"/>
  <c r="X3068"/>
  <c r="Y3068"/>
  <c r="AA3068"/>
  <c r="AB3068"/>
  <c r="AC3068"/>
  <c r="AD3068"/>
  <c r="P3069"/>
  <c r="Q3069"/>
  <c r="R3069"/>
  <c r="S3069"/>
  <c r="T3069"/>
  <c r="U3069"/>
  <c r="V3069"/>
  <c r="W3069"/>
  <c r="X3069"/>
  <c r="Y3069"/>
  <c r="AA3069"/>
  <c r="AB3069"/>
  <c r="AC3069"/>
  <c r="AD3069"/>
  <c r="P3070"/>
  <c r="Q3070"/>
  <c r="R3070"/>
  <c r="S3070"/>
  <c r="T3070"/>
  <c r="U3070"/>
  <c r="V3070"/>
  <c r="W3070"/>
  <c r="X3070"/>
  <c r="Y3070"/>
  <c r="AA3070"/>
  <c r="AB3070"/>
  <c r="AC3070"/>
  <c r="AD3070"/>
  <c r="P3071"/>
  <c r="Q3071"/>
  <c r="R3071"/>
  <c r="S3071"/>
  <c r="T3071"/>
  <c r="U3071"/>
  <c r="V3071"/>
  <c r="W3071"/>
  <c r="X3071"/>
  <c r="Y3071"/>
  <c r="AA3071"/>
  <c r="AB3071"/>
  <c r="AC3071"/>
  <c r="AD3071"/>
  <c r="P3072"/>
  <c r="Q3072"/>
  <c r="R3072"/>
  <c r="S3072"/>
  <c r="T3072"/>
  <c r="U3072"/>
  <c r="V3072"/>
  <c r="W3072"/>
  <c r="X3072"/>
  <c r="Y3072"/>
  <c r="AA3072"/>
  <c r="AB3072"/>
  <c r="AC3072"/>
  <c r="AD3072"/>
  <c r="P3073"/>
  <c r="Q3073"/>
  <c r="R3073"/>
  <c r="S3073"/>
  <c r="T3073"/>
  <c r="U3073"/>
  <c r="V3073"/>
  <c r="W3073"/>
  <c r="X3073"/>
  <c r="Y3073"/>
  <c r="AA3073"/>
  <c r="AB3073"/>
  <c r="AC3073"/>
  <c r="AD3073"/>
  <c r="P3074"/>
  <c r="Q3074"/>
  <c r="R3074"/>
  <c r="S3074"/>
  <c r="T3074"/>
  <c r="U3074"/>
  <c r="V3074"/>
  <c r="W3074"/>
  <c r="X3074"/>
  <c r="Y3074"/>
  <c r="AA3074"/>
  <c r="AB3074"/>
  <c r="AC3074"/>
  <c r="AD3074"/>
  <c r="P3075"/>
  <c r="Q3075"/>
  <c r="R3075"/>
  <c r="S3075"/>
  <c r="T3075"/>
  <c r="U3075"/>
  <c r="V3075"/>
  <c r="W3075"/>
  <c r="X3075"/>
  <c r="Y3075"/>
  <c r="AA3075"/>
  <c r="AB3075"/>
  <c r="AC3075"/>
  <c r="AD3075"/>
  <c r="P3076"/>
  <c r="Q3076"/>
  <c r="R3076"/>
  <c r="S3076"/>
  <c r="T3076"/>
  <c r="U3076"/>
  <c r="V3076"/>
  <c r="W3076"/>
  <c r="X3076"/>
  <c r="Y3076"/>
  <c r="AA3076"/>
  <c r="AB3076"/>
  <c r="AC3076"/>
  <c r="AD3076"/>
  <c r="P3077"/>
  <c r="Q3077"/>
  <c r="R3077"/>
  <c r="S3077"/>
  <c r="T3077"/>
  <c r="U3077"/>
  <c r="V3077"/>
  <c r="W3077"/>
  <c r="X3077"/>
  <c r="Y3077"/>
  <c r="AA3077"/>
  <c r="AB3077"/>
  <c r="AC3077"/>
  <c r="AD3077"/>
  <c r="P3078"/>
  <c r="Q3078"/>
  <c r="R3078"/>
  <c r="S3078"/>
  <c r="T3078"/>
  <c r="U3078"/>
  <c r="V3078"/>
  <c r="W3078"/>
  <c r="X3078"/>
  <c r="Y3078"/>
  <c r="AA3078"/>
  <c r="AB3078"/>
  <c r="AC3078"/>
  <c r="AD3078"/>
  <c r="P3079"/>
  <c r="Q3079"/>
  <c r="R3079"/>
  <c r="S3079"/>
  <c r="T3079"/>
  <c r="U3079"/>
  <c r="V3079"/>
  <c r="W3079"/>
  <c r="X3079"/>
  <c r="Y3079"/>
  <c r="AA3079"/>
  <c r="AB3079"/>
  <c r="AC3079"/>
  <c r="AD3079"/>
  <c r="P3080"/>
  <c r="Q3080"/>
  <c r="R3080"/>
  <c r="S3080"/>
  <c r="T3080"/>
  <c r="U3080"/>
  <c r="V3080"/>
  <c r="W3080"/>
  <c r="X3080"/>
  <c r="Y3080"/>
  <c r="AA3080"/>
  <c r="AB3080"/>
  <c r="AC3080"/>
  <c r="AD3080"/>
  <c r="P3081"/>
  <c r="Q3081"/>
  <c r="R3081"/>
  <c r="S3081"/>
  <c r="T3081"/>
  <c r="U3081"/>
  <c r="V3081"/>
  <c r="W3081"/>
  <c r="X3081"/>
  <c r="Y3081"/>
  <c r="AA3081"/>
  <c r="AB3081"/>
  <c r="AC3081"/>
  <c r="AD3081"/>
  <c r="P3082"/>
  <c r="Q3082"/>
  <c r="R3082"/>
  <c r="S3082"/>
  <c r="T3082"/>
  <c r="U3082"/>
  <c r="V3082"/>
  <c r="W3082"/>
  <c r="X3082"/>
  <c r="Y3082"/>
  <c r="AA3082"/>
  <c r="AB3082"/>
  <c r="AC3082"/>
  <c r="AD3082"/>
  <c r="P3083"/>
  <c r="Q3083"/>
  <c r="R3083"/>
  <c r="S3083"/>
  <c r="T3083"/>
  <c r="U3083"/>
  <c r="V3083"/>
  <c r="W3083"/>
  <c r="X3083"/>
  <c r="Y3083"/>
  <c r="AA3083"/>
  <c r="AB3083"/>
  <c r="AC3083"/>
  <c r="AD3083"/>
  <c r="P3084"/>
  <c r="Q3084"/>
  <c r="R3084"/>
  <c r="S3084"/>
  <c r="T3084"/>
  <c r="U3084"/>
  <c r="V3084"/>
  <c r="W3084"/>
  <c r="X3084"/>
  <c r="Y3084"/>
  <c r="AA3084"/>
  <c r="AB3084"/>
  <c r="AC3084"/>
  <c r="AD3084"/>
  <c r="P3085"/>
  <c r="Q3085"/>
  <c r="R3085"/>
  <c r="S3085"/>
  <c r="T3085"/>
  <c r="U3085"/>
  <c r="V3085"/>
  <c r="W3085"/>
  <c r="X3085"/>
  <c r="Y3085"/>
  <c r="AA3085"/>
  <c r="AB3085"/>
  <c r="AC3085"/>
  <c r="AD3085"/>
  <c r="P3086"/>
  <c r="Q3086"/>
  <c r="R3086"/>
  <c r="S3086"/>
  <c r="T3086"/>
  <c r="U3086"/>
  <c r="V3086"/>
  <c r="W3086"/>
  <c r="X3086"/>
  <c r="Y3086"/>
  <c r="AA3086"/>
  <c r="AB3086"/>
  <c r="AC3086"/>
  <c r="AD3086"/>
  <c r="P3087"/>
  <c r="Q3087"/>
  <c r="R3087"/>
  <c r="S3087"/>
  <c r="T3087"/>
  <c r="U3087"/>
  <c r="V3087"/>
  <c r="W3087"/>
  <c r="X3087"/>
  <c r="Y3087"/>
  <c r="AA3087"/>
  <c r="AB3087"/>
  <c r="AC3087"/>
  <c r="AD3087"/>
  <c r="P3088"/>
  <c r="Q3088"/>
  <c r="R3088"/>
  <c r="S3088"/>
  <c r="T3088"/>
  <c r="U3088"/>
  <c r="V3088"/>
  <c r="W3088"/>
  <c r="X3088"/>
  <c r="Y3088"/>
  <c r="AA3088"/>
  <c r="AB3088"/>
  <c r="AC3088"/>
  <c r="AD3088"/>
  <c r="P3089"/>
  <c r="Q3089"/>
  <c r="R3089"/>
  <c r="S3089"/>
  <c r="T3089"/>
  <c r="U3089"/>
  <c r="V3089"/>
  <c r="W3089"/>
  <c r="X3089"/>
  <c r="Y3089"/>
  <c r="AA3089"/>
  <c r="AB3089"/>
  <c r="AC3089"/>
  <c r="AD3089"/>
  <c r="P3090"/>
  <c r="Q3090"/>
  <c r="R3090"/>
  <c r="S3090"/>
  <c r="T3090"/>
  <c r="U3090"/>
  <c r="V3090"/>
  <c r="W3090"/>
  <c r="X3090"/>
  <c r="Y3090"/>
  <c r="AA3090"/>
  <c r="AB3090"/>
  <c r="AC3090"/>
  <c r="AD3090"/>
  <c r="P3091"/>
  <c r="Q3091"/>
  <c r="R3091"/>
  <c r="S3091"/>
  <c r="T3091"/>
  <c r="U3091"/>
  <c r="V3091"/>
  <c r="W3091"/>
  <c r="X3091"/>
  <c r="Y3091"/>
  <c r="AA3091"/>
  <c r="AB3091"/>
  <c r="AC3091"/>
  <c r="AD3091"/>
  <c r="P3092"/>
  <c r="Q3092"/>
  <c r="R3092"/>
  <c r="S3092"/>
  <c r="T3092"/>
  <c r="U3092"/>
  <c r="V3092"/>
  <c r="W3092"/>
  <c r="X3092"/>
  <c r="Y3092"/>
  <c r="AA3092"/>
  <c r="AB3092"/>
  <c r="AC3092"/>
  <c r="AD3092"/>
  <c r="P3093"/>
  <c r="Q3093"/>
  <c r="R3093"/>
  <c r="S3093"/>
  <c r="T3093"/>
  <c r="U3093"/>
  <c r="V3093"/>
  <c r="W3093"/>
  <c r="X3093"/>
  <c r="Y3093"/>
  <c r="AA3093"/>
  <c r="AB3093"/>
  <c r="AC3093"/>
  <c r="AD3093"/>
  <c r="P3094"/>
  <c r="Q3094"/>
  <c r="R3094"/>
  <c r="S3094"/>
  <c r="T3094"/>
  <c r="U3094"/>
  <c r="V3094"/>
  <c r="W3094"/>
  <c r="X3094"/>
  <c r="Y3094"/>
  <c r="AA3094"/>
  <c r="AB3094"/>
  <c r="AC3094"/>
  <c r="AD3094"/>
  <c r="P3095"/>
  <c r="Q3095"/>
  <c r="R3095"/>
  <c r="S3095"/>
  <c r="T3095"/>
  <c r="U3095"/>
  <c r="V3095"/>
  <c r="W3095"/>
  <c r="X3095"/>
  <c r="Y3095"/>
  <c r="AA3095"/>
  <c r="AB3095"/>
  <c r="AC3095"/>
  <c r="AD3095"/>
  <c r="P3096"/>
  <c r="Q3096"/>
  <c r="R3096"/>
  <c r="S3096"/>
  <c r="T3096"/>
  <c r="U3096"/>
  <c r="V3096"/>
  <c r="W3096"/>
  <c r="X3096"/>
  <c r="Y3096"/>
  <c r="AA3096"/>
  <c r="AB3096"/>
  <c r="AC3096"/>
  <c r="AD3096"/>
  <c r="P3097"/>
  <c r="Q3097"/>
  <c r="R3097"/>
  <c r="S3097"/>
  <c r="T3097"/>
  <c r="U3097"/>
  <c r="V3097"/>
  <c r="W3097"/>
  <c r="X3097"/>
  <c r="Y3097"/>
  <c r="AA3097"/>
  <c r="AB3097"/>
  <c r="AC3097"/>
  <c r="AD3097"/>
  <c r="P3098"/>
  <c r="Q3098"/>
  <c r="R3098"/>
  <c r="S3098"/>
  <c r="T3098"/>
  <c r="U3098"/>
  <c r="V3098"/>
  <c r="W3098"/>
  <c r="X3098"/>
  <c r="Y3098"/>
  <c r="AA3098"/>
  <c r="AB3098"/>
  <c r="AC3098"/>
  <c r="AD3098"/>
  <c r="P3099"/>
  <c r="Q3099"/>
  <c r="R3099"/>
  <c r="S3099"/>
  <c r="T3099"/>
  <c r="U3099"/>
  <c r="V3099"/>
  <c r="W3099"/>
  <c r="X3099"/>
  <c r="Y3099"/>
  <c r="AA3099"/>
  <c r="AB3099"/>
  <c r="AC3099"/>
  <c r="AD3099"/>
  <c r="P3100"/>
  <c r="Q3100"/>
  <c r="R3100"/>
  <c r="S3100"/>
  <c r="T3100"/>
  <c r="U3100"/>
  <c r="V3100"/>
  <c r="W3100"/>
  <c r="X3100"/>
  <c r="Y3100"/>
  <c r="AA3100"/>
  <c r="AB3100"/>
  <c r="AC3100"/>
  <c r="AD3100"/>
  <c r="P3101"/>
  <c r="Q3101"/>
  <c r="R3101"/>
  <c r="S3101"/>
  <c r="T3101"/>
  <c r="U3101"/>
  <c r="V3101"/>
  <c r="W3101"/>
  <c r="X3101"/>
  <c r="Y3101"/>
  <c r="AA3101"/>
  <c r="AB3101"/>
  <c r="AC3101"/>
  <c r="AD3101"/>
  <c r="P3102"/>
  <c r="Q3102"/>
  <c r="R3102"/>
  <c r="S3102"/>
  <c r="T3102"/>
  <c r="U3102"/>
  <c r="V3102"/>
  <c r="W3102"/>
  <c r="X3102"/>
  <c r="Y3102"/>
  <c r="AA3102"/>
  <c r="AB3102"/>
  <c r="AC3102"/>
  <c r="AD3102"/>
  <c r="P3103"/>
  <c r="Q3103"/>
  <c r="R3103"/>
  <c r="S3103"/>
  <c r="T3103"/>
  <c r="U3103"/>
  <c r="V3103"/>
  <c r="W3103"/>
  <c r="X3103"/>
  <c r="Y3103"/>
  <c r="AA3103"/>
  <c r="AB3103"/>
  <c r="AC3103"/>
  <c r="AD3103"/>
  <c r="P3104"/>
  <c r="Q3104"/>
  <c r="R3104"/>
  <c r="S3104"/>
  <c r="T3104"/>
  <c r="U3104"/>
  <c r="V3104"/>
  <c r="W3104"/>
  <c r="X3104"/>
  <c r="Y3104"/>
  <c r="AA3104"/>
  <c r="AB3104"/>
  <c r="AC3104"/>
  <c r="AD3104"/>
  <c r="P3105"/>
  <c r="Q3105"/>
  <c r="R3105"/>
  <c r="S3105"/>
  <c r="T3105"/>
  <c r="U3105"/>
  <c r="V3105"/>
  <c r="W3105"/>
  <c r="X3105"/>
  <c r="Y3105"/>
  <c r="AA3105"/>
  <c r="AB3105"/>
  <c r="AC3105"/>
  <c r="AD3105"/>
  <c r="P3106"/>
  <c r="Q3106"/>
  <c r="R3106"/>
  <c r="S3106"/>
  <c r="T3106"/>
  <c r="U3106"/>
  <c r="V3106"/>
  <c r="W3106"/>
  <c r="X3106"/>
  <c r="Y3106"/>
  <c r="AA3106"/>
  <c r="AB3106"/>
  <c r="AC3106"/>
  <c r="AD3106"/>
  <c r="P3107"/>
  <c r="Q3107"/>
  <c r="R3107"/>
  <c r="S3107"/>
  <c r="T3107"/>
  <c r="U3107"/>
  <c r="V3107"/>
  <c r="W3107"/>
  <c r="X3107"/>
  <c r="Y3107"/>
  <c r="AA3107"/>
  <c r="AB3107"/>
  <c r="AC3107"/>
  <c r="AD3107"/>
  <c r="P3108"/>
  <c r="Q3108"/>
  <c r="R3108"/>
  <c r="S3108"/>
  <c r="T3108"/>
  <c r="U3108"/>
  <c r="V3108"/>
  <c r="W3108"/>
  <c r="X3108"/>
  <c r="Y3108"/>
  <c r="AA3108"/>
  <c r="AB3108"/>
  <c r="AC3108"/>
  <c r="AD3108"/>
  <c r="P3109"/>
  <c r="Q3109"/>
  <c r="R3109"/>
  <c r="S3109"/>
  <c r="T3109"/>
  <c r="U3109"/>
  <c r="V3109"/>
  <c r="W3109"/>
  <c r="X3109"/>
  <c r="Y3109"/>
  <c r="AA3109"/>
  <c r="AB3109"/>
  <c r="AC3109"/>
  <c r="AD3109"/>
  <c r="P3110"/>
  <c r="Q3110"/>
  <c r="R3110"/>
  <c r="S3110"/>
  <c r="T3110"/>
  <c r="U3110"/>
  <c r="V3110"/>
  <c r="W3110"/>
  <c r="X3110"/>
  <c r="Y3110"/>
  <c r="AA3110"/>
  <c r="AB3110"/>
  <c r="AC3110"/>
  <c r="AD3110"/>
  <c r="P3111"/>
  <c r="Q3111"/>
  <c r="R3111"/>
  <c r="S3111"/>
  <c r="T3111"/>
  <c r="U3111"/>
  <c r="V3111"/>
  <c r="W3111"/>
  <c r="X3111"/>
  <c r="Y3111"/>
  <c r="AA3111"/>
  <c r="AB3111"/>
  <c r="AC3111"/>
  <c r="AD3111"/>
  <c r="P3112"/>
  <c r="Q3112"/>
  <c r="R3112"/>
  <c r="S3112"/>
  <c r="T3112"/>
  <c r="U3112"/>
  <c r="V3112"/>
  <c r="W3112"/>
  <c r="X3112"/>
  <c r="Y3112"/>
  <c r="AA3112"/>
  <c r="AB3112"/>
  <c r="AC3112"/>
  <c r="AD3112"/>
  <c r="P3113"/>
  <c r="Q3113"/>
  <c r="R3113"/>
  <c r="S3113"/>
  <c r="T3113"/>
  <c r="U3113"/>
  <c r="V3113"/>
  <c r="W3113"/>
  <c r="X3113"/>
  <c r="Y3113"/>
  <c r="AA3113"/>
  <c r="AB3113"/>
  <c r="AC3113"/>
  <c r="AD3113"/>
  <c r="P3114"/>
  <c r="Q3114"/>
  <c r="R3114"/>
  <c r="S3114"/>
  <c r="T3114"/>
  <c r="U3114"/>
  <c r="V3114"/>
  <c r="W3114"/>
  <c r="X3114"/>
  <c r="Y3114"/>
  <c r="AA3114"/>
  <c r="AB3114"/>
  <c r="AC3114"/>
  <c r="AD3114"/>
  <c r="P3115"/>
  <c r="Q3115"/>
  <c r="R3115"/>
  <c r="S3115"/>
  <c r="T3115"/>
  <c r="U3115"/>
  <c r="V3115"/>
  <c r="W3115"/>
  <c r="X3115"/>
  <c r="Y3115"/>
  <c r="AA3115"/>
  <c r="AB3115"/>
  <c r="AC3115"/>
  <c r="AD3115"/>
  <c r="P3116"/>
  <c r="Q3116"/>
  <c r="R3116"/>
  <c r="S3116"/>
  <c r="T3116"/>
  <c r="U3116"/>
  <c r="V3116"/>
  <c r="W3116"/>
  <c r="X3116"/>
  <c r="Y3116"/>
  <c r="AA3116"/>
  <c r="AB3116"/>
  <c r="AC3116"/>
  <c r="AD3116"/>
  <c r="P3117"/>
  <c r="Q3117"/>
  <c r="R3117"/>
  <c r="S3117"/>
  <c r="T3117"/>
  <c r="U3117"/>
  <c r="V3117"/>
  <c r="W3117"/>
  <c r="X3117"/>
  <c r="Y3117"/>
  <c r="AA3117"/>
  <c r="AB3117"/>
  <c r="AC3117"/>
  <c r="AD3117"/>
  <c r="P3118"/>
  <c r="Q3118"/>
  <c r="R3118"/>
  <c r="S3118"/>
  <c r="T3118"/>
  <c r="U3118"/>
  <c r="V3118"/>
  <c r="W3118"/>
  <c r="X3118"/>
  <c r="Y3118"/>
  <c r="AA3118"/>
  <c r="AB3118"/>
  <c r="AC3118"/>
  <c r="AD3118"/>
  <c r="P3119"/>
  <c r="Q3119"/>
  <c r="R3119"/>
  <c r="S3119"/>
  <c r="T3119"/>
  <c r="U3119"/>
  <c r="V3119"/>
  <c r="W3119"/>
  <c r="X3119"/>
  <c r="Y3119"/>
  <c r="AA3119"/>
  <c r="AB3119"/>
  <c r="AC3119"/>
  <c r="AD3119"/>
  <c r="P3120"/>
  <c r="Q3120"/>
  <c r="R3120"/>
  <c r="S3120"/>
  <c r="T3120"/>
  <c r="U3120"/>
  <c r="V3120"/>
  <c r="W3120"/>
  <c r="X3120"/>
  <c r="Y3120"/>
  <c r="AA3120"/>
  <c r="AB3120"/>
  <c r="AC3120"/>
  <c r="AD3120"/>
  <c r="P3121"/>
  <c r="Q3121"/>
  <c r="R3121"/>
  <c r="S3121"/>
  <c r="T3121"/>
  <c r="U3121"/>
  <c r="V3121"/>
  <c r="W3121"/>
  <c r="X3121"/>
  <c r="Y3121"/>
  <c r="AA3121"/>
  <c r="AB3121"/>
  <c r="AC3121"/>
  <c r="AD3121"/>
  <c r="P3122"/>
  <c r="Q3122"/>
  <c r="R3122"/>
  <c r="S3122"/>
  <c r="T3122"/>
  <c r="U3122"/>
  <c r="V3122"/>
  <c r="W3122"/>
  <c r="X3122"/>
  <c r="Y3122"/>
  <c r="AA3122"/>
  <c r="AB3122"/>
  <c r="AC3122"/>
  <c r="AD3122"/>
  <c r="P3123"/>
  <c r="Q3123"/>
  <c r="R3123"/>
  <c r="S3123"/>
  <c r="T3123"/>
  <c r="U3123"/>
  <c r="V3123"/>
  <c r="W3123"/>
  <c r="X3123"/>
  <c r="Y3123"/>
  <c r="AA3123"/>
  <c r="AB3123"/>
  <c r="AC3123"/>
  <c r="AD3123"/>
  <c r="P3124"/>
  <c r="Q3124"/>
  <c r="R3124"/>
  <c r="S3124"/>
  <c r="T3124"/>
  <c r="U3124"/>
  <c r="V3124"/>
  <c r="W3124"/>
  <c r="X3124"/>
  <c r="Y3124"/>
  <c r="AA3124"/>
  <c r="AB3124"/>
  <c r="AC3124"/>
  <c r="AD3124"/>
  <c r="P3125"/>
  <c r="Q3125"/>
  <c r="R3125"/>
  <c r="S3125"/>
  <c r="T3125"/>
  <c r="U3125"/>
  <c r="V3125"/>
  <c r="W3125"/>
  <c r="X3125"/>
  <c r="Y3125"/>
  <c r="AA3125"/>
  <c r="AB3125"/>
  <c r="AC3125"/>
  <c r="AD3125"/>
  <c r="P3126"/>
  <c r="Q3126"/>
  <c r="R3126"/>
  <c r="S3126"/>
  <c r="T3126"/>
  <c r="U3126"/>
  <c r="V3126"/>
  <c r="W3126"/>
  <c r="X3126"/>
  <c r="Y3126"/>
  <c r="AA3126"/>
  <c r="AB3126"/>
  <c r="AC3126"/>
  <c r="AD3126"/>
  <c r="P3127"/>
  <c r="Q3127"/>
  <c r="R3127"/>
  <c r="S3127"/>
  <c r="T3127"/>
  <c r="U3127"/>
  <c r="V3127"/>
  <c r="W3127"/>
  <c r="X3127"/>
  <c r="Y3127"/>
  <c r="AA3127"/>
  <c r="AB3127"/>
  <c r="AC3127"/>
  <c r="AD3127"/>
  <c r="P3128"/>
  <c r="Q3128"/>
  <c r="R3128"/>
  <c r="S3128"/>
  <c r="T3128"/>
  <c r="U3128"/>
  <c r="V3128"/>
  <c r="W3128"/>
  <c r="X3128"/>
  <c r="Y3128"/>
  <c r="AA3128"/>
  <c r="AB3128"/>
  <c r="AC3128"/>
  <c r="AD3128"/>
  <c r="P3129"/>
  <c r="Q3129"/>
  <c r="R3129"/>
  <c r="S3129"/>
  <c r="T3129"/>
  <c r="U3129"/>
  <c r="V3129"/>
  <c r="W3129"/>
  <c r="X3129"/>
  <c r="Y3129"/>
  <c r="AA3129"/>
  <c r="AB3129"/>
  <c r="AC3129"/>
  <c r="AD3129"/>
  <c r="P3130"/>
  <c r="Q3130"/>
  <c r="R3130"/>
  <c r="S3130"/>
  <c r="T3130"/>
  <c r="U3130"/>
  <c r="V3130"/>
  <c r="W3130"/>
  <c r="X3130"/>
  <c r="Y3130"/>
  <c r="AA3130"/>
  <c r="AB3130"/>
  <c r="AC3130"/>
  <c r="AD3130"/>
  <c r="P3131"/>
  <c r="Q3131"/>
  <c r="R3131"/>
  <c r="S3131"/>
  <c r="T3131"/>
  <c r="U3131"/>
  <c r="V3131"/>
  <c r="W3131"/>
  <c r="X3131"/>
  <c r="Y3131"/>
  <c r="AA3131"/>
  <c r="AB3131"/>
  <c r="AC3131"/>
  <c r="AD3131"/>
  <c r="P3132"/>
  <c r="Q3132"/>
  <c r="R3132"/>
  <c r="S3132"/>
  <c r="T3132"/>
  <c r="U3132"/>
  <c r="V3132"/>
  <c r="W3132"/>
  <c r="X3132"/>
  <c r="Y3132"/>
  <c r="AA3132"/>
  <c r="AB3132"/>
  <c r="AC3132"/>
  <c r="AD3132"/>
  <c r="P3133"/>
  <c r="Q3133"/>
  <c r="R3133"/>
  <c r="S3133"/>
  <c r="T3133"/>
  <c r="U3133"/>
  <c r="V3133"/>
  <c r="W3133"/>
  <c r="X3133"/>
  <c r="Y3133"/>
  <c r="AA3133"/>
  <c r="AB3133"/>
  <c r="AC3133"/>
  <c r="AD3133"/>
  <c r="P3134"/>
  <c r="Q3134"/>
  <c r="R3134"/>
  <c r="S3134"/>
  <c r="T3134"/>
  <c r="U3134"/>
  <c r="V3134"/>
  <c r="W3134"/>
  <c r="X3134"/>
  <c r="Y3134"/>
  <c r="AA3134"/>
  <c r="AB3134"/>
  <c r="AC3134"/>
  <c r="AD3134"/>
  <c r="P3135"/>
  <c r="Q3135"/>
  <c r="R3135"/>
  <c r="S3135"/>
  <c r="T3135"/>
  <c r="U3135"/>
  <c r="V3135"/>
  <c r="W3135"/>
  <c r="X3135"/>
  <c r="Y3135"/>
  <c r="AA3135"/>
  <c r="AB3135"/>
  <c r="AC3135"/>
  <c r="AD3135"/>
  <c r="P3136"/>
  <c r="Q3136"/>
  <c r="R3136"/>
  <c r="S3136"/>
  <c r="T3136"/>
  <c r="U3136"/>
  <c r="V3136"/>
  <c r="W3136"/>
  <c r="X3136"/>
  <c r="Y3136"/>
  <c r="AA3136"/>
  <c r="AB3136"/>
  <c r="AC3136"/>
  <c r="AD3136"/>
  <c r="P3137"/>
  <c r="Q3137"/>
  <c r="R3137"/>
  <c r="S3137"/>
  <c r="T3137"/>
  <c r="U3137"/>
  <c r="V3137"/>
  <c r="W3137"/>
  <c r="X3137"/>
  <c r="Y3137"/>
  <c r="AA3137"/>
  <c r="AB3137"/>
  <c r="AC3137"/>
  <c r="AD3137"/>
  <c r="P3138"/>
  <c r="Q3138"/>
  <c r="R3138"/>
  <c r="S3138"/>
  <c r="T3138"/>
  <c r="U3138"/>
  <c r="V3138"/>
  <c r="W3138"/>
  <c r="X3138"/>
  <c r="Y3138"/>
  <c r="AA3138"/>
  <c r="AB3138"/>
  <c r="AC3138"/>
  <c r="AD3138"/>
  <c r="P3139"/>
  <c r="Q3139"/>
  <c r="R3139"/>
  <c r="S3139"/>
  <c r="T3139"/>
  <c r="U3139"/>
  <c r="V3139"/>
  <c r="W3139"/>
  <c r="X3139"/>
  <c r="Y3139"/>
  <c r="AA3139"/>
  <c r="AB3139"/>
  <c r="AC3139"/>
  <c r="AD3139"/>
  <c r="P3140"/>
  <c r="Q3140"/>
  <c r="R3140"/>
  <c r="S3140"/>
  <c r="T3140"/>
  <c r="U3140"/>
  <c r="V3140"/>
  <c r="W3140"/>
  <c r="X3140"/>
  <c r="Y3140"/>
  <c r="AA3140"/>
  <c r="AB3140"/>
  <c r="AC3140"/>
  <c r="AD3140"/>
  <c r="P3141"/>
  <c r="Q3141"/>
  <c r="R3141"/>
  <c r="S3141"/>
  <c r="T3141"/>
  <c r="U3141"/>
  <c r="V3141"/>
  <c r="W3141"/>
  <c r="X3141"/>
  <c r="Y3141"/>
  <c r="AA3141"/>
  <c r="AB3141"/>
  <c r="AC3141"/>
  <c r="AD3141"/>
  <c r="P3142"/>
  <c r="Q3142"/>
  <c r="R3142"/>
  <c r="S3142"/>
  <c r="T3142"/>
  <c r="U3142"/>
  <c r="V3142"/>
  <c r="W3142"/>
  <c r="X3142"/>
  <c r="Y3142"/>
  <c r="AA3142"/>
  <c r="AB3142"/>
  <c r="AC3142"/>
  <c r="AD3142"/>
  <c r="P3143"/>
  <c r="Q3143"/>
  <c r="R3143"/>
  <c r="S3143"/>
  <c r="T3143"/>
  <c r="U3143"/>
  <c r="V3143"/>
  <c r="W3143"/>
  <c r="X3143"/>
  <c r="Y3143"/>
  <c r="AA3143"/>
  <c r="AB3143"/>
  <c r="AC3143"/>
  <c r="AD3143"/>
  <c r="P3144"/>
  <c r="Q3144"/>
  <c r="R3144"/>
  <c r="S3144"/>
  <c r="T3144"/>
  <c r="U3144"/>
  <c r="V3144"/>
  <c r="W3144"/>
  <c r="X3144"/>
  <c r="Y3144"/>
  <c r="AA3144"/>
  <c r="AB3144"/>
  <c r="AC3144"/>
  <c r="AD3144"/>
  <c r="P3145"/>
  <c r="Q3145"/>
  <c r="R3145"/>
  <c r="S3145"/>
  <c r="T3145"/>
  <c r="U3145"/>
  <c r="V3145"/>
  <c r="W3145"/>
  <c r="X3145"/>
  <c r="Y3145"/>
  <c r="AA3145"/>
  <c r="AB3145"/>
  <c r="AC3145"/>
  <c r="AD3145"/>
  <c r="P3146"/>
  <c r="Q3146"/>
  <c r="R3146"/>
  <c r="S3146"/>
  <c r="T3146"/>
  <c r="U3146"/>
  <c r="V3146"/>
  <c r="W3146"/>
  <c r="X3146"/>
  <c r="Y3146"/>
  <c r="AA3146"/>
  <c r="AB3146"/>
  <c r="AC3146"/>
  <c r="AD3146"/>
  <c r="P3147"/>
  <c r="Q3147"/>
  <c r="R3147"/>
  <c r="S3147"/>
  <c r="T3147"/>
  <c r="U3147"/>
  <c r="V3147"/>
  <c r="W3147"/>
  <c r="X3147"/>
  <c r="Y3147"/>
  <c r="AA3147"/>
  <c r="AB3147"/>
  <c r="AC3147"/>
  <c r="AD3147"/>
  <c r="P3148"/>
  <c r="Q3148"/>
  <c r="R3148"/>
  <c r="S3148"/>
  <c r="T3148"/>
  <c r="U3148"/>
  <c r="V3148"/>
  <c r="W3148"/>
  <c r="X3148"/>
  <c r="Y3148"/>
  <c r="AA3148"/>
  <c r="AB3148"/>
  <c r="AC3148"/>
  <c r="AD3148"/>
  <c r="P3149"/>
  <c r="Q3149"/>
  <c r="R3149"/>
  <c r="S3149"/>
  <c r="T3149"/>
  <c r="U3149"/>
  <c r="V3149"/>
  <c r="W3149"/>
  <c r="X3149"/>
  <c r="Y3149"/>
  <c r="AA3149"/>
  <c r="AB3149"/>
  <c r="AC3149"/>
  <c r="AD3149"/>
  <c r="P3150"/>
  <c r="Q3150"/>
  <c r="R3150"/>
  <c r="S3150"/>
  <c r="T3150"/>
  <c r="U3150"/>
  <c r="V3150"/>
  <c r="W3150"/>
  <c r="X3150"/>
  <c r="Y3150"/>
  <c r="AA3150"/>
  <c r="AB3150"/>
  <c r="AC3150"/>
  <c r="AD3150"/>
  <c r="P3151"/>
  <c r="Q3151"/>
  <c r="R3151"/>
  <c r="S3151"/>
  <c r="T3151"/>
  <c r="U3151"/>
  <c r="V3151"/>
  <c r="W3151"/>
  <c r="X3151"/>
  <c r="Y3151"/>
  <c r="AA3151"/>
  <c r="AB3151"/>
  <c r="AC3151"/>
  <c r="AD3151"/>
  <c r="P3152"/>
  <c r="Q3152"/>
  <c r="R3152"/>
  <c r="S3152"/>
  <c r="T3152"/>
  <c r="U3152"/>
  <c r="V3152"/>
  <c r="W3152"/>
  <c r="X3152"/>
  <c r="Y3152"/>
  <c r="AA3152"/>
  <c r="AB3152"/>
  <c r="AC3152"/>
  <c r="AD3152"/>
  <c r="P3153"/>
  <c r="Q3153"/>
  <c r="R3153"/>
  <c r="S3153"/>
  <c r="T3153"/>
  <c r="U3153"/>
  <c r="V3153"/>
  <c r="W3153"/>
  <c r="X3153"/>
  <c r="Y3153"/>
  <c r="AA3153"/>
  <c r="AB3153"/>
  <c r="AC3153"/>
  <c r="AD3153"/>
  <c r="P3154"/>
  <c r="Q3154"/>
  <c r="R3154"/>
  <c r="S3154"/>
  <c r="T3154"/>
  <c r="U3154"/>
  <c r="V3154"/>
  <c r="W3154"/>
  <c r="X3154"/>
  <c r="Y3154"/>
  <c r="AA3154"/>
  <c r="AB3154"/>
  <c r="AC3154"/>
  <c r="AD3154"/>
  <c r="P3155"/>
  <c r="Q3155"/>
  <c r="R3155"/>
  <c r="S3155"/>
  <c r="T3155"/>
  <c r="U3155"/>
  <c r="V3155"/>
  <c r="W3155"/>
  <c r="X3155"/>
  <c r="Y3155"/>
  <c r="AA3155"/>
  <c r="AB3155"/>
  <c r="AC3155"/>
  <c r="AD3155"/>
  <c r="P3156"/>
  <c r="Q3156"/>
  <c r="R3156"/>
  <c r="S3156"/>
  <c r="T3156"/>
  <c r="U3156"/>
  <c r="V3156"/>
  <c r="W3156"/>
  <c r="X3156"/>
  <c r="Y3156"/>
  <c r="AA3156"/>
  <c r="AB3156"/>
  <c r="AC3156"/>
  <c r="AD3156"/>
  <c r="P3157"/>
  <c r="Q3157"/>
  <c r="R3157"/>
  <c r="S3157"/>
  <c r="T3157"/>
  <c r="U3157"/>
  <c r="V3157"/>
  <c r="W3157"/>
  <c r="X3157"/>
  <c r="Y3157"/>
  <c r="AA3157"/>
  <c r="AB3157"/>
  <c r="AC3157"/>
  <c r="AD3157"/>
  <c r="P3158"/>
  <c r="Q3158"/>
  <c r="R3158"/>
  <c r="S3158"/>
  <c r="T3158"/>
  <c r="U3158"/>
  <c r="V3158"/>
  <c r="W3158"/>
  <c r="X3158"/>
  <c r="Y3158"/>
  <c r="AA3158"/>
  <c r="AB3158"/>
  <c r="AC3158"/>
  <c r="AD3158"/>
  <c r="P3159"/>
  <c r="Q3159"/>
  <c r="R3159"/>
  <c r="S3159"/>
  <c r="T3159"/>
  <c r="U3159"/>
  <c r="V3159"/>
  <c r="W3159"/>
  <c r="X3159"/>
  <c r="Y3159"/>
  <c r="AA3159"/>
  <c r="AB3159"/>
  <c r="AC3159"/>
  <c r="AD3159"/>
  <c r="P3160"/>
  <c r="Q3160"/>
  <c r="R3160"/>
  <c r="S3160"/>
  <c r="T3160"/>
  <c r="U3160"/>
  <c r="V3160"/>
  <c r="W3160"/>
  <c r="X3160"/>
  <c r="Y3160"/>
  <c r="AA3160"/>
  <c r="AB3160"/>
  <c r="AC3160"/>
  <c r="AD3160"/>
  <c r="P3161"/>
  <c r="Q3161"/>
  <c r="R3161"/>
  <c r="S3161"/>
  <c r="T3161"/>
  <c r="U3161"/>
  <c r="V3161"/>
  <c r="W3161"/>
  <c r="X3161"/>
  <c r="Y3161"/>
  <c r="AA3161"/>
  <c r="AB3161"/>
  <c r="AC3161"/>
  <c r="AD3161"/>
  <c r="P3162"/>
  <c r="Q3162"/>
  <c r="R3162"/>
  <c r="S3162"/>
  <c r="T3162"/>
  <c r="U3162"/>
  <c r="V3162"/>
  <c r="W3162"/>
  <c r="X3162"/>
  <c r="Y3162"/>
  <c r="AA3162"/>
  <c r="AB3162"/>
  <c r="AC3162"/>
  <c r="AD3162"/>
  <c r="P3163"/>
  <c r="Q3163"/>
  <c r="R3163"/>
  <c r="S3163"/>
  <c r="T3163"/>
  <c r="U3163"/>
  <c r="V3163"/>
  <c r="W3163"/>
  <c r="X3163"/>
  <c r="Y3163"/>
  <c r="AA3163"/>
  <c r="AB3163"/>
  <c r="AC3163"/>
  <c r="AD3163"/>
  <c r="P3164"/>
  <c r="Q3164"/>
  <c r="R3164"/>
  <c r="S3164"/>
  <c r="T3164"/>
  <c r="U3164"/>
  <c r="V3164"/>
  <c r="W3164"/>
  <c r="X3164"/>
  <c r="Y3164"/>
  <c r="AA3164"/>
  <c r="AB3164"/>
  <c r="AC3164"/>
  <c r="AD3164"/>
  <c r="P3165"/>
  <c r="Q3165"/>
  <c r="R3165"/>
  <c r="S3165"/>
  <c r="T3165"/>
  <c r="U3165"/>
  <c r="V3165"/>
  <c r="W3165"/>
  <c r="X3165"/>
  <c r="Y3165"/>
  <c r="AA3165"/>
  <c r="AB3165"/>
  <c r="AC3165"/>
  <c r="AD3165"/>
  <c r="P3166"/>
  <c r="Q3166"/>
  <c r="R3166"/>
  <c r="S3166"/>
  <c r="T3166"/>
  <c r="U3166"/>
  <c r="V3166"/>
  <c r="W3166"/>
  <c r="X3166"/>
  <c r="Y3166"/>
  <c r="AA3166"/>
  <c r="AB3166"/>
  <c r="AC3166"/>
  <c r="AD3166"/>
  <c r="P3167"/>
  <c r="Q3167"/>
  <c r="R3167"/>
  <c r="S3167"/>
  <c r="T3167"/>
  <c r="U3167"/>
  <c r="V3167"/>
  <c r="W3167"/>
  <c r="X3167"/>
  <c r="Y3167"/>
  <c r="AA3167"/>
  <c r="AB3167"/>
  <c r="AC3167"/>
  <c r="AD3167"/>
  <c r="P3168"/>
  <c r="Q3168"/>
  <c r="R3168"/>
  <c r="S3168"/>
  <c r="T3168"/>
  <c r="U3168"/>
  <c r="V3168"/>
  <c r="W3168"/>
  <c r="X3168"/>
  <c r="Y3168"/>
  <c r="AA3168"/>
  <c r="AB3168"/>
  <c r="AC3168"/>
  <c r="AD3168"/>
  <c r="P3169"/>
  <c r="Q3169"/>
  <c r="R3169"/>
  <c r="S3169"/>
  <c r="T3169"/>
  <c r="U3169"/>
  <c r="V3169"/>
  <c r="W3169"/>
  <c r="X3169"/>
  <c r="Y3169"/>
  <c r="AA3169"/>
  <c r="AB3169"/>
  <c r="AC3169"/>
  <c r="AD3169"/>
  <c r="P3170"/>
  <c r="Q3170"/>
  <c r="R3170"/>
  <c r="S3170"/>
  <c r="T3170"/>
  <c r="U3170"/>
  <c r="V3170"/>
  <c r="W3170"/>
  <c r="X3170"/>
  <c r="Y3170"/>
  <c r="AA3170"/>
  <c r="AB3170"/>
  <c r="AC3170"/>
  <c r="AD3170"/>
  <c r="P3171"/>
  <c r="Q3171"/>
  <c r="R3171"/>
  <c r="S3171"/>
  <c r="T3171"/>
  <c r="U3171"/>
  <c r="V3171"/>
  <c r="W3171"/>
  <c r="X3171"/>
  <c r="Y3171"/>
  <c r="AA3171"/>
  <c r="AB3171"/>
  <c r="AC3171"/>
  <c r="AD3171"/>
  <c r="P3172"/>
  <c r="Q3172"/>
  <c r="R3172"/>
  <c r="S3172"/>
  <c r="T3172"/>
  <c r="U3172"/>
  <c r="V3172"/>
  <c r="W3172"/>
  <c r="X3172"/>
  <c r="Y3172"/>
  <c r="AA3172"/>
  <c r="AB3172"/>
  <c r="AC3172"/>
  <c r="AD3172"/>
  <c r="P3173"/>
  <c r="Q3173"/>
  <c r="R3173"/>
  <c r="S3173"/>
  <c r="T3173"/>
  <c r="U3173"/>
  <c r="V3173"/>
  <c r="W3173"/>
  <c r="X3173"/>
  <c r="Y3173"/>
  <c r="AA3173"/>
  <c r="AB3173"/>
  <c r="AC3173"/>
  <c r="AD3173"/>
  <c r="P3174"/>
  <c r="Q3174"/>
  <c r="R3174"/>
  <c r="S3174"/>
  <c r="T3174"/>
  <c r="U3174"/>
  <c r="V3174"/>
  <c r="W3174"/>
  <c r="X3174"/>
  <c r="Y3174"/>
  <c r="AA3174"/>
  <c r="AB3174"/>
  <c r="AC3174"/>
  <c r="AD3174"/>
  <c r="P3175"/>
  <c r="Q3175"/>
  <c r="R3175"/>
  <c r="S3175"/>
  <c r="T3175"/>
  <c r="U3175"/>
  <c r="V3175"/>
  <c r="W3175"/>
  <c r="X3175"/>
  <c r="Y3175"/>
  <c r="AA3175"/>
  <c r="AB3175"/>
  <c r="AC3175"/>
  <c r="AD3175"/>
  <c r="P3176"/>
  <c r="Q3176"/>
  <c r="R3176"/>
  <c r="S3176"/>
  <c r="T3176"/>
  <c r="U3176"/>
  <c r="V3176"/>
  <c r="W3176"/>
  <c r="X3176"/>
  <c r="Y3176"/>
  <c r="AA3176"/>
  <c r="AB3176"/>
  <c r="AC3176"/>
  <c r="AD3176"/>
  <c r="P3177"/>
  <c r="Q3177"/>
  <c r="R3177"/>
  <c r="S3177"/>
  <c r="T3177"/>
  <c r="U3177"/>
  <c r="V3177"/>
  <c r="W3177"/>
  <c r="X3177"/>
  <c r="Y3177"/>
  <c r="AA3177"/>
  <c r="AB3177"/>
  <c r="AC3177"/>
  <c r="AD3177"/>
  <c r="P3178"/>
  <c r="Q3178"/>
  <c r="R3178"/>
  <c r="S3178"/>
  <c r="T3178"/>
  <c r="U3178"/>
  <c r="V3178"/>
  <c r="W3178"/>
  <c r="X3178"/>
  <c r="Y3178"/>
  <c r="AA3178"/>
  <c r="AB3178"/>
  <c r="AC3178"/>
  <c r="AD3178"/>
  <c r="P3179"/>
  <c r="Q3179"/>
  <c r="R3179"/>
  <c r="S3179"/>
  <c r="T3179"/>
  <c r="U3179"/>
  <c r="V3179"/>
  <c r="W3179"/>
  <c r="X3179"/>
  <c r="Y3179"/>
  <c r="AA3179"/>
  <c r="AB3179"/>
  <c r="AC3179"/>
  <c r="AD3179"/>
  <c r="P3180"/>
  <c r="Q3180"/>
  <c r="R3180"/>
  <c r="S3180"/>
  <c r="T3180"/>
  <c r="U3180"/>
  <c r="V3180"/>
  <c r="W3180"/>
  <c r="X3180"/>
  <c r="Y3180"/>
  <c r="AA3180"/>
  <c r="AB3180"/>
  <c r="AC3180"/>
  <c r="AD3180"/>
  <c r="P3181"/>
  <c r="Q3181"/>
  <c r="R3181"/>
  <c r="S3181"/>
  <c r="T3181"/>
  <c r="U3181"/>
  <c r="V3181"/>
  <c r="W3181"/>
  <c r="X3181"/>
  <c r="Y3181"/>
  <c r="AA3181"/>
  <c r="AB3181"/>
  <c r="AC3181"/>
  <c r="AD3181"/>
  <c r="P3182"/>
  <c r="Q3182"/>
  <c r="R3182"/>
  <c r="S3182"/>
  <c r="T3182"/>
  <c r="U3182"/>
  <c r="V3182"/>
  <c r="W3182"/>
  <c r="X3182"/>
  <c r="Y3182"/>
  <c r="AA3182"/>
  <c r="AB3182"/>
  <c r="AC3182"/>
  <c r="AD3182"/>
  <c r="P3183"/>
  <c r="Q3183"/>
  <c r="R3183"/>
  <c r="S3183"/>
  <c r="T3183"/>
  <c r="U3183"/>
  <c r="V3183"/>
  <c r="W3183"/>
  <c r="X3183"/>
  <c r="Y3183"/>
  <c r="AA3183"/>
  <c r="AB3183"/>
  <c r="AC3183"/>
  <c r="AD3183"/>
  <c r="P3184"/>
  <c r="Q3184"/>
  <c r="R3184"/>
  <c r="S3184"/>
  <c r="T3184"/>
  <c r="U3184"/>
  <c r="V3184"/>
  <c r="W3184"/>
  <c r="X3184"/>
  <c r="Y3184"/>
  <c r="AA3184"/>
  <c r="AB3184"/>
  <c r="AC3184"/>
  <c r="AD3184"/>
  <c r="P3185"/>
  <c r="Q3185"/>
  <c r="R3185"/>
  <c r="S3185"/>
  <c r="T3185"/>
  <c r="U3185"/>
  <c r="V3185"/>
  <c r="W3185"/>
  <c r="X3185"/>
  <c r="Y3185"/>
  <c r="AA3185"/>
  <c r="AB3185"/>
  <c r="AC3185"/>
  <c r="AD3185"/>
  <c r="P3186"/>
  <c r="Q3186"/>
  <c r="R3186"/>
  <c r="S3186"/>
  <c r="T3186"/>
  <c r="U3186"/>
  <c r="V3186"/>
  <c r="W3186"/>
  <c r="X3186"/>
  <c r="Y3186"/>
  <c r="AA3186"/>
  <c r="AB3186"/>
  <c r="AC3186"/>
  <c r="AD3186"/>
  <c r="P3187"/>
  <c r="Q3187"/>
  <c r="R3187"/>
  <c r="S3187"/>
  <c r="T3187"/>
  <c r="U3187"/>
  <c r="V3187"/>
  <c r="W3187"/>
  <c r="X3187"/>
  <c r="Y3187"/>
  <c r="AA3187"/>
  <c r="AB3187"/>
  <c r="AC3187"/>
  <c r="AD3187"/>
  <c r="P3188"/>
  <c r="Q3188"/>
  <c r="R3188"/>
  <c r="S3188"/>
  <c r="T3188"/>
  <c r="U3188"/>
  <c r="V3188"/>
  <c r="W3188"/>
  <c r="X3188"/>
  <c r="Y3188"/>
  <c r="AA3188"/>
  <c r="AB3188"/>
  <c r="AC3188"/>
  <c r="AD3188"/>
  <c r="P3189"/>
  <c r="Q3189"/>
  <c r="R3189"/>
  <c r="S3189"/>
  <c r="T3189"/>
  <c r="U3189"/>
  <c r="V3189"/>
  <c r="W3189"/>
  <c r="X3189"/>
  <c r="Y3189"/>
  <c r="AA3189"/>
  <c r="AB3189"/>
  <c r="AC3189"/>
  <c r="AD3189"/>
  <c r="P3190"/>
  <c r="Q3190"/>
  <c r="R3190"/>
  <c r="S3190"/>
  <c r="T3190"/>
  <c r="U3190"/>
  <c r="V3190"/>
  <c r="W3190"/>
  <c r="X3190"/>
  <c r="Y3190"/>
  <c r="AA3190"/>
  <c r="AB3190"/>
  <c r="AC3190"/>
  <c r="AD3190"/>
  <c r="P3191"/>
  <c r="Q3191"/>
  <c r="R3191"/>
  <c r="S3191"/>
  <c r="T3191"/>
  <c r="U3191"/>
  <c r="V3191"/>
  <c r="W3191"/>
  <c r="X3191"/>
  <c r="Y3191"/>
  <c r="AA3191"/>
  <c r="AB3191"/>
  <c r="AC3191"/>
  <c r="AD3191"/>
  <c r="P3192"/>
  <c r="Q3192"/>
  <c r="R3192"/>
  <c r="S3192"/>
  <c r="T3192"/>
  <c r="U3192"/>
  <c r="V3192"/>
  <c r="W3192"/>
  <c r="X3192"/>
  <c r="Y3192"/>
  <c r="AA3192"/>
  <c r="AB3192"/>
  <c r="AC3192"/>
  <c r="AD3192"/>
  <c r="P3193"/>
  <c r="Q3193"/>
  <c r="R3193"/>
  <c r="S3193"/>
  <c r="T3193"/>
  <c r="U3193"/>
  <c r="V3193"/>
  <c r="W3193"/>
  <c r="X3193"/>
  <c r="Y3193"/>
  <c r="AA3193"/>
  <c r="AB3193"/>
  <c r="AC3193"/>
  <c r="AD3193"/>
  <c r="P3194"/>
  <c r="Q3194"/>
  <c r="R3194"/>
  <c r="S3194"/>
  <c r="T3194"/>
  <c r="U3194"/>
  <c r="V3194"/>
  <c r="W3194"/>
  <c r="X3194"/>
  <c r="Y3194"/>
  <c r="AA3194"/>
  <c r="AB3194"/>
  <c r="AC3194"/>
  <c r="AD3194"/>
  <c r="P3195"/>
  <c r="Q3195"/>
  <c r="R3195"/>
  <c r="S3195"/>
  <c r="T3195"/>
  <c r="U3195"/>
  <c r="V3195"/>
  <c r="W3195"/>
  <c r="X3195"/>
  <c r="Y3195"/>
  <c r="AA3195"/>
  <c r="AB3195"/>
  <c r="AC3195"/>
  <c r="AD3195"/>
  <c r="P3196"/>
  <c r="Q3196"/>
  <c r="R3196"/>
  <c r="S3196"/>
  <c r="T3196"/>
  <c r="U3196"/>
  <c r="V3196"/>
  <c r="W3196"/>
  <c r="X3196"/>
  <c r="Y3196"/>
  <c r="AA3196"/>
  <c r="AB3196"/>
  <c r="AC3196"/>
  <c r="AD3196"/>
  <c r="P3197"/>
  <c r="Q3197"/>
  <c r="R3197"/>
  <c r="S3197"/>
  <c r="T3197"/>
  <c r="U3197"/>
  <c r="V3197"/>
  <c r="W3197"/>
  <c r="X3197"/>
  <c r="Y3197"/>
  <c r="AA3197"/>
  <c r="AB3197"/>
  <c r="AC3197"/>
  <c r="AD3197"/>
  <c r="P3198"/>
  <c r="Q3198"/>
  <c r="R3198"/>
  <c r="S3198"/>
  <c r="T3198"/>
  <c r="U3198"/>
  <c r="V3198"/>
  <c r="W3198"/>
  <c r="X3198"/>
  <c r="Y3198"/>
  <c r="AA3198"/>
  <c r="AB3198"/>
  <c r="AC3198"/>
  <c r="AD3198"/>
  <c r="P3199"/>
  <c r="Q3199"/>
  <c r="R3199"/>
  <c r="S3199"/>
  <c r="T3199"/>
  <c r="U3199"/>
  <c r="V3199"/>
  <c r="W3199"/>
  <c r="X3199"/>
  <c r="Y3199"/>
  <c r="AA3199"/>
  <c r="AB3199"/>
  <c r="AC3199"/>
  <c r="AD3199"/>
  <c r="P3200"/>
  <c r="Q3200"/>
  <c r="R3200"/>
  <c r="S3200"/>
  <c r="T3200"/>
  <c r="U3200"/>
  <c r="V3200"/>
  <c r="W3200"/>
  <c r="X3200"/>
  <c r="Y3200"/>
  <c r="AA3200"/>
  <c r="AB3200"/>
  <c r="AC3200"/>
  <c r="AD3200"/>
  <c r="P3201"/>
  <c r="Q3201"/>
  <c r="R3201"/>
  <c r="S3201"/>
  <c r="T3201"/>
  <c r="U3201"/>
  <c r="V3201"/>
  <c r="W3201"/>
  <c r="X3201"/>
  <c r="Y3201"/>
  <c r="AA3201"/>
  <c r="AB3201"/>
  <c r="AC3201"/>
  <c r="AD3201"/>
  <c r="P3202"/>
  <c r="Q3202"/>
  <c r="R3202"/>
  <c r="S3202"/>
  <c r="T3202"/>
  <c r="U3202"/>
  <c r="V3202"/>
  <c r="W3202"/>
  <c r="X3202"/>
  <c r="Y3202"/>
  <c r="AA3202"/>
  <c r="AB3202"/>
  <c r="AC3202"/>
  <c r="AD3202"/>
  <c r="P3203"/>
  <c r="Q3203"/>
  <c r="R3203"/>
  <c r="S3203"/>
  <c r="T3203"/>
  <c r="U3203"/>
  <c r="V3203"/>
  <c r="W3203"/>
  <c r="X3203"/>
  <c r="Y3203"/>
  <c r="AA3203"/>
  <c r="AB3203"/>
  <c r="AC3203"/>
  <c r="AD3203"/>
  <c r="P3204"/>
  <c r="Q3204"/>
  <c r="R3204"/>
  <c r="S3204"/>
  <c r="T3204"/>
  <c r="U3204"/>
  <c r="V3204"/>
  <c r="W3204"/>
  <c r="X3204"/>
  <c r="Y3204"/>
  <c r="AA3204"/>
  <c r="AB3204"/>
  <c r="AC3204"/>
  <c r="AD3204"/>
  <c r="P3205"/>
  <c r="Q3205"/>
  <c r="R3205"/>
  <c r="S3205"/>
  <c r="T3205"/>
  <c r="U3205"/>
  <c r="V3205"/>
  <c r="W3205"/>
  <c r="X3205"/>
  <c r="Y3205"/>
  <c r="AA3205"/>
  <c r="AB3205"/>
  <c r="AC3205"/>
  <c r="AD3205"/>
  <c r="P3206"/>
  <c r="Q3206"/>
  <c r="R3206"/>
  <c r="S3206"/>
  <c r="T3206"/>
  <c r="U3206"/>
  <c r="V3206"/>
  <c r="W3206"/>
  <c r="X3206"/>
  <c r="Y3206"/>
  <c r="AA3206"/>
  <c r="AB3206"/>
  <c r="AC3206"/>
  <c r="AD3206"/>
  <c r="P3207"/>
  <c r="Q3207"/>
  <c r="R3207"/>
  <c r="S3207"/>
  <c r="T3207"/>
  <c r="U3207"/>
  <c r="V3207"/>
  <c r="W3207"/>
  <c r="X3207"/>
  <c r="Y3207"/>
  <c r="AA3207"/>
  <c r="AB3207"/>
  <c r="AC3207"/>
  <c r="AD3207"/>
  <c r="P3208"/>
  <c r="Q3208"/>
  <c r="R3208"/>
  <c r="S3208"/>
  <c r="T3208"/>
  <c r="U3208"/>
  <c r="V3208"/>
  <c r="W3208"/>
  <c r="X3208"/>
  <c r="Y3208"/>
  <c r="AA3208"/>
  <c r="AB3208"/>
  <c r="AC3208"/>
  <c r="AD3208"/>
  <c r="P3209"/>
  <c r="Q3209"/>
  <c r="R3209"/>
  <c r="S3209"/>
  <c r="T3209"/>
  <c r="U3209"/>
  <c r="V3209"/>
  <c r="W3209"/>
  <c r="X3209"/>
  <c r="Y3209"/>
  <c r="AA3209"/>
  <c r="AB3209"/>
  <c r="AC3209"/>
  <c r="AD3209"/>
  <c r="P3210"/>
  <c r="Q3210"/>
  <c r="R3210"/>
  <c r="S3210"/>
  <c r="T3210"/>
  <c r="U3210"/>
  <c r="V3210"/>
  <c r="W3210"/>
  <c r="X3210"/>
  <c r="Y3210"/>
  <c r="AA3210"/>
  <c r="AB3210"/>
  <c r="AC3210"/>
  <c r="AD3210"/>
  <c r="P3211"/>
  <c r="Q3211"/>
  <c r="R3211"/>
  <c r="S3211"/>
  <c r="T3211"/>
  <c r="U3211"/>
  <c r="V3211"/>
  <c r="W3211"/>
  <c r="X3211"/>
  <c r="Y3211"/>
  <c r="AA3211"/>
  <c r="AB3211"/>
  <c r="AC3211"/>
  <c r="AD3211"/>
  <c r="P3212"/>
  <c r="Q3212"/>
  <c r="R3212"/>
  <c r="S3212"/>
  <c r="T3212"/>
  <c r="U3212"/>
  <c r="V3212"/>
  <c r="W3212"/>
  <c r="X3212"/>
  <c r="Y3212"/>
  <c r="AA3212"/>
  <c r="AB3212"/>
  <c r="AC3212"/>
  <c r="AD3212"/>
  <c r="P3213"/>
  <c r="Q3213"/>
  <c r="R3213"/>
  <c r="S3213"/>
  <c r="T3213"/>
  <c r="U3213"/>
  <c r="V3213"/>
  <c r="W3213"/>
  <c r="X3213"/>
  <c r="Y3213"/>
  <c r="AA3213"/>
  <c r="AB3213"/>
  <c r="AC3213"/>
  <c r="AD3213"/>
  <c r="P3214"/>
  <c r="Q3214"/>
  <c r="R3214"/>
  <c r="S3214"/>
  <c r="T3214"/>
  <c r="U3214"/>
  <c r="V3214"/>
  <c r="W3214"/>
  <c r="X3214"/>
  <c r="Y3214"/>
  <c r="AA3214"/>
  <c r="AB3214"/>
  <c r="AC3214"/>
  <c r="AD3214"/>
  <c r="P3215"/>
  <c r="Q3215"/>
  <c r="R3215"/>
  <c r="S3215"/>
  <c r="T3215"/>
  <c r="U3215"/>
  <c r="V3215"/>
  <c r="W3215"/>
  <c r="X3215"/>
  <c r="Y3215"/>
  <c r="AA3215"/>
  <c r="AB3215"/>
  <c r="AC3215"/>
  <c r="AD3215"/>
  <c r="P3216"/>
  <c r="Q3216"/>
  <c r="R3216"/>
  <c r="S3216"/>
  <c r="T3216"/>
  <c r="U3216"/>
  <c r="V3216"/>
  <c r="W3216"/>
  <c r="X3216"/>
  <c r="Y3216"/>
  <c r="AA3216"/>
  <c r="AB3216"/>
  <c r="AC3216"/>
  <c r="AD3216"/>
  <c r="P3217"/>
  <c r="Q3217"/>
  <c r="R3217"/>
  <c r="S3217"/>
  <c r="T3217"/>
  <c r="U3217"/>
  <c r="V3217"/>
  <c r="W3217"/>
  <c r="X3217"/>
  <c r="Y3217"/>
  <c r="AA3217"/>
  <c r="AB3217"/>
  <c r="AC3217"/>
  <c r="AD3217"/>
  <c r="P3218"/>
  <c r="Q3218"/>
  <c r="R3218"/>
  <c r="S3218"/>
  <c r="T3218"/>
  <c r="U3218"/>
  <c r="V3218"/>
  <c r="W3218"/>
  <c r="X3218"/>
  <c r="Y3218"/>
  <c r="AA3218"/>
  <c r="AB3218"/>
  <c r="AC3218"/>
  <c r="AD3218"/>
  <c r="P3219"/>
  <c r="Q3219"/>
  <c r="R3219"/>
  <c r="S3219"/>
  <c r="T3219"/>
  <c r="U3219"/>
  <c r="V3219"/>
  <c r="W3219"/>
  <c r="X3219"/>
  <c r="Y3219"/>
  <c r="AA3219"/>
  <c r="AB3219"/>
  <c r="AC3219"/>
  <c r="AD3219"/>
  <c r="P3220"/>
  <c r="Q3220"/>
  <c r="R3220"/>
  <c r="S3220"/>
  <c r="T3220"/>
  <c r="U3220"/>
  <c r="V3220"/>
  <c r="W3220"/>
  <c r="X3220"/>
  <c r="Y3220"/>
  <c r="AA3220"/>
  <c r="AB3220"/>
  <c r="AC3220"/>
  <c r="AD3220"/>
  <c r="P3221"/>
  <c r="Q3221"/>
  <c r="R3221"/>
  <c r="S3221"/>
  <c r="T3221"/>
  <c r="U3221"/>
  <c r="V3221"/>
  <c r="W3221"/>
  <c r="X3221"/>
  <c r="Y3221"/>
  <c r="AA3221"/>
  <c r="AB3221"/>
  <c r="AC3221"/>
  <c r="AD3221"/>
  <c r="P3222"/>
  <c r="Q3222"/>
  <c r="R3222"/>
  <c r="S3222"/>
  <c r="T3222"/>
  <c r="U3222"/>
  <c r="V3222"/>
  <c r="W3222"/>
  <c r="X3222"/>
  <c r="Y3222"/>
  <c r="AA3222"/>
  <c r="AB3222"/>
  <c r="AC3222"/>
  <c r="AD3222"/>
  <c r="P3223"/>
  <c r="Q3223"/>
  <c r="R3223"/>
  <c r="S3223"/>
  <c r="T3223"/>
  <c r="U3223"/>
  <c r="V3223"/>
  <c r="W3223"/>
  <c r="X3223"/>
  <c r="Y3223"/>
  <c r="AA3223"/>
  <c r="AB3223"/>
  <c r="AC3223"/>
  <c r="AD3223"/>
  <c r="P3224"/>
  <c r="Q3224"/>
  <c r="R3224"/>
  <c r="S3224"/>
  <c r="T3224"/>
  <c r="U3224"/>
  <c r="V3224"/>
  <c r="W3224"/>
  <c r="X3224"/>
  <c r="Y3224"/>
  <c r="AA3224"/>
  <c r="AB3224"/>
  <c r="AC3224"/>
  <c r="AD3224"/>
  <c r="P3225"/>
  <c r="Q3225"/>
  <c r="R3225"/>
  <c r="S3225"/>
  <c r="T3225"/>
  <c r="U3225"/>
  <c r="V3225"/>
  <c r="W3225"/>
  <c r="X3225"/>
  <c r="Y3225"/>
  <c r="AA3225"/>
  <c r="AB3225"/>
  <c r="AC3225"/>
  <c r="AD3225"/>
  <c r="P3226"/>
  <c r="Q3226"/>
  <c r="R3226"/>
  <c r="S3226"/>
  <c r="T3226"/>
  <c r="U3226"/>
  <c r="V3226"/>
  <c r="W3226"/>
  <c r="X3226"/>
  <c r="Y3226"/>
  <c r="AA3226"/>
  <c r="AB3226"/>
  <c r="AC3226"/>
  <c r="AD3226"/>
  <c r="P3227"/>
  <c r="Q3227"/>
  <c r="R3227"/>
  <c r="S3227"/>
  <c r="T3227"/>
  <c r="U3227"/>
  <c r="V3227"/>
  <c r="W3227"/>
  <c r="X3227"/>
  <c r="Y3227"/>
  <c r="AA3227"/>
  <c r="AB3227"/>
  <c r="AC3227"/>
  <c r="AD3227"/>
  <c r="P3228"/>
  <c r="Q3228"/>
  <c r="R3228"/>
  <c r="S3228"/>
  <c r="T3228"/>
  <c r="U3228"/>
  <c r="V3228"/>
  <c r="W3228"/>
  <c r="X3228"/>
  <c r="Y3228"/>
  <c r="AA3228"/>
  <c r="AB3228"/>
  <c r="AC3228"/>
  <c r="AD3228"/>
  <c r="P3229"/>
  <c r="Q3229"/>
  <c r="R3229"/>
  <c r="S3229"/>
  <c r="T3229"/>
  <c r="U3229"/>
  <c r="V3229"/>
  <c r="W3229"/>
  <c r="X3229"/>
  <c r="Y3229"/>
  <c r="AA3229"/>
  <c r="AB3229"/>
  <c r="AC3229"/>
  <c r="AD3229"/>
  <c r="P3230"/>
  <c r="Q3230"/>
  <c r="R3230"/>
  <c r="S3230"/>
  <c r="T3230"/>
  <c r="U3230"/>
  <c r="V3230"/>
  <c r="W3230"/>
  <c r="X3230"/>
  <c r="Y3230"/>
  <c r="AA3230"/>
  <c r="AB3230"/>
  <c r="AC3230"/>
  <c r="AD3230"/>
  <c r="P3231"/>
  <c r="Q3231"/>
  <c r="R3231"/>
  <c r="S3231"/>
  <c r="T3231"/>
  <c r="U3231"/>
  <c r="V3231"/>
  <c r="W3231"/>
  <c r="X3231"/>
  <c r="Y3231"/>
  <c r="AA3231"/>
  <c r="AB3231"/>
  <c r="AC3231"/>
  <c r="AD3231"/>
  <c r="P3232"/>
  <c r="Q3232"/>
  <c r="R3232"/>
  <c r="S3232"/>
  <c r="T3232"/>
  <c r="U3232"/>
  <c r="V3232"/>
  <c r="W3232"/>
  <c r="X3232"/>
  <c r="Y3232"/>
  <c r="AA3232"/>
  <c r="AB3232"/>
  <c r="AC3232"/>
  <c r="AD3232"/>
  <c r="P3233"/>
  <c r="Q3233"/>
  <c r="R3233"/>
  <c r="S3233"/>
  <c r="T3233"/>
  <c r="U3233"/>
  <c r="V3233"/>
  <c r="W3233"/>
  <c r="X3233"/>
  <c r="Y3233"/>
  <c r="AA3233"/>
  <c r="AB3233"/>
  <c r="AC3233"/>
  <c r="AD3233"/>
  <c r="P3234"/>
  <c r="Q3234"/>
  <c r="R3234"/>
  <c r="S3234"/>
  <c r="T3234"/>
  <c r="U3234"/>
  <c r="V3234"/>
  <c r="W3234"/>
  <c r="X3234"/>
  <c r="Y3234"/>
  <c r="AA3234"/>
  <c r="AB3234"/>
  <c r="AC3234"/>
  <c r="AD3234"/>
  <c r="P3235"/>
  <c r="Q3235"/>
  <c r="R3235"/>
  <c r="S3235"/>
  <c r="T3235"/>
  <c r="U3235"/>
  <c r="V3235"/>
  <c r="W3235"/>
  <c r="X3235"/>
  <c r="Y3235"/>
  <c r="AA3235"/>
  <c r="AB3235"/>
  <c r="AC3235"/>
  <c r="AD3235"/>
  <c r="P3236"/>
  <c r="Q3236"/>
  <c r="R3236"/>
  <c r="S3236"/>
  <c r="T3236"/>
  <c r="U3236"/>
  <c r="V3236"/>
  <c r="W3236"/>
  <c r="X3236"/>
  <c r="Y3236"/>
  <c r="AA3236"/>
  <c r="AB3236"/>
  <c r="AC3236"/>
  <c r="AD3236"/>
  <c r="P3237"/>
  <c r="Q3237"/>
  <c r="R3237"/>
  <c r="S3237"/>
  <c r="T3237"/>
  <c r="U3237"/>
  <c r="V3237"/>
  <c r="W3237"/>
  <c r="X3237"/>
  <c r="Y3237"/>
  <c r="AA3237"/>
  <c r="AB3237"/>
  <c r="AC3237"/>
  <c r="AD3237"/>
  <c r="P3238"/>
  <c r="Q3238"/>
  <c r="R3238"/>
  <c r="S3238"/>
  <c r="T3238"/>
  <c r="U3238"/>
  <c r="V3238"/>
  <c r="W3238"/>
  <c r="X3238"/>
  <c r="Y3238"/>
  <c r="AA3238"/>
  <c r="AB3238"/>
  <c r="AC3238"/>
  <c r="AD3238"/>
  <c r="P3239"/>
  <c r="Q3239"/>
  <c r="R3239"/>
  <c r="S3239"/>
  <c r="T3239"/>
  <c r="U3239"/>
  <c r="V3239"/>
  <c r="W3239"/>
  <c r="X3239"/>
  <c r="Y3239"/>
  <c r="AA3239"/>
  <c r="AB3239"/>
  <c r="AC3239"/>
  <c r="AD3239"/>
  <c r="P3240"/>
  <c r="Q3240"/>
  <c r="R3240"/>
  <c r="S3240"/>
  <c r="T3240"/>
  <c r="U3240"/>
  <c r="V3240"/>
  <c r="W3240"/>
  <c r="X3240"/>
  <c r="Y3240"/>
  <c r="AA3240"/>
  <c r="AB3240"/>
  <c r="AC3240"/>
  <c r="AD3240"/>
  <c r="P3241"/>
  <c r="Q3241"/>
  <c r="R3241"/>
  <c r="S3241"/>
  <c r="T3241"/>
  <c r="U3241"/>
  <c r="V3241"/>
  <c r="W3241"/>
  <c r="X3241"/>
  <c r="Y3241"/>
  <c r="AA3241"/>
  <c r="AB3241"/>
  <c r="AC3241"/>
  <c r="AD3241"/>
  <c r="P3242"/>
  <c r="Q3242"/>
  <c r="R3242"/>
  <c r="S3242"/>
  <c r="T3242"/>
  <c r="U3242"/>
  <c r="V3242"/>
  <c r="W3242"/>
  <c r="X3242"/>
  <c r="Y3242"/>
  <c r="AA3242"/>
  <c r="AB3242"/>
  <c r="AC3242"/>
  <c r="AD3242"/>
  <c r="P3243"/>
  <c r="Q3243"/>
  <c r="R3243"/>
  <c r="S3243"/>
  <c r="T3243"/>
  <c r="U3243"/>
  <c r="V3243"/>
  <c r="W3243"/>
  <c r="X3243"/>
  <c r="Y3243"/>
  <c r="AA3243"/>
  <c r="AB3243"/>
  <c r="AC3243"/>
  <c r="AD3243"/>
  <c r="P3244"/>
  <c r="Q3244"/>
  <c r="R3244"/>
  <c r="S3244"/>
  <c r="T3244"/>
  <c r="U3244"/>
  <c r="V3244"/>
  <c r="W3244"/>
  <c r="X3244"/>
  <c r="Y3244"/>
  <c r="AA3244"/>
  <c r="AB3244"/>
  <c r="AC3244"/>
  <c r="AD3244"/>
  <c r="P3245"/>
  <c r="Q3245"/>
  <c r="R3245"/>
  <c r="S3245"/>
  <c r="T3245"/>
  <c r="U3245"/>
  <c r="V3245"/>
  <c r="W3245"/>
  <c r="X3245"/>
  <c r="Y3245"/>
  <c r="AA3245"/>
  <c r="AB3245"/>
  <c r="AC3245"/>
  <c r="AD3245"/>
  <c r="P3246"/>
  <c r="Q3246"/>
  <c r="R3246"/>
  <c r="S3246"/>
  <c r="T3246"/>
  <c r="U3246"/>
  <c r="V3246"/>
  <c r="W3246"/>
  <c r="X3246"/>
  <c r="Y3246"/>
  <c r="AA3246"/>
  <c r="AB3246"/>
  <c r="AC3246"/>
  <c r="AD3246"/>
  <c r="P3247"/>
  <c r="Q3247"/>
  <c r="R3247"/>
  <c r="S3247"/>
  <c r="T3247"/>
  <c r="U3247"/>
  <c r="V3247"/>
  <c r="W3247"/>
  <c r="X3247"/>
  <c r="Y3247"/>
  <c r="AA3247"/>
  <c r="AB3247"/>
  <c r="AC3247"/>
  <c r="AD3247"/>
  <c r="P3248"/>
  <c r="Q3248"/>
  <c r="R3248"/>
  <c r="S3248"/>
  <c r="T3248"/>
  <c r="U3248"/>
  <c r="V3248"/>
  <c r="W3248"/>
  <c r="X3248"/>
  <c r="Y3248"/>
  <c r="AA3248"/>
  <c r="AB3248"/>
  <c r="AC3248"/>
  <c r="AD3248"/>
  <c r="P3249"/>
  <c r="Q3249"/>
  <c r="R3249"/>
  <c r="S3249"/>
  <c r="T3249"/>
  <c r="U3249"/>
  <c r="V3249"/>
  <c r="W3249"/>
  <c r="X3249"/>
  <c r="Y3249"/>
  <c r="AA3249"/>
  <c r="AB3249"/>
  <c r="AC3249"/>
  <c r="AD3249"/>
  <c r="P3250"/>
  <c r="Q3250"/>
  <c r="R3250"/>
  <c r="S3250"/>
  <c r="T3250"/>
  <c r="U3250"/>
  <c r="V3250"/>
  <c r="W3250"/>
  <c r="X3250"/>
  <c r="Y3250"/>
  <c r="AA3250"/>
  <c r="AB3250"/>
  <c r="AC3250"/>
  <c r="AD3250"/>
  <c r="P3251"/>
  <c r="Q3251"/>
  <c r="R3251"/>
  <c r="S3251"/>
  <c r="T3251"/>
  <c r="U3251"/>
  <c r="V3251"/>
  <c r="W3251"/>
  <c r="X3251"/>
  <c r="Y3251"/>
  <c r="AA3251"/>
  <c r="AB3251"/>
  <c r="AC3251"/>
  <c r="AD3251"/>
  <c r="P3252"/>
  <c r="Q3252"/>
  <c r="R3252"/>
  <c r="S3252"/>
  <c r="T3252"/>
  <c r="U3252"/>
  <c r="V3252"/>
  <c r="W3252"/>
  <c r="X3252"/>
  <c r="Y3252"/>
  <c r="AA3252"/>
  <c r="AB3252"/>
  <c r="AC3252"/>
  <c r="AD3252"/>
  <c r="P3253"/>
  <c r="Q3253"/>
  <c r="R3253"/>
  <c r="S3253"/>
  <c r="T3253"/>
  <c r="U3253"/>
  <c r="V3253"/>
  <c r="W3253"/>
  <c r="X3253"/>
  <c r="Y3253"/>
  <c r="AA3253"/>
  <c r="AB3253"/>
  <c r="AC3253"/>
  <c r="AD3253"/>
  <c r="P3254"/>
  <c r="Q3254"/>
  <c r="R3254"/>
  <c r="S3254"/>
  <c r="T3254"/>
  <c r="U3254"/>
  <c r="V3254"/>
  <c r="W3254"/>
  <c r="X3254"/>
  <c r="Y3254"/>
  <c r="AA3254"/>
  <c r="AB3254"/>
  <c r="AC3254"/>
  <c r="AD3254"/>
  <c r="P3255"/>
  <c r="Q3255"/>
  <c r="R3255"/>
  <c r="S3255"/>
  <c r="T3255"/>
  <c r="U3255"/>
  <c r="V3255"/>
  <c r="W3255"/>
  <c r="X3255"/>
  <c r="Y3255"/>
  <c r="AA3255"/>
  <c r="AB3255"/>
  <c r="AC3255"/>
  <c r="AD3255"/>
  <c r="P3256"/>
  <c r="Q3256"/>
  <c r="R3256"/>
  <c r="S3256"/>
  <c r="T3256"/>
  <c r="U3256"/>
  <c r="V3256"/>
  <c r="W3256"/>
  <c r="X3256"/>
  <c r="Y3256"/>
  <c r="AA3256"/>
  <c r="AB3256"/>
  <c r="AC3256"/>
  <c r="AD3256"/>
  <c r="P3257"/>
  <c r="Q3257"/>
  <c r="R3257"/>
  <c r="S3257"/>
  <c r="T3257"/>
  <c r="U3257"/>
  <c r="V3257"/>
  <c r="W3257"/>
  <c r="X3257"/>
  <c r="Y3257"/>
  <c r="AA3257"/>
  <c r="AB3257"/>
  <c r="AC3257"/>
  <c r="AD3257"/>
  <c r="P3258"/>
  <c r="Q3258"/>
  <c r="R3258"/>
  <c r="S3258"/>
  <c r="T3258"/>
  <c r="U3258"/>
  <c r="V3258"/>
  <c r="W3258"/>
  <c r="X3258"/>
  <c r="Y3258"/>
  <c r="AA3258"/>
  <c r="AB3258"/>
  <c r="AC3258"/>
  <c r="AD3258"/>
  <c r="P3259"/>
  <c r="Q3259"/>
  <c r="R3259"/>
  <c r="S3259"/>
  <c r="T3259"/>
  <c r="U3259"/>
  <c r="V3259"/>
  <c r="W3259"/>
  <c r="X3259"/>
  <c r="Y3259"/>
  <c r="AA3259"/>
  <c r="AB3259"/>
  <c r="AC3259"/>
  <c r="AD3259"/>
  <c r="P3260"/>
  <c r="Q3260"/>
  <c r="R3260"/>
  <c r="S3260"/>
  <c r="T3260"/>
  <c r="U3260"/>
  <c r="V3260"/>
  <c r="W3260"/>
  <c r="X3260"/>
  <c r="Y3260"/>
  <c r="AA3260"/>
  <c r="AB3260"/>
  <c r="AC3260"/>
  <c r="AD3260"/>
  <c r="P3261"/>
  <c r="Q3261"/>
  <c r="R3261"/>
  <c r="S3261"/>
  <c r="T3261"/>
  <c r="U3261"/>
  <c r="V3261"/>
  <c r="W3261"/>
  <c r="X3261"/>
  <c r="Y3261"/>
  <c r="AA3261"/>
  <c r="AB3261"/>
  <c r="AC3261"/>
  <c r="AD3261"/>
  <c r="P3262"/>
  <c r="Q3262"/>
  <c r="R3262"/>
  <c r="S3262"/>
  <c r="T3262"/>
  <c r="U3262"/>
  <c r="V3262"/>
  <c r="W3262"/>
  <c r="X3262"/>
  <c r="Y3262"/>
  <c r="AA3262"/>
  <c r="AB3262"/>
  <c r="AC3262"/>
  <c r="AD3262"/>
  <c r="P3263"/>
  <c r="Q3263"/>
  <c r="R3263"/>
  <c r="S3263"/>
  <c r="T3263"/>
  <c r="U3263"/>
  <c r="V3263"/>
  <c r="W3263"/>
  <c r="X3263"/>
  <c r="Y3263"/>
  <c r="AA3263"/>
  <c r="AB3263"/>
  <c r="AC3263"/>
  <c r="AD3263"/>
  <c r="P3264"/>
  <c r="Q3264"/>
  <c r="R3264"/>
  <c r="S3264"/>
  <c r="T3264"/>
  <c r="U3264"/>
  <c r="V3264"/>
  <c r="W3264"/>
  <c r="X3264"/>
  <c r="Y3264"/>
  <c r="AA3264"/>
  <c r="AB3264"/>
  <c r="AC3264"/>
  <c r="AD3264"/>
  <c r="P3265"/>
  <c r="Q3265"/>
  <c r="R3265"/>
  <c r="S3265"/>
  <c r="T3265"/>
  <c r="U3265"/>
  <c r="V3265"/>
  <c r="W3265"/>
  <c r="X3265"/>
  <c r="Y3265"/>
  <c r="AA3265"/>
  <c r="AB3265"/>
  <c r="AC3265"/>
  <c r="AD3265"/>
  <c r="P3266"/>
  <c r="Q3266"/>
  <c r="R3266"/>
  <c r="S3266"/>
  <c r="T3266"/>
  <c r="U3266"/>
  <c r="V3266"/>
  <c r="W3266"/>
  <c r="X3266"/>
  <c r="Y3266"/>
  <c r="AA3266"/>
  <c r="AB3266"/>
  <c r="AC3266"/>
  <c r="AD3266"/>
  <c r="P3267"/>
  <c r="Q3267"/>
  <c r="R3267"/>
  <c r="S3267"/>
  <c r="T3267"/>
  <c r="U3267"/>
  <c r="V3267"/>
  <c r="W3267"/>
  <c r="X3267"/>
  <c r="Y3267"/>
  <c r="AA3267"/>
  <c r="AB3267"/>
  <c r="AC3267"/>
  <c r="AD3267"/>
  <c r="P3268"/>
  <c r="Q3268"/>
  <c r="R3268"/>
  <c r="S3268"/>
  <c r="T3268"/>
  <c r="U3268"/>
  <c r="V3268"/>
  <c r="W3268"/>
  <c r="X3268"/>
  <c r="Y3268"/>
  <c r="AA3268"/>
  <c r="AB3268"/>
  <c r="AC3268"/>
  <c r="AD3268"/>
  <c r="P3269"/>
  <c r="Q3269"/>
  <c r="R3269"/>
  <c r="S3269"/>
  <c r="T3269"/>
  <c r="U3269"/>
  <c r="V3269"/>
  <c r="W3269"/>
  <c r="X3269"/>
  <c r="Y3269"/>
  <c r="AA3269"/>
  <c r="AB3269"/>
  <c r="AC3269"/>
  <c r="AD3269"/>
  <c r="P3270"/>
  <c r="Q3270"/>
  <c r="R3270"/>
  <c r="S3270"/>
  <c r="T3270"/>
  <c r="U3270"/>
  <c r="V3270"/>
  <c r="W3270"/>
  <c r="X3270"/>
  <c r="Y3270"/>
  <c r="AA3270"/>
  <c r="AB3270"/>
  <c r="AC3270"/>
  <c r="AD3270"/>
  <c r="P3271"/>
  <c r="Q3271"/>
  <c r="R3271"/>
  <c r="S3271"/>
  <c r="T3271"/>
  <c r="U3271"/>
  <c r="V3271"/>
  <c r="W3271"/>
  <c r="X3271"/>
  <c r="Y3271"/>
  <c r="AA3271"/>
  <c r="AB3271"/>
  <c r="AC3271"/>
  <c r="AD3271"/>
  <c r="P3272"/>
  <c r="Q3272"/>
  <c r="R3272"/>
  <c r="S3272"/>
  <c r="T3272"/>
  <c r="U3272"/>
  <c r="V3272"/>
  <c r="W3272"/>
  <c r="X3272"/>
  <c r="Y3272"/>
  <c r="AA3272"/>
  <c r="AB3272"/>
  <c r="AC3272"/>
  <c r="AD3272"/>
  <c r="P3273"/>
  <c r="Q3273"/>
  <c r="R3273"/>
  <c r="S3273"/>
  <c r="T3273"/>
  <c r="U3273"/>
  <c r="V3273"/>
  <c r="W3273"/>
  <c r="X3273"/>
  <c r="Y3273"/>
  <c r="AA3273"/>
  <c r="AB3273"/>
  <c r="AC3273"/>
  <c r="AD3273"/>
  <c r="P3274"/>
  <c r="Q3274"/>
  <c r="R3274"/>
  <c r="S3274"/>
  <c r="T3274"/>
  <c r="U3274"/>
  <c r="V3274"/>
  <c r="W3274"/>
  <c r="X3274"/>
  <c r="Y3274"/>
  <c r="AA3274"/>
  <c r="AB3274"/>
  <c r="AC3274"/>
  <c r="AD3274"/>
  <c r="P3275"/>
  <c r="Q3275"/>
  <c r="R3275"/>
  <c r="S3275"/>
  <c r="T3275"/>
  <c r="U3275"/>
  <c r="V3275"/>
  <c r="W3275"/>
  <c r="X3275"/>
  <c r="Y3275"/>
  <c r="AA3275"/>
  <c r="AB3275"/>
  <c r="AC3275"/>
  <c r="AD3275"/>
  <c r="P3276"/>
  <c r="Q3276"/>
  <c r="R3276"/>
  <c r="S3276"/>
  <c r="T3276"/>
  <c r="U3276"/>
  <c r="V3276"/>
  <c r="W3276"/>
  <c r="X3276"/>
  <c r="Y3276"/>
  <c r="AA3276"/>
  <c r="AB3276"/>
  <c r="AC3276"/>
  <c r="AD3276"/>
  <c r="P3277"/>
  <c r="Q3277"/>
  <c r="R3277"/>
  <c r="S3277"/>
  <c r="T3277"/>
  <c r="U3277"/>
  <c r="V3277"/>
  <c r="W3277"/>
  <c r="X3277"/>
  <c r="Y3277"/>
  <c r="AA3277"/>
  <c r="AB3277"/>
  <c r="AC3277"/>
  <c r="AD3277"/>
  <c r="P3278"/>
  <c r="Q3278"/>
  <c r="R3278"/>
  <c r="S3278"/>
  <c r="T3278"/>
  <c r="U3278"/>
  <c r="V3278"/>
  <c r="W3278"/>
  <c r="X3278"/>
  <c r="Y3278"/>
  <c r="AA3278"/>
  <c r="AB3278"/>
  <c r="AC3278"/>
  <c r="AD3278"/>
  <c r="P3279"/>
  <c r="Q3279"/>
  <c r="R3279"/>
  <c r="S3279"/>
  <c r="T3279"/>
  <c r="U3279"/>
  <c r="V3279"/>
  <c r="W3279"/>
  <c r="X3279"/>
  <c r="Y3279"/>
  <c r="AA3279"/>
  <c r="AB3279"/>
  <c r="AC3279"/>
  <c r="AD3279"/>
  <c r="P3280"/>
  <c r="Q3280"/>
  <c r="R3280"/>
  <c r="S3280"/>
  <c r="T3280"/>
  <c r="U3280"/>
  <c r="V3280"/>
  <c r="W3280"/>
  <c r="X3280"/>
  <c r="Y3280"/>
  <c r="AA3280"/>
  <c r="AB3280"/>
  <c r="AC3280"/>
  <c r="AD3280"/>
  <c r="P3281"/>
  <c r="Q3281"/>
  <c r="R3281"/>
  <c r="S3281"/>
  <c r="T3281"/>
  <c r="U3281"/>
  <c r="V3281"/>
  <c r="W3281"/>
  <c r="X3281"/>
  <c r="Y3281"/>
  <c r="AA3281"/>
  <c r="AB3281"/>
  <c r="AC3281"/>
  <c r="AD3281"/>
  <c r="P3282"/>
  <c r="Q3282"/>
  <c r="R3282"/>
  <c r="S3282"/>
  <c r="T3282"/>
  <c r="U3282"/>
  <c r="V3282"/>
  <c r="W3282"/>
  <c r="X3282"/>
  <c r="Y3282"/>
  <c r="AA3282"/>
  <c r="AB3282"/>
  <c r="AC3282"/>
  <c r="AD3282"/>
  <c r="P3283"/>
  <c r="Q3283"/>
  <c r="R3283"/>
  <c r="S3283"/>
  <c r="T3283"/>
  <c r="U3283"/>
  <c r="V3283"/>
  <c r="W3283"/>
  <c r="X3283"/>
  <c r="Y3283"/>
  <c r="AA3283"/>
  <c r="AB3283"/>
  <c r="AC3283"/>
  <c r="AD3283"/>
  <c r="P3284"/>
  <c r="Q3284"/>
  <c r="R3284"/>
  <c r="S3284"/>
  <c r="T3284"/>
  <c r="U3284"/>
  <c r="V3284"/>
  <c r="W3284"/>
  <c r="X3284"/>
  <c r="Y3284"/>
  <c r="AA3284"/>
  <c r="AB3284"/>
  <c r="AC3284"/>
  <c r="AD3284"/>
  <c r="P3285"/>
  <c r="Q3285"/>
  <c r="R3285"/>
  <c r="S3285"/>
  <c r="T3285"/>
  <c r="U3285"/>
  <c r="V3285"/>
  <c r="W3285"/>
  <c r="X3285"/>
  <c r="Y3285"/>
  <c r="AA3285"/>
  <c r="AB3285"/>
  <c r="AC3285"/>
  <c r="AD3285"/>
  <c r="P3286"/>
  <c r="Q3286"/>
  <c r="R3286"/>
  <c r="S3286"/>
  <c r="T3286"/>
  <c r="U3286"/>
  <c r="V3286"/>
  <c r="W3286"/>
  <c r="X3286"/>
  <c r="Y3286"/>
  <c r="AA3286"/>
  <c r="AB3286"/>
  <c r="AC3286"/>
  <c r="AD3286"/>
  <c r="P3287"/>
  <c r="Q3287"/>
  <c r="R3287"/>
  <c r="S3287"/>
  <c r="T3287"/>
  <c r="U3287"/>
  <c r="V3287"/>
  <c r="W3287"/>
  <c r="X3287"/>
  <c r="Y3287"/>
  <c r="AA3287"/>
  <c r="AB3287"/>
  <c r="AC3287"/>
  <c r="AD3287"/>
  <c r="P3288"/>
  <c r="Q3288"/>
  <c r="R3288"/>
  <c r="S3288"/>
  <c r="T3288"/>
  <c r="U3288"/>
  <c r="V3288"/>
  <c r="W3288"/>
  <c r="X3288"/>
  <c r="Y3288"/>
  <c r="AA3288"/>
  <c r="AB3288"/>
  <c r="AC3288"/>
  <c r="AD3288"/>
  <c r="P3289"/>
  <c r="Q3289"/>
  <c r="R3289"/>
  <c r="S3289"/>
  <c r="T3289"/>
  <c r="U3289"/>
  <c r="V3289"/>
  <c r="W3289"/>
  <c r="X3289"/>
  <c r="Y3289"/>
  <c r="AA3289"/>
  <c r="AB3289"/>
  <c r="AC3289"/>
  <c r="AD3289"/>
  <c r="P3290"/>
  <c r="Q3290"/>
  <c r="R3290"/>
  <c r="S3290"/>
  <c r="T3290"/>
  <c r="U3290"/>
  <c r="V3290"/>
  <c r="W3290"/>
  <c r="X3290"/>
  <c r="Y3290"/>
  <c r="AA3290"/>
  <c r="AB3290"/>
  <c r="AC3290"/>
  <c r="AD3290"/>
  <c r="P3291"/>
  <c r="Q3291"/>
  <c r="R3291"/>
  <c r="S3291"/>
  <c r="T3291"/>
  <c r="U3291"/>
  <c r="V3291"/>
  <c r="W3291"/>
  <c r="X3291"/>
  <c r="Y3291"/>
  <c r="AA3291"/>
  <c r="AB3291"/>
  <c r="AC3291"/>
  <c r="AD3291"/>
  <c r="P3292"/>
  <c r="Q3292"/>
  <c r="R3292"/>
  <c r="S3292"/>
  <c r="T3292"/>
  <c r="U3292"/>
  <c r="V3292"/>
  <c r="W3292"/>
  <c r="X3292"/>
  <c r="Y3292"/>
  <c r="AA3292"/>
  <c r="AB3292"/>
  <c r="AC3292"/>
  <c r="AD3292"/>
  <c r="P3293"/>
  <c r="Q3293"/>
  <c r="R3293"/>
  <c r="S3293"/>
  <c r="T3293"/>
  <c r="U3293"/>
  <c r="V3293"/>
  <c r="W3293"/>
  <c r="X3293"/>
  <c r="Y3293"/>
  <c r="AA3293"/>
  <c r="AB3293"/>
  <c r="AC3293"/>
  <c r="AD3293"/>
  <c r="P3294"/>
  <c r="Q3294"/>
  <c r="R3294"/>
  <c r="S3294"/>
  <c r="T3294"/>
  <c r="U3294"/>
  <c r="V3294"/>
  <c r="W3294"/>
  <c r="X3294"/>
  <c r="Y3294"/>
  <c r="AA3294"/>
  <c r="AB3294"/>
  <c r="AC3294"/>
  <c r="AD3294"/>
  <c r="P3295"/>
  <c r="Q3295"/>
  <c r="R3295"/>
  <c r="S3295"/>
  <c r="T3295"/>
  <c r="U3295"/>
  <c r="V3295"/>
  <c r="W3295"/>
  <c r="X3295"/>
  <c r="Y3295"/>
  <c r="AA3295"/>
  <c r="AB3295"/>
  <c r="AC3295"/>
  <c r="AD3295"/>
  <c r="P3296"/>
  <c r="Q3296"/>
  <c r="R3296"/>
  <c r="S3296"/>
  <c r="T3296"/>
  <c r="U3296"/>
  <c r="V3296"/>
  <c r="W3296"/>
  <c r="X3296"/>
  <c r="Y3296"/>
  <c r="AA3296"/>
  <c r="AB3296"/>
  <c r="AC3296"/>
  <c r="AD3296"/>
  <c r="P3297"/>
  <c r="Q3297"/>
  <c r="R3297"/>
  <c r="S3297"/>
  <c r="T3297"/>
  <c r="U3297"/>
  <c r="V3297"/>
  <c r="W3297"/>
  <c r="X3297"/>
  <c r="Y3297"/>
  <c r="AA3297"/>
  <c r="AB3297"/>
  <c r="AC3297"/>
  <c r="AD3297"/>
  <c r="P3298"/>
  <c r="Q3298"/>
  <c r="R3298"/>
  <c r="S3298"/>
  <c r="T3298"/>
  <c r="U3298"/>
  <c r="V3298"/>
  <c r="W3298"/>
  <c r="X3298"/>
  <c r="Y3298"/>
  <c r="AA3298"/>
  <c r="AB3298"/>
  <c r="AC3298"/>
  <c r="AD3298"/>
  <c r="P3299"/>
  <c r="Q3299"/>
  <c r="R3299"/>
  <c r="S3299"/>
  <c r="T3299"/>
  <c r="U3299"/>
  <c r="V3299"/>
  <c r="W3299"/>
  <c r="X3299"/>
  <c r="Y3299"/>
  <c r="AA3299"/>
  <c r="AB3299"/>
  <c r="AC3299"/>
  <c r="AD3299"/>
  <c r="P3300"/>
  <c r="Q3300"/>
  <c r="R3300"/>
  <c r="S3300"/>
  <c r="T3300"/>
  <c r="U3300"/>
  <c r="V3300"/>
  <c r="W3300"/>
  <c r="X3300"/>
  <c r="Y3300"/>
  <c r="AA3300"/>
  <c r="AB3300"/>
  <c r="AC3300"/>
  <c r="AD3300"/>
  <c r="P3301"/>
  <c r="Q3301"/>
  <c r="R3301"/>
  <c r="S3301"/>
  <c r="T3301"/>
  <c r="U3301"/>
  <c r="V3301"/>
  <c r="W3301"/>
  <c r="X3301"/>
  <c r="Y3301"/>
  <c r="AA3301"/>
  <c r="AB3301"/>
  <c r="AC3301"/>
  <c r="AD3301"/>
  <c r="P3302"/>
  <c r="Q3302"/>
  <c r="R3302"/>
  <c r="S3302"/>
  <c r="T3302"/>
  <c r="U3302"/>
  <c r="V3302"/>
  <c r="W3302"/>
  <c r="X3302"/>
  <c r="Y3302"/>
  <c r="AA3302"/>
  <c r="AB3302"/>
  <c r="AC3302"/>
  <c r="AD3302"/>
  <c r="P3303"/>
  <c r="Q3303"/>
  <c r="R3303"/>
  <c r="S3303"/>
  <c r="T3303"/>
  <c r="U3303"/>
  <c r="V3303"/>
  <c r="W3303"/>
  <c r="X3303"/>
  <c r="Y3303"/>
  <c r="AA3303"/>
  <c r="AB3303"/>
  <c r="AC3303"/>
  <c r="AD3303"/>
  <c r="P3304"/>
  <c r="Q3304"/>
  <c r="R3304"/>
  <c r="S3304"/>
  <c r="T3304"/>
  <c r="U3304"/>
  <c r="V3304"/>
  <c r="W3304"/>
  <c r="X3304"/>
  <c r="Y3304"/>
  <c r="AA3304"/>
  <c r="AB3304"/>
  <c r="AC3304"/>
  <c r="AD3304"/>
  <c r="P3305"/>
  <c r="Q3305"/>
  <c r="R3305"/>
  <c r="S3305"/>
  <c r="T3305"/>
  <c r="U3305"/>
  <c r="V3305"/>
  <c r="W3305"/>
  <c r="X3305"/>
  <c r="Y3305"/>
  <c r="AA3305"/>
  <c r="AB3305"/>
  <c r="AC3305"/>
  <c r="AD3305"/>
  <c r="P3306"/>
  <c r="Q3306"/>
  <c r="R3306"/>
  <c r="S3306"/>
  <c r="T3306"/>
  <c r="U3306"/>
  <c r="V3306"/>
  <c r="W3306"/>
  <c r="X3306"/>
  <c r="Y3306"/>
  <c r="AA3306"/>
  <c r="AB3306"/>
  <c r="AC3306"/>
  <c r="AD3306"/>
  <c r="P3307"/>
  <c r="Q3307"/>
  <c r="R3307"/>
  <c r="S3307"/>
  <c r="T3307"/>
  <c r="U3307"/>
  <c r="V3307"/>
  <c r="W3307"/>
  <c r="X3307"/>
  <c r="Y3307"/>
  <c r="AA3307"/>
  <c r="AB3307"/>
  <c r="AC3307"/>
  <c r="AD3307"/>
  <c r="P3308"/>
  <c r="Q3308"/>
  <c r="R3308"/>
  <c r="S3308"/>
  <c r="T3308"/>
  <c r="U3308"/>
  <c r="V3308"/>
  <c r="W3308"/>
  <c r="X3308"/>
  <c r="Y3308"/>
  <c r="AA3308"/>
  <c r="AB3308"/>
  <c r="AC3308"/>
  <c r="AD3308"/>
  <c r="P3309"/>
  <c r="Q3309"/>
  <c r="R3309"/>
  <c r="S3309"/>
  <c r="T3309"/>
  <c r="U3309"/>
  <c r="V3309"/>
  <c r="W3309"/>
  <c r="X3309"/>
  <c r="Y3309"/>
  <c r="AA3309"/>
  <c r="AB3309"/>
  <c r="AC3309"/>
  <c r="AD3309"/>
  <c r="P3310"/>
  <c r="Q3310"/>
  <c r="R3310"/>
  <c r="S3310"/>
  <c r="T3310"/>
  <c r="U3310"/>
  <c r="V3310"/>
  <c r="W3310"/>
  <c r="X3310"/>
  <c r="Y3310"/>
  <c r="AA3310"/>
  <c r="AB3310"/>
  <c r="AC3310"/>
  <c r="AD3310"/>
  <c r="P3311"/>
  <c r="Q3311"/>
  <c r="R3311"/>
  <c r="S3311"/>
  <c r="T3311"/>
  <c r="U3311"/>
  <c r="V3311"/>
  <c r="W3311"/>
  <c r="X3311"/>
  <c r="Y3311"/>
  <c r="AA3311"/>
  <c r="AB3311"/>
  <c r="AC3311"/>
  <c r="AD3311"/>
  <c r="P3312"/>
  <c r="Q3312"/>
  <c r="R3312"/>
  <c r="S3312"/>
  <c r="T3312"/>
  <c r="U3312"/>
  <c r="V3312"/>
  <c r="W3312"/>
  <c r="X3312"/>
  <c r="Y3312"/>
  <c r="AA3312"/>
  <c r="AB3312"/>
  <c r="AC3312"/>
  <c r="AD3312"/>
  <c r="P3313"/>
  <c r="Q3313"/>
  <c r="R3313"/>
  <c r="S3313"/>
  <c r="T3313"/>
  <c r="U3313"/>
  <c r="V3313"/>
  <c r="W3313"/>
  <c r="X3313"/>
  <c r="Y3313"/>
  <c r="AA3313"/>
  <c r="AB3313"/>
  <c r="AC3313"/>
  <c r="AD3313"/>
  <c r="P3314"/>
  <c r="Q3314"/>
  <c r="R3314"/>
  <c r="S3314"/>
  <c r="T3314"/>
  <c r="U3314"/>
  <c r="V3314"/>
  <c r="W3314"/>
  <c r="X3314"/>
  <c r="Y3314"/>
  <c r="AA3314"/>
  <c r="AB3314"/>
  <c r="AC3314"/>
  <c r="AD3314"/>
  <c r="P3315"/>
  <c r="Q3315"/>
  <c r="R3315"/>
  <c r="S3315"/>
  <c r="T3315"/>
  <c r="U3315"/>
  <c r="V3315"/>
  <c r="W3315"/>
  <c r="X3315"/>
  <c r="Y3315"/>
  <c r="AA3315"/>
  <c r="AB3315"/>
  <c r="AC3315"/>
  <c r="AD3315"/>
  <c r="P3316"/>
  <c r="Q3316"/>
  <c r="R3316"/>
  <c r="S3316"/>
  <c r="T3316"/>
  <c r="U3316"/>
  <c r="V3316"/>
  <c r="W3316"/>
  <c r="X3316"/>
  <c r="Y3316"/>
  <c r="AA3316"/>
  <c r="AB3316"/>
  <c r="AC3316"/>
  <c r="AD3316"/>
  <c r="P3317"/>
  <c r="Q3317"/>
  <c r="R3317"/>
  <c r="S3317"/>
  <c r="T3317"/>
  <c r="U3317"/>
  <c r="V3317"/>
  <c r="W3317"/>
  <c r="X3317"/>
  <c r="Y3317"/>
  <c r="AA3317"/>
  <c r="AB3317"/>
  <c r="AC3317"/>
  <c r="AD3317"/>
  <c r="P3318"/>
  <c r="Q3318"/>
  <c r="R3318"/>
  <c r="S3318"/>
  <c r="T3318"/>
  <c r="U3318"/>
  <c r="V3318"/>
  <c r="W3318"/>
  <c r="X3318"/>
  <c r="Y3318"/>
  <c r="AA3318"/>
  <c r="AB3318"/>
  <c r="AC3318"/>
  <c r="AD3318"/>
  <c r="P3319"/>
  <c r="Q3319"/>
  <c r="R3319"/>
  <c r="S3319"/>
  <c r="T3319"/>
  <c r="U3319"/>
  <c r="V3319"/>
  <c r="W3319"/>
  <c r="X3319"/>
  <c r="Y3319"/>
  <c r="AA3319"/>
  <c r="AB3319"/>
  <c r="AC3319"/>
  <c r="AD3319"/>
  <c r="P3320"/>
  <c r="Q3320"/>
  <c r="R3320"/>
  <c r="S3320"/>
  <c r="T3320"/>
  <c r="U3320"/>
  <c r="V3320"/>
  <c r="W3320"/>
  <c r="X3320"/>
  <c r="Y3320"/>
  <c r="AA3320"/>
  <c r="AB3320"/>
  <c r="AC3320"/>
  <c r="AD3320"/>
  <c r="P3321"/>
  <c r="Q3321"/>
  <c r="R3321"/>
  <c r="S3321"/>
  <c r="T3321"/>
  <c r="U3321"/>
  <c r="V3321"/>
  <c r="W3321"/>
  <c r="X3321"/>
  <c r="Y3321"/>
  <c r="AA3321"/>
  <c r="AB3321"/>
  <c r="AC3321"/>
  <c r="AD3321"/>
  <c r="P3322"/>
  <c r="Q3322"/>
  <c r="R3322"/>
  <c r="S3322"/>
  <c r="T3322"/>
  <c r="U3322"/>
  <c r="V3322"/>
  <c r="W3322"/>
  <c r="X3322"/>
  <c r="Y3322"/>
  <c r="AA3322"/>
  <c r="AB3322"/>
  <c r="AC3322"/>
  <c r="AD3322"/>
  <c r="P3323"/>
  <c r="Q3323"/>
  <c r="R3323"/>
  <c r="S3323"/>
  <c r="T3323"/>
  <c r="U3323"/>
  <c r="V3323"/>
  <c r="W3323"/>
  <c r="X3323"/>
  <c r="Y3323"/>
  <c r="AA3323"/>
  <c r="AB3323"/>
  <c r="AC3323"/>
  <c r="AD3323"/>
  <c r="P3324"/>
  <c r="Q3324"/>
  <c r="R3324"/>
  <c r="S3324"/>
  <c r="T3324"/>
  <c r="U3324"/>
  <c r="V3324"/>
  <c r="W3324"/>
  <c r="X3324"/>
  <c r="Y3324"/>
  <c r="AA3324"/>
  <c r="AB3324"/>
  <c r="AC3324"/>
  <c r="AD3324"/>
  <c r="P3325"/>
  <c r="Q3325"/>
  <c r="R3325"/>
  <c r="S3325"/>
  <c r="T3325"/>
  <c r="U3325"/>
  <c r="V3325"/>
  <c r="W3325"/>
  <c r="X3325"/>
  <c r="Y3325"/>
  <c r="AA3325"/>
  <c r="AB3325"/>
  <c r="AC3325"/>
  <c r="AD3325"/>
  <c r="P3326"/>
  <c r="Q3326"/>
  <c r="R3326"/>
  <c r="S3326"/>
  <c r="T3326"/>
  <c r="U3326"/>
  <c r="V3326"/>
  <c r="W3326"/>
  <c r="X3326"/>
  <c r="Y3326"/>
  <c r="AA3326"/>
  <c r="AB3326"/>
  <c r="AC3326"/>
  <c r="AD3326"/>
  <c r="P3327"/>
  <c r="Q3327"/>
  <c r="R3327"/>
  <c r="S3327"/>
  <c r="T3327"/>
  <c r="U3327"/>
  <c r="V3327"/>
  <c r="W3327"/>
  <c r="X3327"/>
  <c r="Y3327"/>
  <c r="AA3327"/>
  <c r="AB3327"/>
  <c r="AC3327"/>
  <c r="AD3327"/>
  <c r="P3328"/>
  <c r="Q3328"/>
  <c r="R3328"/>
  <c r="S3328"/>
  <c r="T3328"/>
  <c r="U3328"/>
  <c r="V3328"/>
  <c r="W3328"/>
  <c r="X3328"/>
  <c r="Y3328"/>
  <c r="AA3328"/>
  <c r="AB3328"/>
  <c r="AC3328"/>
  <c r="AD3328"/>
  <c r="P3329"/>
  <c r="Q3329"/>
  <c r="R3329"/>
  <c r="S3329"/>
  <c r="T3329"/>
  <c r="U3329"/>
  <c r="V3329"/>
  <c r="W3329"/>
  <c r="X3329"/>
  <c r="Y3329"/>
  <c r="AA3329"/>
  <c r="AB3329"/>
  <c r="AC3329"/>
  <c r="AD3329"/>
  <c r="P3330"/>
  <c r="Q3330"/>
  <c r="R3330"/>
  <c r="S3330"/>
  <c r="T3330"/>
  <c r="U3330"/>
  <c r="V3330"/>
  <c r="W3330"/>
  <c r="X3330"/>
  <c r="Y3330"/>
  <c r="AA3330"/>
  <c r="AB3330"/>
  <c r="AC3330"/>
  <c r="AD3330"/>
  <c r="P3331"/>
  <c r="Q3331"/>
  <c r="R3331"/>
  <c r="S3331"/>
  <c r="T3331"/>
  <c r="U3331"/>
  <c r="V3331"/>
  <c r="W3331"/>
  <c r="X3331"/>
  <c r="Y3331"/>
  <c r="AA3331"/>
  <c r="AB3331"/>
  <c r="AC3331"/>
  <c r="AD3331"/>
  <c r="P3332"/>
  <c r="Q3332"/>
  <c r="R3332"/>
  <c r="S3332"/>
  <c r="T3332"/>
  <c r="U3332"/>
  <c r="V3332"/>
  <c r="W3332"/>
  <c r="X3332"/>
  <c r="Y3332"/>
  <c r="AA3332"/>
  <c r="AB3332"/>
  <c r="AC3332"/>
  <c r="AD3332"/>
  <c r="P3333"/>
  <c r="Q3333"/>
  <c r="R3333"/>
  <c r="S3333"/>
  <c r="T3333"/>
  <c r="U3333"/>
  <c r="V3333"/>
  <c r="W3333"/>
  <c r="X3333"/>
  <c r="Y3333"/>
  <c r="AA3333"/>
  <c r="AB3333"/>
  <c r="AC3333"/>
  <c r="AD3333"/>
  <c r="P3334"/>
  <c r="Q3334"/>
  <c r="R3334"/>
  <c r="S3334"/>
  <c r="T3334"/>
  <c r="U3334"/>
  <c r="V3334"/>
  <c r="W3334"/>
  <c r="X3334"/>
  <c r="Y3334"/>
  <c r="AA3334"/>
  <c r="AB3334"/>
  <c r="AC3334"/>
  <c r="AD3334"/>
  <c r="P3335"/>
  <c r="Q3335"/>
  <c r="R3335"/>
  <c r="S3335"/>
  <c r="T3335"/>
  <c r="U3335"/>
  <c r="V3335"/>
  <c r="W3335"/>
  <c r="X3335"/>
  <c r="Y3335"/>
  <c r="AA3335"/>
  <c r="AB3335"/>
  <c r="AC3335"/>
  <c r="AD3335"/>
  <c r="P3336"/>
  <c r="Q3336"/>
  <c r="R3336"/>
  <c r="S3336"/>
  <c r="T3336"/>
  <c r="U3336"/>
  <c r="V3336"/>
  <c r="W3336"/>
  <c r="X3336"/>
  <c r="Y3336"/>
  <c r="AA3336"/>
  <c r="AB3336"/>
  <c r="AC3336"/>
  <c r="AD3336"/>
  <c r="P3337"/>
  <c r="Q3337"/>
  <c r="R3337"/>
  <c r="S3337"/>
  <c r="T3337"/>
  <c r="U3337"/>
  <c r="V3337"/>
  <c r="W3337"/>
  <c r="X3337"/>
  <c r="Y3337"/>
  <c r="AA3337"/>
  <c r="AB3337"/>
  <c r="AC3337"/>
  <c r="AD3337"/>
  <c r="P3338"/>
  <c r="Q3338"/>
  <c r="R3338"/>
  <c r="S3338"/>
  <c r="T3338"/>
  <c r="U3338"/>
  <c r="V3338"/>
  <c r="W3338"/>
  <c r="X3338"/>
  <c r="Y3338"/>
  <c r="AA3338"/>
  <c r="AB3338"/>
  <c r="AC3338"/>
  <c r="AD3338"/>
  <c r="P3339"/>
  <c r="Q3339"/>
  <c r="R3339"/>
  <c r="S3339"/>
  <c r="T3339"/>
  <c r="U3339"/>
  <c r="V3339"/>
  <c r="W3339"/>
  <c r="X3339"/>
  <c r="Y3339"/>
  <c r="AA3339"/>
  <c r="AB3339"/>
  <c r="AC3339"/>
  <c r="AD3339"/>
  <c r="P3340"/>
  <c r="Q3340"/>
  <c r="R3340"/>
  <c r="S3340"/>
  <c r="T3340"/>
  <c r="U3340"/>
  <c r="V3340"/>
  <c r="W3340"/>
  <c r="X3340"/>
  <c r="Y3340"/>
  <c r="AA3340"/>
  <c r="AB3340"/>
  <c r="AC3340"/>
  <c r="AD3340"/>
  <c r="P3341"/>
  <c r="Q3341"/>
  <c r="R3341"/>
  <c r="S3341"/>
  <c r="T3341"/>
  <c r="U3341"/>
  <c r="V3341"/>
  <c r="W3341"/>
  <c r="X3341"/>
  <c r="Y3341"/>
  <c r="AA3341"/>
  <c r="AB3341"/>
  <c r="AC3341"/>
  <c r="AD3341"/>
  <c r="P3342"/>
  <c r="Q3342"/>
  <c r="R3342"/>
  <c r="S3342"/>
  <c r="T3342"/>
  <c r="U3342"/>
  <c r="V3342"/>
  <c r="W3342"/>
  <c r="X3342"/>
  <c r="Y3342"/>
  <c r="AA3342"/>
  <c r="AB3342"/>
  <c r="AC3342"/>
  <c r="AD3342"/>
  <c r="P3343"/>
  <c r="Q3343"/>
  <c r="R3343"/>
  <c r="S3343"/>
  <c r="T3343"/>
  <c r="U3343"/>
  <c r="V3343"/>
  <c r="W3343"/>
  <c r="X3343"/>
  <c r="Y3343"/>
  <c r="AA3343"/>
  <c r="AB3343"/>
  <c r="AC3343"/>
  <c r="AD3343"/>
  <c r="P3344"/>
  <c r="Q3344"/>
  <c r="R3344"/>
  <c r="S3344"/>
  <c r="T3344"/>
  <c r="U3344"/>
  <c r="V3344"/>
  <c r="W3344"/>
  <c r="X3344"/>
  <c r="Y3344"/>
  <c r="AA3344"/>
  <c r="AB3344"/>
  <c r="AC3344"/>
  <c r="AD3344"/>
  <c r="P3345"/>
  <c r="Q3345"/>
  <c r="R3345"/>
  <c r="S3345"/>
  <c r="T3345"/>
  <c r="U3345"/>
  <c r="V3345"/>
  <c r="W3345"/>
  <c r="X3345"/>
  <c r="Y3345"/>
  <c r="AA3345"/>
  <c r="AB3345"/>
  <c r="AC3345"/>
  <c r="AD3345"/>
  <c r="P3346"/>
  <c r="Q3346"/>
  <c r="R3346"/>
  <c r="S3346"/>
  <c r="T3346"/>
  <c r="U3346"/>
  <c r="V3346"/>
  <c r="W3346"/>
  <c r="X3346"/>
  <c r="Y3346"/>
  <c r="AA3346"/>
  <c r="AB3346"/>
  <c r="AC3346"/>
  <c r="AD3346"/>
  <c r="P3347"/>
  <c r="Q3347"/>
  <c r="R3347"/>
  <c r="S3347"/>
  <c r="T3347"/>
  <c r="U3347"/>
  <c r="V3347"/>
  <c r="W3347"/>
  <c r="X3347"/>
  <c r="Y3347"/>
  <c r="AA3347"/>
  <c r="AB3347"/>
  <c r="AC3347"/>
  <c r="AD3347"/>
  <c r="P3348"/>
  <c r="Q3348"/>
  <c r="R3348"/>
  <c r="S3348"/>
  <c r="T3348"/>
  <c r="U3348"/>
  <c r="V3348"/>
  <c r="W3348"/>
  <c r="X3348"/>
  <c r="Y3348"/>
  <c r="AA3348"/>
  <c r="AB3348"/>
  <c r="AC3348"/>
  <c r="AD3348"/>
  <c r="P3349"/>
  <c r="Q3349"/>
  <c r="R3349"/>
  <c r="S3349"/>
  <c r="T3349"/>
  <c r="U3349"/>
  <c r="V3349"/>
  <c r="W3349"/>
  <c r="X3349"/>
  <c r="Y3349"/>
  <c r="AA3349"/>
  <c r="AB3349"/>
  <c r="AC3349"/>
  <c r="AD3349"/>
  <c r="P3350"/>
  <c r="Q3350"/>
  <c r="R3350"/>
  <c r="S3350"/>
  <c r="T3350"/>
  <c r="U3350"/>
  <c r="V3350"/>
  <c r="W3350"/>
  <c r="X3350"/>
  <c r="Y3350"/>
  <c r="AA3350"/>
  <c r="AB3350"/>
  <c r="AC3350"/>
  <c r="AD3350"/>
  <c r="P3351"/>
  <c r="Q3351"/>
  <c r="R3351"/>
  <c r="S3351"/>
  <c r="T3351"/>
  <c r="U3351"/>
  <c r="V3351"/>
  <c r="W3351"/>
  <c r="X3351"/>
  <c r="Y3351"/>
  <c r="AA3351"/>
  <c r="AB3351"/>
  <c r="AC3351"/>
  <c r="AD3351"/>
  <c r="P3352"/>
  <c r="Q3352"/>
  <c r="R3352"/>
  <c r="S3352"/>
  <c r="T3352"/>
  <c r="U3352"/>
  <c r="V3352"/>
  <c r="W3352"/>
  <c r="X3352"/>
  <c r="Y3352"/>
  <c r="AA3352"/>
  <c r="AB3352"/>
  <c r="AC3352"/>
  <c r="AD3352"/>
  <c r="P3353"/>
  <c r="Q3353"/>
  <c r="R3353"/>
  <c r="S3353"/>
  <c r="T3353"/>
  <c r="U3353"/>
  <c r="V3353"/>
  <c r="W3353"/>
  <c r="X3353"/>
  <c r="Y3353"/>
  <c r="AA3353"/>
  <c r="AB3353"/>
  <c r="AC3353"/>
  <c r="AD3353"/>
  <c r="P3354"/>
  <c r="Q3354"/>
  <c r="R3354"/>
  <c r="S3354"/>
  <c r="T3354"/>
  <c r="U3354"/>
  <c r="V3354"/>
  <c r="W3354"/>
  <c r="X3354"/>
  <c r="Y3354"/>
  <c r="AA3354"/>
  <c r="AB3354"/>
  <c r="AC3354"/>
  <c r="AD3354"/>
  <c r="P3355"/>
  <c r="Q3355"/>
  <c r="R3355"/>
  <c r="S3355"/>
  <c r="T3355"/>
  <c r="U3355"/>
  <c r="V3355"/>
  <c r="W3355"/>
  <c r="X3355"/>
  <c r="Y3355"/>
  <c r="AA3355"/>
  <c r="AB3355"/>
  <c r="AC3355"/>
  <c r="AD3355"/>
  <c r="P3356"/>
  <c r="Q3356"/>
  <c r="R3356"/>
  <c r="S3356"/>
  <c r="T3356"/>
  <c r="U3356"/>
  <c r="V3356"/>
  <c r="W3356"/>
  <c r="X3356"/>
  <c r="Y3356"/>
  <c r="AA3356"/>
  <c r="AB3356"/>
  <c r="AC3356"/>
  <c r="AD3356"/>
  <c r="P3357"/>
  <c r="Q3357"/>
  <c r="R3357"/>
  <c r="S3357"/>
  <c r="T3357"/>
  <c r="U3357"/>
  <c r="V3357"/>
  <c r="W3357"/>
  <c r="X3357"/>
  <c r="Y3357"/>
  <c r="AA3357"/>
  <c r="AB3357"/>
  <c r="AC3357"/>
  <c r="AD3357"/>
  <c r="P3358"/>
  <c r="Q3358"/>
  <c r="R3358"/>
  <c r="S3358"/>
  <c r="T3358"/>
  <c r="U3358"/>
  <c r="V3358"/>
  <c r="W3358"/>
  <c r="X3358"/>
  <c r="Y3358"/>
  <c r="AA3358"/>
  <c r="AB3358"/>
  <c r="AC3358"/>
  <c r="AD3358"/>
  <c r="P3359"/>
  <c r="Q3359"/>
  <c r="R3359"/>
  <c r="S3359"/>
  <c r="T3359"/>
  <c r="U3359"/>
  <c r="V3359"/>
  <c r="W3359"/>
  <c r="X3359"/>
  <c r="Y3359"/>
  <c r="AA3359"/>
  <c r="AB3359"/>
  <c r="AC3359"/>
  <c r="AD3359"/>
  <c r="P3360"/>
  <c r="Q3360"/>
  <c r="R3360"/>
  <c r="S3360"/>
  <c r="T3360"/>
  <c r="U3360"/>
  <c r="V3360"/>
  <c r="W3360"/>
  <c r="X3360"/>
  <c r="Y3360"/>
  <c r="AA3360"/>
  <c r="AB3360"/>
  <c r="AC3360"/>
  <c r="AD3360"/>
  <c r="P3361"/>
  <c r="Q3361"/>
  <c r="R3361"/>
  <c r="S3361"/>
  <c r="T3361"/>
  <c r="U3361"/>
  <c r="V3361"/>
  <c r="W3361"/>
  <c r="X3361"/>
  <c r="Y3361"/>
  <c r="AA3361"/>
  <c r="AB3361"/>
  <c r="AC3361"/>
  <c r="AD3361"/>
  <c r="P3362"/>
  <c r="Q3362"/>
  <c r="R3362"/>
  <c r="S3362"/>
  <c r="T3362"/>
  <c r="U3362"/>
  <c r="V3362"/>
  <c r="W3362"/>
  <c r="X3362"/>
  <c r="Y3362"/>
  <c r="AA3362"/>
  <c r="AB3362"/>
  <c r="AC3362"/>
  <c r="AD3362"/>
  <c r="P3363"/>
  <c r="Q3363"/>
  <c r="R3363"/>
  <c r="S3363"/>
  <c r="T3363"/>
  <c r="U3363"/>
  <c r="V3363"/>
  <c r="W3363"/>
  <c r="X3363"/>
  <c r="Y3363"/>
  <c r="AA3363"/>
  <c r="AB3363"/>
  <c r="AC3363"/>
  <c r="AD3363"/>
  <c r="P3364"/>
  <c r="Q3364"/>
  <c r="R3364"/>
  <c r="S3364"/>
  <c r="T3364"/>
  <c r="U3364"/>
  <c r="V3364"/>
  <c r="W3364"/>
  <c r="X3364"/>
  <c r="Y3364"/>
  <c r="AA3364"/>
  <c r="AB3364"/>
  <c r="AC3364"/>
  <c r="AD3364"/>
  <c r="P3365"/>
  <c r="Q3365"/>
  <c r="R3365"/>
  <c r="S3365"/>
  <c r="T3365"/>
  <c r="U3365"/>
  <c r="V3365"/>
  <c r="W3365"/>
  <c r="X3365"/>
  <c r="Y3365"/>
  <c r="AA3365"/>
  <c r="AB3365"/>
  <c r="AC3365"/>
  <c r="AD3365"/>
  <c r="P3366"/>
  <c r="Q3366"/>
  <c r="R3366"/>
  <c r="S3366"/>
  <c r="T3366"/>
  <c r="U3366"/>
  <c r="V3366"/>
  <c r="W3366"/>
  <c r="X3366"/>
  <c r="Y3366"/>
  <c r="AA3366"/>
  <c r="AB3366"/>
  <c r="AC3366"/>
  <c r="AD3366"/>
  <c r="P3367"/>
  <c r="Q3367"/>
  <c r="R3367"/>
  <c r="S3367"/>
  <c r="T3367"/>
  <c r="U3367"/>
  <c r="V3367"/>
  <c r="W3367"/>
  <c r="X3367"/>
  <c r="Y3367"/>
  <c r="AA3367"/>
  <c r="AB3367"/>
  <c r="AC3367"/>
  <c r="AD3367"/>
  <c r="P3368"/>
  <c r="Q3368"/>
  <c r="R3368"/>
  <c r="S3368"/>
  <c r="T3368"/>
  <c r="U3368"/>
  <c r="V3368"/>
  <c r="W3368"/>
  <c r="X3368"/>
  <c r="Y3368"/>
  <c r="AA3368"/>
  <c r="AB3368"/>
  <c r="AC3368"/>
  <c r="AD3368"/>
  <c r="P3369"/>
  <c r="Q3369"/>
  <c r="R3369"/>
  <c r="S3369"/>
  <c r="T3369"/>
  <c r="U3369"/>
  <c r="V3369"/>
  <c r="W3369"/>
  <c r="X3369"/>
  <c r="Y3369"/>
  <c r="AA3369"/>
  <c r="AB3369"/>
  <c r="AC3369"/>
  <c r="AD3369"/>
  <c r="P3370"/>
  <c r="Q3370"/>
  <c r="R3370"/>
  <c r="S3370"/>
  <c r="T3370"/>
  <c r="U3370"/>
  <c r="V3370"/>
  <c r="W3370"/>
  <c r="X3370"/>
  <c r="Y3370"/>
  <c r="AA3370"/>
  <c r="AB3370"/>
  <c r="AC3370"/>
  <c r="AD3370"/>
  <c r="P3371"/>
  <c r="Q3371"/>
  <c r="R3371"/>
  <c r="S3371"/>
  <c r="T3371"/>
  <c r="U3371"/>
  <c r="V3371"/>
  <c r="W3371"/>
  <c r="X3371"/>
  <c r="Y3371"/>
  <c r="AA3371"/>
  <c r="AB3371"/>
  <c r="AC3371"/>
  <c r="AD3371"/>
  <c r="P3372"/>
  <c r="Q3372"/>
  <c r="R3372"/>
  <c r="S3372"/>
  <c r="T3372"/>
  <c r="U3372"/>
  <c r="V3372"/>
  <c r="W3372"/>
  <c r="X3372"/>
  <c r="Y3372"/>
  <c r="AA3372"/>
  <c r="AB3372"/>
  <c r="AC3372"/>
  <c r="AD3372"/>
  <c r="P3373"/>
  <c r="Q3373"/>
  <c r="R3373"/>
  <c r="S3373"/>
  <c r="T3373"/>
  <c r="U3373"/>
  <c r="V3373"/>
  <c r="W3373"/>
  <c r="X3373"/>
  <c r="Y3373"/>
  <c r="AA3373"/>
  <c r="AB3373"/>
  <c r="AC3373"/>
  <c r="AD3373"/>
  <c r="P3374"/>
  <c r="Q3374"/>
  <c r="R3374"/>
  <c r="S3374"/>
  <c r="T3374"/>
  <c r="U3374"/>
  <c r="V3374"/>
  <c r="W3374"/>
  <c r="X3374"/>
  <c r="Y3374"/>
  <c r="AA3374"/>
  <c r="AB3374"/>
  <c r="AC3374"/>
  <c r="AD3374"/>
  <c r="P3375"/>
  <c r="Q3375"/>
  <c r="R3375"/>
  <c r="S3375"/>
  <c r="T3375"/>
  <c r="U3375"/>
  <c r="V3375"/>
  <c r="W3375"/>
  <c r="X3375"/>
  <c r="Y3375"/>
  <c r="AA3375"/>
  <c r="AB3375"/>
  <c r="AC3375"/>
  <c r="AD3375"/>
  <c r="P3376"/>
  <c r="Q3376"/>
  <c r="R3376"/>
  <c r="S3376"/>
  <c r="T3376"/>
  <c r="U3376"/>
  <c r="V3376"/>
  <c r="W3376"/>
  <c r="X3376"/>
  <c r="Y3376"/>
  <c r="AA3376"/>
  <c r="AB3376"/>
  <c r="AC3376"/>
  <c r="AD3376"/>
  <c r="P3377"/>
  <c r="Q3377"/>
  <c r="R3377"/>
  <c r="S3377"/>
  <c r="T3377"/>
  <c r="U3377"/>
  <c r="V3377"/>
  <c r="W3377"/>
  <c r="X3377"/>
  <c r="Y3377"/>
  <c r="AA3377"/>
  <c r="AB3377"/>
  <c r="AC3377"/>
  <c r="AD3377"/>
  <c r="P3378"/>
  <c r="Q3378"/>
  <c r="R3378"/>
  <c r="S3378"/>
  <c r="T3378"/>
  <c r="U3378"/>
  <c r="V3378"/>
  <c r="W3378"/>
  <c r="X3378"/>
  <c r="Y3378"/>
  <c r="AA3378"/>
  <c r="AB3378"/>
  <c r="AC3378"/>
  <c r="AD3378"/>
  <c r="P3379"/>
  <c r="Q3379"/>
  <c r="R3379"/>
  <c r="S3379"/>
  <c r="T3379"/>
  <c r="U3379"/>
  <c r="V3379"/>
  <c r="W3379"/>
  <c r="X3379"/>
  <c r="Y3379"/>
  <c r="AA3379"/>
  <c r="AB3379"/>
  <c r="AC3379"/>
  <c r="AD3379"/>
  <c r="P3380"/>
  <c r="Q3380"/>
  <c r="R3380"/>
  <c r="S3380"/>
  <c r="T3380"/>
  <c r="U3380"/>
  <c r="V3380"/>
  <c r="W3380"/>
  <c r="X3380"/>
  <c r="Y3380"/>
  <c r="AA3380"/>
  <c r="AB3380"/>
  <c r="AC3380"/>
  <c r="AD3380"/>
  <c r="P3381"/>
  <c r="Q3381"/>
  <c r="R3381"/>
  <c r="S3381"/>
  <c r="T3381"/>
  <c r="U3381"/>
  <c r="V3381"/>
  <c r="W3381"/>
  <c r="X3381"/>
  <c r="Y3381"/>
  <c r="AA3381"/>
  <c r="AB3381"/>
  <c r="AC3381"/>
  <c r="AD3381"/>
  <c r="P3382"/>
  <c r="Q3382"/>
  <c r="R3382"/>
  <c r="S3382"/>
  <c r="T3382"/>
  <c r="U3382"/>
  <c r="V3382"/>
  <c r="W3382"/>
  <c r="X3382"/>
  <c r="Y3382"/>
  <c r="AA3382"/>
  <c r="AB3382"/>
  <c r="AC3382"/>
  <c r="AD3382"/>
  <c r="P3383"/>
  <c r="Q3383"/>
  <c r="R3383"/>
  <c r="S3383"/>
  <c r="T3383"/>
  <c r="U3383"/>
  <c r="V3383"/>
  <c r="W3383"/>
  <c r="X3383"/>
  <c r="Y3383"/>
  <c r="AA3383"/>
  <c r="AB3383"/>
  <c r="AC3383"/>
  <c r="AD3383"/>
  <c r="P3384"/>
  <c r="Q3384"/>
  <c r="R3384"/>
  <c r="S3384"/>
  <c r="T3384"/>
  <c r="U3384"/>
  <c r="V3384"/>
  <c r="W3384"/>
  <c r="X3384"/>
  <c r="Y3384"/>
  <c r="AA3384"/>
  <c r="AB3384"/>
  <c r="AC3384"/>
  <c r="AD3384"/>
  <c r="P3385"/>
  <c r="Q3385"/>
  <c r="R3385"/>
  <c r="S3385"/>
  <c r="T3385"/>
  <c r="U3385"/>
  <c r="V3385"/>
  <c r="W3385"/>
  <c r="X3385"/>
  <c r="Y3385"/>
  <c r="AA3385"/>
  <c r="AB3385"/>
  <c r="AC3385"/>
  <c r="AD3385"/>
  <c r="P3386"/>
  <c r="Q3386"/>
  <c r="R3386"/>
  <c r="S3386"/>
  <c r="T3386"/>
  <c r="U3386"/>
  <c r="V3386"/>
  <c r="W3386"/>
  <c r="X3386"/>
  <c r="Y3386"/>
  <c r="AA3386"/>
  <c r="AB3386"/>
  <c r="AC3386"/>
  <c r="AD3386"/>
  <c r="P3387"/>
  <c r="Q3387"/>
  <c r="R3387"/>
  <c r="S3387"/>
  <c r="T3387"/>
  <c r="U3387"/>
  <c r="V3387"/>
  <c r="W3387"/>
  <c r="X3387"/>
  <c r="Y3387"/>
  <c r="AA3387"/>
  <c r="AB3387"/>
  <c r="AC3387"/>
  <c r="AD3387"/>
  <c r="P3388"/>
  <c r="Q3388"/>
  <c r="R3388"/>
  <c r="S3388"/>
  <c r="T3388"/>
  <c r="U3388"/>
  <c r="V3388"/>
  <c r="W3388"/>
  <c r="X3388"/>
  <c r="Y3388"/>
  <c r="AA3388"/>
  <c r="AB3388"/>
  <c r="AC3388"/>
  <c r="AD3388"/>
  <c r="P3389"/>
  <c r="Q3389"/>
  <c r="R3389"/>
  <c r="S3389"/>
  <c r="T3389"/>
  <c r="U3389"/>
  <c r="V3389"/>
  <c r="W3389"/>
  <c r="X3389"/>
  <c r="Y3389"/>
  <c r="AA3389"/>
  <c r="AB3389"/>
  <c r="AC3389"/>
  <c r="AD3389"/>
  <c r="P3390"/>
  <c r="Q3390"/>
  <c r="R3390"/>
  <c r="S3390"/>
  <c r="T3390"/>
  <c r="U3390"/>
  <c r="V3390"/>
  <c r="W3390"/>
  <c r="X3390"/>
  <c r="Y3390"/>
  <c r="AA3390"/>
  <c r="AB3390"/>
  <c r="AC3390"/>
  <c r="AD3390"/>
  <c r="P3391"/>
  <c r="Q3391"/>
  <c r="R3391"/>
  <c r="S3391"/>
  <c r="T3391"/>
  <c r="U3391"/>
  <c r="V3391"/>
  <c r="W3391"/>
  <c r="X3391"/>
  <c r="Y3391"/>
  <c r="AA3391"/>
  <c r="AB3391"/>
  <c r="AC3391"/>
  <c r="AD3391"/>
  <c r="P3392"/>
  <c r="Q3392"/>
  <c r="R3392"/>
  <c r="S3392"/>
  <c r="T3392"/>
  <c r="U3392"/>
  <c r="V3392"/>
  <c r="W3392"/>
  <c r="X3392"/>
  <c r="Y3392"/>
  <c r="AA3392"/>
  <c r="AB3392"/>
  <c r="AC3392"/>
  <c r="AD3392"/>
  <c r="P3393"/>
  <c r="Q3393"/>
  <c r="R3393"/>
  <c r="S3393"/>
  <c r="T3393"/>
  <c r="U3393"/>
  <c r="V3393"/>
  <c r="W3393"/>
  <c r="X3393"/>
  <c r="Y3393"/>
  <c r="AA3393"/>
  <c r="AB3393"/>
  <c r="AC3393"/>
  <c r="AD3393"/>
  <c r="P3394"/>
  <c r="Q3394"/>
  <c r="R3394"/>
  <c r="S3394"/>
  <c r="T3394"/>
  <c r="U3394"/>
  <c r="V3394"/>
  <c r="W3394"/>
  <c r="X3394"/>
  <c r="Y3394"/>
  <c r="AA3394"/>
  <c r="AB3394"/>
  <c r="AC3394"/>
  <c r="AD3394"/>
  <c r="P3395"/>
  <c r="Q3395"/>
  <c r="R3395"/>
  <c r="S3395"/>
  <c r="T3395"/>
  <c r="U3395"/>
  <c r="V3395"/>
  <c r="W3395"/>
  <c r="X3395"/>
  <c r="Y3395"/>
  <c r="AA3395"/>
  <c r="AB3395"/>
  <c r="AC3395"/>
  <c r="AD3395"/>
  <c r="P3396"/>
  <c r="Q3396"/>
  <c r="R3396"/>
  <c r="S3396"/>
  <c r="T3396"/>
  <c r="U3396"/>
  <c r="V3396"/>
  <c r="W3396"/>
  <c r="X3396"/>
  <c r="Y3396"/>
  <c r="AA3396"/>
  <c r="AB3396"/>
  <c r="AC3396"/>
  <c r="AD3396"/>
  <c r="P3397"/>
  <c r="Q3397"/>
  <c r="R3397"/>
  <c r="S3397"/>
  <c r="T3397"/>
  <c r="U3397"/>
  <c r="V3397"/>
  <c r="W3397"/>
  <c r="X3397"/>
  <c r="Y3397"/>
  <c r="AA3397"/>
  <c r="AB3397"/>
  <c r="AC3397"/>
  <c r="AD3397"/>
  <c r="P3398"/>
  <c r="Q3398"/>
  <c r="R3398"/>
  <c r="S3398"/>
  <c r="T3398"/>
  <c r="U3398"/>
  <c r="V3398"/>
  <c r="W3398"/>
  <c r="X3398"/>
  <c r="Y3398"/>
  <c r="AA3398"/>
  <c r="AB3398"/>
  <c r="AC3398"/>
  <c r="AD3398"/>
  <c r="P3399"/>
  <c r="Q3399"/>
  <c r="R3399"/>
  <c r="S3399"/>
  <c r="T3399"/>
  <c r="U3399"/>
  <c r="V3399"/>
  <c r="W3399"/>
  <c r="X3399"/>
  <c r="Y3399"/>
  <c r="AA3399"/>
  <c r="AB3399"/>
  <c r="AC3399"/>
  <c r="AD3399"/>
  <c r="P3400"/>
  <c r="Q3400"/>
  <c r="R3400"/>
  <c r="S3400"/>
  <c r="T3400"/>
  <c r="U3400"/>
  <c r="V3400"/>
  <c r="W3400"/>
  <c r="X3400"/>
  <c r="Y3400"/>
  <c r="AA3400"/>
  <c r="AB3400"/>
  <c r="AC3400"/>
  <c r="AD3400"/>
  <c r="P3401"/>
  <c r="Q3401"/>
  <c r="R3401"/>
  <c r="S3401"/>
  <c r="T3401"/>
  <c r="U3401"/>
  <c r="V3401"/>
  <c r="W3401"/>
  <c r="X3401"/>
  <c r="Y3401"/>
  <c r="AA3401"/>
  <c r="AB3401"/>
  <c r="AC3401"/>
  <c r="AD3401"/>
  <c r="P3402"/>
  <c r="Q3402"/>
  <c r="R3402"/>
  <c r="S3402"/>
  <c r="T3402"/>
  <c r="U3402"/>
  <c r="V3402"/>
  <c r="W3402"/>
  <c r="X3402"/>
  <c r="Y3402"/>
  <c r="AA3402"/>
  <c r="AB3402"/>
  <c r="AC3402"/>
  <c r="AD3402"/>
  <c r="P3403"/>
  <c r="Q3403"/>
  <c r="R3403"/>
  <c r="S3403"/>
  <c r="T3403"/>
  <c r="U3403"/>
  <c r="V3403"/>
  <c r="W3403"/>
  <c r="X3403"/>
  <c r="Y3403"/>
  <c r="AA3403"/>
  <c r="AB3403"/>
  <c r="AC3403"/>
  <c r="AD3403"/>
  <c r="P3404"/>
  <c r="Q3404"/>
  <c r="R3404"/>
  <c r="S3404"/>
  <c r="T3404"/>
  <c r="U3404"/>
  <c r="V3404"/>
  <c r="W3404"/>
  <c r="X3404"/>
  <c r="Y3404"/>
  <c r="AA3404"/>
  <c r="AB3404"/>
  <c r="AC3404"/>
  <c r="AD3404"/>
  <c r="P3405"/>
  <c r="Q3405"/>
  <c r="R3405"/>
  <c r="S3405"/>
  <c r="T3405"/>
  <c r="U3405"/>
  <c r="V3405"/>
  <c r="W3405"/>
  <c r="X3405"/>
  <c r="Y3405"/>
  <c r="AA3405"/>
  <c r="AB3405"/>
  <c r="AC3405"/>
  <c r="AD3405"/>
  <c r="P3406"/>
  <c r="Q3406"/>
  <c r="R3406"/>
  <c r="S3406"/>
  <c r="T3406"/>
  <c r="U3406"/>
  <c r="V3406"/>
  <c r="W3406"/>
  <c r="X3406"/>
  <c r="Y3406"/>
  <c r="AA3406"/>
  <c r="AB3406"/>
  <c r="AC3406"/>
  <c r="AD3406"/>
  <c r="P3407"/>
  <c r="Q3407"/>
  <c r="R3407"/>
  <c r="S3407"/>
  <c r="T3407"/>
  <c r="U3407"/>
  <c r="V3407"/>
  <c r="W3407"/>
  <c r="X3407"/>
  <c r="Y3407"/>
  <c r="AA3407"/>
  <c r="AB3407"/>
  <c r="AC3407"/>
  <c r="AD3407"/>
  <c r="P3408"/>
  <c r="Q3408"/>
  <c r="R3408"/>
  <c r="S3408"/>
  <c r="T3408"/>
  <c r="U3408"/>
  <c r="V3408"/>
  <c r="W3408"/>
  <c r="X3408"/>
  <c r="Y3408"/>
  <c r="AA3408"/>
  <c r="AB3408"/>
  <c r="AC3408"/>
  <c r="AD3408"/>
  <c r="P3409"/>
  <c r="Q3409"/>
  <c r="R3409"/>
  <c r="S3409"/>
  <c r="T3409"/>
  <c r="U3409"/>
  <c r="V3409"/>
  <c r="W3409"/>
  <c r="X3409"/>
  <c r="Y3409"/>
  <c r="AA3409"/>
  <c r="AB3409"/>
  <c r="AC3409"/>
  <c r="AD3409"/>
  <c r="P3410"/>
  <c r="Q3410"/>
  <c r="R3410"/>
  <c r="S3410"/>
  <c r="T3410"/>
  <c r="U3410"/>
  <c r="V3410"/>
  <c r="W3410"/>
  <c r="X3410"/>
  <c r="Y3410"/>
  <c r="AA3410"/>
  <c r="AB3410"/>
  <c r="AC3410"/>
  <c r="AD3410"/>
  <c r="P3411"/>
  <c r="Q3411"/>
  <c r="R3411"/>
  <c r="S3411"/>
  <c r="T3411"/>
  <c r="U3411"/>
  <c r="V3411"/>
  <c r="W3411"/>
  <c r="X3411"/>
  <c r="Y3411"/>
  <c r="AA3411"/>
  <c r="AB3411"/>
  <c r="AC3411"/>
  <c r="AD3411"/>
  <c r="P3412"/>
  <c r="Q3412"/>
  <c r="R3412"/>
  <c r="S3412"/>
  <c r="T3412"/>
  <c r="U3412"/>
  <c r="V3412"/>
  <c r="W3412"/>
  <c r="X3412"/>
  <c r="Y3412"/>
  <c r="AA3412"/>
  <c r="AB3412"/>
  <c r="AC3412"/>
  <c r="AD3412"/>
  <c r="P3413"/>
  <c r="Q3413"/>
  <c r="R3413"/>
  <c r="S3413"/>
  <c r="T3413"/>
  <c r="U3413"/>
  <c r="V3413"/>
  <c r="W3413"/>
  <c r="X3413"/>
  <c r="Y3413"/>
  <c r="AA3413"/>
  <c r="AB3413"/>
  <c r="AC3413"/>
  <c r="AD3413"/>
  <c r="P3414"/>
  <c r="Q3414"/>
  <c r="R3414"/>
  <c r="S3414"/>
  <c r="T3414"/>
  <c r="U3414"/>
  <c r="V3414"/>
  <c r="W3414"/>
  <c r="X3414"/>
  <c r="Y3414"/>
  <c r="AA3414"/>
  <c r="AB3414"/>
  <c r="AC3414"/>
  <c r="AD3414"/>
  <c r="P3415"/>
  <c r="Q3415"/>
  <c r="R3415"/>
  <c r="S3415"/>
  <c r="T3415"/>
  <c r="U3415"/>
  <c r="V3415"/>
  <c r="W3415"/>
  <c r="X3415"/>
  <c r="Y3415"/>
  <c r="AA3415"/>
  <c r="AB3415"/>
  <c r="AC3415"/>
  <c r="AD3415"/>
  <c r="P3416"/>
  <c r="Q3416"/>
  <c r="R3416"/>
  <c r="S3416"/>
  <c r="T3416"/>
  <c r="U3416"/>
  <c r="V3416"/>
  <c r="W3416"/>
  <c r="X3416"/>
  <c r="Y3416"/>
  <c r="AA3416"/>
  <c r="AB3416"/>
  <c r="AC3416"/>
  <c r="AD3416"/>
  <c r="P3417"/>
  <c r="Q3417"/>
  <c r="R3417"/>
  <c r="S3417"/>
  <c r="T3417"/>
  <c r="U3417"/>
  <c r="V3417"/>
  <c r="W3417"/>
  <c r="X3417"/>
  <c r="Y3417"/>
  <c r="AA3417"/>
  <c r="AB3417"/>
  <c r="AC3417"/>
  <c r="AD3417"/>
  <c r="P3418"/>
  <c r="Q3418"/>
  <c r="R3418"/>
  <c r="S3418"/>
  <c r="T3418"/>
  <c r="U3418"/>
  <c r="V3418"/>
  <c r="W3418"/>
  <c r="X3418"/>
  <c r="Y3418"/>
  <c r="AA3418"/>
  <c r="AB3418"/>
  <c r="AC3418"/>
  <c r="AD3418"/>
  <c r="P3419"/>
  <c r="Q3419"/>
  <c r="R3419"/>
  <c r="S3419"/>
  <c r="T3419"/>
  <c r="U3419"/>
  <c r="V3419"/>
  <c r="W3419"/>
  <c r="X3419"/>
  <c r="Y3419"/>
  <c r="AA3419"/>
  <c r="AB3419"/>
  <c r="AC3419"/>
  <c r="AD3419"/>
  <c r="P3420"/>
  <c r="Q3420"/>
  <c r="R3420"/>
  <c r="S3420"/>
  <c r="T3420"/>
  <c r="U3420"/>
  <c r="V3420"/>
  <c r="W3420"/>
  <c r="X3420"/>
  <c r="Y3420"/>
  <c r="AA3420"/>
  <c r="AB3420"/>
  <c r="AC3420"/>
  <c r="AD3420"/>
  <c r="P3421"/>
  <c r="Q3421"/>
  <c r="R3421"/>
  <c r="S3421"/>
  <c r="T3421"/>
  <c r="U3421"/>
  <c r="V3421"/>
  <c r="W3421"/>
  <c r="X3421"/>
  <c r="Y3421"/>
  <c r="AA3421"/>
  <c r="AB3421"/>
  <c r="AC3421"/>
  <c r="AD3421"/>
  <c r="P3422"/>
  <c r="Q3422"/>
  <c r="R3422"/>
  <c r="S3422"/>
  <c r="T3422"/>
  <c r="U3422"/>
  <c r="V3422"/>
  <c r="W3422"/>
  <c r="X3422"/>
  <c r="Y3422"/>
  <c r="AA3422"/>
  <c r="AB3422"/>
  <c r="AC3422"/>
  <c r="AD3422"/>
  <c r="P3423"/>
  <c r="Q3423"/>
  <c r="R3423"/>
  <c r="S3423"/>
  <c r="T3423"/>
  <c r="U3423"/>
  <c r="V3423"/>
  <c r="W3423"/>
  <c r="X3423"/>
  <c r="Y3423"/>
  <c r="AA3423"/>
  <c r="AB3423"/>
  <c r="AC3423"/>
  <c r="AD3423"/>
  <c r="P3424"/>
  <c r="Q3424"/>
  <c r="R3424"/>
  <c r="S3424"/>
  <c r="T3424"/>
  <c r="U3424"/>
  <c r="V3424"/>
  <c r="W3424"/>
  <c r="X3424"/>
  <c r="Y3424"/>
  <c r="AA3424"/>
  <c r="AB3424"/>
  <c r="AC3424"/>
  <c r="AD3424"/>
  <c r="P3425"/>
  <c r="Q3425"/>
  <c r="R3425"/>
  <c r="S3425"/>
  <c r="T3425"/>
  <c r="U3425"/>
  <c r="V3425"/>
  <c r="W3425"/>
  <c r="X3425"/>
  <c r="Y3425"/>
  <c r="AA3425"/>
  <c r="AB3425"/>
  <c r="AC3425"/>
  <c r="AD3425"/>
  <c r="P3426"/>
  <c r="Q3426"/>
  <c r="R3426"/>
  <c r="S3426"/>
  <c r="T3426"/>
  <c r="U3426"/>
  <c r="V3426"/>
  <c r="W3426"/>
  <c r="X3426"/>
  <c r="Y3426"/>
  <c r="AA3426"/>
  <c r="AB3426"/>
  <c r="AC3426"/>
  <c r="AD3426"/>
  <c r="P3427"/>
  <c r="Q3427"/>
  <c r="R3427"/>
  <c r="S3427"/>
  <c r="T3427"/>
  <c r="U3427"/>
  <c r="V3427"/>
  <c r="W3427"/>
  <c r="X3427"/>
  <c r="Y3427"/>
  <c r="AA3427"/>
  <c r="AB3427"/>
  <c r="AC3427"/>
  <c r="AD3427"/>
  <c r="P3428"/>
  <c r="Q3428"/>
  <c r="R3428"/>
  <c r="S3428"/>
  <c r="T3428"/>
  <c r="U3428"/>
  <c r="V3428"/>
  <c r="W3428"/>
  <c r="X3428"/>
  <c r="Y3428"/>
  <c r="AA3428"/>
  <c r="AB3428"/>
  <c r="AC3428"/>
  <c r="AD3428"/>
  <c r="P3429"/>
  <c r="Q3429"/>
  <c r="R3429"/>
  <c r="S3429"/>
  <c r="T3429"/>
  <c r="U3429"/>
  <c r="V3429"/>
  <c r="W3429"/>
  <c r="X3429"/>
  <c r="Y3429"/>
  <c r="AA3429"/>
  <c r="AB3429"/>
  <c r="AC3429"/>
  <c r="AD3429"/>
  <c r="P3430"/>
  <c r="Q3430"/>
  <c r="R3430"/>
  <c r="S3430"/>
  <c r="T3430"/>
  <c r="U3430"/>
  <c r="V3430"/>
  <c r="W3430"/>
  <c r="X3430"/>
  <c r="Y3430"/>
  <c r="AA3430"/>
  <c r="AB3430"/>
  <c r="AC3430"/>
  <c r="AD3430"/>
  <c r="P3431"/>
  <c r="Q3431"/>
  <c r="R3431"/>
  <c r="S3431"/>
  <c r="T3431"/>
  <c r="U3431"/>
  <c r="V3431"/>
  <c r="W3431"/>
  <c r="X3431"/>
  <c r="Y3431"/>
  <c r="AA3431"/>
  <c r="AB3431"/>
  <c r="AC3431"/>
  <c r="AD3431"/>
  <c r="P3432"/>
  <c r="Q3432"/>
  <c r="R3432"/>
  <c r="S3432"/>
  <c r="T3432"/>
  <c r="U3432"/>
  <c r="V3432"/>
  <c r="W3432"/>
  <c r="X3432"/>
  <c r="Y3432"/>
  <c r="AA3432"/>
  <c r="AB3432"/>
  <c r="AC3432"/>
  <c r="AD3432"/>
  <c r="P3433"/>
  <c r="Q3433"/>
  <c r="R3433"/>
  <c r="S3433"/>
  <c r="T3433"/>
  <c r="U3433"/>
  <c r="V3433"/>
  <c r="W3433"/>
  <c r="X3433"/>
  <c r="Y3433"/>
  <c r="AA3433"/>
  <c r="AB3433"/>
  <c r="AC3433"/>
  <c r="AD3433"/>
  <c r="P3434"/>
  <c r="Q3434"/>
  <c r="R3434"/>
  <c r="S3434"/>
  <c r="T3434"/>
  <c r="U3434"/>
  <c r="V3434"/>
  <c r="W3434"/>
  <c r="X3434"/>
  <c r="Y3434"/>
  <c r="AA3434"/>
  <c r="AB3434"/>
  <c r="AC3434"/>
  <c r="AD3434"/>
  <c r="P3435"/>
  <c r="Q3435"/>
  <c r="R3435"/>
  <c r="S3435"/>
  <c r="T3435"/>
  <c r="U3435"/>
  <c r="V3435"/>
  <c r="W3435"/>
  <c r="X3435"/>
  <c r="Y3435"/>
  <c r="AA3435"/>
  <c r="AB3435"/>
  <c r="AC3435"/>
  <c r="AD3435"/>
  <c r="P3436"/>
  <c r="Q3436"/>
  <c r="R3436"/>
  <c r="S3436"/>
  <c r="T3436"/>
  <c r="U3436"/>
  <c r="V3436"/>
  <c r="W3436"/>
  <c r="X3436"/>
  <c r="Y3436"/>
  <c r="AA3436"/>
  <c r="AB3436"/>
  <c r="AC3436"/>
  <c r="AD3436"/>
  <c r="P3437"/>
  <c r="Q3437"/>
  <c r="R3437"/>
  <c r="S3437"/>
  <c r="T3437"/>
  <c r="U3437"/>
  <c r="V3437"/>
  <c r="W3437"/>
  <c r="X3437"/>
  <c r="Y3437"/>
  <c r="AA3437"/>
  <c r="AB3437"/>
  <c r="AC3437"/>
  <c r="AD3437"/>
  <c r="P3438"/>
  <c r="Q3438"/>
  <c r="R3438"/>
  <c r="S3438"/>
  <c r="T3438"/>
  <c r="U3438"/>
  <c r="V3438"/>
  <c r="W3438"/>
  <c r="X3438"/>
  <c r="Y3438"/>
  <c r="AA3438"/>
  <c r="AB3438"/>
  <c r="AC3438"/>
  <c r="AD3438"/>
  <c r="P3439"/>
  <c r="Q3439"/>
  <c r="R3439"/>
  <c r="S3439"/>
  <c r="T3439"/>
  <c r="U3439"/>
  <c r="V3439"/>
  <c r="W3439"/>
  <c r="X3439"/>
  <c r="Y3439"/>
  <c r="AA3439"/>
  <c r="AB3439"/>
  <c r="AC3439"/>
  <c r="AD3439"/>
  <c r="P3440"/>
  <c r="Q3440"/>
  <c r="R3440"/>
  <c r="S3440"/>
  <c r="T3440"/>
  <c r="U3440"/>
  <c r="V3440"/>
  <c r="W3440"/>
  <c r="X3440"/>
  <c r="Y3440"/>
  <c r="AA3440"/>
  <c r="AB3440"/>
  <c r="AC3440"/>
  <c r="AD3440"/>
  <c r="P3441"/>
  <c r="Q3441"/>
  <c r="R3441"/>
  <c r="S3441"/>
  <c r="T3441"/>
  <c r="U3441"/>
  <c r="V3441"/>
  <c r="W3441"/>
  <c r="X3441"/>
  <c r="Y3441"/>
  <c r="AA3441"/>
  <c r="AB3441"/>
  <c r="AC3441"/>
  <c r="AD3441"/>
  <c r="P3442"/>
  <c r="Q3442"/>
  <c r="R3442"/>
  <c r="S3442"/>
  <c r="T3442"/>
  <c r="U3442"/>
  <c r="V3442"/>
  <c r="W3442"/>
  <c r="X3442"/>
  <c r="Y3442"/>
  <c r="AA3442"/>
  <c r="AB3442"/>
  <c r="AC3442"/>
  <c r="AD3442"/>
  <c r="P3443"/>
  <c r="Q3443"/>
  <c r="R3443"/>
  <c r="S3443"/>
  <c r="T3443"/>
  <c r="U3443"/>
  <c r="V3443"/>
  <c r="W3443"/>
  <c r="X3443"/>
  <c r="Y3443"/>
  <c r="AA3443"/>
  <c r="AB3443"/>
  <c r="AC3443"/>
  <c r="AD3443"/>
  <c r="P3444"/>
  <c r="Q3444"/>
  <c r="R3444"/>
  <c r="S3444"/>
  <c r="T3444"/>
  <c r="U3444"/>
  <c r="V3444"/>
  <c r="W3444"/>
  <c r="X3444"/>
  <c r="Y3444"/>
  <c r="AA3444"/>
  <c r="AB3444"/>
  <c r="AC3444"/>
  <c r="AD3444"/>
  <c r="P3445"/>
  <c r="Q3445"/>
  <c r="R3445"/>
  <c r="S3445"/>
  <c r="T3445"/>
  <c r="U3445"/>
  <c r="V3445"/>
  <c r="W3445"/>
  <c r="X3445"/>
  <c r="Y3445"/>
  <c r="AA3445"/>
  <c r="AB3445"/>
  <c r="AC3445"/>
  <c r="AD3445"/>
  <c r="P3446"/>
  <c r="Q3446"/>
  <c r="R3446"/>
  <c r="S3446"/>
  <c r="T3446"/>
  <c r="U3446"/>
  <c r="V3446"/>
  <c r="W3446"/>
  <c r="X3446"/>
  <c r="Y3446"/>
  <c r="AA3446"/>
  <c r="AB3446"/>
  <c r="AC3446"/>
  <c r="AD3446"/>
  <c r="P3447"/>
  <c r="Q3447"/>
  <c r="R3447"/>
  <c r="S3447"/>
  <c r="T3447"/>
  <c r="U3447"/>
  <c r="V3447"/>
  <c r="W3447"/>
  <c r="X3447"/>
  <c r="Y3447"/>
  <c r="AA3447"/>
  <c r="AB3447"/>
  <c r="AC3447"/>
  <c r="AD3447"/>
  <c r="P3448"/>
  <c r="Q3448"/>
  <c r="R3448"/>
  <c r="S3448"/>
  <c r="T3448"/>
  <c r="U3448"/>
  <c r="V3448"/>
  <c r="W3448"/>
  <c r="X3448"/>
  <c r="Y3448"/>
  <c r="AA3448"/>
  <c r="AB3448"/>
  <c r="AC3448"/>
  <c r="AD3448"/>
  <c r="P3449"/>
  <c r="Q3449"/>
  <c r="R3449"/>
  <c r="S3449"/>
  <c r="T3449"/>
  <c r="U3449"/>
  <c r="V3449"/>
  <c r="W3449"/>
  <c r="X3449"/>
  <c r="Y3449"/>
  <c r="AA3449"/>
  <c r="AB3449"/>
  <c r="AC3449"/>
  <c r="AD3449"/>
  <c r="P3450"/>
  <c r="Q3450"/>
  <c r="R3450"/>
  <c r="S3450"/>
  <c r="T3450"/>
  <c r="U3450"/>
  <c r="V3450"/>
  <c r="W3450"/>
  <c r="X3450"/>
  <c r="Y3450"/>
  <c r="AA3450"/>
  <c r="AB3450"/>
  <c r="AC3450"/>
  <c r="AD3450"/>
  <c r="P3451"/>
  <c r="Q3451"/>
  <c r="R3451"/>
  <c r="S3451"/>
  <c r="T3451"/>
  <c r="U3451"/>
  <c r="V3451"/>
  <c r="W3451"/>
  <c r="X3451"/>
  <c r="Y3451"/>
  <c r="AA3451"/>
  <c r="AB3451"/>
  <c r="AC3451"/>
  <c r="AD3451"/>
  <c r="P3452"/>
  <c r="Q3452"/>
  <c r="R3452"/>
  <c r="S3452"/>
  <c r="T3452"/>
  <c r="U3452"/>
  <c r="V3452"/>
  <c r="W3452"/>
  <c r="X3452"/>
  <c r="Y3452"/>
  <c r="AA3452"/>
  <c r="AB3452"/>
  <c r="AC3452"/>
  <c r="AD3452"/>
  <c r="P3453"/>
  <c r="Q3453"/>
  <c r="R3453"/>
  <c r="S3453"/>
  <c r="T3453"/>
  <c r="U3453"/>
  <c r="V3453"/>
  <c r="W3453"/>
  <c r="X3453"/>
  <c r="Y3453"/>
  <c r="AA3453"/>
  <c r="AB3453"/>
  <c r="AC3453"/>
  <c r="AD3453"/>
  <c r="P3454"/>
  <c r="Q3454"/>
  <c r="R3454"/>
  <c r="S3454"/>
  <c r="T3454"/>
  <c r="U3454"/>
  <c r="V3454"/>
  <c r="W3454"/>
  <c r="X3454"/>
  <c r="Y3454"/>
  <c r="AA3454"/>
  <c r="AB3454"/>
  <c r="AC3454"/>
  <c r="AD3454"/>
  <c r="P3455"/>
  <c r="Q3455"/>
  <c r="R3455"/>
  <c r="S3455"/>
  <c r="T3455"/>
  <c r="U3455"/>
  <c r="V3455"/>
  <c r="W3455"/>
  <c r="X3455"/>
  <c r="Y3455"/>
  <c r="AA3455"/>
  <c r="AB3455"/>
  <c r="AC3455"/>
  <c r="AD3455"/>
  <c r="P3456"/>
  <c r="Q3456"/>
  <c r="R3456"/>
  <c r="S3456"/>
  <c r="T3456"/>
  <c r="U3456"/>
  <c r="V3456"/>
  <c r="W3456"/>
  <c r="X3456"/>
  <c r="Y3456"/>
  <c r="AA3456"/>
  <c r="AB3456"/>
  <c r="AC3456"/>
  <c r="AD3456"/>
  <c r="P3457"/>
  <c r="Q3457"/>
  <c r="R3457"/>
  <c r="S3457"/>
  <c r="T3457"/>
  <c r="U3457"/>
  <c r="V3457"/>
  <c r="W3457"/>
  <c r="X3457"/>
  <c r="Y3457"/>
  <c r="AA3457"/>
  <c r="AB3457"/>
  <c r="AC3457"/>
  <c r="AD3457"/>
  <c r="P3458"/>
  <c r="Q3458"/>
  <c r="R3458"/>
  <c r="S3458"/>
  <c r="T3458"/>
  <c r="U3458"/>
  <c r="V3458"/>
  <c r="W3458"/>
  <c r="X3458"/>
  <c r="Y3458"/>
  <c r="AA3458"/>
  <c r="AB3458"/>
  <c r="AC3458"/>
  <c r="AD3458"/>
  <c r="P3459"/>
  <c r="Q3459"/>
  <c r="R3459"/>
  <c r="S3459"/>
  <c r="T3459"/>
  <c r="U3459"/>
  <c r="V3459"/>
  <c r="W3459"/>
  <c r="X3459"/>
  <c r="Y3459"/>
  <c r="AA3459"/>
  <c r="AB3459"/>
  <c r="AC3459"/>
  <c r="AD3459"/>
  <c r="P3460"/>
  <c r="Q3460"/>
  <c r="R3460"/>
  <c r="S3460"/>
  <c r="T3460"/>
  <c r="U3460"/>
  <c r="V3460"/>
  <c r="W3460"/>
  <c r="X3460"/>
  <c r="Y3460"/>
  <c r="AA3460"/>
  <c r="AB3460"/>
  <c r="AC3460"/>
  <c r="AD3460"/>
  <c r="P3461"/>
  <c r="Q3461"/>
  <c r="R3461"/>
  <c r="S3461"/>
  <c r="T3461"/>
  <c r="U3461"/>
  <c r="V3461"/>
  <c r="W3461"/>
  <c r="X3461"/>
  <c r="Y3461"/>
  <c r="AA3461"/>
  <c r="AB3461"/>
  <c r="AC3461"/>
  <c r="AD3461"/>
  <c r="P3462"/>
  <c r="Q3462"/>
  <c r="R3462"/>
  <c r="S3462"/>
  <c r="T3462"/>
  <c r="U3462"/>
  <c r="V3462"/>
  <c r="W3462"/>
  <c r="X3462"/>
  <c r="Y3462"/>
  <c r="AA3462"/>
  <c r="AB3462"/>
  <c r="AC3462"/>
  <c r="AD3462"/>
  <c r="P3463"/>
  <c r="Q3463"/>
  <c r="R3463"/>
  <c r="S3463"/>
  <c r="T3463"/>
  <c r="U3463"/>
  <c r="V3463"/>
  <c r="W3463"/>
  <c r="X3463"/>
  <c r="Y3463"/>
  <c r="AA3463"/>
  <c r="AB3463"/>
  <c r="AC3463"/>
  <c r="AD3463"/>
  <c r="P3464"/>
  <c r="Q3464"/>
  <c r="R3464"/>
  <c r="S3464"/>
  <c r="T3464"/>
  <c r="U3464"/>
  <c r="V3464"/>
  <c r="W3464"/>
  <c r="X3464"/>
  <c r="Y3464"/>
  <c r="AA3464"/>
  <c r="AB3464"/>
  <c r="AC3464"/>
  <c r="AD3464"/>
  <c r="P3465"/>
  <c r="Q3465"/>
  <c r="R3465"/>
  <c r="S3465"/>
  <c r="T3465"/>
  <c r="U3465"/>
  <c r="V3465"/>
  <c r="W3465"/>
  <c r="X3465"/>
  <c r="Y3465"/>
  <c r="AA3465"/>
  <c r="AB3465"/>
  <c r="AC3465"/>
  <c r="AD3465"/>
  <c r="P3466"/>
  <c r="Q3466"/>
  <c r="R3466"/>
  <c r="S3466"/>
  <c r="T3466"/>
  <c r="U3466"/>
  <c r="V3466"/>
  <c r="W3466"/>
  <c r="X3466"/>
  <c r="Y3466"/>
  <c r="AA3466"/>
  <c r="AB3466"/>
  <c r="AC3466"/>
  <c r="AD3466"/>
  <c r="P3467"/>
  <c r="Q3467"/>
  <c r="R3467"/>
  <c r="S3467"/>
  <c r="T3467"/>
  <c r="U3467"/>
  <c r="V3467"/>
  <c r="W3467"/>
  <c r="X3467"/>
  <c r="Y3467"/>
  <c r="AA3467"/>
  <c r="AB3467"/>
  <c r="AC3467"/>
  <c r="AD3467"/>
  <c r="P3468"/>
  <c r="Q3468"/>
  <c r="R3468"/>
  <c r="S3468"/>
  <c r="T3468"/>
  <c r="U3468"/>
  <c r="V3468"/>
  <c r="W3468"/>
  <c r="X3468"/>
  <c r="Y3468"/>
  <c r="AA3468"/>
  <c r="AB3468"/>
  <c r="AC3468"/>
  <c r="AD3468"/>
  <c r="P3469"/>
  <c r="Q3469"/>
  <c r="R3469"/>
  <c r="S3469"/>
  <c r="T3469"/>
  <c r="U3469"/>
  <c r="V3469"/>
  <c r="W3469"/>
  <c r="X3469"/>
  <c r="Y3469"/>
  <c r="AA3469"/>
  <c r="AB3469"/>
  <c r="AC3469"/>
  <c r="AD3469"/>
  <c r="P3470"/>
  <c r="Q3470"/>
  <c r="R3470"/>
  <c r="S3470"/>
  <c r="T3470"/>
  <c r="U3470"/>
  <c r="V3470"/>
  <c r="W3470"/>
  <c r="X3470"/>
  <c r="Y3470"/>
  <c r="AA3470"/>
  <c r="AB3470"/>
  <c r="AC3470"/>
  <c r="AD3470"/>
  <c r="P3471"/>
  <c r="Q3471"/>
  <c r="R3471"/>
  <c r="S3471"/>
  <c r="T3471"/>
  <c r="U3471"/>
  <c r="V3471"/>
  <c r="W3471"/>
  <c r="X3471"/>
  <c r="Y3471"/>
  <c r="AA3471"/>
  <c r="AB3471"/>
  <c r="AC3471"/>
  <c r="AD3471"/>
  <c r="P3472"/>
  <c r="Q3472"/>
  <c r="R3472"/>
  <c r="S3472"/>
  <c r="T3472"/>
  <c r="U3472"/>
  <c r="V3472"/>
  <c r="W3472"/>
  <c r="X3472"/>
  <c r="Y3472"/>
  <c r="AA3472"/>
  <c r="AB3472"/>
  <c r="AC3472"/>
  <c r="AD3472"/>
  <c r="P3473"/>
  <c r="Q3473"/>
  <c r="R3473"/>
  <c r="S3473"/>
  <c r="T3473"/>
  <c r="U3473"/>
  <c r="V3473"/>
  <c r="W3473"/>
  <c r="X3473"/>
  <c r="Y3473"/>
  <c r="AA3473"/>
  <c r="AB3473"/>
  <c r="AC3473"/>
  <c r="AD3473"/>
  <c r="P3474"/>
  <c r="Q3474"/>
  <c r="R3474"/>
  <c r="S3474"/>
  <c r="T3474"/>
  <c r="U3474"/>
  <c r="V3474"/>
  <c r="W3474"/>
  <c r="X3474"/>
  <c r="Y3474"/>
  <c r="AA3474"/>
  <c r="AB3474"/>
  <c r="AC3474"/>
  <c r="AD3474"/>
  <c r="P3475"/>
  <c r="Q3475"/>
  <c r="R3475"/>
  <c r="S3475"/>
  <c r="T3475"/>
  <c r="U3475"/>
  <c r="V3475"/>
  <c r="W3475"/>
  <c r="X3475"/>
  <c r="Y3475"/>
  <c r="AA3475"/>
  <c r="AB3475"/>
  <c r="AC3475"/>
  <c r="AD3475"/>
  <c r="P3476"/>
  <c r="Q3476"/>
  <c r="R3476"/>
  <c r="S3476"/>
  <c r="T3476"/>
  <c r="U3476"/>
  <c r="V3476"/>
  <c r="W3476"/>
  <c r="X3476"/>
  <c r="Y3476"/>
  <c r="AA3476"/>
  <c r="AB3476"/>
  <c r="AC3476"/>
  <c r="AD3476"/>
  <c r="P3477"/>
  <c r="Q3477"/>
  <c r="R3477"/>
  <c r="S3477"/>
  <c r="T3477"/>
  <c r="U3477"/>
  <c r="V3477"/>
  <c r="W3477"/>
  <c r="X3477"/>
  <c r="Y3477"/>
  <c r="AA3477"/>
  <c r="AB3477"/>
  <c r="AC3477"/>
  <c r="AD3477"/>
  <c r="P3478"/>
  <c r="Q3478"/>
  <c r="R3478"/>
  <c r="S3478"/>
  <c r="T3478"/>
  <c r="U3478"/>
  <c r="V3478"/>
  <c r="W3478"/>
  <c r="X3478"/>
  <c r="Y3478"/>
  <c r="AA3478"/>
  <c r="AB3478"/>
  <c r="AC3478"/>
  <c r="AD3478"/>
  <c r="P3479"/>
  <c r="Q3479"/>
  <c r="R3479"/>
  <c r="S3479"/>
  <c r="T3479"/>
  <c r="U3479"/>
  <c r="V3479"/>
  <c r="W3479"/>
  <c r="X3479"/>
  <c r="Y3479"/>
  <c r="AA3479"/>
  <c r="AB3479"/>
  <c r="AC3479"/>
  <c r="AD3479"/>
  <c r="P3480"/>
  <c r="Q3480"/>
  <c r="R3480"/>
  <c r="S3480"/>
  <c r="T3480"/>
  <c r="U3480"/>
  <c r="V3480"/>
  <c r="W3480"/>
  <c r="X3480"/>
  <c r="Y3480"/>
  <c r="AA3480"/>
  <c r="AB3480"/>
  <c r="AC3480"/>
  <c r="AD3480"/>
  <c r="P3481"/>
  <c r="Q3481"/>
  <c r="R3481"/>
  <c r="S3481"/>
  <c r="T3481"/>
  <c r="U3481"/>
  <c r="V3481"/>
  <c r="W3481"/>
  <c r="X3481"/>
  <c r="Y3481"/>
  <c r="AA3481"/>
  <c r="AB3481"/>
  <c r="AC3481"/>
  <c r="AD3481"/>
  <c r="P3482"/>
  <c r="Q3482"/>
  <c r="R3482"/>
  <c r="S3482"/>
  <c r="T3482"/>
  <c r="U3482"/>
  <c r="V3482"/>
  <c r="W3482"/>
  <c r="X3482"/>
  <c r="Y3482"/>
  <c r="AA3482"/>
  <c r="AB3482"/>
  <c r="AC3482"/>
  <c r="AD3482"/>
  <c r="P3483"/>
  <c r="Q3483"/>
  <c r="R3483"/>
  <c r="S3483"/>
  <c r="T3483"/>
  <c r="U3483"/>
  <c r="V3483"/>
  <c r="W3483"/>
  <c r="X3483"/>
  <c r="Y3483"/>
  <c r="AA3483"/>
  <c r="AB3483"/>
  <c r="AC3483"/>
  <c r="AD3483"/>
  <c r="P3484"/>
  <c r="Q3484"/>
  <c r="R3484"/>
  <c r="S3484"/>
  <c r="T3484"/>
  <c r="U3484"/>
  <c r="V3484"/>
  <c r="W3484"/>
  <c r="X3484"/>
  <c r="Y3484"/>
  <c r="AA3484"/>
  <c r="AB3484"/>
  <c r="AC3484"/>
  <c r="AD3484"/>
  <c r="P3485"/>
  <c r="Q3485"/>
  <c r="R3485"/>
  <c r="S3485"/>
  <c r="T3485"/>
  <c r="U3485"/>
  <c r="V3485"/>
  <c r="W3485"/>
  <c r="X3485"/>
  <c r="Y3485"/>
  <c r="AA3485"/>
  <c r="AB3485"/>
  <c r="AC3485"/>
  <c r="AD3485"/>
  <c r="P3486"/>
  <c r="Q3486"/>
  <c r="R3486"/>
  <c r="S3486"/>
  <c r="T3486"/>
  <c r="U3486"/>
  <c r="V3486"/>
  <c r="W3486"/>
  <c r="X3486"/>
  <c r="Y3486"/>
  <c r="AA3486"/>
  <c r="AB3486"/>
  <c r="AC3486"/>
  <c r="AD3486"/>
  <c r="P3487"/>
  <c r="Q3487"/>
  <c r="R3487"/>
  <c r="S3487"/>
  <c r="T3487"/>
  <c r="U3487"/>
  <c r="V3487"/>
  <c r="W3487"/>
  <c r="X3487"/>
  <c r="Y3487"/>
  <c r="AA3487"/>
  <c r="AB3487"/>
  <c r="AC3487"/>
  <c r="AD3487"/>
  <c r="P3488"/>
  <c r="Q3488"/>
  <c r="R3488"/>
  <c r="S3488"/>
  <c r="T3488"/>
  <c r="U3488"/>
  <c r="V3488"/>
  <c r="W3488"/>
  <c r="X3488"/>
  <c r="Y3488"/>
  <c r="AA3488"/>
  <c r="AB3488"/>
  <c r="AC3488"/>
  <c r="AD3488"/>
  <c r="P3489"/>
  <c r="Q3489"/>
  <c r="R3489"/>
  <c r="S3489"/>
  <c r="T3489"/>
  <c r="U3489"/>
  <c r="V3489"/>
  <c r="W3489"/>
  <c r="X3489"/>
  <c r="Y3489"/>
  <c r="AA3489"/>
  <c r="AB3489"/>
  <c r="AC3489"/>
  <c r="AD3489"/>
  <c r="P3490"/>
  <c r="Q3490"/>
  <c r="R3490"/>
  <c r="S3490"/>
  <c r="T3490"/>
  <c r="U3490"/>
  <c r="V3490"/>
  <c r="W3490"/>
  <c r="X3490"/>
  <c r="Y3490"/>
  <c r="AA3490"/>
  <c r="AB3490"/>
  <c r="AC3490"/>
  <c r="AD3490"/>
  <c r="P3491"/>
  <c r="Q3491"/>
  <c r="R3491"/>
  <c r="S3491"/>
  <c r="T3491"/>
  <c r="U3491"/>
  <c r="V3491"/>
  <c r="W3491"/>
  <c r="X3491"/>
  <c r="Y3491"/>
  <c r="AA3491"/>
  <c r="AB3491"/>
  <c r="AC3491"/>
  <c r="AD3491"/>
  <c r="P3492"/>
  <c r="Q3492"/>
  <c r="R3492"/>
  <c r="S3492"/>
  <c r="T3492"/>
  <c r="U3492"/>
  <c r="V3492"/>
  <c r="W3492"/>
  <c r="X3492"/>
  <c r="Y3492"/>
  <c r="AA3492"/>
  <c r="AB3492"/>
  <c r="AC3492"/>
  <c r="AD3492"/>
  <c r="P3493"/>
  <c r="Q3493"/>
  <c r="R3493"/>
  <c r="S3493"/>
  <c r="T3493"/>
  <c r="U3493"/>
  <c r="V3493"/>
  <c r="W3493"/>
  <c r="X3493"/>
  <c r="Y3493"/>
  <c r="AA3493"/>
  <c r="AB3493"/>
  <c r="AC3493"/>
  <c r="AD3493"/>
  <c r="P3494"/>
  <c r="Q3494"/>
  <c r="R3494"/>
  <c r="S3494"/>
  <c r="T3494"/>
  <c r="U3494"/>
  <c r="V3494"/>
  <c r="W3494"/>
  <c r="X3494"/>
  <c r="Y3494"/>
  <c r="AA3494"/>
  <c r="AB3494"/>
  <c r="AC3494"/>
  <c r="AD3494"/>
  <c r="P3495"/>
  <c r="Q3495"/>
  <c r="R3495"/>
  <c r="S3495"/>
  <c r="T3495"/>
  <c r="U3495"/>
  <c r="V3495"/>
  <c r="W3495"/>
  <c r="X3495"/>
  <c r="Y3495"/>
  <c r="AA3495"/>
  <c r="AB3495"/>
  <c r="AC3495"/>
  <c r="AD3495"/>
  <c r="P3496"/>
  <c r="Q3496"/>
  <c r="R3496"/>
  <c r="S3496"/>
  <c r="T3496"/>
  <c r="U3496"/>
  <c r="V3496"/>
  <c r="W3496"/>
  <c r="X3496"/>
  <c r="Y3496"/>
  <c r="AA3496"/>
  <c r="AB3496"/>
  <c r="AC3496"/>
  <c r="AD3496"/>
  <c r="P3497"/>
  <c r="Q3497"/>
  <c r="R3497"/>
  <c r="S3497"/>
  <c r="T3497"/>
  <c r="U3497"/>
  <c r="V3497"/>
  <c r="W3497"/>
  <c r="X3497"/>
  <c r="Y3497"/>
  <c r="AA3497"/>
  <c r="AB3497"/>
  <c r="AC3497"/>
  <c r="AD3497"/>
  <c r="P3498"/>
  <c r="Q3498"/>
  <c r="R3498"/>
  <c r="S3498"/>
  <c r="T3498"/>
  <c r="U3498"/>
  <c r="V3498"/>
  <c r="W3498"/>
  <c r="X3498"/>
  <c r="Y3498"/>
  <c r="AA3498"/>
  <c r="AB3498"/>
  <c r="AC3498"/>
  <c r="AD3498"/>
  <c r="P3499"/>
  <c r="Q3499"/>
  <c r="R3499"/>
  <c r="S3499"/>
  <c r="T3499"/>
  <c r="U3499"/>
  <c r="V3499"/>
  <c r="W3499"/>
  <c r="X3499"/>
  <c r="Y3499"/>
  <c r="AA3499"/>
  <c r="AB3499"/>
  <c r="AC3499"/>
  <c r="AD3499"/>
  <c r="P3500"/>
  <c r="Q3500"/>
  <c r="R3500"/>
  <c r="S3500"/>
  <c r="T3500"/>
  <c r="U3500"/>
  <c r="V3500"/>
  <c r="W3500"/>
  <c r="X3500"/>
  <c r="Y3500"/>
  <c r="AA3500"/>
  <c r="AB3500"/>
  <c r="AC3500"/>
  <c r="AD3500"/>
  <c r="P3501"/>
  <c r="Q3501"/>
  <c r="R3501"/>
  <c r="S3501"/>
  <c r="T3501"/>
  <c r="U3501"/>
  <c r="V3501"/>
  <c r="W3501"/>
  <c r="X3501"/>
  <c r="Y3501"/>
  <c r="AA3501"/>
  <c r="AB3501"/>
  <c r="AC3501"/>
  <c r="AD3501"/>
  <c r="P3502"/>
  <c r="Q3502"/>
  <c r="R3502"/>
  <c r="S3502"/>
  <c r="T3502"/>
  <c r="U3502"/>
  <c r="V3502"/>
  <c r="W3502"/>
  <c r="X3502"/>
  <c r="Y3502"/>
  <c r="AA3502"/>
  <c r="AB3502"/>
  <c r="AC3502"/>
  <c r="AD3502"/>
  <c r="P3503"/>
  <c r="Q3503"/>
  <c r="R3503"/>
  <c r="S3503"/>
  <c r="T3503"/>
  <c r="U3503"/>
  <c r="V3503"/>
  <c r="W3503"/>
  <c r="X3503"/>
  <c r="Y3503"/>
  <c r="AA3503"/>
  <c r="AB3503"/>
  <c r="AC3503"/>
  <c r="AD3503"/>
  <c r="P3504"/>
  <c r="Q3504"/>
  <c r="R3504"/>
  <c r="S3504"/>
  <c r="T3504"/>
  <c r="U3504"/>
  <c r="V3504"/>
  <c r="W3504"/>
  <c r="X3504"/>
  <c r="Y3504"/>
  <c r="AA3504"/>
  <c r="AB3504"/>
  <c r="AC3504"/>
  <c r="AD3504"/>
  <c r="P3505"/>
  <c r="Q3505"/>
  <c r="R3505"/>
  <c r="S3505"/>
  <c r="T3505"/>
  <c r="U3505"/>
  <c r="V3505"/>
  <c r="W3505"/>
  <c r="X3505"/>
  <c r="Y3505"/>
  <c r="AA3505"/>
  <c r="AB3505"/>
  <c r="AC3505"/>
  <c r="AD3505"/>
  <c r="P3506"/>
  <c r="Q3506"/>
  <c r="R3506"/>
  <c r="S3506"/>
  <c r="T3506"/>
  <c r="U3506"/>
  <c r="V3506"/>
  <c r="W3506"/>
  <c r="X3506"/>
  <c r="Y3506"/>
  <c r="AA3506"/>
  <c r="AB3506"/>
  <c r="AC3506"/>
  <c r="AD3506"/>
  <c r="P3507"/>
  <c r="Q3507"/>
  <c r="R3507"/>
  <c r="S3507"/>
  <c r="T3507"/>
  <c r="U3507"/>
  <c r="V3507"/>
  <c r="W3507"/>
  <c r="X3507"/>
  <c r="Y3507"/>
  <c r="AA3507"/>
  <c r="AB3507"/>
  <c r="AC3507"/>
  <c r="AD3507"/>
  <c r="P3508"/>
  <c r="Q3508"/>
  <c r="R3508"/>
  <c r="S3508"/>
  <c r="T3508"/>
  <c r="U3508"/>
  <c r="V3508"/>
  <c r="W3508"/>
  <c r="X3508"/>
  <c r="Y3508"/>
  <c r="AA3508"/>
  <c r="AB3508"/>
  <c r="AC3508"/>
  <c r="AD3508"/>
  <c r="P3509"/>
  <c r="Q3509"/>
  <c r="R3509"/>
  <c r="S3509"/>
  <c r="T3509"/>
  <c r="U3509"/>
  <c r="V3509"/>
  <c r="W3509"/>
  <c r="X3509"/>
  <c r="Y3509"/>
  <c r="AA3509"/>
  <c r="AB3509"/>
  <c r="AC3509"/>
  <c r="AD3509"/>
  <c r="P3510"/>
  <c r="Q3510"/>
  <c r="R3510"/>
  <c r="S3510"/>
  <c r="T3510"/>
  <c r="U3510"/>
  <c r="V3510"/>
  <c r="W3510"/>
  <c r="X3510"/>
  <c r="Y3510"/>
  <c r="AA3510"/>
  <c r="AB3510"/>
  <c r="AC3510"/>
  <c r="AD3510"/>
  <c r="P3511"/>
  <c r="Q3511"/>
  <c r="R3511"/>
  <c r="S3511"/>
  <c r="T3511"/>
  <c r="U3511"/>
  <c r="V3511"/>
  <c r="W3511"/>
  <c r="X3511"/>
  <c r="Y3511"/>
  <c r="AA3511"/>
  <c r="AB3511"/>
  <c r="AC3511"/>
  <c r="AD3511"/>
  <c r="P3512"/>
  <c r="Q3512"/>
  <c r="R3512"/>
  <c r="S3512"/>
  <c r="T3512"/>
  <c r="U3512"/>
  <c r="V3512"/>
  <c r="W3512"/>
  <c r="X3512"/>
  <c r="Y3512"/>
  <c r="AA3512"/>
  <c r="AB3512"/>
  <c r="AC3512"/>
  <c r="AD3512"/>
  <c r="P3513"/>
  <c r="Q3513"/>
  <c r="R3513"/>
  <c r="S3513"/>
  <c r="T3513"/>
  <c r="U3513"/>
  <c r="V3513"/>
  <c r="W3513"/>
  <c r="X3513"/>
  <c r="Y3513"/>
  <c r="AA3513"/>
  <c r="AB3513"/>
  <c r="AC3513"/>
  <c r="AD3513"/>
  <c r="P3514"/>
  <c r="Q3514"/>
  <c r="R3514"/>
  <c r="S3514"/>
  <c r="T3514"/>
  <c r="U3514"/>
  <c r="V3514"/>
  <c r="W3514"/>
  <c r="X3514"/>
  <c r="Y3514"/>
  <c r="AA3514"/>
  <c r="AB3514"/>
  <c r="AC3514"/>
  <c r="AD3514"/>
  <c r="P3515"/>
  <c r="Q3515"/>
  <c r="R3515"/>
  <c r="S3515"/>
  <c r="T3515"/>
  <c r="U3515"/>
  <c r="V3515"/>
  <c r="W3515"/>
  <c r="X3515"/>
  <c r="Y3515"/>
  <c r="AA3515"/>
  <c r="AB3515"/>
  <c r="AC3515"/>
  <c r="AD3515"/>
  <c r="P3516"/>
  <c r="Q3516"/>
  <c r="R3516"/>
  <c r="S3516"/>
  <c r="T3516"/>
  <c r="U3516"/>
  <c r="V3516"/>
  <c r="W3516"/>
  <c r="X3516"/>
  <c r="Y3516"/>
  <c r="AA3516"/>
  <c r="AB3516"/>
  <c r="AC3516"/>
  <c r="AD3516"/>
  <c r="P3517"/>
  <c r="Q3517"/>
  <c r="R3517"/>
  <c r="S3517"/>
  <c r="T3517"/>
  <c r="U3517"/>
  <c r="V3517"/>
  <c r="W3517"/>
  <c r="X3517"/>
  <c r="Y3517"/>
  <c r="AA3517"/>
  <c r="AB3517"/>
  <c r="AC3517"/>
  <c r="AD3517"/>
  <c r="P3518"/>
  <c r="Q3518"/>
  <c r="R3518"/>
  <c r="S3518"/>
  <c r="T3518"/>
  <c r="U3518"/>
  <c r="V3518"/>
  <c r="W3518"/>
  <c r="X3518"/>
  <c r="Y3518"/>
  <c r="AA3518"/>
  <c r="AB3518"/>
  <c r="AC3518"/>
  <c r="AD3518"/>
  <c r="P3519"/>
  <c r="Q3519"/>
  <c r="R3519"/>
  <c r="S3519"/>
  <c r="T3519"/>
  <c r="U3519"/>
  <c r="V3519"/>
  <c r="W3519"/>
  <c r="X3519"/>
  <c r="Y3519"/>
  <c r="AA3519"/>
  <c r="AB3519"/>
  <c r="AC3519"/>
  <c r="AD3519"/>
  <c r="P3520"/>
  <c r="Q3520"/>
  <c r="R3520"/>
  <c r="S3520"/>
  <c r="T3520"/>
  <c r="U3520"/>
  <c r="V3520"/>
  <c r="W3520"/>
  <c r="X3520"/>
  <c r="Y3520"/>
  <c r="AA3520"/>
  <c r="AB3520"/>
  <c r="AC3520"/>
  <c r="AD3520"/>
  <c r="P3521"/>
  <c r="Q3521"/>
  <c r="R3521"/>
  <c r="S3521"/>
  <c r="T3521"/>
  <c r="U3521"/>
  <c r="V3521"/>
  <c r="W3521"/>
  <c r="X3521"/>
  <c r="Y3521"/>
  <c r="AA3521"/>
  <c r="AB3521"/>
  <c r="AC3521"/>
  <c r="AD3521"/>
  <c r="P3522"/>
  <c r="Q3522"/>
  <c r="R3522"/>
  <c r="S3522"/>
  <c r="T3522"/>
  <c r="U3522"/>
  <c r="V3522"/>
  <c r="W3522"/>
  <c r="X3522"/>
  <c r="Y3522"/>
  <c r="AA3522"/>
  <c r="AB3522"/>
  <c r="AC3522"/>
  <c r="AD3522"/>
  <c r="P3523"/>
  <c r="Q3523"/>
  <c r="R3523"/>
  <c r="S3523"/>
  <c r="T3523"/>
  <c r="U3523"/>
  <c r="V3523"/>
  <c r="W3523"/>
  <c r="X3523"/>
  <c r="Y3523"/>
  <c r="AA3523"/>
  <c r="AB3523"/>
  <c r="AC3523"/>
  <c r="AD3523"/>
  <c r="P3524"/>
  <c r="Q3524"/>
  <c r="R3524"/>
  <c r="S3524"/>
  <c r="T3524"/>
  <c r="U3524"/>
  <c r="V3524"/>
  <c r="W3524"/>
  <c r="X3524"/>
  <c r="Y3524"/>
  <c r="AA3524"/>
  <c r="AB3524"/>
  <c r="AC3524"/>
  <c r="AD3524"/>
  <c r="P3525"/>
  <c r="Q3525"/>
  <c r="R3525"/>
  <c r="S3525"/>
  <c r="T3525"/>
  <c r="U3525"/>
  <c r="V3525"/>
  <c r="W3525"/>
  <c r="X3525"/>
  <c r="Y3525"/>
  <c r="AA3525"/>
  <c r="AB3525"/>
  <c r="AC3525"/>
  <c r="AD3525"/>
  <c r="P3526"/>
  <c r="Q3526"/>
  <c r="R3526"/>
  <c r="S3526"/>
  <c r="T3526"/>
  <c r="U3526"/>
  <c r="V3526"/>
  <c r="W3526"/>
  <c r="X3526"/>
  <c r="Y3526"/>
  <c r="AA3526"/>
  <c r="AB3526"/>
  <c r="AC3526"/>
  <c r="AD3526"/>
  <c r="P3527"/>
  <c r="Q3527"/>
  <c r="R3527"/>
  <c r="S3527"/>
  <c r="T3527"/>
  <c r="U3527"/>
  <c r="V3527"/>
  <c r="W3527"/>
  <c r="X3527"/>
  <c r="Y3527"/>
  <c r="AA3527"/>
  <c r="AB3527"/>
  <c r="AC3527"/>
  <c r="AD3527"/>
  <c r="P3528"/>
  <c r="Q3528"/>
  <c r="R3528"/>
  <c r="S3528"/>
  <c r="T3528"/>
  <c r="U3528"/>
  <c r="V3528"/>
  <c r="W3528"/>
  <c r="X3528"/>
  <c r="Y3528"/>
  <c r="AA3528"/>
  <c r="AB3528"/>
  <c r="AC3528"/>
  <c r="AD3528"/>
  <c r="P3529"/>
  <c r="Q3529"/>
  <c r="R3529"/>
  <c r="S3529"/>
  <c r="T3529"/>
  <c r="U3529"/>
  <c r="V3529"/>
  <c r="W3529"/>
  <c r="X3529"/>
  <c r="Y3529"/>
  <c r="AA3529"/>
  <c r="AB3529"/>
  <c r="AC3529"/>
  <c r="AD3529"/>
  <c r="P3530"/>
  <c r="Q3530"/>
  <c r="R3530"/>
  <c r="S3530"/>
  <c r="T3530"/>
  <c r="U3530"/>
  <c r="V3530"/>
  <c r="W3530"/>
  <c r="X3530"/>
  <c r="Y3530"/>
  <c r="AA3530"/>
  <c r="AB3530"/>
  <c r="AC3530"/>
  <c r="AD3530"/>
  <c r="P3531"/>
  <c r="Q3531"/>
  <c r="R3531"/>
  <c r="S3531"/>
  <c r="T3531"/>
  <c r="U3531"/>
  <c r="V3531"/>
  <c r="W3531"/>
  <c r="X3531"/>
  <c r="Y3531"/>
  <c r="AA3531"/>
  <c r="AB3531"/>
  <c r="AC3531"/>
  <c r="AD3531"/>
  <c r="P3532"/>
  <c r="Q3532"/>
  <c r="R3532"/>
  <c r="S3532"/>
  <c r="T3532"/>
  <c r="U3532"/>
  <c r="V3532"/>
  <c r="W3532"/>
  <c r="X3532"/>
  <c r="Y3532"/>
  <c r="AA3532"/>
  <c r="AB3532"/>
  <c r="AC3532"/>
  <c r="AD3532"/>
  <c r="P3533"/>
  <c r="Q3533"/>
  <c r="R3533"/>
  <c r="S3533"/>
  <c r="T3533"/>
  <c r="U3533"/>
  <c r="V3533"/>
  <c r="W3533"/>
  <c r="X3533"/>
  <c r="Y3533"/>
  <c r="AA3533"/>
  <c r="AB3533"/>
  <c r="AC3533"/>
  <c r="AD3533"/>
  <c r="P3534"/>
  <c r="Q3534"/>
  <c r="R3534"/>
  <c r="S3534"/>
  <c r="T3534"/>
  <c r="U3534"/>
  <c r="V3534"/>
  <c r="W3534"/>
  <c r="X3534"/>
  <c r="Y3534"/>
  <c r="AA3534"/>
  <c r="AB3534"/>
  <c r="AC3534"/>
  <c r="AD3534"/>
  <c r="P3535"/>
  <c r="Q3535"/>
  <c r="R3535"/>
  <c r="S3535"/>
  <c r="T3535"/>
  <c r="U3535"/>
  <c r="V3535"/>
  <c r="W3535"/>
  <c r="X3535"/>
  <c r="Y3535"/>
  <c r="AA3535"/>
  <c r="AB3535"/>
  <c r="AC3535"/>
  <c r="AD3535"/>
  <c r="P3536"/>
  <c r="Q3536"/>
  <c r="R3536"/>
  <c r="S3536"/>
  <c r="T3536"/>
  <c r="U3536"/>
  <c r="V3536"/>
  <c r="W3536"/>
  <c r="X3536"/>
  <c r="Y3536"/>
  <c r="AA3536"/>
  <c r="AB3536"/>
  <c r="AC3536"/>
  <c r="AD3536"/>
  <c r="P3537"/>
  <c r="Q3537"/>
  <c r="R3537"/>
  <c r="S3537"/>
  <c r="T3537"/>
  <c r="U3537"/>
  <c r="V3537"/>
  <c r="W3537"/>
  <c r="X3537"/>
  <c r="Y3537"/>
  <c r="AA3537"/>
  <c r="AB3537"/>
  <c r="AC3537"/>
  <c r="AD3537"/>
  <c r="P3538"/>
  <c r="Q3538"/>
  <c r="R3538"/>
  <c r="S3538"/>
  <c r="T3538"/>
  <c r="U3538"/>
  <c r="V3538"/>
  <c r="W3538"/>
  <c r="X3538"/>
  <c r="Y3538"/>
  <c r="AA3538"/>
  <c r="AB3538"/>
  <c r="AC3538"/>
  <c r="AD3538"/>
  <c r="P3539"/>
  <c r="Q3539"/>
  <c r="R3539"/>
  <c r="S3539"/>
  <c r="T3539"/>
  <c r="U3539"/>
  <c r="V3539"/>
  <c r="W3539"/>
  <c r="X3539"/>
  <c r="Y3539"/>
  <c r="AA3539"/>
  <c r="AB3539"/>
  <c r="AC3539"/>
  <c r="AD3539"/>
  <c r="P3540"/>
  <c r="Q3540"/>
  <c r="R3540"/>
  <c r="S3540"/>
  <c r="T3540"/>
  <c r="U3540"/>
  <c r="V3540"/>
  <c r="W3540"/>
  <c r="X3540"/>
  <c r="Y3540"/>
  <c r="AA3540"/>
  <c r="AB3540"/>
  <c r="AC3540"/>
  <c r="AD3540"/>
  <c r="P3541"/>
  <c r="Q3541"/>
  <c r="R3541"/>
  <c r="S3541"/>
  <c r="T3541"/>
  <c r="U3541"/>
  <c r="V3541"/>
  <c r="W3541"/>
  <c r="X3541"/>
  <c r="Y3541"/>
  <c r="AA3541"/>
  <c r="AB3541"/>
  <c r="AC3541"/>
  <c r="AD3541"/>
  <c r="P3542"/>
  <c r="Q3542"/>
  <c r="R3542"/>
  <c r="S3542"/>
  <c r="T3542"/>
  <c r="U3542"/>
  <c r="V3542"/>
  <c r="W3542"/>
  <c r="X3542"/>
  <c r="Y3542"/>
  <c r="AA3542"/>
  <c r="AB3542"/>
  <c r="AC3542"/>
  <c r="AD3542"/>
  <c r="P3543"/>
  <c r="Q3543"/>
  <c r="R3543"/>
  <c r="S3543"/>
  <c r="T3543"/>
  <c r="U3543"/>
  <c r="V3543"/>
  <c r="W3543"/>
  <c r="X3543"/>
  <c r="Y3543"/>
  <c r="AA3543"/>
  <c r="AB3543"/>
  <c r="AC3543"/>
  <c r="AD3543"/>
  <c r="P3544"/>
  <c r="Q3544"/>
  <c r="R3544"/>
  <c r="S3544"/>
  <c r="T3544"/>
  <c r="U3544"/>
  <c r="V3544"/>
  <c r="W3544"/>
  <c r="X3544"/>
  <c r="Y3544"/>
  <c r="AA3544"/>
  <c r="AB3544"/>
  <c r="AC3544"/>
  <c r="AD3544"/>
  <c r="P3545"/>
  <c r="Q3545"/>
  <c r="R3545"/>
  <c r="S3545"/>
  <c r="T3545"/>
  <c r="U3545"/>
  <c r="V3545"/>
  <c r="W3545"/>
  <c r="X3545"/>
  <c r="Y3545"/>
  <c r="AA3545"/>
  <c r="AB3545"/>
  <c r="AC3545"/>
  <c r="AD3545"/>
  <c r="P3546"/>
  <c r="Q3546"/>
  <c r="R3546"/>
  <c r="S3546"/>
  <c r="T3546"/>
  <c r="U3546"/>
  <c r="V3546"/>
  <c r="W3546"/>
  <c r="X3546"/>
  <c r="Y3546"/>
  <c r="AA3546"/>
  <c r="AB3546"/>
  <c r="AC3546"/>
  <c r="AD3546"/>
  <c r="P3547"/>
  <c r="Q3547"/>
  <c r="R3547"/>
  <c r="S3547"/>
  <c r="T3547"/>
  <c r="U3547"/>
  <c r="V3547"/>
  <c r="W3547"/>
  <c r="X3547"/>
  <c r="Y3547"/>
  <c r="AA3547"/>
  <c r="AB3547"/>
  <c r="AC3547"/>
  <c r="AD3547"/>
  <c r="P3548"/>
  <c r="Q3548"/>
  <c r="R3548"/>
  <c r="S3548"/>
  <c r="T3548"/>
  <c r="U3548"/>
  <c r="V3548"/>
  <c r="W3548"/>
  <c r="X3548"/>
  <c r="Y3548"/>
  <c r="AA3548"/>
  <c r="AB3548"/>
  <c r="AC3548"/>
  <c r="AD3548"/>
  <c r="P3549"/>
  <c r="Q3549"/>
  <c r="R3549"/>
  <c r="S3549"/>
  <c r="T3549"/>
  <c r="U3549"/>
  <c r="V3549"/>
  <c r="W3549"/>
  <c r="X3549"/>
  <c r="Y3549"/>
  <c r="AA3549"/>
  <c r="AB3549"/>
  <c r="AC3549"/>
  <c r="AD3549"/>
  <c r="P3550"/>
  <c r="Q3550"/>
  <c r="R3550"/>
  <c r="S3550"/>
  <c r="T3550"/>
  <c r="U3550"/>
  <c r="V3550"/>
  <c r="W3550"/>
  <c r="X3550"/>
  <c r="Y3550"/>
  <c r="AA3550"/>
  <c r="AB3550"/>
  <c r="AC3550"/>
  <c r="AD3550"/>
  <c r="P3551"/>
  <c r="Q3551"/>
  <c r="R3551"/>
  <c r="S3551"/>
  <c r="T3551"/>
  <c r="U3551"/>
  <c r="V3551"/>
  <c r="W3551"/>
  <c r="X3551"/>
  <c r="Y3551"/>
  <c r="AA3551"/>
  <c r="AB3551"/>
  <c r="AC3551"/>
  <c r="AD3551"/>
  <c r="P3552"/>
  <c r="Q3552"/>
  <c r="R3552"/>
  <c r="S3552"/>
  <c r="T3552"/>
  <c r="U3552"/>
  <c r="V3552"/>
  <c r="W3552"/>
  <c r="X3552"/>
  <c r="Y3552"/>
  <c r="AA3552"/>
  <c r="AB3552"/>
  <c r="AC3552"/>
  <c r="AD3552"/>
  <c r="P3553"/>
  <c r="Q3553"/>
  <c r="R3553"/>
  <c r="S3553"/>
  <c r="T3553"/>
  <c r="U3553"/>
  <c r="V3553"/>
  <c r="W3553"/>
  <c r="X3553"/>
  <c r="Y3553"/>
  <c r="AA3553"/>
  <c r="AB3553"/>
  <c r="AC3553"/>
  <c r="AD3553"/>
  <c r="P3554"/>
  <c r="Q3554"/>
  <c r="R3554"/>
  <c r="S3554"/>
  <c r="T3554"/>
  <c r="U3554"/>
  <c r="V3554"/>
  <c r="W3554"/>
  <c r="X3554"/>
  <c r="Y3554"/>
  <c r="AA3554"/>
  <c r="AB3554"/>
  <c r="AC3554"/>
  <c r="AD3554"/>
  <c r="P3555"/>
  <c r="Q3555"/>
  <c r="R3555"/>
  <c r="S3555"/>
  <c r="T3555"/>
  <c r="U3555"/>
  <c r="V3555"/>
  <c r="W3555"/>
  <c r="X3555"/>
  <c r="Y3555"/>
  <c r="AA3555"/>
  <c r="AB3555"/>
  <c r="AC3555"/>
  <c r="AD3555"/>
  <c r="P3556"/>
  <c r="Q3556"/>
  <c r="R3556"/>
  <c r="S3556"/>
  <c r="T3556"/>
  <c r="U3556"/>
  <c r="V3556"/>
  <c r="W3556"/>
  <c r="X3556"/>
  <c r="Y3556"/>
  <c r="AA3556"/>
  <c r="AB3556"/>
  <c r="AC3556"/>
  <c r="AD3556"/>
  <c r="P3557"/>
  <c r="Q3557"/>
  <c r="R3557"/>
  <c r="S3557"/>
  <c r="T3557"/>
  <c r="U3557"/>
  <c r="V3557"/>
  <c r="W3557"/>
  <c r="X3557"/>
  <c r="Y3557"/>
  <c r="AA3557"/>
  <c r="AB3557"/>
  <c r="AC3557"/>
  <c r="AD3557"/>
  <c r="P3558"/>
  <c r="Q3558"/>
  <c r="R3558"/>
  <c r="S3558"/>
  <c r="T3558"/>
  <c r="U3558"/>
  <c r="V3558"/>
  <c r="W3558"/>
  <c r="X3558"/>
  <c r="Y3558"/>
  <c r="AA3558"/>
  <c r="AB3558"/>
  <c r="AC3558"/>
  <c r="AD3558"/>
  <c r="P3559"/>
  <c r="Q3559"/>
  <c r="R3559"/>
  <c r="S3559"/>
  <c r="T3559"/>
  <c r="U3559"/>
  <c r="V3559"/>
  <c r="W3559"/>
  <c r="X3559"/>
  <c r="Y3559"/>
  <c r="AA3559"/>
  <c r="AB3559"/>
  <c r="AC3559"/>
  <c r="AD3559"/>
  <c r="P3560"/>
  <c r="Q3560"/>
  <c r="R3560"/>
  <c r="S3560"/>
  <c r="T3560"/>
  <c r="U3560"/>
  <c r="V3560"/>
  <c r="W3560"/>
  <c r="X3560"/>
  <c r="Y3560"/>
  <c r="AA3560"/>
  <c r="AB3560"/>
  <c r="AC3560"/>
  <c r="AD3560"/>
  <c r="P3561"/>
  <c r="Q3561"/>
  <c r="R3561"/>
  <c r="S3561"/>
  <c r="T3561"/>
  <c r="U3561"/>
  <c r="V3561"/>
  <c r="W3561"/>
  <c r="X3561"/>
  <c r="Y3561"/>
  <c r="AA3561"/>
  <c r="AB3561"/>
  <c r="AC3561"/>
  <c r="AD3561"/>
  <c r="P3562"/>
  <c r="Q3562"/>
  <c r="R3562"/>
  <c r="S3562"/>
  <c r="T3562"/>
  <c r="U3562"/>
  <c r="V3562"/>
  <c r="W3562"/>
  <c r="X3562"/>
  <c r="Y3562"/>
  <c r="AA3562"/>
  <c r="AB3562"/>
  <c r="AC3562"/>
  <c r="AD3562"/>
  <c r="P3563"/>
  <c r="Q3563"/>
  <c r="R3563"/>
  <c r="S3563"/>
  <c r="T3563"/>
  <c r="U3563"/>
  <c r="V3563"/>
  <c r="W3563"/>
  <c r="X3563"/>
  <c r="Y3563"/>
  <c r="AA3563"/>
  <c r="AB3563"/>
  <c r="AC3563"/>
  <c r="AD3563"/>
  <c r="P3564"/>
  <c r="Q3564"/>
  <c r="R3564"/>
  <c r="S3564"/>
  <c r="T3564"/>
  <c r="U3564"/>
  <c r="V3564"/>
  <c r="W3564"/>
  <c r="X3564"/>
  <c r="Y3564"/>
  <c r="AA3564"/>
  <c r="AB3564"/>
  <c r="AC3564"/>
  <c r="AD3564"/>
  <c r="P3565"/>
  <c r="Q3565"/>
  <c r="R3565"/>
  <c r="S3565"/>
  <c r="T3565"/>
  <c r="U3565"/>
  <c r="V3565"/>
  <c r="W3565"/>
  <c r="X3565"/>
  <c r="Y3565"/>
  <c r="AA3565"/>
  <c r="AB3565"/>
  <c r="AC3565"/>
  <c r="AD3565"/>
  <c r="P3566"/>
  <c r="Q3566"/>
  <c r="R3566"/>
  <c r="S3566"/>
  <c r="T3566"/>
  <c r="U3566"/>
  <c r="V3566"/>
  <c r="W3566"/>
  <c r="X3566"/>
  <c r="Y3566"/>
  <c r="AA3566"/>
  <c r="AB3566"/>
  <c r="AC3566"/>
  <c r="AD3566"/>
  <c r="P3567"/>
  <c r="Q3567"/>
  <c r="R3567"/>
  <c r="S3567"/>
  <c r="T3567"/>
  <c r="U3567"/>
  <c r="V3567"/>
  <c r="W3567"/>
  <c r="X3567"/>
  <c r="Y3567"/>
  <c r="AA3567"/>
  <c r="AB3567"/>
  <c r="AC3567"/>
  <c r="AD3567"/>
  <c r="P3568"/>
  <c r="Q3568"/>
  <c r="R3568"/>
  <c r="S3568"/>
  <c r="T3568"/>
  <c r="U3568"/>
  <c r="V3568"/>
  <c r="W3568"/>
  <c r="X3568"/>
  <c r="Y3568"/>
  <c r="AA3568"/>
  <c r="AB3568"/>
  <c r="AC3568"/>
  <c r="AD3568"/>
  <c r="P3569"/>
  <c r="Q3569"/>
  <c r="R3569"/>
  <c r="S3569"/>
  <c r="T3569"/>
  <c r="U3569"/>
  <c r="V3569"/>
  <c r="W3569"/>
  <c r="X3569"/>
  <c r="Y3569"/>
  <c r="AA3569"/>
  <c r="AB3569"/>
  <c r="AC3569"/>
  <c r="AD3569"/>
  <c r="P3570"/>
  <c r="Q3570"/>
  <c r="R3570"/>
  <c r="S3570"/>
  <c r="T3570"/>
  <c r="U3570"/>
  <c r="V3570"/>
  <c r="W3570"/>
  <c r="X3570"/>
  <c r="Y3570"/>
  <c r="AA3570"/>
  <c r="AB3570"/>
  <c r="AC3570"/>
  <c r="AD3570"/>
  <c r="P3571"/>
  <c r="Q3571"/>
  <c r="R3571"/>
  <c r="S3571"/>
  <c r="T3571"/>
  <c r="U3571"/>
  <c r="V3571"/>
  <c r="W3571"/>
  <c r="X3571"/>
  <c r="Y3571"/>
  <c r="AA3571"/>
  <c r="AB3571"/>
  <c r="AC3571"/>
  <c r="AD3571"/>
  <c r="P3572"/>
  <c r="Q3572"/>
  <c r="R3572"/>
  <c r="S3572"/>
  <c r="T3572"/>
  <c r="U3572"/>
  <c r="V3572"/>
  <c r="W3572"/>
  <c r="X3572"/>
  <c r="Y3572"/>
  <c r="AA3572"/>
  <c r="AB3572"/>
  <c r="AC3572"/>
  <c r="AD3572"/>
  <c r="P3573"/>
  <c r="Q3573"/>
  <c r="R3573"/>
  <c r="S3573"/>
  <c r="T3573"/>
  <c r="U3573"/>
  <c r="V3573"/>
  <c r="W3573"/>
  <c r="X3573"/>
  <c r="Y3573"/>
  <c r="AA3573"/>
  <c r="AB3573"/>
  <c r="AC3573"/>
  <c r="AD3573"/>
  <c r="P3574"/>
  <c r="Q3574"/>
  <c r="R3574"/>
  <c r="S3574"/>
  <c r="T3574"/>
  <c r="U3574"/>
  <c r="V3574"/>
  <c r="W3574"/>
  <c r="X3574"/>
  <c r="Y3574"/>
  <c r="AA3574"/>
  <c r="AB3574"/>
  <c r="AC3574"/>
  <c r="AD3574"/>
  <c r="P3575"/>
  <c r="Q3575"/>
  <c r="R3575"/>
  <c r="S3575"/>
  <c r="T3575"/>
  <c r="U3575"/>
  <c r="V3575"/>
  <c r="W3575"/>
  <c r="X3575"/>
  <c r="Y3575"/>
  <c r="AA3575"/>
  <c r="AB3575"/>
  <c r="AC3575"/>
  <c r="AD3575"/>
  <c r="P3576"/>
  <c r="Q3576"/>
  <c r="R3576"/>
  <c r="S3576"/>
  <c r="T3576"/>
  <c r="U3576"/>
  <c r="V3576"/>
  <c r="W3576"/>
  <c r="X3576"/>
  <c r="Y3576"/>
  <c r="AA3576"/>
  <c r="AB3576"/>
  <c r="AC3576"/>
  <c r="AD3576"/>
  <c r="P3577"/>
  <c r="Q3577"/>
  <c r="R3577"/>
  <c r="S3577"/>
  <c r="T3577"/>
  <c r="U3577"/>
  <c r="V3577"/>
  <c r="W3577"/>
  <c r="X3577"/>
  <c r="Y3577"/>
  <c r="AA3577"/>
  <c r="AB3577"/>
  <c r="AC3577"/>
  <c r="AD3577"/>
  <c r="P3578"/>
  <c r="Q3578"/>
  <c r="R3578"/>
  <c r="S3578"/>
  <c r="T3578"/>
  <c r="U3578"/>
  <c r="V3578"/>
  <c r="W3578"/>
  <c r="X3578"/>
  <c r="Y3578"/>
  <c r="AA3578"/>
  <c r="AB3578"/>
  <c r="AC3578"/>
  <c r="AD3578"/>
  <c r="P3579"/>
  <c r="Q3579"/>
  <c r="R3579"/>
  <c r="S3579"/>
  <c r="T3579"/>
  <c r="U3579"/>
  <c r="V3579"/>
  <c r="W3579"/>
  <c r="X3579"/>
  <c r="Y3579"/>
  <c r="AA3579"/>
  <c r="AB3579"/>
  <c r="AC3579"/>
  <c r="AD3579"/>
  <c r="P3580"/>
  <c r="Q3580"/>
  <c r="R3580"/>
  <c r="S3580"/>
  <c r="T3580"/>
  <c r="U3580"/>
  <c r="V3580"/>
  <c r="W3580"/>
  <c r="X3580"/>
  <c r="Y3580"/>
  <c r="AA3580"/>
  <c r="AB3580"/>
  <c r="AC3580"/>
  <c r="AD3580"/>
  <c r="P3581"/>
  <c r="Q3581"/>
  <c r="R3581"/>
  <c r="S3581"/>
  <c r="T3581"/>
  <c r="U3581"/>
  <c r="V3581"/>
  <c r="W3581"/>
  <c r="X3581"/>
  <c r="Y3581"/>
  <c r="AA3581"/>
  <c r="AB3581"/>
  <c r="AC3581"/>
  <c r="AD3581"/>
  <c r="P3582"/>
  <c r="Q3582"/>
  <c r="R3582"/>
  <c r="S3582"/>
  <c r="T3582"/>
  <c r="U3582"/>
  <c r="V3582"/>
  <c r="W3582"/>
  <c r="X3582"/>
  <c r="Y3582"/>
  <c r="AA3582"/>
  <c r="AB3582"/>
  <c r="AC3582"/>
  <c r="AD3582"/>
  <c r="P3583"/>
  <c r="Q3583"/>
  <c r="R3583"/>
  <c r="S3583"/>
  <c r="T3583"/>
  <c r="U3583"/>
  <c r="V3583"/>
  <c r="W3583"/>
  <c r="X3583"/>
  <c r="Y3583"/>
  <c r="AA3583"/>
  <c r="AB3583"/>
  <c r="AC3583"/>
  <c r="AD3583"/>
  <c r="P3584"/>
  <c r="Q3584"/>
  <c r="R3584"/>
  <c r="S3584"/>
  <c r="T3584"/>
  <c r="U3584"/>
  <c r="V3584"/>
  <c r="W3584"/>
  <c r="X3584"/>
  <c r="Y3584"/>
  <c r="AA3584"/>
  <c r="AB3584"/>
  <c r="AC3584"/>
  <c r="AD3584"/>
  <c r="P3585"/>
  <c r="Q3585"/>
  <c r="R3585"/>
  <c r="S3585"/>
  <c r="T3585"/>
  <c r="U3585"/>
  <c r="V3585"/>
  <c r="W3585"/>
  <c r="X3585"/>
  <c r="Y3585"/>
  <c r="AA3585"/>
  <c r="AB3585"/>
  <c r="AC3585"/>
  <c r="AD3585"/>
  <c r="P3586"/>
  <c r="Q3586"/>
  <c r="R3586"/>
  <c r="S3586"/>
  <c r="T3586"/>
  <c r="U3586"/>
  <c r="V3586"/>
  <c r="W3586"/>
  <c r="X3586"/>
  <c r="Y3586"/>
  <c r="AA3586"/>
  <c r="AB3586"/>
  <c r="AC3586"/>
  <c r="AD3586"/>
  <c r="P3587"/>
  <c r="Q3587"/>
  <c r="R3587"/>
  <c r="S3587"/>
  <c r="T3587"/>
  <c r="U3587"/>
  <c r="V3587"/>
  <c r="W3587"/>
  <c r="X3587"/>
  <c r="Y3587"/>
  <c r="AA3587"/>
  <c r="AB3587"/>
  <c r="AC3587"/>
  <c r="AD3587"/>
  <c r="P3588"/>
  <c r="Q3588"/>
  <c r="R3588"/>
  <c r="S3588"/>
  <c r="T3588"/>
  <c r="U3588"/>
  <c r="V3588"/>
  <c r="W3588"/>
  <c r="X3588"/>
  <c r="Y3588"/>
  <c r="AA3588"/>
  <c r="AB3588"/>
  <c r="AC3588"/>
  <c r="AD3588"/>
  <c r="P3589"/>
  <c r="Q3589"/>
  <c r="R3589"/>
  <c r="S3589"/>
  <c r="T3589"/>
  <c r="U3589"/>
  <c r="V3589"/>
  <c r="W3589"/>
  <c r="X3589"/>
  <c r="Y3589"/>
  <c r="AA3589"/>
  <c r="AB3589"/>
  <c r="AC3589"/>
  <c r="AD3589"/>
  <c r="P3590"/>
  <c r="Q3590"/>
  <c r="R3590"/>
  <c r="S3590"/>
  <c r="T3590"/>
  <c r="U3590"/>
  <c r="V3590"/>
  <c r="W3590"/>
  <c r="X3590"/>
  <c r="Y3590"/>
  <c r="AA3590"/>
  <c r="AB3590"/>
  <c r="AC3590"/>
  <c r="AD3590"/>
  <c r="P3591"/>
  <c r="Q3591"/>
  <c r="R3591"/>
  <c r="S3591"/>
  <c r="T3591"/>
  <c r="U3591"/>
  <c r="V3591"/>
  <c r="W3591"/>
  <c r="X3591"/>
  <c r="Y3591"/>
  <c r="AA3591"/>
  <c r="AB3591"/>
  <c r="AC3591"/>
  <c r="AD3591"/>
  <c r="P3592"/>
  <c r="Q3592"/>
  <c r="R3592"/>
  <c r="S3592"/>
  <c r="T3592"/>
  <c r="U3592"/>
  <c r="V3592"/>
  <c r="W3592"/>
  <c r="X3592"/>
  <c r="Y3592"/>
  <c r="AA3592"/>
  <c r="AB3592"/>
  <c r="AC3592"/>
  <c r="AD3592"/>
  <c r="P3593"/>
  <c r="Q3593"/>
  <c r="R3593"/>
  <c r="S3593"/>
  <c r="T3593"/>
  <c r="U3593"/>
  <c r="V3593"/>
  <c r="W3593"/>
  <c r="X3593"/>
  <c r="Y3593"/>
  <c r="AA3593"/>
  <c r="AB3593"/>
  <c r="AC3593"/>
  <c r="AD3593"/>
  <c r="P3594"/>
  <c r="Q3594"/>
  <c r="R3594"/>
  <c r="S3594"/>
  <c r="T3594"/>
  <c r="U3594"/>
  <c r="V3594"/>
  <c r="W3594"/>
  <c r="X3594"/>
  <c r="Y3594"/>
  <c r="AA3594"/>
  <c r="AB3594"/>
  <c r="AC3594"/>
  <c r="AD3594"/>
  <c r="P3595"/>
  <c r="Q3595"/>
  <c r="R3595"/>
  <c r="S3595"/>
  <c r="T3595"/>
  <c r="U3595"/>
  <c r="V3595"/>
  <c r="W3595"/>
  <c r="X3595"/>
  <c r="Y3595"/>
  <c r="AA3595"/>
  <c r="AB3595"/>
  <c r="AC3595"/>
  <c r="AD3595"/>
  <c r="P3596"/>
  <c r="Q3596"/>
  <c r="R3596"/>
  <c r="S3596"/>
  <c r="T3596"/>
  <c r="U3596"/>
  <c r="V3596"/>
  <c r="W3596"/>
  <c r="X3596"/>
  <c r="Y3596"/>
  <c r="AA3596"/>
  <c r="AB3596"/>
  <c r="AC3596"/>
  <c r="AD3596"/>
  <c r="P3597"/>
  <c r="Q3597"/>
  <c r="R3597"/>
  <c r="S3597"/>
  <c r="T3597"/>
  <c r="U3597"/>
  <c r="V3597"/>
  <c r="W3597"/>
  <c r="X3597"/>
  <c r="Y3597"/>
  <c r="AA3597"/>
  <c r="AB3597"/>
  <c r="AC3597"/>
  <c r="AD3597"/>
  <c r="P3598"/>
  <c r="Q3598"/>
  <c r="R3598"/>
  <c r="S3598"/>
  <c r="T3598"/>
  <c r="U3598"/>
  <c r="V3598"/>
  <c r="W3598"/>
  <c r="X3598"/>
  <c r="Y3598"/>
  <c r="AA3598"/>
  <c r="AB3598"/>
  <c r="AC3598"/>
  <c r="AD3598"/>
  <c r="P3599"/>
  <c r="Q3599"/>
  <c r="R3599"/>
  <c r="S3599"/>
  <c r="T3599"/>
  <c r="U3599"/>
  <c r="V3599"/>
  <c r="W3599"/>
  <c r="X3599"/>
  <c r="Y3599"/>
  <c r="AA3599"/>
  <c r="AB3599"/>
  <c r="AC3599"/>
  <c r="AD3599"/>
  <c r="P3600"/>
  <c r="Q3600"/>
  <c r="R3600"/>
  <c r="S3600"/>
  <c r="T3600"/>
  <c r="U3600"/>
  <c r="V3600"/>
  <c r="W3600"/>
  <c r="X3600"/>
  <c r="Y3600"/>
  <c r="AA3600"/>
  <c r="AB3600"/>
  <c r="AC3600"/>
  <c r="AD3600"/>
  <c r="P3601"/>
  <c r="Q3601"/>
  <c r="R3601"/>
  <c r="S3601"/>
  <c r="T3601"/>
  <c r="U3601"/>
  <c r="V3601"/>
  <c r="W3601"/>
  <c r="X3601"/>
  <c r="Y3601"/>
  <c r="AA3601"/>
  <c r="AB3601"/>
  <c r="AC3601"/>
  <c r="AD3601"/>
  <c r="P3602"/>
  <c r="Q3602"/>
  <c r="R3602"/>
  <c r="S3602"/>
  <c r="T3602"/>
  <c r="U3602"/>
  <c r="V3602"/>
  <c r="W3602"/>
  <c r="X3602"/>
  <c r="Y3602"/>
  <c r="AA3602"/>
  <c r="AB3602"/>
  <c r="AC3602"/>
  <c r="AD3602"/>
  <c r="P3603"/>
  <c r="Q3603"/>
  <c r="R3603"/>
  <c r="S3603"/>
  <c r="T3603"/>
  <c r="U3603"/>
  <c r="V3603"/>
  <c r="W3603"/>
  <c r="X3603"/>
  <c r="Y3603"/>
  <c r="AA3603"/>
  <c r="AB3603"/>
  <c r="AC3603"/>
  <c r="AD3603"/>
  <c r="P3604"/>
  <c r="Q3604"/>
  <c r="R3604"/>
  <c r="S3604"/>
  <c r="T3604"/>
  <c r="U3604"/>
  <c r="V3604"/>
  <c r="W3604"/>
  <c r="X3604"/>
  <c r="Y3604"/>
  <c r="AA3604"/>
  <c r="AB3604"/>
  <c r="AC3604"/>
  <c r="AD3604"/>
  <c r="P3605"/>
  <c r="Q3605"/>
  <c r="R3605"/>
  <c r="S3605"/>
  <c r="T3605"/>
  <c r="U3605"/>
  <c r="V3605"/>
  <c r="W3605"/>
  <c r="X3605"/>
  <c r="Y3605"/>
  <c r="AA3605"/>
  <c r="AB3605"/>
  <c r="AC3605"/>
  <c r="AD3605"/>
  <c r="P3606"/>
  <c r="Q3606"/>
  <c r="R3606"/>
  <c r="S3606"/>
  <c r="T3606"/>
  <c r="U3606"/>
  <c r="V3606"/>
  <c r="W3606"/>
  <c r="X3606"/>
  <c r="Y3606"/>
  <c r="AA3606"/>
  <c r="AB3606"/>
  <c r="AC3606"/>
  <c r="AD3606"/>
  <c r="P3607"/>
  <c r="Q3607"/>
  <c r="R3607"/>
  <c r="S3607"/>
  <c r="T3607"/>
  <c r="U3607"/>
  <c r="V3607"/>
  <c r="W3607"/>
  <c r="X3607"/>
  <c r="Y3607"/>
  <c r="AA3607"/>
  <c r="AB3607"/>
  <c r="AC3607"/>
  <c r="AD3607"/>
  <c r="P3608"/>
  <c r="Q3608"/>
  <c r="R3608"/>
  <c r="S3608"/>
  <c r="T3608"/>
  <c r="U3608"/>
  <c r="V3608"/>
  <c r="W3608"/>
  <c r="X3608"/>
  <c r="Y3608"/>
  <c r="AA3608"/>
  <c r="AB3608"/>
  <c r="AC3608"/>
  <c r="AD3608"/>
  <c r="P3609"/>
  <c r="Q3609"/>
  <c r="R3609"/>
  <c r="S3609"/>
  <c r="T3609"/>
  <c r="U3609"/>
  <c r="V3609"/>
  <c r="W3609"/>
  <c r="X3609"/>
  <c r="Y3609"/>
  <c r="AA3609"/>
  <c r="AB3609"/>
  <c r="AC3609"/>
  <c r="AD3609"/>
  <c r="P3610"/>
  <c r="Q3610"/>
  <c r="R3610"/>
  <c r="S3610"/>
  <c r="T3610"/>
  <c r="U3610"/>
  <c r="V3610"/>
  <c r="W3610"/>
  <c r="X3610"/>
  <c r="Y3610"/>
  <c r="AA3610"/>
  <c r="AB3610"/>
  <c r="AC3610"/>
  <c r="AD3610"/>
  <c r="P3611"/>
  <c r="Q3611"/>
  <c r="R3611"/>
  <c r="S3611"/>
  <c r="T3611"/>
  <c r="U3611"/>
  <c r="V3611"/>
  <c r="W3611"/>
  <c r="X3611"/>
  <c r="Y3611"/>
  <c r="AA3611"/>
  <c r="AB3611"/>
  <c r="AC3611"/>
  <c r="AD3611"/>
  <c r="P3612"/>
  <c r="Q3612"/>
  <c r="R3612"/>
  <c r="S3612"/>
  <c r="T3612"/>
  <c r="U3612"/>
  <c r="V3612"/>
  <c r="W3612"/>
  <c r="X3612"/>
  <c r="Y3612"/>
  <c r="AA3612"/>
  <c r="AB3612"/>
  <c r="AC3612"/>
  <c r="AD3612"/>
  <c r="P3613"/>
  <c r="Q3613"/>
  <c r="R3613"/>
  <c r="S3613"/>
  <c r="T3613"/>
  <c r="U3613"/>
  <c r="V3613"/>
  <c r="W3613"/>
  <c r="X3613"/>
  <c r="Y3613"/>
  <c r="AA3613"/>
  <c r="AB3613"/>
  <c r="AC3613"/>
  <c r="AD3613"/>
  <c r="P3614"/>
  <c r="Q3614"/>
  <c r="R3614"/>
  <c r="S3614"/>
  <c r="T3614"/>
  <c r="U3614"/>
  <c r="V3614"/>
  <c r="W3614"/>
  <c r="X3614"/>
  <c r="Y3614"/>
  <c r="AA3614"/>
  <c r="AB3614"/>
  <c r="AC3614"/>
  <c r="AD3614"/>
  <c r="P3615"/>
  <c r="Q3615"/>
  <c r="R3615"/>
  <c r="S3615"/>
  <c r="T3615"/>
  <c r="U3615"/>
  <c r="V3615"/>
  <c r="W3615"/>
  <c r="X3615"/>
  <c r="Y3615"/>
  <c r="AA3615"/>
  <c r="AB3615"/>
  <c r="AC3615"/>
  <c r="AD3615"/>
  <c r="P3616"/>
  <c r="Q3616"/>
  <c r="R3616"/>
  <c r="S3616"/>
  <c r="T3616"/>
  <c r="U3616"/>
  <c r="V3616"/>
  <c r="W3616"/>
  <c r="X3616"/>
  <c r="Y3616"/>
  <c r="AA3616"/>
  <c r="AB3616"/>
  <c r="AC3616"/>
  <c r="AD3616"/>
  <c r="P3617"/>
  <c r="Q3617"/>
  <c r="R3617"/>
  <c r="S3617"/>
  <c r="T3617"/>
  <c r="U3617"/>
  <c r="V3617"/>
  <c r="W3617"/>
  <c r="X3617"/>
  <c r="Y3617"/>
  <c r="AA3617"/>
  <c r="AB3617"/>
  <c r="AC3617"/>
  <c r="AD3617"/>
  <c r="P3618"/>
  <c r="Q3618"/>
  <c r="R3618"/>
  <c r="S3618"/>
  <c r="T3618"/>
  <c r="U3618"/>
  <c r="V3618"/>
  <c r="W3618"/>
  <c r="X3618"/>
  <c r="Y3618"/>
  <c r="AA3618"/>
  <c r="AB3618"/>
  <c r="AC3618"/>
  <c r="AD3618"/>
  <c r="P3619"/>
  <c r="Q3619"/>
  <c r="R3619"/>
  <c r="S3619"/>
  <c r="T3619"/>
  <c r="U3619"/>
  <c r="V3619"/>
  <c r="W3619"/>
  <c r="X3619"/>
  <c r="Y3619"/>
  <c r="AA3619"/>
  <c r="AB3619"/>
  <c r="AC3619"/>
  <c r="AD3619"/>
  <c r="P3620"/>
  <c r="Q3620"/>
  <c r="R3620"/>
  <c r="S3620"/>
  <c r="T3620"/>
  <c r="U3620"/>
  <c r="V3620"/>
  <c r="W3620"/>
  <c r="X3620"/>
  <c r="Y3620"/>
  <c r="AA3620"/>
  <c r="AB3620"/>
  <c r="AC3620"/>
  <c r="AD3620"/>
  <c r="P3621"/>
  <c r="Q3621"/>
  <c r="R3621"/>
  <c r="S3621"/>
  <c r="T3621"/>
  <c r="U3621"/>
  <c r="V3621"/>
  <c r="W3621"/>
  <c r="X3621"/>
  <c r="Y3621"/>
  <c r="AA3621"/>
  <c r="AB3621"/>
  <c r="AC3621"/>
  <c r="AD3621"/>
  <c r="P3622"/>
  <c r="Q3622"/>
  <c r="R3622"/>
  <c r="S3622"/>
  <c r="T3622"/>
  <c r="U3622"/>
  <c r="V3622"/>
  <c r="W3622"/>
  <c r="X3622"/>
  <c r="Y3622"/>
  <c r="AA3622"/>
  <c r="AB3622"/>
  <c r="AC3622"/>
  <c r="AD3622"/>
  <c r="P3623"/>
  <c r="Q3623"/>
  <c r="R3623"/>
  <c r="S3623"/>
  <c r="T3623"/>
  <c r="U3623"/>
  <c r="V3623"/>
  <c r="W3623"/>
  <c r="X3623"/>
  <c r="Y3623"/>
  <c r="AA3623"/>
  <c r="AB3623"/>
  <c r="AC3623"/>
  <c r="AD3623"/>
  <c r="P3624"/>
  <c r="Q3624"/>
  <c r="R3624"/>
  <c r="S3624"/>
  <c r="T3624"/>
  <c r="U3624"/>
  <c r="V3624"/>
  <c r="W3624"/>
  <c r="X3624"/>
  <c r="Y3624"/>
  <c r="AA3624"/>
  <c r="AB3624"/>
  <c r="AC3624"/>
  <c r="AD3624"/>
  <c r="P3625"/>
  <c r="Q3625"/>
  <c r="R3625"/>
  <c r="S3625"/>
  <c r="T3625"/>
  <c r="U3625"/>
  <c r="V3625"/>
  <c r="W3625"/>
  <c r="X3625"/>
  <c r="Y3625"/>
  <c r="AA3625"/>
  <c r="AB3625"/>
  <c r="AC3625"/>
  <c r="AD3625"/>
  <c r="P3626"/>
  <c r="Q3626"/>
  <c r="R3626"/>
  <c r="S3626"/>
  <c r="T3626"/>
  <c r="U3626"/>
  <c r="V3626"/>
  <c r="W3626"/>
  <c r="X3626"/>
  <c r="Y3626"/>
  <c r="AA3626"/>
  <c r="AB3626"/>
  <c r="AC3626"/>
  <c r="AD3626"/>
  <c r="P3627"/>
  <c r="Q3627"/>
  <c r="R3627"/>
  <c r="S3627"/>
  <c r="T3627"/>
  <c r="U3627"/>
  <c r="V3627"/>
  <c r="W3627"/>
  <c r="X3627"/>
  <c r="Y3627"/>
  <c r="AA3627"/>
  <c r="AB3627"/>
  <c r="AC3627"/>
  <c r="AD3627"/>
  <c r="P3628"/>
  <c r="Q3628"/>
  <c r="R3628"/>
  <c r="S3628"/>
  <c r="T3628"/>
  <c r="U3628"/>
  <c r="V3628"/>
  <c r="W3628"/>
  <c r="X3628"/>
  <c r="Y3628"/>
  <c r="AA3628"/>
  <c r="AB3628"/>
  <c r="AC3628"/>
  <c r="AD3628"/>
  <c r="P3629"/>
  <c r="Q3629"/>
  <c r="R3629"/>
  <c r="S3629"/>
  <c r="T3629"/>
  <c r="U3629"/>
  <c r="V3629"/>
  <c r="W3629"/>
  <c r="X3629"/>
  <c r="Y3629"/>
  <c r="AA3629"/>
  <c r="AB3629"/>
  <c r="AC3629"/>
  <c r="AD3629"/>
  <c r="P3630"/>
  <c r="Q3630"/>
  <c r="R3630"/>
  <c r="S3630"/>
  <c r="T3630"/>
  <c r="U3630"/>
  <c r="V3630"/>
  <c r="W3630"/>
  <c r="X3630"/>
  <c r="Y3630"/>
  <c r="AA3630"/>
  <c r="AB3630"/>
  <c r="AC3630"/>
  <c r="AD3630"/>
  <c r="P3631"/>
  <c r="Q3631"/>
  <c r="R3631"/>
  <c r="S3631"/>
  <c r="T3631"/>
  <c r="U3631"/>
  <c r="V3631"/>
  <c r="W3631"/>
  <c r="X3631"/>
  <c r="Y3631"/>
  <c r="AA3631"/>
  <c r="AB3631"/>
  <c r="AC3631"/>
  <c r="AD3631"/>
  <c r="P3632"/>
  <c r="Q3632"/>
  <c r="R3632"/>
  <c r="S3632"/>
  <c r="T3632"/>
  <c r="U3632"/>
  <c r="V3632"/>
  <c r="W3632"/>
  <c r="X3632"/>
  <c r="Y3632"/>
  <c r="AA3632"/>
  <c r="AB3632"/>
  <c r="AC3632"/>
  <c r="AD3632"/>
  <c r="P3633"/>
  <c r="Q3633"/>
  <c r="R3633"/>
  <c r="S3633"/>
  <c r="T3633"/>
  <c r="U3633"/>
  <c r="V3633"/>
  <c r="W3633"/>
  <c r="X3633"/>
  <c r="Y3633"/>
  <c r="AA3633"/>
  <c r="AB3633"/>
  <c r="AC3633"/>
  <c r="AD3633"/>
  <c r="P3634"/>
  <c r="Q3634"/>
  <c r="R3634"/>
  <c r="S3634"/>
  <c r="T3634"/>
  <c r="U3634"/>
  <c r="V3634"/>
  <c r="W3634"/>
  <c r="X3634"/>
  <c r="Y3634"/>
  <c r="AA3634"/>
  <c r="AB3634"/>
  <c r="AC3634"/>
  <c r="AD3634"/>
  <c r="P3635"/>
  <c r="Q3635"/>
  <c r="R3635"/>
  <c r="S3635"/>
  <c r="T3635"/>
  <c r="U3635"/>
  <c r="V3635"/>
  <c r="W3635"/>
  <c r="X3635"/>
  <c r="Y3635"/>
  <c r="AA3635"/>
  <c r="AB3635"/>
  <c r="AC3635"/>
  <c r="AD3635"/>
  <c r="P3636"/>
  <c r="Q3636"/>
  <c r="R3636"/>
  <c r="S3636"/>
  <c r="T3636"/>
  <c r="U3636"/>
  <c r="V3636"/>
  <c r="W3636"/>
  <c r="X3636"/>
  <c r="Y3636"/>
  <c r="AA3636"/>
  <c r="AB3636"/>
  <c r="AC3636"/>
  <c r="AD3636"/>
  <c r="P3637"/>
  <c r="Q3637"/>
  <c r="R3637"/>
  <c r="S3637"/>
  <c r="T3637"/>
  <c r="U3637"/>
  <c r="V3637"/>
  <c r="W3637"/>
  <c r="X3637"/>
  <c r="Y3637"/>
  <c r="AA3637"/>
  <c r="AB3637"/>
  <c r="AC3637"/>
  <c r="AD3637"/>
  <c r="P3638"/>
  <c r="Q3638"/>
  <c r="R3638"/>
  <c r="S3638"/>
  <c r="T3638"/>
  <c r="U3638"/>
  <c r="V3638"/>
  <c r="W3638"/>
  <c r="X3638"/>
  <c r="Y3638"/>
  <c r="AA3638"/>
  <c r="AB3638"/>
  <c r="AC3638"/>
  <c r="AD3638"/>
  <c r="P3639"/>
  <c r="Q3639"/>
  <c r="R3639"/>
  <c r="S3639"/>
  <c r="T3639"/>
  <c r="U3639"/>
  <c r="V3639"/>
  <c r="W3639"/>
  <c r="X3639"/>
  <c r="Y3639"/>
  <c r="AA3639"/>
  <c r="AB3639"/>
  <c r="AC3639"/>
  <c r="AD3639"/>
  <c r="P3640"/>
  <c r="Q3640"/>
  <c r="R3640"/>
  <c r="S3640"/>
  <c r="T3640"/>
  <c r="U3640"/>
  <c r="V3640"/>
  <c r="W3640"/>
  <c r="X3640"/>
  <c r="Y3640"/>
  <c r="AA3640"/>
  <c r="AB3640"/>
  <c r="AC3640"/>
  <c r="AD3640"/>
  <c r="P3641"/>
  <c r="Q3641"/>
  <c r="R3641"/>
  <c r="S3641"/>
  <c r="T3641"/>
  <c r="U3641"/>
  <c r="V3641"/>
  <c r="W3641"/>
  <c r="X3641"/>
  <c r="Y3641"/>
  <c r="AA3641"/>
  <c r="AB3641"/>
  <c r="AC3641"/>
  <c r="AD3641"/>
  <c r="P3642"/>
  <c r="Q3642"/>
  <c r="R3642"/>
  <c r="S3642"/>
  <c r="T3642"/>
  <c r="U3642"/>
  <c r="V3642"/>
  <c r="W3642"/>
  <c r="X3642"/>
  <c r="Y3642"/>
  <c r="AA3642"/>
  <c r="AB3642"/>
  <c r="AC3642"/>
  <c r="AD3642"/>
  <c r="P3643"/>
  <c r="Q3643"/>
  <c r="R3643"/>
  <c r="S3643"/>
  <c r="T3643"/>
  <c r="U3643"/>
  <c r="V3643"/>
  <c r="W3643"/>
  <c r="X3643"/>
  <c r="Y3643"/>
  <c r="AA3643"/>
  <c r="AB3643"/>
  <c r="AC3643"/>
  <c r="AD3643"/>
  <c r="P3644"/>
  <c r="Q3644"/>
  <c r="R3644"/>
  <c r="S3644"/>
  <c r="T3644"/>
  <c r="U3644"/>
  <c r="V3644"/>
  <c r="W3644"/>
  <c r="X3644"/>
  <c r="Y3644"/>
  <c r="AA3644"/>
  <c r="AB3644"/>
  <c r="AC3644"/>
  <c r="AD3644"/>
  <c r="P3645"/>
  <c r="Q3645"/>
  <c r="R3645"/>
  <c r="S3645"/>
  <c r="T3645"/>
  <c r="U3645"/>
  <c r="V3645"/>
  <c r="W3645"/>
  <c r="X3645"/>
  <c r="Y3645"/>
  <c r="AA3645"/>
  <c r="AB3645"/>
  <c r="AC3645"/>
  <c r="AD3645"/>
  <c r="P3646"/>
  <c r="Q3646"/>
  <c r="R3646"/>
  <c r="S3646"/>
  <c r="T3646"/>
  <c r="U3646"/>
  <c r="V3646"/>
  <c r="W3646"/>
  <c r="X3646"/>
  <c r="Y3646"/>
  <c r="AA3646"/>
  <c r="AB3646"/>
  <c r="AC3646"/>
  <c r="AD3646"/>
  <c r="P3647"/>
  <c r="Q3647"/>
  <c r="R3647"/>
  <c r="S3647"/>
  <c r="T3647"/>
  <c r="U3647"/>
  <c r="V3647"/>
  <c r="W3647"/>
  <c r="X3647"/>
  <c r="Y3647"/>
  <c r="AA3647"/>
  <c r="AB3647"/>
  <c r="AC3647"/>
  <c r="AD3647"/>
  <c r="P3648"/>
  <c r="Q3648"/>
  <c r="R3648"/>
  <c r="S3648"/>
  <c r="T3648"/>
  <c r="U3648"/>
  <c r="V3648"/>
  <c r="W3648"/>
  <c r="X3648"/>
  <c r="Y3648"/>
  <c r="AA3648"/>
  <c r="AB3648"/>
  <c r="AC3648"/>
  <c r="AD3648"/>
  <c r="P3649"/>
  <c r="Q3649"/>
  <c r="R3649"/>
  <c r="S3649"/>
  <c r="T3649"/>
  <c r="U3649"/>
  <c r="V3649"/>
  <c r="W3649"/>
  <c r="X3649"/>
  <c r="Y3649"/>
  <c r="AA3649"/>
  <c r="AB3649"/>
  <c r="AC3649"/>
  <c r="AD3649"/>
  <c r="P3650"/>
  <c r="Q3650"/>
  <c r="R3650"/>
  <c r="S3650"/>
  <c r="T3650"/>
  <c r="U3650"/>
  <c r="V3650"/>
  <c r="W3650"/>
  <c r="X3650"/>
  <c r="Y3650"/>
  <c r="AA3650"/>
  <c r="AB3650"/>
  <c r="AC3650"/>
  <c r="AD3650"/>
  <c r="P3651"/>
  <c r="Q3651"/>
  <c r="R3651"/>
  <c r="S3651"/>
  <c r="T3651"/>
  <c r="U3651"/>
  <c r="V3651"/>
  <c r="W3651"/>
  <c r="X3651"/>
  <c r="Y3651"/>
  <c r="AA3651"/>
  <c r="AB3651"/>
  <c r="AC3651"/>
  <c r="AD3651"/>
  <c r="P3652"/>
  <c r="Q3652"/>
  <c r="R3652"/>
  <c r="S3652"/>
  <c r="T3652"/>
  <c r="U3652"/>
  <c r="V3652"/>
  <c r="W3652"/>
  <c r="X3652"/>
  <c r="Y3652"/>
  <c r="AA3652"/>
  <c r="AB3652"/>
  <c r="AC3652"/>
  <c r="AD3652"/>
  <c r="P3653"/>
  <c r="Q3653"/>
  <c r="R3653"/>
  <c r="S3653"/>
  <c r="T3653"/>
  <c r="U3653"/>
  <c r="V3653"/>
  <c r="W3653"/>
  <c r="X3653"/>
  <c r="Y3653"/>
  <c r="AA3653"/>
  <c r="AB3653"/>
  <c r="AC3653"/>
  <c r="AD3653"/>
  <c r="P3654"/>
  <c r="Q3654"/>
  <c r="R3654"/>
  <c r="S3654"/>
  <c r="T3654"/>
  <c r="U3654"/>
  <c r="V3654"/>
  <c r="W3654"/>
  <c r="X3654"/>
  <c r="Y3654"/>
  <c r="AA3654"/>
  <c r="AB3654"/>
  <c r="AC3654"/>
  <c r="AD3654"/>
  <c r="P3655"/>
  <c r="Q3655"/>
  <c r="R3655"/>
  <c r="S3655"/>
  <c r="T3655"/>
  <c r="U3655"/>
  <c r="V3655"/>
  <c r="W3655"/>
  <c r="X3655"/>
  <c r="Y3655"/>
  <c r="AA3655"/>
  <c r="AB3655"/>
  <c r="AC3655"/>
  <c r="AD3655"/>
  <c r="P3656"/>
  <c r="Q3656"/>
  <c r="R3656"/>
  <c r="S3656"/>
  <c r="T3656"/>
  <c r="U3656"/>
  <c r="V3656"/>
  <c r="W3656"/>
  <c r="X3656"/>
  <c r="Y3656"/>
  <c r="AA3656"/>
  <c r="AB3656"/>
  <c r="AC3656"/>
  <c r="AD3656"/>
  <c r="P3657"/>
  <c r="Q3657"/>
  <c r="R3657"/>
  <c r="S3657"/>
  <c r="T3657"/>
  <c r="U3657"/>
  <c r="V3657"/>
  <c r="W3657"/>
  <c r="X3657"/>
  <c r="Y3657"/>
  <c r="AA3657"/>
  <c r="AB3657"/>
  <c r="AC3657"/>
  <c r="AD3657"/>
  <c r="P3658"/>
  <c r="Q3658"/>
  <c r="R3658"/>
  <c r="S3658"/>
  <c r="T3658"/>
  <c r="U3658"/>
  <c r="V3658"/>
  <c r="W3658"/>
  <c r="X3658"/>
  <c r="Y3658"/>
  <c r="AA3658"/>
  <c r="AB3658"/>
  <c r="AC3658"/>
  <c r="AD3658"/>
  <c r="P3659"/>
  <c r="Q3659"/>
  <c r="R3659"/>
  <c r="S3659"/>
  <c r="T3659"/>
  <c r="U3659"/>
  <c r="V3659"/>
  <c r="W3659"/>
  <c r="X3659"/>
  <c r="Y3659"/>
  <c r="AA3659"/>
  <c r="AB3659"/>
  <c r="AC3659"/>
  <c r="AD3659"/>
  <c r="P3660"/>
  <c r="Q3660"/>
  <c r="R3660"/>
  <c r="S3660"/>
  <c r="T3660"/>
  <c r="U3660"/>
  <c r="V3660"/>
  <c r="W3660"/>
  <c r="X3660"/>
  <c r="Y3660"/>
  <c r="AA3660"/>
  <c r="AB3660"/>
  <c r="AC3660"/>
  <c r="AD3660"/>
  <c r="P3661"/>
  <c r="Q3661"/>
  <c r="R3661"/>
  <c r="S3661"/>
  <c r="T3661"/>
  <c r="U3661"/>
  <c r="V3661"/>
  <c r="W3661"/>
  <c r="X3661"/>
  <c r="Y3661"/>
  <c r="AA3661"/>
  <c r="AB3661"/>
  <c r="AC3661"/>
  <c r="AD3661"/>
  <c r="P3662"/>
  <c r="Q3662"/>
  <c r="R3662"/>
  <c r="S3662"/>
  <c r="T3662"/>
  <c r="U3662"/>
  <c r="V3662"/>
  <c r="W3662"/>
  <c r="X3662"/>
  <c r="Y3662"/>
  <c r="AA3662"/>
  <c r="AB3662"/>
  <c r="AC3662"/>
  <c r="AD3662"/>
  <c r="P3663"/>
  <c r="Q3663"/>
  <c r="R3663"/>
  <c r="S3663"/>
  <c r="T3663"/>
  <c r="U3663"/>
  <c r="V3663"/>
  <c r="W3663"/>
  <c r="X3663"/>
  <c r="Y3663"/>
  <c r="AA3663"/>
  <c r="AB3663"/>
  <c r="AC3663"/>
  <c r="AD3663"/>
  <c r="P3664"/>
  <c r="Q3664"/>
  <c r="R3664"/>
  <c r="S3664"/>
  <c r="T3664"/>
  <c r="U3664"/>
  <c r="V3664"/>
  <c r="W3664"/>
  <c r="X3664"/>
  <c r="Y3664"/>
  <c r="AA3664"/>
  <c r="AB3664"/>
  <c r="AC3664"/>
  <c r="AD3664"/>
  <c r="P3665"/>
  <c r="Q3665"/>
  <c r="R3665"/>
  <c r="S3665"/>
  <c r="T3665"/>
  <c r="U3665"/>
  <c r="V3665"/>
  <c r="W3665"/>
  <c r="X3665"/>
  <c r="Y3665"/>
  <c r="AA3665"/>
  <c r="AB3665"/>
  <c r="AC3665"/>
  <c r="AD3665"/>
  <c r="P3666"/>
  <c r="Q3666"/>
  <c r="R3666"/>
  <c r="S3666"/>
  <c r="T3666"/>
  <c r="U3666"/>
  <c r="V3666"/>
  <c r="W3666"/>
  <c r="X3666"/>
  <c r="Y3666"/>
  <c r="AA3666"/>
  <c r="AB3666"/>
  <c r="AC3666"/>
  <c r="AD3666"/>
  <c r="P3667"/>
  <c r="Q3667"/>
  <c r="R3667"/>
  <c r="S3667"/>
  <c r="T3667"/>
  <c r="U3667"/>
  <c r="V3667"/>
  <c r="W3667"/>
  <c r="X3667"/>
  <c r="Y3667"/>
  <c r="AA3667"/>
  <c r="AB3667"/>
  <c r="AC3667"/>
  <c r="AD3667"/>
  <c r="P3668"/>
  <c r="Q3668"/>
  <c r="R3668"/>
  <c r="S3668"/>
  <c r="T3668"/>
  <c r="U3668"/>
  <c r="V3668"/>
  <c r="W3668"/>
  <c r="X3668"/>
  <c r="Y3668"/>
  <c r="AA3668"/>
  <c r="AB3668"/>
  <c r="AC3668"/>
  <c r="AD3668"/>
  <c r="P3669"/>
  <c r="Q3669"/>
  <c r="R3669"/>
  <c r="S3669"/>
  <c r="T3669"/>
  <c r="U3669"/>
  <c r="V3669"/>
  <c r="W3669"/>
  <c r="X3669"/>
  <c r="Y3669"/>
  <c r="AA3669"/>
  <c r="AB3669"/>
  <c r="AC3669"/>
  <c r="AD3669"/>
  <c r="P3670"/>
  <c r="Q3670"/>
  <c r="R3670"/>
  <c r="S3670"/>
  <c r="T3670"/>
  <c r="U3670"/>
  <c r="V3670"/>
  <c r="W3670"/>
  <c r="X3670"/>
  <c r="Y3670"/>
  <c r="AA3670"/>
  <c r="AB3670"/>
  <c r="AC3670"/>
  <c r="AD3670"/>
  <c r="P3671"/>
  <c r="Q3671"/>
  <c r="R3671"/>
  <c r="S3671"/>
  <c r="T3671"/>
  <c r="U3671"/>
  <c r="V3671"/>
  <c r="W3671"/>
  <c r="X3671"/>
  <c r="Y3671"/>
  <c r="AA3671"/>
  <c r="AB3671"/>
  <c r="AC3671"/>
  <c r="AD3671"/>
  <c r="P3672"/>
  <c r="Q3672"/>
  <c r="R3672"/>
  <c r="S3672"/>
  <c r="T3672"/>
  <c r="U3672"/>
  <c r="V3672"/>
  <c r="W3672"/>
  <c r="X3672"/>
  <c r="Y3672"/>
  <c r="AA3672"/>
  <c r="AB3672"/>
  <c r="AC3672"/>
  <c r="AD3672"/>
  <c r="P3673"/>
  <c r="Q3673"/>
  <c r="R3673"/>
  <c r="S3673"/>
  <c r="T3673"/>
  <c r="U3673"/>
  <c r="V3673"/>
  <c r="W3673"/>
  <c r="X3673"/>
  <c r="Y3673"/>
  <c r="AA3673"/>
  <c r="AB3673"/>
  <c r="AC3673"/>
  <c r="AD3673"/>
  <c r="P3674"/>
  <c r="Q3674"/>
  <c r="R3674"/>
  <c r="S3674"/>
  <c r="T3674"/>
  <c r="U3674"/>
  <c r="V3674"/>
  <c r="W3674"/>
  <c r="X3674"/>
  <c r="Y3674"/>
  <c r="AA3674"/>
  <c r="AB3674"/>
  <c r="AC3674"/>
  <c r="AD3674"/>
  <c r="P3675"/>
  <c r="Q3675"/>
  <c r="R3675"/>
  <c r="S3675"/>
  <c r="T3675"/>
  <c r="U3675"/>
  <c r="V3675"/>
  <c r="W3675"/>
  <c r="X3675"/>
  <c r="Y3675"/>
  <c r="AA3675"/>
  <c r="AB3675"/>
  <c r="AC3675"/>
  <c r="AD3675"/>
  <c r="P3676"/>
  <c r="Q3676"/>
  <c r="R3676"/>
  <c r="S3676"/>
  <c r="T3676"/>
  <c r="U3676"/>
  <c r="V3676"/>
  <c r="W3676"/>
  <c r="X3676"/>
  <c r="Y3676"/>
  <c r="AA3676"/>
  <c r="AB3676"/>
  <c r="AC3676"/>
  <c r="AD3676"/>
  <c r="P3677"/>
  <c r="Q3677"/>
  <c r="R3677"/>
  <c r="S3677"/>
  <c r="T3677"/>
  <c r="U3677"/>
  <c r="V3677"/>
  <c r="W3677"/>
  <c r="X3677"/>
  <c r="Y3677"/>
  <c r="AA3677"/>
  <c r="AB3677"/>
  <c r="AC3677"/>
  <c r="AD3677"/>
  <c r="P3678"/>
  <c r="Q3678"/>
  <c r="R3678"/>
  <c r="S3678"/>
  <c r="T3678"/>
  <c r="U3678"/>
  <c r="V3678"/>
  <c r="W3678"/>
  <c r="X3678"/>
  <c r="Y3678"/>
  <c r="AA3678"/>
  <c r="AB3678"/>
  <c r="AC3678"/>
  <c r="AD3678"/>
  <c r="P3679"/>
  <c r="Q3679"/>
  <c r="R3679"/>
  <c r="S3679"/>
  <c r="T3679"/>
  <c r="U3679"/>
  <c r="V3679"/>
  <c r="W3679"/>
  <c r="X3679"/>
  <c r="Y3679"/>
  <c r="AA3679"/>
  <c r="AB3679"/>
  <c r="AC3679"/>
  <c r="AD3679"/>
  <c r="P3680"/>
  <c r="Q3680"/>
  <c r="R3680"/>
  <c r="S3680"/>
  <c r="T3680"/>
  <c r="U3680"/>
  <c r="V3680"/>
  <c r="W3680"/>
  <c r="X3680"/>
  <c r="Y3680"/>
  <c r="AA3680"/>
  <c r="AB3680"/>
  <c r="AC3680"/>
  <c r="AD3680"/>
  <c r="P3681"/>
  <c r="Q3681"/>
  <c r="R3681"/>
  <c r="S3681"/>
  <c r="T3681"/>
  <c r="U3681"/>
  <c r="V3681"/>
  <c r="W3681"/>
  <c r="X3681"/>
  <c r="Y3681"/>
  <c r="AA3681"/>
  <c r="AB3681"/>
  <c r="AC3681"/>
  <c r="AD3681"/>
  <c r="P3682"/>
  <c r="Q3682"/>
  <c r="R3682"/>
  <c r="S3682"/>
  <c r="T3682"/>
  <c r="U3682"/>
  <c r="V3682"/>
  <c r="W3682"/>
  <c r="X3682"/>
  <c r="Y3682"/>
  <c r="AA3682"/>
  <c r="AB3682"/>
  <c r="AC3682"/>
  <c r="AD3682"/>
  <c r="P3683"/>
  <c r="Q3683"/>
  <c r="R3683"/>
  <c r="S3683"/>
  <c r="T3683"/>
  <c r="U3683"/>
  <c r="V3683"/>
  <c r="W3683"/>
  <c r="X3683"/>
  <c r="Y3683"/>
  <c r="AA3683"/>
  <c r="AB3683"/>
  <c r="AC3683"/>
  <c r="AD3683"/>
  <c r="P3684"/>
  <c r="Q3684"/>
  <c r="R3684"/>
  <c r="S3684"/>
  <c r="T3684"/>
  <c r="U3684"/>
  <c r="V3684"/>
  <c r="W3684"/>
  <c r="X3684"/>
  <c r="Y3684"/>
  <c r="AA3684"/>
  <c r="AB3684"/>
  <c r="AC3684"/>
  <c r="AD3684"/>
  <c r="P3685"/>
  <c r="Q3685"/>
  <c r="R3685"/>
  <c r="S3685"/>
  <c r="T3685"/>
  <c r="U3685"/>
  <c r="V3685"/>
  <c r="W3685"/>
  <c r="X3685"/>
  <c r="Y3685"/>
  <c r="AA3685"/>
  <c r="AB3685"/>
  <c r="AC3685"/>
  <c r="AD3685"/>
  <c r="P3686"/>
  <c r="Q3686"/>
  <c r="R3686"/>
  <c r="S3686"/>
  <c r="T3686"/>
  <c r="U3686"/>
  <c r="V3686"/>
  <c r="W3686"/>
  <c r="X3686"/>
  <c r="Y3686"/>
  <c r="AA3686"/>
  <c r="AB3686"/>
  <c r="AC3686"/>
  <c r="AD3686"/>
  <c r="P3687"/>
  <c r="Q3687"/>
  <c r="R3687"/>
  <c r="S3687"/>
  <c r="T3687"/>
  <c r="U3687"/>
  <c r="V3687"/>
  <c r="W3687"/>
  <c r="X3687"/>
  <c r="Y3687"/>
  <c r="AA3687"/>
  <c r="AB3687"/>
  <c r="AC3687"/>
  <c r="AD3687"/>
  <c r="P3688"/>
  <c r="Q3688"/>
  <c r="R3688"/>
  <c r="S3688"/>
  <c r="T3688"/>
  <c r="U3688"/>
  <c r="V3688"/>
  <c r="W3688"/>
  <c r="X3688"/>
  <c r="Y3688"/>
  <c r="AA3688"/>
  <c r="AB3688"/>
  <c r="AC3688"/>
  <c r="AD3688"/>
  <c r="P3689"/>
  <c r="Q3689"/>
  <c r="R3689"/>
  <c r="S3689"/>
  <c r="T3689"/>
  <c r="U3689"/>
  <c r="V3689"/>
  <c r="W3689"/>
  <c r="X3689"/>
  <c r="Y3689"/>
  <c r="AA3689"/>
  <c r="AB3689"/>
  <c r="AC3689"/>
  <c r="AD3689"/>
  <c r="P3690"/>
  <c r="Q3690"/>
  <c r="R3690"/>
  <c r="S3690"/>
  <c r="T3690"/>
  <c r="U3690"/>
  <c r="V3690"/>
  <c r="W3690"/>
  <c r="X3690"/>
  <c r="Y3690"/>
  <c r="AA3690"/>
  <c r="AB3690"/>
  <c r="AC3690"/>
  <c r="AD3690"/>
  <c r="P3691"/>
  <c r="Q3691"/>
  <c r="R3691"/>
  <c r="S3691"/>
  <c r="T3691"/>
  <c r="U3691"/>
  <c r="V3691"/>
  <c r="W3691"/>
  <c r="X3691"/>
  <c r="Y3691"/>
  <c r="AA3691"/>
  <c r="AB3691"/>
  <c r="AC3691"/>
  <c r="AD3691"/>
  <c r="P3692"/>
  <c r="Q3692"/>
  <c r="R3692"/>
  <c r="S3692"/>
  <c r="T3692"/>
  <c r="U3692"/>
  <c r="V3692"/>
  <c r="W3692"/>
  <c r="X3692"/>
  <c r="Y3692"/>
  <c r="AA3692"/>
  <c r="AB3692"/>
  <c r="AC3692"/>
  <c r="AD3692"/>
  <c r="P3693"/>
  <c r="Q3693"/>
  <c r="R3693"/>
  <c r="S3693"/>
  <c r="T3693"/>
  <c r="U3693"/>
  <c r="V3693"/>
  <c r="W3693"/>
  <c r="X3693"/>
  <c r="Y3693"/>
  <c r="AA3693"/>
  <c r="AB3693"/>
  <c r="AC3693"/>
  <c r="AD3693"/>
  <c r="P3694"/>
  <c r="Q3694"/>
  <c r="R3694"/>
  <c r="S3694"/>
  <c r="T3694"/>
  <c r="U3694"/>
  <c r="V3694"/>
  <c r="W3694"/>
  <c r="X3694"/>
  <c r="Y3694"/>
  <c r="AA3694"/>
  <c r="AB3694"/>
  <c r="AC3694"/>
  <c r="AD3694"/>
  <c r="P3695"/>
  <c r="Q3695"/>
  <c r="R3695"/>
  <c r="S3695"/>
  <c r="T3695"/>
  <c r="U3695"/>
  <c r="V3695"/>
  <c r="W3695"/>
  <c r="X3695"/>
  <c r="Y3695"/>
  <c r="AA3695"/>
  <c r="AB3695"/>
  <c r="AC3695"/>
  <c r="AD3695"/>
  <c r="P3696"/>
  <c r="Q3696"/>
  <c r="R3696"/>
  <c r="S3696"/>
  <c r="T3696"/>
  <c r="U3696"/>
  <c r="V3696"/>
  <c r="W3696"/>
  <c r="X3696"/>
  <c r="Y3696"/>
  <c r="AA3696"/>
  <c r="AB3696"/>
  <c r="AC3696"/>
  <c r="AD3696"/>
  <c r="P3697"/>
  <c r="Q3697"/>
  <c r="R3697"/>
  <c r="S3697"/>
  <c r="T3697"/>
  <c r="U3697"/>
  <c r="V3697"/>
  <c r="W3697"/>
  <c r="X3697"/>
  <c r="Y3697"/>
  <c r="AA3697"/>
  <c r="AB3697"/>
  <c r="AC3697"/>
  <c r="AD3697"/>
  <c r="P3698"/>
  <c r="Q3698"/>
  <c r="R3698"/>
  <c r="S3698"/>
  <c r="T3698"/>
  <c r="U3698"/>
  <c r="V3698"/>
  <c r="W3698"/>
  <c r="X3698"/>
  <c r="Y3698"/>
  <c r="AA3698"/>
  <c r="AB3698"/>
  <c r="AC3698"/>
  <c r="AD3698"/>
  <c r="P3699"/>
  <c r="Q3699"/>
  <c r="R3699"/>
  <c r="S3699"/>
  <c r="T3699"/>
  <c r="U3699"/>
  <c r="V3699"/>
  <c r="W3699"/>
  <c r="X3699"/>
  <c r="Y3699"/>
  <c r="AA3699"/>
  <c r="AB3699"/>
  <c r="AC3699"/>
  <c r="AD3699"/>
  <c r="P3700"/>
  <c r="Q3700"/>
  <c r="R3700"/>
  <c r="S3700"/>
  <c r="T3700"/>
  <c r="U3700"/>
  <c r="V3700"/>
  <c r="W3700"/>
  <c r="X3700"/>
  <c r="Y3700"/>
  <c r="AA3700"/>
  <c r="AB3700"/>
  <c r="AC3700"/>
  <c r="AD3700"/>
  <c r="P3701"/>
  <c r="Q3701"/>
  <c r="R3701"/>
  <c r="S3701"/>
  <c r="T3701"/>
  <c r="U3701"/>
  <c r="V3701"/>
  <c r="W3701"/>
  <c r="X3701"/>
  <c r="Y3701"/>
  <c r="AA3701"/>
  <c r="AB3701"/>
  <c r="AC3701"/>
  <c r="AD3701"/>
  <c r="P3702"/>
  <c r="Q3702"/>
  <c r="R3702"/>
  <c r="S3702"/>
  <c r="T3702"/>
  <c r="U3702"/>
  <c r="V3702"/>
  <c r="W3702"/>
  <c r="X3702"/>
  <c r="Y3702"/>
  <c r="AA3702"/>
  <c r="AB3702"/>
  <c r="AC3702"/>
  <c r="AD3702"/>
  <c r="P3703"/>
  <c r="Q3703"/>
  <c r="R3703"/>
  <c r="S3703"/>
  <c r="T3703"/>
  <c r="U3703"/>
  <c r="V3703"/>
  <c r="W3703"/>
  <c r="X3703"/>
  <c r="Y3703"/>
  <c r="AA3703"/>
  <c r="AB3703"/>
  <c r="AC3703"/>
  <c r="AD3703"/>
  <c r="P3704"/>
  <c r="Q3704"/>
  <c r="R3704"/>
  <c r="S3704"/>
  <c r="T3704"/>
  <c r="U3704"/>
  <c r="V3704"/>
  <c r="W3704"/>
  <c r="X3704"/>
  <c r="Y3704"/>
  <c r="AA3704"/>
  <c r="AB3704"/>
  <c r="AC3704"/>
  <c r="AD3704"/>
  <c r="P3705"/>
  <c r="Q3705"/>
  <c r="R3705"/>
  <c r="S3705"/>
  <c r="T3705"/>
  <c r="U3705"/>
  <c r="V3705"/>
  <c r="W3705"/>
  <c r="X3705"/>
  <c r="Y3705"/>
  <c r="AA3705"/>
  <c r="AB3705"/>
  <c r="AC3705"/>
  <c r="AD3705"/>
  <c r="P3706"/>
  <c r="Q3706"/>
  <c r="R3706"/>
  <c r="S3706"/>
  <c r="T3706"/>
  <c r="U3706"/>
  <c r="V3706"/>
  <c r="W3706"/>
  <c r="X3706"/>
  <c r="Y3706"/>
  <c r="AA3706"/>
  <c r="AB3706"/>
  <c r="AC3706"/>
  <c r="AD3706"/>
  <c r="P3707"/>
  <c r="Q3707"/>
  <c r="R3707"/>
  <c r="S3707"/>
  <c r="T3707"/>
  <c r="U3707"/>
  <c r="V3707"/>
  <c r="W3707"/>
  <c r="X3707"/>
  <c r="Y3707"/>
  <c r="AA3707"/>
  <c r="AB3707"/>
  <c r="AC3707"/>
  <c r="AD3707"/>
  <c r="P3708"/>
  <c r="Q3708"/>
  <c r="R3708"/>
  <c r="S3708"/>
  <c r="T3708"/>
  <c r="U3708"/>
  <c r="V3708"/>
  <c r="W3708"/>
  <c r="X3708"/>
  <c r="Y3708"/>
  <c r="AA3708"/>
  <c r="AB3708"/>
  <c r="AC3708"/>
  <c r="AD3708"/>
  <c r="P3709"/>
  <c r="Q3709"/>
  <c r="R3709"/>
  <c r="S3709"/>
  <c r="T3709"/>
  <c r="U3709"/>
  <c r="V3709"/>
  <c r="W3709"/>
  <c r="X3709"/>
  <c r="Y3709"/>
  <c r="AA3709"/>
  <c r="AB3709"/>
  <c r="AC3709"/>
  <c r="AD3709"/>
  <c r="P3710"/>
  <c r="Q3710"/>
  <c r="R3710"/>
  <c r="S3710"/>
  <c r="T3710"/>
  <c r="U3710"/>
  <c r="V3710"/>
  <c r="W3710"/>
  <c r="X3710"/>
  <c r="Y3710"/>
  <c r="AA3710"/>
  <c r="AB3710"/>
  <c r="AC3710"/>
  <c r="AD3710"/>
  <c r="P3711"/>
  <c r="Q3711"/>
  <c r="R3711"/>
  <c r="S3711"/>
  <c r="T3711"/>
  <c r="U3711"/>
  <c r="V3711"/>
  <c r="W3711"/>
  <c r="X3711"/>
  <c r="Y3711"/>
  <c r="AA3711"/>
  <c r="AB3711"/>
  <c r="AC3711"/>
  <c r="AD3711"/>
  <c r="P3712"/>
  <c r="Q3712"/>
  <c r="R3712"/>
  <c r="S3712"/>
  <c r="T3712"/>
  <c r="U3712"/>
  <c r="V3712"/>
  <c r="W3712"/>
  <c r="X3712"/>
  <c r="Y3712"/>
  <c r="AA3712"/>
  <c r="AB3712"/>
  <c r="AC3712"/>
  <c r="AD3712"/>
  <c r="P3713"/>
  <c r="Q3713"/>
  <c r="R3713"/>
  <c r="S3713"/>
  <c r="T3713"/>
  <c r="U3713"/>
  <c r="V3713"/>
  <c r="W3713"/>
  <c r="X3713"/>
  <c r="Y3713"/>
  <c r="AA3713"/>
  <c r="AB3713"/>
  <c r="AC3713"/>
  <c r="AD3713"/>
  <c r="P3714"/>
  <c r="Q3714"/>
  <c r="R3714"/>
  <c r="S3714"/>
  <c r="T3714"/>
  <c r="U3714"/>
  <c r="V3714"/>
  <c r="W3714"/>
  <c r="X3714"/>
  <c r="Y3714"/>
  <c r="AA3714"/>
  <c r="AB3714"/>
  <c r="AC3714"/>
  <c r="AD3714"/>
  <c r="P3715"/>
  <c r="Q3715"/>
  <c r="R3715"/>
  <c r="S3715"/>
  <c r="T3715"/>
  <c r="U3715"/>
  <c r="V3715"/>
  <c r="W3715"/>
  <c r="X3715"/>
  <c r="Y3715"/>
  <c r="AA3715"/>
  <c r="AB3715"/>
  <c r="AC3715"/>
  <c r="AD3715"/>
  <c r="P3716"/>
  <c r="Q3716"/>
  <c r="R3716"/>
  <c r="S3716"/>
  <c r="T3716"/>
  <c r="U3716"/>
  <c r="V3716"/>
  <c r="W3716"/>
  <c r="X3716"/>
  <c r="Y3716"/>
  <c r="AA3716"/>
  <c r="AB3716"/>
  <c r="AC3716"/>
  <c r="AD3716"/>
  <c r="P3717"/>
  <c r="Q3717"/>
  <c r="R3717"/>
  <c r="S3717"/>
  <c r="T3717"/>
  <c r="U3717"/>
  <c r="V3717"/>
  <c r="W3717"/>
  <c r="X3717"/>
  <c r="Y3717"/>
  <c r="AA3717"/>
  <c r="AB3717"/>
  <c r="AC3717"/>
  <c r="AD3717"/>
  <c r="P3718"/>
  <c r="Q3718"/>
  <c r="R3718"/>
  <c r="S3718"/>
  <c r="T3718"/>
  <c r="U3718"/>
  <c r="V3718"/>
  <c r="W3718"/>
  <c r="X3718"/>
  <c r="Y3718"/>
  <c r="AA3718"/>
  <c r="AB3718"/>
  <c r="AC3718"/>
  <c r="AD3718"/>
  <c r="P3719"/>
  <c r="Q3719"/>
  <c r="R3719"/>
  <c r="S3719"/>
  <c r="T3719"/>
  <c r="U3719"/>
  <c r="V3719"/>
  <c r="W3719"/>
  <c r="X3719"/>
  <c r="Y3719"/>
  <c r="AA3719"/>
  <c r="AB3719"/>
  <c r="AC3719"/>
  <c r="AD3719"/>
  <c r="P3720"/>
  <c r="Q3720"/>
  <c r="R3720"/>
  <c r="S3720"/>
  <c r="T3720"/>
  <c r="U3720"/>
  <c r="V3720"/>
  <c r="W3720"/>
  <c r="X3720"/>
  <c r="Y3720"/>
  <c r="AA3720"/>
  <c r="AB3720"/>
  <c r="AC3720"/>
  <c r="AD3720"/>
  <c r="P3721"/>
  <c r="Q3721"/>
  <c r="R3721"/>
  <c r="S3721"/>
  <c r="T3721"/>
  <c r="U3721"/>
  <c r="V3721"/>
  <c r="W3721"/>
  <c r="X3721"/>
  <c r="Y3721"/>
  <c r="AA3721"/>
  <c r="AB3721"/>
  <c r="AC3721"/>
  <c r="AD3721"/>
  <c r="P3722"/>
  <c r="Q3722"/>
  <c r="R3722"/>
  <c r="S3722"/>
  <c r="T3722"/>
  <c r="U3722"/>
  <c r="V3722"/>
  <c r="W3722"/>
  <c r="X3722"/>
  <c r="Y3722"/>
  <c r="AA3722"/>
  <c r="AB3722"/>
  <c r="AC3722"/>
  <c r="AD3722"/>
  <c r="P3723"/>
  <c r="Q3723"/>
  <c r="R3723"/>
  <c r="S3723"/>
  <c r="T3723"/>
  <c r="U3723"/>
  <c r="V3723"/>
  <c r="W3723"/>
  <c r="X3723"/>
  <c r="Y3723"/>
  <c r="AA3723"/>
  <c r="AB3723"/>
  <c r="AC3723"/>
  <c r="AD3723"/>
  <c r="P3724"/>
  <c r="Q3724"/>
  <c r="R3724"/>
  <c r="S3724"/>
  <c r="T3724"/>
  <c r="U3724"/>
  <c r="V3724"/>
  <c r="W3724"/>
  <c r="X3724"/>
  <c r="Y3724"/>
  <c r="AA3724"/>
  <c r="AB3724"/>
  <c r="AC3724"/>
  <c r="AD3724"/>
  <c r="P3725"/>
  <c r="Q3725"/>
  <c r="R3725"/>
  <c r="S3725"/>
  <c r="T3725"/>
  <c r="U3725"/>
  <c r="V3725"/>
  <c r="W3725"/>
  <c r="X3725"/>
  <c r="Y3725"/>
  <c r="AA3725"/>
  <c r="AB3725"/>
  <c r="AC3725"/>
  <c r="AD3725"/>
  <c r="P3726"/>
  <c r="Q3726"/>
  <c r="R3726"/>
  <c r="S3726"/>
  <c r="T3726"/>
  <c r="U3726"/>
  <c r="V3726"/>
  <c r="W3726"/>
  <c r="X3726"/>
  <c r="Y3726"/>
  <c r="AA3726"/>
  <c r="AB3726"/>
  <c r="AC3726"/>
  <c r="AD3726"/>
  <c r="P3727"/>
  <c r="Q3727"/>
  <c r="R3727"/>
  <c r="S3727"/>
  <c r="T3727"/>
  <c r="U3727"/>
  <c r="V3727"/>
  <c r="W3727"/>
  <c r="X3727"/>
  <c r="Y3727"/>
  <c r="AA3727"/>
  <c r="AB3727"/>
  <c r="AC3727"/>
  <c r="AD3727"/>
  <c r="P3728"/>
  <c r="Q3728"/>
  <c r="R3728"/>
  <c r="S3728"/>
  <c r="T3728"/>
  <c r="U3728"/>
  <c r="V3728"/>
  <c r="W3728"/>
  <c r="X3728"/>
  <c r="Y3728"/>
  <c r="AA3728"/>
  <c r="AB3728"/>
  <c r="AC3728"/>
  <c r="AD3728"/>
  <c r="P3729"/>
  <c r="Q3729"/>
  <c r="R3729"/>
  <c r="S3729"/>
  <c r="T3729"/>
  <c r="U3729"/>
  <c r="V3729"/>
  <c r="W3729"/>
  <c r="X3729"/>
  <c r="Y3729"/>
  <c r="AA3729"/>
  <c r="AB3729"/>
  <c r="AC3729"/>
  <c r="AD3729"/>
  <c r="P3730"/>
  <c r="Q3730"/>
  <c r="R3730"/>
  <c r="S3730"/>
  <c r="T3730"/>
  <c r="U3730"/>
  <c r="V3730"/>
  <c r="W3730"/>
  <c r="X3730"/>
  <c r="Y3730"/>
  <c r="AA3730"/>
  <c r="AB3730"/>
  <c r="AC3730"/>
  <c r="AD3730"/>
  <c r="P3731"/>
  <c r="Q3731"/>
  <c r="R3731"/>
  <c r="S3731"/>
  <c r="T3731"/>
  <c r="U3731"/>
  <c r="V3731"/>
  <c r="W3731"/>
  <c r="X3731"/>
  <c r="Y3731"/>
  <c r="AA3731"/>
  <c r="AB3731"/>
  <c r="AC3731"/>
  <c r="AD3731"/>
  <c r="P3732"/>
  <c r="Q3732"/>
  <c r="R3732"/>
  <c r="S3732"/>
  <c r="T3732"/>
  <c r="U3732"/>
  <c r="V3732"/>
  <c r="W3732"/>
  <c r="X3732"/>
  <c r="Y3732"/>
  <c r="AA3732"/>
  <c r="AB3732"/>
  <c r="AC3732"/>
  <c r="AD3732"/>
  <c r="P3733"/>
  <c r="Q3733"/>
  <c r="R3733"/>
  <c r="S3733"/>
  <c r="T3733"/>
  <c r="U3733"/>
  <c r="V3733"/>
  <c r="W3733"/>
  <c r="X3733"/>
  <c r="Y3733"/>
  <c r="AA3733"/>
  <c r="AB3733"/>
  <c r="AC3733"/>
  <c r="AD3733"/>
  <c r="P3734"/>
  <c r="Q3734"/>
  <c r="R3734"/>
  <c r="S3734"/>
  <c r="T3734"/>
  <c r="U3734"/>
  <c r="V3734"/>
  <c r="W3734"/>
  <c r="X3734"/>
  <c r="Y3734"/>
  <c r="AA3734"/>
  <c r="AB3734"/>
  <c r="AC3734"/>
  <c r="AD3734"/>
  <c r="P3735"/>
  <c r="Q3735"/>
  <c r="R3735"/>
  <c r="S3735"/>
  <c r="T3735"/>
  <c r="U3735"/>
  <c r="V3735"/>
  <c r="W3735"/>
  <c r="X3735"/>
  <c r="Y3735"/>
  <c r="AA3735"/>
  <c r="AB3735"/>
  <c r="AC3735"/>
  <c r="AD3735"/>
  <c r="P3736"/>
  <c r="Q3736"/>
  <c r="R3736"/>
  <c r="S3736"/>
  <c r="T3736"/>
  <c r="U3736"/>
  <c r="V3736"/>
  <c r="W3736"/>
  <c r="X3736"/>
  <c r="Y3736"/>
  <c r="AA3736"/>
  <c r="AB3736"/>
  <c r="AC3736"/>
  <c r="AD3736"/>
  <c r="P3737"/>
  <c r="Q3737"/>
  <c r="R3737"/>
  <c r="S3737"/>
  <c r="T3737"/>
  <c r="U3737"/>
  <c r="V3737"/>
  <c r="W3737"/>
  <c r="X3737"/>
  <c r="Y3737"/>
  <c r="AA3737"/>
  <c r="AB3737"/>
  <c r="AC3737"/>
  <c r="AD3737"/>
  <c r="P3738"/>
  <c r="Q3738"/>
  <c r="R3738"/>
  <c r="S3738"/>
  <c r="T3738"/>
  <c r="U3738"/>
  <c r="V3738"/>
  <c r="W3738"/>
  <c r="X3738"/>
  <c r="Y3738"/>
  <c r="AA3738"/>
  <c r="AB3738"/>
  <c r="AC3738"/>
  <c r="AD3738"/>
  <c r="P3739"/>
  <c r="Q3739"/>
  <c r="R3739"/>
  <c r="S3739"/>
  <c r="T3739"/>
  <c r="U3739"/>
  <c r="V3739"/>
  <c r="W3739"/>
  <c r="X3739"/>
  <c r="Y3739"/>
  <c r="AA3739"/>
  <c r="AB3739"/>
  <c r="AC3739"/>
  <c r="AD3739"/>
  <c r="P3740"/>
  <c r="Q3740"/>
  <c r="R3740"/>
  <c r="S3740"/>
  <c r="T3740"/>
  <c r="U3740"/>
  <c r="V3740"/>
  <c r="W3740"/>
  <c r="X3740"/>
  <c r="Y3740"/>
  <c r="AA3740"/>
  <c r="AB3740"/>
  <c r="AC3740"/>
  <c r="AD3740"/>
  <c r="P3741"/>
  <c r="Q3741"/>
  <c r="R3741"/>
  <c r="S3741"/>
  <c r="T3741"/>
  <c r="U3741"/>
  <c r="V3741"/>
  <c r="W3741"/>
  <c r="X3741"/>
  <c r="Y3741"/>
  <c r="AA3741"/>
  <c r="AB3741"/>
  <c r="AC3741"/>
  <c r="AD3741"/>
  <c r="P3742"/>
  <c r="Q3742"/>
  <c r="R3742"/>
  <c r="S3742"/>
  <c r="T3742"/>
  <c r="U3742"/>
  <c r="V3742"/>
  <c r="W3742"/>
  <c r="X3742"/>
  <c r="Y3742"/>
  <c r="AA3742"/>
  <c r="AB3742"/>
  <c r="AC3742"/>
  <c r="AD3742"/>
  <c r="P3743"/>
  <c r="Q3743"/>
  <c r="R3743"/>
  <c r="S3743"/>
  <c r="T3743"/>
  <c r="U3743"/>
  <c r="V3743"/>
  <c r="W3743"/>
  <c r="X3743"/>
  <c r="Y3743"/>
  <c r="AA3743"/>
  <c r="AB3743"/>
  <c r="AC3743"/>
  <c r="AD3743"/>
  <c r="P3744"/>
  <c r="Q3744"/>
  <c r="R3744"/>
  <c r="S3744"/>
  <c r="T3744"/>
  <c r="U3744"/>
  <c r="V3744"/>
  <c r="W3744"/>
  <c r="X3744"/>
  <c r="Y3744"/>
  <c r="AA3744"/>
  <c r="AB3744"/>
  <c r="AC3744"/>
  <c r="AD3744"/>
  <c r="P3745"/>
  <c r="Q3745"/>
  <c r="R3745"/>
  <c r="S3745"/>
  <c r="T3745"/>
  <c r="U3745"/>
  <c r="V3745"/>
  <c r="W3745"/>
  <c r="X3745"/>
  <c r="Y3745"/>
  <c r="AA3745"/>
  <c r="AB3745"/>
  <c r="AC3745"/>
  <c r="AD3745"/>
  <c r="P3746"/>
  <c r="Q3746"/>
  <c r="R3746"/>
  <c r="S3746"/>
  <c r="T3746"/>
  <c r="U3746"/>
  <c r="V3746"/>
  <c r="W3746"/>
  <c r="X3746"/>
  <c r="Y3746"/>
  <c r="AA3746"/>
  <c r="AB3746"/>
  <c r="AC3746"/>
  <c r="AD3746"/>
  <c r="P3747"/>
  <c r="Q3747"/>
  <c r="R3747"/>
  <c r="S3747"/>
  <c r="T3747"/>
  <c r="U3747"/>
  <c r="V3747"/>
  <c r="W3747"/>
  <c r="X3747"/>
  <c r="Y3747"/>
  <c r="AA3747"/>
  <c r="AB3747"/>
  <c r="AC3747"/>
  <c r="AD3747"/>
  <c r="P3748"/>
  <c r="Q3748"/>
  <c r="R3748"/>
  <c r="S3748"/>
  <c r="T3748"/>
  <c r="U3748"/>
  <c r="V3748"/>
  <c r="W3748"/>
  <c r="X3748"/>
  <c r="Y3748"/>
  <c r="AA3748"/>
  <c r="AB3748"/>
  <c r="AC3748"/>
  <c r="AD3748"/>
  <c r="P3749"/>
  <c r="Q3749"/>
  <c r="R3749"/>
  <c r="S3749"/>
  <c r="T3749"/>
  <c r="U3749"/>
  <c r="V3749"/>
  <c r="W3749"/>
  <c r="X3749"/>
  <c r="Y3749"/>
  <c r="AA3749"/>
  <c r="AB3749"/>
  <c r="AC3749"/>
  <c r="AD3749"/>
  <c r="P3750"/>
  <c r="Q3750"/>
  <c r="R3750"/>
  <c r="S3750"/>
  <c r="T3750"/>
  <c r="U3750"/>
  <c r="V3750"/>
  <c r="W3750"/>
  <c r="X3750"/>
  <c r="Y3750"/>
  <c r="AA3750"/>
  <c r="AB3750"/>
  <c r="AC3750"/>
  <c r="AD3750"/>
  <c r="P3751"/>
  <c r="Q3751"/>
  <c r="R3751"/>
  <c r="S3751"/>
  <c r="T3751"/>
  <c r="U3751"/>
  <c r="V3751"/>
  <c r="W3751"/>
  <c r="X3751"/>
  <c r="Y3751"/>
  <c r="AA3751"/>
  <c r="AB3751"/>
  <c r="AC3751"/>
  <c r="AD3751"/>
  <c r="P3752"/>
  <c r="Q3752"/>
  <c r="R3752"/>
  <c r="S3752"/>
  <c r="T3752"/>
  <c r="U3752"/>
  <c r="V3752"/>
  <c r="W3752"/>
  <c r="X3752"/>
  <c r="Y3752"/>
  <c r="AA3752"/>
  <c r="AB3752"/>
  <c r="AC3752"/>
  <c r="AD3752"/>
  <c r="P3753"/>
  <c r="Q3753"/>
  <c r="R3753"/>
  <c r="S3753"/>
  <c r="T3753"/>
  <c r="U3753"/>
  <c r="V3753"/>
  <c r="W3753"/>
  <c r="X3753"/>
  <c r="Y3753"/>
  <c r="AA3753"/>
  <c r="AB3753"/>
  <c r="AC3753"/>
  <c r="AD3753"/>
  <c r="P3754"/>
  <c r="Q3754"/>
  <c r="R3754"/>
  <c r="S3754"/>
  <c r="T3754"/>
  <c r="U3754"/>
  <c r="V3754"/>
  <c r="W3754"/>
  <c r="X3754"/>
  <c r="Y3754"/>
  <c r="AA3754"/>
  <c r="AB3754"/>
  <c r="AC3754"/>
  <c r="AD3754"/>
  <c r="P3755"/>
  <c r="Q3755"/>
  <c r="R3755"/>
  <c r="S3755"/>
  <c r="T3755"/>
  <c r="U3755"/>
  <c r="V3755"/>
  <c r="W3755"/>
  <c r="X3755"/>
  <c r="Y3755"/>
  <c r="AA3755"/>
  <c r="AB3755"/>
  <c r="AC3755"/>
  <c r="AD3755"/>
  <c r="P3756"/>
  <c r="Q3756"/>
  <c r="R3756"/>
  <c r="S3756"/>
  <c r="T3756"/>
  <c r="U3756"/>
  <c r="V3756"/>
  <c r="W3756"/>
  <c r="X3756"/>
  <c r="Y3756"/>
  <c r="AA3756"/>
  <c r="AB3756"/>
  <c r="AC3756"/>
  <c r="AD3756"/>
  <c r="P3757"/>
  <c r="Q3757"/>
  <c r="R3757"/>
  <c r="S3757"/>
  <c r="T3757"/>
  <c r="U3757"/>
  <c r="V3757"/>
  <c r="W3757"/>
  <c r="X3757"/>
  <c r="Y3757"/>
  <c r="AA3757"/>
  <c r="AB3757"/>
  <c r="AC3757"/>
  <c r="AD3757"/>
  <c r="P3758"/>
  <c r="Q3758"/>
  <c r="R3758"/>
  <c r="S3758"/>
  <c r="T3758"/>
  <c r="U3758"/>
  <c r="V3758"/>
  <c r="W3758"/>
  <c r="X3758"/>
  <c r="Y3758"/>
  <c r="AA3758"/>
  <c r="AB3758"/>
  <c r="AC3758"/>
  <c r="AD3758"/>
  <c r="P3759"/>
  <c r="Q3759"/>
  <c r="R3759"/>
  <c r="S3759"/>
  <c r="T3759"/>
  <c r="U3759"/>
  <c r="V3759"/>
  <c r="W3759"/>
  <c r="X3759"/>
  <c r="Y3759"/>
  <c r="AA3759"/>
  <c r="AB3759"/>
  <c r="AC3759"/>
  <c r="AD3759"/>
  <c r="P3760"/>
  <c r="Q3760"/>
  <c r="R3760"/>
  <c r="S3760"/>
  <c r="T3760"/>
  <c r="U3760"/>
  <c r="V3760"/>
  <c r="W3760"/>
  <c r="X3760"/>
  <c r="Y3760"/>
  <c r="AA3760"/>
  <c r="AB3760"/>
  <c r="AC3760"/>
  <c r="AD3760"/>
  <c r="P3761"/>
  <c r="Q3761"/>
  <c r="R3761"/>
  <c r="S3761"/>
  <c r="T3761"/>
  <c r="U3761"/>
  <c r="V3761"/>
  <c r="W3761"/>
  <c r="X3761"/>
  <c r="Y3761"/>
  <c r="AA3761"/>
  <c r="AB3761"/>
  <c r="AC3761"/>
  <c r="AD3761"/>
  <c r="P3762"/>
  <c r="Q3762"/>
  <c r="R3762"/>
  <c r="S3762"/>
  <c r="T3762"/>
  <c r="U3762"/>
  <c r="V3762"/>
  <c r="W3762"/>
  <c r="X3762"/>
  <c r="Y3762"/>
  <c r="AA3762"/>
  <c r="AB3762"/>
  <c r="AC3762"/>
  <c r="AD3762"/>
  <c r="P3763"/>
  <c r="Q3763"/>
  <c r="R3763"/>
  <c r="S3763"/>
  <c r="T3763"/>
  <c r="U3763"/>
  <c r="V3763"/>
  <c r="W3763"/>
  <c r="X3763"/>
  <c r="Y3763"/>
  <c r="AA3763"/>
  <c r="AB3763"/>
  <c r="AC3763"/>
  <c r="AD3763"/>
  <c r="P3764"/>
  <c r="Q3764"/>
  <c r="R3764"/>
  <c r="S3764"/>
  <c r="T3764"/>
  <c r="U3764"/>
  <c r="V3764"/>
  <c r="W3764"/>
  <c r="X3764"/>
  <c r="Y3764"/>
  <c r="AA3764"/>
  <c r="AB3764"/>
  <c r="AC3764"/>
  <c r="AD3764"/>
  <c r="P3765"/>
  <c r="Q3765"/>
  <c r="R3765"/>
  <c r="S3765"/>
  <c r="T3765"/>
  <c r="U3765"/>
  <c r="V3765"/>
  <c r="W3765"/>
  <c r="X3765"/>
  <c r="Y3765"/>
  <c r="AA3765"/>
  <c r="AB3765"/>
  <c r="AC3765"/>
  <c r="AD3765"/>
  <c r="P3766"/>
  <c r="Q3766"/>
  <c r="R3766"/>
  <c r="S3766"/>
  <c r="T3766"/>
  <c r="U3766"/>
  <c r="V3766"/>
  <c r="W3766"/>
  <c r="X3766"/>
  <c r="Y3766"/>
  <c r="AA3766"/>
  <c r="AB3766"/>
  <c r="AC3766"/>
  <c r="AD3766"/>
  <c r="P3767"/>
  <c r="Q3767"/>
  <c r="R3767"/>
  <c r="S3767"/>
  <c r="T3767"/>
  <c r="U3767"/>
  <c r="V3767"/>
  <c r="W3767"/>
  <c r="X3767"/>
  <c r="Y3767"/>
  <c r="AA3767"/>
  <c r="AB3767"/>
  <c r="AC3767"/>
  <c r="AD3767"/>
  <c r="P3768"/>
  <c r="Q3768"/>
  <c r="R3768"/>
  <c r="S3768"/>
  <c r="T3768"/>
  <c r="U3768"/>
  <c r="V3768"/>
  <c r="W3768"/>
  <c r="X3768"/>
  <c r="Y3768"/>
  <c r="AA3768"/>
  <c r="AB3768"/>
  <c r="AC3768"/>
  <c r="AD3768"/>
  <c r="P3769"/>
  <c r="Q3769"/>
  <c r="R3769"/>
  <c r="S3769"/>
  <c r="T3769"/>
  <c r="U3769"/>
  <c r="V3769"/>
  <c r="W3769"/>
  <c r="X3769"/>
  <c r="Y3769"/>
  <c r="AA3769"/>
  <c r="AB3769"/>
  <c r="AC3769"/>
  <c r="AD3769"/>
  <c r="P3770"/>
  <c r="Q3770"/>
  <c r="R3770"/>
  <c r="S3770"/>
  <c r="T3770"/>
  <c r="U3770"/>
  <c r="V3770"/>
  <c r="W3770"/>
  <c r="X3770"/>
  <c r="Y3770"/>
  <c r="AA3770"/>
  <c r="AB3770"/>
  <c r="AC3770"/>
  <c r="AD3770"/>
  <c r="P3771"/>
  <c r="Q3771"/>
  <c r="R3771"/>
  <c r="S3771"/>
  <c r="T3771"/>
  <c r="U3771"/>
  <c r="V3771"/>
  <c r="W3771"/>
  <c r="X3771"/>
  <c r="Y3771"/>
  <c r="AA3771"/>
  <c r="AB3771"/>
  <c r="AC3771"/>
  <c r="AD3771"/>
  <c r="P3772"/>
  <c r="Q3772"/>
  <c r="R3772"/>
  <c r="S3772"/>
  <c r="T3772"/>
  <c r="U3772"/>
  <c r="V3772"/>
  <c r="W3772"/>
  <c r="X3772"/>
  <c r="Y3772"/>
  <c r="AA3772"/>
  <c r="AB3772"/>
  <c r="AC3772"/>
  <c r="AD3772"/>
  <c r="P3773"/>
  <c r="Q3773"/>
  <c r="R3773"/>
  <c r="S3773"/>
  <c r="T3773"/>
  <c r="U3773"/>
  <c r="V3773"/>
  <c r="W3773"/>
  <c r="X3773"/>
  <c r="Y3773"/>
  <c r="AA3773"/>
  <c r="AB3773"/>
  <c r="AC3773"/>
  <c r="AD3773"/>
  <c r="P3774"/>
  <c r="Q3774"/>
  <c r="R3774"/>
  <c r="S3774"/>
  <c r="T3774"/>
  <c r="U3774"/>
  <c r="V3774"/>
  <c r="W3774"/>
  <c r="X3774"/>
  <c r="Y3774"/>
  <c r="AA3774"/>
  <c r="AB3774"/>
  <c r="AC3774"/>
  <c r="AD3774"/>
  <c r="P3775"/>
  <c r="Q3775"/>
  <c r="R3775"/>
  <c r="S3775"/>
  <c r="T3775"/>
  <c r="U3775"/>
  <c r="V3775"/>
  <c r="W3775"/>
  <c r="X3775"/>
  <c r="Y3775"/>
  <c r="AA3775"/>
  <c r="AB3775"/>
  <c r="AC3775"/>
  <c r="AD3775"/>
  <c r="P3776"/>
  <c r="Q3776"/>
  <c r="R3776"/>
  <c r="S3776"/>
  <c r="T3776"/>
  <c r="U3776"/>
  <c r="V3776"/>
  <c r="W3776"/>
  <c r="X3776"/>
  <c r="Y3776"/>
  <c r="AA3776"/>
  <c r="AB3776"/>
  <c r="AC3776"/>
  <c r="AD3776"/>
  <c r="P3777"/>
  <c r="Q3777"/>
  <c r="R3777"/>
  <c r="S3777"/>
  <c r="T3777"/>
  <c r="U3777"/>
  <c r="V3777"/>
  <c r="W3777"/>
  <c r="X3777"/>
  <c r="Y3777"/>
  <c r="AA3777"/>
  <c r="AB3777"/>
  <c r="AC3777"/>
  <c r="AD3777"/>
  <c r="P3778"/>
  <c r="Q3778"/>
  <c r="R3778"/>
  <c r="S3778"/>
  <c r="T3778"/>
  <c r="U3778"/>
  <c r="V3778"/>
  <c r="W3778"/>
  <c r="X3778"/>
  <c r="Y3778"/>
  <c r="AA3778"/>
  <c r="AB3778"/>
  <c r="AC3778"/>
  <c r="AD3778"/>
  <c r="P3779"/>
  <c r="Q3779"/>
  <c r="R3779"/>
  <c r="S3779"/>
  <c r="T3779"/>
  <c r="U3779"/>
  <c r="V3779"/>
  <c r="W3779"/>
  <c r="X3779"/>
  <c r="Y3779"/>
  <c r="AA3779"/>
  <c r="AB3779"/>
  <c r="AC3779"/>
  <c r="AD3779"/>
  <c r="P3780"/>
  <c r="Q3780"/>
  <c r="R3780"/>
  <c r="S3780"/>
  <c r="T3780"/>
  <c r="U3780"/>
  <c r="V3780"/>
  <c r="W3780"/>
  <c r="X3780"/>
  <c r="Y3780"/>
  <c r="AA3780"/>
  <c r="AB3780"/>
  <c r="AC3780"/>
  <c r="AD3780"/>
  <c r="P3781"/>
  <c r="Q3781"/>
  <c r="R3781"/>
  <c r="S3781"/>
  <c r="T3781"/>
  <c r="U3781"/>
  <c r="V3781"/>
  <c r="W3781"/>
  <c r="X3781"/>
  <c r="Y3781"/>
  <c r="AA3781"/>
  <c r="AB3781"/>
  <c r="AC3781"/>
  <c r="AD3781"/>
  <c r="P3782"/>
  <c r="Q3782"/>
  <c r="R3782"/>
  <c r="S3782"/>
  <c r="T3782"/>
  <c r="U3782"/>
  <c r="V3782"/>
  <c r="W3782"/>
  <c r="X3782"/>
  <c r="Y3782"/>
  <c r="AA3782"/>
  <c r="AB3782"/>
  <c r="AC3782"/>
  <c r="AD3782"/>
  <c r="P3783"/>
  <c r="Q3783"/>
  <c r="R3783"/>
  <c r="S3783"/>
  <c r="T3783"/>
  <c r="U3783"/>
  <c r="V3783"/>
  <c r="W3783"/>
  <c r="X3783"/>
  <c r="Y3783"/>
  <c r="AA3783"/>
  <c r="AB3783"/>
  <c r="AC3783"/>
  <c r="AD3783"/>
  <c r="P3784"/>
  <c r="Q3784"/>
  <c r="R3784"/>
  <c r="S3784"/>
  <c r="T3784"/>
  <c r="U3784"/>
  <c r="V3784"/>
  <c r="W3784"/>
  <c r="X3784"/>
  <c r="Y3784"/>
  <c r="AA3784"/>
  <c r="AB3784"/>
  <c r="AC3784"/>
  <c r="AD3784"/>
  <c r="P3785"/>
  <c r="Q3785"/>
  <c r="R3785"/>
  <c r="S3785"/>
  <c r="T3785"/>
  <c r="U3785"/>
  <c r="V3785"/>
  <c r="W3785"/>
  <c r="X3785"/>
  <c r="Y3785"/>
  <c r="AA3785"/>
  <c r="AB3785"/>
  <c r="AC3785"/>
  <c r="AD3785"/>
  <c r="P3786"/>
  <c r="Q3786"/>
  <c r="R3786"/>
  <c r="S3786"/>
  <c r="T3786"/>
  <c r="U3786"/>
  <c r="V3786"/>
  <c r="W3786"/>
  <c r="X3786"/>
  <c r="Y3786"/>
  <c r="AA3786"/>
  <c r="AB3786"/>
  <c r="AC3786"/>
  <c r="AD3786"/>
  <c r="P3787"/>
  <c r="Q3787"/>
  <c r="R3787"/>
  <c r="S3787"/>
  <c r="T3787"/>
  <c r="U3787"/>
  <c r="V3787"/>
  <c r="W3787"/>
  <c r="X3787"/>
  <c r="Y3787"/>
  <c r="AA3787"/>
  <c r="AB3787"/>
  <c r="AC3787"/>
  <c r="AD3787"/>
  <c r="P3788"/>
  <c r="Q3788"/>
  <c r="R3788"/>
  <c r="S3788"/>
  <c r="T3788"/>
  <c r="U3788"/>
  <c r="V3788"/>
  <c r="W3788"/>
  <c r="X3788"/>
  <c r="Y3788"/>
  <c r="AA3788"/>
  <c r="AB3788"/>
  <c r="AC3788"/>
  <c r="AD3788"/>
  <c r="P3789"/>
  <c r="Q3789"/>
  <c r="R3789"/>
  <c r="S3789"/>
  <c r="T3789"/>
  <c r="U3789"/>
  <c r="V3789"/>
  <c r="W3789"/>
  <c r="X3789"/>
  <c r="Y3789"/>
  <c r="AA3789"/>
  <c r="AB3789"/>
  <c r="AC3789"/>
  <c r="AD3789"/>
  <c r="P3790"/>
  <c r="Q3790"/>
  <c r="R3790"/>
  <c r="S3790"/>
  <c r="T3790"/>
  <c r="U3790"/>
  <c r="V3790"/>
  <c r="W3790"/>
  <c r="X3790"/>
  <c r="Y3790"/>
  <c r="AA3790"/>
  <c r="AB3790"/>
  <c r="AC3790"/>
  <c r="AD3790"/>
  <c r="P3791"/>
  <c r="Q3791"/>
  <c r="R3791"/>
  <c r="S3791"/>
  <c r="T3791"/>
  <c r="U3791"/>
  <c r="V3791"/>
  <c r="W3791"/>
  <c r="X3791"/>
  <c r="Y3791"/>
  <c r="AA3791"/>
  <c r="AB3791"/>
  <c r="AC3791"/>
  <c r="AD3791"/>
  <c r="P3792"/>
  <c r="Q3792"/>
  <c r="R3792"/>
  <c r="S3792"/>
  <c r="T3792"/>
  <c r="U3792"/>
  <c r="V3792"/>
  <c r="W3792"/>
  <c r="X3792"/>
  <c r="Y3792"/>
  <c r="AA3792"/>
  <c r="AB3792"/>
  <c r="AC3792"/>
  <c r="AD3792"/>
  <c r="P3793"/>
  <c r="Q3793"/>
  <c r="R3793"/>
  <c r="S3793"/>
  <c r="T3793"/>
  <c r="U3793"/>
  <c r="V3793"/>
  <c r="W3793"/>
  <c r="X3793"/>
  <c r="Y3793"/>
  <c r="AA3793"/>
  <c r="AB3793"/>
  <c r="AC3793"/>
  <c r="AD3793"/>
  <c r="P3794"/>
  <c r="Q3794"/>
  <c r="R3794"/>
  <c r="S3794"/>
  <c r="T3794"/>
  <c r="U3794"/>
  <c r="V3794"/>
  <c r="W3794"/>
  <c r="X3794"/>
  <c r="Y3794"/>
  <c r="AA3794"/>
  <c r="AB3794"/>
  <c r="AC3794"/>
  <c r="AD3794"/>
  <c r="P3795"/>
  <c r="Q3795"/>
  <c r="R3795"/>
  <c r="S3795"/>
  <c r="T3795"/>
  <c r="U3795"/>
  <c r="V3795"/>
  <c r="W3795"/>
  <c r="X3795"/>
  <c r="Y3795"/>
  <c r="AA3795"/>
  <c r="AB3795"/>
  <c r="AC3795"/>
  <c r="AD3795"/>
  <c r="P3796"/>
  <c r="Q3796"/>
  <c r="R3796"/>
  <c r="S3796"/>
  <c r="T3796"/>
  <c r="U3796"/>
  <c r="V3796"/>
  <c r="W3796"/>
  <c r="X3796"/>
  <c r="Y3796"/>
  <c r="AA3796"/>
  <c r="AB3796"/>
  <c r="AC3796"/>
  <c r="AD3796"/>
  <c r="P3797"/>
  <c r="Q3797"/>
  <c r="R3797"/>
  <c r="S3797"/>
  <c r="T3797"/>
  <c r="U3797"/>
  <c r="V3797"/>
  <c r="W3797"/>
  <c r="X3797"/>
  <c r="Y3797"/>
  <c r="AA3797"/>
  <c r="AB3797"/>
  <c r="AC3797"/>
  <c r="AD3797"/>
  <c r="P3798"/>
  <c r="Q3798"/>
  <c r="R3798"/>
  <c r="S3798"/>
  <c r="T3798"/>
  <c r="U3798"/>
  <c r="V3798"/>
  <c r="W3798"/>
  <c r="X3798"/>
  <c r="Y3798"/>
  <c r="AA3798"/>
  <c r="AB3798"/>
  <c r="AC3798"/>
  <c r="AD3798"/>
  <c r="P3799"/>
  <c r="Q3799"/>
  <c r="R3799"/>
  <c r="S3799"/>
  <c r="T3799"/>
  <c r="U3799"/>
  <c r="V3799"/>
  <c r="W3799"/>
  <c r="X3799"/>
  <c r="Y3799"/>
  <c r="AA3799"/>
  <c r="AB3799"/>
  <c r="AC3799"/>
  <c r="AD3799"/>
  <c r="P3800"/>
  <c r="Q3800"/>
  <c r="R3800"/>
  <c r="S3800"/>
  <c r="T3800"/>
  <c r="U3800"/>
  <c r="V3800"/>
  <c r="W3800"/>
  <c r="X3800"/>
  <c r="Y3800"/>
  <c r="AA3800"/>
  <c r="AB3800"/>
  <c r="AC3800"/>
  <c r="AD3800"/>
  <c r="P3801"/>
  <c r="Q3801"/>
  <c r="R3801"/>
  <c r="S3801"/>
  <c r="T3801"/>
  <c r="U3801"/>
  <c r="V3801"/>
  <c r="W3801"/>
  <c r="X3801"/>
  <c r="Y3801"/>
  <c r="AA3801"/>
  <c r="AB3801"/>
  <c r="AC3801"/>
  <c r="AD3801"/>
  <c r="P3802"/>
  <c r="Q3802"/>
  <c r="R3802"/>
  <c r="S3802"/>
  <c r="T3802"/>
  <c r="U3802"/>
  <c r="V3802"/>
  <c r="W3802"/>
  <c r="X3802"/>
  <c r="Y3802"/>
  <c r="AA3802"/>
  <c r="AB3802"/>
  <c r="AC3802"/>
  <c r="AD3802"/>
  <c r="P3803"/>
  <c r="Q3803"/>
  <c r="R3803"/>
  <c r="S3803"/>
  <c r="T3803"/>
  <c r="U3803"/>
  <c r="V3803"/>
  <c r="W3803"/>
  <c r="X3803"/>
  <c r="Y3803"/>
  <c r="AA3803"/>
  <c r="AB3803"/>
  <c r="AC3803"/>
  <c r="AD3803"/>
  <c r="P3804"/>
  <c r="Q3804"/>
  <c r="R3804"/>
  <c r="S3804"/>
  <c r="T3804"/>
  <c r="U3804"/>
  <c r="V3804"/>
  <c r="W3804"/>
  <c r="X3804"/>
  <c r="Y3804"/>
  <c r="AA3804"/>
  <c r="AB3804"/>
  <c r="AC3804"/>
  <c r="AD3804"/>
  <c r="P3805"/>
  <c r="Q3805"/>
  <c r="R3805"/>
  <c r="S3805"/>
  <c r="T3805"/>
  <c r="U3805"/>
  <c r="V3805"/>
  <c r="W3805"/>
  <c r="X3805"/>
  <c r="Y3805"/>
  <c r="AA3805"/>
  <c r="AB3805"/>
  <c r="AC3805"/>
  <c r="AD3805"/>
  <c r="P3806"/>
  <c r="Q3806"/>
  <c r="R3806"/>
  <c r="S3806"/>
  <c r="T3806"/>
  <c r="U3806"/>
  <c r="V3806"/>
  <c r="W3806"/>
  <c r="X3806"/>
  <c r="Y3806"/>
  <c r="AA3806"/>
  <c r="AB3806"/>
  <c r="AC3806"/>
  <c r="AD3806"/>
  <c r="P3807"/>
  <c r="Q3807"/>
  <c r="R3807"/>
  <c r="S3807"/>
  <c r="T3807"/>
  <c r="U3807"/>
  <c r="V3807"/>
  <c r="W3807"/>
  <c r="X3807"/>
  <c r="Y3807"/>
  <c r="AA3807"/>
  <c r="AB3807"/>
  <c r="AC3807"/>
  <c r="AD3807"/>
  <c r="P3808"/>
  <c r="Q3808"/>
  <c r="R3808"/>
  <c r="S3808"/>
  <c r="T3808"/>
  <c r="U3808"/>
  <c r="V3808"/>
  <c r="W3808"/>
  <c r="X3808"/>
  <c r="Y3808"/>
  <c r="AA3808"/>
  <c r="AB3808"/>
  <c r="AC3808"/>
  <c r="AD3808"/>
  <c r="P3809"/>
  <c r="Q3809"/>
  <c r="R3809"/>
  <c r="S3809"/>
  <c r="T3809"/>
  <c r="U3809"/>
  <c r="V3809"/>
  <c r="W3809"/>
  <c r="X3809"/>
  <c r="Y3809"/>
  <c r="AA3809"/>
  <c r="AB3809"/>
  <c r="AC3809"/>
  <c r="AD3809"/>
  <c r="P3810"/>
  <c r="Q3810"/>
  <c r="R3810"/>
  <c r="S3810"/>
  <c r="T3810"/>
  <c r="U3810"/>
  <c r="V3810"/>
  <c r="W3810"/>
  <c r="X3810"/>
  <c r="Y3810"/>
  <c r="AA3810"/>
  <c r="AB3810"/>
  <c r="AC3810"/>
  <c r="AD3810"/>
  <c r="P3811"/>
  <c r="Q3811"/>
  <c r="R3811"/>
  <c r="S3811"/>
  <c r="T3811"/>
  <c r="U3811"/>
  <c r="V3811"/>
  <c r="W3811"/>
  <c r="X3811"/>
  <c r="Y3811"/>
  <c r="AA3811"/>
  <c r="AB3811"/>
  <c r="AC3811"/>
  <c r="AD3811"/>
  <c r="P3812"/>
  <c r="Q3812"/>
  <c r="R3812"/>
  <c r="S3812"/>
  <c r="T3812"/>
  <c r="U3812"/>
  <c r="V3812"/>
  <c r="W3812"/>
  <c r="X3812"/>
  <c r="Y3812"/>
  <c r="AA3812"/>
  <c r="AB3812"/>
  <c r="AC3812"/>
  <c r="AD3812"/>
  <c r="P3813"/>
  <c r="Q3813"/>
  <c r="R3813"/>
  <c r="S3813"/>
  <c r="T3813"/>
  <c r="U3813"/>
  <c r="V3813"/>
  <c r="W3813"/>
  <c r="X3813"/>
  <c r="Y3813"/>
  <c r="AA3813"/>
  <c r="AB3813"/>
  <c r="AC3813"/>
  <c r="AD3813"/>
  <c r="P3814"/>
  <c r="Q3814"/>
  <c r="R3814"/>
  <c r="S3814"/>
  <c r="T3814"/>
  <c r="U3814"/>
  <c r="V3814"/>
  <c r="W3814"/>
  <c r="X3814"/>
  <c r="Y3814"/>
  <c r="AA3814"/>
  <c r="AB3814"/>
  <c r="AC3814"/>
  <c r="AD3814"/>
  <c r="P3815"/>
  <c r="Q3815"/>
  <c r="R3815"/>
  <c r="S3815"/>
  <c r="T3815"/>
  <c r="U3815"/>
  <c r="V3815"/>
  <c r="W3815"/>
  <c r="X3815"/>
  <c r="Y3815"/>
  <c r="AA3815"/>
  <c r="AB3815"/>
  <c r="AC3815"/>
  <c r="AD3815"/>
  <c r="P3816"/>
  <c r="Q3816"/>
  <c r="R3816"/>
  <c r="S3816"/>
  <c r="T3816"/>
  <c r="U3816"/>
  <c r="V3816"/>
  <c r="W3816"/>
  <c r="X3816"/>
  <c r="Y3816"/>
  <c r="AA3816"/>
  <c r="AB3816"/>
  <c r="AC3816"/>
  <c r="AD3816"/>
  <c r="P3817"/>
  <c r="Q3817"/>
  <c r="R3817"/>
  <c r="S3817"/>
  <c r="T3817"/>
  <c r="U3817"/>
  <c r="V3817"/>
  <c r="W3817"/>
  <c r="X3817"/>
  <c r="Y3817"/>
  <c r="AA3817"/>
  <c r="AB3817"/>
  <c r="AC3817"/>
  <c r="AD3817"/>
  <c r="P3818"/>
  <c r="Q3818"/>
  <c r="R3818"/>
  <c r="S3818"/>
  <c r="T3818"/>
  <c r="U3818"/>
  <c r="V3818"/>
  <c r="W3818"/>
  <c r="X3818"/>
  <c r="Y3818"/>
  <c r="AA3818"/>
  <c r="AB3818"/>
  <c r="AC3818"/>
  <c r="AD3818"/>
  <c r="P3819"/>
  <c r="Q3819"/>
  <c r="R3819"/>
  <c r="S3819"/>
  <c r="T3819"/>
  <c r="U3819"/>
  <c r="V3819"/>
  <c r="W3819"/>
  <c r="X3819"/>
  <c r="Y3819"/>
  <c r="AA3819"/>
  <c r="AB3819"/>
  <c r="AC3819"/>
  <c r="AD3819"/>
  <c r="P3820"/>
  <c r="Q3820"/>
  <c r="R3820"/>
  <c r="S3820"/>
  <c r="T3820"/>
  <c r="U3820"/>
  <c r="V3820"/>
  <c r="W3820"/>
  <c r="X3820"/>
  <c r="Y3820"/>
  <c r="AA3820"/>
  <c r="AB3820"/>
  <c r="AC3820"/>
  <c r="AD3820"/>
  <c r="P3821"/>
  <c r="Q3821"/>
  <c r="R3821"/>
  <c r="S3821"/>
  <c r="T3821"/>
  <c r="U3821"/>
  <c r="V3821"/>
  <c r="W3821"/>
  <c r="X3821"/>
  <c r="Y3821"/>
  <c r="AA3821"/>
  <c r="AB3821"/>
  <c r="AC3821"/>
  <c r="AD3821"/>
  <c r="P3822"/>
  <c r="Q3822"/>
  <c r="R3822"/>
  <c r="S3822"/>
  <c r="T3822"/>
  <c r="U3822"/>
  <c r="V3822"/>
  <c r="W3822"/>
  <c r="X3822"/>
  <c r="Y3822"/>
  <c r="AA3822"/>
  <c r="AB3822"/>
  <c r="AC3822"/>
  <c r="AD3822"/>
  <c r="P3823"/>
  <c r="Q3823"/>
  <c r="R3823"/>
  <c r="S3823"/>
  <c r="T3823"/>
  <c r="U3823"/>
  <c r="V3823"/>
  <c r="W3823"/>
  <c r="X3823"/>
  <c r="Y3823"/>
  <c r="AA3823"/>
  <c r="AB3823"/>
  <c r="AC3823"/>
  <c r="AD3823"/>
  <c r="P3824"/>
  <c r="Q3824"/>
  <c r="R3824"/>
  <c r="S3824"/>
  <c r="T3824"/>
  <c r="U3824"/>
  <c r="V3824"/>
  <c r="W3824"/>
  <c r="X3824"/>
  <c r="Y3824"/>
  <c r="AA3824"/>
  <c r="AB3824"/>
  <c r="AC3824"/>
  <c r="AD3824"/>
  <c r="P3825"/>
  <c r="Q3825"/>
  <c r="R3825"/>
  <c r="S3825"/>
  <c r="T3825"/>
  <c r="U3825"/>
  <c r="V3825"/>
  <c r="W3825"/>
  <c r="X3825"/>
  <c r="Y3825"/>
  <c r="AA3825"/>
  <c r="AB3825"/>
  <c r="AC3825"/>
  <c r="AD3825"/>
  <c r="P3826"/>
  <c r="Q3826"/>
  <c r="R3826"/>
  <c r="S3826"/>
  <c r="T3826"/>
  <c r="U3826"/>
  <c r="V3826"/>
  <c r="W3826"/>
  <c r="X3826"/>
  <c r="Y3826"/>
  <c r="AA3826"/>
  <c r="AB3826"/>
  <c r="AC3826"/>
  <c r="AD3826"/>
  <c r="P3827"/>
  <c r="Q3827"/>
  <c r="R3827"/>
  <c r="S3827"/>
  <c r="T3827"/>
  <c r="U3827"/>
  <c r="V3827"/>
  <c r="W3827"/>
  <c r="X3827"/>
  <c r="Y3827"/>
  <c r="AA3827"/>
  <c r="AB3827"/>
  <c r="AC3827"/>
  <c r="AD3827"/>
  <c r="P3828"/>
  <c r="Q3828"/>
  <c r="R3828"/>
  <c r="S3828"/>
  <c r="T3828"/>
  <c r="U3828"/>
  <c r="V3828"/>
  <c r="W3828"/>
  <c r="X3828"/>
  <c r="Y3828"/>
  <c r="AA3828"/>
  <c r="AB3828"/>
  <c r="AC3828"/>
  <c r="AD3828"/>
  <c r="P3829"/>
  <c r="Q3829"/>
  <c r="R3829"/>
  <c r="S3829"/>
  <c r="T3829"/>
  <c r="U3829"/>
  <c r="V3829"/>
  <c r="W3829"/>
  <c r="X3829"/>
  <c r="Y3829"/>
  <c r="AA3829"/>
  <c r="AB3829"/>
  <c r="AC3829"/>
  <c r="AD3829"/>
  <c r="P3830"/>
  <c r="Q3830"/>
  <c r="R3830"/>
  <c r="S3830"/>
  <c r="T3830"/>
  <c r="U3830"/>
  <c r="V3830"/>
  <c r="W3830"/>
  <c r="X3830"/>
  <c r="Y3830"/>
  <c r="AA3830"/>
  <c r="AB3830"/>
  <c r="AC3830"/>
  <c r="AD3830"/>
  <c r="P3831"/>
  <c r="Q3831"/>
  <c r="R3831"/>
  <c r="S3831"/>
  <c r="T3831"/>
  <c r="U3831"/>
  <c r="V3831"/>
  <c r="W3831"/>
  <c r="X3831"/>
  <c r="Y3831"/>
  <c r="AA3831"/>
  <c r="AB3831"/>
  <c r="AC3831"/>
  <c r="AD3831"/>
  <c r="P3832"/>
  <c r="Q3832"/>
  <c r="R3832"/>
  <c r="S3832"/>
  <c r="T3832"/>
  <c r="U3832"/>
  <c r="V3832"/>
  <c r="W3832"/>
  <c r="X3832"/>
  <c r="Y3832"/>
  <c r="AA3832"/>
  <c r="AB3832"/>
  <c r="AC3832"/>
  <c r="AD3832"/>
  <c r="P3833"/>
  <c r="Q3833"/>
  <c r="R3833"/>
  <c r="S3833"/>
  <c r="T3833"/>
  <c r="U3833"/>
  <c r="V3833"/>
  <c r="W3833"/>
  <c r="X3833"/>
  <c r="Y3833"/>
  <c r="AA3833"/>
  <c r="AB3833"/>
  <c r="AC3833"/>
  <c r="AD3833"/>
  <c r="P3834"/>
  <c r="Q3834"/>
  <c r="R3834"/>
  <c r="S3834"/>
  <c r="T3834"/>
  <c r="U3834"/>
  <c r="V3834"/>
  <c r="W3834"/>
  <c r="X3834"/>
  <c r="Y3834"/>
  <c r="AA3834"/>
  <c r="AB3834"/>
  <c r="AC3834"/>
  <c r="AD3834"/>
  <c r="P3835"/>
  <c r="Q3835"/>
  <c r="R3835"/>
  <c r="S3835"/>
  <c r="T3835"/>
  <c r="U3835"/>
  <c r="V3835"/>
  <c r="W3835"/>
  <c r="X3835"/>
  <c r="Y3835"/>
  <c r="AA3835"/>
  <c r="AB3835"/>
  <c r="AC3835"/>
  <c r="AD3835"/>
  <c r="P3836"/>
  <c r="Q3836"/>
  <c r="R3836"/>
  <c r="S3836"/>
  <c r="T3836"/>
  <c r="U3836"/>
  <c r="V3836"/>
  <c r="W3836"/>
  <c r="X3836"/>
  <c r="Y3836"/>
  <c r="AA3836"/>
  <c r="AB3836"/>
  <c r="AC3836"/>
  <c r="AD3836"/>
  <c r="P3837"/>
  <c r="Q3837"/>
  <c r="R3837"/>
  <c r="S3837"/>
  <c r="T3837"/>
  <c r="U3837"/>
  <c r="V3837"/>
  <c r="W3837"/>
  <c r="X3837"/>
  <c r="Y3837"/>
  <c r="AA3837"/>
  <c r="AB3837"/>
  <c r="AC3837"/>
  <c r="AD3837"/>
  <c r="P3838"/>
  <c r="Q3838"/>
  <c r="R3838"/>
  <c r="S3838"/>
  <c r="T3838"/>
  <c r="U3838"/>
  <c r="V3838"/>
  <c r="W3838"/>
  <c r="X3838"/>
  <c r="Y3838"/>
  <c r="AA3838"/>
  <c r="AB3838"/>
  <c r="AC3838"/>
  <c r="AD3838"/>
  <c r="P3839"/>
  <c r="Q3839"/>
  <c r="R3839"/>
  <c r="S3839"/>
  <c r="T3839"/>
  <c r="U3839"/>
  <c r="V3839"/>
  <c r="W3839"/>
  <c r="X3839"/>
  <c r="Y3839"/>
  <c r="AA3839"/>
  <c r="AB3839"/>
  <c r="AC3839"/>
  <c r="AD3839"/>
  <c r="P3840"/>
  <c r="Q3840"/>
  <c r="R3840"/>
  <c r="S3840"/>
  <c r="T3840"/>
  <c r="U3840"/>
  <c r="V3840"/>
  <c r="W3840"/>
  <c r="X3840"/>
  <c r="Y3840"/>
  <c r="AA3840"/>
  <c r="AB3840"/>
  <c r="AC3840"/>
  <c r="AD3840"/>
  <c r="P3841"/>
  <c r="Q3841"/>
  <c r="R3841"/>
  <c r="S3841"/>
  <c r="T3841"/>
  <c r="U3841"/>
  <c r="V3841"/>
  <c r="W3841"/>
  <c r="X3841"/>
  <c r="Y3841"/>
  <c r="AA3841"/>
  <c r="AB3841"/>
  <c r="AC3841"/>
  <c r="AD3841"/>
  <c r="P3842"/>
  <c r="Q3842"/>
  <c r="R3842"/>
  <c r="S3842"/>
  <c r="T3842"/>
  <c r="U3842"/>
  <c r="V3842"/>
  <c r="W3842"/>
  <c r="X3842"/>
  <c r="Y3842"/>
  <c r="AA3842"/>
  <c r="AB3842"/>
  <c r="AC3842"/>
  <c r="AD3842"/>
  <c r="P3843"/>
  <c r="Q3843"/>
  <c r="R3843"/>
  <c r="S3843"/>
  <c r="T3843"/>
  <c r="U3843"/>
  <c r="V3843"/>
  <c r="W3843"/>
  <c r="X3843"/>
  <c r="Y3843"/>
  <c r="AA3843"/>
  <c r="AB3843"/>
  <c r="AC3843"/>
  <c r="AD3843"/>
  <c r="P3844"/>
  <c r="Q3844"/>
  <c r="R3844"/>
  <c r="S3844"/>
  <c r="T3844"/>
  <c r="U3844"/>
  <c r="V3844"/>
  <c r="W3844"/>
  <c r="X3844"/>
  <c r="Y3844"/>
  <c r="AA3844"/>
  <c r="AB3844"/>
  <c r="AC3844"/>
  <c r="AD3844"/>
  <c r="P3845"/>
  <c r="Q3845"/>
  <c r="R3845"/>
  <c r="S3845"/>
  <c r="T3845"/>
  <c r="U3845"/>
  <c r="V3845"/>
  <c r="W3845"/>
  <c r="X3845"/>
  <c r="Y3845"/>
  <c r="AA3845"/>
  <c r="AB3845"/>
  <c r="AC3845"/>
  <c r="AD3845"/>
  <c r="P3846"/>
  <c r="Q3846"/>
  <c r="R3846"/>
  <c r="S3846"/>
  <c r="T3846"/>
  <c r="U3846"/>
  <c r="V3846"/>
  <c r="W3846"/>
  <c r="X3846"/>
  <c r="Y3846"/>
  <c r="AA3846"/>
  <c r="AB3846"/>
  <c r="AC3846"/>
  <c r="AD3846"/>
  <c r="P3847"/>
  <c r="Q3847"/>
  <c r="R3847"/>
  <c r="S3847"/>
  <c r="T3847"/>
  <c r="U3847"/>
  <c r="V3847"/>
  <c r="W3847"/>
  <c r="X3847"/>
  <c r="Y3847"/>
  <c r="AA3847"/>
  <c r="AB3847"/>
  <c r="AC3847"/>
  <c r="AD3847"/>
  <c r="P3848"/>
  <c r="Q3848"/>
  <c r="R3848"/>
  <c r="S3848"/>
  <c r="T3848"/>
  <c r="U3848"/>
  <c r="V3848"/>
  <c r="W3848"/>
  <c r="X3848"/>
  <c r="Y3848"/>
  <c r="AA3848"/>
  <c r="AB3848"/>
  <c r="AC3848"/>
  <c r="AD3848"/>
  <c r="P3849"/>
  <c r="Q3849"/>
  <c r="R3849"/>
  <c r="S3849"/>
  <c r="T3849"/>
  <c r="U3849"/>
  <c r="V3849"/>
  <c r="W3849"/>
  <c r="X3849"/>
  <c r="Y3849"/>
  <c r="AA3849"/>
  <c r="AB3849"/>
  <c r="AC3849"/>
  <c r="AD3849"/>
  <c r="P3850"/>
  <c r="Q3850"/>
  <c r="R3850"/>
  <c r="S3850"/>
  <c r="T3850"/>
  <c r="U3850"/>
  <c r="V3850"/>
  <c r="W3850"/>
  <c r="X3850"/>
  <c r="Y3850"/>
  <c r="AA3850"/>
  <c r="AB3850"/>
  <c r="AC3850"/>
  <c r="AD3850"/>
  <c r="P3851"/>
  <c r="Q3851"/>
  <c r="R3851"/>
  <c r="S3851"/>
  <c r="T3851"/>
  <c r="U3851"/>
  <c r="V3851"/>
  <c r="W3851"/>
  <c r="X3851"/>
  <c r="Y3851"/>
  <c r="AA3851"/>
  <c r="AB3851"/>
  <c r="AC3851"/>
  <c r="AD3851"/>
  <c r="P3852"/>
  <c r="Q3852"/>
  <c r="R3852"/>
  <c r="S3852"/>
  <c r="T3852"/>
  <c r="U3852"/>
  <c r="V3852"/>
  <c r="W3852"/>
  <c r="X3852"/>
  <c r="Y3852"/>
  <c r="AA3852"/>
  <c r="AB3852"/>
  <c r="AC3852"/>
  <c r="AD3852"/>
  <c r="P3853"/>
  <c r="Q3853"/>
  <c r="R3853"/>
  <c r="S3853"/>
  <c r="T3853"/>
  <c r="U3853"/>
  <c r="V3853"/>
  <c r="W3853"/>
  <c r="X3853"/>
  <c r="Y3853"/>
  <c r="AA3853"/>
  <c r="AB3853"/>
  <c r="AC3853"/>
  <c r="AD3853"/>
  <c r="P3854"/>
  <c r="Q3854"/>
  <c r="R3854"/>
  <c r="S3854"/>
  <c r="T3854"/>
  <c r="U3854"/>
  <c r="V3854"/>
  <c r="W3854"/>
  <c r="X3854"/>
  <c r="Y3854"/>
  <c r="AA3854"/>
  <c r="AB3854"/>
  <c r="AC3854"/>
  <c r="AD3854"/>
  <c r="P3855"/>
  <c r="Q3855"/>
  <c r="R3855"/>
  <c r="S3855"/>
  <c r="T3855"/>
  <c r="U3855"/>
  <c r="V3855"/>
  <c r="W3855"/>
  <c r="X3855"/>
  <c r="Y3855"/>
  <c r="AA3855"/>
  <c r="AB3855"/>
  <c r="AC3855"/>
  <c r="AD3855"/>
  <c r="P3856"/>
  <c r="Q3856"/>
  <c r="R3856"/>
  <c r="S3856"/>
  <c r="T3856"/>
  <c r="U3856"/>
  <c r="V3856"/>
  <c r="W3856"/>
  <c r="X3856"/>
  <c r="Y3856"/>
  <c r="AA3856"/>
  <c r="AB3856"/>
  <c r="AC3856"/>
  <c r="AD3856"/>
  <c r="P3857"/>
  <c r="Q3857"/>
  <c r="R3857"/>
  <c r="S3857"/>
  <c r="T3857"/>
  <c r="U3857"/>
  <c r="V3857"/>
  <c r="W3857"/>
  <c r="X3857"/>
  <c r="Y3857"/>
  <c r="AA3857"/>
  <c r="AB3857"/>
  <c r="AC3857"/>
  <c r="AD3857"/>
  <c r="P3858"/>
  <c r="Q3858"/>
  <c r="R3858"/>
  <c r="S3858"/>
  <c r="T3858"/>
  <c r="U3858"/>
  <c r="V3858"/>
  <c r="W3858"/>
  <c r="X3858"/>
  <c r="Y3858"/>
  <c r="AA3858"/>
  <c r="AB3858"/>
  <c r="AC3858"/>
  <c r="AD3858"/>
  <c r="P3859"/>
  <c r="Q3859"/>
  <c r="R3859"/>
  <c r="S3859"/>
  <c r="T3859"/>
  <c r="U3859"/>
  <c r="V3859"/>
  <c r="W3859"/>
  <c r="X3859"/>
  <c r="Y3859"/>
  <c r="AA3859"/>
  <c r="AB3859"/>
  <c r="AC3859"/>
  <c r="AD3859"/>
  <c r="P3860"/>
  <c r="Q3860"/>
  <c r="R3860"/>
  <c r="S3860"/>
  <c r="T3860"/>
  <c r="U3860"/>
  <c r="V3860"/>
  <c r="W3860"/>
  <c r="X3860"/>
  <c r="Y3860"/>
  <c r="AA3860"/>
  <c r="AB3860"/>
  <c r="AC3860"/>
  <c r="AD3860"/>
  <c r="P3861"/>
  <c r="Q3861"/>
  <c r="R3861"/>
  <c r="S3861"/>
  <c r="T3861"/>
  <c r="U3861"/>
  <c r="V3861"/>
  <c r="W3861"/>
  <c r="X3861"/>
  <c r="Y3861"/>
  <c r="AA3861"/>
  <c r="AB3861"/>
  <c r="AC3861"/>
  <c r="AD3861"/>
  <c r="P3862"/>
  <c r="Q3862"/>
  <c r="R3862"/>
  <c r="S3862"/>
  <c r="T3862"/>
  <c r="U3862"/>
  <c r="V3862"/>
  <c r="W3862"/>
  <c r="X3862"/>
  <c r="Y3862"/>
  <c r="AA3862"/>
  <c r="AB3862"/>
  <c r="AC3862"/>
  <c r="AD3862"/>
  <c r="P3863"/>
  <c r="Q3863"/>
  <c r="R3863"/>
  <c r="S3863"/>
  <c r="T3863"/>
  <c r="U3863"/>
  <c r="V3863"/>
  <c r="W3863"/>
  <c r="X3863"/>
  <c r="Y3863"/>
  <c r="AA3863"/>
  <c r="AB3863"/>
  <c r="AC3863"/>
  <c r="AD3863"/>
  <c r="P3864"/>
  <c r="Q3864"/>
  <c r="R3864"/>
  <c r="S3864"/>
  <c r="T3864"/>
  <c r="U3864"/>
  <c r="V3864"/>
  <c r="W3864"/>
  <c r="X3864"/>
  <c r="Y3864"/>
  <c r="AA3864"/>
  <c r="AB3864"/>
  <c r="AC3864"/>
  <c r="AD3864"/>
  <c r="P3865"/>
  <c r="Q3865"/>
  <c r="R3865"/>
  <c r="S3865"/>
  <c r="T3865"/>
  <c r="U3865"/>
  <c r="V3865"/>
  <c r="W3865"/>
  <c r="X3865"/>
  <c r="Y3865"/>
  <c r="AA3865"/>
  <c r="AB3865"/>
  <c r="AC3865"/>
  <c r="AD3865"/>
  <c r="P3866"/>
  <c r="Q3866"/>
  <c r="R3866"/>
  <c r="S3866"/>
  <c r="T3866"/>
  <c r="U3866"/>
  <c r="V3866"/>
  <c r="W3866"/>
  <c r="X3866"/>
  <c r="Y3866"/>
  <c r="AA3866"/>
  <c r="AB3866"/>
  <c r="AC3866"/>
  <c r="AD3866"/>
  <c r="P3867"/>
  <c r="Q3867"/>
  <c r="R3867"/>
  <c r="S3867"/>
  <c r="T3867"/>
  <c r="U3867"/>
  <c r="V3867"/>
  <c r="W3867"/>
  <c r="X3867"/>
  <c r="Y3867"/>
  <c r="AA3867"/>
  <c r="AB3867"/>
  <c r="AC3867"/>
  <c r="AD3867"/>
  <c r="P3868"/>
  <c r="Q3868"/>
  <c r="R3868"/>
  <c r="S3868"/>
  <c r="T3868"/>
  <c r="U3868"/>
  <c r="V3868"/>
  <c r="W3868"/>
  <c r="X3868"/>
  <c r="Y3868"/>
  <c r="AA3868"/>
  <c r="AB3868"/>
  <c r="AC3868"/>
  <c r="AD3868"/>
  <c r="P3869"/>
  <c r="Q3869"/>
  <c r="R3869"/>
  <c r="S3869"/>
  <c r="T3869"/>
  <c r="U3869"/>
  <c r="V3869"/>
  <c r="W3869"/>
  <c r="X3869"/>
  <c r="Y3869"/>
  <c r="AA3869"/>
  <c r="AB3869"/>
  <c r="AC3869"/>
  <c r="AD3869"/>
  <c r="P3870"/>
  <c r="Q3870"/>
  <c r="R3870"/>
  <c r="S3870"/>
  <c r="T3870"/>
  <c r="U3870"/>
  <c r="V3870"/>
  <c r="W3870"/>
  <c r="X3870"/>
  <c r="Y3870"/>
  <c r="AA3870"/>
  <c r="AB3870"/>
  <c r="AC3870"/>
  <c r="AD3870"/>
  <c r="P3871"/>
  <c r="Q3871"/>
  <c r="R3871"/>
  <c r="S3871"/>
  <c r="T3871"/>
  <c r="U3871"/>
  <c r="V3871"/>
  <c r="W3871"/>
  <c r="X3871"/>
  <c r="Y3871"/>
  <c r="AA3871"/>
  <c r="AB3871"/>
  <c r="AC3871"/>
  <c r="AD3871"/>
  <c r="P3872"/>
  <c r="Q3872"/>
  <c r="R3872"/>
  <c r="S3872"/>
  <c r="T3872"/>
  <c r="U3872"/>
  <c r="V3872"/>
  <c r="W3872"/>
  <c r="X3872"/>
  <c r="Y3872"/>
  <c r="AA3872"/>
  <c r="AB3872"/>
  <c r="AC3872"/>
  <c r="AD3872"/>
  <c r="P3873"/>
  <c r="Q3873"/>
  <c r="R3873"/>
  <c r="S3873"/>
  <c r="T3873"/>
  <c r="U3873"/>
  <c r="V3873"/>
  <c r="W3873"/>
  <c r="X3873"/>
  <c r="Y3873"/>
  <c r="AA3873"/>
  <c r="AB3873"/>
  <c r="AC3873"/>
  <c r="AD3873"/>
  <c r="P3874"/>
  <c r="Q3874"/>
  <c r="R3874"/>
  <c r="S3874"/>
  <c r="T3874"/>
  <c r="U3874"/>
  <c r="V3874"/>
  <c r="W3874"/>
  <c r="X3874"/>
  <c r="Y3874"/>
  <c r="AA3874"/>
  <c r="AB3874"/>
  <c r="AC3874"/>
  <c r="AD3874"/>
  <c r="P3875"/>
  <c r="Q3875"/>
  <c r="R3875"/>
  <c r="S3875"/>
  <c r="T3875"/>
  <c r="U3875"/>
  <c r="V3875"/>
  <c r="W3875"/>
  <c r="X3875"/>
  <c r="Y3875"/>
  <c r="AA3875"/>
  <c r="AB3875"/>
  <c r="AC3875"/>
  <c r="AD3875"/>
  <c r="P3876"/>
  <c r="Q3876"/>
  <c r="R3876"/>
  <c r="S3876"/>
  <c r="T3876"/>
  <c r="U3876"/>
  <c r="V3876"/>
  <c r="W3876"/>
  <c r="X3876"/>
  <c r="Y3876"/>
  <c r="AA3876"/>
  <c r="AB3876"/>
  <c r="AC3876"/>
  <c r="AD3876"/>
  <c r="P3877"/>
  <c r="Q3877"/>
  <c r="R3877"/>
  <c r="S3877"/>
  <c r="T3877"/>
  <c r="U3877"/>
  <c r="V3877"/>
  <c r="W3877"/>
  <c r="X3877"/>
  <c r="Y3877"/>
  <c r="AA3877"/>
  <c r="AB3877"/>
  <c r="AC3877"/>
  <c r="AD3877"/>
  <c r="P3878"/>
  <c r="Q3878"/>
  <c r="R3878"/>
  <c r="S3878"/>
  <c r="T3878"/>
  <c r="U3878"/>
  <c r="V3878"/>
  <c r="W3878"/>
  <c r="X3878"/>
  <c r="Y3878"/>
  <c r="AA3878"/>
  <c r="AB3878"/>
  <c r="AC3878"/>
  <c r="AD3878"/>
  <c r="P3879"/>
  <c r="Q3879"/>
  <c r="R3879"/>
  <c r="S3879"/>
  <c r="T3879"/>
  <c r="U3879"/>
  <c r="V3879"/>
  <c r="W3879"/>
  <c r="X3879"/>
  <c r="Y3879"/>
  <c r="AA3879"/>
  <c r="AB3879"/>
  <c r="AC3879"/>
  <c r="AD3879"/>
  <c r="P3880"/>
  <c r="Q3880"/>
  <c r="R3880"/>
  <c r="S3880"/>
  <c r="T3880"/>
  <c r="U3880"/>
  <c r="V3880"/>
  <c r="W3880"/>
  <c r="X3880"/>
  <c r="Y3880"/>
  <c r="AA3880"/>
  <c r="AB3880"/>
  <c r="AC3880"/>
  <c r="AD3880"/>
  <c r="P3881"/>
  <c r="Q3881"/>
  <c r="R3881"/>
  <c r="S3881"/>
  <c r="T3881"/>
  <c r="U3881"/>
  <c r="V3881"/>
  <c r="W3881"/>
  <c r="X3881"/>
  <c r="Y3881"/>
  <c r="AA3881"/>
  <c r="AB3881"/>
  <c r="AC3881"/>
  <c r="AD3881"/>
  <c r="P3882"/>
  <c r="Q3882"/>
  <c r="R3882"/>
  <c r="S3882"/>
  <c r="T3882"/>
  <c r="U3882"/>
  <c r="V3882"/>
  <c r="W3882"/>
  <c r="X3882"/>
  <c r="Y3882"/>
  <c r="AA3882"/>
  <c r="AB3882"/>
  <c r="AC3882"/>
  <c r="AD3882"/>
  <c r="P3883"/>
  <c r="Q3883"/>
  <c r="R3883"/>
  <c r="S3883"/>
  <c r="T3883"/>
  <c r="U3883"/>
  <c r="V3883"/>
  <c r="W3883"/>
  <c r="X3883"/>
  <c r="Y3883"/>
  <c r="AA3883"/>
  <c r="AB3883"/>
  <c r="AC3883"/>
  <c r="AD3883"/>
  <c r="P3884"/>
  <c r="Q3884"/>
  <c r="R3884"/>
  <c r="S3884"/>
  <c r="T3884"/>
  <c r="U3884"/>
  <c r="V3884"/>
  <c r="W3884"/>
  <c r="X3884"/>
  <c r="Y3884"/>
  <c r="AA3884"/>
  <c r="AB3884"/>
  <c r="AC3884"/>
  <c r="AD3884"/>
  <c r="P3885"/>
  <c r="Q3885"/>
  <c r="R3885"/>
  <c r="S3885"/>
  <c r="T3885"/>
  <c r="U3885"/>
  <c r="V3885"/>
  <c r="W3885"/>
  <c r="X3885"/>
  <c r="Y3885"/>
  <c r="AA3885"/>
  <c r="AB3885"/>
  <c r="AC3885"/>
  <c r="AD3885"/>
  <c r="P3886"/>
  <c r="Q3886"/>
  <c r="R3886"/>
  <c r="S3886"/>
  <c r="T3886"/>
  <c r="U3886"/>
  <c r="V3886"/>
  <c r="W3886"/>
  <c r="X3886"/>
  <c r="Y3886"/>
  <c r="AA3886"/>
  <c r="AB3886"/>
  <c r="AC3886"/>
  <c r="AD3886"/>
  <c r="P3887"/>
  <c r="Q3887"/>
  <c r="R3887"/>
  <c r="S3887"/>
  <c r="T3887"/>
  <c r="U3887"/>
  <c r="V3887"/>
  <c r="W3887"/>
  <c r="X3887"/>
  <c r="Y3887"/>
  <c r="AA3887"/>
  <c r="AB3887"/>
  <c r="AC3887"/>
  <c r="AD3887"/>
  <c r="P3888"/>
  <c r="Q3888"/>
  <c r="R3888"/>
  <c r="S3888"/>
  <c r="T3888"/>
  <c r="U3888"/>
  <c r="V3888"/>
  <c r="W3888"/>
  <c r="X3888"/>
  <c r="Y3888"/>
  <c r="AA3888"/>
  <c r="AB3888"/>
  <c r="AC3888"/>
  <c r="AD3888"/>
  <c r="P3889"/>
  <c r="Q3889"/>
  <c r="R3889"/>
  <c r="S3889"/>
  <c r="T3889"/>
  <c r="U3889"/>
  <c r="V3889"/>
  <c r="W3889"/>
  <c r="X3889"/>
  <c r="Y3889"/>
  <c r="AA3889"/>
  <c r="AB3889"/>
  <c r="AC3889"/>
  <c r="AD3889"/>
  <c r="P3890"/>
  <c r="Q3890"/>
  <c r="R3890"/>
  <c r="S3890"/>
  <c r="T3890"/>
  <c r="U3890"/>
  <c r="V3890"/>
  <c r="W3890"/>
  <c r="X3890"/>
  <c r="Y3890"/>
  <c r="AA3890"/>
  <c r="AB3890"/>
  <c r="AC3890"/>
  <c r="AD3890"/>
  <c r="P3891"/>
  <c r="Q3891"/>
  <c r="R3891"/>
  <c r="S3891"/>
  <c r="T3891"/>
  <c r="U3891"/>
  <c r="V3891"/>
  <c r="W3891"/>
  <c r="X3891"/>
  <c r="Y3891"/>
  <c r="AA3891"/>
  <c r="AB3891"/>
  <c r="AC3891"/>
  <c r="AD3891"/>
  <c r="P3892"/>
  <c r="Q3892"/>
  <c r="R3892"/>
  <c r="S3892"/>
  <c r="T3892"/>
  <c r="U3892"/>
  <c r="V3892"/>
  <c r="W3892"/>
  <c r="X3892"/>
  <c r="Y3892"/>
  <c r="AA3892"/>
  <c r="AB3892"/>
  <c r="AC3892"/>
  <c r="AD3892"/>
  <c r="P3893"/>
  <c r="Q3893"/>
  <c r="R3893"/>
  <c r="S3893"/>
  <c r="T3893"/>
  <c r="U3893"/>
  <c r="V3893"/>
  <c r="W3893"/>
  <c r="X3893"/>
  <c r="Y3893"/>
  <c r="AA3893"/>
  <c r="AB3893"/>
  <c r="AC3893"/>
  <c r="AD3893"/>
  <c r="P3894"/>
  <c r="Q3894"/>
  <c r="R3894"/>
  <c r="S3894"/>
  <c r="T3894"/>
  <c r="U3894"/>
  <c r="V3894"/>
  <c r="W3894"/>
  <c r="X3894"/>
  <c r="Y3894"/>
  <c r="AA3894"/>
  <c r="AB3894"/>
  <c r="AC3894"/>
  <c r="AD3894"/>
  <c r="P3895"/>
  <c r="Q3895"/>
  <c r="R3895"/>
  <c r="S3895"/>
  <c r="T3895"/>
  <c r="U3895"/>
  <c r="V3895"/>
  <c r="W3895"/>
  <c r="X3895"/>
  <c r="Y3895"/>
  <c r="AA3895"/>
  <c r="AB3895"/>
  <c r="AC3895"/>
  <c r="AD3895"/>
  <c r="P3896"/>
  <c r="Q3896"/>
  <c r="R3896"/>
  <c r="S3896"/>
  <c r="T3896"/>
  <c r="U3896"/>
  <c r="V3896"/>
  <c r="W3896"/>
  <c r="X3896"/>
  <c r="Y3896"/>
  <c r="AA3896"/>
  <c r="AB3896"/>
  <c r="AC3896"/>
  <c r="AD3896"/>
  <c r="P3897"/>
  <c r="Q3897"/>
  <c r="R3897"/>
  <c r="S3897"/>
  <c r="T3897"/>
  <c r="U3897"/>
  <c r="V3897"/>
  <c r="W3897"/>
  <c r="X3897"/>
  <c r="Y3897"/>
  <c r="AA3897"/>
  <c r="AB3897"/>
  <c r="AC3897"/>
  <c r="AD3897"/>
  <c r="P3898"/>
  <c r="Q3898"/>
  <c r="R3898"/>
  <c r="S3898"/>
  <c r="T3898"/>
  <c r="U3898"/>
  <c r="V3898"/>
  <c r="W3898"/>
  <c r="X3898"/>
  <c r="Y3898"/>
  <c r="AA3898"/>
  <c r="AB3898"/>
  <c r="AC3898"/>
  <c r="AD3898"/>
  <c r="P3899"/>
  <c r="Q3899"/>
  <c r="R3899"/>
  <c r="S3899"/>
  <c r="T3899"/>
  <c r="U3899"/>
  <c r="V3899"/>
  <c r="W3899"/>
  <c r="X3899"/>
  <c r="Y3899"/>
  <c r="AA3899"/>
  <c r="AB3899"/>
  <c r="AC3899"/>
  <c r="AD3899"/>
  <c r="P3900"/>
  <c r="Q3900"/>
  <c r="R3900"/>
  <c r="S3900"/>
  <c r="T3900"/>
  <c r="U3900"/>
  <c r="V3900"/>
  <c r="W3900"/>
  <c r="X3900"/>
  <c r="Y3900"/>
  <c r="AA3900"/>
  <c r="AB3900"/>
  <c r="AC3900"/>
  <c r="AD3900"/>
  <c r="P3901"/>
  <c r="Q3901"/>
  <c r="R3901"/>
  <c r="S3901"/>
  <c r="T3901"/>
  <c r="U3901"/>
  <c r="V3901"/>
  <c r="W3901"/>
  <c r="X3901"/>
  <c r="Y3901"/>
  <c r="AA3901"/>
  <c r="AB3901"/>
  <c r="AC3901"/>
  <c r="AD3901"/>
  <c r="P3902"/>
  <c r="Q3902"/>
  <c r="R3902"/>
  <c r="S3902"/>
  <c r="T3902"/>
  <c r="U3902"/>
  <c r="V3902"/>
  <c r="W3902"/>
  <c r="X3902"/>
  <c r="Y3902"/>
  <c r="AA3902"/>
  <c r="AB3902"/>
  <c r="AC3902"/>
  <c r="AD3902"/>
  <c r="P3903"/>
  <c r="Q3903"/>
  <c r="R3903"/>
  <c r="S3903"/>
  <c r="T3903"/>
  <c r="U3903"/>
  <c r="V3903"/>
  <c r="W3903"/>
  <c r="X3903"/>
  <c r="Y3903"/>
  <c r="AA3903"/>
  <c r="AB3903"/>
  <c r="AC3903"/>
  <c r="AD3903"/>
  <c r="P3904"/>
  <c r="Q3904"/>
  <c r="R3904"/>
  <c r="S3904"/>
  <c r="T3904"/>
  <c r="U3904"/>
  <c r="V3904"/>
  <c r="W3904"/>
  <c r="X3904"/>
  <c r="Y3904"/>
  <c r="AA3904"/>
  <c r="AB3904"/>
  <c r="AC3904"/>
  <c r="AD3904"/>
  <c r="P3905"/>
  <c r="Q3905"/>
  <c r="R3905"/>
  <c r="S3905"/>
  <c r="T3905"/>
  <c r="U3905"/>
  <c r="V3905"/>
  <c r="W3905"/>
  <c r="X3905"/>
  <c r="Y3905"/>
  <c r="AA3905"/>
  <c r="AB3905"/>
  <c r="AC3905"/>
  <c r="AD3905"/>
  <c r="P3906"/>
  <c r="Q3906"/>
  <c r="R3906"/>
  <c r="S3906"/>
  <c r="T3906"/>
  <c r="U3906"/>
  <c r="V3906"/>
  <c r="W3906"/>
  <c r="X3906"/>
  <c r="Y3906"/>
  <c r="AA3906"/>
  <c r="AB3906"/>
  <c r="AC3906"/>
  <c r="AD3906"/>
  <c r="P3907"/>
  <c r="Q3907"/>
  <c r="R3907"/>
  <c r="S3907"/>
  <c r="T3907"/>
  <c r="U3907"/>
  <c r="V3907"/>
  <c r="W3907"/>
  <c r="X3907"/>
  <c r="Y3907"/>
  <c r="AA3907"/>
  <c r="AB3907"/>
  <c r="AC3907"/>
  <c r="AD3907"/>
  <c r="P3908"/>
  <c r="Q3908"/>
  <c r="R3908"/>
  <c r="S3908"/>
  <c r="T3908"/>
  <c r="U3908"/>
  <c r="V3908"/>
  <c r="W3908"/>
  <c r="X3908"/>
  <c r="Y3908"/>
  <c r="AA3908"/>
  <c r="AB3908"/>
  <c r="AC3908"/>
  <c r="AD3908"/>
  <c r="P3909"/>
  <c r="Q3909"/>
  <c r="R3909"/>
  <c r="S3909"/>
  <c r="T3909"/>
  <c r="U3909"/>
  <c r="V3909"/>
  <c r="W3909"/>
  <c r="X3909"/>
  <c r="Y3909"/>
  <c r="AA3909"/>
  <c r="AB3909"/>
  <c r="AC3909"/>
  <c r="AD3909"/>
  <c r="P3910"/>
  <c r="Q3910"/>
  <c r="R3910"/>
  <c r="S3910"/>
  <c r="T3910"/>
  <c r="U3910"/>
  <c r="V3910"/>
  <c r="W3910"/>
  <c r="X3910"/>
  <c r="Y3910"/>
  <c r="AA3910"/>
  <c r="AB3910"/>
  <c r="AC3910"/>
  <c r="AD3910"/>
  <c r="P3911"/>
  <c r="Q3911"/>
  <c r="R3911"/>
  <c r="S3911"/>
  <c r="T3911"/>
  <c r="U3911"/>
  <c r="V3911"/>
  <c r="W3911"/>
  <c r="X3911"/>
  <c r="Y3911"/>
  <c r="AA3911"/>
  <c r="AB3911"/>
  <c r="AC3911"/>
  <c r="AD3911"/>
  <c r="P3912"/>
  <c r="Q3912"/>
  <c r="R3912"/>
  <c r="S3912"/>
  <c r="T3912"/>
  <c r="U3912"/>
  <c r="V3912"/>
  <c r="W3912"/>
  <c r="X3912"/>
  <c r="Y3912"/>
  <c r="AA3912"/>
  <c r="AB3912"/>
  <c r="AC3912"/>
  <c r="AD3912"/>
  <c r="P3913"/>
  <c r="Q3913"/>
  <c r="R3913"/>
  <c r="S3913"/>
  <c r="T3913"/>
  <c r="U3913"/>
  <c r="V3913"/>
  <c r="W3913"/>
  <c r="X3913"/>
  <c r="Y3913"/>
  <c r="AA3913"/>
  <c r="AB3913"/>
  <c r="AC3913"/>
  <c r="AD3913"/>
  <c r="P3914"/>
  <c r="Q3914"/>
  <c r="R3914"/>
  <c r="S3914"/>
  <c r="T3914"/>
  <c r="U3914"/>
  <c r="V3914"/>
  <c r="W3914"/>
  <c r="X3914"/>
  <c r="Y3914"/>
  <c r="AA3914"/>
  <c r="AB3914"/>
  <c r="AC3914"/>
  <c r="AD3914"/>
  <c r="P3915"/>
  <c r="Q3915"/>
  <c r="R3915"/>
  <c r="S3915"/>
  <c r="T3915"/>
  <c r="U3915"/>
  <c r="V3915"/>
  <c r="W3915"/>
  <c r="X3915"/>
  <c r="Y3915"/>
  <c r="AA3915"/>
  <c r="AB3915"/>
  <c r="AC3915"/>
  <c r="AD3915"/>
  <c r="P3916"/>
  <c r="Q3916"/>
  <c r="R3916"/>
  <c r="S3916"/>
  <c r="T3916"/>
  <c r="U3916"/>
  <c r="V3916"/>
  <c r="W3916"/>
  <c r="X3916"/>
  <c r="Y3916"/>
  <c r="AA3916"/>
  <c r="AB3916"/>
  <c r="AC3916"/>
  <c r="AD3916"/>
  <c r="P3917"/>
  <c r="Q3917"/>
  <c r="R3917"/>
  <c r="S3917"/>
  <c r="T3917"/>
  <c r="U3917"/>
  <c r="V3917"/>
  <c r="W3917"/>
  <c r="X3917"/>
  <c r="Y3917"/>
  <c r="AA3917"/>
  <c r="AB3917"/>
  <c r="AC3917"/>
  <c r="AD3917"/>
  <c r="P3918"/>
  <c r="Q3918"/>
  <c r="R3918"/>
  <c r="S3918"/>
  <c r="T3918"/>
  <c r="U3918"/>
  <c r="V3918"/>
  <c r="W3918"/>
  <c r="X3918"/>
  <c r="Y3918"/>
  <c r="AA3918"/>
  <c r="AB3918"/>
  <c r="AC3918"/>
  <c r="AD3918"/>
  <c r="P3919"/>
  <c r="Q3919"/>
  <c r="R3919"/>
  <c r="S3919"/>
  <c r="T3919"/>
  <c r="U3919"/>
  <c r="V3919"/>
  <c r="W3919"/>
  <c r="X3919"/>
  <c r="Y3919"/>
  <c r="AA3919"/>
  <c r="AB3919"/>
  <c r="AC3919"/>
  <c r="AD3919"/>
  <c r="P3920"/>
  <c r="Q3920"/>
  <c r="R3920"/>
  <c r="S3920"/>
  <c r="T3920"/>
  <c r="U3920"/>
  <c r="V3920"/>
  <c r="W3920"/>
  <c r="X3920"/>
  <c r="Y3920"/>
  <c r="AA3920"/>
  <c r="AB3920"/>
  <c r="AC3920"/>
  <c r="AD3920"/>
  <c r="P3921"/>
  <c r="Q3921"/>
  <c r="R3921"/>
  <c r="S3921"/>
  <c r="T3921"/>
  <c r="U3921"/>
  <c r="V3921"/>
  <c r="W3921"/>
  <c r="X3921"/>
  <c r="Y3921"/>
  <c r="AA3921"/>
  <c r="AB3921"/>
  <c r="AC3921"/>
  <c r="AD3921"/>
  <c r="P3922"/>
  <c r="Q3922"/>
  <c r="R3922"/>
  <c r="S3922"/>
  <c r="T3922"/>
  <c r="U3922"/>
  <c r="V3922"/>
  <c r="W3922"/>
  <c r="X3922"/>
  <c r="Y3922"/>
  <c r="AA3922"/>
  <c r="AB3922"/>
  <c r="AC3922"/>
  <c r="AD3922"/>
  <c r="P3923"/>
  <c r="Q3923"/>
  <c r="R3923"/>
  <c r="S3923"/>
  <c r="T3923"/>
  <c r="U3923"/>
  <c r="V3923"/>
  <c r="W3923"/>
  <c r="X3923"/>
  <c r="Y3923"/>
  <c r="AA3923"/>
  <c r="AB3923"/>
  <c r="AC3923"/>
  <c r="AD3923"/>
  <c r="P3924"/>
  <c r="Q3924"/>
  <c r="R3924"/>
  <c r="S3924"/>
  <c r="T3924"/>
  <c r="U3924"/>
  <c r="V3924"/>
  <c r="W3924"/>
  <c r="X3924"/>
  <c r="Y3924"/>
  <c r="AA3924"/>
  <c r="AB3924"/>
  <c r="AC3924"/>
  <c r="AD3924"/>
  <c r="P3925"/>
  <c r="Q3925"/>
  <c r="R3925"/>
  <c r="S3925"/>
  <c r="T3925"/>
  <c r="U3925"/>
  <c r="V3925"/>
  <c r="W3925"/>
  <c r="X3925"/>
  <c r="Y3925"/>
  <c r="AA3925"/>
  <c r="AB3925"/>
  <c r="AC3925"/>
  <c r="AD3925"/>
  <c r="P3926"/>
  <c r="Q3926"/>
  <c r="R3926"/>
  <c r="S3926"/>
  <c r="T3926"/>
  <c r="U3926"/>
  <c r="V3926"/>
  <c r="W3926"/>
  <c r="X3926"/>
  <c r="Y3926"/>
  <c r="AA3926"/>
  <c r="AB3926"/>
  <c r="AC3926"/>
  <c r="AD3926"/>
  <c r="P3927"/>
  <c r="Q3927"/>
  <c r="R3927"/>
  <c r="S3927"/>
  <c r="T3927"/>
  <c r="U3927"/>
  <c r="V3927"/>
  <c r="W3927"/>
  <c r="X3927"/>
  <c r="Y3927"/>
  <c r="AA3927"/>
  <c r="AB3927"/>
  <c r="AC3927"/>
  <c r="AD3927"/>
  <c r="P3928"/>
  <c r="Q3928"/>
  <c r="R3928"/>
  <c r="S3928"/>
  <c r="T3928"/>
  <c r="U3928"/>
  <c r="V3928"/>
  <c r="W3928"/>
  <c r="X3928"/>
  <c r="Y3928"/>
  <c r="AA3928"/>
  <c r="AB3928"/>
  <c r="AC3928"/>
  <c r="AD3928"/>
  <c r="P3929"/>
  <c r="Q3929"/>
  <c r="R3929"/>
  <c r="S3929"/>
  <c r="T3929"/>
  <c r="U3929"/>
  <c r="V3929"/>
  <c r="W3929"/>
  <c r="X3929"/>
  <c r="Y3929"/>
  <c r="AA3929"/>
  <c r="AB3929"/>
  <c r="AC3929"/>
  <c r="AD3929"/>
  <c r="P3930"/>
  <c r="Q3930"/>
  <c r="R3930"/>
  <c r="S3930"/>
  <c r="T3930"/>
  <c r="U3930"/>
  <c r="V3930"/>
  <c r="W3930"/>
  <c r="X3930"/>
  <c r="Y3930"/>
  <c r="AA3930"/>
  <c r="AB3930"/>
  <c r="AC3930"/>
  <c r="AD3930"/>
  <c r="P3931"/>
  <c r="Q3931"/>
  <c r="R3931"/>
  <c r="S3931"/>
  <c r="T3931"/>
  <c r="U3931"/>
  <c r="V3931"/>
  <c r="W3931"/>
  <c r="X3931"/>
  <c r="Y3931"/>
  <c r="AA3931"/>
  <c r="AB3931"/>
  <c r="AC3931"/>
  <c r="AD3931"/>
  <c r="P3932"/>
  <c r="Q3932"/>
  <c r="R3932"/>
  <c r="S3932"/>
  <c r="T3932"/>
  <c r="U3932"/>
  <c r="V3932"/>
  <c r="W3932"/>
  <c r="X3932"/>
  <c r="Y3932"/>
  <c r="AA3932"/>
  <c r="AB3932"/>
  <c r="AC3932"/>
  <c r="AD3932"/>
  <c r="P3933"/>
  <c r="Q3933"/>
  <c r="R3933"/>
  <c r="S3933"/>
  <c r="T3933"/>
  <c r="U3933"/>
  <c r="V3933"/>
  <c r="W3933"/>
  <c r="X3933"/>
  <c r="Y3933"/>
  <c r="AA3933"/>
  <c r="AB3933"/>
  <c r="AC3933"/>
  <c r="AD3933"/>
  <c r="P3934"/>
  <c r="Q3934"/>
  <c r="R3934"/>
  <c r="S3934"/>
  <c r="T3934"/>
  <c r="U3934"/>
  <c r="V3934"/>
  <c r="W3934"/>
  <c r="X3934"/>
  <c r="Y3934"/>
  <c r="AA3934"/>
  <c r="AB3934"/>
  <c r="AC3934"/>
  <c r="AD3934"/>
  <c r="P3935"/>
  <c r="Q3935"/>
  <c r="R3935"/>
  <c r="S3935"/>
  <c r="T3935"/>
  <c r="U3935"/>
  <c r="V3935"/>
  <c r="W3935"/>
  <c r="X3935"/>
  <c r="Y3935"/>
  <c r="AA3935"/>
  <c r="AB3935"/>
  <c r="AC3935"/>
  <c r="AD3935"/>
  <c r="P3936"/>
  <c r="Q3936"/>
  <c r="R3936"/>
  <c r="S3936"/>
  <c r="T3936"/>
  <c r="U3936"/>
  <c r="V3936"/>
  <c r="W3936"/>
  <c r="X3936"/>
  <c r="Y3936"/>
  <c r="AA3936"/>
  <c r="AB3936"/>
  <c r="AC3936"/>
  <c r="AD3936"/>
  <c r="P3937"/>
  <c r="Q3937"/>
  <c r="R3937"/>
  <c r="S3937"/>
  <c r="T3937"/>
  <c r="U3937"/>
  <c r="V3937"/>
  <c r="W3937"/>
  <c r="X3937"/>
  <c r="Y3937"/>
  <c r="AA3937"/>
  <c r="AB3937"/>
  <c r="AC3937"/>
  <c r="AD3937"/>
  <c r="P3938"/>
  <c r="Q3938"/>
  <c r="R3938"/>
  <c r="S3938"/>
  <c r="T3938"/>
  <c r="U3938"/>
  <c r="V3938"/>
  <c r="W3938"/>
  <c r="X3938"/>
  <c r="Y3938"/>
  <c r="AA3938"/>
  <c r="AB3938"/>
  <c r="AC3938"/>
  <c r="AD3938"/>
  <c r="P3939"/>
  <c r="Q3939"/>
  <c r="R3939"/>
  <c r="S3939"/>
  <c r="T3939"/>
  <c r="U3939"/>
  <c r="V3939"/>
  <c r="W3939"/>
  <c r="X3939"/>
  <c r="Y3939"/>
  <c r="AA3939"/>
  <c r="AB3939"/>
  <c r="AC3939"/>
  <c r="AD3939"/>
  <c r="P3940"/>
  <c r="Q3940"/>
  <c r="R3940"/>
  <c r="S3940"/>
  <c r="T3940"/>
  <c r="U3940"/>
  <c r="V3940"/>
  <c r="W3940"/>
  <c r="X3940"/>
  <c r="Y3940"/>
  <c r="AA3940"/>
  <c r="AB3940"/>
  <c r="AC3940"/>
  <c r="AD3940"/>
  <c r="P3941"/>
  <c r="Q3941"/>
  <c r="R3941"/>
  <c r="S3941"/>
  <c r="T3941"/>
  <c r="U3941"/>
  <c r="V3941"/>
  <c r="W3941"/>
  <c r="X3941"/>
  <c r="Y3941"/>
  <c r="AA3941"/>
  <c r="AB3941"/>
  <c r="AC3941"/>
  <c r="AD3941"/>
  <c r="P3942"/>
  <c r="Q3942"/>
  <c r="R3942"/>
  <c r="S3942"/>
  <c r="T3942"/>
  <c r="U3942"/>
  <c r="V3942"/>
  <c r="W3942"/>
  <c r="X3942"/>
  <c r="Y3942"/>
  <c r="AA3942"/>
  <c r="AB3942"/>
  <c r="AC3942"/>
  <c r="AD3942"/>
  <c r="P3943"/>
  <c r="Q3943"/>
  <c r="R3943"/>
  <c r="S3943"/>
  <c r="T3943"/>
  <c r="U3943"/>
  <c r="V3943"/>
  <c r="W3943"/>
  <c r="X3943"/>
  <c r="Y3943"/>
  <c r="AA3943"/>
  <c r="AB3943"/>
  <c r="AC3943"/>
  <c r="AD3943"/>
  <c r="P3944"/>
  <c r="Q3944"/>
  <c r="R3944"/>
  <c r="S3944"/>
  <c r="T3944"/>
  <c r="U3944"/>
  <c r="V3944"/>
  <c r="W3944"/>
  <c r="X3944"/>
  <c r="Y3944"/>
  <c r="AA3944"/>
  <c r="AB3944"/>
  <c r="AC3944"/>
  <c r="AD3944"/>
  <c r="P3945"/>
  <c r="Q3945"/>
  <c r="R3945"/>
  <c r="S3945"/>
  <c r="T3945"/>
  <c r="U3945"/>
  <c r="V3945"/>
  <c r="W3945"/>
  <c r="X3945"/>
  <c r="Y3945"/>
  <c r="AA3945"/>
  <c r="AB3945"/>
  <c r="AC3945"/>
  <c r="AD3945"/>
  <c r="P3946"/>
  <c r="Q3946"/>
  <c r="R3946"/>
  <c r="S3946"/>
  <c r="T3946"/>
  <c r="U3946"/>
  <c r="V3946"/>
  <c r="W3946"/>
  <c r="X3946"/>
  <c r="Y3946"/>
  <c r="AA3946"/>
  <c r="AB3946"/>
  <c r="AC3946"/>
  <c r="AD3946"/>
  <c r="P3947"/>
  <c r="Q3947"/>
  <c r="R3947"/>
  <c r="S3947"/>
  <c r="T3947"/>
  <c r="U3947"/>
  <c r="V3947"/>
  <c r="W3947"/>
  <c r="X3947"/>
  <c r="Y3947"/>
  <c r="AA3947"/>
  <c r="AB3947"/>
  <c r="AC3947"/>
  <c r="AD3947"/>
  <c r="P3948"/>
  <c r="Q3948"/>
  <c r="R3948"/>
  <c r="S3948"/>
  <c r="T3948"/>
  <c r="U3948"/>
  <c r="V3948"/>
  <c r="W3948"/>
  <c r="X3948"/>
  <c r="Y3948"/>
  <c r="AA3948"/>
  <c r="AB3948"/>
  <c r="AC3948"/>
  <c r="AD3948"/>
  <c r="P3949"/>
  <c r="Q3949"/>
  <c r="R3949"/>
  <c r="S3949"/>
  <c r="T3949"/>
  <c r="U3949"/>
  <c r="V3949"/>
  <c r="W3949"/>
  <c r="X3949"/>
  <c r="Y3949"/>
  <c r="AA3949"/>
  <c r="AB3949"/>
  <c r="AC3949"/>
  <c r="AD3949"/>
  <c r="P3950"/>
  <c r="Q3950"/>
  <c r="R3950"/>
  <c r="S3950"/>
  <c r="T3950"/>
  <c r="U3950"/>
  <c r="V3950"/>
  <c r="W3950"/>
  <c r="X3950"/>
  <c r="Y3950"/>
  <c r="AA3950"/>
  <c r="AB3950"/>
  <c r="AC3950"/>
  <c r="AD3950"/>
  <c r="P3951"/>
  <c r="Q3951"/>
  <c r="R3951"/>
  <c r="S3951"/>
  <c r="T3951"/>
  <c r="U3951"/>
  <c r="V3951"/>
  <c r="W3951"/>
  <c r="X3951"/>
  <c r="Y3951"/>
  <c r="AA3951"/>
  <c r="AB3951"/>
  <c r="AC3951"/>
  <c r="AD3951"/>
  <c r="P3952"/>
  <c r="Q3952"/>
  <c r="R3952"/>
  <c r="S3952"/>
  <c r="T3952"/>
  <c r="U3952"/>
  <c r="V3952"/>
  <c r="W3952"/>
  <c r="X3952"/>
  <c r="Y3952"/>
  <c r="AA3952"/>
  <c r="AB3952"/>
  <c r="AC3952"/>
  <c r="AD3952"/>
  <c r="P3953"/>
  <c r="Q3953"/>
  <c r="R3953"/>
  <c r="S3953"/>
  <c r="T3953"/>
  <c r="U3953"/>
  <c r="V3953"/>
  <c r="W3953"/>
  <c r="X3953"/>
  <c r="Y3953"/>
  <c r="AA3953"/>
  <c r="AB3953"/>
  <c r="AC3953"/>
  <c r="AD3953"/>
  <c r="P3954"/>
  <c r="Q3954"/>
  <c r="R3954"/>
  <c r="S3954"/>
  <c r="T3954"/>
  <c r="U3954"/>
  <c r="V3954"/>
  <c r="W3954"/>
  <c r="X3954"/>
  <c r="Y3954"/>
  <c r="AA3954"/>
  <c r="AB3954"/>
  <c r="AC3954"/>
  <c r="AD3954"/>
  <c r="P3955"/>
  <c r="Q3955"/>
  <c r="R3955"/>
  <c r="S3955"/>
  <c r="T3955"/>
  <c r="U3955"/>
  <c r="V3955"/>
  <c r="W3955"/>
  <c r="X3955"/>
  <c r="Y3955"/>
  <c r="AA3955"/>
  <c r="AB3955"/>
  <c r="AC3955"/>
  <c r="AD3955"/>
  <c r="P3956"/>
  <c r="Q3956"/>
  <c r="R3956"/>
  <c r="S3956"/>
  <c r="T3956"/>
  <c r="U3956"/>
  <c r="V3956"/>
  <c r="W3956"/>
  <c r="X3956"/>
  <c r="Y3956"/>
  <c r="AA3956"/>
  <c r="AB3956"/>
  <c r="AC3956"/>
  <c r="AD3956"/>
  <c r="P3957"/>
  <c r="Q3957"/>
  <c r="R3957"/>
  <c r="S3957"/>
  <c r="T3957"/>
  <c r="U3957"/>
  <c r="V3957"/>
  <c r="W3957"/>
  <c r="X3957"/>
  <c r="Y3957"/>
  <c r="AA3957"/>
  <c r="AB3957"/>
  <c r="AC3957"/>
  <c r="AD3957"/>
  <c r="P3958"/>
  <c r="Q3958"/>
  <c r="R3958"/>
  <c r="S3958"/>
  <c r="T3958"/>
  <c r="U3958"/>
  <c r="V3958"/>
  <c r="W3958"/>
  <c r="X3958"/>
  <c r="Y3958"/>
  <c r="AA3958"/>
  <c r="AB3958"/>
  <c r="AC3958"/>
  <c r="AD3958"/>
  <c r="P3959"/>
  <c r="Q3959"/>
  <c r="R3959"/>
  <c r="S3959"/>
  <c r="T3959"/>
  <c r="U3959"/>
  <c r="V3959"/>
  <c r="W3959"/>
  <c r="X3959"/>
  <c r="Y3959"/>
  <c r="AA3959"/>
  <c r="AB3959"/>
  <c r="AC3959"/>
  <c r="AD3959"/>
  <c r="P3960"/>
  <c r="Q3960"/>
  <c r="R3960"/>
  <c r="S3960"/>
  <c r="T3960"/>
  <c r="U3960"/>
  <c r="V3960"/>
  <c r="W3960"/>
  <c r="X3960"/>
  <c r="Y3960"/>
  <c r="AA3960"/>
  <c r="AB3960"/>
  <c r="AC3960"/>
  <c r="AD3960"/>
  <c r="P3961"/>
  <c r="Q3961"/>
  <c r="R3961"/>
  <c r="S3961"/>
  <c r="T3961"/>
  <c r="U3961"/>
  <c r="V3961"/>
  <c r="W3961"/>
  <c r="X3961"/>
  <c r="Y3961"/>
  <c r="AA3961"/>
  <c r="AB3961"/>
  <c r="AC3961"/>
  <c r="AD3961"/>
  <c r="P3962"/>
  <c r="Q3962"/>
  <c r="R3962"/>
  <c r="S3962"/>
  <c r="T3962"/>
  <c r="U3962"/>
  <c r="V3962"/>
  <c r="W3962"/>
  <c r="X3962"/>
  <c r="Y3962"/>
  <c r="AA3962"/>
  <c r="AB3962"/>
  <c r="AC3962"/>
  <c r="AD3962"/>
  <c r="P3963"/>
  <c r="Q3963"/>
  <c r="R3963"/>
  <c r="S3963"/>
  <c r="T3963"/>
  <c r="U3963"/>
  <c r="V3963"/>
  <c r="W3963"/>
  <c r="X3963"/>
  <c r="Y3963"/>
  <c r="AA3963"/>
  <c r="AB3963"/>
  <c r="AC3963"/>
  <c r="AD3963"/>
  <c r="P3964"/>
  <c r="Q3964"/>
  <c r="R3964"/>
  <c r="S3964"/>
  <c r="T3964"/>
  <c r="U3964"/>
  <c r="V3964"/>
  <c r="W3964"/>
  <c r="X3964"/>
  <c r="Y3964"/>
  <c r="AA3964"/>
  <c r="AB3964"/>
  <c r="AC3964"/>
  <c r="AD3964"/>
  <c r="P3965"/>
  <c r="Q3965"/>
  <c r="R3965"/>
  <c r="S3965"/>
  <c r="T3965"/>
  <c r="U3965"/>
  <c r="V3965"/>
  <c r="W3965"/>
  <c r="X3965"/>
  <c r="Y3965"/>
  <c r="AA3965"/>
  <c r="AB3965"/>
  <c r="AC3965"/>
  <c r="AD3965"/>
  <c r="P3966"/>
  <c r="Q3966"/>
  <c r="R3966"/>
  <c r="S3966"/>
  <c r="T3966"/>
  <c r="U3966"/>
  <c r="V3966"/>
  <c r="W3966"/>
  <c r="X3966"/>
  <c r="Y3966"/>
  <c r="AA3966"/>
  <c r="AB3966"/>
  <c r="AC3966"/>
  <c r="AD3966"/>
  <c r="P3967"/>
  <c r="Q3967"/>
  <c r="R3967"/>
  <c r="S3967"/>
  <c r="T3967"/>
  <c r="U3967"/>
  <c r="V3967"/>
  <c r="W3967"/>
  <c r="X3967"/>
  <c r="Y3967"/>
  <c r="AA3967"/>
  <c r="AB3967"/>
  <c r="AC3967"/>
  <c r="AD3967"/>
  <c r="P3968"/>
  <c r="Q3968"/>
  <c r="R3968"/>
  <c r="S3968"/>
  <c r="T3968"/>
  <c r="U3968"/>
  <c r="V3968"/>
  <c r="W3968"/>
  <c r="X3968"/>
  <c r="Y3968"/>
  <c r="AA3968"/>
  <c r="AB3968"/>
  <c r="AC3968"/>
  <c r="AD3968"/>
  <c r="P3969"/>
  <c r="Q3969"/>
  <c r="R3969"/>
  <c r="S3969"/>
  <c r="T3969"/>
  <c r="U3969"/>
  <c r="V3969"/>
  <c r="W3969"/>
  <c r="X3969"/>
  <c r="Y3969"/>
  <c r="AA3969"/>
  <c r="AB3969"/>
  <c r="AC3969"/>
  <c r="AD3969"/>
  <c r="P3970"/>
  <c r="Q3970"/>
  <c r="R3970"/>
  <c r="S3970"/>
  <c r="T3970"/>
  <c r="U3970"/>
  <c r="V3970"/>
  <c r="W3970"/>
  <c r="X3970"/>
  <c r="Y3970"/>
  <c r="AA3970"/>
  <c r="AB3970"/>
  <c r="AC3970"/>
  <c r="AD3970"/>
  <c r="P3971"/>
  <c r="Q3971"/>
  <c r="R3971"/>
  <c r="S3971"/>
  <c r="T3971"/>
  <c r="U3971"/>
  <c r="V3971"/>
  <c r="W3971"/>
  <c r="X3971"/>
  <c r="Y3971"/>
  <c r="AA3971"/>
  <c r="AB3971"/>
  <c r="AC3971"/>
  <c r="AD3971"/>
  <c r="P3972"/>
  <c r="Q3972"/>
  <c r="R3972"/>
  <c r="S3972"/>
  <c r="T3972"/>
  <c r="U3972"/>
  <c r="V3972"/>
  <c r="W3972"/>
  <c r="X3972"/>
  <c r="Y3972"/>
  <c r="AA3972"/>
  <c r="AB3972"/>
  <c r="AC3972"/>
  <c r="AD3972"/>
  <c r="P3973"/>
  <c r="Q3973"/>
  <c r="R3973"/>
  <c r="S3973"/>
  <c r="T3973"/>
  <c r="U3973"/>
  <c r="V3973"/>
  <c r="W3973"/>
  <c r="X3973"/>
  <c r="Y3973"/>
  <c r="AA3973"/>
  <c r="AB3973"/>
  <c r="AC3973"/>
  <c r="AD3973"/>
  <c r="P3974"/>
  <c r="Q3974"/>
  <c r="R3974"/>
  <c r="S3974"/>
  <c r="T3974"/>
  <c r="U3974"/>
  <c r="V3974"/>
  <c r="W3974"/>
  <c r="X3974"/>
  <c r="Y3974"/>
  <c r="AA3974"/>
  <c r="AB3974"/>
  <c r="AC3974"/>
  <c r="AD3974"/>
  <c r="P3975"/>
  <c r="Q3975"/>
  <c r="R3975"/>
  <c r="S3975"/>
  <c r="T3975"/>
  <c r="U3975"/>
  <c r="V3975"/>
  <c r="W3975"/>
  <c r="X3975"/>
  <c r="Y3975"/>
  <c r="AA3975"/>
  <c r="AB3975"/>
  <c r="AC3975"/>
  <c r="AD3975"/>
  <c r="P3976"/>
  <c r="Q3976"/>
  <c r="R3976"/>
  <c r="S3976"/>
  <c r="T3976"/>
  <c r="U3976"/>
  <c r="V3976"/>
  <c r="W3976"/>
  <c r="X3976"/>
  <c r="Y3976"/>
  <c r="AA3976"/>
  <c r="AB3976"/>
  <c r="AC3976"/>
  <c r="AD3976"/>
  <c r="P3977"/>
  <c r="Q3977"/>
  <c r="R3977"/>
  <c r="S3977"/>
  <c r="T3977"/>
  <c r="U3977"/>
  <c r="V3977"/>
  <c r="W3977"/>
  <c r="X3977"/>
  <c r="Y3977"/>
  <c r="AA3977"/>
  <c r="AB3977"/>
  <c r="AC3977"/>
  <c r="AD3977"/>
  <c r="P3978"/>
  <c r="Q3978"/>
  <c r="R3978"/>
  <c r="S3978"/>
  <c r="T3978"/>
  <c r="U3978"/>
  <c r="V3978"/>
  <c r="W3978"/>
  <c r="X3978"/>
  <c r="Y3978"/>
  <c r="AA3978"/>
  <c r="AB3978"/>
  <c r="AC3978"/>
  <c r="AD3978"/>
  <c r="P3979"/>
  <c r="Q3979"/>
  <c r="R3979"/>
  <c r="S3979"/>
  <c r="T3979"/>
  <c r="U3979"/>
  <c r="V3979"/>
  <c r="W3979"/>
  <c r="X3979"/>
  <c r="Y3979"/>
  <c r="AA3979"/>
  <c r="AB3979"/>
  <c r="AC3979"/>
  <c r="AD3979"/>
  <c r="P3980"/>
  <c r="Q3980"/>
  <c r="R3980"/>
  <c r="S3980"/>
  <c r="T3980"/>
  <c r="U3980"/>
  <c r="V3980"/>
  <c r="W3980"/>
  <c r="X3980"/>
  <c r="Y3980"/>
  <c r="AA3980"/>
  <c r="AB3980"/>
  <c r="AC3980"/>
  <c r="AD3980"/>
  <c r="P3981"/>
  <c r="Q3981"/>
  <c r="R3981"/>
  <c r="S3981"/>
  <c r="T3981"/>
  <c r="U3981"/>
  <c r="V3981"/>
  <c r="W3981"/>
  <c r="X3981"/>
  <c r="Y3981"/>
  <c r="AA3981"/>
  <c r="AB3981"/>
  <c r="AC3981"/>
  <c r="AD3981"/>
  <c r="P3982"/>
  <c r="Q3982"/>
  <c r="R3982"/>
  <c r="S3982"/>
  <c r="T3982"/>
  <c r="U3982"/>
  <c r="V3982"/>
  <c r="W3982"/>
  <c r="X3982"/>
  <c r="Y3982"/>
  <c r="AA3982"/>
  <c r="AB3982"/>
  <c r="AC3982"/>
  <c r="AD3982"/>
  <c r="P3983"/>
  <c r="Q3983"/>
  <c r="R3983"/>
  <c r="S3983"/>
  <c r="T3983"/>
  <c r="U3983"/>
  <c r="V3983"/>
  <c r="W3983"/>
  <c r="X3983"/>
  <c r="Y3983"/>
  <c r="AA3983"/>
  <c r="AB3983"/>
  <c r="AC3983"/>
  <c r="AD3983"/>
  <c r="P3984"/>
  <c r="Q3984"/>
  <c r="R3984"/>
  <c r="S3984"/>
  <c r="T3984"/>
  <c r="U3984"/>
  <c r="V3984"/>
  <c r="W3984"/>
  <c r="X3984"/>
  <c r="Y3984"/>
  <c r="AA3984"/>
  <c r="AB3984"/>
  <c r="AC3984"/>
  <c r="AD3984"/>
  <c r="P3985"/>
  <c r="Q3985"/>
  <c r="R3985"/>
  <c r="S3985"/>
  <c r="T3985"/>
  <c r="U3985"/>
  <c r="V3985"/>
  <c r="W3985"/>
  <c r="X3985"/>
  <c r="Y3985"/>
  <c r="AA3985"/>
  <c r="AB3985"/>
  <c r="AC3985"/>
  <c r="AD3985"/>
  <c r="P3986"/>
  <c r="Q3986"/>
  <c r="R3986"/>
  <c r="S3986"/>
  <c r="T3986"/>
  <c r="U3986"/>
  <c r="V3986"/>
  <c r="W3986"/>
  <c r="X3986"/>
  <c r="Y3986"/>
  <c r="AA3986"/>
  <c r="AB3986"/>
  <c r="AC3986"/>
  <c r="AD3986"/>
  <c r="P3987"/>
  <c r="Q3987"/>
  <c r="R3987"/>
  <c r="S3987"/>
  <c r="T3987"/>
  <c r="U3987"/>
  <c r="V3987"/>
  <c r="W3987"/>
  <c r="X3987"/>
  <c r="Y3987"/>
  <c r="AA3987"/>
  <c r="AB3987"/>
  <c r="AC3987"/>
  <c r="AD3987"/>
  <c r="P3988"/>
  <c r="Q3988"/>
  <c r="R3988"/>
  <c r="S3988"/>
  <c r="T3988"/>
  <c r="U3988"/>
  <c r="V3988"/>
  <c r="W3988"/>
  <c r="X3988"/>
  <c r="Y3988"/>
  <c r="AA3988"/>
  <c r="AB3988"/>
  <c r="AC3988"/>
  <c r="AD3988"/>
  <c r="P3989"/>
  <c r="Q3989"/>
  <c r="R3989"/>
  <c r="S3989"/>
  <c r="T3989"/>
  <c r="U3989"/>
  <c r="V3989"/>
  <c r="W3989"/>
  <c r="X3989"/>
  <c r="Y3989"/>
  <c r="AA3989"/>
  <c r="AB3989"/>
  <c r="AC3989"/>
  <c r="AD3989"/>
  <c r="P3990"/>
  <c r="Q3990"/>
  <c r="R3990"/>
  <c r="S3990"/>
  <c r="T3990"/>
  <c r="U3990"/>
  <c r="V3990"/>
  <c r="W3990"/>
  <c r="X3990"/>
  <c r="Y3990"/>
  <c r="AA3990"/>
  <c r="AB3990"/>
  <c r="AC3990"/>
  <c r="AD3990"/>
  <c r="P3991"/>
  <c r="Q3991"/>
  <c r="R3991"/>
  <c r="S3991"/>
  <c r="T3991"/>
  <c r="U3991"/>
  <c r="V3991"/>
  <c r="W3991"/>
  <c r="X3991"/>
  <c r="Y3991"/>
  <c r="AA3991"/>
  <c r="AB3991"/>
  <c r="AC3991"/>
  <c r="AD3991"/>
  <c r="P3992"/>
  <c r="Q3992"/>
  <c r="R3992"/>
  <c r="S3992"/>
  <c r="T3992"/>
  <c r="U3992"/>
  <c r="V3992"/>
  <c r="W3992"/>
  <c r="X3992"/>
  <c r="Y3992"/>
  <c r="AA3992"/>
  <c r="AB3992"/>
  <c r="AC3992"/>
  <c r="AD3992"/>
  <c r="P3993"/>
  <c r="Q3993"/>
  <c r="R3993"/>
  <c r="S3993"/>
  <c r="T3993"/>
  <c r="U3993"/>
  <c r="V3993"/>
  <c r="W3993"/>
  <c r="X3993"/>
  <c r="Y3993"/>
  <c r="AA3993"/>
  <c r="AB3993"/>
  <c r="AC3993"/>
  <c r="AD3993"/>
  <c r="P3994"/>
  <c r="Q3994"/>
  <c r="R3994"/>
  <c r="S3994"/>
  <c r="T3994"/>
  <c r="U3994"/>
  <c r="V3994"/>
  <c r="W3994"/>
  <c r="X3994"/>
  <c r="Y3994"/>
  <c r="AA3994"/>
  <c r="AB3994"/>
  <c r="AC3994"/>
  <c r="AD3994"/>
  <c r="P3995"/>
  <c r="Q3995"/>
  <c r="R3995"/>
  <c r="S3995"/>
  <c r="T3995"/>
  <c r="U3995"/>
  <c r="V3995"/>
  <c r="W3995"/>
  <c r="X3995"/>
  <c r="Y3995"/>
  <c r="AA3995"/>
  <c r="AB3995"/>
  <c r="AC3995"/>
  <c r="AD3995"/>
  <c r="P3996"/>
  <c r="Q3996"/>
  <c r="R3996"/>
  <c r="S3996"/>
  <c r="T3996"/>
  <c r="U3996"/>
  <c r="V3996"/>
  <c r="W3996"/>
  <c r="X3996"/>
  <c r="Y3996"/>
  <c r="AA3996"/>
  <c r="AB3996"/>
  <c r="AC3996"/>
  <c r="AD3996"/>
  <c r="P3997"/>
  <c r="Q3997"/>
  <c r="R3997"/>
  <c r="S3997"/>
  <c r="T3997"/>
  <c r="U3997"/>
  <c r="V3997"/>
  <c r="W3997"/>
  <c r="X3997"/>
  <c r="Y3997"/>
  <c r="AA3997"/>
  <c r="AB3997"/>
  <c r="AC3997"/>
  <c r="AD3997"/>
  <c r="P3998"/>
  <c r="Q3998"/>
  <c r="R3998"/>
  <c r="S3998"/>
  <c r="T3998"/>
  <c r="U3998"/>
  <c r="V3998"/>
  <c r="W3998"/>
  <c r="X3998"/>
  <c r="Y3998"/>
  <c r="AA3998"/>
  <c r="AB3998"/>
  <c r="AC3998"/>
  <c r="AD3998"/>
  <c r="P3999"/>
  <c r="Q3999"/>
  <c r="R3999"/>
  <c r="S3999"/>
  <c r="T3999"/>
  <c r="U3999"/>
  <c r="V3999"/>
  <c r="W3999"/>
  <c r="X3999"/>
  <c r="Y3999"/>
  <c r="AA3999"/>
  <c r="AB3999"/>
  <c r="AC3999"/>
  <c r="AD3999"/>
  <c r="P4000"/>
  <c r="Q4000"/>
  <c r="R4000"/>
  <c r="S4000"/>
  <c r="T4000"/>
  <c r="U4000"/>
  <c r="V4000"/>
  <c r="W4000"/>
  <c r="X4000"/>
  <c r="Y4000"/>
  <c r="AA4000"/>
  <c r="AB4000"/>
  <c r="AC4000"/>
  <c r="AD4000"/>
  <c r="P4001"/>
  <c r="Q4001"/>
  <c r="R4001"/>
  <c r="S4001"/>
  <c r="T4001"/>
  <c r="U4001"/>
  <c r="V4001"/>
  <c r="W4001"/>
  <c r="X4001"/>
  <c r="Y4001"/>
  <c r="AA4001"/>
  <c r="AB4001"/>
  <c r="AC4001"/>
  <c r="AD4001"/>
  <c r="P4002"/>
  <c r="Q4002"/>
  <c r="R4002"/>
  <c r="S4002"/>
  <c r="T4002"/>
  <c r="U4002"/>
  <c r="V4002"/>
  <c r="W4002"/>
  <c r="X4002"/>
  <c r="Y4002"/>
  <c r="AA4002"/>
  <c r="AB4002"/>
  <c r="AC4002"/>
  <c r="AD4002"/>
  <c r="P4003"/>
  <c r="Q4003"/>
  <c r="R4003"/>
  <c r="S4003"/>
  <c r="T4003"/>
  <c r="U4003"/>
  <c r="V4003"/>
  <c r="W4003"/>
  <c r="X4003"/>
  <c r="Y4003"/>
  <c r="AA4003"/>
  <c r="AB4003"/>
  <c r="AC4003"/>
  <c r="AD4003"/>
  <c r="P4004"/>
  <c r="Q4004"/>
  <c r="R4004"/>
  <c r="S4004"/>
  <c r="T4004"/>
  <c r="U4004"/>
  <c r="V4004"/>
  <c r="W4004"/>
  <c r="X4004"/>
  <c r="Y4004"/>
  <c r="AA4004"/>
  <c r="AB4004"/>
  <c r="AC4004"/>
  <c r="AD4004"/>
  <c r="P4005"/>
  <c r="Q4005"/>
  <c r="R4005"/>
  <c r="S4005"/>
  <c r="T4005"/>
  <c r="U4005"/>
  <c r="V4005"/>
  <c r="W4005"/>
  <c r="X4005"/>
  <c r="Y4005"/>
  <c r="AA4005"/>
  <c r="AB4005"/>
  <c r="AC4005"/>
  <c r="AD4005"/>
  <c r="P4006"/>
  <c r="Q4006"/>
  <c r="R4006"/>
  <c r="S4006"/>
  <c r="T4006"/>
  <c r="U4006"/>
  <c r="V4006"/>
  <c r="W4006"/>
  <c r="X4006"/>
  <c r="Y4006"/>
  <c r="AA4006"/>
  <c r="AB4006"/>
  <c r="AC4006"/>
  <c r="AD4006"/>
  <c r="P4007"/>
  <c r="Q4007"/>
  <c r="R4007"/>
  <c r="S4007"/>
  <c r="T4007"/>
  <c r="U4007"/>
  <c r="V4007"/>
  <c r="W4007"/>
  <c r="X4007"/>
  <c r="Y4007"/>
  <c r="AA4007"/>
  <c r="AB4007"/>
  <c r="AC4007"/>
  <c r="AD4007"/>
  <c r="P4008"/>
  <c r="Q4008"/>
  <c r="R4008"/>
  <c r="S4008"/>
  <c r="T4008"/>
  <c r="U4008"/>
  <c r="V4008"/>
  <c r="W4008"/>
  <c r="X4008"/>
  <c r="Y4008"/>
  <c r="AA4008"/>
  <c r="AB4008"/>
  <c r="AC4008"/>
  <c r="AD4008"/>
  <c r="P4009"/>
  <c r="Q4009"/>
  <c r="R4009"/>
  <c r="S4009"/>
  <c r="T4009"/>
  <c r="U4009"/>
  <c r="V4009"/>
  <c r="W4009"/>
  <c r="X4009"/>
  <c r="Y4009"/>
  <c r="AA4009"/>
  <c r="AB4009"/>
  <c r="AC4009"/>
  <c r="AD4009"/>
  <c r="P4010"/>
  <c r="Q4010"/>
  <c r="R4010"/>
  <c r="S4010"/>
  <c r="T4010"/>
  <c r="U4010"/>
  <c r="V4010"/>
  <c r="W4010"/>
  <c r="X4010"/>
  <c r="Y4010"/>
  <c r="AA4010"/>
  <c r="AB4010"/>
  <c r="AC4010"/>
  <c r="AD4010"/>
  <c r="P4011"/>
  <c r="Q4011"/>
  <c r="R4011"/>
  <c r="S4011"/>
  <c r="T4011"/>
  <c r="U4011"/>
  <c r="V4011"/>
  <c r="W4011"/>
  <c r="X4011"/>
  <c r="Y4011"/>
  <c r="AA4011"/>
  <c r="AB4011"/>
  <c r="AC4011"/>
  <c r="AD4011"/>
  <c r="P4012"/>
  <c r="Q4012"/>
  <c r="R4012"/>
  <c r="S4012"/>
  <c r="T4012"/>
  <c r="U4012"/>
  <c r="V4012"/>
  <c r="W4012"/>
  <c r="X4012"/>
  <c r="Y4012"/>
  <c r="AA4012"/>
  <c r="AB4012"/>
  <c r="AC4012"/>
  <c r="AD4012"/>
  <c r="P4013"/>
  <c r="Q4013"/>
  <c r="R4013"/>
  <c r="S4013"/>
  <c r="T4013"/>
  <c r="U4013"/>
  <c r="V4013"/>
  <c r="W4013"/>
  <c r="X4013"/>
  <c r="Y4013"/>
  <c r="AA4013"/>
  <c r="AB4013"/>
  <c r="AC4013"/>
  <c r="AD4013"/>
  <c r="P4014"/>
  <c r="Q4014"/>
  <c r="R4014"/>
  <c r="S4014"/>
  <c r="T4014"/>
  <c r="U4014"/>
  <c r="V4014"/>
  <c r="W4014"/>
  <c r="X4014"/>
  <c r="Y4014"/>
  <c r="AA4014"/>
  <c r="AB4014"/>
  <c r="AC4014"/>
  <c r="AD4014"/>
  <c r="P4015"/>
  <c r="Q4015"/>
  <c r="R4015"/>
  <c r="S4015"/>
  <c r="T4015"/>
  <c r="U4015"/>
  <c r="V4015"/>
  <c r="W4015"/>
  <c r="X4015"/>
  <c r="Y4015"/>
  <c r="AA4015"/>
  <c r="AB4015"/>
  <c r="AC4015"/>
  <c r="AD4015"/>
  <c r="P4016"/>
  <c r="Q4016"/>
  <c r="R4016"/>
  <c r="S4016"/>
  <c r="T4016"/>
  <c r="U4016"/>
  <c r="V4016"/>
  <c r="W4016"/>
  <c r="X4016"/>
  <c r="Y4016"/>
  <c r="AA4016"/>
  <c r="AB4016"/>
  <c r="AC4016"/>
  <c r="AD4016"/>
  <c r="P4017"/>
  <c r="Q4017"/>
  <c r="R4017"/>
  <c r="S4017"/>
  <c r="T4017"/>
  <c r="U4017"/>
  <c r="V4017"/>
  <c r="W4017"/>
  <c r="X4017"/>
  <c r="Y4017"/>
  <c r="AA4017"/>
  <c r="AB4017"/>
  <c r="AC4017"/>
  <c r="AD4017"/>
  <c r="P4018"/>
  <c r="Q4018"/>
  <c r="R4018"/>
  <c r="S4018"/>
  <c r="T4018"/>
  <c r="U4018"/>
  <c r="V4018"/>
  <c r="W4018"/>
  <c r="X4018"/>
  <c r="Y4018"/>
  <c r="AA4018"/>
  <c r="AB4018"/>
  <c r="AC4018"/>
  <c r="AD4018"/>
  <c r="P4019"/>
  <c r="Q4019"/>
  <c r="R4019"/>
  <c r="S4019"/>
  <c r="T4019"/>
  <c r="U4019"/>
  <c r="V4019"/>
  <c r="W4019"/>
  <c r="X4019"/>
  <c r="Y4019"/>
  <c r="AA4019"/>
  <c r="AB4019"/>
  <c r="AC4019"/>
  <c r="AD4019"/>
  <c r="P4020"/>
  <c r="Q4020"/>
  <c r="R4020"/>
  <c r="S4020"/>
  <c r="T4020"/>
  <c r="U4020"/>
  <c r="V4020"/>
  <c r="W4020"/>
  <c r="X4020"/>
  <c r="Y4020"/>
  <c r="AA4020"/>
  <c r="AB4020"/>
  <c r="AC4020"/>
  <c r="AD4020"/>
  <c r="P4021"/>
  <c r="Q4021"/>
  <c r="R4021"/>
  <c r="S4021"/>
  <c r="T4021"/>
  <c r="U4021"/>
  <c r="V4021"/>
  <c r="W4021"/>
  <c r="X4021"/>
  <c r="Y4021"/>
  <c r="AA4021"/>
  <c r="AB4021"/>
  <c r="AC4021"/>
  <c r="AD4021"/>
  <c r="P4022"/>
  <c r="Q4022"/>
  <c r="R4022"/>
  <c r="S4022"/>
  <c r="T4022"/>
  <c r="U4022"/>
  <c r="V4022"/>
  <c r="W4022"/>
  <c r="X4022"/>
  <c r="Y4022"/>
  <c r="AA4022"/>
  <c r="AB4022"/>
  <c r="AC4022"/>
  <c r="AD4022"/>
  <c r="P4023"/>
  <c r="Q4023"/>
  <c r="R4023"/>
  <c r="S4023"/>
  <c r="T4023"/>
  <c r="U4023"/>
  <c r="V4023"/>
  <c r="W4023"/>
  <c r="X4023"/>
  <c r="Y4023"/>
  <c r="AA4023"/>
  <c r="AB4023"/>
  <c r="AC4023"/>
  <c r="AD4023"/>
  <c r="P4024"/>
  <c r="Q4024"/>
  <c r="R4024"/>
  <c r="S4024"/>
  <c r="T4024"/>
  <c r="U4024"/>
  <c r="V4024"/>
  <c r="W4024"/>
  <c r="X4024"/>
  <c r="Y4024"/>
  <c r="AA4024"/>
  <c r="AB4024"/>
  <c r="AC4024"/>
  <c r="AD4024"/>
  <c r="P4025"/>
  <c r="Q4025"/>
  <c r="R4025"/>
  <c r="S4025"/>
  <c r="T4025"/>
  <c r="U4025"/>
  <c r="V4025"/>
  <c r="W4025"/>
  <c r="X4025"/>
  <c r="Y4025"/>
  <c r="AA4025"/>
  <c r="AB4025"/>
  <c r="AC4025"/>
  <c r="AD4025"/>
  <c r="P4026"/>
  <c r="Q4026"/>
  <c r="R4026"/>
  <c r="S4026"/>
  <c r="T4026"/>
  <c r="U4026"/>
  <c r="V4026"/>
  <c r="W4026"/>
  <c r="X4026"/>
  <c r="Y4026"/>
  <c r="AA4026"/>
  <c r="AB4026"/>
  <c r="AC4026"/>
  <c r="AD4026"/>
  <c r="P4027"/>
  <c r="Q4027"/>
  <c r="R4027"/>
  <c r="S4027"/>
  <c r="T4027"/>
  <c r="U4027"/>
  <c r="V4027"/>
  <c r="W4027"/>
  <c r="X4027"/>
  <c r="Y4027"/>
  <c r="AA4027"/>
  <c r="AB4027"/>
  <c r="AC4027"/>
  <c r="AD4027"/>
  <c r="P4028"/>
  <c r="Q4028"/>
  <c r="R4028"/>
  <c r="S4028"/>
  <c r="T4028"/>
  <c r="U4028"/>
  <c r="V4028"/>
  <c r="W4028"/>
  <c r="X4028"/>
  <c r="Y4028"/>
  <c r="AA4028"/>
  <c r="AB4028"/>
  <c r="AC4028"/>
  <c r="AD4028"/>
  <c r="P4029"/>
  <c r="Q4029"/>
  <c r="R4029"/>
  <c r="S4029"/>
  <c r="T4029"/>
  <c r="U4029"/>
  <c r="V4029"/>
  <c r="W4029"/>
  <c r="X4029"/>
  <c r="Y4029"/>
  <c r="AA4029"/>
  <c r="AB4029"/>
  <c r="AC4029"/>
  <c r="AD4029"/>
  <c r="P4030"/>
  <c r="Q4030"/>
  <c r="R4030"/>
  <c r="S4030"/>
  <c r="T4030"/>
  <c r="U4030"/>
  <c r="V4030"/>
  <c r="W4030"/>
  <c r="X4030"/>
  <c r="Y4030"/>
  <c r="AA4030"/>
  <c r="AB4030"/>
  <c r="AC4030"/>
  <c r="AD4030"/>
  <c r="P4031"/>
  <c r="Q4031"/>
  <c r="R4031"/>
  <c r="S4031"/>
  <c r="T4031"/>
  <c r="U4031"/>
  <c r="V4031"/>
  <c r="W4031"/>
  <c r="X4031"/>
  <c r="Y4031"/>
  <c r="AA4031"/>
  <c r="AB4031"/>
  <c r="AC4031"/>
  <c r="AD4031"/>
  <c r="P4032"/>
  <c r="Q4032"/>
  <c r="R4032"/>
  <c r="S4032"/>
  <c r="T4032"/>
  <c r="U4032"/>
  <c r="V4032"/>
  <c r="W4032"/>
  <c r="X4032"/>
  <c r="Y4032"/>
  <c r="AA4032"/>
  <c r="AB4032"/>
  <c r="AC4032"/>
  <c r="AD4032"/>
  <c r="P4033"/>
  <c r="Q4033"/>
  <c r="R4033"/>
  <c r="S4033"/>
  <c r="T4033"/>
  <c r="U4033"/>
  <c r="V4033"/>
  <c r="W4033"/>
  <c r="X4033"/>
  <c r="Y4033"/>
  <c r="AA4033"/>
  <c r="AB4033"/>
  <c r="AC4033"/>
  <c r="AD4033"/>
  <c r="P4034"/>
  <c r="Q4034"/>
  <c r="R4034"/>
  <c r="S4034"/>
  <c r="T4034"/>
  <c r="U4034"/>
  <c r="V4034"/>
  <c r="W4034"/>
  <c r="X4034"/>
  <c r="Y4034"/>
  <c r="AA4034"/>
  <c r="AB4034"/>
  <c r="AC4034"/>
  <c r="AD4034"/>
  <c r="P4035"/>
  <c r="Q4035"/>
  <c r="R4035"/>
  <c r="S4035"/>
  <c r="T4035"/>
  <c r="U4035"/>
  <c r="V4035"/>
  <c r="W4035"/>
  <c r="X4035"/>
  <c r="Y4035"/>
  <c r="AA4035"/>
  <c r="AB4035"/>
  <c r="AC4035"/>
  <c r="AD4035"/>
  <c r="P4036"/>
  <c r="Q4036"/>
  <c r="R4036"/>
  <c r="S4036"/>
  <c r="T4036"/>
  <c r="U4036"/>
  <c r="V4036"/>
  <c r="W4036"/>
  <c r="X4036"/>
  <c r="Y4036"/>
  <c r="AA4036"/>
  <c r="AB4036"/>
  <c r="AC4036"/>
  <c r="AD4036"/>
  <c r="P4037"/>
  <c r="Q4037"/>
  <c r="R4037"/>
  <c r="S4037"/>
  <c r="T4037"/>
  <c r="U4037"/>
  <c r="V4037"/>
  <c r="W4037"/>
  <c r="X4037"/>
  <c r="Y4037"/>
  <c r="AA4037"/>
  <c r="AB4037"/>
  <c r="AC4037"/>
  <c r="AD4037"/>
  <c r="P4038"/>
  <c r="Q4038"/>
  <c r="R4038"/>
  <c r="S4038"/>
  <c r="T4038"/>
  <c r="U4038"/>
  <c r="V4038"/>
  <c r="W4038"/>
  <c r="X4038"/>
  <c r="Y4038"/>
  <c r="AA4038"/>
  <c r="AB4038"/>
  <c r="AC4038"/>
  <c r="AD4038"/>
  <c r="P4039"/>
  <c r="Q4039"/>
  <c r="R4039"/>
  <c r="S4039"/>
  <c r="T4039"/>
  <c r="U4039"/>
  <c r="V4039"/>
  <c r="W4039"/>
  <c r="X4039"/>
  <c r="Y4039"/>
  <c r="AA4039"/>
  <c r="AB4039"/>
  <c r="AC4039"/>
  <c r="AD4039"/>
  <c r="P4040"/>
  <c r="Q4040"/>
  <c r="R4040"/>
  <c r="S4040"/>
  <c r="T4040"/>
  <c r="U4040"/>
  <c r="V4040"/>
  <c r="W4040"/>
  <c r="X4040"/>
  <c r="Y4040"/>
  <c r="AA4040"/>
  <c r="AB4040"/>
  <c r="AC4040"/>
  <c r="AD4040"/>
  <c r="P4041"/>
  <c r="Q4041"/>
  <c r="R4041"/>
  <c r="S4041"/>
  <c r="T4041"/>
  <c r="U4041"/>
  <c r="V4041"/>
  <c r="W4041"/>
  <c r="X4041"/>
  <c r="Y4041"/>
  <c r="AA4041"/>
  <c r="AB4041"/>
  <c r="AC4041"/>
  <c r="AD4041"/>
  <c r="P4042"/>
  <c r="Q4042"/>
  <c r="R4042"/>
  <c r="S4042"/>
  <c r="T4042"/>
  <c r="U4042"/>
  <c r="V4042"/>
  <c r="W4042"/>
  <c r="X4042"/>
  <c r="Y4042"/>
  <c r="AA4042"/>
  <c r="AB4042"/>
  <c r="AC4042"/>
  <c r="AD4042"/>
  <c r="P4043"/>
  <c r="Q4043"/>
  <c r="R4043"/>
  <c r="S4043"/>
  <c r="T4043"/>
  <c r="U4043"/>
  <c r="V4043"/>
  <c r="W4043"/>
  <c r="X4043"/>
  <c r="Y4043"/>
  <c r="AA4043"/>
  <c r="AB4043"/>
  <c r="AC4043"/>
  <c r="AD4043"/>
  <c r="P4044"/>
  <c r="Q4044"/>
  <c r="R4044"/>
  <c r="S4044"/>
  <c r="T4044"/>
  <c r="U4044"/>
  <c r="V4044"/>
  <c r="W4044"/>
  <c r="X4044"/>
  <c r="Y4044"/>
  <c r="AA4044"/>
  <c r="AB4044"/>
  <c r="AC4044"/>
  <c r="AD4044"/>
  <c r="P4045"/>
  <c r="Q4045"/>
  <c r="R4045"/>
  <c r="S4045"/>
  <c r="T4045"/>
  <c r="U4045"/>
  <c r="V4045"/>
  <c r="W4045"/>
  <c r="X4045"/>
  <c r="Y4045"/>
  <c r="AA4045"/>
  <c r="AB4045"/>
  <c r="AC4045"/>
  <c r="AD4045"/>
  <c r="P4046"/>
  <c r="Q4046"/>
  <c r="R4046"/>
  <c r="S4046"/>
  <c r="T4046"/>
  <c r="U4046"/>
  <c r="V4046"/>
  <c r="W4046"/>
  <c r="X4046"/>
  <c r="Y4046"/>
  <c r="AA4046"/>
  <c r="AB4046"/>
  <c r="AC4046"/>
  <c r="AD4046"/>
  <c r="P4047"/>
  <c r="Q4047"/>
  <c r="R4047"/>
  <c r="S4047"/>
  <c r="T4047"/>
  <c r="U4047"/>
  <c r="V4047"/>
  <c r="W4047"/>
  <c r="X4047"/>
  <c r="Y4047"/>
  <c r="AA4047"/>
  <c r="AB4047"/>
  <c r="AC4047"/>
  <c r="AD4047"/>
  <c r="P4048"/>
  <c r="Q4048"/>
  <c r="R4048"/>
  <c r="S4048"/>
  <c r="T4048"/>
  <c r="U4048"/>
  <c r="V4048"/>
  <c r="W4048"/>
  <c r="X4048"/>
  <c r="Y4048"/>
  <c r="AA4048"/>
  <c r="AB4048"/>
  <c r="AC4048"/>
  <c r="AD4048"/>
  <c r="P4049"/>
  <c r="Q4049"/>
  <c r="R4049"/>
  <c r="S4049"/>
  <c r="T4049"/>
  <c r="U4049"/>
  <c r="V4049"/>
  <c r="W4049"/>
  <c r="X4049"/>
  <c r="Y4049"/>
  <c r="AA4049"/>
  <c r="AB4049"/>
  <c r="AC4049"/>
  <c r="AD4049"/>
  <c r="P4050"/>
  <c r="Q4050"/>
  <c r="R4050"/>
  <c r="S4050"/>
  <c r="T4050"/>
  <c r="U4050"/>
  <c r="V4050"/>
  <c r="W4050"/>
  <c r="X4050"/>
  <c r="Y4050"/>
  <c r="AA4050"/>
  <c r="AB4050"/>
  <c r="AC4050"/>
  <c r="AD4050"/>
  <c r="P4051"/>
  <c r="Q4051"/>
  <c r="R4051"/>
  <c r="S4051"/>
  <c r="T4051"/>
  <c r="U4051"/>
  <c r="V4051"/>
  <c r="W4051"/>
  <c r="X4051"/>
  <c r="Y4051"/>
  <c r="AA4051"/>
  <c r="AB4051"/>
  <c r="AC4051"/>
  <c r="AD4051"/>
  <c r="P4052"/>
  <c r="Q4052"/>
  <c r="R4052"/>
  <c r="S4052"/>
  <c r="T4052"/>
  <c r="U4052"/>
  <c r="V4052"/>
  <c r="W4052"/>
  <c r="X4052"/>
  <c r="Y4052"/>
  <c r="AA4052"/>
  <c r="AB4052"/>
  <c r="AC4052"/>
  <c r="AD4052"/>
  <c r="P4053"/>
  <c r="Q4053"/>
  <c r="R4053"/>
  <c r="S4053"/>
  <c r="T4053"/>
  <c r="U4053"/>
  <c r="V4053"/>
  <c r="W4053"/>
  <c r="X4053"/>
  <c r="Y4053"/>
  <c r="AA4053"/>
  <c r="AB4053"/>
  <c r="AC4053"/>
  <c r="AD4053"/>
  <c r="P4054"/>
  <c r="Q4054"/>
  <c r="R4054"/>
  <c r="S4054"/>
  <c r="T4054"/>
  <c r="U4054"/>
  <c r="V4054"/>
  <c r="W4054"/>
  <c r="X4054"/>
  <c r="Y4054"/>
  <c r="AA4054"/>
  <c r="AB4054"/>
  <c r="AC4054"/>
  <c r="AD4054"/>
  <c r="P4055"/>
  <c r="Q4055"/>
  <c r="R4055"/>
  <c r="S4055"/>
  <c r="T4055"/>
  <c r="U4055"/>
  <c r="V4055"/>
  <c r="W4055"/>
  <c r="X4055"/>
  <c r="Y4055"/>
  <c r="AA4055"/>
  <c r="AB4055"/>
  <c r="AC4055"/>
  <c r="AD4055"/>
  <c r="P4056"/>
  <c r="Q4056"/>
  <c r="R4056"/>
  <c r="S4056"/>
  <c r="T4056"/>
  <c r="U4056"/>
  <c r="V4056"/>
  <c r="W4056"/>
  <c r="X4056"/>
  <c r="Y4056"/>
  <c r="AA4056"/>
  <c r="AB4056"/>
  <c r="AC4056"/>
  <c r="AD4056"/>
  <c r="P4057"/>
  <c r="Q4057"/>
  <c r="R4057"/>
  <c r="S4057"/>
  <c r="T4057"/>
  <c r="U4057"/>
  <c r="V4057"/>
  <c r="W4057"/>
  <c r="X4057"/>
  <c r="Y4057"/>
  <c r="AA4057"/>
  <c r="AB4057"/>
  <c r="AC4057"/>
  <c r="AD4057"/>
  <c r="P4058"/>
  <c r="Q4058"/>
  <c r="R4058"/>
  <c r="S4058"/>
  <c r="T4058"/>
  <c r="U4058"/>
  <c r="V4058"/>
  <c r="W4058"/>
  <c r="X4058"/>
  <c r="Y4058"/>
  <c r="AA4058"/>
  <c r="AB4058"/>
  <c r="AC4058"/>
  <c r="AD4058"/>
  <c r="P4059"/>
  <c r="Q4059"/>
  <c r="R4059"/>
  <c r="S4059"/>
  <c r="T4059"/>
  <c r="U4059"/>
  <c r="V4059"/>
  <c r="W4059"/>
  <c r="X4059"/>
  <c r="Y4059"/>
  <c r="AA4059"/>
  <c r="AB4059"/>
  <c r="AC4059"/>
  <c r="AD4059"/>
  <c r="P4060"/>
  <c r="Q4060"/>
  <c r="R4060"/>
  <c r="S4060"/>
  <c r="T4060"/>
  <c r="U4060"/>
  <c r="V4060"/>
  <c r="W4060"/>
  <c r="X4060"/>
  <c r="Y4060"/>
  <c r="AA4060"/>
  <c r="AB4060"/>
  <c r="AC4060"/>
  <c r="AD4060"/>
  <c r="P4061"/>
  <c r="Q4061"/>
  <c r="R4061"/>
  <c r="S4061"/>
  <c r="T4061"/>
  <c r="U4061"/>
  <c r="V4061"/>
  <c r="W4061"/>
  <c r="X4061"/>
  <c r="Y4061"/>
  <c r="AA4061"/>
  <c r="AB4061"/>
  <c r="AC4061"/>
  <c r="AD4061"/>
  <c r="P4062"/>
  <c r="Q4062"/>
  <c r="R4062"/>
  <c r="S4062"/>
  <c r="T4062"/>
  <c r="U4062"/>
  <c r="V4062"/>
  <c r="W4062"/>
  <c r="X4062"/>
  <c r="Y4062"/>
  <c r="AA4062"/>
  <c r="AB4062"/>
  <c r="AC4062"/>
  <c r="AD4062"/>
  <c r="P4063"/>
  <c r="Q4063"/>
  <c r="R4063"/>
  <c r="S4063"/>
  <c r="T4063"/>
  <c r="U4063"/>
  <c r="V4063"/>
  <c r="W4063"/>
  <c r="X4063"/>
  <c r="Y4063"/>
  <c r="AA4063"/>
  <c r="AB4063"/>
  <c r="AC4063"/>
  <c r="AD4063"/>
  <c r="P4064"/>
  <c r="Q4064"/>
  <c r="R4064"/>
  <c r="S4064"/>
  <c r="T4064"/>
  <c r="U4064"/>
  <c r="V4064"/>
  <c r="W4064"/>
  <c r="X4064"/>
  <c r="Y4064"/>
  <c r="AA4064"/>
  <c r="AB4064"/>
  <c r="AC4064"/>
  <c r="AD4064"/>
  <c r="P4065"/>
  <c r="Q4065"/>
  <c r="R4065"/>
  <c r="S4065"/>
  <c r="T4065"/>
  <c r="U4065"/>
  <c r="V4065"/>
  <c r="W4065"/>
  <c r="X4065"/>
  <c r="Y4065"/>
  <c r="AA4065"/>
  <c r="AB4065"/>
  <c r="AC4065"/>
  <c r="AD4065"/>
  <c r="P4066"/>
  <c r="Q4066"/>
  <c r="R4066"/>
  <c r="S4066"/>
  <c r="T4066"/>
  <c r="U4066"/>
  <c r="V4066"/>
  <c r="W4066"/>
  <c r="X4066"/>
  <c r="Y4066"/>
  <c r="AA4066"/>
  <c r="AB4066"/>
  <c r="AC4066"/>
  <c r="AD4066"/>
  <c r="P4067"/>
  <c r="Q4067"/>
  <c r="R4067"/>
  <c r="S4067"/>
  <c r="T4067"/>
  <c r="U4067"/>
  <c r="V4067"/>
  <c r="W4067"/>
  <c r="X4067"/>
  <c r="Y4067"/>
  <c r="AA4067"/>
  <c r="AB4067"/>
  <c r="AC4067"/>
  <c r="AD4067"/>
  <c r="P4068"/>
  <c r="Q4068"/>
  <c r="R4068"/>
  <c r="S4068"/>
  <c r="T4068"/>
  <c r="U4068"/>
  <c r="V4068"/>
  <c r="W4068"/>
  <c r="X4068"/>
  <c r="Y4068"/>
  <c r="AA4068"/>
  <c r="AB4068"/>
  <c r="AC4068"/>
  <c r="AD4068"/>
  <c r="P4069"/>
  <c r="Q4069"/>
  <c r="R4069"/>
  <c r="S4069"/>
  <c r="T4069"/>
  <c r="U4069"/>
  <c r="V4069"/>
  <c r="W4069"/>
  <c r="X4069"/>
  <c r="Y4069"/>
  <c r="AA4069"/>
  <c r="AB4069"/>
  <c r="AC4069"/>
  <c r="AD4069"/>
  <c r="P4070"/>
  <c r="Q4070"/>
  <c r="R4070"/>
  <c r="S4070"/>
  <c r="T4070"/>
  <c r="U4070"/>
  <c r="V4070"/>
  <c r="W4070"/>
  <c r="X4070"/>
  <c r="Y4070"/>
  <c r="AA4070"/>
  <c r="AB4070"/>
  <c r="AC4070"/>
  <c r="AD4070"/>
  <c r="P4071"/>
  <c r="Q4071"/>
  <c r="R4071"/>
  <c r="S4071"/>
  <c r="T4071"/>
  <c r="U4071"/>
  <c r="V4071"/>
  <c r="W4071"/>
  <c r="X4071"/>
  <c r="Y4071"/>
  <c r="AA4071"/>
  <c r="AB4071"/>
  <c r="AC4071"/>
  <c r="AD4071"/>
  <c r="P4072"/>
  <c r="Q4072"/>
  <c r="R4072"/>
  <c r="S4072"/>
  <c r="T4072"/>
  <c r="U4072"/>
  <c r="V4072"/>
  <c r="W4072"/>
  <c r="X4072"/>
  <c r="Y4072"/>
  <c r="AA4072"/>
  <c r="AB4072"/>
  <c r="AC4072"/>
  <c r="AD4072"/>
  <c r="P4073"/>
  <c r="Q4073"/>
  <c r="R4073"/>
  <c r="S4073"/>
  <c r="T4073"/>
  <c r="U4073"/>
  <c r="V4073"/>
  <c r="W4073"/>
  <c r="X4073"/>
  <c r="Y4073"/>
  <c r="AA4073"/>
  <c r="AB4073"/>
  <c r="AC4073"/>
  <c r="AD4073"/>
  <c r="P4074"/>
  <c r="Q4074"/>
  <c r="R4074"/>
  <c r="S4074"/>
  <c r="T4074"/>
  <c r="U4074"/>
  <c r="V4074"/>
  <c r="W4074"/>
  <c r="X4074"/>
  <c r="Y4074"/>
  <c r="AA4074"/>
  <c r="AB4074"/>
  <c r="AC4074"/>
  <c r="AD4074"/>
  <c r="P4075"/>
  <c r="Q4075"/>
  <c r="R4075"/>
  <c r="S4075"/>
  <c r="T4075"/>
  <c r="U4075"/>
  <c r="V4075"/>
  <c r="W4075"/>
  <c r="X4075"/>
  <c r="Y4075"/>
  <c r="AA4075"/>
  <c r="AB4075"/>
  <c r="AC4075"/>
  <c r="AD4075"/>
  <c r="P4076"/>
  <c r="Q4076"/>
  <c r="R4076"/>
  <c r="S4076"/>
  <c r="T4076"/>
  <c r="U4076"/>
  <c r="V4076"/>
  <c r="W4076"/>
  <c r="X4076"/>
  <c r="Y4076"/>
  <c r="AA4076"/>
  <c r="AB4076"/>
  <c r="AC4076"/>
  <c r="AD4076"/>
  <c r="P4077"/>
  <c r="Q4077"/>
  <c r="R4077"/>
  <c r="S4077"/>
  <c r="T4077"/>
  <c r="U4077"/>
  <c r="V4077"/>
  <c r="W4077"/>
  <c r="X4077"/>
  <c r="Y4077"/>
  <c r="AA4077"/>
  <c r="AB4077"/>
  <c r="AC4077"/>
  <c r="AD4077"/>
  <c r="P4078"/>
  <c r="Q4078"/>
  <c r="R4078"/>
  <c r="S4078"/>
  <c r="T4078"/>
  <c r="U4078"/>
  <c r="V4078"/>
  <c r="W4078"/>
  <c r="X4078"/>
  <c r="Y4078"/>
  <c r="AA4078"/>
  <c r="AB4078"/>
  <c r="AC4078"/>
  <c r="AD4078"/>
  <c r="P4079"/>
  <c r="Q4079"/>
  <c r="R4079"/>
  <c r="S4079"/>
  <c r="T4079"/>
  <c r="U4079"/>
  <c r="V4079"/>
  <c r="W4079"/>
  <c r="X4079"/>
  <c r="Y4079"/>
  <c r="AA4079"/>
  <c r="AB4079"/>
  <c r="AC4079"/>
  <c r="AD4079"/>
  <c r="P4080"/>
  <c r="Q4080"/>
  <c r="R4080"/>
  <c r="S4080"/>
  <c r="T4080"/>
  <c r="U4080"/>
  <c r="V4080"/>
  <c r="W4080"/>
  <c r="X4080"/>
  <c r="Y4080"/>
  <c r="AA4080"/>
  <c r="AB4080"/>
  <c r="AC4080"/>
  <c r="AD4080"/>
  <c r="P4081"/>
  <c r="Q4081"/>
  <c r="R4081"/>
  <c r="S4081"/>
  <c r="T4081"/>
  <c r="U4081"/>
  <c r="V4081"/>
  <c r="W4081"/>
  <c r="X4081"/>
  <c r="Y4081"/>
  <c r="AA4081"/>
  <c r="AB4081"/>
  <c r="AC4081"/>
  <c r="AD4081"/>
  <c r="P4082"/>
  <c r="Q4082"/>
  <c r="R4082"/>
  <c r="S4082"/>
  <c r="T4082"/>
  <c r="U4082"/>
  <c r="V4082"/>
  <c r="W4082"/>
  <c r="X4082"/>
  <c r="Y4082"/>
  <c r="AA4082"/>
  <c r="AB4082"/>
  <c r="AC4082"/>
  <c r="AD4082"/>
  <c r="P4083"/>
  <c r="Q4083"/>
  <c r="R4083"/>
  <c r="S4083"/>
  <c r="T4083"/>
  <c r="U4083"/>
  <c r="V4083"/>
  <c r="W4083"/>
  <c r="X4083"/>
  <c r="Y4083"/>
  <c r="AA4083"/>
  <c r="AB4083"/>
  <c r="AC4083"/>
  <c r="AD4083"/>
  <c r="P4084"/>
  <c r="Q4084"/>
  <c r="R4084"/>
  <c r="S4084"/>
  <c r="T4084"/>
  <c r="U4084"/>
  <c r="V4084"/>
  <c r="W4084"/>
  <c r="X4084"/>
  <c r="Y4084"/>
  <c r="AA4084"/>
  <c r="AB4084"/>
  <c r="AC4084"/>
  <c r="AD4084"/>
  <c r="P4085"/>
  <c r="Q4085"/>
  <c r="R4085"/>
  <c r="S4085"/>
  <c r="T4085"/>
  <c r="U4085"/>
  <c r="V4085"/>
  <c r="W4085"/>
  <c r="X4085"/>
  <c r="Y4085"/>
  <c r="AA4085"/>
  <c r="AB4085"/>
  <c r="AC4085"/>
  <c r="AD4085"/>
  <c r="P4086"/>
  <c r="Q4086"/>
  <c r="R4086"/>
  <c r="S4086"/>
  <c r="T4086"/>
  <c r="U4086"/>
  <c r="V4086"/>
  <c r="W4086"/>
  <c r="X4086"/>
  <c r="Y4086"/>
  <c r="AA4086"/>
  <c r="AB4086"/>
  <c r="AC4086"/>
  <c r="AD4086"/>
  <c r="P4087"/>
  <c r="Q4087"/>
  <c r="R4087"/>
  <c r="S4087"/>
  <c r="T4087"/>
  <c r="U4087"/>
  <c r="V4087"/>
  <c r="W4087"/>
  <c r="X4087"/>
  <c r="Y4087"/>
  <c r="AA4087"/>
  <c r="AB4087"/>
  <c r="AC4087"/>
  <c r="AD4087"/>
  <c r="P4088"/>
  <c r="Q4088"/>
  <c r="R4088"/>
  <c r="S4088"/>
  <c r="T4088"/>
  <c r="U4088"/>
  <c r="V4088"/>
  <c r="W4088"/>
  <c r="X4088"/>
  <c r="Y4088"/>
  <c r="AA4088"/>
  <c r="AB4088"/>
  <c r="AC4088"/>
  <c r="AD4088"/>
  <c r="P4089"/>
  <c r="Q4089"/>
  <c r="R4089"/>
  <c r="S4089"/>
  <c r="T4089"/>
  <c r="U4089"/>
  <c r="V4089"/>
  <c r="W4089"/>
  <c r="X4089"/>
  <c r="Y4089"/>
  <c r="AA4089"/>
  <c r="AB4089"/>
  <c r="AC4089"/>
  <c r="AD4089"/>
  <c r="P4090"/>
  <c r="Q4090"/>
  <c r="R4090"/>
  <c r="S4090"/>
  <c r="T4090"/>
  <c r="U4090"/>
  <c r="V4090"/>
  <c r="W4090"/>
  <c r="X4090"/>
  <c r="Y4090"/>
  <c r="AA4090"/>
  <c r="AB4090"/>
  <c r="AC4090"/>
  <c r="AD4090"/>
  <c r="P4091"/>
  <c r="Q4091"/>
  <c r="R4091"/>
  <c r="S4091"/>
  <c r="T4091"/>
  <c r="U4091"/>
  <c r="V4091"/>
  <c r="W4091"/>
  <c r="X4091"/>
  <c r="Y4091"/>
  <c r="AA4091"/>
  <c r="AB4091"/>
  <c r="AC4091"/>
  <c r="AD4091"/>
  <c r="P4092"/>
  <c r="Q4092"/>
  <c r="R4092"/>
  <c r="S4092"/>
  <c r="T4092"/>
  <c r="U4092"/>
  <c r="V4092"/>
  <c r="W4092"/>
  <c r="X4092"/>
  <c r="Y4092"/>
  <c r="AA4092"/>
  <c r="AB4092"/>
  <c r="AC4092"/>
  <c r="AD4092"/>
  <c r="P4093"/>
  <c r="Q4093"/>
  <c r="R4093"/>
  <c r="S4093"/>
  <c r="T4093"/>
  <c r="U4093"/>
  <c r="V4093"/>
  <c r="W4093"/>
  <c r="X4093"/>
  <c r="Y4093"/>
  <c r="AA4093"/>
  <c r="AB4093"/>
  <c r="AC4093"/>
  <c r="AD4093"/>
  <c r="P4094"/>
  <c r="Q4094"/>
  <c r="R4094"/>
  <c r="S4094"/>
  <c r="T4094"/>
  <c r="U4094"/>
  <c r="V4094"/>
  <c r="W4094"/>
  <c r="X4094"/>
  <c r="Y4094"/>
  <c r="AA4094"/>
  <c r="AB4094"/>
  <c r="AC4094"/>
  <c r="AD4094"/>
  <c r="P4095"/>
  <c r="Q4095"/>
  <c r="R4095"/>
  <c r="S4095"/>
  <c r="T4095"/>
  <c r="U4095"/>
  <c r="V4095"/>
  <c r="W4095"/>
  <c r="X4095"/>
  <c r="Y4095"/>
  <c r="AA4095"/>
  <c r="AB4095"/>
  <c r="AC4095"/>
  <c r="AD4095"/>
  <c r="P4096"/>
  <c r="Q4096"/>
  <c r="R4096"/>
  <c r="S4096"/>
  <c r="T4096"/>
  <c r="U4096"/>
  <c r="V4096"/>
  <c r="W4096"/>
  <c r="X4096"/>
  <c r="Y4096"/>
  <c r="AA4096"/>
  <c r="AB4096"/>
  <c r="AC4096"/>
  <c r="AD4096"/>
  <c r="P4097"/>
  <c r="Q4097"/>
  <c r="R4097"/>
  <c r="S4097"/>
  <c r="T4097"/>
  <c r="U4097"/>
  <c r="V4097"/>
  <c r="W4097"/>
  <c r="X4097"/>
  <c r="Y4097"/>
  <c r="AA4097"/>
  <c r="AB4097"/>
  <c r="AC4097"/>
  <c r="AD4097"/>
  <c r="P4098"/>
  <c r="Q4098"/>
  <c r="R4098"/>
  <c r="S4098"/>
  <c r="T4098"/>
  <c r="U4098"/>
  <c r="V4098"/>
  <c r="W4098"/>
  <c r="X4098"/>
  <c r="Y4098"/>
  <c r="AA4098"/>
  <c r="AB4098"/>
  <c r="AC4098"/>
  <c r="AD4098"/>
  <c r="P4099"/>
  <c r="Q4099"/>
  <c r="R4099"/>
  <c r="S4099"/>
  <c r="T4099"/>
  <c r="U4099"/>
  <c r="V4099"/>
  <c r="W4099"/>
  <c r="X4099"/>
  <c r="Y4099"/>
  <c r="AA4099"/>
  <c r="AB4099"/>
  <c r="AC4099"/>
  <c r="AD4099"/>
  <c r="P4100"/>
  <c r="Q4100"/>
  <c r="R4100"/>
  <c r="S4100"/>
  <c r="T4100"/>
  <c r="U4100"/>
  <c r="V4100"/>
  <c r="W4100"/>
  <c r="X4100"/>
  <c r="Y4100"/>
  <c r="AA4100"/>
  <c r="AB4100"/>
  <c r="AC4100"/>
  <c r="AD4100"/>
  <c r="P4101"/>
  <c r="Q4101"/>
  <c r="R4101"/>
  <c r="S4101"/>
  <c r="T4101"/>
  <c r="U4101"/>
  <c r="V4101"/>
  <c r="W4101"/>
  <c r="X4101"/>
  <c r="Y4101"/>
  <c r="AA4101"/>
  <c r="AB4101"/>
  <c r="AC4101"/>
  <c r="AD4101"/>
  <c r="P4102"/>
  <c r="Q4102"/>
  <c r="R4102"/>
  <c r="S4102"/>
  <c r="T4102"/>
  <c r="U4102"/>
  <c r="V4102"/>
  <c r="W4102"/>
  <c r="X4102"/>
  <c r="Y4102"/>
  <c r="AA4102"/>
  <c r="AB4102"/>
  <c r="AC4102"/>
  <c r="AD4102"/>
  <c r="P4103"/>
  <c r="Q4103"/>
  <c r="R4103"/>
  <c r="S4103"/>
  <c r="T4103"/>
  <c r="U4103"/>
  <c r="V4103"/>
  <c r="W4103"/>
  <c r="X4103"/>
  <c r="Y4103"/>
  <c r="AA4103"/>
  <c r="AB4103"/>
  <c r="AC4103"/>
  <c r="AD4103"/>
  <c r="P4104"/>
  <c r="Q4104"/>
  <c r="R4104"/>
  <c r="S4104"/>
  <c r="T4104"/>
  <c r="U4104"/>
  <c r="V4104"/>
  <c r="W4104"/>
  <c r="X4104"/>
  <c r="Y4104"/>
  <c r="AA4104"/>
  <c r="AB4104"/>
  <c r="AC4104"/>
  <c r="AD4104"/>
  <c r="P4105"/>
  <c r="Q4105"/>
  <c r="R4105"/>
  <c r="S4105"/>
  <c r="T4105"/>
  <c r="U4105"/>
  <c r="V4105"/>
  <c r="W4105"/>
  <c r="X4105"/>
  <c r="Y4105"/>
  <c r="AA4105"/>
  <c r="AB4105"/>
  <c r="AC4105"/>
  <c r="AD4105"/>
  <c r="P4106"/>
  <c r="Q4106"/>
  <c r="R4106"/>
  <c r="S4106"/>
  <c r="T4106"/>
  <c r="U4106"/>
  <c r="V4106"/>
  <c r="W4106"/>
  <c r="X4106"/>
  <c r="Y4106"/>
  <c r="AA4106"/>
  <c r="AB4106"/>
  <c r="AC4106"/>
  <c r="AD4106"/>
  <c r="P4107"/>
  <c r="Q4107"/>
  <c r="R4107"/>
  <c r="S4107"/>
  <c r="T4107"/>
  <c r="U4107"/>
  <c r="V4107"/>
  <c r="W4107"/>
  <c r="X4107"/>
  <c r="Y4107"/>
  <c r="AA4107"/>
  <c r="AB4107"/>
  <c r="AC4107"/>
  <c r="AD4107"/>
  <c r="P4108"/>
  <c r="Q4108"/>
  <c r="R4108"/>
  <c r="S4108"/>
  <c r="T4108"/>
  <c r="U4108"/>
  <c r="V4108"/>
  <c r="W4108"/>
  <c r="X4108"/>
  <c r="Y4108"/>
  <c r="AA4108"/>
  <c r="AB4108"/>
  <c r="AC4108"/>
  <c r="AD4108"/>
  <c r="P4109"/>
  <c r="Q4109"/>
  <c r="R4109"/>
  <c r="S4109"/>
  <c r="T4109"/>
  <c r="U4109"/>
  <c r="V4109"/>
  <c r="W4109"/>
  <c r="X4109"/>
  <c r="Y4109"/>
  <c r="AA4109"/>
  <c r="AB4109"/>
  <c r="AC4109"/>
  <c r="AD4109"/>
  <c r="P4110"/>
  <c r="Q4110"/>
  <c r="R4110"/>
  <c r="S4110"/>
  <c r="T4110"/>
  <c r="U4110"/>
  <c r="V4110"/>
  <c r="W4110"/>
  <c r="X4110"/>
  <c r="Y4110"/>
  <c r="AA4110"/>
  <c r="AB4110"/>
  <c r="AC4110"/>
  <c r="AD4110"/>
  <c r="P4111"/>
  <c r="Q4111"/>
  <c r="R4111"/>
  <c r="S4111"/>
  <c r="T4111"/>
  <c r="U4111"/>
  <c r="V4111"/>
  <c r="W4111"/>
  <c r="X4111"/>
  <c r="Y4111"/>
  <c r="AA4111"/>
  <c r="AB4111"/>
  <c r="AC4111"/>
  <c r="AD4111"/>
  <c r="P4112"/>
  <c r="Q4112"/>
  <c r="R4112"/>
  <c r="S4112"/>
  <c r="T4112"/>
  <c r="U4112"/>
  <c r="V4112"/>
  <c r="W4112"/>
  <c r="X4112"/>
  <c r="Y4112"/>
  <c r="AA4112"/>
  <c r="AB4112"/>
  <c r="AC4112"/>
  <c r="AD4112"/>
  <c r="P4113"/>
  <c r="Q4113"/>
  <c r="R4113"/>
  <c r="S4113"/>
  <c r="T4113"/>
  <c r="U4113"/>
  <c r="V4113"/>
  <c r="W4113"/>
  <c r="X4113"/>
  <c r="Y4113"/>
  <c r="AA4113"/>
  <c r="AB4113"/>
  <c r="AC4113"/>
  <c r="AD4113"/>
  <c r="P4114"/>
  <c r="Q4114"/>
  <c r="R4114"/>
  <c r="S4114"/>
  <c r="T4114"/>
  <c r="U4114"/>
  <c r="V4114"/>
  <c r="W4114"/>
  <c r="X4114"/>
  <c r="Y4114"/>
  <c r="AA4114"/>
  <c r="AB4114"/>
  <c r="AC4114"/>
  <c r="AD4114"/>
  <c r="P4115"/>
  <c r="Q4115"/>
  <c r="R4115"/>
  <c r="S4115"/>
  <c r="T4115"/>
  <c r="U4115"/>
  <c r="V4115"/>
  <c r="W4115"/>
  <c r="X4115"/>
  <c r="Y4115"/>
  <c r="AA4115"/>
  <c r="AB4115"/>
  <c r="AC4115"/>
  <c r="AD4115"/>
  <c r="P4116"/>
  <c r="Q4116"/>
  <c r="R4116"/>
  <c r="S4116"/>
  <c r="T4116"/>
  <c r="U4116"/>
  <c r="V4116"/>
  <c r="W4116"/>
  <c r="X4116"/>
  <c r="Y4116"/>
  <c r="AA4116"/>
  <c r="AB4116"/>
  <c r="AC4116"/>
  <c r="AD4116"/>
  <c r="P4117"/>
  <c r="Q4117"/>
  <c r="R4117"/>
  <c r="S4117"/>
  <c r="T4117"/>
  <c r="U4117"/>
  <c r="V4117"/>
  <c r="W4117"/>
  <c r="X4117"/>
  <c r="Y4117"/>
  <c r="AA4117"/>
  <c r="AB4117"/>
  <c r="AC4117"/>
  <c r="AD4117"/>
  <c r="P4118"/>
  <c r="Q4118"/>
  <c r="R4118"/>
  <c r="S4118"/>
  <c r="T4118"/>
  <c r="U4118"/>
  <c r="V4118"/>
  <c r="W4118"/>
  <c r="X4118"/>
  <c r="Y4118"/>
  <c r="AA4118"/>
  <c r="AB4118"/>
  <c r="AC4118"/>
  <c r="AD4118"/>
  <c r="P4119"/>
  <c r="Q4119"/>
  <c r="R4119"/>
  <c r="S4119"/>
  <c r="T4119"/>
  <c r="U4119"/>
  <c r="V4119"/>
  <c r="W4119"/>
  <c r="X4119"/>
  <c r="Y4119"/>
  <c r="AA4119"/>
  <c r="AB4119"/>
  <c r="AC4119"/>
  <c r="AD4119"/>
  <c r="P4120"/>
  <c r="Q4120"/>
  <c r="R4120"/>
  <c r="S4120"/>
  <c r="T4120"/>
  <c r="U4120"/>
  <c r="V4120"/>
  <c r="W4120"/>
  <c r="X4120"/>
  <c r="Y4120"/>
  <c r="AA4120"/>
  <c r="AB4120"/>
  <c r="AC4120"/>
  <c r="AD4120"/>
  <c r="P4121"/>
  <c r="Q4121"/>
  <c r="R4121"/>
  <c r="S4121"/>
  <c r="T4121"/>
  <c r="U4121"/>
  <c r="V4121"/>
  <c r="W4121"/>
  <c r="X4121"/>
  <c r="Y4121"/>
  <c r="AA4121"/>
  <c r="AB4121"/>
  <c r="AC4121"/>
  <c r="AD4121"/>
  <c r="P4122"/>
  <c r="Q4122"/>
  <c r="R4122"/>
  <c r="S4122"/>
  <c r="T4122"/>
  <c r="U4122"/>
  <c r="V4122"/>
  <c r="W4122"/>
  <c r="X4122"/>
  <c r="Y4122"/>
  <c r="AA4122"/>
  <c r="AB4122"/>
  <c r="AC4122"/>
  <c r="AD4122"/>
  <c r="P4123"/>
  <c r="Q4123"/>
  <c r="R4123"/>
  <c r="S4123"/>
  <c r="T4123"/>
  <c r="U4123"/>
  <c r="V4123"/>
  <c r="W4123"/>
  <c r="X4123"/>
  <c r="Y4123"/>
  <c r="AA4123"/>
  <c r="AB4123"/>
  <c r="AC4123"/>
  <c r="AD4123"/>
  <c r="P4124"/>
  <c r="Q4124"/>
  <c r="R4124"/>
  <c r="S4124"/>
  <c r="T4124"/>
  <c r="U4124"/>
  <c r="V4124"/>
  <c r="W4124"/>
  <c r="X4124"/>
  <c r="Y4124"/>
  <c r="AA4124"/>
  <c r="AB4124"/>
  <c r="AC4124"/>
  <c r="AD4124"/>
  <c r="P4125"/>
  <c r="Q4125"/>
  <c r="R4125"/>
  <c r="S4125"/>
  <c r="T4125"/>
  <c r="U4125"/>
  <c r="V4125"/>
  <c r="W4125"/>
  <c r="X4125"/>
  <c r="Y4125"/>
  <c r="AA4125"/>
  <c r="AB4125"/>
  <c r="AC4125"/>
  <c r="AD4125"/>
  <c r="P4126"/>
  <c r="Q4126"/>
  <c r="R4126"/>
  <c r="S4126"/>
  <c r="T4126"/>
  <c r="U4126"/>
  <c r="V4126"/>
  <c r="W4126"/>
  <c r="X4126"/>
  <c r="Y4126"/>
  <c r="AA4126"/>
  <c r="AB4126"/>
  <c r="AC4126"/>
  <c r="AD4126"/>
  <c r="P4127"/>
  <c r="Q4127"/>
  <c r="R4127"/>
  <c r="S4127"/>
  <c r="T4127"/>
  <c r="U4127"/>
  <c r="V4127"/>
  <c r="W4127"/>
  <c r="X4127"/>
  <c r="Y4127"/>
  <c r="AA4127"/>
  <c r="AB4127"/>
  <c r="AC4127"/>
  <c r="AD4127"/>
  <c r="P4128"/>
  <c r="Q4128"/>
  <c r="R4128"/>
  <c r="S4128"/>
  <c r="T4128"/>
  <c r="U4128"/>
  <c r="V4128"/>
  <c r="W4128"/>
  <c r="X4128"/>
  <c r="Y4128"/>
  <c r="AA4128"/>
  <c r="AB4128"/>
  <c r="AC4128"/>
  <c r="AD4128"/>
  <c r="P4129"/>
  <c r="Q4129"/>
  <c r="R4129"/>
  <c r="S4129"/>
  <c r="T4129"/>
  <c r="U4129"/>
  <c r="V4129"/>
  <c r="W4129"/>
  <c r="X4129"/>
  <c r="Y4129"/>
  <c r="AA4129"/>
  <c r="AB4129"/>
  <c r="AC4129"/>
  <c r="AD4129"/>
  <c r="P4130"/>
  <c r="Q4130"/>
  <c r="R4130"/>
  <c r="S4130"/>
  <c r="T4130"/>
  <c r="U4130"/>
  <c r="V4130"/>
  <c r="W4130"/>
  <c r="X4130"/>
  <c r="Y4130"/>
  <c r="AA4130"/>
  <c r="AB4130"/>
  <c r="AC4130"/>
  <c r="AD4130"/>
  <c r="P4131"/>
  <c r="Q4131"/>
  <c r="R4131"/>
  <c r="S4131"/>
  <c r="T4131"/>
  <c r="U4131"/>
  <c r="V4131"/>
  <c r="W4131"/>
  <c r="X4131"/>
  <c r="Y4131"/>
  <c r="AA4131"/>
  <c r="AB4131"/>
  <c r="AC4131"/>
  <c r="AD4131"/>
  <c r="P4132"/>
  <c r="Q4132"/>
  <c r="R4132"/>
  <c r="S4132"/>
  <c r="T4132"/>
  <c r="U4132"/>
  <c r="V4132"/>
  <c r="W4132"/>
  <c r="X4132"/>
  <c r="Y4132"/>
  <c r="AA4132"/>
  <c r="AB4132"/>
  <c r="AC4132"/>
  <c r="AD4132"/>
  <c r="P4133"/>
  <c r="Q4133"/>
  <c r="R4133"/>
  <c r="S4133"/>
  <c r="T4133"/>
  <c r="U4133"/>
  <c r="V4133"/>
  <c r="W4133"/>
  <c r="X4133"/>
  <c r="Y4133"/>
  <c r="AA4133"/>
  <c r="AB4133"/>
  <c r="AC4133"/>
  <c r="AD4133"/>
  <c r="P4134"/>
  <c r="Q4134"/>
  <c r="R4134"/>
  <c r="S4134"/>
  <c r="T4134"/>
  <c r="U4134"/>
  <c r="V4134"/>
  <c r="W4134"/>
  <c r="X4134"/>
  <c r="Y4134"/>
  <c r="AA4134"/>
  <c r="AB4134"/>
  <c r="AC4134"/>
  <c r="AD4134"/>
  <c r="P4135"/>
  <c r="Q4135"/>
  <c r="R4135"/>
  <c r="S4135"/>
  <c r="T4135"/>
  <c r="U4135"/>
  <c r="V4135"/>
  <c r="W4135"/>
  <c r="X4135"/>
  <c r="Y4135"/>
  <c r="AA4135"/>
  <c r="AB4135"/>
  <c r="AC4135"/>
  <c r="AD4135"/>
  <c r="P4136"/>
  <c r="Q4136"/>
  <c r="R4136"/>
  <c r="S4136"/>
  <c r="T4136"/>
  <c r="U4136"/>
  <c r="V4136"/>
  <c r="W4136"/>
  <c r="X4136"/>
  <c r="Y4136"/>
  <c r="AA4136"/>
  <c r="AB4136"/>
  <c r="AC4136"/>
  <c r="AD4136"/>
  <c r="P4137"/>
  <c r="Q4137"/>
  <c r="R4137"/>
  <c r="S4137"/>
  <c r="T4137"/>
  <c r="U4137"/>
  <c r="V4137"/>
  <c r="W4137"/>
  <c r="X4137"/>
  <c r="Y4137"/>
  <c r="AA4137"/>
  <c r="AB4137"/>
  <c r="AC4137"/>
  <c r="AD4137"/>
  <c r="P4138"/>
  <c r="Q4138"/>
  <c r="R4138"/>
  <c r="S4138"/>
  <c r="T4138"/>
  <c r="U4138"/>
  <c r="V4138"/>
  <c r="W4138"/>
  <c r="X4138"/>
  <c r="Y4138"/>
  <c r="AA4138"/>
  <c r="AB4138"/>
  <c r="AC4138"/>
  <c r="AD4138"/>
  <c r="P4139"/>
  <c r="Q4139"/>
  <c r="R4139"/>
  <c r="S4139"/>
  <c r="T4139"/>
  <c r="U4139"/>
  <c r="V4139"/>
  <c r="W4139"/>
  <c r="X4139"/>
  <c r="Y4139"/>
  <c r="AA4139"/>
  <c r="AB4139"/>
  <c r="AC4139"/>
  <c r="AD4139"/>
  <c r="P4140"/>
  <c r="Q4140"/>
  <c r="R4140"/>
  <c r="S4140"/>
  <c r="T4140"/>
  <c r="U4140"/>
  <c r="V4140"/>
  <c r="W4140"/>
  <c r="X4140"/>
  <c r="Y4140"/>
  <c r="AA4140"/>
  <c r="AB4140"/>
  <c r="AC4140"/>
  <c r="AD4140"/>
  <c r="P4141"/>
  <c r="Q4141"/>
  <c r="R4141"/>
  <c r="S4141"/>
  <c r="T4141"/>
  <c r="U4141"/>
  <c r="V4141"/>
  <c r="W4141"/>
  <c r="X4141"/>
  <c r="Y4141"/>
  <c r="AA4141"/>
  <c r="AB4141"/>
  <c r="AC4141"/>
  <c r="AD4141"/>
  <c r="P4142"/>
  <c r="Q4142"/>
  <c r="R4142"/>
  <c r="S4142"/>
  <c r="T4142"/>
  <c r="U4142"/>
  <c r="V4142"/>
  <c r="W4142"/>
  <c r="X4142"/>
  <c r="Y4142"/>
  <c r="AA4142"/>
  <c r="AB4142"/>
  <c r="AC4142"/>
  <c r="AD4142"/>
  <c r="P4143"/>
  <c r="Q4143"/>
  <c r="R4143"/>
  <c r="S4143"/>
  <c r="T4143"/>
  <c r="U4143"/>
  <c r="V4143"/>
  <c r="W4143"/>
  <c r="X4143"/>
  <c r="Y4143"/>
  <c r="AA4143"/>
  <c r="AB4143"/>
  <c r="AC4143"/>
  <c r="AD4143"/>
  <c r="P4144"/>
  <c r="Q4144"/>
  <c r="R4144"/>
  <c r="S4144"/>
  <c r="T4144"/>
  <c r="U4144"/>
  <c r="V4144"/>
  <c r="W4144"/>
  <c r="X4144"/>
  <c r="Y4144"/>
  <c r="AA4144"/>
  <c r="AB4144"/>
  <c r="AC4144"/>
  <c r="AD4144"/>
  <c r="P4145"/>
  <c r="Q4145"/>
  <c r="R4145"/>
  <c r="S4145"/>
  <c r="T4145"/>
  <c r="U4145"/>
  <c r="V4145"/>
  <c r="W4145"/>
  <c r="X4145"/>
  <c r="Y4145"/>
  <c r="AA4145"/>
  <c r="AB4145"/>
  <c r="AC4145"/>
  <c r="AD4145"/>
  <c r="P4146"/>
  <c r="Q4146"/>
  <c r="R4146"/>
  <c r="S4146"/>
  <c r="T4146"/>
  <c r="U4146"/>
  <c r="V4146"/>
  <c r="W4146"/>
  <c r="X4146"/>
  <c r="Y4146"/>
  <c r="AA4146"/>
  <c r="AB4146"/>
  <c r="AC4146"/>
  <c r="AD4146"/>
  <c r="P4147"/>
  <c r="Q4147"/>
  <c r="R4147"/>
  <c r="S4147"/>
  <c r="T4147"/>
  <c r="U4147"/>
  <c r="V4147"/>
  <c r="W4147"/>
  <c r="X4147"/>
  <c r="Y4147"/>
  <c r="AA4147"/>
  <c r="AB4147"/>
  <c r="AC4147"/>
  <c r="AD4147"/>
  <c r="P4148"/>
  <c r="Q4148"/>
  <c r="R4148"/>
  <c r="S4148"/>
  <c r="T4148"/>
  <c r="U4148"/>
  <c r="V4148"/>
  <c r="W4148"/>
  <c r="X4148"/>
  <c r="Y4148"/>
  <c r="AA4148"/>
  <c r="AB4148"/>
  <c r="AC4148"/>
  <c r="AD4148"/>
  <c r="P4149"/>
  <c r="Q4149"/>
  <c r="R4149"/>
  <c r="S4149"/>
  <c r="T4149"/>
  <c r="U4149"/>
  <c r="V4149"/>
  <c r="W4149"/>
  <c r="X4149"/>
  <c r="Y4149"/>
  <c r="AA4149"/>
  <c r="AB4149"/>
  <c r="AC4149"/>
  <c r="AD4149"/>
  <c r="P4150"/>
  <c r="Q4150"/>
  <c r="R4150"/>
  <c r="S4150"/>
  <c r="T4150"/>
  <c r="U4150"/>
  <c r="V4150"/>
  <c r="W4150"/>
  <c r="X4150"/>
  <c r="Y4150"/>
  <c r="AA4150"/>
  <c r="AB4150"/>
  <c r="AC4150"/>
  <c r="AD4150"/>
  <c r="P4151"/>
  <c r="Q4151"/>
  <c r="R4151"/>
  <c r="S4151"/>
  <c r="T4151"/>
  <c r="U4151"/>
  <c r="V4151"/>
  <c r="W4151"/>
  <c r="X4151"/>
  <c r="Y4151"/>
  <c r="AA4151"/>
  <c r="AB4151"/>
  <c r="AC4151"/>
  <c r="AD4151"/>
  <c r="P4152"/>
  <c r="Q4152"/>
  <c r="R4152"/>
  <c r="S4152"/>
  <c r="T4152"/>
  <c r="U4152"/>
  <c r="V4152"/>
  <c r="W4152"/>
  <c r="X4152"/>
  <c r="Y4152"/>
  <c r="AA4152"/>
  <c r="AB4152"/>
  <c r="AC4152"/>
  <c r="AD4152"/>
  <c r="P4153"/>
  <c r="Q4153"/>
  <c r="R4153"/>
  <c r="S4153"/>
  <c r="T4153"/>
  <c r="U4153"/>
  <c r="V4153"/>
  <c r="W4153"/>
  <c r="X4153"/>
  <c r="Y4153"/>
  <c r="AA4153"/>
  <c r="AB4153"/>
  <c r="AC4153"/>
  <c r="AD4153"/>
  <c r="P4154"/>
  <c r="Q4154"/>
  <c r="R4154"/>
  <c r="S4154"/>
  <c r="T4154"/>
  <c r="U4154"/>
  <c r="V4154"/>
  <c r="W4154"/>
  <c r="X4154"/>
  <c r="Y4154"/>
  <c r="AA4154"/>
  <c r="AB4154"/>
  <c r="AC4154"/>
  <c r="AD4154"/>
  <c r="P4155"/>
  <c r="Q4155"/>
  <c r="R4155"/>
  <c r="S4155"/>
  <c r="T4155"/>
  <c r="U4155"/>
  <c r="V4155"/>
  <c r="W4155"/>
  <c r="X4155"/>
  <c r="Y4155"/>
  <c r="AA4155"/>
  <c r="AB4155"/>
  <c r="AC4155"/>
  <c r="AD4155"/>
  <c r="P4156"/>
  <c r="Q4156"/>
  <c r="R4156"/>
  <c r="S4156"/>
  <c r="T4156"/>
  <c r="U4156"/>
  <c r="V4156"/>
  <c r="W4156"/>
  <c r="X4156"/>
  <c r="Y4156"/>
  <c r="AA4156"/>
  <c r="AB4156"/>
  <c r="AC4156"/>
  <c r="AD4156"/>
  <c r="P4157"/>
  <c r="Q4157"/>
  <c r="R4157"/>
  <c r="S4157"/>
  <c r="T4157"/>
  <c r="U4157"/>
  <c r="V4157"/>
  <c r="W4157"/>
  <c r="X4157"/>
  <c r="Y4157"/>
  <c r="AA4157"/>
  <c r="AB4157"/>
  <c r="AC4157"/>
  <c r="AD4157"/>
  <c r="P4158"/>
  <c r="Q4158"/>
  <c r="R4158"/>
  <c r="S4158"/>
  <c r="T4158"/>
  <c r="U4158"/>
  <c r="V4158"/>
  <c r="W4158"/>
  <c r="X4158"/>
  <c r="Y4158"/>
  <c r="AA4158"/>
  <c r="AB4158"/>
  <c r="AC4158"/>
  <c r="AD4158"/>
  <c r="P4159"/>
  <c r="Q4159"/>
  <c r="R4159"/>
  <c r="S4159"/>
  <c r="T4159"/>
  <c r="U4159"/>
  <c r="V4159"/>
  <c r="W4159"/>
  <c r="X4159"/>
  <c r="Y4159"/>
  <c r="AA4159"/>
  <c r="AB4159"/>
  <c r="AC4159"/>
  <c r="AD4159"/>
  <c r="P4160"/>
  <c r="Q4160"/>
  <c r="R4160"/>
  <c r="S4160"/>
  <c r="T4160"/>
  <c r="U4160"/>
  <c r="V4160"/>
  <c r="W4160"/>
  <c r="X4160"/>
  <c r="Y4160"/>
  <c r="AA4160"/>
  <c r="AB4160"/>
  <c r="AC4160"/>
  <c r="AD4160"/>
  <c r="P4161"/>
  <c r="Q4161"/>
  <c r="R4161"/>
  <c r="S4161"/>
  <c r="T4161"/>
  <c r="U4161"/>
  <c r="V4161"/>
  <c r="W4161"/>
  <c r="X4161"/>
  <c r="Y4161"/>
  <c r="AA4161"/>
  <c r="AB4161"/>
  <c r="AC4161"/>
  <c r="AD4161"/>
  <c r="P4162"/>
  <c r="Q4162"/>
  <c r="R4162"/>
  <c r="S4162"/>
  <c r="T4162"/>
  <c r="U4162"/>
  <c r="V4162"/>
  <c r="W4162"/>
  <c r="X4162"/>
  <c r="Y4162"/>
  <c r="AA4162"/>
  <c r="AB4162"/>
  <c r="AC4162"/>
  <c r="AD4162"/>
  <c r="P4163"/>
  <c r="Q4163"/>
  <c r="R4163"/>
  <c r="S4163"/>
  <c r="T4163"/>
  <c r="U4163"/>
  <c r="V4163"/>
  <c r="W4163"/>
  <c r="X4163"/>
  <c r="Y4163"/>
  <c r="AA4163"/>
  <c r="AB4163"/>
  <c r="AC4163"/>
  <c r="AD4163"/>
  <c r="P4164"/>
  <c r="Q4164"/>
  <c r="R4164"/>
  <c r="S4164"/>
  <c r="T4164"/>
  <c r="U4164"/>
  <c r="V4164"/>
  <c r="W4164"/>
  <c r="X4164"/>
  <c r="Y4164"/>
  <c r="AA4164"/>
  <c r="AB4164"/>
  <c r="AC4164"/>
  <c r="AD4164"/>
  <c r="P4165"/>
  <c r="Q4165"/>
  <c r="R4165"/>
  <c r="S4165"/>
  <c r="T4165"/>
  <c r="U4165"/>
  <c r="V4165"/>
  <c r="W4165"/>
  <c r="X4165"/>
  <c r="Y4165"/>
  <c r="AA4165"/>
  <c r="AB4165"/>
  <c r="AC4165"/>
  <c r="AD4165"/>
  <c r="P4166"/>
  <c r="Q4166"/>
  <c r="R4166"/>
  <c r="S4166"/>
  <c r="T4166"/>
  <c r="U4166"/>
  <c r="V4166"/>
  <c r="W4166"/>
  <c r="X4166"/>
  <c r="Y4166"/>
  <c r="AA4166"/>
  <c r="AB4166"/>
  <c r="AC4166"/>
  <c r="AD4166"/>
  <c r="P4167"/>
  <c r="Q4167"/>
  <c r="R4167"/>
  <c r="S4167"/>
  <c r="T4167"/>
  <c r="U4167"/>
  <c r="V4167"/>
  <c r="W4167"/>
  <c r="X4167"/>
  <c r="Y4167"/>
  <c r="AA4167"/>
  <c r="AB4167"/>
  <c r="AC4167"/>
  <c r="AD4167"/>
  <c r="P4168"/>
  <c r="Q4168"/>
  <c r="R4168"/>
  <c r="S4168"/>
  <c r="T4168"/>
  <c r="U4168"/>
  <c r="V4168"/>
  <c r="W4168"/>
  <c r="X4168"/>
  <c r="Y4168"/>
  <c r="AA4168"/>
  <c r="AB4168"/>
  <c r="AC4168"/>
  <c r="AD4168"/>
  <c r="P4169"/>
  <c r="Q4169"/>
  <c r="R4169"/>
  <c r="S4169"/>
  <c r="T4169"/>
  <c r="U4169"/>
  <c r="V4169"/>
  <c r="W4169"/>
  <c r="X4169"/>
  <c r="Y4169"/>
  <c r="AA4169"/>
  <c r="AB4169"/>
  <c r="AC4169"/>
  <c r="AD4169"/>
  <c r="P4170"/>
  <c r="Q4170"/>
  <c r="R4170"/>
  <c r="S4170"/>
  <c r="T4170"/>
  <c r="U4170"/>
  <c r="V4170"/>
  <c r="W4170"/>
  <c r="X4170"/>
  <c r="Y4170"/>
  <c r="AA4170"/>
  <c r="AB4170"/>
  <c r="AC4170"/>
  <c r="AD4170"/>
  <c r="P4171"/>
  <c r="Q4171"/>
  <c r="R4171"/>
  <c r="S4171"/>
  <c r="T4171"/>
  <c r="U4171"/>
  <c r="V4171"/>
  <c r="W4171"/>
  <c r="X4171"/>
  <c r="Y4171"/>
  <c r="AA4171"/>
  <c r="AB4171"/>
  <c r="AC4171"/>
  <c r="AD4171"/>
  <c r="P4172"/>
  <c r="Q4172"/>
  <c r="R4172"/>
  <c r="S4172"/>
  <c r="T4172"/>
  <c r="U4172"/>
  <c r="V4172"/>
  <c r="W4172"/>
  <c r="X4172"/>
  <c r="Y4172"/>
  <c r="AA4172"/>
  <c r="AB4172"/>
  <c r="AC4172"/>
  <c r="AD4172"/>
  <c r="P4173"/>
  <c r="Q4173"/>
  <c r="R4173"/>
  <c r="S4173"/>
  <c r="T4173"/>
  <c r="U4173"/>
  <c r="V4173"/>
  <c r="W4173"/>
  <c r="X4173"/>
  <c r="Y4173"/>
  <c r="AA4173"/>
  <c r="AB4173"/>
  <c r="AC4173"/>
  <c r="AD4173"/>
  <c r="P4174"/>
  <c r="Q4174"/>
  <c r="R4174"/>
  <c r="S4174"/>
  <c r="T4174"/>
  <c r="U4174"/>
  <c r="V4174"/>
  <c r="W4174"/>
  <c r="X4174"/>
  <c r="Y4174"/>
  <c r="AA4174"/>
  <c r="AB4174"/>
  <c r="AC4174"/>
  <c r="AD4174"/>
  <c r="P4175"/>
  <c r="Q4175"/>
  <c r="R4175"/>
  <c r="S4175"/>
  <c r="T4175"/>
  <c r="U4175"/>
  <c r="V4175"/>
  <c r="W4175"/>
  <c r="X4175"/>
  <c r="Y4175"/>
  <c r="AA4175"/>
  <c r="AB4175"/>
  <c r="AC4175"/>
  <c r="AD4175"/>
  <c r="P4176"/>
  <c r="Q4176"/>
  <c r="R4176"/>
  <c r="S4176"/>
  <c r="T4176"/>
  <c r="U4176"/>
  <c r="V4176"/>
  <c r="W4176"/>
  <c r="X4176"/>
  <c r="Y4176"/>
  <c r="AA4176"/>
  <c r="AB4176"/>
  <c r="AC4176"/>
  <c r="AD4176"/>
  <c r="P4177"/>
  <c r="Q4177"/>
  <c r="R4177"/>
  <c r="S4177"/>
  <c r="T4177"/>
  <c r="U4177"/>
  <c r="V4177"/>
  <c r="W4177"/>
  <c r="X4177"/>
  <c r="Y4177"/>
  <c r="AA4177"/>
  <c r="AB4177"/>
  <c r="AC4177"/>
  <c r="AD4177"/>
  <c r="P4178"/>
  <c r="Q4178"/>
  <c r="R4178"/>
  <c r="S4178"/>
  <c r="T4178"/>
  <c r="U4178"/>
  <c r="V4178"/>
  <c r="W4178"/>
  <c r="X4178"/>
  <c r="Y4178"/>
  <c r="AA4178"/>
  <c r="AB4178"/>
  <c r="AC4178"/>
  <c r="AD4178"/>
  <c r="P4179"/>
  <c r="Q4179"/>
  <c r="R4179"/>
  <c r="S4179"/>
  <c r="T4179"/>
  <c r="U4179"/>
  <c r="V4179"/>
  <c r="W4179"/>
  <c r="X4179"/>
  <c r="Y4179"/>
  <c r="AA4179"/>
  <c r="AB4179"/>
  <c r="AC4179"/>
  <c r="AD4179"/>
  <c r="P4180"/>
  <c r="Q4180"/>
  <c r="R4180"/>
  <c r="S4180"/>
  <c r="T4180"/>
  <c r="U4180"/>
  <c r="V4180"/>
  <c r="W4180"/>
  <c r="X4180"/>
  <c r="Y4180"/>
  <c r="AA4180"/>
  <c r="AB4180"/>
  <c r="AC4180"/>
  <c r="AD4180"/>
  <c r="P4181"/>
  <c r="Q4181"/>
  <c r="R4181"/>
  <c r="S4181"/>
  <c r="T4181"/>
  <c r="U4181"/>
  <c r="V4181"/>
  <c r="W4181"/>
  <c r="X4181"/>
  <c r="Y4181"/>
  <c r="AA4181"/>
  <c r="AB4181"/>
  <c r="AC4181"/>
  <c r="AD4181"/>
  <c r="P4182"/>
  <c r="Q4182"/>
  <c r="R4182"/>
  <c r="S4182"/>
  <c r="T4182"/>
  <c r="U4182"/>
  <c r="V4182"/>
  <c r="W4182"/>
  <c r="X4182"/>
  <c r="Y4182"/>
  <c r="AA4182"/>
  <c r="AB4182"/>
  <c r="AC4182"/>
  <c r="AD4182"/>
  <c r="P4183"/>
  <c r="Q4183"/>
  <c r="R4183"/>
  <c r="S4183"/>
  <c r="T4183"/>
  <c r="U4183"/>
  <c r="V4183"/>
  <c r="W4183"/>
  <c r="X4183"/>
  <c r="Y4183"/>
  <c r="AA4183"/>
  <c r="AB4183"/>
  <c r="AC4183"/>
  <c r="AD4183"/>
  <c r="P4184"/>
  <c r="Q4184"/>
  <c r="R4184"/>
  <c r="S4184"/>
  <c r="T4184"/>
  <c r="U4184"/>
  <c r="V4184"/>
  <c r="W4184"/>
  <c r="X4184"/>
  <c r="Y4184"/>
  <c r="AA4184"/>
  <c r="AB4184"/>
  <c r="AC4184"/>
  <c r="AD4184"/>
  <c r="P4185"/>
  <c r="Q4185"/>
  <c r="R4185"/>
  <c r="S4185"/>
  <c r="T4185"/>
  <c r="U4185"/>
  <c r="V4185"/>
  <c r="W4185"/>
  <c r="X4185"/>
  <c r="Y4185"/>
  <c r="AA4185"/>
  <c r="AB4185"/>
  <c r="AC4185"/>
  <c r="AD4185"/>
  <c r="P4186"/>
  <c r="Q4186"/>
  <c r="R4186"/>
  <c r="S4186"/>
  <c r="T4186"/>
  <c r="U4186"/>
  <c r="V4186"/>
  <c r="W4186"/>
  <c r="X4186"/>
  <c r="Y4186"/>
  <c r="AA4186"/>
  <c r="AB4186"/>
  <c r="AC4186"/>
  <c r="AD4186"/>
  <c r="P4187"/>
  <c r="Q4187"/>
  <c r="R4187"/>
  <c r="S4187"/>
  <c r="T4187"/>
  <c r="U4187"/>
  <c r="V4187"/>
  <c r="W4187"/>
  <c r="X4187"/>
  <c r="Y4187"/>
  <c r="AA4187"/>
  <c r="AB4187"/>
  <c r="AC4187"/>
  <c r="AD4187"/>
  <c r="P4188"/>
  <c r="Q4188"/>
  <c r="R4188"/>
  <c r="S4188"/>
  <c r="T4188"/>
  <c r="U4188"/>
  <c r="V4188"/>
  <c r="W4188"/>
  <c r="X4188"/>
  <c r="Y4188"/>
  <c r="AA4188"/>
  <c r="AB4188"/>
  <c r="AC4188"/>
  <c r="AD4188"/>
  <c r="P4189"/>
  <c r="Q4189"/>
  <c r="R4189"/>
  <c r="S4189"/>
  <c r="T4189"/>
  <c r="U4189"/>
  <c r="V4189"/>
  <c r="W4189"/>
  <c r="X4189"/>
  <c r="Y4189"/>
  <c r="AA4189"/>
  <c r="AB4189"/>
  <c r="AC4189"/>
  <c r="AD4189"/>
  <c r="P4190"/>
  <c r="Q4190"/>
  <c r="R4190"/>
  <c r="S4190"/>
  <c r="T4190"/>
  <c r="U4190"/>
  <c r="V4190"/>
  <c r="W4190"/>
  <c r="X4190"/>
  <c r="Y4190"/>
  <c r="AA4190"/>
  <c r="AB4190"/>
  <c r="AC4190"/>
  <c r="AD4190"/>
  <c r="P4191"/>
  <c r="Q4191"/>
  <c r="R4191"/>
  <c r="S4191"/>
  <c r="T4191"/>
  <c r="U4191"/>
  <c r="V4191"/>
  <c r="W4191"/>
  <c r="X4191"/>
  <c r="Y4191"/>
  <c r="AA4191"/>
  <c r="AB4191"/>
  <c r="AC4191"/>
  <c r="AD4191"/>
  <c r="P4192"/>
  <c r="Q4192"/>
  <c r="R4192"/>
  <c r="S4192"/>
  <c r="T4192"/>
  <c r="U4192"/>
  <c r="V4192"/>
  <c r="W4192"/>
  <c r="X4192"/>
  <c r="Y4192"/>
  <c r="AA4192"/>
  <c r="AB4192"/>
  <c r="AC4192"/>
  <c r="AD4192"/>
  <c r="P4193"/>
  <c r="Q4193"/>
  <c r="R4193"/>
  <c r="S4193"/>
  <c r="T4193"/>
  <c r="U4193"/>
  <c r="V4193"/>
  <c r="W4193"/>
  <c r="X4193"/>
  <c r="Y4193"/>
  <c r="AA4193"/>
  <c r="AB4193"/>
  <c r="AC4193"/>
  <c r="AD4193"/>
  <c r="P4194"/>
  <c r="Q4194"/>
  <c r="R4194"/>
  <c r="S4194"/>
  <c r="T4194"/>
  <c r="U4194"/>
  <c r="V4194"/>
  <c r="W4194"/>
  <c r="X4194"/>
  <c r="Y4194"/>
  <c r="AA4194"/>
  <c r="AB4194"/>
  <c r="AC4194"/>
  <c r="AD4194"/>
  <c r="P4195"/>
  <c r="Q4195"/>
  <c r="R4195"/>
  <c r="S4195"/>
  <c r="T4195"/>
  <c r="U4195"/>
  <c r="V4195"/>
  <c r="W4195"/>
  <c r="X4195"/>
  <c r="Y4195"/>
  <c r="AA4195"/>
  <c r="AB4195"/>
  <c r="AC4195"/>
  <c r="AD4195"/>
  <c r="P4196"/>
  <c r="Q4196"/>
  <c r="R4196"/>
  <c r="S4196"/>
  <c r="T4196"/>
  <c r="U4196"/>
  <c r="V4196"/>
  <c r="W4196"/>
  <c r="X4196"/>
  <c r="Y4196"/>
  <c r="AA4196"/>
  <c r="AB4196"/>
  <c r="AC4196"/>
  <c r="AD4196"/>
  <c r="P4197"/>
  <c r="Q4197"/>
  <c r="R4197"/>
  <c r="S4197"/>
  <c r="T4197"/>
  <c r="U4197"/>
  <c r="V4197"/>
  <c r="W4197"/>
  <c r="X4197"/>
  <c r="Y4197"/>
  <c r="AA4197"/>
  <c r="AB4197"/>
  <c r="AC4197"/>
  <c r="AD4197"/>
  <c r="P4198"/>
  <c r="Q4198"/>
  <c r="R4198"/>
  <c r="S4198"/>
  <c r="T4198"/>
  <c r="U4198"/>
  <c r="V4198"/>
  <c r="W4198"/>
  <c r="X4198"/>
  <c r="Y4198"/>
  <c r="AA4198"/>
  <c r="AB4198"/>
  <c r="AC4198"/>
  <c r="AD4198"/>
  <c r="P4199"/>
  <c r="Q4199"/>
  <c r="R4199"/>
  <c r="S4199"/>
  <c r="T4199"/>
  <c r="U4199"/>
  <c r="V4199"/>
  <c r="W4199"/>
  <c r="X4199"/>
  <c r="Y4199"/>
  <c r="AA4199"/>
  <c r="AB4199"/>
  <c r="AC4199"/>
  <c r="AD4199"/>
  <c r="P4200"/>
  <c r="Q4200"/>
  <c r="R4200"/>
  <c r="S4200"/>
  <c r="T4200"/>
  <c r="U4200"/>
  <c r="V4200"/>
  <c r="W4200"/>
  <c r="X4200"/>
  <c r="Y4200"/>
  <c r="AA4200"/>
  <c r="AB4200"/>
  <c r="AC4200"/>
  <c r="AD4200"/>
  <c r="P4201"/>
  <c r="Q4201"/>
  <c r="R4201"/>
  <c r="S4201"/>
  <c r="T4201"/>
  <c r="U4201"/>
  <c r="V4201"/>
  <c r="W4201"/>
  <c r="X4201"/>
  <c r="Y4201"/>
  <c r="AA4201"/>
  <c r="AB4201"/>
  <c r="AC4201"/>
  <c r="AD4201"/>
  <c r="P4202"/>
  <c r="Q4202"/>
  <c r="R4202"/>
  <c r="S4202"/>
  <c r="T4202"/>
  <c r="U4202"/>
  <c r="V4202"/>
  <c r="W4202"/>
  <c r="X4202"/>
  <c r="Y4202"/>
  <c r="AA4202"/>
  <c r="AB4202"/>
  <c r="AC4202"/>
  <c r="AD4202"/>
  <c r="P4203"/>
  <c r="Q4203"/>
  <c r="R4203"/>
  <c r="S4203"/>
  <c r="T4203"/>
  <c r="U4203"/>
  <c r="V4203"/>
  <c r="W4203"/>
  <c r="X4203"/>
  <c r="Y4203"/>
  <c r="AA4203"/>
  <c r="AB4203"/>
  <c r="AC4203"/>
  <c r="AD4203"/>
  <c r="P4204"/>
  <c r="Q4204"/>
  <c r="R4204"/>
  <c r="S4204"/>
  <c r="T4204"/>
  <c r="U4204"/>
  <c r="V4204"/>
  <c r="W4204"/>
  <c r="X4204"/>
  <c r="Y4204"/>
  <c r="AA4204"/>
  <c r="AB4204"/>
  <c r="AC4204"/>
  <c r="AD4204"/>
  <c r="P4205"/>
  <c r="Q4205"/>
  <c r="R4205"/>
  <c r="S4205"/>
  <c r="T4205"/>
  <c r="U4205"/>
  <c r="V4205"/>
  <c r="W4205"/>
  <c r="X4205"/>
  <c r="Y4205"/>
  <c r="AA4205"/>
  <c r="AB4205"/>
  <c r="AC4205"/>
  <c r="AD4205"/>
  <c r="P4206"/>
  <c r="Q4206"/>
  <c r="R4206"/>
  <c r="S4206"/>
  <c r="T4206"/>
  <c r="U4206"/>
  <c r="V4206"/>
  <c r="W4206"/>
  <c r="X4206"/>
  <c r="Y4206"/>
  <c r="AA4206"/>
  <c r="AB4206"/>
  <c r="AC4206"/>
  <c r="AD4206"/>
  <c r="P4207"/>
  <c r="Q4207"/>
  <c r="R4207"/>
  <c r="S4207"/>
  <c r="T4207"/>
  <c r="U4207"/>
  <c r="V4207"/>
  <c r="W4207"/>
  <c r="X4207"/>
  <c r="Y4207"/>
  <c r="AA4207"/>
  <c r="AB4207"/>
  <c r="AC4207"/>
  <c r="AD4207"/>
  <c r="P4208"/>
  <c r="Q4208"/>
  <c r="R4208"/>
  <c r="S4208"/>
  <c r="T4208"/>
  <c r="U4208"/>
  <c r="V4208"/>
  <c r="W4208"/>
  <c r="X4208"/>
  <c r="Y4208"/>
  <c r="AA4208"/>
  <c r="AB4208"/>
  <c r="AC4208"/>
  <c r="AD4208"/>
  <c r="P4209"/>
  <c r="Q4209"/>
  <c r="R4209"/>
  <c r="S4209"/>
  <c r="T4209"/>
  <c r="U4209"/>
  <c r="V4209"/>
  <c r="W4209"/>
  <c r="X4209"/>
  <c r="Y4209"/>
  <c r="AA4209"/>
  <c r="AB4209"/>
  <c r="AC4209"/>
  <c r="AD4209"/>
  <c r="P4210"/>
  <c r="Q4210"/>
  <c r="R4210"/>
  <c r="S4210"/>
  <c r="T4210"/>
  <c r="U4210"/>
  <c r="V4210"/>
  <c r="W4210"/>
  <c r="X4210"/>
  <c r="Y4210"/>
  <c r="AA4210"/>
  <c r="AB4210"/>
  <c r="AC4210"/>
  <c r="AD4210"/>
  <c r="P4211"/>
  <c r="Q4211"/>
  <c r="R4211"/>
  <c r="S4211"/>
  <c r="T4211"/>
  <c r="U4211"/>
  <c r="V4211"/>
  <c r="W4211"/>
  <c r="X4211"/>
  <c r="Y4211"/>
  <c r="AA4211"/>
  <c r="AB4211"/>
  <c r="AC4211"/>
  <c r="AD4211"/>
  <c r="P4212"/>
  <c r="Q4212"/>
  <c r="R4212"/>
  <c r="S4212"/>
  <c r="T4212"/>
  <c r="U4212"/>
  <c r="V4212"/>
  <c r="W4212"/>
  <c r="X4212"/>
  <c r="Y4212"/>
  <c r="AA4212"/>
  <c r="AB4212"/>
  <c r="AC4212"/>
  <c r="AD4212"/>
  <c r="P4213"/>
  <c r="Q4213"/>
  <c r="R4213"/>
  <c r="S4213"/>
  <c r="T4213"/>
  <c r="U4213"/>
  <c r="V4213"/>
  <c r="W4213"/>
  <c r="X4213"/>
  <c r="Y4213"/>
  <c r="AA4213"/>
  <c r="AB4213"/>
  <c r="AC4213"/>
  <c r="AD4213"/>
  <c r="P4214"/>
  <c r="Q4214"/>
  <c r="R4214"/>
  <c r="S4214"/>
  <c r="T4214"/>
  <c r="U4214"/>
  <c r="V4214"/>
  <c r="W4214"/>
  <c r="X4214"/>
  <c r="Y4214"/>
  <c r="AA4214"/>
  <c r="AB4214"/>
  <c r="AC4214"/>
  <c r="AD4214"/>
  <c r="P4215"/>
  <c r="Q4215"/>
  <c r="R4215"/>
  <c r="S4215"/>
  <c r="T4215"/>
  <c r="U4215"/>
  <c r="V4215"/>
  <c r="W4215"/>
  <c r="X4215"/>
  <c r="Y4215"/>
  <c r="AA4215"/>
  <c r="AB4215"/>
  <c r="AC4215"/>
  <c r="AD4215"/>
  <c r="P4216"/>
  <c r="Q4216"/>
  <c r="R4216"/>
  <c r="S4216"/>
  <c r="T4216"/>
  <c r="U4216"/>
  <c r="V4216"/>
  <c r="W4216"/>
  <c r="X4216"/>
  <c r="Y4216"/>
  <c r="AA4216"/>
  <c r="AB4216"/>
  <c r="AC4216"/>
  <c r="AD4216"/>
  <c r="P4217"/>
  <c r="Q4217"/>
  <c r="R4217"/>
  <c r="S4217"/>
  <c r="T4217"/>
  <c r="U4217"/>
  <c r="V4217"/>
  <c r="W4217"/>
  <c r="X4217"/>
  <c r="Y4217"/>
  <c r="AA4217"/>
  <c r="AB4217"/>
  <c r="AC4217"/>
  <c r="AD4217"/>
  <c r="P4218"/>
  <c r="Q4218"/>
  <c r="R4218"/>
  <c r="S4218"/>
  <c r="T4218"/>
  <c r="U4218"/>
  <c r="V4218"/>
  <c r="W4218"/>
  <c r="X4218"/>
  <c r="Y4218"/>
  <c r="AA4218"/>
  <c r="AB4218"/>
  <c r="AC4218"/>
  <c r="AD4218"/>
  <c r="P4219"/>
  <c r="Q4219"/>
  <c r="R4219"/>
  <c r="S4219"/>
  <c r="T4219"/>
  <c r="U4219"/>
  <c r="V4219"/>
  <c r="W4219"/>
  <c r="X4219"/>
  <c r="Y4219"/>
  <c r="AA4219"/>
  <c r="AB4219"/>
  <c r="AC4219"/>
  <c r="AD4219"/>
  <c r="P4220"/>
  <c r="Q4220"/>
  <c r="R4220"/>
  <c r="S4220"/>
  <c r="T4220"/>
  <c r="U4220"/>
  <c r="V4220"/>
  <c r="W4220"/>
  <c r="X4220"/>
  <c r="Y4220"/>
  <c r="AA4220"/>
  <c r="AB4220"/>
  <c r="AC4220"/>
  <c r="AD4220"/>
  <c r="P4221"/>
  <c r="Q4221"/>
  <c r="R4221"/>
  <c r="S4221"/>
  <c r="T4221"/>
  <c r="U4221"/>
  <c r="V4221"/>
  <c r="W4221"/>
  <c r="X4221"/>
  <c r="Y4221"/>
  <c r="AA4221"/>
  <c r="AB4221"/>
  <c r="AC4221"/>
  <c r="AD4221"/>
  <c r="P4222"/>
  <c r="Q4222"/>
  <c r="R4222"/>
  <c r="S4222"/>
  <c r="T4222"/>
  <c r="U4222"/>
  <c r="V4222"/>
  <c r="W4222"/>
  <c r="X4222"/>
  <c r="Y4222"/>
  <c r="AA4222"/>
  <c r="AB4222"/>
  <c r="AC4222"/>
  <c r="AD4222"/>
  <c r="P4223"/>
  <c r="Q4223"/>
  <c r="R4223"/>
  <c r="S4223"/>
  <c r="T4223"/>
  <c r="U4223"/>
  <c r="V4223"/>
  <c r="W4223"/>
  <c r="X4223"/>
  <c r="Y4223"/>
  <c r="AA4223"/>
  <c r="AB4223"/>
  <c r="AC4223"/>
  <c r="AD4223"/>
  <c r="P4224"/>
  <c r="Q4224"/>
  <c r="R4224"/>
  <c r="S4224"/>
  <c r="T4224"/>
  <c r="U4224"/>
  <c r="V4224"/>
  <c r="W4224"/>
  <c r="X4224"/>
  <c r="Y4224"/>
  <c r="AA4224"/>
  <c r="AB4224"/>
  <c r="AC4224"/>
  <c r="AD4224"/>
  <c r="P4225"/>
  <c r="Q4225"/>
  <c r="R4225"/>
  <c r="S4225"/>
  <c r="T4225"/>
  <c r="U4225"/>
  <c r="V4225"/>
  <c r="W4225"/>
  <c r="X4225"/>
  <c r="Y4225"/>
  <c r="AA4225"/>
  <c r="AB4225"/>
  <c r="AC4225"/>
  <c r="AD4225"/>
  <c r="P4226"/>
  <c r="Q4226"/>
  <c r="R4226"/>
  <c r="S4226"/>
  <c r="T4226"/>
  <c r="U4226"/>
  <c r="V4226"/>
  <c r="W4226"/>
  <c r="X4226"/>
  <c r="Y4226"/>
  <c r="AA4226"/>
  <c r="AB4226"/>
  <c r="AC4226"/>
  <c r="AD4226"/>
  <c r="P4227"/>
  <c r="Q4227"/>
  <c r="R4227"/>
  <c r="S4227"/>
  <c r="T4227"/>
  <c r="U4227"/>
  <c r="V4227"/>
  <c r="W4227"/>
  <c r="X4227"/>
  <c r="Y4227"/>
  <c r="AA4227"/>
  <c r="AB4227"/>
  <c r="AC4227"/>
  <c r="AD4227"/>
  <c r="P4228"/>
  <c r="Q4228"/>
  <c r="R4228"/>
  <c r="S4228"/>
  <c r="T4228"/>
  <c r="U4228"/>
  <c r="V4228"/>
  <c r="W4228"/>
  <c r="X4228"/>
  <c r="Y4228"/>
  <c r="AA4228"/>
  <c r="AB4228"/>
  <c r="AC4228"/>
  <c r="AD4228"/>
  <c r="P4229"/>
  <c r="Q4229"/>
  <c r="R4229"/>
  <c r="S4229"/>
  <c r="T4229"/>
  <c r="U4229"/>
  <c r="V4229"/>
  <c r="W4229"/>
  <c r="X4229"/>
  <c r="Y4229"/>
  <c r="AA4229"/>
  <c r="AB4229"/>
  <c r="AC4229"/>
  <c r="AD4229"/>
  <c r="P4230"/>
  <c r="Q4230"/>
  <c r="R4230"/>
  <c r="S4230"/>
  <c r="T4230"/>
  <c r="U4230"/>
  <c r="V4230"/>
  <c r="W4230"/>
  <c r="X4230"/>
  <c r="Y4230"/>
  <c r="AA4230"/>
  <c r="AB4230"/>
  <c r="AC4230"/>
  <c r="AD4230"/>
  <c r="P4231"/>
  <c r="Q4231"/>
  <c r="R4231"/>
  <c r="S4231"/>
  <c r="T4231"/>
  <c r="U4231"/>
  <c r="V4231"/>
  <c r="W4231"/>
  <c r="X4231"/>
  <c r="Y4231"/>
  <c r="AA4231"/>
  <c r="AB4231"/>
  <c r="AC4231"/>
  <c r="AD4231"/>
  <c r="P4232"/>
  <c r="Q4232"/>
  <c r="R4232"/>
  <c r="S4232"/>
  <c r="T4232"/>
  <c r="U4232"/>
  <c r="V4232"/>
  <c r="W4232"/>
  <c r="X4232"/>
  <c r="Y4232"/>
  <c r="AA4232"/>
  <c r="AB4232"/>
  <c r="AC4232"/>
  <c r="AD4232"/>
  <c r="P4233"/>
  <c r="Q4233"/>
  <c r="R4233"/>
  <c r="S4233"/>
  <c r="T4233"/>
  <c r="U4233"/>
  <c r="V4233"/>
  <c r="W4233"/>
  <c r="X4233"/>
  <c r="Y4233"/>
  <c r="AA4233"/>
  <c r="AB4233"/>
  <c r="AC4233"/>
  <c r="AD4233"/>
  <c r="P4234"/>
  <c r="Q4234"/>
  <c r="R4234"/>
  <c r="S4234"/>
  <c r="T4234"/>
  <c r="U4234"/>
  <c r="V4234"/>
  <c r="W4234"/>
  <c r="X4234"/>
  <c r="Y4234"/>
  <c r="AA4234"/>
  <c r="AB4234"/>
  <c r="AC4234"/>
  <c r="AD4234"/>
  <c r="P4235"/>
  <c r="Q4235"/>
  <c r="R4235"/>
  <c r="S4235"/>
  <c r="T4235"/>
  <c r="U4235"/>
  <c r="V4235"/>
  <c r="W4235"/>
  <c r="X4235"/>
  <c r="Y4235"/>
  <c r="AA4235"/>
  <c r="AB4235"/>
  <c r="AC4235"/>
  <c r="AD4235"/>
  <c r="P4236"/>
  <c r="Q4236"/>
  <c r="R4236"/>
  <c r="S4236"/>
  <c r="T4236"/>
  <c r="U4236"/>
  <c r="V4236"/>
  <c r="W4236"/>
  <c r="X4236"/>
  <c r="Y4236"/>
  <c r="AA4236"/>
  <c r="AB4236"/>
  <c r="AC4236"/>
  <c r="AD4236"/>
  <c r="P4237"/>
  <c r="Q4237"/>
  <c r="R4237"/>
  <c r="S4237"/>
  <c r="T4237"/>
  <c r="U4237"/>
  <c r="V4237"/>
  <c r="W4237"/>
  <c r="X4237"/>
  <c r="Y4237"/>
  <c r="AA4237"/>
  <c r="AB4237"/>
  <c r="AC4237"/>
  <c r="AD4237"/>
  <c r="P4238"/>
  <c r="Q4238"/>
  <c r="R4238"/>
  <c r="S4238"/>
  <c r="T4238"/>
  <c r="U4238"/>
  <c r="V4238"/>
  <c r="W4238"/>
  <c r="X4238"/>
  <c r="Y4238"/>
  <c r="AA4238"/>
  <c r="AB4238"/>
  <c r="AC4238"/>
  <c r="AD4238"/>
  <c r="P4239"/>
  <c r="Q4239"/>
  <c r="R4239"/>
  <c r="S4239"/>
  <c r="T4239"/>
  <c r="U4239"/>
  <c r="V4239"/>
  <c r="W4239"/>
  <c r="X4239"/>
  <c r="Y4239"/>
  <c r="AA4239"/>
  <c r="AB4239"/>
  <c r="AC4239"/>
  <c r="AD4239"/>
  <c r="P4240"/>
  <c r="Q4240"/>
  <c r="R4240"/>
  <c r="S4240"/>
  <c r="T4240"/>
  <c r="U4240"/>
  <c r="V4240"/>
  <c r="W4240"/>
  <c r="X4240"/>
  <c r="Y4240"/>
  <c r="AA4240"/>
  <c r="AB4240"/>
  <c r="AC4240"/>
  <c r="AD4240"/>
  <c r="P4241"/>
  <c r="Q4241"/>
  <c r="R4241"/>
  <c r="S4241"/>
  <c r="T4241"/>
  <c r="U4241"/>
  <c r="V4241"/>
  <c r="W4241"/>
  <c r="X4241"/>
  <c r="Y4241"/>
  <c r="AA4241"/>
  <c r="AB4241"/>
  <c r="AC4241"/>
  <c r="AD4241"/>
  <c r="P4242"/>
  <c r="Q4242"/>
  <c r="R4242"/>
  <c r="S4242"/>
  <c r="T4242"/>
  <c r="U4242"/>
  <c r="V4242"/>
  <c r="W4242"/>
  <c r="X4242"/>
  <c r="Y4242"/>
  <c r="AA4242"/>
  <c r="AB4242"/>
  <c r="AC4242"/>
  <c r="AD4242"/>
  <c r="P4243"/>
  <c r="Q4243"/>
  <c r="R4243"/>
  <c r="S4243"/>
  <c r="T4243"/>
  <c r="U4243"/>
  <c r="V4243"/>
  <c r="W4243"/>
  <c r="X4243"/>
  <c r="Y4243"/>
  <c r="AA4243"/>
  <c r="AB4243"/>
  <c r="AC4243"/>
  <c r="AD4243"/>
  <c r="P4244"/>
  <c r="Q4244"/>
  <c r="R4244"/>
  <c r="S4244"/>
  <c r="T4244"/>
  <c r="U4244"/>
  <c r="V4244"/>
  <c r="W4244"/>
  <c r="X4244"/>
  <c r="Y4244"/>
  <c r="AA4244"/>
  <c r="AB4244"/>
  <c r="AC4244"/>
  <c r="AD4244"/>
  <c r="P4245"/>
  <c r="Q4245"/>
  <c r="R4245"/>
  <c r="S4245"/>
  <c r="T4245"/>
  <c r="U4245"/>
  <c r="V4245"/>
  <c r="W4245"/>
  <c r="X4245"/>
  <c r="Y4245"/>
  <c r="AA4245"/>
  <c r="AB4245"/>
  <c r="AC4245"/>
  <c r="AD4245"/>
  <c r="P4246"/>
  <c r="Q4246"/>
  <c r="R4246"/>
  <c r="S4246"/>
  <c r="T4246"/>
  <c r="U4246"/>
  <c r="V4246"/>
  <c r="W4246"/>
  <c r="X4246"/>
  <c r="Y4246"/>
  <c r="AA4246"/>
  <c r="AB4246"/>
  <c r="AC4246"/>
  <c r="AD4246"/>
  <c r="P4247"/>
  <c r="Q4247"/>
  <c r="R4247"/>
  <c r="S4247"/>
  <c r="T4247"/>
  <c r="U4247"/>
  <c r="V4247"/>
  <c r="W4247"/>
  <c r="X4247"/>
  <c r="Y4247"/>
  <c r="AA4247"/>
  <c r="AB4247"/>
  <c r="AC4247"/>
  <c r="AD4247"/>
  <c r="P4248"/>
  <c r="Q4248"/>
  <c r="R4248"/>
  <c r="S4248"/>
  <c r="T4248"/>
  <c r="U4248"/>
  <c r="V4248"/>
  <c r="W4248"/>
  <c r="X4248"/>
  <c r="Y4248"/>
  <c r="AA4248"/>
  <c r="AB4248"/>
  <c r="AC4248"/>
  <c r="AD4248"/>
  <c r="P4249"/>
  <c r="Q4249"/>
  <c r="R4249"/>
  <c r="S4249"/>
  <c r="T4249"/>
  <c r="U4249"/>
  <c r="V4249"/>
  <c r="W4249"/>
  <c r="X4249"/>
  <c r="Y4249"/>
  <c r="AA4249"/>
  <c r="AB4249"/>
  <c r="AC4249"/>
  <c r="AD4249"/>
  <c r="P4250"/>
  <c r="Q4250"/>
  <c r="R4250"/>
  <c r="S4250"/>
  <c r="T4250"/>
  <c r="U4250"/>
  <c r="V4250"/>
  <c r="W4250"/>
  <c r="X4250"/>
  <c r="Y4250"/>
  <c r="AA4250"/>
  <c r="AB4250"/>
  <c r="AC4250"/>
  <c r="AD4250"/>
  <c r="P4251"/>
  <c r="Q4251"/>
  <c r="R4251"/>
  <c r="S4251"/>
  <c r="T4251"/>
  <c r="U4251"/>
  <c r="V4251"/>
  <c r="W4251"/>
  <c r="X4251"/>
  <c r="Y4251"/>
  <c r="AA4251"/>
  <c r="AB4251"/>
  <c r="AC4251"/>
  <c r="AD4251"/>
  <c r="P4252"/>
  <c r="Q4252"/>
  <c r="R4252"/>
  <c r="S4252"/>
  <c r="T4252"/>
  <c r="U4252"/>
  <c r="V4252"/>
  <c r="W4252"/>
  <c r="X4252"/>
  <c r="Y4252"/>
  <c r="AA4252"/>
  <c r="AB4252"/>
  <c r="AC4252"/>
  <c r="AD4252"/>
  <c r="P4253"/>
  <c r="Q4253"/>
  <c r="R4253"/>
  <c r="S4253"/>
  <c r="T4253"/>
  <c r="U4253"/>
  <c r="V4253"/>
  <c r="W4253"/>
  <c r="X4253"/>
  <c r="Y4253"/>
  <c r="AA4253"/>
  <c r="AB4253"/>
  <c r="AC4253"/>
  <c r="AD4253"/>
  <c r="P4254"/>
  <c r="Q4254"/>
  <c r="R4254"/>
  <c r="S4254"/>
  <c r="T4254"/>
  <c r="U4254"/>
  <c r="V4254"/>
  <c r="W4254"/>
  <c r="X4254"/>
  <c r="Y4254"/>
  <c r="AA4254"/>
  <c r="AB4254"/>
  <c r="AC4254"/>
  <c r="AD4254"/>
  <c r="P4255"/>
  <c r="Q4255"/>
  <c r="R4255"/>
  <c r="S4255"/>
  <c r="T4255"/>
  <c r="U4255"/>
  <c r="V4255"/>
  <c r="W4255"/>
  <c r="X4255"/>
  <c r="Y4255"/>
  <c r="AA4255"/>
  <c r="AB4255"/>
  <c r="AC4255"/>
  <c r="AD4255"/>
  <c r="P4256"/>
  <c r="Q4256"/>
  <c r="R4256"/>
  <c r="S4256"/>
  <c r="T4256"/>
  <c r="U4256"/>
  <c r="V4256"/>
  <c r="W4256"/>
  <c r="X4256"/>
  <c r="Y4256"/>
  <c r="AA4256"/>
  <c r="AB4256"/>
  <c r="AC4256"/>
  <c r="AD4256"/>
  <c r="P4257"/>
  <c r="Q4257"/>
  <c r="R4257"/>
  <c r="S4257"/>
  <c r="T4257"/>
  <c r="U4257"/>
  <c r="V4257"/>
  <c r="W4257"/>
  <c r="X4257"/>
  <c r="Y4257"/>
  <c r="AA4257"/>
  <c r="AB4257"/>
  <c r="AC4257"/>
  <c r="AD4257"/>
  <c r="P4258"/>
  <c r="Q4258"/>
  <c r="R4258"/>
  <c r="S4258"/>
  <c r="T4258"/>
  <c r="U4258"/>
  <c r="V4258"/>
  <c r="W4258"/>
  <c r="X4258"/>
  <c r="Y4258"/>
  <c r="AA4258"/>
  <c r="AB4258"/>
  <c r="AC4258"/>
  <c r="AD4258"/>
  <c r="P4259"/>
  <c r="Q4259"/>
  <c r="R4259"/>
  <c r="S4259"/>
  <c r="T4259"/>
  <c r="U4259"/>
  <c r="V4259"/>
  <c r="W4259"/>
  <c r="X4259"/>
  <c r="Y4259"/>
  <c r="AA4259"/>
  <c r="AB4259"/>
  <c r="AC4259"/>
  <c r="AD4259"/>
  <c r="P4260"/>
  <c r="Q4260"/>
  <c r="R4260"/>
  <c r="S4260"/>
  <c r="T4260"/>
  <c r="U4260"/>
  <c r="V4260"/>
  <c r="W4260"/>
  <c r="X4260"/>
  <c r="Y4260"/>
  <c r="AA4260"/>
  <c r="AB4260"/>
  <c r="AC4260"/>
  <c r="AD4260"/>
  <c r="P4261"/>
  <c r="Q4261"/>
  <c r="R4261"/>
  <c r="S4261"/>
  <c r="T4261"/>
  <c r="U4261"/>
  <c r="V4261"/>
  <c r="W4261"/>
  <c r="X4261"/>
  <c r="Y4261"/>
  <c r="AA4261"/>
  <c r="AB4261"/>
  <c r="AC4261"/>
  <c r="AD4261"/>
  <c r="P4262"/>
  <c r="Q4262"/>
  <c r="R4262"/>
  <c r="S4262"/>
  <c r="T4262"/>
  <c r="U4262"/>
  <c r="V4262"/>
  <c r="W4262"/>
  <c r="X4262"/>
  <c r="Y4262"/>
  <c r="AA4262"/>
  <c r="AB4262"/>
  <c r="AC4262"/>
  <c r="AD4262"/>
  <c r="P4263"/>
  <c r="Q4263"/>
  <c r="R4263"/>
  <c r="S4263"/>
  <c r="T4263"/>
  <c r="U4263"/>
  <c r="V4263"/>
  <c r="W4263"/>
  <c r="X4263"/>
  <c r="Y4263"/>
  <c r="AA4263"/>
  <c r="AB4263"/>
  <c r="AC4263"/>
  <c r="AD4263"/>
  <c r="P4264"/>
  <c r="Q4264"/>
  <c r="R4264"/>
  <c r="S4264"/>
  <c r="T4264"/>
  <c r="U4264"/>
  <c r="V4264"/>
  <c r="W4264"/>
  <c r="X4264"/>
  <c r="Y4264"/>
  <c r="AA4264"/>
  <c r="AB4264"/>
  <c r="AC4264"/>
  <c r="AD4264"/>
  <c r="P4265"/>
  <c r="Q4265"/>
  <c r="R4265"/>
  <c r="S4265"/>
  <c r="T4265"/>
  <c r="U4265"/>
  <c r="V4265"/>
  <c r="W4265"/>
  <c r="X4265"/>
  <c r="Y4265"/>
  <c r="AA4265"/>
  <c r="AB4265"/>
  <c r="AC4265"/>
  <c r="AD4265"/>
  <c r="P4266"/>
  <c r="Q4266"/>
  <c r="R4266"/>
  <c r="S4266"/>
  <c r="T4266"/>
  <c r="U4266"/>
  <c r="V4266"/>
  <c r="W4266"/>
  <c r="X4266"/>
  <c r="Y4266"/>
  <c r="AA4266"/>
  <c r="AB4266"/>
  <c r="AC4266"/>
  <c r="AD4266"/>
  <c r="P4267"/>
  <c r="Q4267"/>
  <c r="R4267"/>
  <c r="S4267"/>
  <c r="T4267"/>
  <c r="U4267"/>
  <c r="V4267"/>
  <c r="W4267"/>
  <c r="X4267"/>
  <c r="Y4267"/>
  <c r="AA4267"/>
  <c r="AB4267"/>
  <c r="AC4267"/>
  <c r="AD4267"/>
  <c r="P4268"/>
  <c r="Q4268"/>
  <c r="R4268"/>
  <c r="S4268"/>
  <c r="T4268"/>
  <c r="U4268"/>
  <c r="V4268"/>
  <c r="W4268"/>
  <c r="X4268"/>
  <c r="Y4268"/>
  <c r="AA4268"/>
  <c r="AB4268"/>
  <c r="AC4268"/>
  <c r="AD4268"/>
  <c r="P4269"/>
  <c r="Q4269"/>
  <c r="R4269"/>
  <c r="S4269"/>
  <c r="T4269"/>
  <c r="U4269"/>
  <c r="V4269"/>
  <c r="W4269"/>
  <c r="X4269"/>
  <c r="Y4269"/>
  <c r="AA4269"/>
  <c r="AB4269"/>
  <c r="AC4269"/>
  <c r="AD4269"/>
  <c r="P4270"/>
  <c r="Q4270"/>
  <c r="R4270"/>
  <c r="S4270"/>
  <c r="T4270"/>
  <c r="U4270"/>
  <c r="V4270"/>
  <c r="W4270"/>
  <c r="X4270"/>
  <c r="Y4270"/>
  <c r="AA4270"/>
  <c r="AB4270"/>
  <c r="AC4270"/>
  <c r="AD4270"/>
  <c r="P4271"/>
  <c r="Q4271"/>
  <c r="R4271"/>
  <c r="S4271"/>
  <c r="T4271"/>
  <c r="U4271"/>
  <c r="V4271"/>
  <c r="W4271"/>
  <c r="X4271"/>
  <c r="Y4271"/>
  <c r="AA4271"/>
  <c r="AB4271"/>
  <c r="AC4271"/>
  <c r="AD4271"/>
  <c r="P4272"/>
  <c r="Q4272"/>
  <c r="R4272"/>
  <c r="S4272"/>
  <c r="T4272"/>
  <c r="U4272"/>
  <c r="V4272"/>
  <c r="W4272"/>
  <c r="X4272"/>
  <c r="Y4272"/>
  <c r="AA4272"/>
  <c r="AB4272"/>
  <c r="AC4272"/>
  <c r="AD4272"/>
  <c r="P4273"/>
  <c r="Q4273"/>
  <c r="R4273"/>
  <c r="S4273"/>
  <c r="T4273"/>
  <c r="U4273"/>
  <c r="V4273"/>
  <c r="W4273"/>
  <c r="X4273"/>
  <c r="Y4273"/>
  <c r="AA4273"/>
  <c r="AB4273"/>
  <c r="AC4273"/>
  <c r="AD4273"/>
  <c r="P4274"/>
  <c r="Q4274"/>
  <c r="R4274"/>
  <c r="S4274"/>
  <c r="T4274"/>
  <c r="U4274"/>
  <c r="V4274"/>
  <c r="W4274"/>
  <c r="X4274"/>
  <c r="Y4274"/>
  <c r="AA4274"/>
  <c r="AB4274"/>
  <c r="AC4274"/>
  <c r="AD4274"/>
  <c r="P4275"/>
  <c r="Q4275"/>
  <c r="R4275"/>
  <c r="S4275"/>
  <c r="T4275"/>
  <c r="U4275"/>
  <c r="V4275"/>
  <c r="W4275"/>
  <c r="X4275"/>
  <c r="Y4275"/>
  <c r="AA4275"/>
  <c r="AB4275"/>
  <c r="AC4275"/>
  <c r="AD4275"/>
  <c r="P4276"/>
  <c r="Q4276"/>
  <c r="R4276"/>
  <c r="S4276"/>
  <c r="T4276"/>
  <c r="U4276"/>
  <c r="V4276"/>
  <c r="W4276"/>
  <c r="X4276"/>
  <c r="Y4276"/>
  <c r="AA4276"/>
  <c r="AB4276"/>
  <c r="AC4276"/>
  <c r="AD4276"/>
  <c r="P4277"/>
  <c r="Q4277"/>
  <c r="R4277"/>
  <c r="S4277"/>
  <c r="T4277"/>
  <c r="U4277"/>
  <c r="V4277"/>
  <c r="W4277"/>
  <c r="X4277"/>
  <c r="Y4277"/>
  <c r="AA4277"/>
  <c r="AB4277"/>
  <c r="AC4277"/>
  <c r="AD4277"/>
  <c r="P4278"/>
  <c r="Q4278"/>
  <c r="R4278"/>
  <c r="S4278"/>
  <c r="T4278"/>
  <c r="U4278"/>
  <c r="V4278"/>
  <c r="W4278"/>
  <c r="X4278"/>
  <c r="Y4278"/>
  <c r="AA4278"/>
  <c r="AB4278"/>
  <c r="AC4278"/>
  <c r="AD4278"/>
  <c r="P4279"/>
  <c r="Q4279"/>
  <c r="R4279"/>
  <c r="S4279"/>
  <c r="T4279"/>
  <c r="U4279"/>
  <c r="V4279"/>
  <c r="W4279"/>
  <c r="X4279"/>
  <c r="Y4279"/>
  <c r="AA4279"/>
  <c r="AB4279"/>
  <c r="AC4279"/>
  <c r="AD4279"/>
  <c r="P4280"/>
  <c r="Q4280"/>
  <c r="R4280"/>
  <c r="S4280"/>
  <c r="T4280"/>
  <c r="U4280"/>
  <c r="V4280"/>
  <c r="W4280"/>
  <c r="X4280"/>
  <c r="Y4280"/>
  <c r="AA4280"/>
  <c r="AB4280"/>
  <c r="AC4280"/>
  <c r="AD4280"/>
  <c r="P4281"/>
  <c r="Q4281"/>
  <c r="R4281"/>
  <c r="S4281"/>
  <c r="T4281"/>
  <c r="U4281"/>
  <c r="V4281"/>
  <c r="W4281"/>
  <c r="X4281"/>
  <c r="Y4281"/>
  <c r="AA4281"/>
  <c r="AB4281"/>
  <c r="AC4281"/>
  <c r="AD4281"/>
  <c r="P4282"/>
  <c r="Q4282"/>
  <c r="R4282"/>
  <c r="S4282"/>
  <c r="T4282"/>
  <c r="U4282"/>
  <c r="V4282"/>
  <c r="W4282"/>
  <c r="X4282"/>
  <c r="Y4282"/>
  <c r="AA4282"/>
  <c r="AB4282"/>
  <c r="AC4282"/>
  <c r="AD4282"/>
  <c r="P4283"/>
  <c r="Q4283"/>
  <c r="R4283"/>
  <c r="S4283"/>
  <c r="T4283"/>
  <c r="U4283"/>
  <c r="V4283"/>
  <c r="W4283"/>
  <c r="X4283"/>
  <c r="Y4283"/>
  <c r="AA4283"/>
  <c r="AB4283"/>
  <c r="AC4283"/>
  <c r="AD4283"/>
  <c r="P4284"/>
  <c r="Q4284"/>
  <c r="R4284"/>
  <c r="S4284"/>
  <c r="T4284"/>
  <c r="U4284"/>
  <c r="V4284"/>
  <c r="W4284"/>
  <c r="X4284"/>
  <c r="Y4284"/>
  <c r="AA4284"/>
  <c r="AB4284"/>
  <c r="AC4284"/>
  <c r="AD4284"/>
  <c r="P4285"/>
  <c r="Q4285"/>
  <c r="R4285"/>
  <c r="S4285"/>
  <c r="T4285"/>
  <c r="U4285"/>
  <c r="V4285"/>
  <c r="W4285"/>
  <c r="X4285"/>
  <c r="Y4285"/>
  <c r="AA4285"/>
  <c r="AB4285"/>
  <c r="AC4285"/>
  <c r="AD4285"/>
  <c r="P4286"/>
  <c r="Q4286"/>
  <c r="R4286"/>
  <c r="S4286"/>
  <c r="T4286"/>
  <c r="U4286"/>
  <c r="V4286"/>
  <c r="W4286"/>
  <c r="X4286"/>
  <c r="Y4286"/>
  <c r="AA4286"/>
  <c r="AB4286"/>
  <c r="AC4286"/>
  <c r="AD4286"/>
  <c r="P4287"/>
  <c r="Q4287"/>
  <c r="R4287"/>
  <c r="S4287"/>
  <c r="T4287"/>
  <c r="U4287"/>
  <c r="V4287"/>
  <c r="W4287"/>
  <c r="X4287"/>
  <c r="Y4287"/>
  <c r="AA4287"/>
  <c r="AB4287"/>
  <c r="AC4287"/>
  <c r="AD4287"/>
  <c r="P4288"/>
  <c r="Q4288"/>
  <c r="R4288"/>
  <c r="S4288"/>
  <c r="T4288"/>
  <c r="U4288"/>
  <c r="V4288"/>
  <c r="W4288"/>
  <c r="X4288"/>
  <c r="Y4288"/>
  <c r="AA4288"/>
  <c r="AB4288"/>
  <c r="AC4288"/>
  <c r="AD4288"/>
  <c r="P4289"/>
  <c r="Q4289"/>
  <c r="R4289"/>
  <c r="S4289"/>
  <c r="T4289"/>
  <c r="U4289"/>
  <c r="V4289"/>
  <c r="W4289"/>
  <c r="X4289"/>
  <c r="Y4289"/>
  <c r="AA4289"/>
  <c r="AB4289"/>
  <c r="AC4289"/>
  <c r="AD4289"/>
  <c r="P4290"/>
  <c r="Q4290"/>
  <c r="R4290"/>
  <c r="S4290"/>
  <c r="T4290"/>
  <c r="U4290"/>
  <c r="V4290"/>
  <c r="W4290"/>
  <c r="X4290"/>
  <c r="Y4290"/>
  <c r="AA4290"/>
  <c r="AB4290"/>
  <c r="AC4290"/>
  <c r="AD4290"/>
  <c r="P4291"/>
  <c r="Q4291"/>
  <c r="R4291"/>
  <c r="S4291"/>
  <c r="T4291"/>
  <c r="U4291"/>
  <c r="V4291"/>
  <c r="W4291"/>
  <c r="X4291"/>
  <c r="Y4291"/>
  <c r="AA4291"/>
  <c r="AB4291"/>
  <c r="AC4291"/>
  <c r="AD4291"/>
  <c r="P4292"/>
  <c r="Q4292"/>
  <c r="R4292"/>
  <c r="S4292"/>
  <c r="T4292"/>
  <c r="U4292"/>
  <c r="V4292"/>
  <c r="W4292"/>
  <c r="X4292"/>
  <c r="Y4292"/>
  <c r="AA4292"/>
  <c r="AB4292"/>
  <c r="AC4292"/>
  <c r="AD4292"/>
  <c r="P4293"/>
  <c r="Q4293"/>
  <c r="R4293"/>
  <c r="S4293"/>
  <c r="T4293"/>
  <c r="U4293"/>
  <c r="V4293"/>
  <c r="W4293"/>
  <c r="X4293"/>
  <c r="Y4293"/>
  <c r="AA4293"/>
  <c r="AB4293"/>
  <c r="AC4293"/>
  <c r="AD4293"/>
  <c r="P4294"/>
  <c r="Q4294"/>
  <c r="R4294"/>
  <c r="S4294"/>
  <c r="T4294"/>
  <c r="U4294"/>
  <c r="V4294"/>
  <c r="W4294"/>
  <c r="X4294"/>
  <c r="Y4294"/>
  <c r="AA4294"/>
  <c r="AB4294"/>
  <c r="AC4294"/>
  <c r="AD4294"/>
  <c r="P4295"/>
  <c r="Q4295"/>
  <c r="R4295"/>
  <c r="S4295"/>
  <c r="T4295"/>
  <c r="U4295"/>
  <c r="V4295"/>
  <c r="W4295"/>
  <c r="X4295"/>
  <c r="Y4295"/>
  <c r="AA4295"/>
  <c r="AB4295"/>
  <c r="AC4295"/>
  <c r="AD4295"/>
  <c r="P4296"/>
  <c r="Q4296"/>
  <c r="R4296"/>
  <c r="S4296"/>
  <c r="T4296"/>
  <c r="U4296"/>
  <c r="V4296"/>
  <c r="W4296"/>
  <c r="X4296"/>
  <c r="Y4296"/>
  <c r="AA4296"/>
  <c r="AB4296"/>
  <c r="AC4296"/>
  <c r="AD4296"/>
  <c r="P4297"/>
  <c r="Q4297"/>
  <c r="R4297"/>
  <c r="S4297"/>
  <c r="T4297"/>
  <c r="U4297"/>
  <c r="V4297"/>
  <c r="W4297"/>
  <c r="X4297"/>
  <c r="Y4297"/>
  <c r="AA4297"/>
  <c r="AB4297"/>
  <c r="AC4297"/>
  <c r="AD4297"/>
  <c r="P4298"/>
  <c r="Q4298"/>
  <c r="R4298"/>
  <c r="S4298"/>
  <c r="T4298"/>
  <c r="U4298"/>
  <c r="V4298"/>
  <c r="W4298"/>
  <c r="X4298"/>
  <c r="Y4298"/>
  <c r="AA4298"/>
  <c r="AB4298"/>
  <c r="AC4298"/>
  <c r="AD4298"/>
  <c r="P4299"/>
  <c r="Q4299"/>
  <c r="R4299"/>
  <c r="S4299"/>
  <c r="T4299"/>
  <c r="U4299"/>
  <c r="V4299"/>
  <c r="W4299"/>
  <c r="X4299"/>
  <c r="Y4299"/>
  <c r="AA4299"/>
  <c r="AB4299"/>
  <c r="AC4299"/>
  <c r="AD4299"/>
  <c r="P4300"/>
  <c r="Q4300"/>
  <c r="R4300"/>
  <c r="S4300"/>
  <c r="T4300"/>
  <c r="U4300"/>
  <c r="V4300"/>
  <c r="W4300"/>
  <c r="X4300"/>
  <c r="Y4300"/>
  <c r="AA4300"/>
  <c r="AB4300"/>
  <c r="AC4300"/>
  <c r="AD4300"/>
  <c r="P4301"/>
  <c r="Q4301"/>
  <c r="R4301"/>
  <c r="S4301"/>
  <c r="T4301"/>
  <c r="U4301"/>
  <c r="V4301"/>
  <c r="W4301"/>
  <c r="X4301"/>
  <c r="Y4301"/>
  <c r="AA4301"/>
  <c r="AB4301"/>
  <c r="AC4301"/>
  <c r="AD4301"/>
  <c r="P4302"/>
  <c r="Q4302"/>
  <c r="R4302"/>
  <c r="S4302"/>
  <c r="T4302"/>
  <c r="U4302"/>
  <c r="V4302"/>
  <c r="W4302"/>
  <c r="X4302"/>
  <c r="Y4302"/>
  <c r="AA4302"/>
  <c r="AB4302"/>
  <c r="AC4302"/>
  <c r="AD4302"/>
  <c r="P4303"/>
  <c r="Q4303"/>
  <c r="R4303"/>
  <c r="S4303"/>
  <c r="T4303"/>
  <c r="U4303"/>
  <c r="V4303"/>
  <c r="W4303"/>
  <c r="X4303"/>
  <c r="Y4303"/>
  <c r="AA4303"/>
  <c r="AB4303"/>
  <c r="AC4303"/>
  <c r="AD4303"/>
  <c r="P4304"/>
  <c r="Q4304"/>
  <c r="R4304"/>
  <c r="S4304"/>
  <c r="T4304"/>
  <c r="U4304"/>
  <c r="V4304"/>
  <c r="W4304"/>
  <c r="X4304"/>
  <c r="Y4304"/>
  <c r="AA4304"/>
  <c r="AB4304"/>
  <c r="AC4304"/>
  <c r="AD4304"/>
  <c r="P4305"/>
  <c r="Q4305"/>
  <c r="R4305"/>
  <c r="S4305"/>
  <c r="T4305"/>
  <c r="U4305"/>
  <c r="V4305"/>
  <c r="W4305"/>
  <c r="X4305"/>
  <c r="Y4305"/>
  <c r="AA4305"/>
  <c r="AB4305"/>
  <c r="AC4305"/>
  <c r="AD4305"/>
  <c r="P4306"/>
  <c r="Q4306"/>
  <c r="R4306"/>
  <c r="S4306"/>
  <c r="T4306"/>
  <c r="U4306"/>
  <c r="V4306"/>
  <c r="W4306"/>
  <c r="X4306"/>
  <c r="Y4306"/>
  <c r="AA4306"/>
  <c r="AB4306"/>
  <c r="AC4306"/>
  <c r="AD4306"/>
  <c r="P4307"/>
  <c r="Q4307"/>
  <c r="R4307"/>
  <c r="S4307"/>
  <c r="T4307"/>
  <c r="U4307"/>
  <c r="V4307"/>
  <c r="W4307"/>
  <c r="X4307"/>
  <c r="Y4307"/>
  <c r="AA4307"/>
  <c r="AB4307"/>
  <c r="AC4307"/>
  <c r="AD4307"/>
  <c r="P4308"/>
  <c r="Q4308"/>
  <c r="R4308"/>
  <c r="S4308"/>
  <c r="T4308"/>
  <c r="U4308"/>
  <c r="V4308"/>
  <c r="W4308"/>
  <c r="X4308"/>
  <c r="Y4308"/>
  <c r="AA4308"/>
  <c r="AB4308"/>
  <c r="AC4308"/>
  <c r="AD4308"/>
  <c r="P4309"/>
  <c r="Q4309"/>
  <c r="R4309"/>
  <c r="S4309"/>
  <c r="T4309"/>
  <c r="U4309"/>
  <c r="V4309"/>
  <c r="W4309"/>
  <c r="X4309"/>
  <c r="Y4309"/>
  <c r="AA4309"/>
  <c r="AB4309"/>
  <c r="AC4309"/>
  <c r="AD4309"/>
  <c r="P4310"/>
  <c r="Q4310"/>
  <c r="R4310"/>
  <c r="S4310"/>
  <c r="T4310"/>
  <c r="U4310"/>
  <c r="V4310"/>
  <c r="W4310"/>
  <c r="X4310"/>
  <c r="Y4310"/>
  <c r="AA4310"/>
  <c r="AB4310"/>
  <c r="AC4310"/>
  <c r="AD4310"/>
  <c r="P4311"/>
  <c r="Q4311"/>
  <c r="R4311"/>
  <c r="S4311"/>
  <c r="T4311"/>
  <c r="U4311"/>
  <c r="V4311"/>
  <c r="W4311"/>
  <c r="X4311"/>
  <c r="Y4311"/>
  <c r="AA4311"/>
  <c r="AB4311"/>
  <c r="AC4311"/>
  <c r="AD4311"/>
  <c r="P4312"/>
  <c r="Q4312"/>
  <c r="R4312"/>
  <c r="S4312"/>
  <c r="T4312"/>
  <c r="U4312"/>
  <c r="V4312"/>
  <c r="W4312"/>
  <c r="X4312"/>
  <c r="Y4312"/>
  <c r="AA4312"/>
  <c r="AB4312"/>
  <c r="AC4312"/>
  <c r="AD4312"/>
  <c r="P4313"/>
  <c r="Q4313"/>
  <c r="R4313"/>
  <c r="S4313"/>
  <c r="T4313"/>
  <c r="U4313"/>
  <c r="V4313"/>
  <c r="W4313"/>
  <c r="X4313"/>
  <c r="Y4313"/>
  <c r="AA4313"/>
  <c r="AB4313"/>
  <c r="AC4313"/>
  <c r="AD4313"/>
  <c r="P4314"/>
  <c r="Q4314"/>
  <c r="R4314"/>
  <c r="S4314"/>
  <c r="T4314"/>
  <c r="U4314"/>
  <c r="V4314"/>
  <c r="W4314"/>
  <c r="X4314"/>
  <c r="Y4314"/>
  <c r="AA4314"/>
  <c r="AB4314"/>
  <c r="AC4314"/>
  <c r="AD4314"/>
  <c r="P4315"/>
  <c r="Q4315"/>
  <c r="R4315"/>
  <c r="S4315"/>
  <c r="T4315"/>
  <c r="U4315"/>
  <c r="V4315"/>
  <c r="W4315"/>
  <c r="X4315"/>
  <c r="Y4315"/>
  <c r="AA4315"/>
  <c r="AB4315"/>
  <c r="AC4315"/>
  <c r="AD4315"/>
  <c r="P4316"/>
  <c r="Q4316"/>
  <c r="R4316"/>
  <c r="S4316"/>
  <c r="T4316"/>
  <c r="U4316"/>
  <c r="V4316"/>
  <c r="W4316"/>
  <c r="X4316"/>
  <c r="Y4316"/>
  <c r="AA4316"/>
  <c r="AB4316"/>
  <c r="AC4316"/>
  <c r="AD4316"/>
  <c r="P4317"/>
  <c r="Q4317"/>
  <c r="R4317"/>
  <c r="S4317"/>
  <c r="T4317"/>
  <c r="U4317"/>
  <c r="V4317"/>
  <c r="W4317"/>
  <c r="X4317"/>
  <c r="Y4317"/>
  <c r="AA4317"/>
  <c r="AB4317"/>
  <c r="AC4317"/>
  <c r="AD4317"/>
  <c r="P4318"/>
  <c r="Q4318"/>
  <c r="R4318"/>
  <c r="S4318"/>
  <c r="T4318"/>
  <c r="U4318"/>
  <c r="V4318"/>
  <c r="W4318"/>
  <c r="X4318"/>
  <c r="Y4318"/>
  <c r="AA4318"/>
  <c r="AB4318"/>
  <c r="AC4318"/>
  <c r="AD4318"/>
  <c r="P4319"/>
  <c r="Q4319"/>
  <c r="R4319"/>
  <c r="S4319"/>
  <c r="T4319"/>
  <c r="U4319"/>
  <c r="V4319"/>
  <c r="W4319"/>
  <c r="X4319"/>
  <c r="Y4319"/>
  <c r="AA4319"/>
  <c r="AB4319"/>
  <c r="AC4319"/>
  <c r="AD4319"/>
  <c r="P4320"/>
  <c r="Q4320"/>
  <c r="R4320"/>
  <c r="S4320"/>
  <c r="T4320"/>
  <c r="U4320"/>
  <c r="V4320"/>
  <c r="W4320"/>
  <c r="X4320"/>
  <c r="Y4320"/>
  <c r="AA4320"/>
  <c r="AB4320"/>
  <c r="AC4320"/>
  <c r="AD4320"/>
  <c r="P4321"/>
  <c r="Q4321"/>
  <c r="R4321"/>
  <c r="S4321"/>
  <c r="T4321"/>
  <c r="U4321"/>
  <c r="V4321"/>
  <c r="W4321"/>
  <c r="X4321"/>
  <c r="Y4321"/>
  <c r="AA4321"/>
  <c r="AB4321"/>
  <c r="AC4321"/>
  <c r="AD4321"/>
  <c r="P4322"/>
  <c r="Q4322"/>
  <c r="R4322"/>
  <c r="S4322"/>
  <c r="T4322"/>
  <c r="U4322"/>
  <c r="V4322"/>
  <c r="W4322"/>
  <c r="X4322"/>
  <c r="Y4322"/>
  <c r="AA4322"/>
  <c r="AB4322"/>
  <c r="AC4322"/>
  <c r="AD4322"/>
  <c r="P4323"/>
  <c r="Q4323"/>
  <c r="R4323"/>
  <c r="S4323"/>
  <c r="T4323"/>
  <c r="U4323"/>
  <c r="V4323"/>
  <c r="W4323"/>
  <c r="X4323"/>
  <c r="Y4323"/>
  <c r="AA4323"/>
  <c r="AB4323"/>
  <c r="AC4323"/>
  <c r="AD4323"/>
  <c r="P4324"/>
  <c r="Q4324"/>
  <c r="R4324"/>
  <c r="S4324"/>
  <c r="T4324"/>
  <c r="U4324"/>
  <c r="V4324"/>
  <c r="W4324"/>
  <c r="X4324"/>
  <c r="Y4324"/>
  <c r="AA4324"/>
  <c r="AB4324"/>
  <c r="AC4324"/>
  <c r="AD4324"/>
  <c r="P4325"/>
  <c r="Q4325"/>
  <c r="R4325"/>
  <c r="S4325"/>
  <c r="T4325"/>
  <c r="U4325"/>
  <c r="V4325"/>
  <c r="W4325"/>
  <c r="X4325"/>
  <c r="Y4325"/>
  <c r="AA4325"/>
  <c r="AB4325"/>
  <c r="AC4325"/>
  <c r="AD4325"/>
  <c r="P4326"/>
  <c r="Q4326"/>
  <c r="R4326"/>
  <c r="S4326"/>
  <c r="T4326"/>
  <c r="U4326"/>
  <c r="V4326"/>
  <c r="W4326"/>
  <c r="X4326"/>
  <c r="Y4326"/>
  <c r="AA4326"/>
  <c r="AB4326"/>
  <c r="AC4326"/>
  <c r="AD4326"/>
  <c r="P4327"/>
  <c r="Q4327"/>
  <c r="R4327"/>
  <c r="S4327"/>
  <c r="T4327"/>
  <c r="U4327"/>
  <c r="V4327"/>
  <c r="W4327"/>
  <c r="X4327"/>
  <c r="Y4327"/>
  <c r="AA4327"/>
  <c r="AB4327"/>
  <c r="AC4327"/>
  <c r="AD4327"/>
  <c r="P4328"/>
  <c r="Q4328"/>
  <c r="R4328"/>
  <c r="S4328"/>
  <c r="T4328"/>
  <c r="U4328"/>
  <c r="V4328"/>
  <c r="W4328"/>
  <c r="X4328"/>
  <c r="Y4328"/>
  <c r="AA4328"/>
  <c r="AB4328"/>
  <c r="AC4328"/>
  <c r="AD4328"/>
  <c r="P4329"/>
  <c r="Q4329"/>
  <c r="R4329"/>
  <c r="S4329"/>
  <c r="T4329"/>
  <c r="U4329"/>
  <c r="V4329"/>
  <c r="W4329"/>
  <c r="X4329"/>
  <c r="Y4329"/>
  <c r="AA4329"/>
  <c r="AB4329"/>
  <c r="AC4329"/>
  <c r="AD4329"/>
  <c r="P4330"/>
  <c r="Q4330"/>
  <c r="R4330"/>
  <c r="S4330"/>
  <c r="T4330"/>
  <c r="U4330"/>
  <c r="V4330"/>
  <c r="W4330"/>
  <c r="X4330"/>
  <c r="Y4330"/>
  <c r="AA4330"/>
  <c r="AB4330"/>
  <c r="AC4330"/>
  <c r="AD4330"/>
  <c r="P4331"/>
  <c r="Q4331"/>
  <c r="R4331"/>
  <c r="S4331"/>
  <c r="T4331"/>
  <c r="U4331"/>
  <c r="V4331"/>
  <c r="W4331"/>
  <c r="X4331"/>
  <c r="Y4331"/>
  <c r="AA4331"/>
  <c r="AB4331"/>
  <c r="AC4331"/>
  <c r="AD4331"/>
  <c r="P4332"/>
  <c r="Q4332"/>
  <c r="R4332"/>
  <c r="S4332"/>
  <c r="T4332"/>
  <c r="U4332"/>
  <c r="V4332"/>
  <c r="W4332"/>
  <c r="X4332"/>
  <c r="Y4332"/>
  <c r="AA4332"/>
  <c r="AB4332"/>
  <c r="AC4332"/>
  <c r="AD4332"/>
  <c r="P4333"/>
  <c r="Q4333"/>
  <c r="R4333"/>
  <c r="S4333"/>
  <c r="T4333"/>
  <c r="U4333"/>
  <c r="V4333"/>
  <c r="W4333"/>
  <c r="X4333"/>
  <c r="Y4333"/>
  <c r="AA4333"/>
  <c r="AB4333"/>
  <c r="AC4333"/>
  <c r="AD4333"/>
  <c r="P4334"/>
  <c r="Q4334"/>
  <c r="R4334"/>
  <c r="S4334"/>
  <c r="T4334"/>
  <c r="U4334"/>
  <c r="V4334"/>
  <c r="W4334"/>
  <c r="X4334"/>
  <c r="Y4334"/>
  <c r="AA4334"/>
  <c r="AB4334"/>
  <c r="AC4334"/>
  <c r="AD4334"/>
  <c r="P4335"/>
  <c r="Q4335"/>
  <c r="R4335"/>
  <c r="S4335"/>
  <c r="T4335"/>
  <c r="U4335"/>
  <c r="V4335"/>
  <c r="W4335"/>
  <c r="X4335"/>
  <c r="Y4335"/>
  <c r="AA4335"/>
  <c r="AB4335"/>
  <c r="AC4335"/>
  <c r="AD4335"/>
  <c r="P4336"/>
  <c r="Q4336"/>
  <c r="R4336"/>
  <c r="S4336"/>
  <c r="T4336"/>
  <c r="U4336"/>
  <c r="V4336"/>
  <c r="W4336"/>
  <c r="X4336"/>
  <c r="Y4336"/>
  <c r="AA4336"/>
  <c r="AB4336"/>
  <c r="AC4336"/>
  <c r="AD4336"/>
  <c r="P4337"/>
  <c r="Q4337"/>
  <c r="R4337"/>
  <c r="S4337"/>
  <c r="T4337"/>
  <c r="U4337"/>
  <c r="V4337"/>
  <c r="W4337"/>
  <c r="X4337"/>
  <c r="Y4337"/>
  <c r="AA4337"/>
  <c r="AB4337"/>
  <c r="AC4337"/>
  <c r="AD4337"/>
  <c r="P4338"/>
  <c r="Q4338"/>
  <c r="R4338"/>
  <c r="S4338"/>
  <c r="T4338"/>
  <c r="U4338"/>
  <c r="V4338"/>
  <c r="W4338"/>
  <c r="X4338"/>
  <c r="Y4338"/>
  <c r="AA4338"/>
  <c r="AB4338"/>
  <c r="AC4338"/>
  <c r="AD4338"/>
  <c r="P4339"/>
  <c r="Q4339"/>
  <c r="R4339"/>
  <c r="S4339"/>
  <c r="T4339"/>
  <c r="U4339"/>
  <c r="V4339"/>
  <c r="W4339"/>
  <c r="X4339"/>
  <c r="Y4339"/>
  <c r="AA4339"/>
  <c r="AB4339"/>
  <c r="AC4339"/>
  <c r="AD4339"/>
  <c r="P4340"/>
  <c r="Q4340"/>
  <c r="R4340"/>
  <c r="S4340"/>
  <c r="T4340"/>
  <c r="U4340"/>
  <c r="V4340"/>
  <c r="W4340"/>
  <c r="X4340"/>
  <c r="Y4340"/>
  <c r="AA4340"/>
  <c r="AB4340"/>
  <c r="AC4340"/>
  <c r="AD4340"/>
  <c r="P4341"/>
  <c r="Q4341"/>
  <c r="R4341"/>
  <c r="S4341"/>
  <c r="T4341"/>
  <c r="U4341"/>
  <c r="V4341"/>
  <c r="W4341"/>
  <c r="X4341"/>
  <c r="Y4341"/>
  <c r="AA4341"/>
  <c r="AB4341"/>
  <c r="AC4341"/>
  <c r="AD4341"/>
  <c r="P4342"/>
  <c r="Q4342"/>
  <c r="R4342"/>
  <c r="S4342"/>
  <c r="T4342"/>
  <c r="U4342"/>
  <c r="V4342"/>
  <c r="W4342"/>
  <c r="X4342"/>
  <c r="Y4342"/>
  <c r="AA4342"/>
  <c r="AB4342"/>
  <c r="AC4342"/>
  <c r="AD4342"/>
  <c r="P4343"/>
  <c r="Q4343"/>
  <c r="R4343"/>
  <c r="S4343"/>
  <c r="T4343"/>
  <c r="U4343"/>
  <c r="V4343"/>
  <c r="W4343"/>
  <c r="X4343"/>
  <c r="Y4343"/>
  <c r="AA4343"/>
  <c r="AB4343"/>
  <c r="AC4343"/>
  <c r="AD4343"/>
  <c r="P4344"/>
  <c r="Q4344"/>
  <c r="R4344"/>
  <c r="S4344"/>
  <c r="T4344"/>
  <c r="U4344"/>
  <c r="V4344"/>
  <c r="W4344"/>
  <c r="X4344"/>
  <c r="Y4344"/>
  <c r="AA4344"/>
  <c r="AB4344"/>
  <c r="AC4344"/>
  <c r="AD4344"/>
  <c r="P4345"/>
  <c r="Q4345"/>
  <c r="R4345"/>
  <c r="S4345"/>
  <c r="T4345"/>
  <c r="U4345"/>
  <c r="V4345"/>
  <c r="W4345"/>
  <c r="X4345"/>
  <c r="Y4345"/>
  <c r="AA4345"/>
  <c r="AB4345"/>
  <c r="AC4345"/>
  <c r="AD4345"/>
  <c r="P4346"/>
  <c r="Q4346"/>
  <c r="R4346"/>
  <c r="S4346"/>
  <c r="T4346"/>
  <c r="U4346"/>
  <c r="V4346"/>
  <c r="W4346"/>
  <c r="X4346"/>
  <c r="Y4346"/>
  <c r="AA4346"/>
  <c r="AB4346"/>
  <c r="AC4346"/>
  <c r="AD4346"/>
  <c r="P4347"/>
  <c r="Q4347"/>
  <c r="R4347"/>
  <c r="S4347"/>
  <c r="T4347"/>
  <c r="U4347"/>
  <c r="V4347"/>
  <c r="W4347"/>
  <c r="X4347"/>
  <c r="Y4347"/>
  <c r="AA4347"/>
  <c r="AB4347"/>
  <c r="AC4347"/>
  <c r="AD4347"/>
  <c r="P4348"/>
  <c r="Q4348"/>
  <c r="R4348"/>
  <c r="S4348"/>
  <c r="T4348"/>
  <c r="U4348"/>
  <c r="V4348"/>
  <c r="W4348"/>
  <c r="X4348"/>
  <c r="Y4348"/>
  <c r="AA4348"/>
  <c r="AB4348"/>
  <c r="AC4348"/>
  <c r="AD4348"/>
  <c r="P4349"/>
  <c r="Q4349"/>
  <c r="R4349"/>
  <c r="S4349"/>
  <c r="T4349"/>
  <c r="U4349"/>
  <c r="V4349"/>
  <c r="W4349"/>
  <c r="X4349"/>
  <c r="Y4349"/>
  <c r="AA4349"/>
  <c r="AB4349"/>
  <c r="AC4349"/>
  <c r="AD4349"/>
  <c r="P4350"/>
  <c r="Q4350"/>
  <c r="R4350"/>
  <c r="S4350"/>
  <c r="T4350"/>
  <c r="U4350"/>
  <c r="V4350"/>
  <c r="W4350"/>
  <c r="X4350"/>
  <c r="Y4350"/>
  <c r="AA4350"/>
  <c r="AB4350"/>
  <c r="AC4350"/>
  <c r="AD4350"/>
  <c r="P4351"/>
  <c r="Q4351"/>
  <c r="R4351"/>
  <c r="S4351"/>
  <c r="T4351"/>
  <c r="U4351"/>
  <c r="V4351"/>
  <c r="W4351"/>
  <c r="X4351"/>
  <c r="Y4351"/>
  <c r="AA4351"/>
  <c r="AB4351"/>
  <c r="AC4351"/>
  <c r="AD4351"/>
  <c r="P4352"/>
  <c r="Q4352"/>
  <c r="R4352"/>
  <c r="S4352"/>
  <c r="T4352"/>
  <c r="U4352"/>
  <c r="V4352"/>
  <c r="W4352"/>
  <c r="X4352"/>
  <c r="Y4352"/>
  <c r="AA4352"/>
  <c r="AB4352"/>
  <c r="AC4352"/>
  <c r="AD4352"/>
  <c r="P4353"/>
  <c r="Q4353"/>
  <c r="R4353"/>
  <c r="S4353"/>
  <c r="T4353"/>
  <c r="U4353"/>
  <c r="V4353"/>
  <c r="W4353"/>
  <c r="X4353"/>
  <c r="Y4353"/>
  <c r="AA4353"/>
  <c r="AB4353"/>
  <c r="AC4353"/>
  <c r="AD4353"/>
  <c r="P4354"/>
  <c r="Q4354"/>
  <c r="R4354"/>
  <c r="S4354"/>
  <c r="T4354"/>
  <c r="U4354"/>
  <c r="V4354"/>
  <c r="W4354"/>
  <c r="X4354"/>
  <c r="Y4354"/>
  <c r="AA4354"/>
  <c r="AB4354"/>
  <c r="AC4354"/>
  <c r="AD4354"/>
  <c r="P4355"/>
  <c r="Q4355"/>
  <c r="R4355"/>
  <c r="S4355"/>
  <c r="T4355"/>
  <c r="U4355"/>
  <c r="V4355"/>
  <c r="W4355"/>
  <c r="X4355"/>
  <c r="Y4355"/>
  <c r="AA4355"/>
  <c r="AB4355"/>
  <c r="AC4355"/>
  <c r="AD4355"/>
  <c r="P4356"/>
  <c r="Q4356"/>
  <c r="R4356"/>
  <c r="S4356"/>
  <c r="T4356"/>
  <c r="U4356"/>
  <c r="V4356"/>
  <c r="W4356"/>
  <c r="X4356"/>
  <c r="Y4356"/>
  <c r="AA4356"/>
  <c r="AB4356"/>
  <c r="AC4356"/>
  <c r="AD4356"/>
  <c r="P4357"/>
  <c r="Q4357"/>
  <c r="R4357"/>
  <c r="S4357"/>
  <c r="T4357"/>
  <c r="U4357"/>
  <c r="V4357"/>
  <c r="W4357"/>
  <c r="X4357"/>
  <c r="Y4357"/>
  <c r="AA4357"/>
  <c r="AB4357"/>
  <c r="AC4357"/>
  <c r="AD4357"/>
  <c r="P4358"/>
  <c r="Q4358"/>
  <c r="R4358"/>
  <c r="S4358"/>
  <c r="T4358"/>
  <c r="U4358"/>
  <c r="V4358"/>
  <c r="W4358"/>
  <c r="X4358"/>
  <c r="Y4358"/>
  <c r="AA4358"/>
  <c r="AB4358"/>
  <c r="AC4358"/>
  <c r="AD4358"/>
  <c r="P4359"/>
  <c r="Q4359"/>
  <c r="R4359"/>
  <c r="S4359"/>
  <c r="T4359"/>
  <c r="U4359"/>
  <c r="V4359"/>
  <c r="W4359"/>
  <c r="X4359"/>
  <c r="Y4359"/>
  <c r="AA4359"/>
  <c r="AB4359"/>
  <c r="AC4359"/>
  <c r="AD4359"/>
  <c r="P4360"/>
  <c r="Q4360"/>
  <c r="R4360"/>
  <c r="S4360"/>
  <c r="T4360"/>
  <c r="U4360"/>
  <c r="V4360"/>
  <c r="W4360"/>
  <c r="X4360"/>
  <c r="Y4360"/>
  <c r="AA4360"/>
  <c r="AB4360"/>
  <c r="AC4360"/>
  <c r="AD4360"/>
  <c r="P4361"/>
  <c r="Q4361"/>
  <c r="R4361"/>
  <c r="S4361"/>
  <c r="T4361"/>
  <c r="U4361"/>
  <c r="V4361"/>
  <c r="W4361"/>
  <c r="X4361"/>
  <c r="Y4361"/>
  <c r="AA4361"/>
  <c r="AB4361"/>
  <c r="AC4361"/>
  <c r="AD4361"/>
  <c r="P4362"/>
  <c r="Q4362"/>
  <c r="R4362"/>
  <c r="S4362"/>
  <c r="T4362"/>
  <c r="U4362"/>
  <c r="V4362"/>
  <c r="W4362"/>
  <c r="X4362"/>
  <c r="Y4362"/>
  <c r="AA4362"/>
  <c r="AB4362"/>
  <c r="AC4362"/>
  <c r="AD4362"/>
  <c r="P4363"/>
  <c r="Q4363"/>
  <c r="R4363"/>
  <c r="S4363"/>
  <c r="T4363"/>
  <c r="U4363"/>
  <c r="V4363"/>
  <c r="W4363"/>
  <c r="X4363"/>
  <c r="Y4363"/>
  <c r="AA4363"/>
  <c r="AB4363"/>
  <c r="AC4363"/>
  <c r="AD4363"/>
  <c r="P4364"/>
  <c r="Q4364"/>
  <c r="R4364"/>
  <c r="S4364"/>
  <c r="T4364"/>
  <c r="U4364"/>
  <c r="V4364"/>
  <c r="W4364"/>
  <c r="X4364"/>
  <c r="Y4364"/>
  <c r="AA4364"/>
  <c r="AB4364"/>
  <c r="AC4364"/>
  <c r="AD4364"/>
  <c r="P4365"/>
  <c r="Q4365"/>
  <c r="R4365"/>
  <c r="S4365"/>
  <c r="T4365"/>
  <c r="U4365"/>
  <c r="V4365"/>
  <c r="W4365"/>
  <c r="X4365"/>
  <c r="Y4365"/>
  <c r="AA4365"/>
  <c r="AB4365"/>
  <c r="AC4365"/>
  <c r="AD4365"/>
  <c r="P4366"/>
  <c r="Q4366"/>
  <c r="R4366"/>
  <c r="S4366"/>
  <c r="T4366"/>
  <c r="U4366"/>
  <c r="V4366"/>
  <c r="W4366"/>
  <c r="X4366"/>
  <c r="Y4366"/>
  <c r="AA4366"/>
  <c r="AB4366"/>
  <c r="AC4366"/>
  <c r="AD4366"/>
  <c r="P4367"/>
  <c r="Q4367"/>
  <c r="R4367"/>
  <c r="S4367"/>
  <c r="T4367"/>
  <c r="U4367"/>
  <c r="V4367"/>
  <c r="W4367"/>
  <c r="X4367"/>
  <c r="Y4367"/>
  <c r="AA4367"/>
  <c r="AB4367"/>
  <c r="AC4367"/>
  <c r="AD4367"/>
  <c r="P4368"/>
  <c r="Q4368"/>
  <c r="R4368"/>
  <c r="S4368"/>
  <c r="T4368"/>
  <c r="U4368"/>
  <c r="V4368"/>
  <c r="W4368"/>
  <c r="X4368"/>
  <c r="Y4368"/>
  <c r="AA4368"/>
  <c r="AB4368"/>
  <c r="AC4368"/>
  <c r="AD4368"/>
  <c r="P4369"/>
  <c r="Q4369"/>
  <c r="R4369"/>
  <c r="S4369"/>
  <c r="T4369"/>
  <c r="U4369"/>
  <c r="V4369"/>
  <c r="W4369"/>
  <c r="X4369"/>
  <c r="Y4369"/>
  <c r="AA4369"/>
  <c r="AB4369"/>
  <c r="AC4369"/>
  <c r="AD4369"/>
  <c r="P4370"/>
  <c r="Q4370"/>
  <c r="R4370"/>
  <c r="S4370"/>
  <c r="T4370"/>
  <c r="U4370"/>
  <c r="V4370"/>
  <c r="W4370"/>
  <c r="X4370"/>
  <c r="Y4370"/>
  <c r="AA4370"/>
  <c r="AB4370"/>
  <c r="AC4370"/>
  <c r="AD4370"/>
  <c r="P4371"/>
  <c r="Q4371"/>
  <c r="R4371"/>
  <c r="S4371"/>
  <c r="T4371"/>
  <c r="U4371"/>
  <c r="V4371"/>
  <c r="W4371"/>
  <c r="X4371"/>
  <c r="Y4371"/>
  <c r="AA4371"/>
  <c r="AB4371"/>
  <c r="AC4371"/>
  <c r="AD4371"/>
  <c r="P4372"/>
  <c r="Q4372"/>
  <c r="R4372"/>
  <c r="S4372"/>
  <c r="T4372"/>
  <c r="U4372"/>
  <c r="V4372"/>
  <c r="W4372"/>
  <c r="X4372"/>
  <c r="Y4372"/>
  <c r="AA4372"/>
  <c r="AB4372"/>
  <c r="AC4372"/>
  <c r="AD4372"/>
  <c r="P4373"/>
  <c r="Q4373"/>
  <c r="R4373"/>
  <c r="S4373"/>
  <c r="T4373"/>
  <c r="U4373"/>
  <c r="V4373"/>
  <c r="W4373"/>
  <c r="X4373"/>
  <c r="Y4373"/>
  <c r="AA4373"/>
  <c r="AB4373"/>
  <c r="AC4373"/>
  <c r="AD4373"/>
  <c r="P4374"/>
  <c r="Q4374"/>
  <c r="R4374"/>
  <c r="S4374"/>
  <c r="T4374"/>
  <c r="U4374"/>
  <c r="V4374"/>
  <c r="W4374"/>
  <c r="X4374"/>
  <c r="Y4374"/>
  <c r="AA4374"/>
  <c r="AB4374"/>
  <c r="AC4374"/>
  <c r="AD4374"/>
  <c r="P4375"/>
  <c r="Q4375"/>
  <c r="R4375"/>
  <c r="S4375"/>
  <c r="T4375"/>
  <c r="U4375"/>
  <c r="V4375"/>
  <c r="W4375"/>
  <c r="X4375"/>
  <c r="Y4375"/>
  <c r="AA4375"/>
  <c r="AB4375"/>
  <c r="AC4375"/>
  <c r="AD4375"/>
  <c r="P4376"/>
  <c r="Q4376"/>
  <c r="R4376"/>
  <c r="S4376"/>
  <c r="T4376"/>
  <c r="U4376"/>
  <c r="V4376"/>
  <c r="W4376"/>
  <c r="X4376"/>
  <c r="Y4376"/>
  <c r="AA4376"/>
  <c r="AB4376"/>
  <c r="AC4376"/>
  <c r="AD4376"/>
  <c r="P4377"/>
  <c r="Q4377"/>
  <c r="R4377"/>
  <c r="S4377"/>
  <c r="T4377"/>
  <c r="U4377"/>
  <c r="V4377"/>
  <c r="W4377"/>
  <c r="X4377"/>
  <c r="Y4377"/>
  <c r="AA4377"/>
  <c r="AB4377"/>
  <c r="AC4377"/>
  <c r="AD4377"/>
  <c r="P4378"/>
  <c r="Q4378"/>
  <c r="R4378"/>
  <c r="S4378"/>
  <c r="T4378"/>
  <c r="U4378"/>
  <c r="V4378"/>
  <c r="W4378"/>
  <c r="X4378"/>
  <c r="Y4378"/>
  <c r="AA4378"/>
  <c r="AB4378"/>
  <c r="AC4378"/>
  <c r="AD4378"/>
  <c r="P4379"/>
  <c r="Q4379"/>
  <c r="R4379"/>
  <c r="S4379"/>
  <c r="T4379"/>
  <c r="U4379"/>
  <c r="V4379"/>
  <c r="W4379"/>
  <c r="X4379"/>
  <c r="Y4379"/>
  <c r="AA4379"/>
  <c r="AB4379"/>
  <c r="AC4379"/>
  <c r="AD4379"/>
  <c r="P4380"/>
  <c r="Q4380"/>
  <c r="R4380"/>
  <c r="S4380"/>
  <c r="T4380"/>
  <c r="U4380"/>
  <c r="V4380"/>
  <c r="W4380"/>
  <c r="X4380"/>
  <c r="Y4380"/>
  <c r="AA4380"/>
  <c r="AB4380"/>
  <c r="AC4380"/>
  <c r="AD4380"/>
  <c r="P4381"/>
  <c r="Q4381"/>
  <c r="R4381"/>
  <c r="S4381"/>
  <c r="T4381"/>
  <c r="U4381"/>
  <c r="V4381"/>
  <c r="W4381"/>
  <c r="X4381"/>
  <c r="Y4381"/>
  <c r="AA4381"/>
  <c r="AB4381"/>
  <c r="AC4381"/>
  <c r="AD4381"/>
  <c r="P4382"/>
  <c r="Q4382"/>
  <c r="R4382"/>
  <c r="S4382"/>
  <c r="T4382"/>
  <c r="U4382"/>
  <c r="V4382"/>
  <c r="W4382"/>
  <c r="X4382"/>
  <c r="Y4382"/>
  <c r="AA4382"/>
  <c r="AB4382"/>
  <c r="AC4382"/>
  <c r="AD4382"/>
  <c r="P4383"/>
  <c r="Q4383"/>
  <c r="R4383"/>
  <c r="S4383"/>
  <c r="T4383"/>
  <c r="U4383"/>
  <c r="V4383"/>
  <c r="W4383"/>
  <c r="X4383"/>
  <c r="Y4383"/>
  <c r="AA4383"/>
  <c r="AB4383"/>
  <c r="AC4383"/>
  <c r="AD4383"/>
  <c r="P4384"/>
  <c r="Q4384"/>
  <c r="R4384"/>
  <c r="S4384"/>
  <c r="T4384"/>
  <c r="U4384"/>
  <c r="V4384"/>
  <c r="W4384"/>
  <c r="X4384"/>
  <c r="Y4384"/>
  <c r="AA4384"/>
  <c r="AB4384"/>
  <c r="AC4384"/>
  <c r="AD4384"/>
  <c r="P4385"/>
  <c r="Q4385"/>
  <c r="R4385"/>
  <c r="S4385"/>
  <c r="T4385"/>
  <c r="U4385"/>
  <c r="V4385"/>
  <c r="W4385"/>
  <c r="X4385"/>
  <c r="Y4385"/>
  <c r="AA4385"/>
  <c r="AB4385"/>
  <c r="AC4385"/>
  <c r="AD4385"/>
  <c r="P4386"/>
  <c r="Q4386"/>
  <c r="R4386"/>
  <c r="S4386"/>
  <c r="T4386"/>
  <c r="U4386"/>
  <c r="V4386"/>
  <c r="W4386"/>
  <c r="X4386"/>
  <c r="Y4386"/>
  <c r="AA4386"/>
  <c r="AB4386"/>
  <c r="AC4386"/>
  <c r="AD4386"/>
  <c r="P4387"/>
  <c r="Q4387"/>
  <c r="R4387"/>
  <c r="S4387"/>
  <c r="T4387"/>
  <c r="U4387"/>
  <c r="V4387"/>
  <c r="W4387"/>
  <c r="X4387"/>
  <c r="Y4387"/>
  <c r="AA4387"/>
  <c r="AB4387"/>
  <c r="AC4387"/>
  <c r="AD4387"/>
  <c r="P4388"/>
  <c r="Q4388"/>
  <c r="R4388"/>
  <c r="S4388"/>
  <c r="T4388"/>
  <c r="U4388"/>
  <c r="V4388"/>
  <c r="W4388"/>
  <c r="X4388"/>
  <c r="Y4388"/>
  <c r="AA4388"/>
  <c r="AB4388"/>
  <c r="AC4388"/>
  <c r="AD4388"/>
  <c r="P4389"/>
  <c r="Q4389"/>
  <c r="R4389"/>
  <c r="S4389"/>
  <c r="T4389"/>
  <c r="U4389"/>
  <c r="V4389"/>
  <c r="W4389"/>
  <c r="X4389"/>
  <c r="Y4389"/>
  <c r="AA4389"/>
  <c r="AB4389"/>
  <c r="AC4389"/>
  <c r="AD4389"/>
  <c r="P4390"/>
  <c r="Q4390"/>
  <c r="R4390"/>
  <c r="S4390"/>
  <c r="T4390"/>
  <c r="U4390"/>
  <c r="V4390"/>
  <c r="W4390"/>
  <c r="X4390"/>
  <c r="Y4390"/>
  <c r="AA4390"/>
  <c r="AB4390"/>
  <c r="AC4390"/>
  <c r="AD4390"/>
  <c r="P4391"/>
  <c r="Q4391"/>
  <c r="R4391"/>
  <c r="S4391"/>
  <c r="T4391"/>
  <c r="U4391"/>
  <c r="V4391"/>
  <c r="W4391"/>
  <c r="X4391"/>
  <c r="Y4391"/>
  <c r="AA4391"/>
  <c r="AB4391"/>
  <c r="AC4391"/>
  <c r="AD4391"/>
  <c r="P4392"/>
  <c r="Q4392"/>
  <c r="R4392"/>
  <c r="S4392"/>
  <c r="T4392"/>
  <c r="U4392"/>
  <c r="V4392"/>
  <c r="W4392"/>
  <c r="X4392"/>
  <c r="Y4392"/>
  <c r="AA4392"/>
  <c r="AB4392"/>
  <c r="AC4392"/>
  <c r="AD4392"/>
  <c r="P4393"/>
  <c r="Q4393"/>
  <c r="R4393"/>
  <c r="S4393"/>
  <c r="T4393"/>
  <c r="U4393"/>
  <c r="V4393"/>
  <c r="W4393"/>
  <c r="X4393"/>
  <c r="Y4393"/>
  <c r="AA4393"/>
  <c r="AB4393"/>
  <c r="AC4393"/>
  <c r="AD4393"/>
  <c r="P4394"/>
  <c r="Q4394"/>
  <c r="R4394"/>
  <c r="S4394"/>
  <c r="T4394"/>
  <c r="U4394"/>
  <c r="V4394"/>
  <c r="W4394"/>
  <c r="X4394"/>
  <c r="Y4394"/>
  <c r="AA4394"/>
  <c r="AB4394"/>
  <c r="AC4394"/>
  <c r="AD4394"/>
  <c r="P4395"/>
  <c r="Q4395"/>
  <c r="R4395"/>
  <c r="S4395"/>
  <c r="T4395"/>
  <c r="U4395"/>
  <c r="V4395"/>
  <c r="W4395"/>
  <c r="X4395"/>
  <c r="Y4395"/>
  <c r="AA4395"/>
  <c r="AB4395"/>
  <c r="AC4395"/>
  <c r="AD4395"/>
  <c r="P4396"/>
  <c r="Q4396"/>
  <c r="R4396"/>
  <c r="S4396"/>
  <c r="T4396"/>
  <c r="U4396"/>
  <c r="V4396"/>
  <c r="W4396"/>
  <c r="X4396"/>
  <c r="Y4396"/>
  <c r="AA4396"/>
  <c r="AB4396"/>
  <c r="AC4396"/>
  <c r="AD4396"/>
  <c r="P4397"/>
  <c r="Q4397"/>
  <c r="R4397"/>
  <c r="S4397"/>
  <c r="T4397"/>
  <c r="U4397"/>
  <c r="V4397"/>
  <c r="W4397"/>
  <c r="X4397"/>
  <c r="Y4397"/>
  <c r="AA4397"/>
  <c r="AB4397"/>
  <c r="AC4397"/>
  <c r="AD4397"/>
  <c r="P4398"/>
  <c r="Q4398"/>
  <c r="R4398"/>
  <c r="S4398"/>
  <c r="T4398"/>
  <c r="U4398"/>
  <c r="V4398"/>
  <c r="W4398"/>
  <c r="X4398"/>
  <c r="Y4398"/>
  <c r="AA4398"/>
  <c r="AB4398"/>
  <c r="AC4398"/>
  <c r="AD4398"/>
  <c r="P4399"/>
  <c r="Q4399"/>
  <c r="R4399"/>
  <c r="S4399"/>
  <c r="T4399"/>
  <c r="U4399"/>
  <c r="V4399"/>
  <c r="W4399"/>
  <c r="X4399"/>
  <c r="Y4399"/>
  <c r="AA4399"/>
  <c r="AB4399"/>
  <c r="AC4399"/>
  <c r="AD4399"/>
  <c r="P4400"/>
  <c r="Q4400"/>
  <c r="R4400"/>
  <c r="S4400"/>
  <c r="T4400"/>
  <c r="U4400"/>
  <c r="V4400"/>
  <c r="W4400"/>
  <c r="X4400"/>
  <c r="Y4400"/>
  <c r="AA4400"/>
  <c r="AB4400"/>
  <c r="AC4400"/>
  <c r="AD4400"/>
  <c r="P4401"/>
  <c r="Q4401"/>
  <c r="R4401"/>
  <c r="S4401"/>
  <c r="T4401"/>
  <c r="U4401"/>
  <c r="V4401"/>
  <c r="W4401"/>
  <c r="X4401"/>
  <c r="Y4401"/>
  <c r="AA4401"/>
  <c r="AB4401"/>
  <c r="AC4401"/>
  <c r="AD4401"/>
  <c r="P4402"/>
  <c r="Q4402"/>
  <c r="R4402"/>
  <c r="S4402"/>
  <c r="T4402"/>
  <c r="U4402"/>
  <c r="V4402"/>
  <c r="W4402"/>
  <c r="X4402"/>
  <c r="Y4402"/>
  <c r="AA4402"/>
  <c r="AB4402"/>
  <c r="AC4402"/>
  <c r="AD4402"/>
  <c r="P4403"/>
  <c r="Q4403"/>
  <c r="R4403"/>
  <c r="S4403"/>
  <c r="T4403"/>
  <c r="U4403"/>
  <c r="V4403"/>
  <c r="W4403"/>
  <c r="X4403"/>
  <c r="Y4403"/>
  <c r="AA4403"/>
  <c r="AB4403"/>
  <c r="AC4403"/>
  <c r="AD4403"/>
  <c r="P4404"/>
  <c r="Q4404"/>
  <c r="R4404"/>
  <c r="S4404"/>
  <c r="T4404"/>
  <c r="U4404"/>
  <c r="V4404"/>
  <c r="W4404"/>
  <c r="X4404"/>
  <c r="Y4404"/>
  <c r="AA4404"/>
  <c r="AB4404"/>
  <c r="AC4404"/>
  <c r="AD4404"/>
  <c r="P4405"/>
  <c r="Q4405"/>
  <c r="R4405"/>
  <c r="S4405"/>
  <c r="T4405"/>
  <c r="U4405"/>
  <c r="V4405"/>
  <c r="W4405"/>
  <c r="X4405"/>
  <c r="Y4405"/>
  <c r="AA4405"/>
  <c r="AB4405"/>
  <c r="AC4405"/>
  <c r="AD4405"/>
  <c r="P4406"/>
  <c r="Q4406"/>
  <c r="R4406"/>
  <c r="S4406"/>
  <c r="T4406"/>
  <c r="U4406"/>
  <c r="V4406"/>
  <c r="W4406"/>
  <c r="X4406"/>
  <c r="Y4406"/>
  <c r="AA4406"/>
  <c r="AB4406"/>
  <c r="AC4406"/>
  <c r="AD4406"/>
  <c r="P4407"/>
  <c r="Q4407"/>
  <c r="R4407"/>
  <c r="S4407"/>
  <c r="T4407"/>
  <c r="U4407"/>
  <c r="V4407"/>
  <c r="W4407"/>
  <c r="X4407"/>
  <c r="Y4407"/>
  <c r="AA4407"/>
  <c r="AB4407"/>
  <c r="AC4407"/>
  <c r="AD4407"/>
  <c r="P4408"/>
  <c r="Q4408"/>
  <c r="R4408"/>
  <c r="S4408"/>
  <c r="T4408"/>
  <c r="U4408"/>
  <c r="V4408"/>
  <c r="W4408"/>
  <c r="X4408"/>
  <c r="Y4408"/>
  <c r="AA4408"/>
  <c r="AB4408"/>
  <c r="AC4408"/>
  <c r="AD4408"/>
  <c r="P4409"/>
  <c r="Q4409"/>
  <c r="R4409"/>
  <c r="S4409"/>
  <c r="T4409"/>
  <c r="U4409"/>
  <c r="V4409"/>
  <c r="W4409"/>
  <c r="X4409"/>
  <c r="Y4409"/>
  <c r="AA4409"/>
  <c r="AB4409"/>
  <c r="AC4409"/>
  <c r="AD4409"/>
  <c r="P4410"/>
  <c r="Q4410"/>
  <c r="R4410"/>
  <c r="S4410"/>
  <c r="T4410"/>
  <c r="U4410"/>
  <c r="V4410"/>
  <c r="W4410"/>
  <c r="X4410"/>
  <c r="Y4410"/>
  <c r="AA4410"/>
  <c r="AB4410"/>
  <c r="AC4410"/>
  <c r="AD4410"/>
  <c r="P4411"/>
  <c r="Q4411"/>
  <c r="R4411"/>
  <c r="S4411"/>
  <c r="T4411"/>
  <c r="U4411"/>
  <c r="V4411"/>
  <c r="W4411"/>
  <c r="X4411"/>
  <c r="Y4411"/>
  <c r="AA4411"/>
  <c r="AB4411"/>
  <c r="AC4411"/>
  <c r="AD4411"/>
  <c r="P4412"/>
  <c r="Q4412"/>
  <c r="R4412"/>
  <c r="S4412"/>
  <c r="T4412"/>
  <c r="U4412"/>
  <c r="V4412"/>
  <c r="W4412"/>
  <c r="X4412"/>
  <c r="Y4412"/>
  <c r="AA4412"/>
  <c r="AB4412"/>
  <c r="AC4412"/>
  <c r="AD4412"/>
  <c r="P4413"/>
  <c r="Q4413"/>
  <c r="R4413"/>
  <c r="S4413"/>
  <c r="T4413"/>
  <c r="U4413"/>
  <c r="V4413"/>
  <c r="W4413"/>
  <c r="X4413"/>
  <c r="Y4413"/>
  <c r="AA4413"/>
  <c r="AB4413"/>
  <c r="AC4413"/>
  <c r="AD4413"/>
  <c r="P4414"/>
  <c r="Q4414"/>
  <c r="R4414"/>
  <c r="S4414"/>
  <c r="T4414"/>
  <c r="U4414"/>
  <c r="V4414"/>
  <c r="W4414"/>
  <c r="X4414"/>
  <c r="Y4414"/>
  <c r="AA4414"/>
  <c r="AB4414"/>
  <c r="AC4414"/>
  <c r="AD4414"/>
  <c r="P4415"/>
  <c r="Q4415"/>
  <c r="R4415"/>
  <c r="S4415"/>
  <c r="T4415"/>
  <c r="U4415"/>
  <c r="V4415"/>
  <c r="W4415"/>
  <c r="X4415"/>
  <c r="Y4415"/>
  <c r="AA4415"/>
  <c r="AB4415"/>
  <c r="AC4415"/>
  <c r="AD4415"/>
  <c r="P4416"/>
  <c r="Q4416"/>
  <c r="R4416"/>
  <c r="S4416"/>
  <c r="T4416"/>
  <c r="U4416"/>
  <c r="V4416"/>
  <c r="W4416"/>
  <c r="X4416"/>
  <c r="Y4416"/>
  <c r="AA4416"/>
  <c r="AB4416"/>
  <c r="AC4416"/>
  <c r="AD4416"/>
  <c r="P4417"/>
  <c r="Q4417"/>
  <c r="R4417"/>
  <c r="S4417"/>
  <c r="T4417"/>
  <c r="U4417"/>
  <c r="V4417"/>
  <c r="W4417"/>
  <c r="X4417"/>
  <c r="Y4417"/>
  <c r="AA4417"/>
  <c r="AB4417"/>
  <c r="AC4417"/>
  <c r="AD4417"/>
  <c r="P4418"/>
  <c r="Q4418"/>
  <c r="R4418"/>
  <c r="S4418"/>
  <c r="T4418"/>
  <c r="U4418"/>
  <c r="V4418"/>
  <c r="W4418"/>
  <c r="X4418"/>
  <c r="Y4418"/>
  <c r="AA4418"/>
  <c r="AB4418"/>
  <c r="AC4418"/>
  <c r="AD4418"/>
  <c r="P4419"/>
  <c r="Q4419"/>
  <c r="R4419"/>
  <c r="S4419"/>
  <c r="T4419"/>
  <c r="U4419"/>
  <c r="V4419"/>
  <c r="W4419"/>
  <c r="X4419"/>
  <c r="Y4419"/>
  <c r="AA4419"/>
  <c r="AB4419"/>
  <c r="AC4419"/>
  <c r="AD4419"/>
  <c r="P4420"/>
  <c r="Q4420"/>
  <c r="R4420"/>
  <c r="S4420"/>
  <c r="T4420"/>
  <c r="U4420"/>
  <c r="V4420"/>
  <c r="W4420"/>
  <c r="X4420"/>
  <c r="Y4420"/>
  <c r="AA4420"/>
  <c r="AB4420"/>
  <c r="AC4420"/>
  <c r="AD4420"/>
  <c r="P4421"/>
  <c r="Q4421"/>
  <c r="R4421"/>
  <c r="S4421"/>
  <c r="T4421"/>
  <c r="U4421"/>
  <c r="V4421"/>
  <c r="W4421"/>
  <c r="X4421"/>
  <c r="Y4421"/>
  <c r="AA4421"/>
  <c r="AB4421"/>
  <c r="AC4421"/>
  <c r="AD4421"/>
  <c r="P4422"/>
  <c r="Q4422"/>
  <c r="R4422"/>
  <c r="S4422"/>
  <c r="T4422"/>
  <c r="U4422"/>
  <c r="V4422"/>
  <c r="W4422"/>
  <c r="X4422"/>
  <c r="Y4422"/>
  <c r="AA4422"/>
  <c r="AB4422"/>
  <c r="AC4422"/>
  <c r="AD4422"/>
  <c r="P4423"/>
  <c r="Q4423"/>
  <c r="R4423"/>
  <c r="S4423"/>
  <c r="T4423"/>
  <c r="U4423"/>
  <c r="V4423"/>
  <c r="W4423"/>
  <c r="X4423"/>
  <c r="Y4423"/>
  <c r="AA4423"/>
  <c r="AB4423"/>
  <c r="AC4423"/>
  <c r="AD4423"/>
  <c r="P4424"/>
  <c r="Q4424"/>
  <c r="R4424"/>
  <c r="S4424"/>
  <c r="T4424"/>
  <c r="U4424"/>
  <c r="V4424"/>
  <c r="W4424"/>
  <c r="X4424"/>
  <c r="Y4424"/>
  <c r="AA4424"/>
  <c r="AB4424"/>
  <c r="AC4424"/>
  <c r="AD4424"/>
  <c r="P4425"/>
  <c r="Q4425"/>
  <c r="R4425"/>
  <c r="S4425"/>
  <c r="T4425"/>
  <c r="U4425"/>
  <c r="V4425"/>
  <c r="W4425"/>
  <c r="X4425"/>
  <c r="Y4425"/>
  <c r="AA4425"/>
  <c r="AB4425"/>
  <c r="AC4425"/>
  <c r="AD4425"/>
  <c r="P4426"/>
  <c r="Q4426"/>
  <c r="R4426"/>
  <c r="S4426"/>
  <c r="T4426"/>
  <c r="U4426"/>
  <c r="V4426"/>
  <c r="W4426"/>
  <c r="X4426"/>
  <c r="Y4426"/>
  <c r="AA4426"/>
  <c r="AB4426"/>
  <c r="AC4426"/>
  <c r="AD4426"/>
  <c r="P4427"/>
  <c r="Q4427"/>
  <c r="R4427"/>
  <c r="S4427"/>
  <c r="T4427"/>
  <c r="U4427"/>
  <c r="V4427"/>
  <c r="W4427"/>
  <c r="X4427"/>
  <c r="Y4427"/>
  <c r="AA4427"/>
  <c r="AB4427"/>
  <c r="AC4427"/>
  <c r="AD4427"/>
  <c r="P4428"/>
  <c r="Q4428"/>
  <c r="R4428"/>
  <c r="S4428"/>
  <c r="T4428"/>
  <c r="U4428"/>
  <c r="V4428"/>
  <c r="W4428"/>
  <c r="X4428"/>
  <c r="Y4428"/>
  <c r="AA4428"/>
  <c r="AB4428"/>
  <c r="AC4428"/>
  <c r="AD4428"/>
  <c r="P4429"/>
  <c r="Q4429"/>
  <c r="R4429"/>
  <c r="S4429"/>
  <c r="T4429"/>
  <c r="U4429"/>
  <c r="V4429"/>
  <c r="W4429"/>
  <c r="X4429"/>
  <c r="Y4429"/>
  <c r="AA4429"/>
  <c r="AB4429"/>
  <c r="AC4429"/>
  <c r="AD4429"/>
  <c r="P4430"/>
  <c r="Q4430"/>
  <c r="R4430"/>
  <c r="S4430"/>
  <c r="T4430"/>
  <c r="U4430"/>
  <c r="V4430"/>
  <c r="W4430"/>
  <c r="X4430"/>
  <c r="Y4430"/>
  <c r="AA4430"/>
  <c r="AB4430"/>
  <c r="AC4430"/>
  <c r="AD4430"/>
  <c r="P4431"/>
  <c r="Q4431"/>
  <c r="R4431"/>
  <c r="S4431"/>
  <c r="T4431"/>
  <c r="U4431"/>
  <c r="V4431"/>
  <c r="W4431"/>
  <c r="X4431"/>
  <c r="Y4431"/>
  <c r="AA4431"/>
  <c r="AB4431"/>
  <c r="AC4431"/>
  <c r="AD4431"/>
  <c r="P4432"/>
  <c r="Q4432"/>
  <c r="R4432"/>
  <c r="S4432"/>
  <c r="T4432"/>
  <c r="U4432"/>
  <c r="V4432"/>
  <c r="W4432"/>
  <c r="X4432"/>
  <c r="Y4432"/>
  <c r="AA4432"/>
  <c r="AB4432"/>
  <c r="AC4432"/>
  <c r="AD4432"/>
  <c r="P4433"/>
  <c r="Q4433"/>
  <c r="R4433"/>
  <c r="S4433"/>
  <c r="T4433"/>
  <c r="U4433"/>
  <c r="V4433"/>
  <c r="W4433"/>
  <c r="X4433"/>
  <c r="Y4433"/>
  <c r="AA4433"/>
  <c r="AB4433"/>
  <c r="AC4433"/>
  <c r="AD4433"/>
  <c r="P4434"/>
  <c r="Q4434"/>
  <c r="R4434"/>
  <c r="S4434"/>
  <c r="T4434"/>
  <c r="U4434"/>
  <c r="V4434"/>
  <c r="W4434"/>
  <c r="X4434"/>
  <c r="Y4434"/>
  <c r="AA4434"/>
  <c r="AB4434"/>
  <c r="AC4434"/>
  <c r="AD4434"/>
  <c r="P4435"/>
  <c r="Q4435"/>
  <c r="R4435"/>
  <c r="S4435"/>
  <c r="T4435"/>
  <c r="U4435"/>
  <c r="V4435"/>
  <c r="W4435"/>
  <c r="X4435"/>
  <c r="Y4435"/>
  <c r="AA4435"/>
  <c r="AB4435"/>
  <c r="AC4435"/>
  <c r="AD4435"/>
  <c r="P4436"/>
  <c r="Q4436"/>
  <c r="R4436"/>
  <c r="S4436"/>
  <c r="T4436"/>
  <c r="U4436"/>
  <c r="V4436"/>
  <c r="W4436"/>
  <c r="X4436"/>
  <c r="Y4436"/>
  <c r="AA4436"/>
  <c r="AB4436"/>
  <c r="AC4436"/>
  <c r="AD4436"/>
  <c r="P4437"/>
  <c r="Q4437"/>
  <c r="R4437"/>
  <c r="S4437"/>
  <c r="T4437"/>
  <c r="U4437"/>
  <c r="V4437"/>
  <c r="W4437"/>
  <c r="X4437"/>
  <c r="Y4437"/>
  <c r="AA4437"/>
  <c r="AB4437"/>
  <c r="AC4437"/>
  <c r="AD4437"/>
  <c r="P4438"/>
  <c r="Q4438"/>
  <c r="R4438"/>
  <c r="S4438"/>
  <c r="T4438"/>
  <c r="U4438"/>
  <c r="V4438"/>
  <c r="W4438"/>
  <c r="X4438"/>
  <c r="Y4438"/>
  <c r="AA4438"/>
  <c r="AB4438"/>
  <c r="AC4438"/>
  <c r="AD4438"/>
  <c r="P4439"/>
  <c r="Q4439"/>
  <c r="R4439"/>
  <c r="S4439"/>
  <c r="T4439"/>
  <c r="U4439"/>
  <c r="V4439"/>
  <c r="W4439"/>
  <c r="X4439"/>
  <c r="Y4439"/>
  <c r="AA4439"/>
  <c r="AB4439"/>
  <c r="AC4439"/>
  <c r="AD4439"/>
  <c r="P4440"/>
  <c r="Q4440"/>
  <c r="R4440"/>
  <c r="S4440"/>
  <c r="T4440"/>
  <c r="U4440"/>
  <c r="V4440"/>
  <c r="W4440"/>
  <c r="X4440"/>
  <c r="Y4440"/>
  <c r="AA4440"/>
  <c r="AB4440"/>
  <c r="AC4440"/>
  <c r="AD4440"/>
  <c r="P4441"/>
  <c r="Q4441"/>
  <c r="R4441"/>
  <c r="S4441"/>
  <c r="T4441"/>
  <c r="U4441"/>
  <c r="V4441"/>
  <c r="W4441"/>
  <c r="X4441"/>
  <c r="Y4441"/>
  <c r="AA4441"/>
  <c r="AB4441"/>
  <c r="AC4441"/>
  <c r="AD4441"/>
  <c r="P4442"/>
  <c r="Q4442"/>
  <c r="R4442"/>
  <c r="S4442"/>
  <c r="T4442"/>
  <c r="U4442"/>
  <c r="V4442"/>
  <c r="W4442"/>
  <c r="X4442"/>
  <c r="Y4442"/>
  <c r="AA4442"/>
  <c r="AB4442"/>
  <c r="AC4442"/>
  <c r="AD4442"/>
  <c r="P4443"/>
  <c r="Q4443"/>
  <c r="R4443"/>
  <c r="S4443"/>
  <c r="T4443"/>
  <c r="U4443"/>
  <c r="V4443"/>
  <c r="W4443"/>
  <c r="X4443"/>
  <c r="Y4443"/>
  <c r="AA4443"/>
  <c r="AB4443"/>
  <c r="AC4443"/>
  <c r="AD4443"/>
  <c r="P4444"/>
  <c r="Q4444"/>
  <c r="R4444"/>
  <c r="S4444"/>
  <c r="T4444"/>
  <c r="U4444"/>
  <c r="V4444"/>
  <c r="W4444"/>
  <c r="X4444"/>
  <c r="Y4444"/>
  <c r="AA4444"/>
  <c r="AB4444"/>
  <c r="AC4444"/>
  <c r="AD4444"/>
  <c r="P4445"/>
  <c r="Q4445"/>
  <c r="R4445"/>
  <c r="S4445"/>
  <c r="T4445"/>
  <c r="U4445"/>
  <c r="V4445"/>
  <c r="W4445"/>
  <c r="X4445"/>
  <c r="Y4445"/>
  <c r="AA4445"/>
  <c r="AB4445"/>
  <c r="AC4445"/>
  <c r="AD4445"/>
  <c r="P4446"/>
  <c r="Q4446"/>
  <c r="R4446"/>
  <c r="S4446"/>
  <c r="T4446"/>
  <c r="U4446"/>
  <c r="V4446"/>
  <c r="W4446"/>
  <c r="X4446"/>
  <c r="Y4446"/>
  <c r="AA4446"/>
  <c r="AB4446"/>
  <c r="AC4446"/>
  <c r="AD4446"/>
  <c r="P4447"/>
  <c r="Q4447"/>
  <c r="R4447"/>
  <c r="S4447"/>
  <c r="T4447"/>
  <c r="U4447"/>
  <c r="V4447"/>
  <c r="W4447"/>
  <c r="X4447"/>
  <c r="Y4447"/>
  <c r="AA4447"/>
  <c r="AB4447"/>
  <c r="AC4447"/>
  <c r="AD4447"/>
  <c r="P4448"/>
  <c r="Q4448"/>
  <c r="R4448"/>
  <c r="S4448"/>
  <c r="T4448"/>
  <c r="U4448"/>
  <c r="V4448"/>
  <c r="W4448"/>
  <c r="X4448"/>
  <c r="Y4448"/>
  <c r="AA4448"/>
  <c r="AB4448"/>
  <c r="AC4448"/>
  <c r="AD4448"/>
  <c r="P4449"/>
  <c r="Q4449"/>
  <c r="R4449"/>
  <c r="S4449"/>
  <c r="T4449"/>
  <c r="U4449"/>
  <c r="V4449"/>
  <c r="W4449"/>
  <c r="X4449"/>
  <c r="Y4449"/>
  <c r="AA4449"/>
  <c r="AB4449"/>
  <c r="AC4449"/>
  <c r="AD4449"/>
  <c r="P4450"/>
  <c r="Q4450"/>
  <c r="R4450"/>
  <c r="S4450"/>
  <c r="T4450"/>
  <c r="U4450"/>
  <c r="V4450"/>
  <c r="W4450"/>
  <c r="X4450"/>
  <c r="Y4450"/>
  <c r="AA4450"/>
  <c r="AB4450"/>
  <c r="AC4450"/>
  <c r="AD4450"/>
  <c r="P4451"/>
  <c r="Q4451"/>
  <c r="R4451"/>
  <c r="S4451"/>
  <c r="T4451"/>
  <c r="U4451"/>
  <c r="V4451"/>
  <c r="W4451"/>
  <c r="X4451"/>
  <c r="Y4451"/>
  <c r="AA4451"/>
  <c r="AB4451"/>
  <c r="AC4451"/>
  <c r="AD4451"/>
  <c r="P4452"/>
  <c r="Q4452"/>
  <c r="R4452"/>
  <c r="S4452"/>
  <c r="T4452"/>
  <c r="U4452"/>
  <c r="V4452"/>
  <c r="W4452"/>
  <c r="X4452"/>
  <c r="Y4452"/>
  <c r="AA4452"/>
  <c r="AB4452"/>
  <c r="AC4452"/>
  <c r="AD4452"/>
  <c r="P4453"/>
  <c r="Q4453"/>
  <c r="R4453"/>
  <c r="S4453"/>
  <c r="T4453"/>
  <c r="U4453"/>
  <c r="V4453"/>
  <c r="W4453"/>
  <c r="X4453"/>
  <c r="Y4453"/>
  <c r="AA4453"/>
  <c r="AB4453"/>
  <c r="AC4453"/>
  <c r="AD4453"/>
  <c r="P4454"/>
  <c r="Q4454"/>
  <c r="R4454"/>
  <c r="S4454"/>
  <c r="T4454"/>
  <c r="U4454"/>
  <c r="V4454"/>
  <c r="W4454"/>
  <c r="X4454"/>
  <c r="Y4454"/>
  <c r="AA4454"/>
  <c r="AB4454"/>
  <c r="AC4454"/>
  <c r="AD4454"/>
  <c r="P4455"/>
  <c r="Q4455"/>
  <c r="R4455"/>
  <c r="S4455"/>
  <c r="T4455"/>
  <c r="U4455"/>
  <c r="V4455"/>
  <c r="W4455"/>
  <c r="X4455"/>
  <c r="Y4455"/>
  <c r="AA4455"/>
  <c r="AB4455"/>
  <c r="AC4455"/>
  <c r="AD4455"/>
  <c r="P4456"/>
  <c r="Q4456"/>
  <c r="R4456"/>
  <c r="S4456"/>
  <c r="T4456"/>
  <c r="U4456"/>
  <c r="V4456"/>
  <c r="W4456"/>
  <c r="X4456"/>
  <c r="Y4456"/>
  <c r="AA4456"/>
  <c r="AB4456"/>
  <c r="AC4456"/>
  <c r="AD4456"/>
  <c r="P4457"/>
  <c r="Q4457"/>
  <c r="R4457"/>
  <c r="S4457"/>
  <c r="T4457"/>
  <c r="U4457"/>
  <c r="V4457"/>
  <c r="W4457"/>
  <c r="X4457"/>
  <c r="Y4457"/>
  <c r="AA4457"/>
  <c r="AB4457"/>
  <c r="AC4457"/>
  <c r="AD4457"/>
  <c r="P4458"/>
  <c r="Q4458"/>
  <c r="R4458"/>
  <c r="S4458"/>
  <c r="T4458"/>
  <c r="U4458"/>
  <c r="V4458"/>
  <c r="W4458"/>
  <c r="X4458"/>
  <c r="Y4458"/>
  <c r="AA4458"/>
  <c r="AB4458"/>
  <c r="AC4458"/>
  <c r="AD4458"/>
  <c r="P4459"/>
  <c r="Q4459"/>
  <c r="R4459"/>
  <c r="S4459"/>
  <c r="T4459"/>
  <c r="U4459"/>
  <c r="V4459"/>
  <c r="W4459"/>
  <c r="X4459"/>
  <c r="Y4459"/>
  <c r="AA4459"/>
  <c r="AB4459"/>
  <c r="AC4459"/>
  <c r="AD4459"/>
  <c r="P4460"/>
  <c r="Q4460"/>
  <c r="R4460"/>
  <c r="S4460"/>
  <c r="T4460"/>
  <c r="U4460"/>
  <c r="V4460"/>
  <c r="W4460"/>
  <c r="X4460"/>
  <c r="Y4460"/>
  <c r="AA4460"/>
  <c r="AB4460"/>
  <c r="AC4460"/>
  <c r="AD4460"/>
  <c r="P4461"/>
  <c r="Q4461"/>
  <c r="R4461"/>
  <c r="S4461"/>
  <c r="T4461"/>
  <c r="U4461"/>
  <c r="V4461"/>
  <c r="W4461"/>
  <c r="X4461"/>
  <c r="Y4461"/>
  <c r="AA4461"/>
  <c r="AB4461"/>
  <c r="AC4461"/>
  <c r="AD4461"/>
  <c r="P4462"/>
  <c r="Q4462"/>
  <c r="R4462"/>
  <c r="S4462"/>
  <c r="T4462"/>
  <c r="U4462"/>
  <c r="V4462"/>
  <c r="W4462"/>
  <c r="X4462"/>
  <c r="Y4462"/>
  <c r="AA4462"/>
  <c r="AB4462"/>
  <c r="AC4462"/>
  <c r="AD4462"/>
  <c r="P4463"/>
  <c r="Q4463"/>
  <c r="R4463"/>
  <c r="S4463"/>
  <c r="T4463"/>
  <c r="U4463"/>
  <c r="V4463"/>
  <c r="W4463"/>
  <c r="X4463"/>
  <c r="Y4463"/>
  <c r="AA4463"/>
  <c r="AB4463"/>
  <c r="AC4463"/>
  <c r="AD4463"/>
  <c r="P4464"/>
  <c r="Q4464"/>
  <c r="R4464"/>
  <c r="S4464"/>
  <c r="T4464"/>
  <c r="U4464"/>
  <c r="V4464"/>
  <c r="W4464"/>
  <c r="X4464"/>
  <c r="Y4464"/>
  <c r="AA4464"/>
  <c r="AB4464"/>
  <c r="AC4464"/>
  <c r="AD4464"/>
  <c r="P4465"/>
  <c r="Q4465"/>
  <c r="R4465"/>
  <c r="S4465"/>
  <c r="T4465"/>
  <c r="U4465"/>
  <c r="V4465"/>
  <c r="W4465"/>
  <c r="X4465"/>
  <c r="Y4465"/>
  <c r="AA4465"/>
  <c r="AB4465"/>
  <c r="AC4465"/>
  <c r="AD4465"/>
  <c r="P4466"/>
  <c r="Q4466"/>
  <c r="R4466"/>
  <c r="S4466"/>
  <c r="T4466"/>
  <c r="U4466"/>
  <c r="V4466"/>
  <c r="W4466"/>
  <c r="X4466"/>
  <c r="Y4466"/>
  <c r="AA4466"/>
  <c r="AB4466"/>
  <c r="AC4466"/>
  <c r="AD4466"/>
  <c r="P4467"/>
  <c r="Q4467"/>
  <c r="R4467"/>
  <c r="S4467"/>
  <c r="T4467"/>
  <c r="U4467"/>
  <c r="V4467"/>
  <c r="W4467"/>
  <c r="X4467"/>
  <c r="Y4467"/>
  <c r="AA4467"/>
  <c r="AB4467"/>
  <c r="AC4467"/>
  <c r="AD4467"/>
  <c r="P4468"/>
  <c r="Q4468"/>
  <c r="R4468"/>
  <c r="S4468"/>
  <c r="T4468"/>
  <c r="U4468"/>
  <c r="V4468"/>
  <c r="W4468"/>
  <c r="X4468"/>
  <c r="Y4468"/>
  <c r="AA4468"/>
  <c r="AB4468"/>
  <c r="AC4468"/>
  <c r="AD4468"/>
  <c r="P4469"/>
  <c r="Q4469"/>
  <c r="R4469"/>
  <c r="S4469"/>
  <c r="T4469"/>
  <c r="U4469"/>
  <c r="V4469"/>
  <c r="W4469"/>
  <c r="X4469"/>
  <c r="Y4469"/>
  <c r="AA4469"/>
  <c r="AB4469"/>
  <c r="AC4469"/>
  <c r="AD4469"/>
  <c r="P4470"/>
  <c r="Q4470"/>
  <c r="R4470"/>
  <c r="S4470"/>
  <c r="T4470"/>
  <c r="U4470"/>
  <c r="V4470"/>
  <c r="W4470"/>
  <c r="X4470"/>
  <c r="Y4470"/>
  <c r="AA4470"/>
  <c r="AB4470"/>
  <c r="AC4470"/>
  <c r="AD4470"/>
  <c r="P4471"/>
  <c r="Q4471"/>
  <c r="R4471"/>
  <c r="S4471"/>
  <c r="T4471"/>
  <c r="U4471"/>
  <c r="V4471"/>
  <c r="W4471"/>
  <c r="X4471"/>
  <c r="Y4471"/>
  <c r="AA4471"/>
  <c r="AB4471"/>
  <c r="AC4471"/>
  <c r="AD4471"/>
  <c r="P4472"/>
  <c r="Q4472"/>
  <c r="R4472"/>
  <c r="S4472"/>
  <c r="T4472"/>
  <c r="U4472"/>
  <c r="V4472"/>
  <c r="W4472"/>
  <c r="X4472"/>
  <c r="Y4472"/>
  <c r="AA4472"/>
  <c r="AB4472"/>
  <c r="AC4472"/>
  <c r="AD4472"/>
  <c r="P4473"/>
  <c r="Q4473"/>
  <c r="R4473"/>
  <c r="S4473"/>
  <c r="T4473"/>
  <c r="U4473"/>
  <c r="V4473"/>
  <c r="W4473"/>
  <c r="X4473"/>
  <c r="Y4473"/>
  <c r="AA4473"/>
  <c r="AB4473"/>
  <c r="AC4473"/>
  <c r="AD4473"/>
  <c r="P4474"/>
  <c r="Q4474"/>
  <c r="R4474"/>
  <c r="S4474"/>
  <c r="T4474"/>
  <c r="U4474"/>
  <c r="V4474"/>
  <c r="W4474"/>
  <c r="X4474"/>
  <c r="Y4474"/>
  <c r="AA4474"/>
  <c r="AB4474"/>
  <c r="AC4474"/>
  <c r="AD4474"/>
  <c r="P4475"/>
  <c r="Q4475"/>
  <c r="R4475"/>
  <c r="S4475"/>
  <c r="T4475"/>
  <c r="U4475"/>
  <c r="V4475"/>
  <c r="W4475"/>
  <c r="X4475"/>
  <c r="Y4475"/>
  <c r="AA4475"/>
  <c r="AB4475"/>
  <c r="AC4475"/>
  <c r="AD4475"/>
  <c r="P4476"/>
  <c r="Q4476"/>
  <c r="R4476"/>
  <c r="S4476"/>
  <c r="T4476"/>
  <c r="U4476"/>
  <c r="V4476"/>
  <c r="W4476"/>
  <c r="X4476"/>
  <c r="Y4476"/>
  <c r="AA4476"/>
  <c r="AB4476"/>
  <c r="AC4476"/>
  <c r="AD4476"/>
  <c r="P4477"/>
  <c r="Q4477"/>
  <c r="R4477"/>
  <c r="S4477"/>
  <c r="T4477"/>
  <c r="U4477"/>
  <c r="V4477"/>
  <c r="W4477"/>
  <c r="X4477"/>
  <c r="Y4477"/>
  <c r="AA4477"/>
  <c r="AB4477"/>
  <c r="AC4477"/>
  <c r="AD4477"/>
  <c r="P4478"/>
  <c r="Q4478"/>
  <c r="R4478"/>
  <c r="S4478"/>
  <c r="T4478"/>
  <c r="U4478"/>
  <c r="V4478"/>
  <c r="W4478"/>
  <c r="X4478"/>
  <c r="Y4478"/>
  <c r="AA4478"/>
  <c r="AB4478"/>
  <c r="AC4478"/>
  <c r="AD4478"/>
  <c r="P4479"/>
  <c r="Q4479"/>
  <c r="R4479"/>
  <c r="S4479"/>
  <c r="T4479"/>
  <c r="U4479"/>
  <c r="V4479"/>
  <c r="W4479"/>
  <c r="X4479"/>
  <c r="Y4479"/>
  <c r="AA4479"/>
  <c r="AB4479"/>
  <c r="AC4479"/>
  <c r="AD4479"/>
  <c r="P4480"/>
  <c r="Q4480"/>
  <c r="R4480"/>
  <c r="S4480"/>
  <c r="T4480"/>
  <c r="U4480"/>
  <c r="V4480"/>
  <c r="W4480"/>
  <c r="X4480"/>
  <c r="Y4480"/>
  <c r="AA4480"/>
  <c r="AB4480"/>
  <c r="AC4480"/>
  <c r="AD4480"/>
  <c r="P4481"/>
  <c r="Q4481"/>
  <c r="R4481"/>
  <c r="S4481"/>
  <c r="T4481"/>
  <c r="U4481"/>
  <c r="V4481"/>
  <c r="W4481"/>
  <c r="X4481"/>
  <c r="Y4481"/>
  <c r="AA4481"/>
  <c r="AB4481"/>
  <c r="AC4481"/>
  <c r="AD4481"/>
  <c r="P4482"/>
  <c r="Q4482"/>
  <c r="R4482"/>
  <c r="S4482"/>
  <c r="T4482"/>
  <c r="U4482"/>
  <c r="V4482"/>
  <c r="W4482"/>
  <c r="X4482"/>
  <c r="Y4482"/>
  <c r="AA4482"/>
  <c r="AB4482"/>
  <c r="AC4482"/>
  <c r="AD4482"/>
  <c r="P4483"/>
  <c r="Q4483"/>
  <c r="R4483"/>
  <c r="S4483"/>
  <c r="T4483"/>
  <c r="U4483"/>
  <c r="V4483"/>
  <c r="W4483"/>
  <c r="X4483"/>
  <c r="Y4483"/>
  <c r="AA4483"/>
  <c r="AB4483"/>
  <c r="AC4483"/>
  <c r="AD4483"/>
  <c r="P4484"/>
  <c r="Q4484"/>
  <c r="R4484"/>
  <c r="S4484"/>
  <c r="T4484"/>
  <c r="U4484"/>
  <c r="V4484"/>
  <c r="W4484"/>
  <c r="X4484"/>
  <c r="Y4484"/>
  <c r="AA4484"/>
  <c r="AB4484"/>
  <c r="AC4484"/>
  <c r="AD4484"/>
  <c r="P4485"/>
  <c r="Q4485"/>
  <c r="R4485"/>
  <c r="S4485"/>
  <c r="T4485"/>
  <c r="U4485"/>
  <c r="V4485"/>
  <c r="W4485"/>
  <c r="X4485"/>
  <c r="Y4485"/>
  <c r="AA4485"/>
  <c r="AB4485"/>
  <c r="AC4485"/>
  <c r="AD4485"/>
  <c r="P4486"/>
  <c r="Q4486"/>
  <c r="R4486"/>
  <c r="S4486"/>
  <c r="T4486"/>
  <c r="U4486"/>
  <c r="V4486"/>
  <c r="W4486"/>
  <c r="X4486"/>
  <c r="Y4486"/>
  <c r="AA4486"/>
  <c r="AB4486"/>
  <c r="AC4486"/>
  <c r="AD4486"/>
  <c r="P4487"/>
  <c r="Q4487"/>
  <c r="R4487"/>
  <c r="S4487"/>
  <c r="T4487"/>
  <c r="U4487"/>
  <c r="V4487"/>
  <c r="W4487"/>
  <c r="X4487"/>
  <c r="Y4487"/>
  <c r="AA4487"/>
  <c r="AB4487"/>
  <c r="AC4487"/>
  <c r="AD4487"/>
  <c r="P4488"/>
  <c r="Q4488"/>
  <c r="R4488"/>
  <c r="S4488"/>
  <c r="T4488"/>
  <c r="U4488"/>
  <c r="V4488"/>
  <c r="W4488"/>
  <c r="X4488"/>
  <c r="Y4488"/>
  <c r="AA4488"/>
  <c r="AB4488"/>
  <c r="AC4488"/>
  <c r="AD4488"/>
  <c r="P4489"/>
  <c r="Q4489"/>
  <c r="R4489"/>
  <c r="S4489"/>
  <c r="T4489"/>
  <c r="U4489"/>
  <c r="V4489"/>
  <c r="W4489"/>
  <c r="X4489"/>
  <c r="Y4489"/>
  <c r="AA4489"/>
  <c r="AB4489"/>
  <c r="AC4489"/>
  <c r="AD4489"/>
  <c r="P4490"/>
  <c r="Q4490"/>
  <c r="R4490"/>
  <c r="S4490"/>
  <c r="T4490"/>
  <c r="U4490"/>
  <c r="V4490"/>
  <c r="W4490"/>
  <c r="X4490"/>
  <c r="Y4490"/>
  <c r="AA4490"/>
  <c r="AB4490"/>
  <c r="AC4490"/>
  <c r="AD4490"/>
  <c r="P4491"/>
  <c r="Q4491"/>
  <c r="R4491"/>
  <c r="S4491"/>
  <c r="T4491"/>
  <c r="U4491"/>
  <c r="V4491"/>
  <c r="W4491"/>
  <c r="X4491"/>
  <c r="Y4491"/>
  <c r="AA4491"/>
  <c r="AB4491"/>
  <c r="AC4491"/>
  <c r="AD4491"/>
  <c r="P4492"/>
  <c r="Q4492"/>
  <c r="R4492"/>
  <c r="S4492"/>
  <c r="T4492"/>
  <c r="U4492"/>
  <c r="V4492"/>
  <c r="W4492"/>
  <c r="X4492"/>
  <c r="Y4492"/>
  <c r="AA4492"/>
  <c r="AB4492"/>
  <c r="AC4492"/>
  <c r="AD4492"/>
  <c r="P4493"/>
  <c r="Q4493"/>
  <c r="R4493"/>
  <c r="S4493"/>
  <c r="T4493"/>
  <c r="U4493"/>
  <c r="V4493"/>
  <c r="W4493"/>
  <c r="X4493"/>
  <c r="Y4493"/>
  <c r="AA4493"/>
  <c r="AB4493"/>
  <c r="AC4493"/>
  <c r="AD4493"/>
  <c r="P4494"/>
  <c r="Q4494"/>
  <c r="R4494"/>
  <c r="S4494"/>
  <c r="T4494"/>
  <c r="U4494"/>
  <c r="V4494"/>
  <c r="W4494"/>
  <c r="X4494"/>
  <c r="Y4494"/>
  <c r="AA4494"/>
  <c r="AB4494"/>
  <c r="AC4494"/>
  <c r="AD4494"/>
  <c r="P4495"/>
  <c r="Q4495"/>
  <c r="R4495"/>
  <c r="S4495"/>
  <c r="T4495"/>
  <c r="U4495"/>
  <c r="V4495"/>
  <c r="W4495"/>
  <c r="X4495"/>
  <c r="Y4495"/>
  <c r="AA4495"/>
  <c r="AB4495"/>
  <c r="AC4495"/>
  <c r="AD4495"/>
  <c r="P4496"/>
  <c r="Q4496"/>
  <c r="R4496"/>
  <c r="S4496"/>
  <c r="T4496"/>
  <c r="U4496"/>
  <c r="V4496"/>
  <c r="W4496"/>
  <c r="X4496"/>
  <c r="Y4496"/>
  <c r="AA4496"/>
  <c r="AB4496"/>
  <c r="AC4496"/>
  <c r="AD4496"/>
  <c r="P4497"/>
  <c r="Q4497"/>
  <c r="R4497"/>
  <c r="S4497"/>
  <c r="T4497"/>
  <c r="U4497"/>
  <c r="V4497"/>
  <c r="W4497"/>
  <c r="X4497"/>
  <c r="Y4497"/>
  <c r="AA4497"/>
  <c r="AB4497"/>
  <c r="AC4497"/>
  <c r="AD4497"/>
  <c r="P4498"/>
  <c r="Q4498"/>
  <c r="R4498"/>
  <c r="S4498"/>
  <c r="T4498"/>
  <c r="U4498"/>
  <c r="V4498"/>
  <c r="W4498"/>
  <c r="X4498"/>
  <c r="Y4498"/>
  <c r="AA4498"/>
  <c r="AB4498"/>
  <c r="AC4498"/>
  <c r="AD4498"/>
  <c r="P4499"/>
  <c r="Q4499"/>
  <c r="R4499"/>
  <c r="S4499"/>
  <c r="T4499"/>
  <c r="U4499"/>
  <c r="V4499"/>
  <c r="W4499"/>
  <c r="X4499"/>
  <c r="Y4499"/>
  <c r="AA4499"/>
  <c r="AB4499"/>
  <c r="AC4499"/>
  <c r="AD4499"/>
  <c r="P4500"/>
  <c r="Q4500"/>
  <c r="R4500"/>
  <c r="S4500"/>
  <c r="T4500"/>
  <c r="U4500"/>
  <c r="V4500"/>
  <c r="W4500"/>
  <c r="X4500"/>
  <c r="Y4500"/>
  <c r="AA4500"/>
  <c r="AB4500"/>
  <c r="AC4500"/>
  <c r="AD4500"/>
  <c r="P4501"/>
  <c r="Q4501"/>
  <c r="R4501"/>
  <c r="S4501"/>
  <c r="T4501"/>
  <c r="U4501"/>
  <c r="V4501"/>
  <c r="W4501"/>
  <c r="X4501"/>
  <c r="Y4501"/>
  <c r="AA4501"/>
  <c r="AB4501"/>
  <c r="AC4501"/>
  <c r="AD4501"/>
  <c r="P4502"/>
  <c r="Q4502"/>
  <c r="R4502"/>
  <c r="S4502"/>
  <c r="T4502"/>
  <c r="U4502"/>
  <c r="V4502"/>
  <c r="W4502"/>
  <c r="X4502"/>
  <c r="Y4502"/>
  <c r="AA4502"/>
  <c r="AB4502"/>
  <c r="AC4502"/>
  <c r="AD4502"/>
  <c r="P4503"/>
  <c r="Q4503"/>
  <c r="R4503"/>
  <c r="S4503"/>
  <c r="T4503"/>
  <c r="U4503"/>
  <c r="V4503"/>
  <c r="W4503"/>
  <c r="X4503"/>
  <c r="Y4503"/>
  <c r="AA4503"/>
  <c r="AB4503"/>
  <c r="AC4503"/>
  <c r="AD4503"/>
  <c r="P4504"/>
  <c r="Q4504"/>
  <c r="R4504"/>
  <c r="S4504"/>
  <c r="T4504"/>
  <c r="U4504"/>
  <c r="V4504"/>
  <c r="W4504"/>
  <c r="X4504"/>
  <c r="Y4504"/>
  <c r="AA4504"/>
  <c r="AB4504"/>
  <c r="AC4504"/>
  <c r="AD4504"/>
  <c r="P4505"/>
  <c r="Q4505"/>
  <c r="R4505"/>
  <c r="S4505"/>
  <c r="T4505"/>
  <c r="U4505"/>
  <c r="V4505"/>
  <c r="W4505"/>
  <c r="X4505"/>
  <c r="Y4505"/>
  <c r="AA4505"/>
  <c r="AB4505"/>
  <c r="AC4505"/>
  <c r="AD4505"/>
  <c r="P4506"/>
  <c r="Q4506"/>
  <c r="R4506"/>
  <c r="S4506"/>
  <c r="T4506"/>
  <c r="U4506"/>
  <c r="V4506"/>
  <c r="W4506"/>
  <c r="X4506"/>
  <c r="Y4506"/>
  <c r="AA4506"/>
  <c r="AB4506"/>
  <c r="AC4506"/>
  <c r="AD4506"/>
  <c r="P4507"/>
  <c r="Q4507"/>
  <c r="R4507"/>
  <c r="S4507"/>
  <c r="T4507"/>
  <c r="U4507"/>
  <c r="V4507"/>
  <c r="W4507"/>
  <c r="X4507"/>
  <c r="Y4507"/>
  <c r="AA4507"/>
  <c r="AB4507"/>
  <c r="AC4507"/>
  <c r="AD4507"/>
  <c r="P4508"/>
  <c r="Q4508"/>
  <c r="R4508"/>
  <c r="S4508"/>
  <c r="T4508"/>
  <c r="U4508"/>
  <c r="V4508"/>
  <c r="W4508"/>
  <c r="X4508"/>
  <c r="Y4508"/>
  <c r="AA4508"/>
  <c r="AB4508"/>
  <c r="AC4508"/>
  <c r="AD4508"/>
  <c r="P4509"/>
  <c r="Q4509"/>
  <c r="R4509"/>
  <c r="S4509"/>
  <c r="T4509"/>
  <c r="U4509"/>
  <c r="V4509"/>
  <c r="W4509"/>
  <c r="X4509"/>
  <c r="Y4509"/>
  <c r="AA4509"/>
  <c r="AB4509"/>
  <c r="AC4509"/>
  <c r="AD4509"/>
  <c r="P4510"/>
  <c r="Q4510"/>
  <c r="R4510"/>
  <c r="S4510"/>
  <c r="T4510"/>
  <c r="U4510"/>
  <c r="V4510"/>
  <c r="W4510"/>
  <c r="X4510"/>
  <c r="Y4510"/>
  <c r="AA4510"/>
  <c r="AB4510"/>
  <c r="AC4510"/>
  <c r="AD4510"/>
  <c r="P4511"/>
  <c r="Q4511"/>
  <c r="R4511"/>
  <c r="S4511"/>
  <c r="T4511"/>
  <c r="U4511"/>
  <c r="V4511"/>
  <c r="W4511"/>
  <c r="X4511"/>
  <c r="Y4511"/>
  <c r="AA4511"/>
  <c r="AB4511"/>
  <c r="AC4511"/>
  <c r="AD4511"/>
  <c r="P4512"/>
  <c r="Q4512"/>
  <c r="R4512"/>
  <c r="S4512"/>
  <c r="T4512"/>
  <c r="U4512"/>
  <c r="V4512"/>
  <c r="W4512"/>
  <c r="X4512"/>
  <c r="Y4512"/>
  <c r="AA4512"/>
  <c r="AB4512"/>
  <c r="AC4512"/>
  <c r="AD4512"/>
  <c r="P4513"/>
  <c r="Q4513"/>
  <c r="R4513"/>
  <c r="S4513"/>
  <c r="T4513"/>
  <c r="U4513"/>
  <c r="V4513"/>
  <c r="W4513"/>
  <c r="X4513"/>
  <c r="Y4513"/>
  <c r="AA4513"/>
  <c r="AB4513"/>
  <c r="AC4513"/>
  <c r="AD4513"/>
  <c r="P4514"/>
  <c r="Q4514"/>
  <c r="R4514"/>
  <c r="S4514"/>
  <c r="T4514"/>
  <c r="U4514"/>
  <c r="V4514"/>
  <c r="W4514"/>
  <c r="X4514"/>
  <c r="Y4514"/>
  <c r="AA4514"/>
  <c r="AB4514"/>
  <c r="AC4514"/>
  <c r="AD4514"/>
  <c r="P4515"/>
  <c r="Q4515"/>
  <c r="R4515"/>
  <c r="S4515"/>
  <c r="T4515"/>
  <c r="U4515"/>
  <c r="V4515"/>
  <c r="W4515"/>
  <c r="X4515"/>
  <c r="Y4515"/>
  <c r="AA4515"/>
  <c r="AB4515"/>
  <c r="AC4515"/>
  <c r="AD4515"/>
  <c r="P4516"/>
  <c r="Q4516"/>
  <c r="R4516"/>
  <c r="S4516"/>
  <c r="T4516"/>
  <c r="U4516"/>
  <c r="V4516"/>
  <c r="W4516"/>
  <c r="X4516"/>
  <c r="Y4516"/>
  <c r="AA4516"/>
  <c r="AB4516"/>
  <c r="AC4516"/>
  <c r="AD4516"/>
  <c r="P4517"/>
  <c r="Q4517"/>
  <c r="R4517"/>
  <c r="S4517"/>
  <c r="T4517"/>
  <c r="U4517"/>
  <c r="V4517"/>
  <c r="W4517"/>
  <c r="X4517"/>
  <c r="Y4517"/>
  <c r="AA4517"/>
  <c r="AB4517"/>
  <c r="AC4517"/>
  <c r="AD4517"/>
  <c r="P4518"/>
  <c r="Q4518"/>
  <c r="R4518"/>
  <c r="S4518"/>
  <c r="T4518"/>
  <c r="U4518"/>
  <c r="V4518"/>
  <c r="W4518"/>
  <c r="X4518"/>
  <c r="Y4518"/>
  <c r="AA4518"/>
  <c r="AB4518"/>
  <c r="AC4518"/>
  <c r="AD4518"/>
  <c r="P4519"/>
  <c r="Q4519"/>
  <c r="R4519"/>
  <c r="S4519"/>
  <c r="T4519"/>
  <c r="U4519"/>
  <c r="V4519"/>
  <c r="W4519"/>
  <c r="X4519"/>
  <c r="Y4519"/>
  <c r="AA4519"/>
  <c r="AB4519"/>
  <c r="AC4519"/>
  <c r="AD4519"/>
  <c r="P4520"/>
  <c r="Q4520"/>
  <c r="R4520"/>
  <c r="S4520"/>
  <c r="T4520"/>
  <c r="U4520"/>
  <c r="V4520"/>
  <c r="W4520"/>
  <c r="X4520"/>
  <c r="Y4520"/>
  <c r="AA4520"/>
  <c r="AB4520"/>
  <c r="AC4520"/>
  <c r="AD4520"/>
  <c r="P4521"/>
  <c r="Q4521"/>
  <c r="R4521"/>
  <c r="S4521"/>
  <c r="T4521"/>
  <c r="U4521"/>
  <c r="V4521"/>
  <c r="W4521"/>
  <c r="X4521"/>
  <c r="Y4521"/>
  <c r="AA4521"/>
  <c r="AB4521"/>
  <c r="AC4521"/>
  <c r="AD4521"/>
  <c r="P4522"/>
  <c r="Q4522"/>
  <c r="R4522"/>
  <c r="S4522"/>
  <c r="T4522"/>
  <c r="U4522"/>
  <c r="V4522"/>
  <c r="W4522"/>
  <c r="X4522"/>
  <c r="Y4522"/>
  <c r="AA4522"/>
  <c r="AB4522"/>
  <c r="AC4522"/>
  <c r="AD4522"/>
  <c r="P4523"/>
  <c r="Q4523"/>
  <c r="R4523"/>
  <c r="S4523"/>
  <c r="T4523"/>
  <c r="U4523"/>
  <c r="V4523"/>
  <c r="W4523"/>
  <c r="X4523"/>
  <c r="Y4523"/>
  <c r="AA4523"/>
  <c r="AB4523"/>
  <c r="AC4523"/>
  <c r="AD4523"/>
  <c r="P4524"/>
  <c r="Q4524"/>
  <c r="R4524"/>
  <c r="S4524"/>
  <c r="T4524"/>
  <c r="U4524"/>
  <c r="V4524"/>
  <c r="W4524"/>
  <c r="X4524"/>
  <c r="Y4524"/>
  <c r="AA4524"/>
  <c r="AB4524"/>
  <c r="AC4524"/>
  <c r="AD4524"/>
  <c r="P4525"/>
  <c r="Q4525"/>
  <c r="R4525"/>
  <c r="S4525"/>
  <c r="T4525"/>
  <c r="U4525"/>
  <c r="V4525"/>
  <c r="W4525"/>
  <c r="X4525"/>
  <c r="Y4525"/>
  <c r="AA4525"/>
  <c r="AB4525"/>
  <c r="AC4525"/>
  <c r="AD4525"/>
  <c r="P4526"/>
  <c r="Q4526"/>
  <c r="R4526"/>
  <c r="S4526"/>
  <c r="T4526"/>
  <c r="U4526"/>
  <c r="V4526"/>
  <c r="W4526"/>
  <c r="X4526"/>
  <c r="Y4526"/>
  <c r="AA4526"/>
  <c r="AB4526"/>
  <c r="AC4526"/>
  <c r="AD4526"/>
  <c r="P4527"/>
  <c r="Q4527"/>
  <c r="R4527"/>
  <c r="S4527"/>
  <c r="T4527"/>
  <c r="U4527"/>
  <c r="V4527"/>
  <c r="W4527"/>
  <c r="X4527"/>
  <c r="Y4527"/>
  <c r="AA4527"/>
  <c r="AB4527"/>
  <c r="AC4527"/>
  <c r="AD4527"/>
  <c r="P4528"/>
  <c r="Q4528"/>
  <c r="R4528"/>
  <c r="S4528"/>
  <c r="T4528"/>
  <c r="U4528"/>
  <c r="V4528"/>
  <c r="W4528"/>
  <c r="X4528"/>
  <c r="Y4528"/>
  <c r="AA4528"/>
  <c r="AB4528"/>
  <c r="AC4528"/>
  <c r="AD4528"/>
  <c r="P4529"/>
  <c r="Q4529"/>
  <c r="R4529"/>
  <c r="S4529"/>
  <c r="T4529"/>
  <c r="U4529"/>
  <c r="V4529"/>
  <c r="W4529"/>
  <c r="X4529"/>
  <c r="Y4529"/>
  <c r="AA4529"/>
  <c r="AB4529"/>
  <c r="AC4529"/>
  <c r="AD4529"/>
  <c r="P4530"/>
  <c r="Q4530"/>
  <c r="R4530"/>
  <c r="S4530"/>
  <c r="T4530"/>
  <c r="U4530"/>
  <c r="V4530"/>
  <c r="W4530"/>
  <c r="X4530"/>
  <c r="Y4530"/>
  <c r="AA4530"/>
  <c r="AB4530"/>
  <c r="AC4530"/>
  <c r="AD4530"/>
  <c r="P4531"/>
  <c r="Q4531"/>
  <c r="R4531"/>
  <c r="S4531"/>
  <c r="T4531"/>
  <c r="U4531"/>
  <c r="V4531"/>
  <c r="W4531"/>
  <c r="X4531"/>
  <c r="Y4531"/>
  <c r="AA4531"/>
  <c r="AB4531"/>
  <c r="AC4531"/>
  <c r="AD4531"/>
  <c r="P4532"/>
  <c r="Q4532"/>
  <c r="R4532"/>
  <c r="S4532"/>
  <c r="T4532"/>
  <c r="U4532"/>
  <c r="V4532"/>
  <c r="W4532"/>
  <c r="X4532"/>
  <c r="Y4532"/>
  <c r="AA4532"/>
  <c r="AB4532"/>
  <c r="AC4532"/>
  <c r="AD4532"/>
  <c r="P4533"/>
  <c r="Q4533"/>
  <c r="R4533"/>
  <c r="S4533"/>
  <c r="T4533"/>
  <c r="U4533"/>
  <c r="V4533"/>
  <c r="W4533"/>
  <c r="X4533"/>
  <c r="Y4533"/>
  <c r="AA4533"/>
  <c r="AB4533"/>
  <c r="AC4533"/>
  <c r="AD4533"/>
  <c r="P4534"/>
  <c r="Q4534"/>
  <c r="R4534"/>
  <c r="S4534"/>
  <c r="T4534"/>
  <c r="U4534"/>
  <c r="V4534"/>
  <c r="W4534"/>
  <c r="X4534"/>
  <c r="Y4534"/>
  <c r="AA4534"/>
  <c r="AB4534"/>
  <c r="AC4534"/>
  <c r="AD4534"/>
  <c r="P4535"/>
  <c r="Q4535"/>
  <c r="R4535"/>
  <c r="S4535"/>
  <c r="T4535"/>
  <c r="U4535"/>
  <c r="V4535"/>
  <c r="W4535"/>
  <c r="X4535"/>
  <c r="Y4535"/>
  <c r="AA4535"/>
  <c r="AB4535"/>
  <c r="AC4535"/>
  <c r="AD4535"/>
  <c r="P4536"/>
  <c r="Q4536"/>
  <c r="R4536"/>
  <c r="S4536"/>
  <c r="T4536"/>
  <c r="U4536"/>
  <c r="V4536"/>
  <c r="W4536"/>
  <c r="X4536"/>
  <c r="Y4536"/>
  <c r="AA4536"/>
  <c r="AB4536"/>
  <c r="AC4536"/>
  <c r="AD4536"/>
  <c r="P4537"/>
  <c r="Q4537"/>
  <c r="R4537"/>
  <c r="S4537"/>
  <c r="T4537"/>
  <c r="U4537"/>
  <c r="V4537"/>
  <c r="W4537"/>
  <c r="X4537"/>
  <c r="Y4537"/>
  <c r="AA4537"/>
  <c r="AB4537"/>
  <c r="AC4537"/>
  <c r="AD4537"/>
  <c r="P4538"/>
  <c r="Q4538"/>
  <c r="R4538"/>
  <c r="S4538"/>
  <c r="T4538"/>
  <c r="U4538"/>
  <c r="V4538"/>
  <c r="W4538"/>
  <c r="X4538"/>
  <c r="Y4538"/>
  <c r="AA4538"/>
  <c r="AB4538"/>
  <c r="AC4538"/>
  <c r="AD4538"/>
  <c r="P4539"/>
  <c r="Q4539"/>
  <c r="R4539"/>
  <c r="S4539"/>
  <c r="T4539"/>
  <c r="U4539"/>
  <c r="V4539"/>
  <c r="W4539"/>
  <c r="X4539"/>
  <c r="Y4539"/>
  <c r="AA4539"/>
  <c r="AB4539"/>
  <c r="AC4539"/>
  <c r="AD4539"/>
  <c r="P4540"/>
  <c r="Q4540"/>
  <c r="R4540"/>
  <c r="S4540"/>
  <c r="T4540"/>
  <c r="U4540"/>
  <c r="V4540"/>
  <c r="W4540"/>
  <c r="X4540"/>
  <c r="Y4540"/>
  <c r="AA4540"/>
  <c r="AB4540"/>
  <c r="AC4540"/>
  <c r="AD4540"/>
  <c r="P4541"/>
  <c r="Q4541"/>
  <c r="R4541"/>
  <c r="S4541"/>
  <c r="T4541"/>
  <c r="U4541"/>
  <c r="V4541"/>
  <c r="W4541"/>
  <c r="X4541"/>
  <c r="Y4541"/>
  <c r="AA4541"/>
  <c r="AB4541"/>
  <c r="AC4541"/>
  <c r="AD4541"/>
  <c r="P4542"/>
  <c r="Q4542"/>
  <c r="R4542"/>
  <c r="S4542"/>
  <c r="T4542"/>
  <c r="U4542"/>
  <c r="V4542"/>
  <c r="W4542"/>
  <c r="X4542"/>
  <c r="Y4542"/>
  <c r="AA4542"/>
  <c r="AB4542"/>
  <c r="AC4542"/>
  <c r="AD4542"/>
  <c r="P4543"/>
  <c r="Q4543"/>
  <c r="R4543"/>
  <c r="S4543"/>
  <c r="T4543"/>
  <c r="U4543"/>
  <c r="V4543"/>
  <c r="W4543"/>
  <c r="X4543"/>
  <c r="Y4543"/>
  <c r="AA4543"/>
  <c r="AB4543"/>
  <c r="AC4543"/>
  <c r="AD4543"/>
  <c r="P4544"/>
  <c r="Q4544"/>
  <c r="R4544"/>
  <c r="S4544"/>
  <c r="T4544"/>
  <c r="U4544"/>
  <c r="V4544"/>
  <c r="W4544"/>
  <c r="X4544"/>
  <c r="Y4544"/>
  <c r="AA4544"/>
  <c r="AB4544"/>
  <c r="AC4544"/>
  <c r="AD4544"/>
  <c r="P4545"/>
  <c r="Q4545"/>
  <c r="R4545"/>
  <c r="S4545"/>
  <c r="T4545"/>
  <c r="U4545"/>
  <c r="V4545"/>
  <c r="W4545"/>
  <c r="X4545"/>
  <c r="Y4545"/>
  <c r="AA4545"/>
  <c r="AB4545"/>
  <c r="AC4545"/>
  <c r="AD4545"/>
  <c r="P4546"/>
  <c r="Q4546"/>
  <c r="R4546"/>
  <c r="S4546"/>
  <c r="T4546"/>
  <c r="U4546"/>
  <c r="V4546"/>
  <c r="W4546"/>
  <c r="X4546"/>
  <c r="Y4546"/>
  <c r="AA4546"/>
  <c r="AB4546"/>
  <c r="AC4546"/>
  <c r="AD4546"/>
  <c r="P4547"/>
  <c r="Q4547"/>
  <c r="R4547"/>
  <c r="S4547"/>
  <c r="T4547"/>
  <c r="U4547"/>
  <c r="V4547"/>
  <c r="W4547"/>
  <c r="X4547"/>
  <c r="Y4547"/>
  <c r="AA4547"/>
  <c r="AB4547"/>
  <c r="AC4547"/>
  <c r="AD4547"/>
  <c r="P4548"/>
  <c r="Q4548"/>
  <c r="R4548"/>
  <c r="S4548"/>
  <c r="T4548"/>
  <c r="U4548"/>
  <c r="V4548"/>
  <c r="W4548"/>
  <c r="X4548"/>
  <c r="Y4548"/>
  <c r="AA4548"/>
  <c r="AB4548"/>
  <c r="AC4548"/>
  <c r="AD4548"/>
  <c r="P4549"/>
  <c r="Q4549"/>
  <c r="R4549"/>
  <c r="S4549"/>
  <c r="T4549"/>
  <c r="U4549"/>
  <c r="V4549"/>
  <c r="W4549"/>
  <c r="X4549"/>
  <c r="Y4549"/>
  <c r="AA4549"/>
  <c r="AB4549"/>
  <c r="AC4549"/>
  <c r="AD4549"/>
  <c r="P4550"/>
  <c r="Q4550"/>
  <c r="R4550"/>
  <c r="S4550"/>
  <c r="T4550"/>
  <c r="U4550"/>
  <c r="V4550"/>
  <c r="W4550"/>
  <c r="X4550"/>
  <c r="Y4550"/>
  <c r="AA4550"/>
  <c r="AB4550"/>
  <c r="AC4550"/>
  <c r="AD4550"/>
  <c r="P4551"/>
  <c r="Q4551"/>
  <c r="R4551"/>
  <c r="S4551"/>
  <c r="T4551"/>
  <c r="U4551"/>
  <c r="V4551"/>
  <c r="W4551"/>
  <c r="X4551"/>
  <c r="Y4551"/>
  <c r="AA4551"/>
  <c r="AB4551"/>
  <c r="AC4551"/>
  <c r="AD4551"/>
  <c r="P4552"/>
  <c r="Q4552"/>
  <c r="R4552"/>
  <c r="S4552"/>
  <c r="T4552"/>
  <c r="U4552"/>
  <c r="V4552"/>
  <c r="W4552"/>
  <c r="X4552"/>
  <c r="Y4552"/>
  <c r="AA4552"/>
  <c r="AB4552"/>
  <c r="AC4552"/>
  <c r="AD4552"/>
  <c r="P4553"/>
  <c r="Q4553"/>
  <c r="R4553"/>
  <c r="S4553"/>
  <c r="T4553"/>
  <c r="U4553"/>
  <c r="V4553"/>
  <c r="W4553"/>
  <c r="X4553"/>
  <c r="Y4553"/>
  <c r="AA4553"/>
  <c r="AB4553"/>
  <c r="AC4553"/>
  <c r="AD4553"/>
  <c r="P4554"/>
  <c r="Q4554"/>
  <c r="R4554"/>
  <c r="S4554"/>
  <c r="T4554"/>
  <c r="U4554"/>
  <c r="V4554"/>
  <c r="W4554"/>
  <c r="X4554"/>
  <c r="Y4554"/>
  <c r="AA4554"/>
  <c r="AB4554"/>
  <c r="AC4554"/>
  <c r="AD4554"/>
  <c r="P4555"/>
  <c r="Q4555"/>
  <c r="R4555"/>
  <c r="S4555"/>
  <c r="T4555"/>
  <c r="U4555"/>
  <c r="V4555"/>
  <c r="W4555"/>
  <c r="X4555"/>
  <c r="Y4555"/>
  <c r="AA4555"/>
  <c r="AB4555"/>
  <c r="AC4555"/>
  <c r="AD4555"/>
  <c r="P4556"/>
  <c r="Q4556"/>
  <c r="R4556"/>
  <c r="S4556"/>
  <c r="T4556"/>
  <c r="U4556"/>
  <c r="V4556"/>
  <c r="W4556"/>
  <c r="X4556"/>
  <c r="Y4556"/>
  <c r="AA4556"/>
  <c r="AB4556"/>
  <c r="AC4556"/>
  <c r="AD4556"/>
  <c r="P4557"/>
  <c r="Q4557"/>
  <c r="R4557"/>
  <c r="S4557"/>
  <c r="T4557"/>
  <c r="U4557"/>
  <c r="V4557"/>
  <c r="W4557"/>
  <c r="X4557"/>
  <c r="Y4557"/>
  <c r="AA4557"/>
  <c r="AB4557"/>
  <c r="AC4557"/>
  <c r="AD4557"/>
  <c r="P4558"/>
  <c r="Q4558"/>
  <c r="R4558"/>
  <c r="S4558"/>
  <c r="T4558"/>
  <c r="U4558"/>
  <c r="V4558"/>
  <c r="W4558"/>
  <c r="X4558"/>
  <c r="Y4558"/>
  <c r="AA4558"/>
  <c r="AB4558"/>
  <c r="AC4558"/>
  <c r="AD4558"/>
  <c r="P4559"/>
  <c r="Q4559"/>
  <c r="R4559"/>
  <c r="S4559"/>
  <c r="T4559"/>
  <c r="U4559"/>
  <c r="V4559"/>
  <c r="W4559"/>
  <c r="X4559"/>
  <c r="Y4559"/>
  <c r="AA4559"/>
  <c r="AB4559"/>
  <c r="AC4559"/>
  <c r="AD4559"/>
  <c r="P4560"/>
  <c r="Q4560"/>
  <c r="R4560"/>
  <c r="S4560"/>
  <c r="T4560"/>
  <c r="U4560"/>
  <c r="V4560"/>
  <c r="W4560"/>
  <c r="X4560"/>
  <c r="Y4560"/>
  <c r="AA4560"/>
  <c r="AB4560"/>
  <c r="AC4560"/>
  <c r="AD4560"/>
  <c r="P4561"/>
  <c r="Q4561"/>
  <c r="R4561"/>
  <c r="S4561"/>
  <c r="T4561"/>
  <c r="U4561"/>
  <c r="V4561"/>
  <c r="W4561"/>
  <c r="X4561"/>
  <c r="Y4561"/>
  <c r="AA4561"/>
  <c r="AB4561"/>
  <c r="AC4561"/>
  <c r="AD4561"/>
  <c r="P4562"/>
  <c r="Q4562"/>
  <c r="R4562"/>
  <c r="S4562"/>
  <c r="T4562"/>
  <c r="U4562"/>
  <c r="V4562"/>
  <c r="W4562"/>
  <c r="X4562"/>
  <c r="Y4562"/>
  <c r="AA4562"/>
  <c r="AB4562"/>
  <c r="AC4562"/>
  <c r="AD4562"/>
  <c r="P4563"/>
  <c r="Q4563"/>
  <c r="R4563"/>
  <c r="S4563"/>
  <c r="T4563"/>
  <c r="U4563"/>
  <c r="V4563"/>
  <c r="W4563"/>
  <c r="X4563"/>
  <c r="Y4563"/>
  <c r="AA4563"/>
  <c r="AB4563"/>
  <c r="AC4563"/>
  <c r="AD4563"/>
  <c r="P4564"/>
  <c r="Q4564"/>
  <c r="R4564"/>
  <c r="S4564"/>
  <c r="T4564"/>
  <c r="U4564"/>
  <c r="V4564"/>
  <c r="W4564"/>
  <c r="X4564"/>
  <c r="Y4564"/>
  <c r="AA4564"/>
  <c r="AB4564"/>
  <c r="AC4564"/>
  <c r="AD4564"/>
  <c r="P4565"/>
  <c r="Q4565"/>
  <c r="R4565"/>
  <c r="S4565"/>
  <c r="T4565"/>
  <c r="U4565"/>
  <c r="V4565"/>
  <c r="W4565"/>
  <c r="X4565"/>
  <c r="Y4565"/>
  <c r="AA4565"/>
  <c r="AB4565"/>
  <c r="AC4565"/>
  <c r="AD4565"/>
  <c r="P4566"/>
  <c r="Q4566"/>
  <c r="R4566"/>
  <c r="S4566"/>
  <c r="T4566"/>
  <c r="U4566"/>
  <c r="V4566"/>
  <c r="W4566"/>
  <c r="X4566"/>
  <c r="Y4566"/>
  <c r="AA4566"/>
  <c r="AB4566"/>
  <c r="AC4566"/>
  <c r="AD4566"/>
  <c r="P4567"/>
  <c r="Q4567"/>
  <c r="R4567"/>
  <c r="S4567"/>
  <c r="T4567"/>
  <c r="U4567"/>
  <c r="V4567"/>
  <c r="W4567"/>
  <c r="X4567"/>
  <c r="Y4567"/>
  <c r="AA4567"/>
  <c r="AB4567"/>
  <c r="AC4567"/>
  <c r="AD4567"/>
  <c r="P4568"/>
  <c r="Q4568"/>
  <c r="R4568"/>
  <c r="S4568"/>
  <c r="T4568"/>
  <c r="U4568"/>
  <c r="V4568"/>
  <c r="W4568"/>
  <c r="X4568"/>
  <c r="Y4568"/>
  <c r="AA4568"/>
  <c r="AB4568"/>
  <c r="AC4568"/>
  <c r="AD4568"/>
  <c r="P4569"/>
  <c r="Q4569"/>
  <c r="R4569"/>
  <c r="S4569"/>
  <c r="T4569"/>
  <c r="U4569"/>
  <c r="V4569"/>
  <c r="W4569"/>
  <c r="X4569"/>
  <c r="Y4569"/>
  <c r="AA4569"/>
  <c r="AB4569"/>
  <c r="AC4569"/>
  <c r="AD4569"/>
  <c r="P4570"/>
  <c r="Q4570"/>
  <c r="R4570"/>
  <c r="S4570"/>
  <c r="T4570"/>
  <c r="U4570"/>
  <c r="V4570"/>
  <c r="W4570"/>
  <c r="X4570"/>
  <c r="Y4570"/>
  <c r="AA4570"/>
  <c r="AB4570"/>
  <c r="AC4570"/>
  <c r="AD4570"/>
  <c r="P4571"/>
  <c r="Q4571"/>
  <c r="R4571"/>
  <c r="S4571"/>
  <c r="T4571"/>
  <c r="U4571"/>
  <c r="V4571"/>
  <c r="W4571"/>
  <c r="X4571"/>
  <c r="Y4571"/>
  <c r="AA4571"/>
  <c r="AB4571"/>
  <c r="AC4571"/>
  <c r="AD4571"/>
  <c r="P4572"/>
  <c r="Q4572"/>
  <c r="R4572"/>
  <c r="S4572"/>
  <c r="T4572"/>
  <c r="U4572"/>
  <c r="V4572"/>
  <c r="W4572"/>
  <c r="X4572"/>
  <c r="Y4572"/>
  <c r="AA4572"/>
  <c r="AB4572"/>
  <c r="AC4572"/>
  <c r="AD4572"/>
  <c r="P4573"/>
  <c r="Q4573"/>
  <c r="R4573"/>
  <c r="S4573"/>
  <c r="T4573"/>
  <c r="U4573"/>
  <c r="V4573"/>
  <c r="W4573"/>
  <c r="X4573"/>
  <c r="Y4573"/>
  <c r="AA4573"/>
  <c r="AB4573"/>
  <c r="AC4573"/>
  <c r="AD4573"/>
  <c r="P4574"/>
  <c r="Q4574"/>
  <c r="R4574"/>
  <c r="S4574"/>
  <c r="T4574"/>
  <c r="U4574"/>
  <c r="V4574"/>
  <c r="W4574"/>
  <c r="X4574"/>
  <c r="Y4574"/>
  <c r="AA4574"/>
  <c r="AB4574"/>
  <c r="AC4574"/>
  <c r="AD4574"/>
  <c r="P4575"/>
  <c r="Q4575"/>
  <c r="R4575"/>
  <c r="S4575"/>
  <c r="T4575"/>
  <c r="U4575"/>
  <c r="V4575"/>
  <c r="W4575"/>
  <c r="X4575"/>
  <c r="Y4575"/>
  <c r="AA4575"/>
  <c r="AB4575"/>
  <c r="AC4575"/>
  <c r="AD4575"/>
  <c r="P4576"/>
  <c r="Q4576"/>
  <c r="R4576"/>
  <c r="S4576"/>
  <c r="T4576"/>
  <c r="U4576"/>
  <c r="V4576"/>
  <c r="W4576"/>
  <c r="X4576"/>
  <c r="Y4576"/>
  <c r="AA4576"/>
  <c r="AB4576"/>
  <c r="AC4576"/>
  <c r="AD4576"/>
  <c r="P4577"/>
  <c r="Q4577"/>
  <c r="R4577"/>
  <c r="S4577"/>
  <c r="T4577"/>
  <c r="U4577"/>
  <c r="V4577"/>
  <c r="W4577"/>
  <c r="X4577"/>
  <c r="Y4577"/>
  <c r="AA4577"/>
  <c r="AB4577"/>
  <c r="AC4577"/>
  <c r="AD4577"/>
  <c r="P4578"/>
  <c r="Q4578"/>
  <c r="R4578"/>
  <c r="S4578"/>
  <c r="T4578"/>
  <c r="U4578"/>
  <c r="V4578"/>
  <c r="W4578"/>
  <c r="X4578"/>
  <c r="Y4578"/>
  <c r="AA4578"/>
  <c r="AB4578"/>
  <c r="AC4578"/>
  <c r="AD4578"/>
  <c r="P4579"/>
  <c r="Q4579"/>
  <c r="R4579"/>
  <c r="S4579"/>
  <c r="T4579"/>
  <c r="U4579"/>
  <c r="V4579"/>
  <c r="W4579"/>
  <c r="X4579"/>
  <c r="Y4579"/>
  <c r="AA4579"/>
  <c r="AB4579"/>
  <c r="AC4579"/>
  <c r="AD4579"/>
  <c r="P4580"/>
  <c r="Q4580"/>
  <c r="R4580"/>
  <c r="S4580"/>
  <c r="T4580"/>
  <c r="U4580"/>
  <c r="V4580"/>
  <c r="W4580"/>
  <c r="X4580"/>
  <c r="Y4580"/>
  <c r="AA4580"/>
  <c r="AB4580"/>
  <c r="AC4580"/>
  <c r="AD4580"/>
  <c r="P4581"/>
  <c r="Q4581"/>
  <c r="R4581"/>
  <c r="S4581"/>
  <c r="T4581"/>
  <c r="U4581"/>
  <c r="V4581"/>
  <c r="W4581"/>
  <c r="X4581"/>
  <c r="Y4581"/>
  <c r="AA4581"/>
  <c r="AB4581"/>
  <c r="AC4581"/>
  <c r="AD4581"/>
  <c r="P4582"/>
  <c r="Q4582"/>
  <c r="R4582"/>
  <c r="S4582"/>
  <c r="T4582"/>
  <c r="U4582"/>
  <c r="V4582"/>
  <c r="W4582"/>
  <c r="X4582"/>
  <c r="Y4582"/>
  <c r="AA4582"/>
  <c r="AB4582"/>
  <c r="AC4582"/>
  <c r="AD4582"/>
  <c r="P4583"/>
  <c r="Q4583"/>
  <c r="R4583"/>
  <c r="S4583"/>
  <c r="T4583"/>
  <c r="U4583"/>
  <c r="V4583"/>
  <c r="W4583"/>
  <c r="X4583"/>
  <c r="Y4583"/>
  <c r="AA4583"/>
  <c r="AB4583"/>
  <c r="AC4583"/>
  <c r="AD4583"/>
  <c r="P4584"/>
  <c r="Q4584"/>
  <c r="R4584"/>
  <c r="S4584"/>
  <c r="T4584"/>
  <c r="U4584"/>
  <c r="V4584"/>
  <c r="W4584"/>
  <c r="X4584"/>
  <c r="Y4584"/>
  <c r="AA4584"/>
  <c r="AB4584"/>
  <c r="AC4584"/>
  <c r="AD4584"/>
  <c r="P4585"/>
  <c r="Q4585"/>
  <c r="R4585"/>
  <c r="S4585"/>
  <c r="T4585"/>
  <c r="U4585"/>
  <c r="V4585"/>
  <c r="W4585"/>
  <c r="X4585"/>
  <c r="Y4585"/>
  <c r="AA4585"/>
  <c r="AB4585"/>
  <c r="AC4585"/>
  <c r="AD4585"/>
  <c r="P4586"/>
  <c r="Q4586"/>
  <c r="R4586"/>
  <c r="S4586"/>
  <c r="T4586"/>
  <c r="U4586"/>
  <c r="V4586"/>
  <c r="W4586"/>
  <c r="X4586"/>
  <c r="Y4586"/>
  <c r="AA4586"/>
  <c r="AB4586"/>
  <c r="AC4586"/>
  <c r="AD4586"/>
  <c r="P4587"/>
  <c r="Q4587"/>
  <c r="R4587"/>
  <c r="S4587"/>
  <c r="T4587"/>
  <c r="U4587"/>
  <c r="V4587"/>
  <c r="W4587"/>
  <c r="X4587"/>
  <c r="Y4587"/>
  <c r="AA4587"/>
  <c r="AB4587"/>
  <c r="AC4587"/>
  <c r="AD4587"/>
  <c r="P4588"/>
  <c r="Q4588"/>
  <c r="R4588"/>
  <c r="S4588"/>
  <c r="T4588"/>
  <c r="U4588"/>
  <c r="V4588"/>
  <c r="W4588"/>
  <c r="X4588"/>
  <c r="Y4588"/>
  <c r="AA4588"/>
  <c r="AB4588"/>
  <c r="AC4588"/>
  <c r="AD4588"/>
  <c r="P4589"/>
  <c r="Q4589"/>
  <c r="R4589"/>
  <c r="S4589"/>
  <c r="T4589"/>
  <c r="U4589"/>
  <c r="V4589"/>
  <c r="W4589"/>
  <c r="X4589"/>
  <c r="Y4589"/>
  <c r="AA4589"/>
  <c r="AB4589"/>
  <c r="AC4589"/>
  <c r="AD4589"/>
  <c r="P4590"/>
  <c r="Q4590"/>
  <c r="R4590"/>
  <c r="S4590"/>
  <c r="T4590"/>
  <c r="U4590"/>
  <c r="V4590"/>
  <c r="W4590"/>
  <c r="X4590"/>
  <c r="Y4590"/>
  <c r="AA4590"/>
  <c r="AB4590"/>
  <c r="AC4590"/>
  <c r="AD4590"/>
  <c r="P4591"/>
  <c r="Q4591"/>
  <c r="R4591"/>
  <c r="S4591"/>
  <c r="T4591"/>
  <c r="U4591"/>
  <c r="V4591"/>
  <c r="W4591"/>
  <c r="X4591"/>
  <c r="Y4591"/>
  <c r="AA4591"/>
  <c r="AB4591"/>
  <c r="AC4591"/>
  <c r="AD4591"/>
  <c r="P4592"/>
  <c r="Q4592"/>
  <c r="R4592"/>
  <c r="S4592"/>
  <c r="T4592"/>
  <c r="U4592"/>
  <c r="V4592"/>
  <c r="W4592"/>
  <c r="X4592"/>
  <c r="Y4592"/>
  <c r="AA4592"/>
  <c r="AB4592"/>
  <c r="AC4592"/>
  <c r="AD4592"/>
  <c r="P4593"/>
  <c r="Q4593"/>
  <c r="R4593"/>
  <c r="S4593"/>
  <c r="T4593"/>
  <c r="U4593"/>
  <c r="V4593"/>
  <c r="W4593"/>
  <c r="X4593"/>
  <c r="Y4593"/>
  <c r="AA4593"/>
  <c r="AB4593"/>
  <c r="AC4593"/>
  <c r="AD4593"/>
  <c r="P4594"/>
  <c r="Q4594"/>
  <c r="R4594"/>
  <c r="S4594"/>
  <c r="T4594"/>
  <c r="U4594"/>
  <c r="V4594"/>
  <c r="W4594"/>
  <c r="X4594"/>
  <c r="Y4594"/>
  <c r="AA4594"/>
  <c r="AB4594"/>
  <c r="AC4594"/>
  <c r="AD4594"/>
  <c r="P4595"/>
  <c r="Q4595"/>
  <c r="R4595"/>
  <c r="S4595"/>
  <c r="T4595"/>
  <c r="U4595"/>
  <c r="V4595"/>
  <c r="W4595"/>
  <c r="X4595"/>
  <c r="Y4595"/>
  <c r="AA4595"/>
  <c r="AB4595"/>
  <c r="AC4595"/>
  <c r="AD4595"/>
  <c r="P4596"/>
  <c r="Q4596"/>
  <c r="R4596"/>
  <c r="S4596"/>
  <c r="T4596"/>
  <c r="U4596"/>
  <c r="V4596"/>
  <c r="W4596"/>
  <c r="X4596"/>
  <c r="Y4596"/>
  <c r="AA4596"/>
  <c r="AB4596"/>
  <c r="AC4596"/>
  <c r="AD4596"/>
  <c r="P4597"/>
  <c r="Q4597"/>
  <c r="R4597"/>
  <c r="S4597"/>
  <c r="T4597"/>
  <c r="U4597"/>
  <c r="V4597"/>
  <c r="W4597"/>
  <c r="X4597"/>
  <c r="Y4597"/>
  <c r="AA4597"/>
  <c r="AB4597"/>
  <c r="AC4597"/>
  <c r="AD4597"/>
  <c r="P4598"/>
  <c r="Q4598"/>
  <c r="R4598"/>
  <c r="S4598"/>
  <c r="T4598"/>
  <c r="U4598"/>
  <c r="V4598"/>
  <c r="W4598"/>
  <c r="X4598"/>
  <c r="Y4598"/>
  <c r="AA4598"/>
  <c r="AB4598"/>
  <c r="AC4598"/>
  <c r="AD4598"/>
  <c r="P4599"/>
  <c r="Q4599"/>
  <c r="R4599"/>
  <c r="S4599"/>
  <c r="T4599"/>
  <c r="U4599"/>
  <c r="V4599"/>
  <c r="W4599"/>
  <c r="X4599"/>
  <c r="Y4599"/>
  <c r="AA4599"/>
  <c r="AB4599"/>
  <c r="AC4599"/>
  <c r="AD4599"/>
  <c r="P4600"/>
  <c r="Q4600"/>
  <c r="R4600"/>
  <c r="S4600"/>
  <c r="T4600"/>
  <c r="U4600"/>
  <c r="V4600"/>
  <c r="W4600"/>
  <c r="X4600"/>
  <c r="Y4600"/>
  <c r="AA4600"/>
  <c r="AB4600"/>
  <c r="AC4600"/>
  <c r="AD4600"/>
  <c r="P4601"/>
  <c r="Q4601"/>
  <c r="R4601"/>
  <c r="S4601"/>
  <c r="T4601"/>
  <c r="U4601"/>
  <c r="V4601"/>
  <c r="W4601"/>
  <c r="X4601"/>
  <c r="Y4601"/>
  <c r="AA4601"/>
  <c r="AB4601"/>
  <c r="AC4601"/>
  <c r="AD4601"/>
  <c r="P4602"/>
  <c r="Q4602"/>
  <c r="R4602"/>
  <c r="S4602"/>
  <c r="T4602"/>
  <c r="U4602"/>
  <c r="V4602"/>
  <c r="W4602"/>
  <c r="X4602"/>
  <c r="Y4602"/>
  <c r="AA4602"/>
  <c r="AB4602"/>
  <c r="AC4602"/>
  <c r="AD4602"/>
  <c r="P4603"/>
  <c r="Q4603"/>
  <c r="R4603"/>
  <c r="S4603"/>
  <c r="T4603"/>
  <c r="U4603"/>
  <c r="V4603"/>
  <c r="W4603"/>
  <c r="X4603"/>
  <c r="Y4603"/>
  <c r="AA4603"/>
  <c r="AB4603"/>
  <c r="AC4603"/>
  <c r="AD4603"/>
  <c r="P4604"/>
  <c r="Q4604"/>
  <c r="R4604"/>
  <c r="S4604"/>
  <c r="T4604"/>
  <c r="U4604"/>
  <c r="V4604"/>
  <c r="W4604"/>
  <c r="X4604"/>
  <c r="Y4604"/>
  <c r="AA4604"/>
  <c r="AB4604"/>
  <c r="AC4604"/>
  <c r="AD4604"/>
  <c r="P4605"/>
  <c r="Q4605"/>
  <c r="R4605"/>
  <c r="S4605"/>
  <c r="T4605"/>
  <c r="U4605"/>
  <c r="V4605"/>
  <c r="W4605"/>
  <c r="X4605"/>
  <c r="Y4605"/>
  <c r="AA4605"/>
  <c r="AB4605"/>
  <c r="AC4605"/>
  <c r="AD4605"/>
  <c r="P4606"/>
  <c r="Q4606"/>
  <c r="R4606"/>
  <c r="S4606"/>
  <c r="T4606"/>
  <c r="U4606"/>
  <c r="V4606"/>
  <c r="W4606"/>
  <c r="X4606"/>
  <c r="Y4606"/>
  <c r="AA4606"/>
  <c r="AB4606"/>
  <c r="AC4606"/>
  <c r="AD4606"/>
  <c r="P4607"/>
  <c r="Q4607"/>
  <c r="R4607"/>
  <c r="S4607"/>
  <c r="T4607"/>
  <c r="U4607"/>
  <c r="V4607"/>
  <c r="W4607"/>
  <c r="X4607"/>
  <c r="Y4607"/>
  <c r="AA4607"/>
  <c r="AB4607"/>
  <c r="AC4607"/>
  <c r="AD4607"/>
  <c r="P4608"/>
  <c r="Q4608"/>
  <c r="R4608"/>
  <c r="S4608"/>
  <c r="T4608"/>
  <c r="U4608"/>
  <c r="V4608"/>
  <c r="W4608"/>
  <c r="X4608"/>
  <c r="Y4608"/>
  <c r="AA4608"/>
  <c r="AB4608"/>
  <c r="AC4608"/>
  <c r="AD4608"/>
  <c r="P4609"/>
  <c r="Q4609"/>
  <c r="R4609"/>
  <c r="S4609"/>
  <c r="T4609"/>
  <c r="U4609"/>
  <c r="V4609"/>
  <c r="W4609"/>
  <c r="X4609"/>
  <c r="Y4609"/>
  <c r="AA4609"/>
  <c r="AB4609"/>
  <c r="AC4609"/>
  <c r="AD4609"/>
  <c r="P4610"/>
  <c r="Q4610"/>
  <c r="R4610"/>
  <c r="S4610"/>
  <c r="T4610"/>
  <c r="U4610"/>
  <c r="V4610"/>
  <c r="W4610"/>
  <c r="X4610"/>
  <c r="Y4610"/>
  <c r="AA4610"/>
  <c r="AB4610"/>
  <c r="AC4610"/>
  <c r="AD4610"/>
  <c r="P4611"/>
  <c r="Q4611"/>
  <c r="R4611"/>
  <c r="S4611"/>
  <c r="T4611"/>
  <c r="U4611"/>
  <c r="V4611"/>
  <c r="W4611"/>
  <c r="X4611"/>
  <c r="Y4611"/>
  <c r="AA4611"/>
  <c r="AB4611"/>
  <c r="AC4611"/>
  <c r="AD4611"/>
  <c r="P4612"/>
  <c r="Q4612"/>
  <c r="R4612"/>
  <c r="S4612"/>
  <c r="T4612"/>
  <c r="U4612"/>
  <c r="V4612"/>
  <c r="W4612"/>
  <c r="X4612"/>
  <c r="Y4612"/>
  <c r="AA4612"/>
  <c r="AB4612"/>
  <c r="AC4612"/>
  <c r="AD4612"/>
  <c r="P4613"/>
  <c r="Q4613"/>
  <c r="R4613"/>
  <c r="S4613"/>
  <c r="T4613"/>
  <c r="U4613"/>
  <c r="V4613"/>
  <c r="W4613"/>
  <c r="X4613"/>
  <c r="Y4613"/>
  <c r="AA4613"/>
  <c r="AB4613"/>
  <c r="AC4613"/>
  <c r="AD4613"/>
  <c r="P4614"/>
  <c r="Q4614"/>
  <c r="R4614"/>
  <c r="S4614"/>
  <c r="T4614"/>
  <c r="U4614"/>
  <c r="V4614"/>
  <c r="W4614"/>
  <c r="X4614"/>
  <c r="Y4614"/>
  <c r="AA4614"/>
  <c r="AB4614"/>
  <c r="AC4614"/>
  <c r="AD4614"/>
  <c r="P4615"/>
  <c r="Q4615"/>
  <c r="R4615"/>
  <c r="S4615"/>
  <c r="T4615"/>
  <c r="U4615"/>
  <c r="V4615"/>
  <c r="W4615"/>
  <c r="X4615"/>
  <c r="Y4615"/>
  <c r="AA4615"/>
  <c r="AB4615"/>
  <c r="AC4615"/>
  <c r="AD4615"/>
  <c r="P4616"/>
  <c r="Q4616"/>
  <c r="R4616"/>
  <c r="S4616"/>
  <c r="T4616"/>
  <c r="U4616"/>
  <c r="V4616"/>
  <c r="W4616"/>
  <c r="X4616"/>
  <c r="Y4616"/>
  <c r="AA4616"/>
  <c r="AB4616"/>
  <c r="AC4616"/>
  <c r="AD4616"/>
  <c r="P4617"/>
  <c r="Q4617"/>
  <c r="R4617"/>
  <c r="S4617"/>
  <c r="T4617"/>
  <c r="U4617"/>
  <c r="V4617"/>
  <c r="W4617"/>
  <c r="X4617"/>
  <c r="Y4617"/>
  <c r="AA4617"/>
  <c r="AB4617"/>
  <c r="AC4617"/>
  <c r="AD4617"/>
  <c r="P4618"/>
  <c r="Q4618"/>
  <c r="R4618"/>
  <c r="S4618"/>
  <c r="T4618"/>
  <c r="U4618"/>
  <c r="V4618"/>
  <c r="W4618"/>
  <c r="X4618"/>
  <c r="Y4618"/>
  <c r="AA4618"/>
  <c r="AB4618"/>
  <c r="AC4618"/>
  <c r="AD4618"/>
  <c r="P4619"/>
  <c r="Q4619"/>
  <c r="R4619"/>
  <c r="S4619"/>
  <c r="T4619"/>
  <c r="U4619"/>
  <c r="V4619"/>
  <c r="W4619"/>
  <c r="X4619"/>
  <c r="Y4619"/>
  <c r="AA4619"/>
  <c r="AB4619"/>
  <c r="AC4619"/>
  <c r="AD4619"/>
  <c r="P4620"/>
  <c r="Q4620"/>
  <c r="R4620"/>
  <c r="S4620"/>
  <c r="T4620"/>
  <c r="U4620"/>
  <c r="V4620"/>
  <c r="W4620"/>
  <c r="X4620"/>
  <c r="Y4620"/>
  <c r="AA4620"/>
  <c r="AB4620"/>
  <c r="AC4620"/>
  <c r="AD4620"/>
  <c r="P4621"/>
  <c r="Q4621"/>
  <c r="R4621"/>
  <c r="S4621"/>
  <c r="T4621"/>
  <c r="U4621"/>
  <c r="V4621"/>
  <c r="W4621"/>
  <c r="X4621"/>
  <c r="Y4621"/>
  <c r="AA4621"/>
  <c r="AB4621"/>
  <c r="AC4621"/>
  <c r="AD4621"/>
  <c r="P4622"/>
  <c r="Q4622"/>
  <c r="R4622"/>
  <c r="S4622"/>
  <c r="T4622"/>
  <c r="U4622"/>
  <c r="V4622"/>
  <c r="W4622"/>
  <c r="X4622"/>
  <c r="Y4622"/>
  <c r="AA4622"/>
  <c r="AB4622"/>
  <c r="AC4622"/>
  <c r="AD4622"/>
  <c r="P4623"/>
  <c r="Q4623"/>
  <c r="R4623"/>
  <c r="S4623"/>
  <c r="T4623"/>
  <c r="U4623"/>
  <c r="V4623"/>
  <c r="W4623"/>
  <c r="X4623"/>
  <c r="Y4623"/>
  <c r="AA4623"/>
  <c r="AB4623"/>
  <c r="AC4623"/>
  <c r="AD4623"/>
  <c r="P4624"/>
  <c r="Q4624"/>
  <c r="R4624"/>
  <c r="S4624"/>
  <c r="T4624"/>
  <c r="U4624"/>
  <c r="V4624"/>
  <c r="W4624"/>
  <c r="X4624"/>
  <c r="Y4624"/>
  <c r="AA4624"/>
  <c r="AB4624"/>
  <c r="AC4624"/>
  <c r="AD4624"/>
  <c r="P4625"/>
  <c r="Q4625"/>
  <c r="R4625"/>
  <c r="S4625"/>
  <c r="T4625"/>
  <c r="U4625"/>
  <c r="V4625"/>
  <c r="W4625"/>
  <c r="X4625"/>
  <c r="Y4625"/>
  <c r="AA4625"/>
  <c r="AB4625"/>
  <c r="AC4625"/>
  <c r="AD4625"/>
  <c r="P4626"/>
  <c r="Q4626"/>
  <c r="R4626"/>
  <c r="S4626"/>
  <c r="T4626"/>
  <c r="U4626"/>
  <c r="V4626"/>
  <c r="W4626"/>
  <c r="X4626"/>
  <c r="Y4626"/>
  <c r="AA4626"/>
  <c r="AB4626"/>
  <c r="AC4626"/>
  <c r="AD4626"/>
  <c r="P4627"/>
  <c r="Q4627"/>
  <c r="R4627"/>
  <c r="S4627"/>
  <c r="T4627"/>
  <c r="U4627"/>
  <c r="V4627"/>
  <c r="W4627"/>
  <c r="X4627"/>
  <c r="Y4627"/>
  <c r="AA4627"/>
  <c r="AB4627"/>
  <c r="AC4627"/>
  <c r="AD4627"/>
  <c r="P4628"/>
  <c r="Q4628"/>
  <c r="R4628"/>
  <c r="S4628"/>
  <c r="T4628"/>
  <c r="U4628"/>
  <c r="V4628"/>
  <c r="W4628"/>
  <c r="X4628"/>
  <c r="Y4628"/>
  <c r="AA4628"/>
  <c r="AB4628"/>
  <c r="AC4628"/>
  <c r="AD4628"/>
  <c r="P4629"/>
  <c r="Q4629"/>
  <c r="R4629"/>
  <c r="S4629"/>
  <c r="T4629"/>
  <c r="U4629"/>
  <c r="V4629"/>
  <c r="W4629"/>
  <c r="X4629"/>
  <c r="Y4629"/>
  <c r="AA4629"/>
  <c r="AB4629"/>
  <c r="AC4629"/>
  <c r="AD4629"/>
  <c r="P4630"/>
  <c r="Q4630"/>
  <c r="R4630"/>
  <c r="S4630"/>
  <c r="T4630"/>
  <c r="U4630"/>
  <c r="V4630"/>
  <c r="W4630"/>
  <c r="X4630"/>
  <c r="Y4630"/>
  <c r="AA4630"/>
  <c r="AB4630"/>
  <c r="AC4630"/>
  <c r="AD4630"/>
  <c r="P4631"/>
  <c r="Q4631"/>
  <c r="R4631"/>
  <c r="S4631"/>
  <c r="T4631"/>
  <c r="U4631"/>
  <c r="V4631"/>
  <c r="W4631"/>
  <c r="X4631"/>
  <c r="Y4631"/>
  <c r="AA4631"/>
  <c r="AB4631"/>
  <c r="AC4631"/>
  <c r="AD4631"/>
  <c r="P4632"/>
  <c r="Q4632"/>
  <c r="R4632"/>
  <c r="S4632"/>
  <c r="T4632"/>
  <c r="U4632"/>
  <c r="V4632"/>
  <c r="W4632"/>
  <c r="X4632"/>
  <c r="Y4632"/>
  <c r="AA4632"/>
  <c r="AB4632"/>
  <c r="AC4632"/>
  <c r="AD4632"/>
  <c r="P4633"/>
  <c r="Q4633"/>
  <c r="R4633"/>
  <c r="S4633"/>
  <c r="T4633"/>
  <c r="U4633"/>
  <c r="V4633"/>
  <c r="W4633"/>
  <c r="X4633"/>
  <c r="Y4633"/>
  <c r="AA4633"/>
  <c r="AB4633"/>
  <c r="AC4633"/>
  <c r="AD4633"/>
  <c r="P4634"/>
  <c r="Q4634"/>
  <c r="R4634"/>
  <c r="S4634"/>
  <c r="T4634"/>
  <c r="U4634"/>
  <c r="V4634"/>
  <c r="W4634"/>
  <c r="X4634"/>
  <c r="Y4634"/>
  <c r="AA4634"/>
  <c r="AB4634"/>
  <c r="AC4634"/>
  <c r="AD4634"/>
  <c r="P4635"/>
  <c r="Q4635"/>
  <c r="R4635"/>
  <c r="S4635"/>
  <c r="T4635"/>
  <c r="U4635"/>
  <c r="V4635"/>
  <c r="W4635"/>
  <c r="X4635"/>
  <c r="Y4635"/>
  <c r="AA4635"/>
  <c r="AB4635"/>
  <c r="AC4635"/>
  <c r="AD4635"/>
  <c r="P4636"/>
  <c r="Q4636"/>
  <c r="R4636"/>
  <c r="S4636"/>
  <c r="T4636"/>
  <c r="U4636"/>
  <c r="V4636"/>
  <c r="W4636"/>
  <c r="X4636"/>
  <c r="Y4636"/>
  <c r="AA4636"/>
  <c r="AB4636"/>
  <c r="AC4636"/>
  <c r="AD4636"/>
  <c r="P4637"/>
  <c r="Q4637"/>
  <c r="R4637"/>
  <c r="S4637"/>
  <c r="T4637"/>
  <c r="U4637"/>
  <c r="V4637"/>
  <c r="W4637"/>
  <c r="X4637"/>
  <c r="Y4637"/>
  <c r="AA4637"/>
  <c r="AB4637"/>
  <c r="AC4637"/>
  <c r="AD4637"/>
  <c r="P4638"/>
  <c r="Q4638"/>
  <c r="R4638"/>
  <c r="S4638"/>
  <c r="T4638"/>
  <c r="U4638"/>
  <c r="V4638"/>
  <c r="W4638"/>
  <c r="X4638"/>
  <c r="Y4638"/>
  <c r="AA4638"/>
  <c r="AB4638"/>
  <c r="AC4638"/>
  <c r="AD4638"/>
  <c r="P4639"/>
  <c r="Q4639"/>
  <c r="R4639"/>
  <c r="S4639"/>
  <c r="T4639"/>
  <c r="U4639"/>
  <c r="V4639"/>
  <c r="W4639"/>
  <c r="X4639"/>
  <c r="Y4639"/>
  <c r="AA4639"/>
  <c r="AB4639"/>
  <c r="AC4639"/>
  <c r="AD4639"/>
  <c r="P4640"/>
  <c r="Q4640"/>
  <c r="R4640"/>
  <c r="S4640"/>
  <c r="T4640"/>
  <c r="U4640"/>
  <c r="V4640"/>
  <c r="W4640"/>
  <c r="X4640"/>
  <c r="Y4640"/>
  <c r="AA4640"/>
  <c r="AB4640"/>
  <c r="AC4640"/>
  <c r="AD4640"/>
  <c r="P4641"/>
  <c r="Q4641"/>
  <c r="R4641"/>
  <c r="S4641"/>
  <c r="T4641"/>
  <c r="U4641"/>
  <c r="V4641"/>
  <c r="W4641"/>
  <c r="X4641"/>
  <c r="Y4641"/>
  <c r="AA4641"/>
  <c r="AB4641"/>
  <c r="AC4641"/>
  <c r="AD4641"/>
  <c r="P4642"/>
  <c r="Q4642"/>
  <c r="R4642"/>
  <c r="S4642"/>
  <c r="T4642"/>
  <c r="U4642"/>
  <c r="V4642"/>
  <c r="W4642"/>
  <c r="X4642"/>
  <c r="Y4642"/>
  <c r="AA4642"/>
  <c r="AB4642"/>
  <c r="AC4642"/>
  <c r="AD4642"/>
  <c r="J13" i="14"/>
  <c r="I13"/>
  <c r="P4643" i="34"/>
  <c r="T4643"/>
  <c r="U4643"/>
  <c r="V4643"/>
  <c r="W4643"/>
  <c r="Y4643"/>
  <c r="AB4643"/>
  <c r="AC4643"/>
  <c r="AD4643"/>
  <c r="P4644"/>
  <c r="T4644"/>
  <c r="U4644"/>
  <c r="V4644"/>
  <c r="W4644"/>
  <c r="Y4644"/>
  <c r="AB4644"/>
  <c r="AC4644"/>
  <c r="AD4644"/>
  <c r="I18" i="71" l="1"/>
  <c r="H18"/>
  <c r="H19" s="1"/>
  <c r="O16" i="63"/>
  <c r="N16"/>
  <c r="M16"/>
  <c r="L16"/>
  <c r="C3651" i="34"/>
  <c r="A21" i="62"/>
  <c r="I19" i="71" l="1"/>
  <c r="I20" s="1"/>
  <c r="H20"/>
  <c r="H21" s="1"/>
  <c r="A6" i="42"/>
  <c r="I21" i="71" l="1"/>
  <c r="I22" s="1"/>
  <c r="E2339" i="34"/>
  <c r="B2339"/>
  <c r="A89" i="12"/>
  <c r="A90"/>
  <c r="A91"/>
  <c r="A92"/>
  <c r="A93"/>
  <c r="A94"/>
  <c r="A95"/>
  <c r="A96"/>
  <c r="A97"/>
  <c r="A98"/>
  <c r="H22" i="71" l="1"/>
  <c r="H23" s="1"/>
  <c r="A2339" i="34"/>
  <c r="E2352"/>
  <c r="E2349"/>
  <c r="E2279"/>
  <c r="E2343"/>
  <c r="E2342"/>
  <c r="E2338"/>
  <c r="E2336"/>
  <c r="E2335"/>
  <c r="E2332"/>
  <c r="E2331"/>
  <c r="E2330"/>
  <c r="E2355"/>
  <c r="E2354"/>
  <c r="E2353"/>
  <c r="E2351"/>
  <c r="E2350"/>
  <c r="E2348"/>
  <c r="E2347"/>
  <c r="E2346"/>
  <c r="E2344"/>
  <c r="E2341"/>
  <c r="E2340"/>
  <c r="I23" i="71" l="1"/>
  <c r="I24" s="1"/>
  <c r="A6" i="12"/>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5"/>
  <c r="H24" i="71" l="1"/>
  <c r="H25" s="1"/>
  <c r="M3651" i="34"/>
  <c r="I25" i="71" l="1"/>
  <c r="I26" s="1"/>
  <c r="B3651" i="34"/>
  <c r="H26" i="71" l="1"/>
  <c r="H27" s="1"/>
  <c r="A3651" i="34"/>
  <c r="M634"/>
  <c r="M531"/>
  <c r="M706"/>
  <c r="M604"/>
  <c r="M657"/>
  <c r="M681"/>
  <c r="M679"/>
  <c r="M669"/>
  <c r="M677"/>
  <c r="M700"/>
  <c r="M554"/>
  <c r="M527"/>
  <c r="M449"/>
  <c r="M439"/>
  <c r="M447"/>
  <c r="M441"/>
  <c r="M437"/>
  <c r="M431"/>
  <c r="I27" i="71" l="1"/>
  <c r="I28" s="1"/>
  <c r="M4161" i="34"/>
  <c r="E4161"/>
  <c r="B4161"/>
  <c r="L4105"/>
  <c r="L4097"/>
  <c r="L4129"/>
  <c r="H28" i="71" l="1"/>
  <c r="H29" s="1"/>
  <c r="A4161" i="34"/>
  <c r="I29" i="71" l="1"/>
  <c r="I30" s="1"/>
  <c r="L4399" i="34"/>
  <c r="L4607"/>
  <c r="H30" i="71" l="1"/>
  <c r="H31" s="1"/>
  <c r="E4606" i="34"/>
  <c r="B4606"/>
  <c r="M4615"/>
  <c r="E4615"/>
  <c r="B4615"/>
  <c r="A19" i="45"/>
  <c r="A17"/>
  <c r="A7"/>
  <c r="A5"/>
  <c r="A6"/>
  <c r="L4416" i="34"/>
  <c r="E4451"/>
  <c r="B4451"/>
  <c r="M4456"/>
  <c r="E4456"/>
  <c r="B4456"/>
  <c r="E4397"/>
  <c r="B4397"/>
  <c r="M4407"/>
  <c r="E4407"/>
  <c r="B4407"/>
  <c r="I31" i="71" l="1"/>
  <c r="I32" s="1"/>
  <c r="A4397" i="34"/>
  <c r="A4606"/>
  <c r="A4456"/>
  <c r="A4407"/>
  <c r="A4615"/>
  <c r="A4451"/>
  <c r="H32" i="71" l="1"/>
  <c r="H33" s="1"/>
  <c r="E4318" i="34"/>
  <c r="B4318"/>
  <c r="E4393"/>
  <c r="B4393"/>
  <c r="L4414"/>
  <c r="L4335"/>
  <c r="I33" i="71" l="1"/>
  <c r="I34" s="1"/>
  <c r="A4393" i="34"/>
  <c r="A4318"/>
  <c r="H34" i="71" l="1"/>
  <c r="H35" s="1"/>
  <c r="E1182" i="34"/>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115"/>
  <c r="E1116"/>
  <c r="E1132"/>
  <c r="E1535"/>
  <c r="E1536"/>
  <c r="E1538"/>
  <c r="E1539"/>
  <c r="E1540"/>
  <c r="E1541"/>
  <c r="E1543"/>
  <c r="E1545"/>
  <c r="E1687"/>
  <c r="E4641"/>
  <c r="B4641"/>
  <c r="E4617"/>
  <c r="B4617"/>
  <c r="E4601"/>
  <c r="B4601"/>
  <c r="E4592"/>
  <c r="B4592"/>
  <c r="E4574"/>
  <c r="B4574"/>
  <c r="E4559"/>
  <c r="B4559"/>
  <c r="E4552"/>
  <c r="B4552"/>
  <c r="E4526"/>
  <c r="B4526"/>
  <c r="E4515"/>
  <c r="B4515"/>
  <c r="E4504"/>
  <c r="B4504"/>
  <c r="E4079"/>
  <c r="B4079"/>
  <c r="E4068"/>
  <c r="B4068"/>
  <c r="E4146"/>
  <c r="B4146"/>
  <c r="E4114"/>
  <c r="B4114"/>
  <c r="E4111"/>
  <c r="B4111"/>
  <c r="E4093"/>
  <c r="B4093"/>
  <c r="E4080"/>
  <c r="B4080"/>
  <c r="E4069"/>
  <c r="B4069"/>
  <c r="E3923"/>
  <c r="B3923"/>
  <c r="E3916"/>
  <c r="B3916"/>
  <c r="E3911"/>
  <c r="B3911"/>
  <c r="E3896"/>
  <c r="B3896"/>
  <c r="E3893"/>
  <c r="B3893"/>
  <c r="E3862"/>
  <c r="B3862"/>
  <c r="E3858"/>
  <c r="B3858"/>
  <c r="E3848"/>
  <c r="B3848"/>
  <c r="E3831"/>
  <c r="B3831"/>
  <c r="E3740"/>
  <c r="B3740"/>
  <c r="E3727"/>
  <c r="B3727"/>
  <c r="E3718"/>
  <c r="B3718"/>
  <c r="E3704"/>
  <c r="B3704"/>
  <c r="E3700"/>
  <c r="B3700"/>
  <c r="I35" i="71" l="1"/>
  <c r="I36" s="1"/>
  <c r="H36"/>
  <c r="H37" s="1"/>
  <c r="A4601" i="34"/>
  <c r="A4515"/>
  <c r="A4552"/>
  <c r="A4574"/>
  <c r="A4641"/>
  <c r="A4504"/>
  <c r="A4526"/>
  <c r="A4559"/>
  <c r="A4592"/>
  <c r="A4617"/>
  <c r="A4079"/>
  <c r="A4068"/>
  <c r="A4146"/>
  <c r="A4111"/>
  <c r="A4080"/>
  <c r="A4069"/>
  <c r="A4093"/>
  <c r="A4114"/>
  <c r="A3848"/>
  <c r="A3862"/>
  <c r="A3916"/>
  <c r="A3896"/>
  <c r="A3831"/>
  <c r="A3858"/>
  <c r="A3893"/>
  <c r="A3911"/>
  <c r="A3923"/>
  <c r="A3727"/>
  <c r="A3704"/>
  <c r="A3700"/>
  <c r="A3718"/>
  <c r="A3740"/>
  <c r="I37" i="71" l="1"/>
  <c r="I38" s="1"/>
  <c r="E4460" i="34"/>
  <c r="B4460"/>
  <c r="H38" i="71" l="1"/>
  <c r="H39" s="1"/>
  <c r="A4460" i="34"/>
  <c r="M630"/>
  <c r="M557"/>
  <c r="M553"/>
  <c r="M492"/>
  <c r="M483"/>
  <c r="M484"/>
  <c r="M448"/>
  <c r="M446"/>
  <c r="M438"/>
  <c r="M436"/>
  <c r="M451"/>
  <c r="M671"/>
  <c r="M678"/>
  <c r="M667"/>
  <c r="I39" i="71" l="1"/>
  <c r="I40" s="1"/>
  <c r="M63" i="34"/>
  <c r="M60"/>
  <c r="M57"/>
  <c r="M54"/>
  <c r="M51"/>
  <c r="M48"/>
  <c r="M45"/>
  <c r="H40" i="71" l="1"/>
  <c r="H41" s="1"/>
  <c r="G18" i="64"/>
  <c r="G17"/>
  <c r="J17"/>
  <c r="L17" s="1"/>
  <c r="I41" i="71" l="1"/>
  <c r="I42" s="1"/>
  <c r="H42"/>
  <c r="H43" s="1"/>
  <c r="M550" i="34"/>
  <c r="M544"/>
  <c r="M517"/>
  <c r="I43" i="71" l="1"/>
  <c r="I44" s="1"/>
  <c r="B4369" i="34"/>
  <c r="E4369"/>
  <c r="H44" i="71" l="1"/>
  <c r="H45" s="1"/>
  <c r="A4369" i="34"/>
  <c r="E246"/>
  <c r="B246"/>
  <c r="E245"/>
  <c r="B245"/>
  <c r="E244"/>
  <c r="B244"/>
  <c r="E243"/>
  <c r="B243"/>
  <c r="E228"/>
  <c r="B228"/>
  <c r="E213"/>
  <c r="B213"/>
  <c r="B214"/>
  <c r="E214"/>
  <c r="E198"/>
  <c r="B198"/>
  <c r="E183"/>
  <c r="B183"/>
  <c r="E168"/>
  <c r="B168"/>
  <c r="E153"/>
  <c r="B153"/>
  <c r="E138"/>
  <c r="B138"/>
  <c r="E123"/>
  <c r="B123"/>
  <c r="E108"/>
  <c r="B108"/>
  <c r="E93"/>
  <c r="B93"/>
  <c r="E78"/>
  <c r="B78"/>
  <c r="I45" i="71" l="1"/>
  <c r="I46" s="1"/>
  <c r="H46"/>
  <c r="H47" s="1"/>
  <c r="A214" i="34"/>
  <c r="A245"/>
  <c r="A246"/>
  <c r="A244"/>
  <c r="A213"/>
  <c r="A228"/>
  <c r="A198"/>
  <c r="A243"/>
  <c r="A78"/>
  <c r="A168"/>
  <c r="A123"/>
  <c r="A183"/>
  <c r="A153"/>
  <c r="A138"/>
  <c r="A108"/>
  <c r="A93"/>
  <c r="I47" i="71" l="1"/>
  <c r="I48" s="1"/>
  <c r="E77" i="55"/>
  <c r="H48" i="71" l="1"/>
  <c r="H49" s="1"/>
  <c r="B4053" i="34"/>
  <c r="B4458"/>
  <c r="B4472"/>
  <c r="B4500"/>
  <c r="B4511"/>
  <c r="B4551"/>
  <c r="B4557"/>
  <c r="B4524"/>
  <c r="B4558"/>
  <c r="B4571"/>
  <c r="B4595"/>
  <c r="B1100"/>
  <c r="B1101"/>
  <c r="B1102"/>
  <c r="B1103"/>
  <c r="B1104"/>
  <c r="B1105"/>
  <c r="B1106"/>
  <c r="B1107"/>
  <c r="B1108"/>
  <c r="B1109"/>
  <c r="B1110"/>
  <c r="B1111"/>
  <c r="B1112"/>
  <c r="B1113"/>
  <c r="B2537"/>
  <c r="B1114"/>
  <c r="B2624"/>
  <c r="B1117"/>
  <c r="B1118"/>
  <c r="B1119"/>
  <c r="B1120"/>
  <c r="B1121"/>
  <c r="B1122"/>
  <c r="B1123"/>
  <c r="B1124"/>
  <c r="B1125"/>
  <c r="B1126"/>
  <c r="B1127"/>
  <c r="B1128"/>
  <c r="B1129"/>
  <c r="B1130"/>
  <c r="B1131"/>
  <c r="B4517"/>
  <c r="E4517"/>
  <c r="M4527"/>
  <c r="M4482"/>
  <c r="B1852"/>
  <c r="B4482"/>
  <c r="B4527"/>
  <c r="E4482"/>
  <c r="E4527"/>
  <c r="M1816"/>
  <c r="E1816"/>
  <c r="B1816"/>
  <c r="M1815"/>
  <c r="E1815"/>
  <c r="B1815"/>
  <c r="M1814"/>
  <c r="E1814"/>
  <c r="B1814"/>
  <c r="M1813"/>
  <c r="E1813"/>
  <c r="B1813"/>
  <c r="M1812"/>
  <c r="E1812"/>
  <c r="B1812"/>
  <c r="M1811"/>
  <c r="E1811"/>
  <c r="B1811"/>
  <c r="M1810"/>
  <c r="E1810"/>
  <c r="B1810"/>
  <c r="M1809"/>
  <c r="E1809"/>
  <c r="B1809"/>
  <c r="I49" i="71" l="1"/>
  <c r="I50" s="1"/>
  <c r="H50"/>
  <c r="H51" s="1"/>
  <c r="B4476" i="34"/>
  <c r="E4476"/>
  <c r="I51" i="71" l="1"/>
  <c r="I52" s="1"/>
  <c r="A4476" i="34"/>
  <c r="M701"/>
  <c r="M676"/>
  <c r="M566"/>
  <c r="M567"/>
  <c r="B565"/>
  <c r="B566"/>
  <c r="B567"/>
  <c r="E566"/>
  <c r="E567"/>
  <c r="M703"/>
  <c r="E703"/>
  <c r="B703"/>
  <c r="M699"/>
  <c r="M702"/>
  <c r="E702"/>
  <c r="B702"/>
  <c r="E701"/>
  <c r="B701"/>
  <c r="E700"/>
  <c r="B700"/>
  <c r="E699"/>
  <c r="B699"/>
  <c r="V323" i="60"/>
  <c r="L315" s="1"/>
  <c r="D314"/>
  <c r="D315"/>
  <c r="G315" s="1"/>
  <c r="D316"/>
  <c r="B4638" i="34"/>
  <c r="E4638"/>
  <c r="M13"/>
  <c r="B4364"/>
  <c r="M4355"/>
  <c r="B4355"/>
  <c r="M4338"/>
  <c r="B4338"/>
  <c r="M4329"/>
  <c r="B4329"/>
  <c r="M4309"/>
  <c r="B4309"/>
  <c r="M4306"/>
  <c r="B4306"/>
  <c r="E4613"/>
  <c r="B4613"/>
  <c r="E4418"/>
  <c r="B4418"/>
  <c r="E4403"/>
  <c r="B4403"/>
  <c r="M10"/>
  <c r="E4229"/>
  <c r="B4229"/>
  <c r="E4228"/>
  <c r="B4228"/>
  <c r="E3390"/>
  <c r="B3390"/>
  <c r="E3389"/>
  <c r="B3389"/>
  <c r="E3159"/>
  <c r="B3159"/>
  <c r="E3158"/>
  <c r="B3158"/>
  <c r="E4488"/>
  <c r="B4488"/>
  <c r="E4487"/>
  <c r="B4487"/>
  <c r="H52" i="71" l="1"/>
  <c r="H53" s="1"/>
  <c r="A4638" i="34"/>
  <c r="A4403"/>
  <c r="A4418"/>
  <c r="A4613"/>
  <c r="A703"/>
  <c r="A699"/>
  <c r="A700"/>
  <c r="A701"/>
  <c r="A702"/>
  <c r="A4306"/>
  <c r="A4355"/>
  <c r="A4329"/>
  <c r="A4309"/>
  <c r="A4338"/>
  <c r="A4364"/>
  <c r="A4228"/>
  <c r="A4229"/>
  <c r="A3389"/>
  <c r="A3390"/>
  <c r="A3158"/>
  <c r="A3159"/>
  <c r="A4487"/>
  <c r="A4488"/>
  <c r="I53" i="71" l="1"/>
  <c r="I54" s="1"/>
  <c r="M552" i="34"/>
  <c r="M546"/>
  <c r="B55" i="55"/>
  <c r="A55" s="1"/>
  <c r="M503" i="34"/>
  <c r="M496"/>
  <c r="M498"/>
  <c r="M495"/>
  <c r="M493"/>
  <c r="M459"/>
  <c r="B4608"/>
  <c r="E4608"/>
  <c r="B4264"/>
  <c r="E4264"/>
  <c r="B4177"/>
  <c r="E4177"/>
  <c r="B4562"/>
  <c r="E4562"/>
  <c r="E4468"/>
  <c r="B4468"/>
  <c r="B4395"/>
  <c r="E4395"/>
  <c r="B4094"/>
  <c r="E4094"/>
  <c r="B388"/>
  <c r="E388"/>
  <c r="B377"/>
  <c r="E377"/>
  <c r="B2278"/>
  <c r="B2285"/>
  <c r="B2301"/>
  <c r="B2194"/>
  <c r="B2248"/>
  <c r="B1574"/>
  <c r="B2265"/>
  <c r="B2264"/>
  <c r="H54" i="71" l="1"/>
  <c r="H55" s="1"/>
  <c r="A377" i="34"/>
  <c r="A388"/>
  <c r="A4094"/>
  <c r="A4395"/>
  <c r="A4562"/>
  <c r="A4177"/>
  <c r="A4264"/>
  <c r="A4608"/>
  <c r="A4468"/>
  <c r="E3884"/>
  <c r="E4056"/>
  <c r="B4056"/>
  <c r="B3884"/>
  <c r="B4605"/>
  <c r="E4605"/>
  <c r="M4605"/>
  <c r="B4263"/>
  <c r="E4263"/>
  <c r="M4263"/>
  <c r="B4176"/>
  <c r="E4176"/>
  <c r="M4176"/>
  <c r="M4561"/>
  <c r="E4561"/>
  <c r="B4561"/>
  <c r="M4566"/>
  <c r="E4566"/>
  <c r="B4566"/>
  <c r="M4481"/>
  <c r="E4481"/>
  <c r="B4481"/>
  <c r="M4463"/>
  <c r="E4463"/>
  <c r="B4463"/>
  <c r="M4494"/>
  <c r="E4494"/>
  <c r="B4494"/>
  <c r="M4461"/>
  <c r="E4461"/>
  <c r="B4461"/>
  <c r="B4469"/>
  <c r="E4469"/>
  <c r="M4469"/>
  <c r="B4394"/>
  <c r="E4394"/>
  <c r="M4394"/>
  <c r="E4376"/>
  <c r="B4376"/>
  <c r="E4053"/>
  <c r="M3617"/>
  <c r="E3617"/>
  <c r="B3617"/>
  <c r="E3397"/>
  <c r="B3397"/>
  <c r="M1089"/>
  <c r="E1089"/>
  <c r="B1089"/>
  <c r="E1088"/>
  <c r="B1088"/>
  <c r="M1087"/>
  <c r="E1087"/>
  <c r="B1087"/>
  <c r="E1086"/>
  <c r="B1086"/>
  <c r="M1085"/>
  <c r="E1085"/>
  <c r="B1085"/>
  <c r="E1084"/>
  <c r="B1084"/>
  <c r="M1083"/>
  <c r="E1083"/>
  <c r="B1083"/>
  <c r="E1082"/>
  <c r="B1082"/>
  <c r="M1081"/>
  <c r="E1081"/>
  <c r="B1081"/>
  <c r="E4373"/>
  <c r="E3953"/>
  <c r="I55" i="71" l="1"/>
  <c r="I56" s="1"/>
  <c r="H56"/>
  <c r="H57" s="1"/>
  <c r="A4394" i="34"/>
  <c r="A4176"/>
  <c r="A4605"/>
  <c r="A4469"/>
  <c r="A4263"/>
  <c r="A4463"/>
  <c r="A4056"/>
  <c r="A3884"/>
  <c r="A4566"/>
  <c r="A4561"/>
  <c r="A4481"/>
  <c r="A4494"/>
  <c r="A4461"/>
  <c r="A4376"/>
  <c r="A1083"/>
  <c r="A1084"/>
  <c r="A1087"/>
  <c r="A1088"/>
  <c r="A3617"/>
  <c r="A4053"/>
  <c r="A1085"/>
  <c r="A1086"/>
  <c r="A1089"/>
  <c r="A3397"/>
  <c r="A1081"/>
  <c r="A1082"/>
  <c r="I57" i="71" l="1"/>
  <c r="I58" s="1"/>
  <c r="E1100" i="34"/>
  <c r="E1101"/>
  <c r="E1102"/>
  <c r="E1103"/>
  <c r="E1104"/>
  <c r="E1105"/>
  <c r="E1106"/>
  <c r="E1107"/>
  <c r="E1108"/>
  <c r="E1109"/>
  <c r="E1110"/>
  <c r="E1111"/>
  <c r="E1112"/>
  <c r="E1113"/>
  <c r="E2537"/>
  <c r="E1114"/>
  <c r="E2624"/>
  <c r="E1117"/>
  <c r="E1118"/>
  <c r="E1119"/>
  <c r="E1120"/>
  <c r="E1121"/>
  <c r="E1122"/>
  <c r="E1123"/>
  <c r="E1124"/>
  <c r="E1125"/>
  <c r="E1126"/>
  <c r="E1127"/>
  <c r="E1128"/>
  <c r="E1129"/>
  <c r="E1130"/>
  <c r="E1131"/>
  <c r="E2225"/>
  <c r="E2261"/>
  <c r="E2247"/>
  <c r="E2281"/>
  <c r="E1597"/>
  <c r="E1585"/>
  <c r="E1603"/>
  <c r="E1583"/>
  <c r="E1610"/>
  <c r="E1608"/>
  <c r="E1611"/>
  <c r="E1591"/>
  <c r="E1605"/>
  <c r="E1609"/>
  <c r="E1619"/>
  <c r="E1593"/>
  <c r="E1615"/>
  <c r="E1606"/>
  <c r="E1604"/>
  <c r="E1617"/>
  <c r="E2260"/>
  <c r="E2306"/>
  <c r="E2303"/>
  <c r="E2202"/>
  <c r="E1602"/>
  <c r="E1618"/>
  <c r="E1614"/>
  <c r="E1612"/>
  <c r="E2304"/>
  <c r="E2235"/>
  <c r="E2305"/>
  <c r="E1622"/>
  <c r="E1613"/>
  <c r="E1627"/>
  <c r="E1607"/>
  <c r="E1629"/>
  <c r="E1628"/>
  <c r="E1623"/>
  <c r="E1620"/>
  <c r="E1621"/>
  <c r="E1630"/>
  <c r="E1639"/>
  <c r="E1635"/>
  <c r="E1616"/>
  <c r="E1638"/>
  <c r="E1633"/>
  <c r="E1624"/>
  <c r="E1625"/>
  <c r="E1634"/>
  <c r="E1654"/>
  <c r="E1641"/>
  <c r="E1626"/>
  <c r="E1653"/>
  <c r="E1652"/>
  <c r="E1662"/>
  <c r="E1667"/>
  <c r="E1636"/>
  <c r="E1669"/>
  <c r="E1640"/>
  <c r="E1631"/>
  <c r="E1632"/>
  <c r="E1661"/>
  <c r="E1724"/>
  <c r="E1665"/>
  <c r="E1666"/>
  <c r="E1717"/>
  <c r="E1651"/>
  <c r="E1660"/>
  <c r="E1637"/>
  <c r="E1671"/>
  <c r="E1721"/>
  <c r="E1718"/>
  <c r="E1732"/>
  <c r="E1725"/>
  <c r="E1719"/>
  <c r="E1659"/>
  <c r="E2205"/>
  <c r="E1664"/>
  <c r="E1727"/>
  <c r="E1663"/>
  <c r="E1729"/>
  <c r="E1672"/>
  <c r="E1726"/>
  <c r="E1738"/>
  <c r="E2212"/>
  <c r="E1733"/>
  <c r="E1668"/>
  <c r="E1670"/>
  <c r="E2266"/>
  <c r="E1720"/>
  <c r="E1739"/>
  <c r="E1722"/>
  <c r="E1736"/>
  <c r="E1748"/>
  <c r="E1723"/>
  <c r="E1728"/>
  <c r="E2280"/>
  <c r="E2284"/>
  <c r="E1678"/>
  <c r="E1675"/>
  <c r="E1673"/>
  <c r="E2292"/>
  <c r="E2316"/>
  <c r="E2295"/>
  <c r="E2254"/>
  <c r="E1731"/>
  <c r="E2207"/>
  <c r="E1742"/>
  <c r="E1760"/>
  <c r="E2319"/>
  <c r="E2317"/>
  <c r="E2315"/>
  <c r="E2318"/>
  <c r="E1730"/>
  <c r="E2271"/>
  <c r="E1745"/>
  <c r="E1752"/>
  <c r="E2210"/>
  <c r="E1737"/>
  <c r="E2217"/>
  <c r="E1766"/>
  <c r="E1772"/>
  <c r="E2222"/>
  <c r="E2286"/>
  <c r="E1759"/>
  <c r="E2267"/>
  <c r="E2274"/>
  <c r="E1674"/>
  <c r="E1754"/>
  <c r="E1755"/>
  <c r="E2259"/>
  <c r="E2302"/>
  <c r="E1753"/>
  <c r="M1118"/>
  <c r="A1118"/>
  <c r="H58" i="71" l="1"/>
  <c r="H59" s="1"/>
  <c r="M4517" i="34"/>
  <c r="A4517"/>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4525"/>
  <c r="M4577"/>
  <c r="M602"/>
  <c r="M4244"/>
  <c r="M599"/>
  <c r="M4422"/>
  <c r="M4025"/>
  <c r="M4213"/>
  <c r="M4428"/>
  <c r="M594"/>
  <c r="M593"/>
  <c r="M3823"/>
  <c r="M590"/>
  <c r="M589"/>
  <c r="M3604"/>
  <c r="M622"/>
  <c r="M4247"/>
  <c r="M4275"/>
  <c r="M583"/>
  <c r="M582"/>
  <c r="M3471"/>
  <c r="M579"/>
  <c r="M578"/>
  <c r="M3253"/>
  <c r="M609"/>
  <c r="M575"/>
  <c r="M573"/>
  <c r="M572"/>
  <c r="M4250"/>
  <c r="M612"/>
  <c r="M595"/>
  <c r="M596"/>
  <c r="M565"/>
  <c r="M564"/>
  <c r="M563"/>
  <c r="M562"/>
  <c r="M561"/>
  <c r="M560"/>
  <c r="M559"/>
  <c r="M558"/>
  <c r="M556"/>
  <c r="M555"/>
  <c r="M551"/>
  <c r="M549"/>
  <c r="M548"/>
  <c r="M547"/>
  <c r="M545"/>
  <c r="M543"/>
  <c r="M542"/>
  <c r="M541"/>
  <c r="M540"/>
  <c r="M539"/>
  <c r="M538"/>
  <c r="M537"/>
  <c r="M536"/>
  <c r="M535"/>
  <c r="M534"/>
  <c r="M533"/>
  <c r="M532"/>
  <c r="M576"/>
  <c r="M569"/>
  <c r="M528"/>
  <c r="M525"/>
  <c r="M530"/>
  <c r="M522"/>
  <c r="M521"/>
  <c r="M520"/>
  <c r="M519"/>
  <c r="M518"/>
  <c r="M516"/>
  <c r="M515"/>
  <c r="M514"/>
  <c r="M513"/>
  <c r="M1853"/>
  <c r="M511"/>
  <c r="M510"/>
  <c r="M509"/>
  <c r="M508"/>
  <c r="M507"/>
  <c r="M1712"/>
  <c r="M505"/>
  <c r="M504"/>
  <c r="M502"/>
  <c r="M501"/>
  <c r="M500"/>
  <c r="M499"/>
  <c r="M1544"/>
  <c r="M1533"/>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636"/>
  <c r="E4636"/>
  <c r="B4637"/>
  <c r="E4637"/>
  <c r="M982"/>
  <c r="M1122"/>
  <c r="A1122"/>
  <c r="M1121"/>
  <c r="A1121"/>
  <c r="M1117"/>
  <c r="V301" i="60"/>
  <c r="V302"/>
  <c r="M2250" i="34"/>
  <c r="E2250"/>
  <c r="B2250"/>
  <c r="M2277"/>
  <c r="E2277"/>
  <c r="B2277"/>
  <c r="M2251"/>
  <c r="E2251"/>
  <c r="B2251"/>
  <c r="O327" i="60"/>
  <c r="M1710" i="34"/>
  <c r="E1710"/>
  <c r="B1710"/>
  <c r="M1673"/>
  <c r="B1673"/>
  <c r="M1675"/>
  <c r="B1675"/>
  <c r="M1852"/>
  <c r="M1851"/>
  <c r="M1850"/>
  <c r="M1849"/>
  <c r="M1848"/>
  <c r="M1847"/>
  <c r="M1846"/>
  <c r="M1845"/>
  <c r="M1844"/>
  <c r="M1843"/>
  <c r="M1842"/>
  <c r="M1841"/>
  <c r="M1837"/>
  <c r="M1836"/>
  <c r="M1835"/>
  <c r="M1834"/>
  <c r="M1833"/>
  <c r="M1831"/>
  <c r="M1829"/>
  <c r="M1827"/>
  <c r="M1826"/>
  <c r="M234"/>
  <c r="I59" i="71" l="1"/>
  <c r="I60" s="1"/>
  <c r="H60"/>
  <c r="H61" s="1"/>
  <c r="A4637" i="34"/>
  <c r="A4636"/>
  <c r="A1673"/>
  <c r="A1710"/>
  <c r="A1675"/>
  <c r="M1840"/>
  <c r="E1840"/>
  <c r="B1840"/>
  <c r="M1839"/>
  <c r="E1839"/>
  <c r="B1839"/>
  <c r="M2249"/>
  <c r="E2249"/>
  <c r="B2249"/>
  <c r="M1763"/>
  <c r="B1763"/>
  <c r="E1763"/>
  <c r="M1838"/>
  <c r="B1838"/>
  <c r="E1838"/>
  <c r="M2298"/>
  <c r="E2298"/>
  <c r="B2298"/>
  <c r="M2345"/>
  <c r="E2345"/>
  <c r="B2345"/>
  <c r="M2300"/>
  <c r="E2300"/>
  <c r="B2300"/>
  <c r="M1817"/>
  <c r="M1818"/>
  <c r="M1819"/>
  <c r="M1820"/>
  <c r="M1821"/>
  <c r="M1822"/>
  <c r="M1823"/>
  <c r="E1817"/>
  <c r="E1818"/>
  <c r="E1819"/>
  <c r="E1820"/>
  <c r="E1821"/>
  <c r="E1822"/>
  <c r="E1823"/>
  <c r="B2274"/>
  <c r="B1674"/>
  <c r="B1754"/>
  <c r="B1755"/>
  <c r="B2259"/>
  <c r="B2302"/>
  <c r="B1753"/>
  <c r="B1817"/>
  <c r="B1818"/>
  <c r="B1819"/>
  <c r="B1820"/>
  <c r="B1821"/>
  <c r="B1822"/>
  <c r="B1823"/>
  <c r="B2312"/>
  <c r="M1753"/>
  <c r="M2302"/>
  <c r="M2259"/>
  <c r="M1755"/>
  <c r="M1754"/>
  <c r="M1674"/>
  <c r="M2274"/>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3033"/>
  <c r="E3033"/>
  <c r="B3033"/>
  <c r="E1831"/>
  <c r="B1831"/>
  <c r="M2886"/>
  <c r="E2886"/>
  <c r="B2886"/>
  <c r="E1829"/>
  <c r="B1829"/>
  <c r="M2780"/>
  <c r="E2780"/>
  <c r="B2780"/>
  <c r="E1827"/>
  <c r="B1827"/>
  <c r="E1826"/>
  <c r="B1826"/>
  <c r="M1825"/>
  <c r="E1825"/>
  <c r="B1825"/>
  <c r="M2518"/>
  <c r="E2518"/>
  <c r="B2518"/>
  <c r="M2144"/>
  <c r="E2144"/>
  <c r="B2144"/>
  <c r="M2142"/>
  <c r="E2142"/>
  <c r="B2142"/>
  <c r="M2139"/>
  <c r="E2139"/>
  <c r="B2139"/>
  <c r="M2138"/>
  <c r="E2138"/>
  <c r="B2138"/>
  <c r="M2107"/>
  <c r="E2107"/>
  <c r="B2107"/>
  <c r="M2103"/>
  <c r="E2103"/>
  <c r="B2103"/>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854"/>
  <c r="E1854"/>
  <c r="B1854"/>
  <c r="M1694"/>
  <c r="E1694"/>
  <c r="B1694"/>
  <c r="M1693"/>
  <c r="E1693"/>
  <c r="B1693"/>
  <c r="M1828"/>
  <c r="E1828"/>
  <c r="B1828"/>
  <c r="M1691"/>
  <c r="E1691"/>
  <c r="B1691"/>
  <c r="M1688"/>
  <c r="E1688"/>
  <c r="B1688"/>
  <c r="M1716"/>
  <c r="E1716"/>
  <c r="B1716"/>
  <c r="M1686"/>
  <c r="E1686"/>
  <c r="B1686"/>
  <c r="M1684"/>
  <c r="E1684"/>
  <c r="B1684"/>
  <c r="M1695"/>
  <c r="E1695"/>
  <c r="B1695"/>
  <c r="E1852"/>
  <c r="M1679"/>
  <c r="E1679"/>
  <c r="B1679"/>
  <c r="B4320"/>
  <c r="E4320"/>
  <c r="M4320"/>
  <c r="B4513"/>
  <c r="E4513"/>
  <c r="B4514"/>
  <c r="E4514"/>
  <c r="B4293"/>
  <c r="E4293"/>
  <c r="B4294"/>
  <c r="E4294"/>
  <c r="E4304"/>
  <c r="B4304"/>
  <c r="E4303"/>
  <c r="B4303"/>
  <c r="B4295"/>
  <c r="E4295"/>
  <c r="B4296"/>
  <c r="E4296"/>
  <c r="B4358"/>
  <c r="E4358"/>
  <c r="B4359"/>
  <c r="E4359"/>
  <c r="B4445"/>
  <c r="E4445"/>
  <c r="B4446"/>
  <c r="E4446"/>
  <c r="B4291"/>
  <c r="E4291"/>
  <c r="B4292"/>
  <c r="E4292"/>
  <c r="B4357"/>
  <c r="E4357"/>
  <c r="B4356"/>
  <c r="E4356"/>
  <c r="M1687"/>
  <c r="B1687"/>
  <c r="M1545"/>
  <c r="B1545"/>
  <c r="M1543"/>
  <c r="B1543"/>
  <c r="M1541"/>
  <c r="B1541"/>
  <c r="M2312"/>
  <c r="M1782"/>
  <c r="M2288"/>
  <c r="M2307"/>
  <c r="M1769"/>
  <c r="M2309"/>
  <c r="M2206"/>
  <c r="M2220"/>
  <c r="M2321"/>
  <c r="M1792"/>
  <c r="M2314"/>
  <c r="M2323"/>
  <c r="M2211"/>
  <c r="M2327"/>
  <c r="M2213"/>
  <c r="M2269"/>
  <c r="M2322"/>
  <c r="M1734"/>
  <c r="M1735"/>
  <c r="M1798"/>
  <c r="M2293"/>
  <c r="M2275"/>
  <c r="M2223"/>
  <c r="M1740"/>
  <c r="M1741"/>
  <c r="M2209"/>
  <c r="M1743"/>
  <c r="M1744"/>
  <c r="M2294"/>
  <c r="M1746"/>
  <c r="M2311"/>
  <c r="M2290"/>
  <c r="M1749"/>
  <c r="M1750"/>
  <c r="M1751"/>
  <c r="M2221"/>
  <c r="M2320"/>
  <c r="M2308"/>
  <c r="M2310"/>
  <c r="M1762"/>
  <c r="M1765"/>
  <c r="M2270"/>
  <c r="M1767"/>
  <c r="M1768"/>
  <c r="M2324"/>
  <c r="M1770"/>
  <c r="M1771"/>
  <c r="M2326"/>
  <c r="M1773"/>
  <c r="M1774"/>
  <c r="M1775"/>
  <c r="M2276"/>
  <c r="M1777"/>
  <c r="M1778"/>
  <c r="M1779"/>
  <c r="M1780"/>
  <c r="M1781"/>
  <c r="M2287"/>
  <c r="M1783"/>
  <c r="M1784"/>
  <c r="M1785"/>
  <c r="M1786"/>
  <c r="M1787"/>
  <c r="M1788"/>
  <c r="M1789"/>
  <c r="M1790"/>
  <c r="M1791"/>
  <c r="M2313"/>
  <c r="M1793"/>
  <c r="M1794"/>
  <c r="M1795"/>
  <c r="M1796"/>
  <c r="M1797"/>
  <c r="M2325"/>
  <c r="M1799"/>
  <c r="M1800"/>
  <c r="M1801"/>
  <c r="M1802"/>
  <c r="M1803"/>
  <c r="M1804"/>
  <c r="M1805"/>
  <c r="M1806"/>
  <c r="M1807"/>
  <c r="M1808"/>
  <c r="E2312"/>
  <c r="E1782"/>
  <c r="E2288"/>
  <c r="E2307"/>
  <c r="E1769"/>
  <c r="E2309"/>
  <c r="E2206"/>
  <c r="E2220"/>
  <c r="E2321"/>
  <c r="E1792"/>
  <c r="E2314"/>
  <c r="E2323"/>
  <c r="E2211"/>
  <c r="E2327"/>
  <c r="E2213"/>
  <c r="E2269"/>
  <c r="E2322"/>
  <c r="E1734"/>
  <c r="E1735"/>
  <c r="E1798"/>
  <c r="E2293"/>
  <c r="E2275"/>
  <c r="E2223"/>
  <c r="E1740"/>
  <c r="E1741"/>
  <c r="E2209"/>
  <c r="E1743"/>
  <c r="E1744"/>
  <c r="E2294"/>
  <c r="E1746"/>
  <c r="E2311"/>
  <c r="E2290"/>
  <c r="E1749"/>
  <c r="E1750"/>
  <c r="E1751"/>
  <c r="E2221"/>
  <c r="E2320"/>
  <c r="E2308"/>
  <c r="E2310"/>
  <c r="E1762"/>
  <c r="E1765"/>
  <c r="E2270"/>
  <c r="E1767"/>
  <c r="E1768"/>
  <c r="E2324"/>
  <c r="E1770"/>
  <c r="E1771"/>
  <c r="E2326"/>
  <c r="E1773"/>
  <c r="E1774"/>
  <c r="E1775"/>
  <c r="E2276"/>
  <c r="E1777"/>
  <c r="E1778"/>
  <c r="E1779"/>
  <c r="E1780"/>
  <c r="E1781"/>
  <c r="E2287"/>
  <c r="E1783"/>
  <c r="E1784"/>
  <c r="E1785"/>
  <c r="E1786"/>
  <c r="E1787"/>
  <c r="E1788"/>
  <c r="E1789"/>
  <c r="E1790"/>
  <c r="E1791"/>
  <c r="E2313"/>
  <c r="E1793"/>
  <c r="E1794"/>
  <c r="E1795"/>
  <c r="E1796"/>
  <c r="E1797"/>
  <c r="E2325"/>
  <c r="E1799"/>
  <c r="E1800"/>
  <c r="E1801"/>
  <c r="E1802"/>
  <c r="E1803"/>
  <c r="E1804"/>
  <c r="E1805"/>
  <c r="E1806"/>
  <c r="E1807"/>
  <c r="E1808"/>
  <c r="B1782"/>
  <c r="B2288"/>
  <c r="B2307"/>
  <c r="B1769"/>
  <c r="B2309"/>
  <c r="B2206"/>
  <c r="B2220"/>
  <c r="B2321"/>
  <c r="B1792"/>
  <c r="B2314"/>
  <c r="B2323"/>
  <c r="B2211"/>
  <c r="B2327"/>
  <c r="B2213"/>
  <c r="B2269"/>
  <c r="B2322"/>
  <c r="B1734"/>
  <c r="B1735"/>
  <c r="B1798"/>
  <c r="B2293"/>
  <c r="B2275"/>
  <c r="B2223"/>
  <c r="B1740"/>
  <c r="B1741"/>
  <c r="B2209"/>
  <c r="B1743"/>
  <c r="B1744"/>
  <c r="B2294"/>
  <c r="B1746"/>
  <c r="B2311"/>
  <c r="B2290"/>
  <c r="B1749"/>
  <c r="B1750"/>
  <c r="B1751"/>
  <c r="B2221"/>
  <c r="B2320"/>
  <c r="B2308"/>
  <c r="B2310"/>
  <c r="B1762"/>
  <c r="B1765"/>
  <c r="B2270"/>
  <c r="B1767"/>
  <c r="B1768"/>
  <c r="B2324"/>
  <c r="B1770"/>
  <c r="B1771"/>
  <c r="B2326"/>
  <c r="B1773"/>
  <c r="B1774"/>
  <c r="B1775"/>
  <c r="B2276"/>
  <c r="B1777"/>
  <c r="B1778"/>
  <c r="B1779"/>
  <c r="B1780"/>
  <c r="B1781"/>
  <c r="B2287"/>
  <c r="B1783"/>
  <c r="B1784"/>
  <c r="B1785"/>
  <c r="B1786"/>
  <c r="B1787"/>
  <c r="B1788"/>
  <c r="B1789"/>
  <c r="B1790"/>
  <c r="B1791"/>
  <c r="B2313"/>
  <c r="B1793"/>
  <c r="B1794"/>
  <c r="B1795"/>
  <c r="B1796"/>
  <c r="B1797"/>
  <c r="B2325"/>
  <c r="B1799"/>
  <c r="B1800"/>
  <c r="B1801"/>
  <c r="B1802"/>
  <c r="B1803"/>
  <c r="B1804"/>
  <c r="B1805"/>
  <c r="B1806"/>
  <c r="B1807"/>
  <c r="B1808"/>
  <c r="B1855"/>
  <c r="B1856"/>
  <c r="B1857"/>
  <c r="B1902"/>
  <c r="B1903"/>
  <c r="B1860"/>
  <c r="B1861"/>
  <c r="B1862"/>
  <c r="B1863"/>
  <c r="B1864"/>
  <c r="B1865"/>
  <c r="B1866"/>
  <c r="B1867"/>
  <c r="B1868"/>
  <c r="B1869"/>
  <c r="B1870"/>
  <c r="B1871"/>
  <c r="B1872"/>
  <c r="B1873"/>
  <c r="B1876"/>
  <c r="B1877"/>
  <c r="B1878"/>
  <c r="B1879"/>
  <c r="B1885"/>
  <c r="B1886"/>
  <c r="B1881"/>
  <c r="B1882"/>
  <c r="B1909"/>
  <c r="B1883"/>
  <c r="B1884"/>
  <c r="B1892"/>
  <c r="B1893"/>
  <c r="B1894"/>
  <c r="B1895"/>
  <c r="B1889"/>
  <c r="B1890"/>
  <c r="B1920"/>
  <c r="B1921"/>
  <c r="B1922"/>
  <c r="B1931"/>
  <c r="B1932"/>
  <c r="B1933"/>
  <c r="B1934"/>
  <c r="B1935"/>
  <c r="B1899"/>
  <c r="B1900"/>
  <c r="B1901"/>
  <c r="B1916"/>
  <c r="B1946"/>
  <c r="B1904"/>
  <c r="B1905"/>
  <c r="B1906"/>
  <c r="B1907"/>
  <c r="B1908"/>
  <c r="B1911"/>
  <c r="B2539"/>
  <c r="B2759"/>
  <c r="B1912"/>
  <c r="B1913"/>
  <c r="B1957"/>
  <c r="B1988"/>
  <c r="B1989"/>
  <c r="B1951"/>
  <c r="B1952"/>
  <c r="B1953"/>
  <c r="B1954"/>
  <c r="B1955"/>
  <c r="B1967"/>
  <c r="B1923"/>
  <c r="B1924"/>
  <c r="B1925"/>
  <c r="B1926"/>
  <c r="B1927"/>
  <c r="B1928"/>
  <c r="B1929"/>
  <c r="B1930"/>
  <c r="B1980"/>
  <c r="B1981"/>
  <c r="B1991"/>
  <c r="B1992"/>
  <c r="B2000"/>
  <c r="B2001"/>
  <c r="B1937"/>
  <c r="B1938"/>
  <c r="B1939"/>
  <c r="B1940"/>
  <c r="B1941"/>
  <c r="B1942"/>
  <c r="M1666"/>
  <c r="M1717"/>
  <c r="M1651"/>
  <c r="M1660"/>
  <c r="M1637"/>
  <c r="M1671"/>
  <c r="M1721"/>
  <c r="M1718"/>
  <c r="M1732"/>
  <c r="M1725"/>
  <c r="M1719"/>
  <c r="M1659"/>
  <c r="M2205"/>
  <c r="M1664"/>
  <c r="M1727"/>
  <c r="M1653"/>
  <c r="M1626"/>
  <c r="M1641"/>
  <c r="M1654"/>
  <c r="M1634"/>
  <c r="M1625"/>
  <c r="M1624"/>
  <c r="M1633"/>
  <c r="M1638"/>
  <c r="B1637"/>
  <c r="B1671"/>
  <c r="B1721"/>
  <c r="B1718"/>
  <c r="B1732"/>
  <c r="B1633"/>
  <c r="B1624"/>
  <c r="B1625"/>
  <c r="B1634"/>
  <c r="B1654"/>
  <c r="I61" i="71" l="1"/>
  <c r="I62" s="1"/>
  <c r="H62"/>
  <c r="H63" s="1"/>
  <c r="A4320" i="34"/>
  <c r="A4356"/>
  <c r="A4357"/>
  <c r="A4292"/>
  <c r="A4291"/>
  <c r="A4446"/>
  <c r="A4445"/>
  <c r="A4359"/>
  <c r="A4358"/>
  <c r="A4296"/>
  <c r="A4295"/>
  <c r="A4294"/>
  <c r="A4293"/>
  <c r="A4514"/>
  <c r="A4513"/>
  <c r="A2274"/>
  <c r="A4303"/>
  <c r="A4304"/>
  <c r="A1541"/>
  <c r="A1543"/>
  <c r="A1545"/>
  <c r="A1687"/>
  <c r="I63" i="71" l="1"/>
  <c r="I64" s="1"/>
  <c r="B1660" i="34"/>
  <c r="B1651"/>
  <c r="B1717"/>
  <c r="M1670"/>
  <c r="B1670"/>
  <c r="M1668"/>
  <c r="B1668"/>
  <c r="M1733"/>
  <c r="B1733"/>
  <c r="M2212"/>
  <c r="B2212"/>
  <c r="M1663"/>
  <c r="B1663"/>
  <c r="B1727"/>
  <c r="B1664"/>
  <c r="B2205"/>
  <c r="M1467"/>
  <c r="E1467"/>
  <c r="B1467"/>
  <c r="M1484"/>
  <c r="E1484"/>
  <c r="B1484"/>
  <c r="M1477"/>
  <c r="E1477"/>
  <c r="B1477"/>
  <c r="M1447"/>
  <c r="E1447"/>
  <c r="B1447"/>
  <c r="E1595"/>
  <c r="E1580"/>
  <c r="E1596"/>
  <c r="E1563"/>
  <c r="E1564"/>
  <c r="E1598"/>
  <c r="E1570"/>
  <c r="E1586"/>
  <c r="E1584"/>
  <c r="E1587"/>
  <c r="E1550"/>
  <c r="E1588"/>
  <c r="E1561"/>
  <c r="E1557"/>
  <c r="E1590"/>
  <c r="E1522"/>
  <c r="E1579"/>
  <c r="E1578"/>
  <c r="E1554"/>
  <c r="E1513"/>
  <c r="E1492"/>
  <c r="E1483"/>
  <c r="E1488"/>
  <c r="E1515"/>
  <c r="E1523"/>
  <c r="E1494"/>
  <c r="E1497"/>
  <c r="E1485"/>
  <c r="E1495"/>
  <c r="E1475"/>
  <c r="E1482"/>
  <c r="E1499"/>
  <c r="E1508"/>
  <c r="E1479"/>
  <c r="E1489"/>
  <c r="E1487"/>
  <c r="E1474"/>
  <c r="E1490"/>
  <c r="E1471"/>
  <c r="E1486"/>
  <c r="E1480"/>
  <c r="E1473"/>
  <c r="E1462"/>
  <c r="E1457"/>
  <c r="E1478"/>
  <c r="E1465"/>
  <c r="E1491"/>
  <c r="E1476"/>
  <c r="E1463"/>
  <c r="E1458"/>
  <c r="E1446"/>
  <c r="E1437"/>
  <c r="E1461"/>
  <c r="E1444"/>
  <c r="E1469"/>
  <c r="E1459"/>
  <c r="E1453"/>
  <c r="E1451"/>
  <c r="E1434"/>
  <c r="M992"/>
  <c r="C992"/>
  <c r="C982"/>
  <c r="M318" i="60"/>
  <c r="H64" i="71" l="1"/>
  <c r="H65" s="1"/>
  <c r="A1670" i="34"/>
  <c r="A1733"/>
  <c r="A1663"/>
  <c r="A1651"/>
  <c r="A1637"/>
  <c r="A1717"/>
  <c r="A1660"/>
  <c r="A1668"/>
  <c r="A2212"/>
  <c r="A2205"/>
  <c r="A1727"/>
  <c r="A1664"/>
  <c r="A1477"/>
  <c r="A1484"/>
  <c r="A1467"/>
  <c r="A1447"/>
  <c r="B992"/>
  <c r="B982"/>
  <c r="V330" i="60"/>
  <c r="L316" s="1"/>
  <c r="V329"/>
  <c r="L314" s="1"/>
  <c r="T334"/>
  <c r="T333"/>
  <c r="I65" i="71" l="1"/>
  <c r="I66" s="1"/>
  <c r="A992" i="34"/>
  <c r="A982"/>
  <c r="H66" i="71" l="1"/>
  <c r="H67" s="1"/>
  <c r="B3832" i="34"/>
  <c r="B3321"/>
  <c r="E4633"/>
  <c r="B4633"/>
  <c r="E4632"/>
  <c r="B4632"/>
  <c r="E4573"/>
  <c r="B4573"/>
  <c r="E4572"/>
  <c r="B4572"/>
  <c r="E4475"/>
  <c r="B4475"/>
  <c r="E4474"/>
  <c r="B4474"/>
  <c r="B4470"/>
  <c r="E4470"/>
  <c r="B4471"/>
  <c r="E4471"/>
  <c r="I67" i="71" l="1"/>
  <c r="I68" s="1"/>
  <c r="A4471" i="34"/>
  <c r="A4470"/>
  <c r="A3321"/>
  <c r="A3832"/>
  <c r="A4632"/>
  <c r="A4633"/>
  <c r="A4572"/>
  <c r="A4573"/>
  <c r="A4474"/>
  <c r="A4475"/>
  <c r="H68" i="71" l="1"/>
  <c r="H69" s="1"/>
  <c r="M1123" i="34"/>
  <c r="M1112"/>
  <c r="M1111"/>
  <c r="M1110"/>
  <c r="M1109"/>
  <c r="M1108"/>
  <c r="M1107"/>
  <c r="M1106"/>
  <c r="M1105"/>
  <c r="M1104"/>
  <c r="V306" i="60"/>
  <c r="V307"/>
  <c r="V308"/>
  <c r="M2811" i="34"/>
  <c r="M2383"/>
  <c r="V333" i="60"/>
  <c r="V331"/>
  <c r="V332"/>
  <c r="V334"/>
  <c r="V335"/>
  <c r="V336"/>
  <c r="V337"/>
  <c r="V338"/>
  <c r="O318"/>
  <c r="E608" i="34"/>
  <c r="B608"/>
  <c r="E605"/>
  <c r="B605"/>
  <c r="E600"/>
  <c r="B600"/>
  <c r="E591"/>
  <c r="B591"/>
  <c r="E586"/>
  <c r="B586"/>
  <c r="E580"/>
  <c r="B580"/>
  <c r="E574"/>
  <c r="B574"/>
  <c r="E4525"/>
  <c r="B4525"/>
  <c r="E4577"/>
  <c r="B4577"/>
  <c r="I69" i="71" l="1"/>
  <c r="I70" s="1"/>
  <c r="L302" i="60"/>
  <c r="L301"/>
  <c r="L303"/>
  <c r="A4525" i="34"/>
  <c r="A586"/>
  <c r="A574"/>
  <c r="A600"/>
  <c r="A608"/>
  <c r="A580"/>
  <c r="A591"/>
  <c r="A605"/>
  <c r="A4577"/>
  <c r="H70" i="71" l="1"/>
  <c r="H71" s="1"/>
  <c r="A1123" i="34"/>
  <c r="A1109"/>
  <c r="A1111"/>
  <c r="A1107"/>
  <c r="A1105"/>
  <c r="A1112"/>
  <c r="A1104"/>
  <c r="A1110"/>
  <c r="A1108"/>
  <c r="A1106"/>
  <c r="E674"/>
  <c r="B674"/>
  <c r="I4269"/>
  <c r="M4269" s="1"/>
  <c r="E4269"/>
  <c r="B4269"/>
  <c r="M4210"/>
  <c r="E4210"/>
  <c r="B4210"/>
  <c r="M4352"/>
  <c r="E4352"/>
  <c r="B4352"/>
  <c r="M3994"/>
  <c r="E3994"/>
  <c r="B3994"/>
  <c r="M627"/>
  <c r="E627"/>
  <c r="B627"/>
  <c r="M4349"/>
  <c r="E4349"/>
  <c r="B4349"/>
  <c r="M3814"/>
  <c r="E3814"/>
  <c r="B3814"/>
  <c r="M3570"/>
  <c r="E3570"/>
  <c r="B3570"/>
  <c r="M618"/>
  <c r="E618"/>
  <c r="B618"/>
  <c r="M621"/>
  <c r="E621"/>
  <c r="B621"/>
  <c r="M617"/>
  <c r="E617"/>
  <c r="B617"/>
  <c r="M3432"/>
  <c r="E3432"/>
  <c r="B3432"/>
  <c r="M3250"/>
  <c r="E3250"/>
  <c r="B3250"/>
  <c r="M606"/>
  <c r="E606"/>
  <c r="B606"/>
  <c r="M611"/>
  <c r="E611"/>
  <c r="B611"/>
  <c r="M571"/>
  <c r="E571"/>
  <c r="B571"/>
  <c r="M585"/>
  <c r="E585"/>
  <c r="B585"/>
  <c r="M587"/>
  <c r="E587"/>
  <c r="B587"/>
  <c r="I4362"/>
  <c r="M4362" s="1"/>
  <c r="E318" i="60"/>
  <c r="D304"/>
  <c r="G304" s="1"/>
  <c r="V328"/>
  <c r="L313" s="1"/>
  <c r="V339"/>
  <c r="I71" i="71" l="1"/>
  <c r="I72" s="1"/>
  <c r="A4352" i="34"/>
  <c r="A3250"/>
  <c r="A4210"/>
  <c r="A674"/>
  <c r="A611"/>
  <c r="A585"/>
  <c r="A621"/>
  <c r="A3814"/>
  <c r="A3432"/>
  <c r="A3570"/>
  <c r="A4269"/>
  <c r="A4349"/>
  <c r="A3994"/>
  <c r="A627"/>
  <c r="A617"/>
  <c r="A618"/>
  <c r="A606"/>
  <c r="A587"/>
  <c r="A57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2267" i="34"/>
  <c r="B2267"/>
  <c r="M1759"/>
  <c r="B1759"/>
  <c r="M2286"/>
  <c r="B2286"/>
  <c r="M2222"/>
  <c r="B2222"/>
  <c r="M1772"/>
  <c r="B1772"/>
  <c r="M1766"/>
  <c r="B1766"/>
  <c r="M2217"/>
  <c r="B2217"/>
  <c r="M1737"/>
  <c r="B1737"/>
  <c r="M2210"/>
  <c r="B2210"/>
  <c r="M1752"/>
  <c r="B1752"/>
  <c r="M1745"/>
  <c r="B1745"/>
  <c r="M2271"/>
  <c r="B2271"/>
  <c r="M1730"/>
  <c r="B1730"/>
  <c r="M1760"/>
  <c r="B1760"/>
  <c r="M1742"/>
  <c r="B1742"/>
  <c r="M2207"/>
  <c r="B2207"/>
  <c r="M1731"/>
  <c r="B173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067" i="34"/>
  <c r="B4067"/>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622"/>
  <c r="B4622"/>
  <c r="E4621"/>
  <c r="B4621"/>
  <c r="H72" i="71" l="1"/>
  <c r="H73" s="1"/>
  <c r="A1742" i="34"/>
  <c r="G318" i="60"/>
  <c r="D318"/>
  <c r="A2286" i="34"/>
  <c r="A2217"/>
  <c r="A2267"/>
  <c r="A1772"/>
  <c r="A1730"/>
  <c r="A1745"/>
  <c r="A4067"/>
  <c r="A1731"/>
  <c r="A2210"/>
  <c r="A2207"/>
  <c r="A2271"/>
  <c r="A1737"/>
  <c r="A2222"/>
  <c r="A1760"/>
  <c r="A1752"/>
  <c r="A1766"/>
  <c r="A1759"/>
  <c r="A242"/>
  <c r="A230"/>
  <c r="A231"/>
  <c r="A233"/>
  <c r="A235"/>
  <c r="A237"/>
  <c r="A239"/>
  <c r="A241"/>
  <c r="A229"/>
  <c r="A232"/>
  <c r="A234"/>
  <c r="A236"/>
  <c r="A238"/>
  <c r="A240"/>
  <c r="A62"/>
  <c r="A4621"/>
  <c r="A63"/>
  <c r="A61"/>
  <c r="A4622"/>
  <c r="I73" i="71" l="1"/>
  <c r="I74" s="1"/>
  <c r="K306" i="60"/>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96"/>
  <c r="E595"/>
  <c r="E612"/>
  <c r="E4250"/>
  <c r="E572"/>
  <c r="E573"/>
  <c r="E575"/>
  <c r="E609"/>
  <c r="E3253"/>
  <c r="E578"/>
  <c r="E579"/>
  <c r="E3471"/>
  <c r="E582"/>
  <c r="E583"/>
  <c r="E4275"/>
  <c r="E4247"/>
  <c r="E622"/>
  <c r="E3604"/>
  <c r="E589"/>
  <c r="E590"/>
  <c r="E3823"/>
  <c r="E593"/>
  <c r="E594"/>
  <c r="E4428"/>
  <c r="E4213"/>
  <c r="E4025"/>
  <c r="E4422"/>
  <c r="E599"/>
  <c r="E4244"/>
  <c r="E602"/>
  <c r="E4362"/>
  <c r="E604"/>
  <c r="E4531"/>
  <c r="E4576"/>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597"/>
  <c r="E4597"/>
  <c r="B4596"/>
  <c r="E4596"/>
  <c r="E4567"/>
  <c r="B4567"/>
  <c r="E4523"/>
  <c r="B4523"/>
  <c r="E4473"/>
  <c r="B4473"/>
  <c r="E4512"/>
  <c r="B4512"/>
  <c r="E4443"/>
  <c r="B4443"/>
  <c r="E4383"/>
  <c r="B4383"/>
  <c r="E4444"/>
  <c r="B4444"/>
  <c r="E4331"/>
  <c r="B4331"/>
  <c r="B4388"/>
  <c r="E4388"/>
  <c r="E4300"/>
  <c r="B4300"/>
  <c r="E4174"/>
  <c r="B4174"/>
  <c r="E4339"/>
  <c r="B4339"/>
  <c r="B4261"/>
  <c r="E4261"/>
  <c r="E4432"/>
  <c r="B4432"/>
  <c r="E4431"/>
  <c r="B4431"/>
  <c r="M4629"/>
  <c r="E4629"/>
  <c r="B4629"/>
  <c r="M4628"/>
  <c r="E4628"/>
  <c r="B4628"/>
  <c r="M4614"/>
  <c r="E4614"/>
  <c r="B4614"/>
  <c r="M4548"/>
  <c r="E4548"/>
  <c r="B4548"/>
  <c r="M4604"/>
  <c r="E4604"/>
  <c r="B4604"/>
  <c r="M4547"/>
  <c r="M4546"/>
  <c r="M4545"/>
  <c r="M4544"/>
  <c r="E4538"/>
  <c r="E4539"/>
  <c r="E4540"/>
  <c r="E4541"/>
  <c r="E4542"/>
  <c r="E4543"/>
  <c r="E4544"/>
  <c r="E4545"/>
  <c r="E4546"/>
  <c r="E4547"/>
  <c r="B4450"/>
  <c r="E4450"/>
  <c r="B4449"/>
  <c r="E4449"/>
  <c r="M4449"/>
  <c r="M4455"/>
  <c r="E4455"/>
  <c r="B4455"/>
  <c r="E4406"/>
  <c r="E4448"/>
  <c r="E4537"/>
  <c r="M4405"/>
  <c r="E4405"/>
  <c r="B4405"/>
  <c r="M4404"/>
  <c r="E4404"/>
  <c r="B4404"/>
  <c r="M4262"/>
  <c r="E4262"/>
  <c r="B4262"/>
  <c r="M4325"/>
  <c r="M4326"/>
  <c r="M4327"/>
  <c r="M4328"/>
  <c r="M4406"/>
  <c r="M4448"/>
  <c r="M4537"/>
  <c r="M4538"/>
  <c r="M4539"/>
  <c r="M4540"/>
  <c r="M4541"/>
  <c r="M4542"/>
  <c r="M4543"/>
  <c r="E4325"/>
  <c r="B4325"/>
  <c r="M4126"/>
  <c r="E4607"/>
  <c r="B4607"/>
  <c r="B4612"/>
  <c r="E4612"/>
  <c r="E4602"/>
  <c r="B4602"/>
  <c r="E4553"/>
  <c r="E4568"/>
  <c r="E4126"/>
  <c r="E4326"/>
  <c r="E4327"/>
  <c r="E4328"/>
  <c r="M4536"/>
  <c r="B4522"/>
  <c r="E4522"/>
  <c r="M4452"/>
  <c r="E4452"/>
  <c r="E4430"/>
  <c r="E4429"/>
  <c r="E616"/>
  <c r="E4419"/>
  <c r="E4420"/>
  <c r="E4421"/>
  <c r="E613"/>
  <c r="E4423"/>
  <c r="E4424"/>
  <c r="E4425"/>
  <c r="E4426"/>
  <c r="E4427"/>
  <c r="E4453"/>
  <c r="E4454"/>
  <c r="E4536"/>
  <c r="E4346"/>
  <c r="E4347"/>
  <c r="E4348"/>
  <c r="E610"/>
  <c r="E4350"/>
  <c r="E4351"/>
  <c r="E598"/>
  <c r="E4353"/>
  <c r="E4354"/>
  <c r="E4402"/>
  <c r="E4399"/>
  <c r="E4417"/>
  <c r="E4416"/>
  <c r="E4415"/>
  <c r="M4415"/>
  <c r="B4415"/>
  <c r="B4416"/>
  <c r="B4354"/>
  <c r="B4353"/>
  <c r="B598"/>
  <c r="B4351"/>
  <c r="B4350"/>
  <c r="B610"/>
  <c r="M4619"/>
  <c r="E4619"/>
  <c r="B4619"/>
  <c r="E4533"/>
  <c r="B4533"/>
  <c r="E4532"/>
  <c r="B4532"/>
  <c r="E4272"/>
  <c r="B4272"/>
  <c r="B4486"/>
  <c r="E4486"/>
  <c r="B4489"/>
  <c r="E4489"/>
  <c r="B4490"/>
  <c r="E4490"/>
  <c r="P4645"/>
  <c r="T4645"/>
  <c r="U4645"/>
  <c r="V4645"/>
  <c r="W4645"/>
  <c r="Y4645"/>
  <c r="AB4645"/>
  <c r="AC4645"/>
  <c r="AD4645"/>
  <c r="P4646"/>
  <c r="T4646"/>
  <c r="U4646"/>
  <c r="V4646"/>
  <c r="W4646"/>
  <c r="Y4646"/>
  <c r="AB4646"/>
  <c r="AC4646"/>
  <c r="AD4646"/>
  <c r="B4624"/>
  <c r="E4624"/>
  <c r="B4625"/>
  <c r="E4625"/>
  <c r="B4626"/>
  <c r="E4626"/>
  <c r="B4627"/>
  <c r="E4627"/>
  <c r="M4623"/>
  <c r="E4610"/>
  <c r="E4611"/>
  <c r="E4620"/>
  <c r="E4618"/>
  <c r="E4623"/>
  <c r="E4321"/>
  <c r="B4618"/>
  <c r="B4623"/>
  <c r="B4620"/>
  <c r="B4348"/>
  <c r="B4347"/>
  <c r="B4346"/>
  <c r="M4336"/>
  <c r="E4335"/>
  <c r="E3200"/>
  <c r="E4363"/>
  <c r="E4360"/>
  <c r="E4361"/>
  <c r="E4368"/>
  <c r="E4043"/>
  <c r="E4371"/>
  <c r="E4372"/>
  <c r="E2184"/>
  <c r="E4374"/>
  <c r="E4375"/>
  <c r="E2756"/>
  <c r="E4377"/>
  <c r="E4378"/>
  <c r="E4414"/>
  <c r="E4464"/>
  <c r="E4465"/>
  <c r="E4466"/>
  <c r="E4467"/>
  <c r="E4480"/>
  <c r="E3686"/>
  <c r="E624"/>
  <c r="E4484"/>
  <c r="E4485"/>
  <c r="E4491"/>
  <c r="E4492"/>
  <c r="E4287"/>
  <c r="E4507"/>
  <c r="E4508"/>
  <c r="E4516"/>
  <c r="E3947"/>
  <c r="E4528"/>
  <c r="E4529"/>
  <c r="E4530"/>
  <c r="E4052"/>
  <c r="E4534"/>
  <c r="E4535"/>
  <c r="E4563"/>
  <c r="E4575"/>
  <c r="E4365"/>
  <c r="E4483"/>
  <c r="E4578"/>
  <c r="E4579"/>
  <c r="E4580"/>
  <c r="E4581"/>
  <c r="E4582"/>
  <c r="E4609"/>
  <c r="E4323"/>
  <c r="E4324"/>
  <c r="E4398"/>
  <c r="E4400"/>
  <c r="E4401"/>
  <c r="E4322"/>
  <c r="E4462"/>
  <c r="E4518"/>
  <c r="E4519"/>
  <c r="E4520"/>
  <c r="E4493"/>
  <c r="E4583"/>
  <c r="E4584"/>
  <c r="E4585"/>
  <c r="E4586"/>
  <c r="E4587"/>
  <c r="E4588"/>
  <c r="E4589"/>
  <c r="E4590"/>
  <c r="E4598"/>
  <c r="E4599"/>
  <c r="E3377"/>
  <c r="E4336"/>
  <c r="B4402"/>
  <c r="B4399"/>
  <c r="B4417"/>
  <c r="B4419"/>
  <c r="B4420"/>
  <c r="B4421"/>
  <c r="B613"/>
  <c r="B4423"/>
  <c r="B4424"/>
  <c r="B4425"/>
  <c r="B4426"/>
  <c r="B4427"/>
  <c r="B616"/>
  <c r="B4429"/>
  <c r="B4430"/>
  <c r="B4453"/>
  <c r="B4454"/>
  <c r="B4452"/>
  <c r="B4536"/>
  <c r="B4553"/>
  <c r="B4568"/>
  <c r="B4126"/>
  <c r="B4326"/>
  <c r="B4327"/>
  <c r="B4328"/>
  <c r="B4406"/>
  <c r="B4448"/>
  <c r="B4537"/>
  <c r="B4538"/>
  <c r="B4539"/>
  <c r="B4540"/>
  <c r="B4541"/>
  <c r="B4542"/>
  <c r="B4543"/>
  <c r="B4544"/>
  <c r="B4545"/>
  <c r="B4546"/>
  <c r="B4547"/>
  <c r="B4642"/>
  <c r="B4643"/>
  <c r="B4644"/>
  <c r="B4599"/>
  <c r="B4598"/>
  <c r="B4631"/>
  <c r="E4631"/>
  <c r="M4493"/>
  <c r="B4493"/>
  <c r="M4518"/>
  <c r="M4519"/>
  <c r="M4520"/>
  <c r="B704"/>
  <c r="B696"/>
  <c r="B594"/>
  <c r="B593"/>
  <c r="B695"/>
  <c r="B694"/>
  <c r="B693"/>
  <c r="B707"/>
  <c r="B706"/>
  <c r="B683"/>
  <c r="M4576"/>
  <c r="B4576"/>
  <c r="B604"/>
  <c r="B599"/>
  <c r="B602"/>
  <c r="E4595"/>
  <c r="M4571"/>
  <c r="E4571"/>
  <c r="E4558"/>
  <c r="M4524"/>
  <c r="E4524"/>
  <c r="E4557"/>
  <c r="M4551"/>
  <c r="E4551"/>
  <c r="E4511"/>
  <c r="M4500"/>
  <c r="E4500"/>
  <c r="E4472"/>
  <c r="M4458"/>
  <c r="E4458"/>
  <c r="E4503"/>
  <c r="B4503"/>
  <c r="M4459"/>
  <c r="E4459"/>
  <c r="B4459"/>
  <c r="E4440"/>
  <c r="B4440"/>
  <c r="M4386"/>
  <c r="E4386"/>
  <c r="B4386"/>
  <c r="E4379"/>
  <c r="B4379"/>
  <c r="M4366"/>
  <c r="E4366"/>
  <c r="B4366"/>
  <c r="E4441"/>
  <c r="B4441"/>
  <c r="M4412"/>
  <c r="E4412"/>
  <c r="B4412"/>
  <c r="E4314"/>
  <c r="B4314"/>
  <c r="M4307"/>
  <c r="E4307"/>
  <c r="B4307"/>
  <c r="E4387"/>
  <c r="B4387"/>
  <c r="M4380"/>
  <c r="E4380"/>
  <c r="B4380"/>
  <c r="E4290"/>
  <c r="B4290"/>
  <c r="M4197"/>
  <c r="E4197"/>
  <c r="B4197"/>
  <c r="E4333"/>
  <c r="B4333"/>
  <c r="M4297"/>
  <c r="E4297"/>
  <c r="B4297"/>
  <c r="E4256"/>
  <c r="B4256"/>
  <c r="M4253"/>
  <c r="E4253"/>
  <c r="B4253"/>
  <c r="E4092"/>
  <c r="B4092"/>
  <c r="M4089"/>
  <c r="E4089"/>
  <c r="B4089"/>
  <c r="V327" i="60"/>
  <c r="L312" s="1"/>
  <c r="V326"/>
  <c r="L311" s="1"/>
  <c r="V325"/>
  <c r="L310" s="1"/>
  <c r="V324"/>
  <c r="L309" s="1"/>
  <c r="V322"/>
  <c r="L308" s="1"/>
  <c r="V321"/>
  <c r="L307" s="1"/>
  <c r="V320"/>
  <c r="L306" s="1"/>
  <c r="V319"/>
  <c r="L305" s="1"/>
  <c r="V318"/>
  <c r="V305"/>
  <c r="V304"/>
  <c r="V303"/>
  <c r="V312"/>
  <c r="A274"/>
  <c r="B4462" i="34"/>
  <c r="M4462"/>
  <c r="M4322"/>
  <c r="M4401"/>
  <c r="M4398"/>
  <c r="M4324"/>
  <c r="M4323"/>
  <c r="M4321"/>
  <c r="B4616"/>
  <c r="E4616"/>
  <c r="B4630"/>
  <c r="E4630"/>
  <c r="M4575"/>
  <c r="B2169"/>
  <c r="B2170"/>
  <c r="B2171"/>
  <c r="B2172"/>
  <c r="B2173"/>
  <c r="B2174"/>
  <c r="B2175"/>
  <c r="B2176"/>
  <c r="B2177"/>
  <c r="B2178"/>
  <c r="B2179"/>
  <c r="B2185"/>
  <c r="B2186"/>
  <c r="B2187"/>
  <c r="B3532"/>
  <c r="B3953"/>
  <c r="B4373"/>
  <c r="B2190"/>
  <c r="B2168"/>
  <c r="B4530"/>
  <c r="B4529"/>
  <c r="B4528"/>
  <c r="B3947"/>
  <c r="M4516"/>
  <c r="B4516"/>
  <c r="B4508"/>
  <c r="B4507"/>
  <c r="B4287"/>
  <c r="B4485"/>
  <c r="B4484"/>
  <c r="B624"/>
  <c r="M4480"/>
  <c r="B4414"/>
  <c r="B4378"/>
  <c r="B4377"/>
  <c r="B2756"/>
  <c r="B4375"/>
  <c r="B4374"/>
  <c r="B2184"/>
  <c r="B4361"/>
  <c r="B4363"/>
  <c r="B4360"/>
  <c r="B3048"/>
  <c r="E3048"/>
  <c r="B3200"/>
  <c r="B4335"/>
  <c r="E4305"/>
  <c r="B4464"/>
  <c r="B4465"/>
  <c r="B4466"/>
  <c r="B4467"/>
  <c r="B4480"/>
  <c r="B3686"/>
  <c r="B4491"/>
  <c r="B4492"/>
  <c r="B4052"/>
  <c r="B4534"/>
  <c r="B4535"/>
  <c r="B4563"/>
  <c r="B4575"/>
  <c r="B4365"/>
  <c r="B4483"/>
  <c r="B4578"/>
  <c r="B4579"/>
  <c r="B4580"/>
  <c r="B4581"/>
  <c r="B4582"/>
  <c r="B4609"/>
  <c r="B4610"/>
  <c r="B4611"/>
  <c r="B4321"/>
  <c r="B4323"/>
  <c r="B4324"/>
  <c r="B4398"/>
  <c r="B4400"/>
  <c r="B4401"/>
  <c r="B4322"/>
  <c r="B4518"/>
  <c r="B4519"/>
  <c r="B4520"/>
  <c r="B3377"/>
  <c r="B4583"/>
  <c r="B4584"/>
  <c r="B4585"/>
  <c r="B4586"/>
  <c r="B4587"/>
  <c r="B4588"/>
  <c r="B4589"/>
  <c r="B4590"/>
  <c r="B4336"/>
  <c r="B4645"/>
  <c r="A4645" s="1"/>
  <c r="B2158"/>
  <c r="B2159"/>
  <c r="B2160"/>
  <c r="B2161"/>
  <c r="B2162"/>
  <c r="B2163"/>
  <c r="B2164"/>
  <c r="B2165"/>
  <c r="B4565"/>
  <c r="K4565"/>
  <c r="M4565" s="1"/>
  <c r="B4315"/>
  <c r="E4315"/>
  <c r="B4316"/>
  <c r="E4316"/>
  <c r="B4603"/>
  <c r="E4603"/>
  <c r="B2188"/>
  <c r="B2189"/>
  <c r="M376"/>
  <c r="M375"/>
  <c r="M374"/>
  <c r="B374"/>
  <c r="B375"/>
  <c r="B376"/>
  <c r="B4531"/>
  <c r="M4531"/>
  <c r="B4422"/>
  <c r="B4362"/>
  <c r="B4244"/>
  <c r="B4025"/>
  <c r="B3823"/>
  <c r="K4564"/>
  <c r="M4564" s="1"/>
  <c r="B4564"/>
  <c r="B4600"/>
  <c r="E4600"/>
  <c r="B4593"/>
  <c r="E4593"/>
  <c r="B4594"/>
  <c r="E4594"/>
  <c r="B4341"/>
  <c r="E4341"/>
  <c r="B4342"/>
  <c r="E4342"/>
  <c r="B4343"/>
  <c r="E4343"/>
  <c r="B4344"/>
  <c r="E4344"/>
  <c r="E3611"/>
  <c r="B3611"/>
  <c r="E3433"/>
  <c r="B3433"/>
  <c r="E2903"/>
  <c r="B2903"/>
  <c r="B1099"/>
  <c r="E1099"/>
  <c r="B1094"/>
  <c r="E1094"/>
  <c r="B1091"/>
  <c r="E1091"/>
  <c r="B4123"/>
  <c r="E4123"/>
  <c r="E1074"/>
  <c r="B1074"/>
  <c r="E1077"/>
  <c r="B1077"/>
  <c r="E1065"/>
  <c r="B1065"/>
  <c r="B1066"/>
  <c r="E1066"/>
  <c r="B1055"/>
  <c r="E1055"/>
  <c r="B1043"/>
  <c r="E1043"/>
  <c r="M1095"/>
  <c r="E1093"/>
  <c r="M1092"/>
  <c r="E1092"/>
  <c r="M1075"/>
  <c r="B1090"/>
  <c r="E1090"/>
  <c r="B1092"/>
  <c r="B1093"/>
  <c r="B1095"/>
  <c r="E1095"/>
  <c r="B1098"/>
  <c r="E1098"/>
  <c r="E1097"/>
  <c r="E1075"/>
  <c r="M1096"/>
  <c r="E1096"/>
  <c r="M1068"/>
  <c r="M1067"/>
  <c r="M1057"/>
  <c r="M1058"/>
  <c r="E1059"/>
  <c r="M1044"/>
  <c r="M1039"/>
  <c r="E1040"/>
  <c r="E1044"/>
  <c r="E1054"/>
  <c r="E1058"/>
  <c r="E1057"/>
  <c r="E1064"/>
  <c r="E1067"/>
  <c r="E1076"/>
  <c r="E1068"/>
  <c r="E1069"/>
  <c r="E1039"/>
  <c r="B1040"/>
  <c r="B1044"/>
  <c r="B1054"/>
  <c r="B1058"/>
  <c r="B1059"/>
  <c r="B1057"/>
  <c r="B1064"/>
  <c r="B1067"/>
  <c r="B1076"/>
  <c r="B1068"/>
  <c r="B1069"/>
  <c r="B1096"/>
  <c r="B1097"/>
  <c r="B1075"/>
  <c r="B1039"/>
  <c r="B4591"/>
  <c r="E4591"/>
  <c r="B4634"/>
  <c r="E4634"/>
  <c r="B4635"/>
  <c r="E4635"/>
  <c r="E4570"/>
  <c r="B4570"/>
  <c r="E4569"/>
  <c r="B4569"/>
  <c r="B4501"/>
  <c r="E4501"/>
  <c r="B4502"/>
  <c r="E4502"/>
  <c r="H74" i="71" l="1"/>
  <c r="H75" s="1"/>
  <c r="I75"/>
  <c r="I76" s="1"/>
  <c r="A4591" i="34"/>
  <c r="A4600"/>
  <c r="A3048"/>
  <c r="A4631"/>
  <c r="A4643"/>
  <c r="R4643"/>
  <c r="Q4643"/>
  <c r="S4643"/>
  <c r="A4630"/>
  <c r="A4644"/>
  <c r="R4644"/>
  <c r="Q4644"/>
  <c r="S4644"/>
  <c r="A4642"/>
  <c r="A4603"/>
  <c r="A4590"/>
  <c r="A4588"/>
  <c r="A4586"/>
  <c r="A4584"/>
  <c r="A3377"/>
  <c r="A4519"/>
  <c r="A4322"/>
  <c r="A4400"/>
  <c r="A4324"/>
  <c r="A4321"/>
  <c r="A4610"/>
  <c r="A4582"/>
  <c r="A4580"/>
  <c r="A4578"/>
  <c r="A4365"/>
  <c r="A4563"/>
  <c r="A4534"/>
  <c r="A4492"/>
  <c r="A3686"/>
  <c r="A4467"/>
  <c r="A4465"/>
  <c r="A3200"/>
  <c r="A4363"/>
  <c r="A624"/>
  <c r="A4616"/>
  <c r="A4599"/>
  <c r="A4546"/>
  <c r="A4544"/>
  <c r="A4542"/>
  <c r="A4540"/>
  <c r="A4538"/>
  <c r="A4448"/>
  <c r="A4328"/>
  <c r="A4326"/>
  <c r="A4568"/>
  <c r="A4536"/>
  <c r="A4454"/>
  <c r="A4430"/>
  <c r="A616"/>
  <c r="A4426"/>
  <c r="A4424"/>
  <c r="A613"/>
  <c r="A4420"/>
  <c r="A4417"/>
  <c r="A4402"/>
  <c r="A4620"/>
  <c r="A4618"/>
  <c r="A4490"/>
  <c r="A4489"/>
  <c r="A4486"/>
  <c r="A4612"/>
  <c r="A4449"/>
  <c r="A4450"/>
  <c r="A4502"/>
  <c r="A4501"/>
  <c r="A4635"/>
  <c r="A4634"/>
  <c r="A1066"/>
  <c r="A4123"/>
  <c r="A1091"/>
  <c r="A1094"/>
  <c r="A1099"/>
  <c r="A4594"/>
  <c r="A4593"/>
  <c r="A4336"/>
  <c r="A4589"/>
  <c r="A4587"/>
  <c r="A4585"/>
  <c r="A4583"/>
  <c r="A4520"/>
  <c r="A4518"/>
  <c r="A4401"/>
  <c r="A4398"/>
  <c r="A4323"/>
  <c r="A4611"/>
  <c r="A4609"/>
  <c r="A4581"/>
  <c r="A4579"/>
  <c r="A4483"/>
  <c r="A4575"/>
  <c r="A4535"/>
  <c r="A4052"/>
  <c r="A4491"/>
  <c r="A4480"/>
  <c r="A4466"/>
  <c r="A4464"/>
  <c r="A4335"/>
  <c r="A4360"/>
  <c r="A4528"/>
  <c r="A4462"/>
  <c r="A4547"/>
  <c r="A4545"/>
  <c r="A4543"/>
  <c r="A4541"/>
  <c r="A4539"/>
  <c r="A4537"/>
  <c r="A4406"/>
  <c r="A4327"/>
  <c r="A4126"/>
  <c r="A4553"/>
  <c r="A4452"/>
  <c r="A4453"/>
  <c r="A4429"/>
  <c r="A4427"/>
  <c r="A4425"/>
  <c r="A4423"/>
  <c r="A4421"/>
  <c r="A4419"/>
  <c r="A4399"/>
  <c r="A4623"/>
  <c r="A4627"/>
  <c r="A4626"/>
  <c r="A4625"/>
  <c r="A4624"/>
  <c r="A4522"/>
  <c r="A4261"/>
  <c r="A4388"/>
  <c r="A4596"/>
  <c r="A4597"/>
  <c r="L304" i="60"/>
  <c r="L318" s="1"/>
  <c r="V340"/>
  <c r="A4629" i="34"/>
  <c r="A4567"/>
  <c r="A4523"/>
  <c r="A4473"/>
  <c r="A4512"/>
  <c r="A4443"/>
  <c r="A4383"/>
  <c r="A4331"/>
  <c r="A4444"/>
  <c r="A4300"/>
  <c r="A4174"/>
  <c r="A4339"/>
  <c r="A4604"/>
  <c r="A4548"/>
  <c r="A4628"/>
  <c r="A4431"/>
  <c r="A4432"/>
  <c r="A4614"/>
  <c r="A4455"/>
  <c r="A4353"/>
  <c r="A4262"/>
  <c r="A4404"/>
  <c r="A610"/>
  <c r="A4532"/>
  <c r="A4607"/>
  <c r="A4405"/>
  <c r="A4325"/>
  <c r="A4602"/>
  <c r="A1075"/>
  <c r="A1068"/>
  <c r="A1057"/>
  <c r="A1039"/>
  <c r="A1097"/>
  <c r="A1069"/>
  <c r="A1076"/>
  <c r="A1064"/>
  <c r="A1059"/>
  <c r="A1054"/>
  <c r="A1040"/>
  <c r="A1098"/>
  <c r="A1095"/>
  <c r="A1092"/>
  <c r="A1090"/>
  <c r="A4344"/>
  <c r="A4343"/>
  <c r="A4342"/>
  <c r="A4341"/>
  <c r="A4362"/>
  <c r="A4422"/>
  <c r="A4531"/>
  <c r="A375"/>
  <c r="A2188"/>
  <c r="A4316"/>
  <c r="A4315"/>
  <c r="A4565"/>
  <c r="A2164"/>
  <c r="A2162"/>
  <c r="A2160"/>
  <c r="A2158"/>
  <c r="A2168"/>
  <c r="A3953"/>
  <c r="A2187"/>
  <c r="A2185"/>
  <c r="A2178"/>
  <c r="A2176"/>
  <c r="A2174"/>
  <c r="A2172"/>
  <c r="A2170"/>
  <c r="A1096"/>
  <c r="A1067"/>
  <c r="A1058"/>
  <c r="A1044"/>
  <c r="A1093"/>
  <c r="A1043"/>
  <c r="A1055"/>
  <c r="A4564"/>
  <c r="A376"/>
  <c r="A374"/>
  <c r="A2189"/>
  <c r="A2165"/>
  <c r="A2163"/>
  <c r="A2161"/>
  <c r="A2159"/>
  <c r="A2190"/>
  <c r="A4373"/>
  <c r="A3532"/>
  <c r="A2186"/>
  <c r="A2179"/>
  <c r="A2177"/>
  <c r="A2175"/>
  <c r="A2173"/>
  <c r="A2171"/>
  <c r="A2169"/>
  <c r="A4619"/>
  <c r="A4351"/>
  <c r="A4415"/>
  <c r="A4416"/>
  <c r="A4350"/>
  <c r="A598"/>
  <c r="A4354"/>
  <c r="A4272"/>
  <c r="A4533"/>
  <c r="Q4645"/>
  <c r="S4645"/>
  <c r="R4645"/>
  <c r="A4493"/>
  <c r="A4347"/>
  <c r="A4346"/>
  <c r="A4348"/>
  <c r="A4598"/>
  <c r="A704"/>
  <c r="A594"/>
  <c r="A696"/>
  <c r="A593"/>
  <c r="A695"/>
  <c r="A693"/>
  <c r="A694"/>
  <c r="A683"/>
  <c r="A707"/>
  <c r="A706"/>
  <c r="B698"/>
  <c r="B705"/>
  <c r="A4576"/>
  <c r="A604"/>
  <c r="A599"/>
  <c r="B575"/>
  <c r="A602"/>
  <c r="A4412"/>
  <c r="A4551"/>
  <c r="A4386"/>
  <c r="A4333"/>
  <c r="A4440"/>
  <c r="A4557"/>
  <c r="A4472"/>
  <c r="A4441"/>
  <c r="A4380"/>
  <c r="A4387"/>
  <c r="A4571"/>
  <c r="A4595"/>
  <c r="A4500"/>
  <c r="A4511"/>
  <c r="A4524"/>
  <c r="A4558"/>
  <c r="A4458"/>
  <c r="A4366"/>
  <c r="A4379"/>
  <c r="A4459"/>
  <c r="A4503"/>
  <c r="A4307"/>
  <c r="A4314"/>
  <c r="A4297"/>
  <c r="A4197"/>
  <c r="A4290"/>
  <c r="A4253"/>
  <c r="A4256"/>
  <c r="A4089"/>
  <c r="A4092"/>
  <c r="A4484"/>
  <c r="A4374"/>
  <c r="A4377"/>
  <c r="A4529"/>
  <c r="A4530"/>
  <c r="A3947"/>
  <c r="A4516"/>
  <c r="A4507"/>
  <c r="A4287"/>
  <c r="A4508"/>
  <c r="A4485"/>
  <c r="A4414"/>
  <c r="A2756"/>
  <c r="A4378"/>
  <c r="A2184"/>
  <c r="A4375"/>
  <c r="A4361"/>
  <c r="A4025"/>
  <c r="A4244"/>
  <c r="A3823"/>
  <c r="A3611"/>
  <c r="A3433"/>
  <c r="A2903"/>
  <c r="A1074"/>
  <c r="A1077"/>
  <c r="A1065"/>
  <c r="A4569"/>
  <c r="A4570"/>
  <c r="M3424"/>
  <c r="B3424"/>
  <c r="B4505"/>
  <c r="B4478"/>
  <c r="K4478"/>
  <c r="M4478" s="1"/>
  <c r="B4479"/>
  <c r="K4479"/>
  <c r="M4479" s="1"/>
  <c r="B4556"/>
  <c r="E4556"/>
  <c r="B4554"/>
  <c r="E4554"/>
  <c r="B4555"/>
  <c r="E4555"/>
  <c r="B1063"/>
  <c r="E1063"/>
  <c r="B4521"/>
  <c r="E4521"/>
  <c r="E4510"/>
  <c r="B4510"/>
  <c r="M4499"/>
  <c r="E4499"/>
  <c r="B4499"/>
  <c r="E1062"/>
  <c r="B1062"/>
  <c r="M1061"/>
  <c r="E1061"/>
  <c r="B1061"/>
  <c r="B3393"/>
  <c r="B3626"/>
  <c r="B3944"/>
  <c r="B2135"/>
  <c r="B4549"/>
  <c r="E4549"/>
  <c r="B4550"/>
  <c r="E4550"/>
  <c r="B4247"/>
  <c r="B4275"/>
  <c r="H76" i="71" l="1"/>
  <c r="H77" s="1"/>
  <c r="I77"/>
  <c r="I78" s="1"/>
  <c r="A4550" i="34"/>
  <c r="A4549"/>
  <c r="A3626"/>
  <c r="A4505"/>
  <c r="A2135"/>
  <c r="A4275"/>
  <c r="A4247"/>
  <c r="A3944"/>
  <c r="A3393"/>
  <c r="A4521"/>
  <c r="A1063"/>
  <c r="A4555"/>
  <c r="A4554"/>
  <c r="A4556"/>
  <c r="A4479"/>
  <c r="A4478"/>
  <c r="A3424"/>
  <c r="A705"/>
  <c r="A698"/>
  <c r="A575"/>
  <c r="A4499"/>
  <c r="A4510"/>
  <c r="A1061"/>
  <c r="A1062"/>
  <c r="M2102"/>
  <c r="M2137"/>
  <c r="C971"/>
  <c r="C2137"/>
  <c r="C2102"/>
  <c r="M2099"/>
  <c r="C2099"/>
  <c r="M1824"/>
  <c r="C1824"/>
  <c r="M1692"/>
  <c r="C1692"/>
  <c r="C983"/>
  <c r="C976"/>
  <c r="C975"/>
  <c r="U283" i="60"/>
  <c r="M969" i="34"/>
  <c r="M988"/>
  <c r="M989"/>
  <c r="M977"/>
  <c r="M978"/>
  <c r="M990"/>
  <c r="M991"/>
  <c r="M979"/>
  <c r="M980"/>
  <c r="M972"/>
  <c r="C965"/>
  <c r="C966"/>
  <c r="C967"/>
  <c r="C968"/>
  <c r="C973"/>
  <c r="C988"/>
  <c r="C989"/>
  <c r="C977"/>
  <c r="C978"/>
  <c r="C990"/>
  <c r="C991"/>
  <c r="C979"/>
  <c r="C980"/>
  <c r="C985"/>
  <c r="C986"/>
  <c r="C972"/>
  <c r="C964"/>
  <c r="V285" i="60"/>
  <c r="V286"/>
  <c r="V287"/>
  <c r="V288"/>
  <c r="V289"/>
  <c r="L268" s="1"/>
  <c r="V290"/>
  <c r="V282"/>
  <c r="V291"/>
  <c r="V284"/>
  <c r="M1113" i="34"/>
  <c r="M1119"/>
  <c r="M2537"/>
  <c r="M1114"/>
  <c r="M2624"/>
  <c r="M1120"/>
  <c r="M1128"/>
  <c r="M1129"/>
  <c r="M1103"/>
  <c r="M1102"/>
  <c r="M1101"/>
  <c r="M1100"/>
  <c r="M1595"/>
  <c r="B1595"/>
  <c r="M1580"/>
  <c r="B1580"/>
  <c r="M1596"/>
  <c r="B1596"/>
  <c r="M1563"/>
  <c r="B1563"/>
  <c r="M1564"/>
  <c r="B1564"/>
  <c r="M1598"/>
  <c r="B1598"/>
  <c r="M1570"/>
  <c r="B1570"/>
  <c r="M1586"/>
  <c r="B1586"/>
  <c r="M1584"/>
  <c r="B1584"/>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399"/>
  <c r="B2600"/>
  <c r="B251"/>
  <c r="B257"/>
  <c r="B2556"/>
  <c r="B2557"/>
  <c r="B261"/>
  <c r="B275"/>
  <c r="B262"/>
  <c r="B263"/>
  <c r="B264"/>
  <c r="B265"/>
  <c r="B266"/>
  <c r="B267"/>
  <c r="B268"/>
  <c r="B269"/>
  <c r="B270"/>
  <c r="B271"/>
  <c r="B3039"/>
  <c r="B274"/>
  <c r="B385"/>
  <c r="B283"/>
  <c r="B3150"/>
  <c r="B3151"/>
  <c r="B3152"/>
  <c r="B3227"/>
  <c r="B280"/>
  <c r="B281"/>
  <c r="B3193"/>
  <c r="B1194"/>
  <c r="B1360"/>
  <c r="B285"/>
  <c r="B292"/>
  <c r="B293"/>
  <c r="B3563"/>
  <c r="B3564"/>
  <c r="B3565"/>
  <c r="B3566"/>
  <c r="B3869"/>
  <c r="B3719"/>
  <c r="B299"/>
  <c r="B2929"/>
  <c r="B301"/>
  <c r="B304"/>
  <c r="B303"/>
  <c r="B305"/>
  <c r="B3649"/>
  <c r="B316"/>
  <c r="B302"/>
  <c r="B370"/>
  <c r="B371"/>
  <c r="B3733"/>
  <c r="B3734"/>
  <c r="B307"/>
  <c r="B308"/>
  <c r="B309"/>
  <c r="B310"/>
  <c r="B3444"/>
  <c r="B312"/>
  <c r="B313"/>
  <c r="B314"/>
  <c r="B4095"/>
  <c r="B4125"/>
  <c r="B317"/>
  <c r="B318"/>
  <c r="B319"/>
  <c r="B320"/>
  <c r="B321"/>
  <c r="B322"/>
  <c r="B323"/>
  <c r="B324"/>
  <c r="B325"/>
  <c r="B327"/>
  <c r="B328"/>
  <c r="B329"/>
  <c r="B330"/>
  <c r="B331"/>
  <c r="B332"/>
  <c r="B333"/>
  <c r="B334"/>
  <c r="B335"/>
  <c r="B337"/>
  <c r="B338"/>
  <c r="B339"/>
  <c r="B340"/>
  <c r="B341"/>
  <c r="B342"/>
  <c r="B343"/>
  <c r="B344"/>
  <c r="B345"/>
  <c r="B347"/>
  <c r="B348"/>
  <c r="B349"/>
  <c r="B350"/>
  <c r="B351"/>
  <c r="B352"/>
  <c r="B353"/>
  <c r="B354"/>
  <c r="B356"/>
  <c r="B357"/>
  <c r="B358"/>
  <c r="B359"/>
  <c r="B361"/>
  <c r="B362"/>
  <c r="B363"/>
  <c r="B364"/>
  <c r="B4178"/>
  <c r="B366"/>
  <c r="B367"/>
  <c r="B368"/>
  <c r="B379"/>
  <c r="B380"/>
  <c r="B381"/>
  <c r="B382"/>
  <c r="B383"/>
  <c r="B4221"/>
  <c r="B4222"/>
  <c r="B4223"/>
  <c r="B4319"/>
  <c r="B4396"/>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1533"/>
  <c r="B495"/>
  <c r="B496"/>
  <c r="B1544"/>
  <c r="B498"/>
  <c r="B499"/>
  <c r="B500"/>
  <c r="B501"/>
  <c r="B502"/>
  <c r="B503"/>
  <c r="B504"/>
  <c r="B505"/>
  <c r="B1712"/>
  <c r="B507"/>
  <c r="B509"/>
  <c r="B1853"/>
  <c r="B515"/>
  <c r="B516"/>
  <c r="B518"/>
  <c r="B519"/>
  <c r="B520"/>
  <c r="B522"/>
  <c r="B521"/>
  <c r="B530"/>
  <c r="B569"/>
  <c r="B555"/>
  <c r="B556"/>
  <c r="B554"/>
  <c r="B609"/>
  <c r="B3253"/>
  <c r="B578"/>
  <c r="B579"/>
  <c r="B3471"/>
  <c r="B582"/>
  <c r="B583"/>
  <c r="B622"/>
  <c r="B3604"/>
  <c r="B589"/>
  <c r="B590"/>
  <c r="B4428"/>
  <c r="B4213"/>
  <c r="B629"/>
  <c r="B630"/>
  <c r="B631"/>
  <c r="B745"/>
  <c r="B746"/>
  <c r="B747"/>
  <c r="B752"/>
  <c r="B753"/>
  <c r="B750"/>
  <c r="B751"/>
  <c r="B936"/>
  <c r="B937"/>
  <c r="B754"/>
  <c r="B755"/>
  <c r="B756"/>
  <c r="B757"/>
  <c r="B758"/>
  <c r="B759"/>
  <c r="B760"/>
  <c r="B761"/>
  <c r="B762"/>
  <c r="B763"/>
  <c r="B764"/>
  <c r="B765"/>
  <c r="B766"/>
  <c r="B767"/>
  <c r="B769"/>
  <c r="B776"/>
  <c r="B770"/>
  <c r="B771"/>
  <c r="B772"/>
  <c r="B773"/>
  <c r="B1070"/>
  <c r="B1071"/>
  <c r="B777"/>
  <c r="B890"/>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949"/>
  <c r="B817"/>
  <c r="B818"/>
  <c r="B819"/>
  <c r="B820"/>
  <c r="B821"/>
  <c r="B822"/>
  <c r="B823"/>
  <c r="B824"/>
  <c r="B825"/>
  <c r="B826"/>
  <c r="B827"/>
  <c r="B828"/>
  <c r="B829"/>
  <c r="B830"/>
  <c r="B831"/>
  <c r="B832"/>
  <c r="B833"/>
  <c r="B834"/>
  <c r="B835"/>
  <c r="B836"/>
  <c r="B837"/>
  <c r="B838"/>
  <c r="B839"/>
  <c r="B840"/>
  <c r="B842"/>
  <c r="B2860"/>
  <c r="B843"/>
  <c r="B844"/>
  <c r="B845"/>
  <c r="B846"/>
  <c r="B847"/>
  <c r="B848"/>
  <c r="B849"/>
  <c r="B850"/>
  <c r="B851"/>
  <c r="B852"/>
  <c r="B853"/>
  <c r="B854"/>
  <c r="B855"/>
  <c r="B856"/>
  <c r="B857"/>
  <c r="B858"/>
  <c r="B859"/>
  <c r="B860"/>
  <c r="B862"/>
  <c r="B863"/>
  <c r="B864"/>
  <c r="B865"/>
  <c r="B867"/>
  <c r="B921"/>
  <c r="B869"/>
  <c r="B894"/>
  <c r="B895"/>
  <c r="B871"/>
  <c r="B943"/>
  <c r="B872"/>
  <c r="B873"/>
  <c r="B874"/>
  <c r="B875"/>
  <c r="B876"/>
  <c r="B877"/>
  <c r="B878"/>
  <c r="B879"/>
  <c r="B880"/>
  <c r="B881"/>
  <c r="B882"/>
  <c r="B883"/>
  <c r="B884"/>
  <c r="B885"/>
  <c r="B886"/>
  <c r="B887"/>
  <c r="B888"/>
  <c r="B889"/>
  <c r="B953"/>
  <c r="B2753"/>
  <c r="B892"/>
  <c r="B893"/>
  <c r="B896"/>
  <c r="B897"/>
  <c r="B898"/>
  <c r="B899"/>
  <c r="B945"/>
  <c r="B946"/>
  <c r="B900"/>
  <c r="B901"/>
  <c r="B902"/>
  <c r="B903"/>
  <c r="B904"/>
  <c r="B905"/>
  <c r="B906"/>
  <c r="B907"/>
  <c r="B908"/>
  <c r="B909"/>
  <c r="B910"/>
  <c r="B911"/>
  <c r="B912"/>
  <c r="B913"/>
  <c r="B914"/>
  <c r="B915"/>
  <c r="B916"/>
  <c r="B917"/>
  <c r="B918"/>
  <c r="B919"/>
  <c r="B920"/>
  <c r="B3171"/>
  <c r="B922"/>
  <c r="B923"/>
  <c r="B924"/>
  <c r="B925"/>
  <c r="B926"/>
  <c r="B927"/>
  <c r="B928"/>
  <c r="B929"/>
  <c r="B930"/>
  <c r="B931"/>
  <c r="B932"/>
  <c r="B933"/>
  <c r="B934"/>
  <c r="B2383"/>
  <c r="B2431"/>
  <c r="B2811"/>
  <c r="B4076"/>
  <c r="B939"/>
  <c r="B940"/>
  <c r="B942"/>
  <c r="B954"/>
  <c r="B2763"/>
  <c r="B3661"/>
  <c r="B948"/>
  <c r="B1078"/>
  <c r="B1079"/>
  <c r="B1080"/>
  <c r="B3201"/>
  <c r="B950"/>
  <c r="B951"/>
  <c r="B3394"/>
  <c r="B3614"/>
  <c r="B956"/>
  <c r="B957"/>
  <c r="B994"/>
  <c r="B997"/>
  <c r="B959"/>
  <c r="B960"/>
  <c r="B962"/>
  <c r="B963"/>
  <c r="B996"/>
  <c r="B1009"/>
  <c r="B999"/>
  <c r="B1000"/>
  <c r="B1015"/>
  <c r="B1016"/>
  <c r="B1004"/>
  <c r="B1011"/>
  <c r="B1017"/>
  <c r="B1018"/>
  <c r="B1001"/>
  <c r="B1002"/>
  <c r="B1020"/>
  <c r="B1023"/>
  <c r="B1005"/>
  <c r="B1006"/>
  <c r="B1007"/>
  <c r="B1008"/>
  <c r="B1022"/>
  <c r="B1027"/>
  <c r="B1025"/>
  <c r="B1026"/>
  <c r="B1013"/>
  <c r="B1014"/>
  <c r="B1029"/>
  <c r="B1030"/>
  <c r="B1034"/>
  <c r="B1037"/>
  <c r="B1041"/>
  <c r="B1042"/>
  <c r="B1046"/>
  <c r="B1047"/>
  <c r="B1052"/>
  <c r="B1053"/>
  <c r="B1032"/>
  <c r="B1035"/>
  <c r="B3983"/>
  <c r="B1050"/>
  <c r="B1051"/>
  <c r="B1373"/>
  <c r="B1374"/>
  <c r="B1375"/>
  <c r="B1376"/>
  <c r="B1450"/>
  <c r="B1464"/>
  <c r="B1434"/>
  <c r="B1451"/>
  <c r="B1453"/>
  <c r="B1459"/>
  <c r="B1469"/>
  <c r="B1444"/>
  <c r="B1461"/>
  <c r="B1437"/>
  <c r="B1387"/>
  <c r="B1388"/>
  <c r="B1389"/>
  <c r="B1657"/>
  <c r="B1391"/>
  <c r="B1576"/>
  <c r="B2263"/>
  <c r="B1394"/>
  <c r="B2218"/>
  <c r="B1396"/>
  <c r="B2219"/>
  <c r="B1656"/>
  <c r="B2230"/>
  <c r="B1400"/>
  <c r="B1401"/>
  <c r="B1402"/>
  <c r="B1403"/>
  <c r="B1404"/>
  <c r="B1405"/>
  <c r="B1406"/>
  <c r="B1407"/>
  <c r="B1408"/>
  <c r="B1409"/>
  <c r="B1410"/>
  <c r="B1411"/>
  <c r="B1412"/>
  <c r="B1413"/>
  <c r="B1414"/>
  <c r="B1415"/>
  <c r="B1416"/>
  <c r="B1417"/>
  <c r="B1418"/>
  <c r="B1419"/>
  <c r="B1420"/>
  <c r="B1421"/>
  <c r="B1422"/>
  <c r="B1423"/>
  <c r="B1424"/>
  <c r="B1446"/>
  <c r="B1458"/>
  <c r="B1463"/>
  <c r="B1476"/>
  <c r="B1491"/>
  <c r="B1465"/>
  <c r="B1478"/>
  <c r="B1457"/>
  <c r="B1462"/>
  <c r="B1473"/>
  <c r="B1480"/>
  <c r="B1486"/>
  <c r="B1471"/>
  <c r="B1490"/>
  <c r="B1474"/>
  <c r="B1487"/>
  <c r="B1524"/>
  <c r="B1525"/>
  <c r="B1526"/>
  <c r="B1527"/>
  <c r="B2243"/>
  <c r="B2244"/>
  <c r="B2228"/>
  <c r="B2255"/>
  <c r="B2229"/>
  <c r="B2256"/>
  <c r="B2257"/>
  <c r="B2240"/>
  <c r="B1528"/>
  <c r="B1529"/>
  <c r="B1489"/>
  <c r="B1479"/>
  <c r="B1508"/>
  <c r="B1499"/>
  <c r="B1482"/>
  <c r="B1475"/>
  <c r="B1495"/>
  <c r="B1485"/>
  <c r="B1497"/>
  <c r="B1494"/>
  <c r="B1523"/>
  <c r="B1515"/>
  <c r="B1488"/>
  <c r="B1483"/>
  <c r="B1492"/>
  <c r="B1513"/>
  <c r="B1554"/>
  <c r="B1578"/>
  <c r="B1579"/>
  <c r="B1522"/>
  <c r="B1590"/>
  <c r="B1557"/>
  <c r="B1561"/>
  <c r="B1588"/>
  <c r="B1550"/>
  <c r="B1587"/>
  <c r="B1530"/>
  <c r="B1531"/>
  <c r="B1532"/>
  <c r="B1534"/>
  <c r="B1115"/>
  <c r="B1116"/>
  <c r="B1132"/>
  <c r="B1535"/>
  <c r="B1536"/>
  <c r="B1538"/>
  <c r="B1539"/>
  <c r="B1540"/>
  <c r="B1676"/>
  <c r="B1547"/>
  <c r="B1548"/>
  <c r="B2227"/>
  <c r="B1566"/>
  <c r="B2204"/>
  <c r="B1568"/>
  <c r="B2238"/>
  <c r="B1677"/>
  <c r="B2239"/>
  <c r="B1681"/>
  <c r="B1683"/>
  <c r="B1685"/>
  <c r="B1597"/>
  <c r="B1585"/>
  <c r="B1603"/>
  <c r="B1583"/>
  <c r="B1610"/>
  <c r="B1608"/>
  <c r="B1611"/>
  <c r="B1591"/>
  <c r="B1605"/>
  <c r="B1609"/>
  <c r="B1619"/>
  <c r="B1593"/>
  <c r="B1615"/>
  <c r="B1606"/>
  <c r="B1604"/>
  <c r="B1617"/>
  <c r="B1602"/>
  <c r="B1618"/>
  <c r="B1614"/>
  <c r="B1612"/>
  <c r="B1622"/>
  <c r="B1613"/>
  <c r="B1627"/>
  <c r="B1607"/>
  <c r="B1629"/>
  <c r="B1628"/>
  <c r="B1623"/>
  <c r="B1620"/>
  <c r="B1621"/>
  <c r="B1630"/>
  <c r="B1639"/>
  <c r="B1635"/>
  <c r="B1616"/>
  <c r="B1638"/>
  <c r="B1641"/>
  <c r="B1626"/>
  <c r="B1653"/>
  <c r="B1652"/>
  <c r="B1662"/>
  <c r="B1667"/>
  <c r="B1636"/>
  <c r="B1669"/>
  <c r="B1640"/>
  <c r="B1631"/>
  <c r="B1632"/>
  <c r="B1661"/>
  <c r="B1724"/>
  <c r="B1665"/>
  <c r="B1666"/>
  <c r="B1725"/>
  <c r="B1719"/>
  <c r="B1659"/>
  <c r="B1729"/>
  <c r="B1672"/>
  <c r="B1726"/>
  <c r="B1738"/>
  <c r="B2266"/>
  <c r="B1720"/>
  <c r="B1739"/>
  <c r="B1722"/>
  <c r="B1736"/>
  <c r="B1748"/>
  <c r="B1723"/>
  <c r="B1728"/>
  <c r="B2280"/>
  <c r="B2284"/>
  <c r="B1678"/>
  <c r="B1709"/>
  <c r="B2292"/>
  <c r="B2316"/>
  <c r="B2295"/>
  <c r="B2254"/>
  <c r="B2319"/>
  <c r="B2317"/>
  <c r="B2315"/>
  <c r="B2318"/>
  <c r="B1711"/>
  <c r="B1714"/>
  <c r="B1943"/>
  <c r="B1944"/>
  <c r="B1945"/>
  <c r="B2118"/>
  <c r="B2119"/>
  <c r="B1948"/>
  <c r="B1949"/>
  <c r="B2036"/>
  <c r="B2037"/>
  <c r="B2038"/>
  <c r="B2039"/>
  <c r="B2040"/>
  <c r="B2065"/>
  <c r="B2129"/>
  <c r="B2502"/>
  <c r="B1958"/>
  <c r="B1959"/>
  <c r="B1960"/>
  <c r="B1985"/>
  <c r="B2071"/>
  <c r="B1963"/>
  <c r="B1964"/>
  <c r="B1966"/>
  <c r="B1976"/>
  <c r="B2068"/>
  <c r="B2069"/>
  <c r="B1969"/>
  <c r="B1970"/>
  <c r="B1971"/>
  <c r="B1972"/>
  <c r="B1973"/>
  <c r="B2070"/>
  <c r="B2109"/>
  <c r="B1977"/>
  <c r="B1978"/>
  <c r="B1979"/>
  <c r="B1996"/>
  <c r="B2110"/>
  <c r="B2111"/>
  <c r="B2072"/>
  <c r="B2073"/>
  <c r="B2074"/>
  <c r="B2130"/>
  <c r="B1986"/>
  <c r="B1987"/>
  <c r="B2739"/>
  <c r="B2897"/>
  <c r="B2900"/>
  <c r="B2151"/>
  <c r="B2152"/>
  <c r="B1994"/>
  <c r="B1995"/>
  <c r="B2014"/>
  <c r="B1997"/>
  <c r="B1998"/>
  <c r="B1999"/>
  <c r="B2007"/>
  <c r="B2153"/>
  <c r="B2154"/>
  <c r="B2002"/>
  <c r="B2003"/>
  <c r="B2004"/>
  <c r="B2155"/>
  <c r="B2417"/>
  <c r="B2008"/>
  <c r="B2023"/>
  <c r="B2009"/>
  <c r="B2010"/>
  <c r="B2011"/>
  <c r="B3687"/>
  <c r="B3688"/>
  <c r="B2013"/>
  <c r="B3174"/>
  <c r="B2015"/>
  <c r="B2016"/>
  <c r="B2017"/>
  <c r="B2018"/>
  <c r="B2019"/>
  <c r="B2059"/>
  <c r="B3333"/>
  <c r="B3526"/>
  <c r="B3165"/>
  <c r="B2024"/>
  <c r="B2025"/>
  <c r="B2026"/>
  <c r="B2027"/>
  <c r="B2028"/>
  <c r="B2029"/>
  <c r="B2030"/>
  <c r="B2043"/>
  <c r="B2032"/>
  <c r="B2033"/>
  <c r="B2034"/>
  <c r="B2052"/>
  <c r="B2476"/>
  <c r="B2526"/>
  <c r="B2618"/>
  <c r="B2637"/>
  <c r="B2655"/>
  <c r="B2703"/>
  <c r="B2041"/>
  <c r="B2042"/>
  <c r="B2046"/>
  <c r="B2047"/>
  <c r="B2048"/>
  <c r="B2075"/>
  <c r="B2076"/>
  <c r="B2077"/>
  <c r="B2049"/>
  <c r="B2050"/>
  <c r="B2051"/>
  <c r="B2054"/>
  <c r="B2055"/>
  <c r="B2542"/>
  <c r="B3880"/>
  <c r="B2057"/>
  <c r="B2058"/>
  <c r="B2081"/>
  <c r="B2061"/>
  <c r="B2062"/>
  <c r="B2063"/>
  <c r="B2064"/>
  <c r="B2087"/>
  <c r="B2088"/>
  <c r="B4006"/>
  <c r="B4007"/>
  <c r="B4008"/>
  <c r="B4009"/>
  <c r="B4010"/>
  <c r="B4011"/>
  <c r="B2910"/>
  <c r="B2938"/>
  <c r="B2984"/>
  <c r="B3028"/>
  <c r="B3069"/>
  <c r="B3140"/>
  <c r="B2133"/>
  <c r="B2643"/>
  <c r="B2644"/>
  <c r="B2664"/>
  <c r="B2079"/>
  <c r="B2080"/>
  <c r="B2148"/>
  <c r="B2149"/>
  <c r="B2156"/>
  <c r="B2157"/>
  <c r="B2082"/>
  <c r="B2083"/>
  <c r="B2084"/>
  <c r="B2085"/>
  <c r="B2086"/>
  <c r="B2134"/>
  <c r="B2089"/>
  <c r="B2090"/>
  <c r="B2091"/>
  <c r="B2092"/>
  <c r="B2093"/>
  <c r="B2094"/>
  <c r="B2095"/>
  <c r="B2096"/>
  <c r="B2097"/>
  <c r="B2098"/>
  <c r="B2182"/>
  <c r="B2183"/>
  <c r="B1713"/>
  <c r="B1715"/>
  <c r="B1830"/>
  <c r="B1832"/>
  <c r="B2100"/>
  <c r="B2101"/>
  <c r="B2105"/>
  <c r="B2106"/>
  <c r="B2140"/>
  <c r="B2141"/>
  <c r="B3382"/>
  <c r="B3475"/>
  <c r="B3571"/>
  <c r="B3623"/>
  <c r="B3742"/>
  <c r="B3772"/>
  <c r="B2115"/>
  <c r="B2116"/>
  <c r="B2117"/>
  <c r="B3775"/>
  <c r="B4235"/>
  <c r="B2120"/>
  <c r="B2121"/>
  <c r="B2122"/>
  <c r="B2123"/>
  <c r="B2124"/>
  <c r="B2125"/>
  <c r="B2126"/>
  <c r="B2127"/>
  <c r="B2128"/>
  <c r="B4266"/>
  <c r="B2665"/>
  <c r="B2136"/>
  <c r="B3980"/>
  <c r="B2937"/>
  <c r="B3005"/>
  <c r="B3327"/>
  <c r="B3350"/>
  <c r="B3480"/>
  <c r="B3538"/>
  <c r="B3610"/>
  <c r="B3628"/>
  <c r="B2145"/>
  <c r="B2146"/>
  <c r="B2147"/>
  <c r="B2180"/>
  <c r="B2181"/>
  <c r="B3907"/>
  <c r="B3950"/>
  <c r="B4130"/>
  <c r="B4216"/>
  <c r="B4370"/>
  <c r="B4506"/>
  <c r="B2166"/>
  <c r="B2167"/>
  <c r="B2356"/>
  <c r="B2357"/>
  <c r="B2358"/>
  <c r="B2359"/>
  <c r="B2360"/>
  <c r="B2361"/>
  <c r="B2362"/>
  <c r="B2363"/>
  <c r="B2364"/>
  <c r="B2365"/>
  <c r="B2366"/>
  <c r="B2375"/>
  <c r="B2376"/>
  <c r="B2367"/>
  <c r="B2368"/>
  <c r="B2369"/>
  <c r="B2370"/>
  <c r="B2371"/>
  <c r="B2372"/>
  <c r="B2373"/>
  <c r="B2374"/>
  <c r="B2377"/>
  <c r="B2378"/>
  <c r="B2379"/>
  <c r="B2380"/>
  <c r="B2381"/>
  <c r="B2382"/>
  <c r="B720"/>
  <c r="B2384"/>
  <c r="B2385"/>
  <c r="B2386"/>
  <c r="B2387"/>
  <c r="B2388"/>
  <c r="B774"/>
  <c r="B2392"/>
  <c r="B2389"/>
  <c r="B2390"/>
  <c r="B249"/>
  <c r="B250"/>
  <c r="B2397"/>
  <c r="B2398"/>
  <c r="B2401"/>
  <c r="B2393"/>
  <c r="B2394"/>
  <c r="B2395"/>
  <c r="B2396"/>
  <c r="B2405"/>
  <c r="B2406"/>
  <c r="B2402"/>
  <c r="B2403"/>
  <c r="B2407"/>
  <c r="B2408"/>
  <c r="B2409"/>
  <c r="B2410"/>
  <c r="B2412"/>
  <c r="B2411"/>
  <c r="B2415"/>
  <c r="B2416"/>
  <c r="B1874"/>
  <c r="B2418"/>
  <c r="B2419"/>
  <c r="B2413"/>
  <c r="B2414"/>
  <c r="B2428"/>
  <c r="B2420"/>
  <c r="B2421"/>
  <c r="B2422"/>
  <c r="B2423"/>
  <c r="B2424"/>
  <c r="B2425"/>
  <c r="B2426"/>
  <c r="B2427"/>
  <c r="B2432"/>
  <c r="B2433"/>
  <c r="B2434"/>
  <c r="B2429"/>
  <c r="B2430"/>
  <c r="B749"/>
  <c r="B2435"/>
  <c r="B2436"/>
  <c r="B2437"/>
  <c r="B2438"/>
  <c r="B2439"/>
  <c r="B2440"/>
  <c r="B2442"/>
  <c r="B2443"/>
  <c r="B2444"/>
  <c r="B2445"/>
  <c r="B2446"/>
  <c r="B2448"/>
  <c r="B2449"/>
  <c r="B2450"/>
  <c r="B2451"/>
  <c r="B2458"/>
  <c r="B2459"/>
  <c r="B2452"/>
  <c r="B2456"/>
  <c r="B2460"/>
  <c r="B2461"/>
  <c r="B2455"/>
  <c r="B2457"/>
  <c r="B2462"/>
  <c r="B2463"/>
  <c r="B2453"/>
  <c r="B2454"/>
  <c r="B2464"/>
  <c r="B2465"/>
  <c r="B2466"/>
  <c r="B2467"/>
  <c r="B2468"/>
  <c r="B2469"/>
  <c r="B256"/>
  <c r="B2475"/>
  <c r="B2479"/>
  <c r="B1875"/>
  <c r="B2477"/>
  <c r="B2478"/>
  <c r="B252"/>
  <c r="B2488"/>
  <c r="B2490"/>
  <c r="B2491"/>
  <c r="B2492"/>
  <c r="B2486"/>
  <c r="B2487"/>
  <c r="B2489"/>
  <c r="B2483"/>
  <c r="B2495"/>
  <c r="B2496"/>
  <c r="B2493"/>
  <c r="B2494"/>
  <c r="B2484"/>
  <c r="B2485"/>
  <c r="B2499"/>
  <c r="B2500"/>
  <c r="B2501"/>
  <c r="B1858"/>
  <c r="B2503"/>
  <c r="B2504"/>
  <c r="B1859"/>
  <c r="B2506"/>
  <c r="B2507"/>
  <c r="B2497"/>
  <c r="B2498"/>
  <c r="B494"/>
  <c r="B2508"/>
  <c r="B2509"/>
  <c r="B2510"/>
  <c r="B2511"/>
  <c r="B2512"/>
  <c r="B2513"/>
  <c r="B2514"/>
  <c r="B2515"/>
  <c r="B2517"/>
  <c r="B2519"/>
  <c r="B2520"/>
  <c r="B2521"/>
  <c r="B2522"/>
  <c r="B2525"/>
  <c r="B1887"/>
  <c r="B2527"/>
  <c r="B2528"/>
  <c r="B2400"/>
  <c r="B2538"/>
  <c r="B2523"/>
  <c r="B2524"/>
  <c r="B2529"/>
  <c r="B2530"/>
  <c r="B2536"/>
  <c r="B497"/>
  <c r="B1880"/>
  <c r="B2540"/>
  <c r="B2541"/>
  <c r="B2031"/>
  <c r="B2543"/>
  <c r="B2544"/>
  <c r="B2545"/>
  <c r="B2546"/>
  <c r="B2547"/>
  <c r="B2548"/>
  <c r="B2549"/>
  <c r="B2550"/>
  <c r="B2551"/>
  <c r="B2531"/>
  <c r="B2532"/>
  <c r="B2554"/>
  <c r="B2560"/>
  <c r="B255"/>
  <c r="B2552"/>
  <c r="B2553"/>
  <c r="B2566"/>
  <c r="B2567"/>
  <c r="B2568"/>
  <c r="B2569"/>
  <c r="B2570"/>
  <c r="B2571"/>
  <c r="B2572"/>
  <c r="B2573"/>
  <c r="B2562"/>
  <c r="B2563"/>
  <c r="B2564"/>
  <c r="B2565"/>
  <c r="B2472"/>
  <c r="B2584"/>
  <c r="B2585"/>
  <c r="B2586"/>
  <c r="B2587"/>
  <c r="B2588"/>
  <c r="B2589"/>
  <c r="B2590"/>
  <c r="B2591"/>
  <c r="B2574"/>
  <c r="B2575"/>
  <c r="B2594"/>
  <c r="B1888"/>
  <c r="B2535"/>
  <c r="B2601"/>
  <c r="B2576"/>
  <c r="B2577"/>
  <c r="B2605"/>
  <c r="B2606"/>
  <c r="B2607"/>
  <c r="B2608"/>
  <c r="B2609"/>
  <c r="B2610"/>
  <c r="B2592"/>
  <c r="B2612"/>
  <c r="B2593"/>
  <c r="B2602"/>
  <c r="B2603"/>
  <c r="B2616"/>
  <c r="B2617"/>
  <c r="B1891"/>
  <c r="B2619"/>
  <c r="B2620"/>
  <c r="B2621"/>
  <c r="B2604"/>
  <c r="B2611"/>
  <c r="B506"/>
  <c r="B2613"/>
  <c r="B2614"/>
  <c r="B2615"/>
  <c r="B2622"/>
  <c r="B2623"/>
  <c r="B2625"/>
  <c r="B2626"/>
  <c r="B2627"/>
  <c r="B2628"/>
  <c r="B2629"/>
  <c r="B2630"/>
  <c r="B2631"/>
  <c r="B2632"/>
  <c r="B2633"/>
  <c r="B2639"/>
  <c r="B2640"/>
  <c r="B2641"/>
  <c r="B2642"/>
  <c r="B1961"/>
  <c r="B1962"/>
  <c r="B2645"/>
  <c r="B2646"/>
  <c r="B2647"/>
  <c r="B2648"/>
  <c r="B2649"/>
  <c r="B2650"/>
  <c r="B2651"/>
  <c r="B2652"/>
  <c r="B2653"/>
  <c r="B1898"/>
  <c r="B2656"/>
  <c r="B2657"/>
  <c r="B2654"/>
  <c r="B2658"/>
  <c r="B2659"/>
  <c r="B2660"/>
  <c r="B2661"/>
  <c r="B2662"/>
  <c r="B2663"/>
  <c r="B1982"/>
  <c r="B1983"/>
  <c r="B2666"/>
  <c r="B2667"/>
  <c r="B2668"/>
  <c r="B2669"/>
  <c r="B2670"/>
  <c r="B2671"/>
  <c r="B2672"/>
  <c r="B2673"/>
  <c r="B2678"/>
  <c r="B2677"/>
  <c r="B2681"/>
  <c r="B2676"/>
  <c r="B2680"/>
  <c r="B2682"/>
  <c r="B2683"/>
  <c r="B2684"/>
  <c r="B2685"/>
  <c r="B2686"/>
  <c r="B2679"/>
  <c r="B2687"/>
  <c r="B2688"/>
  <c r="B2674"/>
  <c r="B2675"/>
  <c r="B2689"/>
  <c r="B2690"/>
  <c r="B2696"/>
  <c r="B2697"/>
  <c r="B2698"/>
  <c r="B2694"/>
  <c r="B2699"/>
  <c r="B2695"/>
  <c r="B2700"/>
  <c r="B2701"/>
  <c r="B2702"/>
  <c r="B2704"/>
  <c r="B2691"/>
  <c r="B1917"/>
  <c r="B2692"/>
  <c r="B935"/>
  <c r="B2705"/>
  <c r="B2706"/>
  <c r="B2707"/>
  <c r="B2708"/>
  <c r="B2709"/>
  <c r="B2710"/>
  <c r="B2711"/>
  <c r="B2712"/>
  <c r="B2713"/>
  <c r="B2714"/>
  <c r="B2715"/>
  <c r="B2716"/>
  <c r="B2717"/>
  <c r="B2718"/>
  <c r="B2719"/>
  <c r="B2720"/>
  <c r="B2724"/>
  <c r="B2725"/>
  <c r="B2721"/>
  <c r="B2726"/>
  <c r="B2727"/>
  <c r="B2728"/>
  <c r="B2729"/>
  <c r="B2730"/>
  <c r="B2731"/>
  <c r="B2732"/>
  <c r="B2733"/>
  <c r="B2734"/>
  <c r="B2735"/>
  <c r="B1914"/>
  <c r="B2737"/>
  <c r="B2738"/>
  <c r="B1915"/>
  <c r="B2740"/>
  <c r="B2741"/>
  <c r="B1918"/>
  <c r="B2743"/>
  <c r="B2744"/>
  <c r="B2745"/>
  <c r="B2746"/>
  <c r="B2747"/>
  <c r="B2748"/>
  <c r="B2749"/>
  <c r="B2750"/>
  <c r="B2751"/>
  <c r="B2752"/>
  <c r="B768"/>
  <c r="B2754"/>
  <c r="B2755"/>
  <c r="B775"/>
  <c r="B2757"/>
  <c r="B2758"/>
  <c r="B1910"/>
  <c r="B2760"/>
  <c r="B2761"/>
  <c r="B2762"/>
  <c r="B2722"/>
  <c r="B2723"/>
  <c r="B870"/>
  <c r="B2764"/>
  <c r="B2768"/>
  <c r="B2769"/>
  <c r="B2770"/>
  <c r="B2771"/>
  <c r="B2772"/>
  <c r="B2773"/>
  <c r="B2774"/>
  <c r="B2775"/>
  <c r="B2765"/>
  <c r="B2766"/>
  <c r="B2767"/>
  <c r="B2776"/>
  <c r="B2781"/>
  <c r="B2782"/>
  <c r="B512"/>
  <c r="B2783"/>
  <c r="B2784"/>
  <c r="B2785"/>
  <c r="B2786"/>
  <c r="B2787"/>
  <c r="B2788"/>
  <c r="B2777"/>
  <c r="B2778"/>
  <c r="B2779"/>
  <c r="B2789"/>
  <c r="B2793"/>
  <c r="B2790"/>
  <c r="B2791"/>
  <c r="B2792"/>
  <c r="B2795"/>
  <c r="B2799"/>
  <c r="B2800"/>
  <c r="B2801"/>
  <c r="B2802"/>
  <c r="B2803"/>
  <c r="B2804"/>
  <c r="B2805"/>
  <c r="B2806"/>
  <c r="B2796"/>
  <c r="B2797"/>
  <c r="B2798"/>
  <c r="B2807"/>
  <c r="B2808"/>
  <c r="B2809"/>
  <c r="B2810"/>
  <c r="B2814"/>
  <c r="B2815"/>
  <c r="B2816"/>
  <c r="B2817"/>
  <c r="B2819"/>
  <c r="B2820"/>
  <c r="B2821"/>
  <c r="B2822"/>
  <c r="B2818"/>
  <c r="B938"/>
  <c r="B2812"/>
  <c r="B2813"/>
  <c r="B1919"/>
  <c r="B2828"/>
  <c r="B2829"/>
  <c r="B2823"/>
  <c r="B2824"/>
  <c r="B2825"/>
  <c r="B2826"/>
  <c r="B2830"/>
  <c r="B2831"/>
  <c r="B2835"/>
  <c r="B2634"/>
  <c r="B2635"/>
  <c r="B2636"/>
  <c r="B1896"/>
  <c r="B1897"/>
  <c r="B2832"/>
  <c r="B2833"/>
  <c r="B2834"/>
  <c r="B2836"/>
  <c r="B2837"/>
  <c r="B2838"/>
  <c r="B2839"/>
  <c r="B2931"/>
  <c r="B2932"/>
  <c r="B2933"/>
  <c r="B2934"/>
  <c r="B2935"/>
  <c r="B2936"/>
  <c r="B2943"/>
  <c r="B3063"/>
  <c r="B3064"/>
  <c r="B3065"/>
  <c r="B3066"/>
  <c r="B3067"/>
  <c r="B3068"/>
  <c r="B3074"/>
  <c r="B3075"/>
  <c r="B3076"/>
  <c r="B3351"/>
  <c r="B3368"/>
  <c r="B3369"/>
  <c r="B3370"/>
  <c r="B3373"/>
  <c r="B3374"/>
  <c r="B3505"/>
  <c r="B3513"/>
  <c r="B3514"/>
  <c r="B3517"/>
  <c r="B1445"/>
  <c r="B1384"/>
  <c r="B1443"/>
  <c r="B1448"/>
  <c r="B1454"/>
  <c r="B1764"/>
  <c r="B1645"/>
  <c r="B1646"/>
  <c r="B1642"/>
  <c r="B2199"/>
  <c r="B2282"/>
  <c r="B2283"/>
  <c r="B1643"/>
  <c r="B1644"/>
  <c r="B1468"/>
  <c r="B1481"/>
  <c r="B1460"/>
  <c r="B1470"/>
  <c r="B1472"/>
  <c r="B1452"/>
  <c r="B2231"/>
  <c r="B1466"/>
  <c r="B1449"/>
  <c r="B2214"/>
  <c r="B2242"/>
  <c r="B2232"/>
  <c r="B2299"/>
  <c r="B1599"/>
  <c r="B1601"/>
  <c r="B1572"/>
  <c r="B1589"/>
  <c r="B1573"/>
  <c r="B1594"/>
  <c r="B1600"/>
  <c r="B1592"/>
  <c r="B2268"/>
  <c r="B2297"/>
  <c r="B2253"/>
  <c r="B2241"/>
  <c r="B2296"/>
  <c r="B1747"/>
  <c r="B2272"/>
  <c r="B2273"/>
  <c r="B2289"/>
  <c r="B1761"/>
  <c r="B1776"/>
  <c r="B2208"/>
  <c r="B2291"/>
  <c r="B2328"/>
  <c r="B2329"/>
  <c r="B2330"/>
  <c r="B2331"/>
  <c r="B2332"/>
  <c r="B2333"/>
  <c r="B2334"/>
  <c r="B2335"/>
  <c r="B2336"/>
  <c r="B2337"/>
  <c r="B2338"/>
  <c r="B2340"/>
  <c r="B2341"/>
  <c r="B2342"/>
  <c r="B2343"/>
  <c r="B2344"/>
  <c r="B2840"/>
  <c r="B2841"/>
  <c r="B2842"/>
  <c r="B2843"/>
  <c r="B2844"/>
  <c r="B841"/>
  <c r="B2861"/>
  <c r="B2862"/>
  <c r="B2863"/>
  <c r="B2878"/>
  <c r="B2879"/>
  <c r="B2880"/>
  <c r="B2881"/>
  <c r="B2893"/>
  <c r="B2894"/>
  <c r="B2895"/>
  <c r="B2913"/>
  <c r="B2914"/>
  <c r="B2915"/>
  <c r="B2916"/>
  <c r="B2918"/>
  <c r="B2919"/>
  <c r="B2920"/>
  <c r="B2921"/>
  <c r="B2922"/>
  <c r="B2923"/>
  <c r="B2944"/>
  <c r="B2947"/>
  <c r="B2948"/>
  <c r="B2949"/>
  <c r="B2963"/>
  <c r="B2964"/>
  <c r="B2973"/>
  <c r="B2974"/>
  <c r="B2975"/>
  <c r="B2976"/>
  <c r="B3019"/>
  <c r="B3020"/>
  <c r="B3031"/>
  <c r="B3032"/>
  <c r="B3036"/>
  <c r="B3037"/>
  <c r="B3055"/>
  <c r="B3056"/>
  <c r="B3057"/>
  <c r="B3058"/>
  <c r="B3059"/>
  <c r="B3060"/>
  <c r="B3061"/>
  <c r="B597"/>
  <c r="B3077"/>
  <c r="B3078"/>
  <c r="B3079"/>
  <c r="B3080"/>
  <c r="B3081"/>
  <c r="B2005"/>
  <c r="B3070"/>
  <c r="B3071"/>
  <c r="B3072"/>
  <c r="B3073"/>
  <c r="B3082"/>
  <c r="B3083"/>
  <c r="B3084"/>
  <c r="B3096"/>
  <c r="B3107"/>
  <c r="B3108"/>
  <c r="B3109"/>
  <c r="B3130"/>
  <c r="B3131"/>
  <c r="B3085"/>
  <c r="B3086"/>
  <c r="B3087"/>
  <c r="B3088"/>
  <c r="B3089"/>
  <c r="B3090"/>
  <c r="B3091"/>
  <c r="B3092"/>
  <c r="B3093"/>
  <c r="B3094"/>
  <c r="B3095"/>
  <c r="B3137"/>
  <c r="B3098"/>
  <c r="B282"/>
  <c r="B3101"/>
  <c r="B300"/>
  <c r="B3103"/>
  <c r="B3104"/>
  <c r="B3099"/>
  <c r="B3105"/>
  <c r="B3106"/>
  <c r="B3097"/>
  <c r="B3138"/>
  <c r="B3139"/>
  <c r="B3143"/>
  <c r="B3128"/>
  <c r="B3129"/>
  <c r="B3115"/>
  <c r="B3116"/>
  <c r="B3117"/>
  <c r="B3118"/>
  <c r="B3119"/>
  <c r="B3120"/>
  <c r="B3121"/>
  <c r="B3122"/>
  <c r="B3123"/>
  <c r="B3112"/>
  <c r="B3113"/>
  <c r="B3124"/>
  <c r="B3125"/>
  <c r="B3114"/>
  <c r="B3126"/>
  <c r="B3110"/>
  <c r="B3127"/>
  <c r="B3111"/>
  <c r="B3144"/>
  <c r="B3145"/>
  <c r="B3136"/>
  <c r="B3132"/>
  <c r="B3133"/>
  <c r="B3134"/>
  <c r="B3135"/>
  <c r="B3146"/>
  <c r="B2006"/>
  <c r="B3141"/>
  <c r="B3142"/>
  <c r="B3180"/>
  <c r="B3181"/>
  <c r="B3218"/>
  <c r="B3219"/>
  <c r="B3156"/>
  <c r="B3153"/>
  <c r="B2558"/>
  <c r="B2559"/>
  <c r="B2561"/>
  <c r="B2987"/>
  <c r="B2988"/>
  <c r="B2989"/>
  <c r="B3154"/>
  <c r="B3155"/>
  <c r="B3157"/>
  <c r="B3160"/>
  <c r="B3161"/>
  <c r="B3162"/>
  <c r="B3163"/>
  <c r="B3164"/>
  <c r="B1990"/>
  <c r="B3166"/>
  <c r="B3167"/>
  <c r="B2020"/>
  <c r="B3169"/>
  <c r="B3170"/>
  <c r="B866"/>
  <c r="B3172"/>
  <c r="B3173"/>
  <c r="B2012"/>
  <c r="B3175"/>
  <c r="B3176"/>
  <c r="B3177"/>
  <c r="B3178"/>
  <c r="B3179"/>
  <c r="B3220"/>
  <c r="B3221"/>
  <c r="B3208"/>
  <c r="B3188"/>
  <c r="B3192"/>
  <c r="B3189"/>
  <c r="B3100"/>
  <c r="B3102"/>
  <c r="B3195"/>
  <c r="B3196"/>
  <c r="B3197"/>
  <c r="B3191"/>
  <c r="B3198"/>
  <c r="B3199"/>
  <c r="B601"/>
  <c r="B816"/>
  <c r="B3202"/>
  <c r="B3203"/>
  <c r="B3182"/>
  <c r="B3184"/>
  <c r="B3183"/>
  <c r="B3186"/>
  <c r="B3185"/>
  <c r="B3187"/>
  <c r="B3317"/>
  <c r="B3204"/>
  <c r="B3205"/>
  <c r="B3206"/>
  <c r="B3207"/>
  <c r="B3217"/>
  <c r="B3209"/>
  <c r="B3210"/>
  <c r="B3211"/>
  <c r="B3212"/>
  <c r="B3213"/>
  <c r="B3214"/>
  <c r="B3215"/>
  <c r="B3216"/>
  <c r="B3222"/>
  <c r="B3223"/>
  <c r="B3224"/>
  <c r="B3225"/>
  <c r="B3226"/>
  <c r="B3234"/>
  <c r="B3235"/>
  <c r="B3233"/>
  <c r="B2990"/>
  <c r="B3232"/>
  <c r="B2991"/>
  <c r="B3147"/>
  <c r="B3148"/>
  <c r="B3149"/>
  <c r="B3236"/>
  <c r="B3283"/>
  <c r="B3252"/>
  <c r="B3284"/>
  <c r="B3249"/>
  <c r="B603"/>
  <c r="B2035"/>
  <c r="B3255"/>
  <c r="B3256"/>
  <c r="B607"/>
  <c r="B3251"/>
  <c r="B3257"/>
  <c r="B3237"/>
  <c r="B3258"/>
  <c r="B3259"/>
  <c r="B3238"/>
  <c r="B3260"/>
  <c r="B3261"/>
  <c r="B3239"/>
  <c r="B3262"/>
  <c r="B3263"/>
  <c r="B3240"/>
  <c r="B3264"/>
  <c r="B3265"/>
  <c r="B3266"/>
  <c r="B3241"/>
  <c r="B3267"/>
  <c r="B3268"/>
  <c r="B3242"/>
  <c r="B3269"/>
  <c r="B3270"/>
  <c r="B3243"/>
  <c r="B3271"/>
  <c r="B3272"/>
  <c r="B3244"/>
  <c r="B3273"/>
  <c r="B3274"/>
  <c r="B3245"/>
  <c r="B3275"/>
  <c r="B3276"/>
  <c r="B3246"/>
  <c r="B3277"/>
  <c r="B3278"/>
  <c r="B3247"/>
  <c r="B3279"/>
  <c r="B3280"/>
  <c r="B3248"/>
  <c r="B3281"/>
  <c r="B3282"/>
  <c r="B3285"/>
  <c r="B3286"/>
  <c r="B3287"/>
  <c r="B3288"/>
  <c r="B3303"/>
  <c r="B3304"/>
  <c r="B3293"/>
  <c r="B3291"/>
  <c r="B3292"/>
  <c r="B3289"/>
  <c r="B3290"/>
  <c r="B3294"/>
  <c r="B3295"/>
  <c r="B3296"/>
  <c r="B3297"/>
  <c r="B3298"/>
  <c r="B3299"/>
  <c r="B3300"/>
  <c r="B3301"/>
  <c r="B3302"/>
  <c r="B3305"/>
  <c r="B3306"/>
  <c r="B3307"/>
  <c r="B3308"/>
  <c r="B3309"/>
  <c r="B3310"/>
  <c r="B3311"/>
  <c r="B3312"/>
  <c r="B3338"/>
  <c r="B3319"/>
  <c r="B3320"/>
  <c r="B1965"/>
  <c r="B3322"/>
  <c r="B3323"/>
  <c r="B3324"/>
  <c r="B3325"/>
  <c r="B3326"/>
  <c r="B614"/>
  <c r="B3190"/>
  <c r="B3313"/>
  <c r="B3314"/>
  <c r="B3315"/>
  <c r="B3328"/>
  <c r="B3318"/>
  <c r="B3329"/>
  <c r="B2021"/>
  <c r="B3331"/>
  <c r="B3332"/>
  <c r="B2022"/>
  <c r="B3334"/>
  <c r="B3335"/>
  <c r="B3336"/>
  <c r="B3316"/>
  <c r="B3337"/>
  <c r="B615"/>
  <c r="B3339"/>
  <c r="B3340"/>
  <c r="B3341"/>
  <c r="B3342"/>
  <c r="B3343"/>
  <c r="B3344"/>
  <c r="B3346"/>
  <c r="B3347"/>
  <c r="B3348"/>
  <c r="B3349"/>
  <c r="B3345"/>
  <c r="B3366"/>
  <c r="B3367"/>
  <c r="B3375"/>
  <c r="B3352"/>
  <c r="B3353"/>
  <c r="B3354"/>
  <c r="B3355"/>
  <c r="B3356"/>
  <c r="B3357"/>
  <c r="B3358"/>
  <c r="B3359"/>
  <c r="B3360"/>
  <c r="B3361"/>
  <c r="B3362"/>
  <c r="B3363"/>
  <c r="B3364"/>
  <c r="B3365"/>
  <c r="B3376"/>
  <c r="B3378"/>
  <c r="B3379"/>
  <c r="B3371"/>
  <c r="B3372"/>
  <c r="B3401"/>
  <c r="B3402"/>
  <c r="B273"/>
  <c r="B3403"/>
  <c r="B3404"/>
  <c r="B3380"/>
  <c r="B3381"/>
  <c r="B3400"/>
  <c r="B2066"/>
  <c r="B3383"/>
  <c r="B3384"/>
  <c r="B3385"/>
  <c r="B3386"/>
  <c r="B3387"/>
  <c r="B3388"/>
  <c r="B3391"/>
  <c r="B3392"/>
  <c r="B1984"/>
  <c r="B891"/>
  <c r="B3395"/>
  <c r="B3396"/>
  <c r="B861"/>
  <c r="B3398"/>
  <c r="B3399"/>
  <c r="B3425"/>
  <c r="B3426"/>
  <c r="B3427"/>
  <c r="B3408"/>
  <c r="B3409"/>
  <c r="B3410"/>
  <c r="B3411"/>
  <c r="B3040"/>
  <c r="B3406"/>
  <c r="B3407"/>
  <c r="B3412"/>
  <c r="B3413"/>
  <c r="B3414"/>
  <c r="B3415"/>
  <c r="B3416"/>
  <c r="B3417"/>
  <c r="B3418"/>
  <c r="B3419"/>
  <c r="B3420"/>
  <c r="B3421"/>
  <c r="B3422"/>
  <c r="B3423"/>
  <c r="B3428"/>
  <c r="B3429"/>
  <c r="B386"/>
  <c r="B3430"/>
  <c r="B3449"/>
  <c r="B3448"/>
  <c r="B620"/>
  <c r="B3450"/>
  <c r="B619"/>
  <c r="B1073"/>
  <c r="B3434"/>
  <c r="B3435"/>
  <c r="B3443"/>
  <c r="B3405"/>
  <c r="B3431"/>
  <c r="B3436"/>
  <c r="B3437"/>
  <c r="B3438"/>
  <c r="B3439"/>
  <c r="B3440"/>
  <c r="B3441"/>
  <c r="B3442"/>
  <c r="B3445"/>
  <c r="B3446"/>
  <c r="B3447"/>
  <c r="B3451"/>
  <c r="B3452"/>
  <c r="B3453"/>
  <c r="B3454"/>
  <c r="B3455"/>
  <c r="B3456"/>
  <c r="B3457"/>
  <c r="B3458"/>
  <c r="B3460"/>
  <c r="B3462"/>
  <c r="B3463"/>
  <c r="B3464"/>
  <c r="B3465"/>
  <c r="B3466"/>
  <c r="B3467"/>
  <c r="B3468"/>
  <c r="B3469"/>
  <c r="B3470"/>
  <c r="B3459"/>
  <c r="B3461"/>
  <c r="B623"/>
  <c r="B3472"/>
  <c r="B3473"/>
  <c r="B3474"/>
  <c r="B2067"/>
  <c r="B3476"/>
  <c r="B3477"/>
  <c r="B3478"/>
  <c r="B3479"/>
  <c r="B3482"/>
  <c r="B3481"/>
  <c r="B3483"/>
  <c r="B3484"/>
  <c r="B3485"/>
  <c r="B3486"/>
  <c r="B3487"/>
  <c r="B3488"/>
  <c r="B3489"/>
  <c r="B3490"/>
  <c r="B3491"/>
  <c r="B3492"/>
  <c r="B3493"/>
  <c r="B3494"/>
  <c r="B3495"/>
  <c r="B3496"/>
  <c r="B3497"/>
  <c r="B3498"/>
  <c r="B3499"/>
  <c r="B3500"/>
  <c r="B3501"/>
  <c r="B3502"/>
  <c r="B3503"/>
  <c r="B3504"/>
  <c r="B3506"/>
  <c r="B3507"/>
  <c r="B3508"/>
  <c r="B3509"/>
  <c r="B3510"/>
  <c r="B3511"/>
  <c r="B3512"/>
  <c r="B3518"/>
  <c r="B3519"/>
  <c r="B3515"/>
  <c r="B3516"/>
  <c r="B3520"/>
  <c r="B3545"/>
  <c r="B3546"/>
  <c r="B3548"/>
  <c r="B3544"/>
  <c r="B3522"/>
  <c r="B3228"/>
  <c r="B3524"/>
  <c r="B3525"/>
  <c r="B3521"/>
  <c r="B2505"/>
  <c r="B3527"/>
  <c r="B3528"/>
  <c r="B2736"/>
  <c r="B3530"/>
  <c r="B3531"/>
  <c r="B1993"/>
  <c r="B3533"/>
  <c r="B3534"/>
  <c r="B2112"/>
  <c r="B3536"/>
  <c r="B3537"/>
  <c r="B625"/>
  <c r="B3539"/>
  <c r="B3540"/>
  <c r="B3541"/>
  <c r="B3542"/>
  <c r="B3543"/>
  <c r="B3549"/>
  <c r="B3550"/>
  <c r="B3547"/>
  <c r="B3551"/>
  <c r="B3552"/>
  <c r="B3553"/>
  <c r="B3554"/>
  <c r="B3555"/>
  <c r="B3556"/>
  <c r="B3567"/>
  <c r="B3568"/>
  <c r="B3229"/>
  <c r="B3230"/>
  <c r="B3231"/>
  <c r="B3523"/>
  <c r="B3557"/>
  <c r="B3558"/>
  <c r="B3559"/>
  <c r="B3560"/>
  <c r="B3561"/>
  <c r="B3562"/>
  <c r="B3569"/>
  <c r="B3574"/>
  <c r="B3575"/>
  <c r="B626"/>
  <c r="B2113"/>
  <c r="B3572"/>
  <c r="B3573"/>
  <c r="B3576"/>
  <c r="B3577"/>
  <c r="B3578"/>
  <c r="B3582"/>
  <c r="B3579"/>
  <c r="B3580"/>
  <c r="B3581"/>
  <c r="B3583"/>
  <c r="B3590"/>
  <c r="B3584"/>
  <c r="B3589"/>
  <c r="B3585"/>
  <c r="B3586"/>
  <c r="B3587"/>
  <c r="B3588"/>
  <c r="B3591"/>
  <c r="B3592"/>
  <c r="B3593"/>
  <c r="B3627"/>
  <c r="B286"/>
  <c r="B3598"/>
  <c r="B3599"/>
  <c r="B3600"/>
  <c r="B3595"/>
  <c r="B3601"/>
  <c r="B3602"/>
  <c r="B3596"/>
  <c r="B3597"/>
  <c r="B3603"/>
  <c r="B628"/>
  <c r="B3605"/>
  <c r="B3606"/>
  <c r="B3607"/>
  <c r="B3608"/>
  <c r="B3609"/>
  <c r="B970"/>
  <c r="B2391"/>
  <c r="B3612"/>
  <c r="B3613"/>
  <c r="B952"/>
  <c r="B3615"/>
  <c r="B3616"/>
  <c r="B868"/>
  <c r="B3618"/>
  <c r="B3619"/>
  <c r="B1049"/>
  <c r="B3621"/>
  <c r="B3622"/>
  <c r="B2114"/>
  <c r="B3624"/>
  <c r="B3625"/>
  <c r="B2131"/>
  <c r="B974"/>
  <c r="B3629"/>
  <c r="B3630"/>
  <c r="B3631"/>
  <c r="B3632"/>
  <c r="B3633"/>
  <c r="B3634"/>
  <c r="B3635"/>
  <c r="B3636"/>
  <c r="B3637"/>
  <c r="B3638"/>
  <c r="B3670"/>
  <c r="B3639"/>
  <c r="B3640"/>
  <c r="B3641"/>
  <c r="B3642"/>
  <c r="B3194"/>
  <c r="B3643"/>
  <c r="B3644"/>
  <c r="B3652"/>
  <c r="B3653"/>
  <c r="B3654"/>
  <c r="B1361"/>
  <c r="B3646"/>
  <c r="B3645"/>
  <c r="B3647"/>
  <c r="B3648"/>
  <c r="B3650"/>
  <c r="B3655"/>
  <c r="B3656"/>
  <c r="B3657"/>
  <c r="B3658"/>
  <c r="B3659"/>
  <c r="B3660"/>
  <c r="B944"/>
  <c r="B3662"/>
  <c r="B3663"/>
  <c r="B3664"/>
  <c r="B3665"/>
  <c r="B3666"/>
  <c r="B3667"/>
  <c r="B3668"/>
  <c r="B3669"/>
  <c r="B3671"/>
  <c r="B3672"/>
  <c r="B3673"/>
  <c r="B3674"/>
  <c r="B3675"/>
  <c r="B3676"/>
  <c r="B3677"/>
  <c r="B3678"/>
  <c r="B3681"/>
  <c r="B3682"/>
  <c r="B3679"/>
  <c r="B3680"/>
  <c r="B3685"/>
  <c r="B981"/>
  <c r="B3683"/>
  <c r="B3684"/>
  <c r="B3689"/>
  <c r="B3690"/>
  <c r="B2150"/>
  <c r="B3692"/>
  <c r="B3693"/>
  <c r="B3696"/>
  <c r="B3697"/>
  <c r="B3725"/>
  <c r="B3726"/>
  <c r="B3743"/>
  <c r="B3763"/>
  <c r="B987"/>
  <c r="B3701"/>
  <c r="B3714"/>
  <c r="B3715"/>
  <c r="B3721"/>
  <c r="B3722"/>
  <c r="B3720"/>
  <c r="B3723"/>
  <c r="B3724"/>
  <c r="B3737"/>
  <c r="B3735"/>
  <c r="B3738"/>
  <c r="B3739"/>
  <c r="B3736"/>
  <c r="B2595"/>
  <c r="B3756"/>
  <c r="B3757"/>
  <c r="B3755"/>
  <c r="B3759"/>
  <c r="B3760"/>
  <c r="B3787"/>
  <c r="B3788"/>
  <c r="B3804"/>
  <c r="B3805"/>
  <c r="B3806"/>
  <c r="B3807"/>
  <c r="B3808"/>
  <c r="B984"/>
  <c r="B3815"/>
  <c r="B3816"/>
  <c r="B3702"/>
  <c r="B3703"/>
  <c r="B3713"/>
  <c r="B3712"/>
  <c r="B3716"/>
  <c r="B287"/>
  <c r="B294"/>
  <c r="B296"/>
  <c r="B297"/>
  <c r="B298"/>
  <c r="B3758"/>
  <c r="B3768"/>
  <c r="B3809"/>
  <c r="B3810"/>
  <c r="B3811"/>
  <c r="B3812"/>
  <c r="B3813"/>
  <c r="B3694"/>
  <c r="B3695"/>
  <c r="B3698"/>
  <c r="B3699"/>
  <c r="B3750"/>
  <c r="B3705"/>
  <c r="B3706"/>
  <c r="B3707"/>
  <c r="B3708"/>
  <c r="B3709"/>
  <c r="B3710"/>
  <c r="B3711"/>
  <c r="B3717"/>
  <c r="B3728"/>
  <c r="B3729"/>
  <c r="B3730"/>
  <c r="B3731"/>
  <c r="B3732"/>
  <c r="B3789"/>
  <c r="B3741"/>
  <c r="B3744"/>
  <c r="B3745"/>
  <c r="B3751"/>
  <c r="B3752"/>
  <c r="B3764"/>
  <c r="B3765"/>
  <c r="B3766"/>
  <c r="B3778"/>
  <c r="B3779"/>
  <c r="B3790"/>
  <c r="B3785"/>
  <c r="B3786"/>
  <c r="B3799"/>
  <c r="B3800"/>
  <c r="B3801"/>
  <c r="B3802"/>
  <c r="B3803"/>
  <c r="B3819"/>
  <c r="B3820"/>
  <c r="B3817"/>
  <c r="B3818"/>
  <c r="B3821"/>
  <c r="B3767"/>
  <c r="B3168"/>
  <c r="B3770"/>
  <c r="B3771"/>
  <c r="B2638"/>
  <c r="B3773"/>
  <c r="B3774"/>
  <c r="B3330"/>
  <c r="B3776"/>
  <c r="B3777"/>
  <c r="B3780"/>
  <c r="B3791"/>
  <c r="B3792"/>
  <c r="B3793"/>
  <c r="B3794"/>
  <c r="B3795"/>
  <c r="B3796"/>
  <c r="B3797"/>
  <c r="B3798"/>
  <c r="B3746"/>
  <c r="B3747"/>
  <c r="B3748"/>
  <c r="B3749"/>
  <c r="B3781"/>
  <c r="B3782"/>
  <c r="B3783"/>
  <c r="B3784"/>
  <c r="B3822"/>
  <c r="B3761"/>
  <c r="B3762"/>
  <c r="B3826"/>
  <c r="B3890"/>
  <c r="B3891"/>
  <c r="B3895"/>
  <c r="B3937"/>
  <c r="B3938"/>
  <c r="B3986"/>
  <c r="B4024"/>
  <c r="B1680"/>
  <c r="B3824"/>
  <c r="B3827"/>
  <c r="B3828"/>
  <c r="B3829"/>
  <c r="B3830"/>
  <c r="B3839"/>
  <c r="B3840"/>
  <c r="B3841"/>
  <c r="B3842"/>
  <c r="B3825"/>
  <c r="B3849"/>
  <c r="B3850"/>
  <c r="B3855"/>
  <c r="B3856"/>
  <c r="B3857"/>
  <c r="B3863"/>
  <c r="B3864"/>
  <c r="B3865"/>
  <c r="B3866"/>
  <c r="B3867"/>
  <c r="B3868"/>
  <c r="B3892"/>
  <c r="B3932"/>
  <c r="B3910"/>
  <c r="B3956"/>
  <c r="B3912"/>
  <c r="B3913"/>
  <c r="B3914"/>
  <c r="B3915"/>
  <c r="B3959"/>
  <c r="B3921"/>
  <c r="B3922"/>
  <c r="B3933"/>
  <c r="B3934"/>
  <c r="B3935"/>
  <c r="B3977"/>
  <c r="B3939"/>
  <c r="B3940"/>
  <c r="B3941"/>
  <c r="B3942"/>
  <c r="B3943"/>
  <c r="B3989"/>
  <c r="B3996"/>
  <c r="B4005"/>
  <c r="B3990"/>
  <c r="B3991"/>
  <c r="B3992"/>
  <c r="B3995"/>
  <c r="B3997"/>
  <c r="B3998"/>
  <c r="B3999"/>
  <c r="B4000"/>
  <c r="B4001"/>
  <c r="B4002"/>
  <c r="B4003"/>
  <c r="B4004"/>
  <c r="B2044"/>
  <c r="B3833"/>
  <c r="B3834"/>
  <c r="B3894"/>
  <c r="B3917"/>
  <c r="B3918"/>
  <c r="B3919"/>
  <c r="B3920"/>
  <c r="B3979"/>
  <c r="B2056"/>
  <c r="B3981"/>
  <c r="B3982"/>
  <c r="B3620"/>
  <c r="B3984"/>
  <c r="B3985"/>
  <c r="B3978"/>
  <c r="B3993"/>
  <c r="B1542"/>
  <c r="B3843"/>
  <c r="B3844"/>
  <c r="B3870"/>
  <c r="B3897"/>
  <c r="B3898"/>
  <c r="B3899"/>
  <c r="B3900"/>
  <c r="B3901"/>
  <c r="B3902"/>
  <c r="B3903"/>
  <c r="B3904"/>
  <c r="B3905"/>
  <c r="B3906"/>
  <c r="B3835"/>
  <c r="B3836"/>
  <c r="B3837"/>
  <c r="B3838"/>
  <c r="B2742"/>
  <c r="B3846"/>
  <c r="B3847"/>
  <c r="B3594"/>
  <c r="B3871"/>
  <c r="B3872"/>
  <c r="B3873"/>
  <c r="B3924"/>
  <c r="B3926"/>
  <c r="B3927"/>
  <c r="B3957"/>
  <c r="B3960"/>
  <c r="B3961"/>
  <c r="B3962"/>
  <c r="B3963"/>
  <c r="B3964"/>
  <c r="B3965"/>
  <c r="B3966"/>
  <c r="B3967"/>
  <c r="B3968"/>
  <c r="B3969"/>
  <c r="B3970"/>
  <c r="B3971"/>
  <c r="B3972"/>
  <c r="B4013"/>
  <c r="B4014"/>
  <c r="B4015"/>
  <c r="B4016"/>
  <c r="B4017"/>
  <c r="B4018"/>
  <c r="B4019"/>
  <c r="B4020"/>
  <c r="B4021"/>
  <c r="B4022"/>
  <c r="B3851"/>
  <c r="B3852"/>
  <c r="B3853"/>
  <c r="B3854"/>
  <c r="B3860"/>
  <c r="B3861"/>
  <c r="B3859"/>
  <c r="B3874"/>
  <c r="B3875"/>
  <c r="B3876"/>
  <c r="B3877"/>
  <c r="B3878"/>
  <c r="B3879"/>
  <c r="B2053"/>
  <c r="B3881"/>
  <c r="B3882"/>
  <c r="B3883"/>
  <c r="B2045"/>
  <c r="B3885"/>
  <c r="B3886"/>
  <c r="B3887"/>
  <c r="B3888"/>
  <c r="B3889"/>
  <c r="B2827"/>
  <c r="B3908"/>
  <c r="B3909"/>
  <c r="B3928"/>
  <c r="B3929"/>
  <c r="B3930"/>
  <c r="B3931"/>
  <c r="B3925"/>
  <c r="B3936"/>
  <c r="B2132"/>
  <c r="B3945"/>
  <c r="B3946"/>
  <c r="B1537"/>
  <c r="B3948"/>
  <c r="B3949"/>
  <c r="B2857"/>
  <c r="B3951"/>
  <c r="B3952"/>
  <c r="B2060"/>
  <c r="B3954"/>
  <c r="B3955"/>
  <c r="B3958"/>
  <c r="B3973"/>
  <c r="B3974"/>
  <c r="B3975"/>
  <c r="B3976"/>
  <c r="B3987"/>
  <c r="B3988"/>
  <c r="B4023"/>
  <c r="B4012"/>
  <c r="B4124"/>
  <c r="B4066"/>
  <c r="B1707"/>
  <c r="B4081"/>
  <c r="B4102"/>
  <c r="B4108"/>
  <c r="B4113"/>
  <c r="B4116"/>
  <c r="B4162"/>
  <c r="B4163"/>
  <c r="B4026"/>
  <c r="B4027"/>
  <c r="B4028"/>
  <c r="B4029"/>
  <c r="B4030"/>
  <c r="B4031"/>
  <c r="B4032"/>
  <c r="B4033"/>
  <c r="B4034"/>
  <c r="B4035"/>
  <c r="B4070"/>
  <c r="B4071"/>
  <c r="B4072"/>
  <c r="B4073"/>
  <c r="B4074"/>
  <c r="B4075"/>
  <c r="B2693"/>
  <c r="B4077"/>
  <c r="B4078"/>
  <c r="B4082"/>
  <c r="B4083"/>
  <c r="B4084"/>
  <c r="B4085"/>
  <c r="B4086"/>
  <c r="B4087"/>
  <c r="B4088"/>
  <c r="B941"/>
  <c r="B4090"/>
  <c r="B4091"/>
  <c r="B955"/>
  <c r="B4103"/>
  <c r="B4104"/>
  <c r="B4109"/>
  <c r="B4110"/>
  <c r="B4117"/>
  <c r="B4118"/>
  <c r="B4119"/>
  <c r="B4120"/>
  <c r="B4121"/>
  <c r="B4122"/>
  <c r="B958"/>
  <c r="B4143"/>
  <c r="B4144"/>
  <c r="B4145"/>
  <c r="B4170"/>
  <c r="B4168"/>
  <c r="B4169"/>
  <c r="B4172"/>
  <c r="B4173"/>
  <c r="B993"/>
  <c r="B4192"/>
  <c r="B4193"/>
  <c r="B4194"/>
  <c r="B4195"/>
  <c r="B4196"/>
  <c r="B998"/>
  <c r="B4219"/>
  <c r="B4220"/>
  <c r="B4239"/>
  <c r="B4240"/>
  <c r="B961"/>
  <c r="B4254"/>
  <c r="B4255"/>
  <c r="B995"/>
  <c r="B4260"/>
  <c r="B1010"/>
  <c r="B4280"/>
  <c r="B4281"/>
  <c r="B4282"/>
  <c r="B4283"/>
  <c r="B4284"/>
  <c r="B4115"/>
  <c r="B3535"/>
  <c r="B4131"/>
  <c r="B4132"/>
  <c r="B4133"/>
  <c r="B4134"/>
  <c r="B4135"/>
  <c r="B4136"/>
  <c r="B4151"/>
  <c r="B4152"/>
  <c r="B4153"/>
  <c r="B4154"/>
  <c r="B4224"/>
  <c r="B4227"/>
  <c r="B4230"/>
  <c r="B4231"/>
  <c r="B3529"/>
  <c r="B4233"/>
  <c r="B4234"/>
  <c r="B3769"/>
  <c r="B4236"/>
  <c r="B4237"/>
  <c r="B4225"/>
  <c r="B4286"/>
  <c r="B3845"/>
  <c r="B4288"/>
  <c r="B4289"/>
  <c r="B4048"/>
  <c r="B4049"/>
  <c r="B4050"/>
  <c r="B4051"/>
  <c r="B4199"/>
  <c r="B4200"/>
  <c r="B4201"/>
  <c r="B4202"/>
  <c r="B4203"/>
  <c r="B4204"/>
  <c r="B4205"/>
  <c r="B4206"/>
  <c r="B4207"/>
  <c r="B4208"/>
  <c r="B4040"/>
  <c r="B1708"/>
  <c r="B947"/>
  <c r="B4054"/>
  <c r="B4055"/>
  <c r="B2078"/>
  <c r="B4057"/>
  <c r="B4058"/>
  <c r="B4059"/>
  <c r="B4060"/>
  <c r="B4061"/>
  <c r="B4062"/>
  <c r="B4063"/>
  <c r="B4064"/>
  <c r="B4065"/>
  <c r="B4106"/>
  <c r="B4107"/>
  <c r="B4166"/>
  <c r="B4226"/>
  <c r="B4041"/>
  <c r="B4127"/>
  <c r="B4165"/>
  <c r="B4167"/>
  <c r="B4042"/>
  <c r="B3254"/>
  <c r="B4044"/>
  <c r="B4045"/>
  <c r="B4098"/>
  <c r="B4099"/>
  <c r="B4096"/>
  <c r="B4100"/>
  <c r="B4101"/>
  <c r="B4097"/>
  <c r="B4105"/>
  <c r="B4137"/>
  <c r="B4138"/>
  <c r="B4128"/>
  <c r="B4139"/>
  <c r="B4140"/>
  <c r="B4129"/>
  <c r="B4155"/>
  <c r="B4156"/>
  <c r="B4157"/>
  <c r="B4158"/>
  <c r="B4159"/>
  <c r="B4209"/>
  <c r="B2104"/>
  <c r="B4211"/>
  <c r="B4212"/>
  <c r="B524"/>
  <c r="B4214"/>
  <c r="B4215"/>
  <c r="B3691"/>
  <c r="B4217"/>
  <c r="B4218"/>
  <c r="B4238"/>
  <c r="B4242"/>
  <c r="B4243"/>
  <c r="B2108"/>
  <c r="B4245"/>
  <c r="B4246"/>
  <c r="B529"/>
  <c r="B4248"/>
  <c r="B4249"/>
  <c r="B570"/>
  <c r="B4251"/>
  <c r="B4252"/>
  <c r="B4258"/>
  <c r="B4259"/>
  <c r="B4265"/>
  <c r="B4232"/>
  <c r="B4267"/>
  <c r="B4268"/>
  <c r="B2143"/>
  <c r="B4270"/>
  <c r="B4271"/>
  <c r="B568"/>
  <c r="B4273"/>
  <c r="B4274"/>
  <c r="B584"/>
  <c r="B4276"/>
  <c r="B4277"/>
  <c r="B4278"/>
  <c r="B4279"/>
  <c r="B4038"/>
  <c r="B4039"/>
  <c r="B4046"/>
  <c r="B4047"/>
  <c r="B306"/>
  <c r="B315"/>
  <c r="B360"/>
  <c r="B369"/>
  <c r="B4141"/>
  <c r="B4142"/>
  <c r="B4148"/>
  <c r="B4149"/>
  <c r="B4150"/>
  <c r="B4160"/>
  <c r="B372"/>
  <c r="B373"/>
  <c r="B4179"/>
  <c r="B4180"/>
  <c r="B4181"/>
  <c r="B4182"/>
  <c r="B4183"/>
  <c r="B4184"/>
  <c r="B4185"/>
  <c r="B4186"/>
  <c r="B4187"/>
  <c r="B4188"/>
  <c r="B4189"/>
  <c r="B4190"/>
  <c r="B4191"/>
  <c r="B378"/>
  <c r="B387"/>
  <c r="B3753"/>
  <c r="B3754"/>
  <c r="B4036"/>
  <c r="B4037"/>
  <c r="B4112"/>
  <c r="B4164"/>
  <c r="B4147"/>
  <c r="B4171"/>
  <c r="B4175"/>
  <c r="B4198"/>
  <c r="B4241"/>
  <c r="B4257"/>
  <c r="B4285"/>
  <c r="B4317"/>
  <c r="B4560"/>
  <c r="B4345"/>
  <c r="B4640"/>
  <c r="B4381"/>
  <c r="B4392"/>
  <c r="B4413"/>
  <c r="B4442"/>
  <c r="B4477"/>
  <c r="B4447"/>
  <c r="B326"/>
  <c r="B4308"/>
  <c r="B336"/>
  <c r="B346"/>
  <c r="B4337"/>
  <c r="B355"/>
  <c r="B365"/>
  <c r="B384"/>
  <c r="B4382"/>
  <c r="B4408"/>
  <c r="B4433"/>
  <c r="B4434"/>
  <c r="B4457"/>
  <c r="B4495"/>
  <c r="B4509"/>
  <c r="B1003"/>
  <c r="B1021"/>
  <c r="B4298"/>
  <c r="B4299"/>
  <c r="B1012"/>
  <c r="B4301"/>
  <c r="B4302"/>
  <c r="B1019"/>
  <c r="B4310"/>
  <c r="B4311"/>
  <c r="B4312"/>
  <c r="B4313"/>
  <c r="B1024"/>
  <c r="B4330"/>
  <c r="B1033"/>
  <c r="B4332"/>
  <c r="B1028"/>
  <c r="B4334"/>
  <c r="B1031"/>
  <c r="B4340"/>
  <c r="B1038"/>
  <c r="B4367"/>
  <c r="B1045"/>
  <c r="B1048"/>
  <c r="B4384"/>
  <c r="B4385"/>
  <c r="B1056"/>
  <c r="B1036"/>
  <c r="B4389"/>
  <c r="B4390"/>
  <c r="B4391"/>
  <c r="B4409"/>
  <c r="B4410"/>
  <c r="B4411"/>
  <c r="B4435"/>
  <c r="B4436"/>
  <c r="B4437"/>
  <c r="B4438"/>
  <c r="B4439"/>
  <c r="B4496"/>
  <c r="B4497"/>
  <c r="B4498"/>
  <c r="B1060"/>
  <c r="B4639"/>
  <c r="B4305"/>
  <c r="B4368"/>
  <c r="B4043"/>
  <c r="B4371"/>
  <c r="B4372"/>
  <c r="E484"/>
  <c r="M1665"/>
  <c r="M1724"/>
  <c r="H78" i="71" l="1"/>
  <c r="H79" s="1"/>
  <c r="I79"/>
  <c r="I80" s="1"/>
  <c r="A4062" i="34"/>
  <c r="A4240"/>
  <c r="A4239"/>
  <c r="A4457"/>
  <c r="A4382"/>
  <c r="A4337"/>
  <c r="A326"/>
  <c r="A4495"/>
  <c r="A4434"/>
  <c r="A4408"/>
  <c r="A384"/>
  <c r="A355"/>
  <c r="A346"/>
  <c r="A4308"/>
  <c r="A4163"/>
  <c r="A4116"/>
  <c r="A4509"/>
  <c r="A4433"/>
  <c r="A365"/>
  <c r="A336"/>
  <c r="A4162"/>
  <c r="A4113"/>
  <c r="A368"/>
  <c r="A1665"/>
  <c r="A1724"/>
  <c r="B988"/>
  <c r="B967"/>
  <c r="B977"/>
  <c r="B973"/>
  <c r="B965"/>
  <c r="B991"/>
  <c r="B986"/>
  <c r="L269" i="60"/>
  <c r="B980" i="34"/>
  <c r="B978"/>
  <c r="B989"/>
  <c r="B969"/>
  <c r="B968"/>
  <c r="B966"/>
  <c r="B964"/>
  <c r="B972"/>
  <c r="B985"/>
  <c r="B979"/>
  <c r="B990"/>
  <c r="A1117"/>
  <c r="A1128"/>
  <c r="A2537"/>
  <c r="A1103"/>
  <c r="A1101"/>
  <c r="B2102"/>
  <c r="B1824"/>
  <c r="B1692"/>
  <c r="B2099"/>
  <c r="B2137"/>
  <c r="B971"/>
  <c r="B976"/>
  <c r="B975"/>
  <c r="B983"/>
  <c r="A1596"/>
  <c r="A1570"/>
  <c r="A1586"/>
  <c r="A1563"/>
  <c r="A1584"/>
  <c r="A1564"/>
  <c r="A1595"/>
  <c r="A1598"/>
  <c r="A1580"/>
  <c r="A484"/>
  <c r="M1629"/>
  <c r="A1629"/>
  <c r="E1711"/>
  <c r="E1709"/>
  <c r="M1709"/>
  <c r="A1709"/>
  <c r="C1689"/>
  <c r="C1690"/>
  <c r="C1682"/>
  <c r="M2304"/>
  <c r="M2305"/>
  <c r="M1690"/>
  <c r="M1689"/>
  <c r="M1682"/>
  <c r="M2235"/>
  <c r="M2202"/>
  <c r="M2303"/>
  <c r="M2306"/>
  <c r="M2260"/>
  <c r="M2281"/>
  <c r="M2247"/>
  <c r="M2261"/>
  <c r="M2225"/>
  <c r="M1492"/>
  <c r="A1492"/>
  <c r="E2243"/>
  <c r="D203" i="60"/>
  <c r="G203" s="1"/>
  <c r="D204"/>
  <c r="G204" s="1"/>
  <c r="D205"/>
  <c r="G205" s="1"/>
  <c r="D206"/>
  <c r="G206" s="1"/>
  <c r="D207"/>
  <c r="G207" s="1"/>
  <c r="D208"/>
  <c r="G208" s="1"/>
  <c r="M1423" i="34"/>
  <c r="A1423"/>
  <c r="A242" i="60"/>
  <c r="E1396" i="34"/>
  <c r="E1400"/>
  <c r="A1060"/>
  <c r="E1060"/>
  <c r="A119" i="55"/>
  <c r="A120"/>
  <c r="A121"/>
  <c r="A78"/>
  <c r="E4639" i="34"/>
  <c r="E4498"/>
  <c r="E4497"/>
  <c r="E4496"/>
  <c r="E4439"/>
  <c r="E4437"/>
  <c r="E4436"/>
  <c r="E4435"/>
  <c r="A4391"/>
  <c r="E4391"/>
  <c r="A1036"/>
  <c r="E1036"/>
  <c r="E4385"/>
  <c r="A1048"/>
  <c r="E1048"/>
  <c r="E1045"/>
  <c r="E1038"/>
  <c r="E4340"/>
  <c r="E1031"/>
  <c r="E1019"/>
  <c r="E1012"/>
  <c r="M4298"/>
  <c r="M3610"/>
  <c r="H80" i="71" l="1"/>
  <c r="H81" s="1"/>
  <c r="B1682" i="34"/>
  <c r="B1689"/>
  <c r="A1129"/>
  <c r="A1102"/>
  <c r="B1690"/>
  <c r="A1119"/>
  <c r="A1100"/>
  <c r="A2624"/>
  <c r="A1120"/>
  <c r="A1114"/>
  <c r="A2102"/>
  <c r="A1113"/>
  <c r="A1824"/>
  <c r="A2137"/>
  <c r="A1692"/>
  <c r="A971"/>
  <c r="A2099"/>
  <c r="A983"/>
  <c r="A975"/>
  <c r="A976"/>
  <c r="B2304"/>
  <c r="B2260"/>
  <c r="B2225"/>
  <c r="B2202"/>
  <c r="B2281"/>
  <c r="B697"/>
  <c r="B2305"/>
  <c r="B2303"/>
  <c r="B2247"/>
  <c r="B2235"/>
  <c r="B2306"/>
  <c r="B2261"/>
  <c r="A2147"/>
  <c r="A2145"/>
  <c r="A2180"/>
  <c r="A4370"/>
  <c r="A4130"/>
  <c r="A3907"/>
  <c r="A2146"/>
  <c r="A2181"/>
  <c r="A4506"/>
  <c r="A4216"/>
  <c r="A3950"/>
  <c r="A4428"/>
  <c r="A4213"/>
  <c r="A4436"/>
  <c r="A4435"/>
  <c r="A4437"/>
  <c r="A1045"/>
  <c r="A1038"/>
  <c r="A4340"/>
  <c r="A1031"/>
  <c r="A1019"/>
  <c r="A1012"/>
  <c r="E1050"/>
  <c r="M1050"/>
  <c r="E1051"/>
  <c r="E4337"/>
  <c r="E4382"/>
  <c r="E4408"/>
  <c r="E4433"/>
  <c r="E4434"/>
  <c r="E4457"/>
  <c r="E4495"/>
  <c r="E4509"/>
  <c r="M3983"/>
  <c r="E3983"/>
  <c r="E1035"/>
  <c r="M1032"/>
  <c r="E1032"/>
  <c r="E1053"/>
  <c r="M1052"/>
  <c r="E1052"/>
  <c r="E1047"/>
  <c r="M1046"/>
  <c r="E1046"/>
  <c r="E1042"/>
  <c r="M1041"/>
  <c r="E1041"/>
  <c r="E1037"/>
  <c r="M1034"/>
  <c r="E1034"/>
  <c r="E1030"/>
  <c r="M1029"/>
  <c r="E1029"/>
  <c r="E1014"/>
  <c r="M1014"/>
  <c r="M1013"/>
  <c r="E1013"/>
  <c r="E1026"/>
  <c r="M1025"/>
  <c r="E1025"/>
  <c r="E1027"/>
  <c r="M1022"/>
  <c r="E1022"/>
  <c r="M1007"/>
  <c r="E1007"/>
  <c r="E1008"/>
  <c r="E1006"/>
  <c r="M1005"/>
  <c r="E1005"/>
  <c r="M1020"/>
  <c r="E1023"/>
  <c r="E1020"/>
  <c r="M1001"/>
  <c r="E1001"/>
  <c r="E1002"/>
  <c r="E1011"/>
  <c r="M1004"/>
  <c r="E1004"/>
  <c r="M999"/>
  <c r="E1016"/>
  <c r="M1015"/>
  <c r="E1015"/>
  <c r="M11"/>
  <c r="C12"/>
  <c r="C13"/>
  <c r="M382"/>
  <c r="M381"/>
  <c r="M380"/>
  <c r="M379"/>
  <c r="M368"/>
  <c r="M367"/>
  <c r="M366"/>
  <c r="M363"/>
  <c r="M362"/>
  <c r="M361"/>
  <c r="M359"/>
  <c r="M358"/>
  <c r="M357"/>
  <c r="M356"/>
  <c r="M353"/>
  <c r="M352"/>
  <c r="M351"/>
  <c r="M350"/>
  <c r="M349"/>
  <c r="M348"/>
  <c r="M347"/>
  <c r="M344"/>
  <c r="M343"/>
  <c r="M342"/>
  <c r="M341"/>
  <c r="M340"/>
  <c r="M339"/>
  <c r="M338"/>
  <c r="M337"/>
  <c r="M334"/>
  <c r="M333"/>
  <c r="M332"/>
  <c r="M331"/>
  <c r="M330"/>
  <c r="M329"/>
  <c r="M328"/>
  <c r="M327"/>
  <c r="M318"/>
  <c r="M319"/>
  <c r="M320"/>
  <c r="M321"/>
  <c r="M322"/>
  <c r="M323"/>
  <c r="M324"/>
  <c r="M317"/>
  <c r="I81" i="71" l="1"/>
  <c r="I82" s="1"/>
  <c r="B13" i="34"/>
  <c r="B12"/>
  <c r="A2306"/>
  <c r="A2247"/>
  <c r="A2305"/>
  <c r="A2202"/>
  <c r="A2260"/>
  <c r="A2261"/>
  <c r="A2235"/>
  <c r="A2303"/>
  <c r="A2281"/>
  <c r="A2225"/>
  <c r="A2304"/>
  <c r="A1690"/>
  <c r="A1689"/>
  <c r="A1682"/>
  <c r="A317"/>
  <c r="A320"/>
  <c r="A325"/>
  <c r="A328"/>
  <c r="A343"/>
  <c r="A323"/>
  <c r="A335"/>
  <c r="A327"/>
  <c r="A338"/>
  <c r="A322"/>
  <c r="A318"/>
  <c r="A334"/>
  <c r="A330"/>
  <c r="A345"/>
  <c r="A341"/>
  <c r="A337"/>
  <c r="A1013"/>
  <c r="A1014"/>
  <c r="A3983"/>
  <c r="A333"/>
  <c r="A329"/>
  <c r="A344"/>
  <c r="A340"/>
  <c r="A1016"/>
  <c r="A1002"/>
  <c r="A1008"/>
  <c r="A321"/>
  <c r="A324"/>
  <c r="A332"/>
  <c r="A1015"/>
  <c r="A1050"/>
  <c r="A339"/>
  <c r="A319"/>
  <c r="A331"/>
  <c r="A342"/>
  <c r="A1001"/>
  <c r="A1007"/>
  <c r="A1051"/>
  <c r="A697"/>
  <c r="A364"/>
  <c r="M354"/>
  <c r="A359"/>
  <c r="M345"/>
  <c r="A357"/>
  <c r="A362"/>
  <c r="A1032"/>
  <c r="A1035"/>
  <c r="A1052"/>
  <c r="A1053"/>
  <c r="A1046"/>
  <c r="A1047"/>
  <c r="A1041"/>
  <c r="A1042"/>
  <c r="A1034"/>
  <c r="A1037"/>
  <c r="A1029"/>
  <c r="A1030"/>
  <c r="A1025"/>
  <c r="A1026"/>
  <c r="A1022"/>
  <c r="A1027"/>
  <c r="A1005"/>
  <c r="A1006"/>
  <c r="A1020"/>
  <c r="A1023"/>
  <c r="A1004"/>
  <c r="A1011"/>
  <c r="M325"/>
  <c r="M335"/>
  <c r="A367"/>
  <c r="A382"/>
  <c r="A379"/>
  <c r="A381"/>
  <c r="A383"/>
  <c r="A366"/>
  <c r="A380"/>
  <c r="A356"/>
  <c r="A358"/>
  <c r="A361"/>
  <c r="A363"/>
  <c r="A348"/>
  <c r="A352"/>
  <c r="A350"/>
  <c r="A353"/>
  <c r="A347"/>
  <c r="A349"/>
  <c r="A351"/>
  <c r="A354"/>
  <c r="M4139"/>
  <c r="E4140"/>
  <c r="M4100"/>
  <c r="E4101"/>
  <c r="H82" i="71" l="1"/>
  <c r="H83" s="1"/>
  <c r="A13" i="34"/>
  <c r="A12"/>
  <c r="A4101"/>
  <c r="A4140"/>
  <c r="I83" i="71" l="1"/>
  <c r="I84" s="1"/>
  <c r="F56" i="45"/>
  <c r="G56"/>
  <c r="H56"/>
  <c r="M3753" i="34"/>
  <c r="M3754"/>
  <c r="M378"/>
  <c r="M4179"/>
  <c r="M372"/>
  <c r="M4141"/>
  <c r="M360"/>
  <c r="M369"/>
  <c r="M4046"/>
  <c r="M4038"/>
  <c r="M306"/>
  <c r="E4015"/>
  <c r="M4014"/>
  <c r="E4014"/>
  <c r="H84" i="71" l="1"/>
  <c r="H85" s="1"/>
  <c r="A4015" i="34"/>
  <c r="A4014"/>
  <c r="E4150"/>
  <c r="E4149"/>
  <c r="M4149"/>
  <c r="K4396"/>
  <c r="M4396" s="1"/>
  <c r="M3480"/>
  <c r="M3327"/>
  <c r="M2937"/>
  <c r="I85" i="71" l="1"/>
  <c r="I86" s="1"/>
  <c r="A3610" i="34"/>
  <c r="A3628"/>
  <c r="A3538"/>
  <c r="A3005"/>
  <c r="A4149"/>
  <c r="A4396"/>
  <c r="A2937"/>
  <c r="A2167"/>
  <c r="A4150"/>
  <c r="A3480"/>
  <c r="A3327"/>
  <c r="A2166"/>
  <c r="A3350"/>
  <c r="K4223"/>
  <c r="M4223" s="1"/>
  <c r="K4319"/>
  <c r="M4319" s="1"/>
  <c r="H86" i="71" l="1"/>
  <c r="H87" s="1"/>
  <c r="A4319" i="34"/>
  <c r="A4223"/>
  <c r="A590"/>
  <c r="A3471"/>
  <c r="A582"/>
  <c r="A583"/>
  <c r="A622"/>
  <c r="A3604"/>
  <c r="A589"/>
  <c r="A578"/>
  <c r="A3253"/>
  <c r="A579"/>
  <c r="E4078"/>
  <c r="E2811"/>
  <c r="E4076"/>
  <c r="I87" i="71" l="1"/>
  <c r="I88" s="1"/>
  <c r="B573" i="34"/>
  <c r="A4076"/>
  <c r="A4078"/>
  <c r="A2811"/>
  <c r="H88" i="71" l="1"/>
  <c r="H89" s="1"/>
  <c r="E1707" i="34"/>
  <c r="I89" i="71" l="1"/>
  <c r="I90" s="1"/>
  <c r="A1707" i="34"/>
  <c r="D100" i="12"/>
  <c r="C100"/>
  <c r="H90" i="71" l="1"/>
  <c r="H91" s="1"/>
  <c r="M4180" i="34"/>
  <c r="M4142"/>
  <c r="M4047"/>
  <c r="M3764"/>
  <c r="M274"/>
  <c r="M248"/>
  <c r="M247"/>
  <c r="M221"/>
  <c r="M220"/>
  <c r="M206"/>
  <c r="M205"/>
  <c r="M191"/>
  <c r="M190"/>
  <c r="M176"/>
  <c r="M175"/>
  <c r="M161"/>
  <c r="M160"/>
  <c r="M146"/>
  <c r="M145"/>
  <c r="M130"/>
  <c r="M116"/>
  <c r="M115"/>
  <c r="M100"/>
  <c r="M85"/>
  <c r="M81"/>
  <c r="M82"/>
  <c r="M83"/>
  <c r="M84"/>
  <c r="M75"/>
  <c r="M74"/>
  <c r="M73"/>
  <c r="M72"/>
  <c r="M71"/>
  <c r="M70"/>
  <c r="M66"/>
  <c r="M68"/>
  <c r="M67"/>
  <c r="M203"/>
  <c r="M202"/>
  <c r="M201"/>
  <c r="I91" i="71" l="1"/>
  <c r="I92" s="1"/>
  <c r="M4039" i="34"/>
  <c r="E4039"/>
  <c r="E3754"/>
  <c r="M387"/>
  <c r="E387"/>
  <c r="M315"/>
  <c r="M373"/>
  <c r="E373"/>
  <c r="E369"/>
  <c r="E315"/>
  <c r="H92" i="71" l="1"/>
  <c r="H93" s="1"/>
  <c r="A4039" i="34"/>
  <c r="A3754"/>
  <c r="A387"/>
  <c r="A373"/>
  <c r="A369"/>
  <c r="A315"/>
  <c r="I93" i="71" l="1"/>
  <c r="I94" s="1"/>
  <c r="M296" i="34"/>
  <c r="E296"/>
  <c r="A19" i="62"/>
  <c r="E1010" i="34"/>
  <c r="E995"/>
  <c r="E961"/>
  <c r="E998"/>
  <c r="E993"/>
  <c r="E958"/>
  <c r="E955"/>
  <c r="E941"/>
  <c r="M1017"/>
  <c r="E1017"/>
  <c r="E1018"/>
  <c r="E1000"/>
  <c r="E999"/>
  <c r="M996"/>
  <c r="E996"/>
  <c r="E1009"/>
  <c r="M962"/>
  <c r="E962"/>
  <c r="E963"/>
  <c r="M959"/>
  <c r="E959"/>
  <c r="E960"/>
  <c r="M994"/>
  <c r="E994"/>
  <c r="E997"/>
  <c r="M956"/>
  <c r="E956"/>
  <c r="E957"/>
  <c r="M950"/>
  <c r="E950"/>
  <c r="E951"/>
  <c r="M942"/>
  <c r="M939"/>
  <c r="E942"/>
  <c r="E954"/>
  <c r="E939"/>
  <c r="E940"/>
  <c r="M1522"/>
  <c r="H94" i="71" l="1"/>
  <c r="H95" s="1"/>
  <c r="A941" i="34"/>
  <c r="A296"/>
  <c r="A954"/>
  <c r="A957"/>
  <c r="A959"/>
  <c r="A1009"/>
  <c r="A1017"/>
  <c r="A939"/>
  <c r="A950"/>
  <c r="A997"/>
  <c r="A962"/>
  <c r="A1018"/>
  <c r="A956"/>
  <c r="A960"/>
  <c r="A996"/>
  <c r="A940"/>
  <c r="A942"/>
  <c r="A951"/>
  <c r="A994"/>
  <c r="A963"/>
  <c r="A1010"/>
  <c r="A995"/>
  <c r="A961"/>
  <c r="A998"/>
  <c r="A993"/>
  <c r="A958"/>
  <c r="A955"/>
  <c r="A999"/>
  <c r="A1000"/>
  <c r="M1714"/>
  <c r="E1714"/>
  <c r="A1714"/>
  <c r="M1685"/>
  <c r="A1685"/>
  <c r="M1683"/>
  <c r="A1683"/>
  <c r="M2140"/>
  <c r="M2105"/>
  <c r="A1645"/>
  <c r="A1646"/>
  <c r="A1642"/>
  <c r="A2199"/>
  <c r="A2282"/>
  <c r="A2283"/>
  <c r="A1643"/>
  <c r="A1644"/>
  <c r="A1468"/>
  <c r="A1481"/>
  <c r="A1460"/>
  <c r="A1470"/>
  <c r="A1472"/>
  <c r="A1452"/>
  <c r="A2231"/>
  <c r="A1466"/>
  <c r="A1449"/>
  <c r="A2214"/>
  <c r="A2242"/>
  <c r="A2232"/>
  <c r="A2299"/>
  <c r="A2278"/>
  <c r="A2285"/>
  <c r="A2301"/>
  <c r="A2194"/>
  <c r="A2248"/>
  <c r="A1574"/>
  <c r="A2265"/>
  <c r="A2264"/>
  <c r="A1599"/>
  <c r="A1601"/>
  <c r="A1572"/>
  <c r="A1589"/>
  <c r="A1573"/>
  <c r="A1594"/>
  <c r="A1600"/>
  <c r="A1592"/>
  <c r="A2268"/>
  <c r="A2297"/>
  <c r="A2253"/>
  <c r="A2241"/>
  <c r="A2296"/>
  <c r="A1747"/>
  <c r="A2272"/>
  <c r="A2273"/>
  <c r="A2289"/>
  <c r="A1761"/>
  <c r="A1776"/>
  <c r="A2208"/>
  <c r="A2291"/>
  <c r="A2328"/>
  <c r="A2329"/>
  <c r="A2330"/>
  <c r="A2331"/>
  <c r="A2332"/>
  <c r="A2333"/>
  <c r="A2334"/>
  <c r="A2335"/>
  <c r="A2336"/>
  <c r="A2337"/>
  <c r="A2338"/>
  <c r="A2340"/>
  <c r="A2341"/>
  <c r="A2342"/>
  <c r="A2343"/>
  <c r="A2344"/>
  <c r="K4222"/>
  <c r="M4222" s="1"/>
  <c r="K4221"/>
  <c r="M4221" s="1"/>
  <c r="K4178"/>
  <c r="M4178" s="1"/>
  <c r="M313"/>
  <c r="M314"/>
  <c r="M312"/>
  <c r="K4095"/>
  <c r="M4095" s="1"/>
  <c r="K4125"/>
  <c r="M4125" s="1"/>
  <c r="E4239"/>
  <c r="E4240"/>
  <c r="I95" i="71" l="1"/>
  <c r="I96" s="1"/>
  <c r="A2140" i="34"/>
  <c r="A2106"/>
  <c r="A2141"/>
  <c r="A2105"/>
  <c r="A314"/>
  <c r="A312"/>
  <c r="A4266"/>
  <c r="A609"/>
  <c r="A4125"/>
  <c r="A4095"/>
  <c r="A313"/>
  <c r="A4178"/>
  <c r="A4221"/>
  <c r="A4222"/>
  <c r="F77" i="55"/>
  <c r="H96" i="71" l="1"/>
  <c r="H97" s="1"/>
  <c r="E2272" i="34"/>
  <c r="E2273"/>
  <c r="E2289"/>
  <c r="E1761"/>
  <c r="E1776"/>
  <c r="E2208"/>
  <c r="E2291"/>
  <c r="E2333"/>
  <c r="E2334"/>
  <c r="E2337"/>
  <c r="E2328"/>
  <c r="E2329"/>
  <c r="E1747"/>
  <c r="E4447"/>
  <c r="E4477"/>
  <c r="E4442"/>
  <c r="E4413"/>
  <c r="E4392"/>
  <c r="E4381"/>
  <c r="E4640"/>
  <c r="E4345"/>
  <c r="E4560"/>
  <c r="E4317"/>
  <c r="E4285"/>
  <c r="E4257"/>
  <c r="E4241"/>
  <c r="E4198"/>
  <c r="E4175"/>
  <c r="E4171"/>
  <c r="E4147"/>
  <c r="E4164"/>
  <c r="E4112"/>
  <c r="E4037"/>
  <c r="E4036"/>
  <c r="E60"/>
  <c r="A60"/>
  <c r="E59"/>
  <c r="A59"/>
  <c r="E58"/>
  <c r="A58"/>
  <c r="M1711"/>
  <c r="A1711"/>
  <c r="M1681"/>
  <c r="E1681"/>
  <c r="A1681"/>
  <c r="M1606"/>
  <c r="A1606"/>
  <c r="M1726"/>
  <c r="A1726"/>
  <c r="M1672"/>
  <c r="A1672"/>
  <c r="M1729"/>
  <c r="A1729"/>
  <c r="M1614"/>
  <c r="A1614"/>
  <c r="M1618"/>
  <c r="A1618"/>
  <c r="M1602"/>
  <c r="A1602"/>
  <c r="M1617"/>
  <c r="A1617"/>
  <c r="M1604"/>
  <c r="A1604"/>
  <c r="M1615"/>
  <c r="A1615"/>
  <c r="M1593"/>
  <c r="A1593"/>
  <c r="M1619"/>
  <c r="A1619"/>
  <c r="M1587"/>
  <c r="A1587"/>
  <c r="M1550"/>
  <c r="A1550"/>
  <c r="M1588"/>
  <c r="A1588"/>
  <c r="M1561"/>
  <c r="A1561"/>
  <c r="M1557"/>
  <c r="A1557"/>
  <c r="M2318"/>
  <c r="A2318"/>
  <c r="M2315"/>
  <c r="A2315"/>
  <c r="M2317"/>
  <c r="A2317"/>
  <c r="M2319"/>
  <c r="A2319"/>
  <c r="M2254"/>
  <c r="A2254"/>
  <c r="M2295"/>
  <c r="A2295"/>
  <c r="M2316"/>
  <c r="A2316"/>
  <c r="M2292"/>
  <c r="A2292"/>
  <c r="M1678"/>
  <c r="A1678"/>
  <c r="M2284"/>
  <c r="A2284"/>
  <c r="M2280"/>
  <c r="A2280"/>
  <c r="M2239"/>
  <c r="A2239"/>
  <c r="M1677"/>
  <c r="A1677"/>
  <c r="M2238"/>
  <c r="A2238"/>
  <c r="M1568"/>
  <c r="A1568"/>
  <c r="M2204"/>
  <c r="A2204"/>
  <c r="M1566"/>
  <c r="A1566"/>
  <c r="M2227"/>
  <c r="A2227"/>
  <c r="M1548"/>
  <c r="A1548"/>
  <c r="M1547"/>
  <c r="A1547"/>
  <c r="M1676"/>
  <c r="A1676"/>
  <c r="M2266"/>
  <c r="A2266"/>
  <c r="M1738"/>
  <c r="A1738"/>
  <c r="A1659"/>
  <c r="A1719"/>
  <c r="A1725"/>
  <c r="A1732"/>
  <c r="A1666"/>
  <c r="M1661"/>
  <c r="A1661"/>
  <c r="M1632"/>
  <c r="A1632"/>
  <c r="M1631"/>
  <c r="A1631"/>
  <c r="M1640"/>
  <c r="A1640"/>
  <c r="M1669"/>
  <c r="A1669"/>
  <c r="A1641"/>
  <c r="A1654"/>
  <c r="A1638"/>
  <c r="M1616"/>
  <c r="A1616"/>
  <c r="M1635"/>
  <c r="A1635"/>
  <c r="M1583"/>
  <c r="A1583"/>
  <c r="M1603"/>
  <c r="A1603"/>
  <c r="M1639"/>
  <c r="A1639"/>
  <c r="M1630"/>
  <c r="A1630"/>
  <c r="M1621"/>
  <c r="A1621"/>
  <c r="M1620"/>
  <c r="A1620"/>
  <c r="M1609"/>
  <c r="A1609"/>
  <c r="M1605"/>
  <c r="A1605"/>
  <c r="M1591"/>
  <c r="A1591"/>
  <c r="M1611"/>
  <c r="A1611"/>
  <c r="M1608"/>
  <c r="A1608"/>
  <c r="M1610"/>
  <c r="A1610"/>
  <c r="M1585"/>
  <c r="A1585"/>
  <c r="M1597"/>
  <c r="A1597"/>
  <c r="M1728"/>
  <c r="A1728"/>
  <c r="M1723"/>
  <c r="A1723"/>
  <c r="M1748"/>
  <c r="A1748"/>
  <c r="M1736"/>
  <c r="A1736"/>
  <c r="M1722"/>
  <c r="A1722"/>
  <c r="M1739"/>
  <c r="A1739"/>
  <c r="M1720"/>
  <c r="A1720"/>
  <c r="M1636"/>
  <c r="A1636"/>
  <c r="M1667"/>
  <c r="A1667"/>
  <c r="M1662"/>
  <c r="A1662"/>
  <c r="M1652"/>
  <c r="A1652"/>
  <c r="A1653"/>
  <c r="A1626"/>
  <c r="M1623"/>
  <c r="A1623"/>
  <c r="M1628"/>
  <c r="A1628"/>
  <c r="M1607"/>
  <c r="A1607"/>
  <c r="M1627"/>
  <c r="A1627"/>
  <c r="M1613"/>
  <c r="A1613"/>
  <c r="M1622"/>
  <c r="A1622"/>
  <c r="M1612"/>
  <c r="A1612"/>
  <c r="E4167"/>
  <c r="M3201"/>
  <c r="E3201"/>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I97" i="71" l="1"/>
  <c r="I98" s="1"/>
  <c r="H98"/>
  <c r="H99" s="1"/>
  <c r="L240" i="60"/>
  <c r="B2279" i="34"/>
  <c r="B2347"/>
  <c r="B2349"/>
  <c r="B2351"/>
  <c r="B2353"/>
  <c r="B2355"/>
  <c r="B2346"/>
  <c r="B2348"/>
  <c r="B2350"/>
  <c r="B2352"/>
  <c r="B2354"/>
  <c r="L239" i="60"/>
  <c r="L241"/>
  <c r="L208"/>
  <c r="L270"/>
  <c r="A967" i="34"/>
  <c r="V280" i="60"/>
  <c r="I275" s="1"/>
  <c r="V254"/>
  <c r="A3201" i="34"/>
  <c r="A968"/>
  <c r="A4167"/>
  <c r="L273" i="60"/>
  <c r="L272"/>
  <c r="V247"/>
  <c r="A986" i="34"/>
  <c r="A4285"/>
  <c r="A4413"/>
  <c r="A4175"/>
  <c r="A4345"/>
  <c r="A4112"/>
  <c r="A4147"/>
  <c r="A4241"/>
  <c r="A4317"/>
  <c r="A4381"/>
  <c r="A4477"/>
  <c r="A4037"/>
  <c r="A4164"/>
  <c r="A4171"/>
  <c r="A4198"/>
  <c r="A4257"/>
  <c r="A4560"/>
  <c r="A4640"/>
  <c r="A4392"/>
  <c r="A4442"/>
  <c r="A4447"/>
  <c r="A4036"/>
  <c r="A966"/>
  <c r="A969"/>
  <c r="A989"/>
  <c r="A978"/>
  <c r="A964"/>
  <c r="A991"/>
  <c r="A980"/>
  <c r="A965"/>
  <c r="A988"/>
  <c r="A979"/>
  <c r="A973"/>
  <c r="A990"/>
  <c r="A985"/>
  <c r="A972"/>
  <c r="A977"/>
  <c r="I99" i="71" l="1"/>
  <c r="I100" s="1"/>
  <c r="L275" i="60"/>
  <c r="A2354" i="34"/>
  <c r="A2350"/>
  <c r="A2346"/>
  <c r="A2355"/>
  <c r="A2351"/>
  <c r="A2347"/>
  <c r="A2352"/>
  <c r="A2348"/>
  <c r="A2353"/>
  <c r="A2349"/>
  <c r="A2279"/>
  <c r="L244" i="60"/>
  <c r="E4259" i="34"/>
  <c r="E4158"/>
  <c r="E4157"/>
  <c r="E4138"/>
  <c r="M4096"/>
  <c r="E4099"/>
  <c r="E4180"/>
  <c r="H100" i="71" l="1"/>
  <c r="H101" s="1"/>
  <c r="A2120" i="34"/>
  <c r="A2127"/>
  <c r="A2126"/>
  <c r="A4138"/>
  <c r="A4259"/>
  <c r="A2121"/>
  <c r="A2125"/>
  <c r="A2122"/>
  <c r="A2124"/>
  <c r="A2123"/>
  <c r="A2128"/>
  <c r="A4180"/>
  <c r="A4099"/>
  <c r="A4157"/>
  <c r="A4158"/>
  <c r="D269" i="60"/>
  <c r="G269" s="1"/>
  <c r="C271"/>
  <c r="C272"/>
  <c r="D272" s="1"/>
  <c r="G272" s="1"/>
  <c r="C273"/>
  <c r="D273" s="1"/>
  <c r="G273" s="1"/>
  <c r="C552" i="34"/>
  <c r="C549"/>
  <c r="I526"/>
  <c r="M526" s="1"/>
  <c r="C525"/>
  <c r="I523"/>
  <c r="C523"/>
  <c r="C527"/>
  <c r="C528"/>
  <c r="C551"/>
  <c r="C547"/>
  <c r="E3753"/>
  <c r="E378"/>
  <c r="E4182"/>
  <c r="M4182"/>
  <c r="E4183"/>
  <c r="M4183"/>
  <c r="E4184"/>
  <c r="M4184"/>
  <c r="E4185"/>
  <c r="M4185"/>
  <c r="E4186"/>
  <c r="M4186"/>
  <c r="E4187"/>
  <c r="M4187"/>
  <c r="E4188"/>
  <c r="M4188"/>
  <c r="E4189"/>
  <c r="M4189"/>
  <c r="E4190"/>
  <c r="M4190"/>
  <c r="E4191"/>
  <c r="M4191"/>
  <c r="M4181"/>
  <c r="E4179"/>
  <c r="E372"/>
  <c r="M4148"/>
  <c r="E4142"/>
  <c r="E4141"/>
  <c r="E360"/>
  <c r="E306"/>
  <c r="E4046"/>
  <c r="E4047"/>
  <c r="I101" i="71" l="1"/>
  <c r="I102" s="1"/>
  <c r="M523" i="34"/>
  <c r="B551"/>
  <c r="B552"/>
  <c r="B547"/>
  <c r="B531"/>
  <c r="B523"/>
  <c r="B528"/>
  <c r="B549"/>
  <c r="B525"/>
  <c r="B527"/>
  <c r="A4046"/>
  <c r="A360"/>
  <c r="A4142"/>
  <c r="A4190"/>
  <c r="A4188"/>
  <c r="A4186"/>
  <c r="A4184"/>
  <c r="A4182"/>
  <c r="A3753"/>
  <c r="A4047"/>
  <c r="A306"/>
  <c r="A4141"/>
  <c r="A372"/>
  <c r="A4191"/>
  <c r="A4189"/>
  <c r="A4187"/>
  <c r="A4185"/>
  <c r="A4183"/>
  <c r="A378"/>
  <c r="A629"/>
  <c r="A630"/>
  <c r="A631"/>
  <c r="A4179"/>
  <c r="H102" i="71" l="1"/>
  <c r="H103" s="1"/>
  <c r="A552" i="34"/>
  <c r="A549"/>
  <c r="A525"/>
  <c r="A523"/>
  <c r="A527"/>
  <c r="A573"/>
  <c r="A547"/>
  <c r="A531"/>
  <c r="A551"/>
  <c r="E4279"/>
  <c r="E4278"/>
  <c r="E4277"/>
  <c r="E4276"/>
  <c r="E584"/>
  <c r="E4274"/>
  <c r="E4273"/>
  <c r="E568"/>
  <c r="E4271"/>
  <c r="E4270"/>
  <c r="E2143"/>
  <c r="E4268"/>
  <c r="E4267"/>
  <c r="M4265"/>
  <c r="E4265"/>
  <c r="E4258"/>
  <c r="E4252"/>
  <c r="E4251"/>
  <c r="E570"/>
  <c r="E4249"/>
  <c r="E4248"/>
  <c r="E529"/>
  <c r="E4246"/>
  <c r="E4245"/>
  <c r="E2108"/>
  <c r="M4243"/>
  <c r="E4243"/>
  <c r="E4238"/>
  <c r="E4218"/>
  <c r="E4217"/>
  <c r="E3691"/>
  <c r="E4215"/>
  <c r="E4214"/>
  <c r="E524"/>
  <c r="M4209"/>
  <c r="E4159"/>
  <c r="E4156"/>
  <c r="E2693"/>
  <c r="M2763"/>
  <c r="E2763"/>
  <c r="E3661"/>
  <c r="E4282"/>
  <c r="E4283"/>
  <c r="E4208"/>
  <c r="M4200"/>
  <c r="M4201"/>
  <c r="M4202"/>
  <c r="M4203"/>
  <c r="M4204"/>
  <c r="M4205"/>
  <c r="M4206"/>
  <c r="M4207"/>
  <c r="E4207"/>
  <c r="E4200"/>
  <c r="E4201"/>
  <c r="E4202"/>
  <c r="E4203"/>
  <c r="E4204"/>
  <c r="E4205"/>
  <c r="E4206"/>
  <c r="E4170"/>
  <c r="E4122"/>
  <c r="E4121"/>
  <c r="E4110"/>
  <c r="E4109"/>
  <c r="E4103"/>
  <c r="E4091"/>
  <c r="E4090"/>
  <c r="E4083"/>
  <c r="E4082"/>
  <c r="E4072"/>
  <c r="E4073"/>
  <c r="E4027"/>
  <c r="E4030"/>
  <c r="E4031"/>
  <c r="E4032"/>
  <c r="E4033"/>
  <c r="E4034"/>
  <c r="E4035"/>
  <c r="E4070"/>
  <c r="E4071"/>
  <c r="E4074"/>
  <c r="E4075"/>
  <c r="E4077"/>
  <c r="E4084"/>
  <c r="E4085"/>
  <c r="E4086"/>
  <c r="E4087"/>
  <c r="E4088"/>
  <c r="E4117"/>
  <c r="E4118"/>
  <c r="E4119"/>
  <c r="E4120"/>
  <c r="E4143"/>
  <c r="E4144"/>
  <c r="E4145"/>
  <c r="E4168"/>
  <c r="E4169"/>
  <c r="E4172"/>
  <c r="E4173"/>
  <c r="E4192"/>
  <c r="E4193"/>
  <c r="E4194"/>
  <c r="E4195"/>
  <c r="E4196"/>
  <c r="E4219"/>
  <c r="E4220"/>
  <c r="E4254"/>
  <c r="E4255"/>
  <c r="E4260"/>
  <c r="E4280"/>
  <c r="E4281"/>
  <c r="E4284"/>
  <c r="E530"/>
  <c r="E3503"/>
  <c r="E2922"/>
  <c r="I103" i="71" l="1"/>
  <c r="I104" s="1"/>
  <c r="A3980" i="34"/>
  <c r="A2116"/>
  <c r="A2922"/>
  <c r="A3503"/>
  <c r="A2115"/>
  <c r="A4284"/>
  <c r="A4281"/>
  <c r="A4280"/>
  <c r="A4260"/>
  <c r="A4255"/>
  <c r="A4254"/>
  <c r="A4220"/>
  <c r="A4219"/>
  <c r="A4196"/>
  <c r="A4195"/>
  <c r="A4194"/>
  <c r="A4193"/>
  <c r="A4192"/>
  <c r="A4173"/>
  <c r="A4172"/>
  <c r="A4169"/>
  <c r="A4168"/>
  <c r="A4122"/>
  <c r="A4110"/>
  <c r="A4103"/>
  <c r="A4090"/>
  <c r="A4088"/>
  <c r="A4087"/>
  <c r="A4086"/>
  <c r="A4085"/>
  <c r="A4084"/>
  <c r="A4082"/>
  <c r="A4077"/>
  <c r="A4075"/>
  <c r="A4074"/>
  <c r="A4072"/>
  <c r="A4071"/>
  <c r="A4070"/>
  <c r="A4035"/>
  <c r="A4034"/>
  <c r="A4033"/>
  <c r="A4032"/>
  <c r="A4031"/>
  <c r="A4030"/>
  <c r="A4028"/>
  <c r="A4027"/>
  <c r="A3775"/>
  <c r="A4206"/>
  <c r="A4205"/>
  <c r="A4204"/>
  <c r="A4203"/>
  <c r="A4202"/>
  <c r="A4201"/>
  <c r="A4200"/>
  <c r="A4207"/>
  <c r="A4208"/>
  <c r="A4283"/>
  <c r="A4282"/>
  <c r="A3661"/>
  <c r="A2763"/>
  <c r="A4156"/>
  <c r="A4159"/>
  <c r="A530"/>
  <c r="A2136"/>
  <c r="A4170"/>
  <c r="A4145"/>
  <c r="A4144"/>
  <c r="A4143"/>
  <c r="A4121"/>
  <c r="A4120"/>
  <c r="A4119"/>
  <c r="A4118"/>
  <c r="A4117"/>
  <c r="A4109"/>
  <c r="A4091"/>
  <c r="A4083"/>
  <c r="A4073"/>
  <c r="A4029"/>
  <c r="A4235"/>
  <c r="A2693"/>
  <c r="A2117"/>
  <c r="A4278"/>
  <c r="A4279"/>
  <c r="A4274"/>
  <c r="A4270"/>
  <c r="A4267"/>
  <c r="A4276"/>
  <c r="A568"/>
  <c r="A2143"/>
  <c r="A4271"/>
  <c r="A4273"/>
  <c r="A584"/>
  <c r="A4277"/>
  <c r="A4268"/>
  <c r="A4251"/>
  <c r="A4214"/>
  <c r="A4245"/>
  <c r="A4265"/>
  <c r="A4258"/>
  <c r="A4248"/>
  <c r="A570"/>
  <c r="A4252"/>
  <c r="A529"/>
  <c r="A4249"/>
  <c r="A2108"/>
  <c r="A4246"/>
  <c r="A4243"/>
  <c r="A4238"/>
  <c r="A524"/>
  <c r="A4215"/>
  <c r="D271" i="60"/>
  <c r="E4129" i="34"/>
  <c r="E4139"/>
  <c r="M4128"/>
  <c r="E4128"/>
  <c r="E4137"/>
  <c r="E4105"/>
  <c r="M1473"/>
  <c r="E521"/>
  <c r="E569"/>
  <c r="H104" i="71" l="1"/>
  <c r="H105" s="1"/>
  <c r="G271" i="60"/>
  <c r="A521" i="34"/>
  <c r="A4105"/>
  <c r="A569"/>
  <c r="A556"/>
  <c r="A555"/>
  <c r="A554"/>
  <c r="A4139"/>
  <c r="A4129"/>
  <c r="A4128"/>
  <c r="A4137"/>
  <c r="M308"/>
  <c r="M309"/>
  <c r="M307"/>
  <c r="K3444"/>
  <c r="M3444" s="1"/>
  <c r="A18" i="62"/>
  <c r="I105" i="71" l="1"/>
  <c r="I106" s="1"/>
  <c r="A2098" i="34"/>
  <c r="A2183"/>
  <c r="A2097"/>
  <c r="A2095"/>
  <c r="A2182"/>
  <c r="A2096"/>
  <c r="A3444"/>
  <c r="C11"/>
  <c r="C14"/>
  <c r="C15"/>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450"/>
  <c r="A1464"/>
  <c r="A1434"/>
  <c r="A1451"/>
  <c r="A1453"/>
  <c r="A1459"/>
  <c r="A1469"/>
  <c r="A1444"/>
  <c r="A1461"/>
  <c r="A1437"/>
  <c r="A1387"/>
  <c r="A1388"/>
  <c r="A1389"/>
  <c r="A1657"/>
  <c r="A1391"/>
  <c r="A1576"/>
  <c r="A2263"/>
  <c r="A1394"/>
  <c r="A2218"/>
  <c r="A1396"/>
  <c r="A2219"/>
  <c r="A1656"/>
  <c r="A2230"/>
  <c r="A1400"/>
  <c r="A1401"/>
  <c r="A1402"/>
  <c r="A1403"/>
  <c r="A1404"/>
  <c r="A1405"/>
  <c r="A1406"/>
  <c r="A1446"/>
  <c r="A1458"/>
  <c r="A1463"/>
  <c r="A1524"/>
  <c r="A1419"/>
  <c r="A1476"/>
  <c r="A1491"/>
  <c r="A1465"/>
  <c r="A1525"/>
  <c r="A1407"/>
  <c r="A1408"/>
  <c r="A1409"/>
  <c r="A1420"/>
  <c r="A1478"/>
  <c r="A1457"/>
  <c r="A1410"/>
  <c r="A1411"/>
  <c r="A1412"/>
  <c r="A1421"/>
  <c r="A1462"/>
  <c r="A1473"/>
  <c r="A1480"/>
  <c r="A1526"/>
  <c r="A1413"/>
  <c r="A1414"/>
  <c r="A1415"/>
  <c r="A1422"/>
  <c r="A1486"/>
  <c r="A1471"/>
  <c r="A1490"/>
  <c r="A1527"/>
  <c r="A1416"/>
  <c r="A1417"/>
  <c r="A1418"/>
  <c r="A1424"/>
  <c r="A1474"/>
  <c r="A1487"/>
  <c r="A2243"/>
  <c r="A2244"/>
  <c r="A2228"/>
  <c r="A2255"/>
  <c r="A1528"/>
  <c r="A1489"/>
  <c r="A1479"/>
  <c r="A1508"/>
  <c r="A1499"/>
  <c r="A1530"/>
  <c r="A1482"/>
  <c r="A1475"/>
  <c r="A1495"/>
  <c r="A1485"/>
  <c r="A1531"/>
  <c r="A2229"/>
  <c r="A2256"/>
  <c r="A2257"/>
  <c r="A2240"/>
  <c r="A1529"/>
  <c r="A1497"/>
  <c r="A1494"/>
  <c r="A1523"/>
  <c r="A1515"/>
  <c r="A1532"/>
  <c r="A1488"/>
  <c r="A1483"/>
  <c r="A1513"/>
  <c r="A1534"/>
  <c r="A1554"/>
  <c r="A1115"/>
  <c r="A1116"/>
  <c r="A1132"/>
  <c r="A1535"/>
  <c r="A1536"/>
  <c r="A1538"/>
  <c r="A1539"/>
  <c r="A1540"/>
  <c r="A1578"/>
  <c r="A1579"/>
  <c r="A1522"/>
  <c r="A1590"/>
  <c r="M945"/>
  <c r="M899"/>
  <c r="M898"/>
  <c r="M897"/>
  <c r="M896"/>
  <c r="E893"/>
  <c r="M892"/>
  <c r="E892"/>
  <c r="E2753"/>
  <c r="E953"/>
  <c r="E4098"/>
  <c r="E4045"/>
  <c r="E4044"/>
  <c r="E3254"/>
  <c r="M4165"/>
  <c r="M4127"/>
  <c r="M4041"/>
  <c r="E4065"/>
  <c r="E4064"/>
  <c r="E4063"/>
  <c r="E4062"/>
  <c r="E4061"/>
  <c r="E4060"/>
  <c r="E4059"/>
  <c r="E4058"/>
  <c r="E4057"/>
  <c r="E2078"/>
  <c r="M4040"/>
  <c r="E4040"/>
  <c r="M4199"/>
  <c r="M4049"/>
  <c r="M4050"/>
  <c r="M4051"/>
  <c r="M4048"/>
  <c r="E4288"/>
  <c r="E4289"/>
  <c r="E3845"/>
  <c r="E4233"/>
  <c r="E4234"/>
  <c r="E3769"/>
  <c r="E4236"/>
  <c r="E4237"/>
  <c r="K4224"/>
  <c r="K4134"/>
  <c r="K4135"/>
  <c r="K4136"/>
  <c r="K4133"/>
  <c r="E4133"/>
  <c r="E4134"/>
  <c r="E4135"/>
  <c r="E4136"/>
  <c r="E4131"/>
  <c r="E4132"/>
  <c r="H106" i="71" l="1"/>
  <c r="H107" s="1"/>
  <c r="I107"/>
  <c r="I108" s="1"/>
  <c r="A4044" i="34"/>
  <c r="A4045"/>
  <c r="A3254"/>
  <c r="A4098"/>
  <c r="A4237"/>
  <c r="A3769"/>
  <c r="A4234"/>
  <c r="A3845"/>
  <c r="A953"/>
  <c r="A946"/>
  <c r="A3529"/>
  <c r="A4236"/>
  <c r="A4233"/>
  <c r="A2753"/>
  <c r="A892"/>
  <c r="A897"/>
  <c r="A899"/>
  <c r="A893"/>
  <c r="A896"/>
  <c r="A898"/>
  <c r="A945"/>
  <c r="E4115"/>
  <c r="E3535"/>
  <c r="E4151"/>
  <c r="E4152"/>
  <c r="E4153"/>
  <c r="E4154"/>
  <c r="E4224"/>
  <c r="E4227"/>
  <c r="E4230"/>
  <c r="E4231"/>
  <c r="E3529"/>
  <c r="E4225"/>
  <c r="E4286"/>
  <c r="E4048"/>
  <c r="E4049"/>
  <c r="E4050"/>
  <c r="E4051"/>
  <c r="E4199"/>
  <c r="E1708"/>
  <c r="E947"/>
  <c r="E4054"/>
  <c r="E4055"/>
  <c r="E4106"/>
  <c r="E4107"/>
  <c r="E4166"/>
  <c r="E4226"/>
  <c r="E4041"/>
  <c r="E4127"/>
  <c r="E4165"/>
  <c r="E4042"/>
  <c r="E4096"/>
  <c r="E4100"/>
  <c r="E4097"/>
  <c r="E4155"/>
  <c r="E4209"/>
  <c r="E2104"/>
  <c r="E4211"/>
  <c r="E4212"/>
  <c r="E4242"/>
  <c r="E4232"/>
  <c r="E4038"/>
  <c r="E4148"/>
  <c r="E4160"/>
  <c r="E4181"/>
  <c r="E4308"/>
  <c r="E326"/>
  <c r="E336"/>
  <c r="E346"/>
  <c r="E355"/>
  <c r="E365"/>
  <c r="E384"/>
  <c r="E1003"/>
  <c r="E1021"/>
  <c r="E4298"/>
  <c r="E4299"/>
  <c r="E4301"/>
  <c r="E4302"/>
  <c r="E4310"/>
  <c r="E4311"/>
  <c r="E4312"/>
  <c r="E4313"/>
  <c r="E1024"/>
  <c r="E4330"/>
  <c r="E1033"/>
  <c r="E4332"/>
  <c r="E1028"/>
  <c r="E4334"/>
  <c r="E4367"/>
  <c r="E4384"/>
  <c r="E1056"/>
  <c r="E4389"/>
  <c r="E4390"/>
  <c r="E4409"/>
  <c r="E4410"/>
  <c r="E4411"/>
  <c r="E4438"/>
  <c r="H108" i="71" l="1"/>
  <c r="H109" s="1"/>
  <c r="C510" i="34"/>
  <c r="C508"/>
  <c r="C517"/>
  <c r="C513"/>
  <c r="C526"/>
  <c r="C536"/>
  <c r="C534"/>
  <c r="E504"/>
  <c r="E501"/>
  <c r="C550"/>
  <c r="C546"/>
  <c r="C545"/>
  <c r="C543"/>
  <c r="C541"/>
  <c r="C538"/>
  <c r="C532"/>
  <c r="C535"/>
  <c r="C537"/>
  <c r="C539"/>
  <c r="C540"/>
  <c r="C542"/>
  <c r="C544"/>
  <c r="C548"/>
  <c r="C553"/>
  <c r="C533"/>
  <c r="C514"/>
  <c r="C511"/>
  <c r="E3734"/>
  <c r="K3734"/>
  <c r="M3734" s="1"/>
  <c r="I109" i="71" l="1"/>
  <c r="I110" s="1"/>
  <c r="B514" i="34"/>
  <c r="B517"/>
  <c r="B542"/>
  <c r="B535"/>
  <c r="B545"/>
  <c r="B550"/>
  <c r="B553"/>
  <c r="B540"/>
  <c r="B532"/>
  <c r="B513"/>
  <c r="B508"/>
  <c r="B544"/>
  <c r="B537"/>
  <c r="B526"/>
  <c r="B510"/>
  <c r="B533"/>
  <c r="B541"/>
  <c r="B511"/>
  <c r="B548"/>
  <c r="B539"/>
  <c r="B538"/>
  <c r="B543"/>
  <c r="B546"/>
  <c r="B534"/>
  <c r="B536"/>
  <c r="A3734"/>
  <c r="A504"/>
  <c r="A501"/>
  <c r="E519"/>
  <c r="E520"/>
  <c r="M3394"/>
  <c r="E3394"/>
  <c r="E3614"/>
  <c r="E3733"/>
  <c r="K3733"/>
  <c r="M3733" s="1"/>
  <c r="K371"/>
  <c r="M371" s="1"/>
  <c r="E371"/>
  <c r="K370"/>
  <c r="M370" s="1"/>
  <c r="E370"/>
  <c r="E3995"/>
  <c r="E4005"/>
  <c r="E3996"/>
  <c r="E3989"/>
  <c r="E3977"/>
  <c r="E3959"/>
  <c r="E3956"/>
  <c r="E3910"/>
  <c r="E3932"/>
  <c r="E3892"/>
  <c r="E3825"/>
  <c r="E3820"/>
  <c r="E3819"/>
  <c r="E3790"/>
  <c r="E3778"/>
  <c r="E3741"/>
  <c r="E3789"/>
  <c r="E3728"/>
  <c r="E3717"/>
  <c r="E3705"/>
  <c r="E3750"/>
  <c r="D268" i="60"/>
  <c r="G268" s="1"/>
  <c r="N268" s="1"/>
  <c r="M1540" i="34"/>
  <c r="M1539"/>
  <c r="M1538"/>
  <c r="M1536"/>
  <c r="M1535"/>
  <c r="M1590"/>
  <c r="M1579"/>
  <c r="M1578"/>
  <c r="M171"/>
  <c r="H110" i="71" l="1"/>
  <c r="H111" s="1"/>
  <c r="P268" i="60"/>
  <c r="A3750" i="34"/>
  <c r="A3705"/>
  <c r="A3717"/>
  <c r="A3728"/>
  <c r="A3789"/>
  <c r="A3741"/>
  <c r="A3778"/>
  <c r="A3790"/>
  <c r="A3819"/>
  <c r="A3820"/>
  <c r="A3825"/>
  <c r="A3892"/>
  <c r="A3932"/>
  <c r="A3910"/>
  <c r="A3956"/>
  <c r="A3959"/>
  <c r="A3977"/>
  <c r="A3989"/>
  <c r="A3996"/>
  <c r="A4005"/>
  <c r="A3995"/>
  <c r="A370"/>
  <c r="A3733"/>
  <c r="A3614"/>
  <c r="A3394"/>
  <c r="A519"/>
  <c r="A538"/>
  <c r="A543"/>
  <c r="A546"/>
  <c r="A534"/>
  <c r="A526"/>
  <c r="A513"/>
  <c r="A508"/>
  <c r="A522"/>
  <c r="A539"/>
  <c r="A548"/>
  <c r="A532"/>
  <c r="A537"/>
  <c r="A514"/>
  <c r="A511"/>
  <c r="A371"/>
  <c r="A520"/>
  <c r="A533"/>
  <c r="A541"/>
  <c r="A545"/>
  <c r="A550"/>
  <c r="A536"/>
  <c r="A517"/>
  <c r="A510"/>
  <c r="A544"/>
  <c r="A535"/>
  <c r="A542"/>
  <c r="A540"/>
  <c r="A553"/>
  <c r="M2100"/>
  <c r="E1853"/>
  <c r="M1830"/>
  <c r="M1713"/>
  <c r="E1544"/>
  <c r="E1712"/>
  <c r="E1533"/>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2240"/>
  <c r="E2240"/>
  <c r="M2257"/>
  <c r="E2257"/>
  <c r="M2256"/>
  <c r="E2256"/>
  <c r="M2229"/>
  <c r="E2229"/>
  <c r="M2255"/>
  <c r="E2255"/>
  <c r="M2228"/>
  <c r="E2228"/>
  <c r="M2244"/>
  <c r="E2244"/>
  <c r="M2243"/>
  <c r="M1116"/>
  <c r="M1115"/>
  <c r="M1534"/>
  <c r="M1532"/>
  <c r="M1531"/>
  <c r="M1530"/>
  <c r="I111" i="71" l="1"/>
  <c r="I112" s="1"/>
  <c r="M211" i="34"/>
  <c r="A518"/>
  <c r="A1544"/>
  <c r="A1830"/>
  <c r="A2100"/>
  <c r="A1712"/>
  <c r="A1713"/>
  <c r="A1715"/>
  <c r="A1832"/>
  <c r="A1853"/>
  <c r="A2101"/>
  <c r="M204"/>
  <c r="M208"/>
  <c r="M210"/>
  <c r="M212" s="1"/>
  <c r="M187"/>
  <c r="M189"/>
  <c r="M193"/>
  <c r="M195"/>
  <c r="M197" s="1"/>
  <c r="H112" i="71" l="1"/>
  <c r="H113" s="1"/>
  <c r="M1132" i="34"/>
  <c r="M1577"/>
  <c r="M1551"/>
  <c r="M1553"/>
  <c r="M1514"/>
  <c r="M1581"/>
  <c r="M1562"/>
  <c r="M1558"/>
  <c r="M1560"/>
  <c r="M1559"/>
  <c r="M1509"/>
  <c r="M1556"/>
  <c r="M1571"/>
  <c r="M1520"/>
  <c r="M1521"/>
  <c r="M1496"/>
  <c r="M1552"/>
  <c r="M1516"/>
  <c r="M1507"/>
  <c r="M1565"/>
  <c r="M1500"/>
  <c r="M1498"/>
  <c r="M1493"/>
  <c r="M1555"/>
  <c r="M1501"/>
  <c r="M1506"/>
  <c r="M1554"/>
  <c r="M1513"/>
  <c r="M1424"/>
  <c r="M1422"/>
  <c r="M1527"/>
  <c r="M1421"/>
  <c r="M1526"/>
  <c r="M1420"/>
  <c r="M1525"/>
  <c r="M1419"/>
  <c r="M1524"/>
  <c r="E1524"/>
  <c r="M1463"/>
  <c r="M1458"/>
  <c r="M1446"/>
  <c r="M1406"/>
  <c r="M1405"/>
  <c r="M1404"/>
  <c r="M1403"/>
  <c r="M1402"/>
  <c r="M1401"/>
  <c r="I113" i="71" l="1"/>
  <c r="I114" s="1"/>
  <c r="M1418" i="34"/>
  <c r="M1417"/>
  <c r="M1416"/>
  <c r="M1415"/>
  <c r="M1414"/>
  <c r="M1413"/>
  <c r="M1412"/>
  <c r="M1410"/>
  <c r="M1409"/>
  <c r="M1408"/>
  <c r="M1407"/>
  <c r="M1400"/>
  <c r="M1396"/>
  <c r="M1394"/>
  <c r="E1394"/>
  <c r="M1391"/>
  <c r="E1391"/>
  <c r="M1387"/>
  <c r="E1387"/>
  <c r="M1376"/>
  <c r="E1376"/>
  <c r="H114" i="71" l="1"/>
  <c r="H115" s="1"/>
  <c r="E1374" i="34"/>
  <c r="E1375"/>
  <c r="E1450"/>
  <c r="E1464"/>
  <c r="E1388"/>
  <c r="E1389"/>
  <c r="E1657"/>
  <c r="E1576"/>
  <c r="E2263"/>
  <c r="E2218"/>
  <c r="E1373"/>
  <c r="M1582"/>
  <c r="M1483"/>
  <c r="M1488"/>
  <c r="M1515"/>
  <c r="M1523"/>
  <c r="M1494"/>
  <c r="M1497"/>
  <c r="M1485"/>
  <c r="M1495"/>
  <c r="M1475"/>
  <c r="M1482"/>
  <c r="M1499"/>
  <c r="M1508"/>
  <c r="M1479"/>
  <c r="M1489"/>
  <c r="M1487"/>
  <c r="M1474"/>
  <c r="M1490"/>
  <c r="M1471"/>
  <c r="M1486"/>
  <c r="M1480"/>
  <c r="M1462"/>
  <c r="M1457"/>
  <c r="M1478"/>
  <c r="M1465"/>
  <c r="M1491"/>
  <c r="M1476"/>
  <c r="M2230"/>
  <c r="M1656"/>
  <c r="M2219"/>
  <c r="M2218"/>
  <c r="M2263"/>
  <c r="M1576"/>
  <c r="M1657"/>
  <c r="M1389"/>
  <c r="M1388"/>
  <c r="M1437"/>
  <c r="M1461"/>
  <c r="M1444"/>
  <c r="M1469"/>
  <c r="M1459"/>
  <c r="M1453"/>
  <c r="M1451"/>
  <c r="M1434"/>
  <c r="M1464"/>
  <c r="M1450"/>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1078"/>
  <c r="M1078"/>
  <c r="E1079"/>
  <c r="M1079"/>
  <c r="E1080"/>
  <c r="M948"/>
  <c r="E948"/>
  <c r="E3554"/>
  <c r="E3576"/>
  <c r="E3627"/>
  <c r="E3338"/>
  <c r="E3080"/>
  <c r="E3138"/>
  <c r="E3219"/>
  <c r="E3375"/>
  <c r="E3412"/>
  <c r="E3450"/>
  <c r="E3376"/>
  <c r="E3413"/>
  <c r="E3451"/>
  <c r="E3505"/>
  <c r="E2947"/>
  <c r="E2973"/>
  <c r="E3019"/>
  <c r="E2948"/>
  <c r="E2974"/>
  <c r="E3020"/>
  <c r="E3063"/>
  <c r="E3079"/>
  <c r="E3137"/>
  <c r="E3218"/>
  <c r="E3303"/>
  <c r="E2564"/>
  <c r="E2522"/>
  <c r="E2565"/>
  <c r="E2604"/>
  <c r="E2521"/>
  <c r="C1365"/>
  <c r="E1680"/>
  <c r="E987"/>
  <c r="E981"/>
  <c r="E620"/>
  <c r="E615"/>
  <c r="I115" i="71" l="1"/>
  <c r="I116" s="1"/>
  <c r="B1365" i="34"/>
  <c r="A2564"/>
  <c r="A2931"/>
  <c r="A2838"/>
  <c r="A2604"/>
  <c r="A494"/>
  <c r="A2522"/>
  <c r="A2723"/>
  <c r="A2654"/>
  <c r="A2565"/>
  <c r="A3063"/>
  <c r="A3505"/>
  <c r="A2630"/>
  <c r="A2521"/>
  <c r="A2839"/>
  <c r="A2675"/>
  <c r="L207" i="60"/>
  <c r="A516" i="34"/>
  <c r="A597"/>
  <c r="A615"/>
  <c r="A620"/>
  <c r="A981"/>
  <c r="A987"/>
  <c r="A1680"/>
  <c r="A2881"/>
  <c r="A2880"/>
  <c r="A3303"/>
  <c r="A3218"/>
  <c r="A3137"/>
  <c r="A3079"/>
  <c r="A3020"/>
  <c r="A2974"/>
  <c r="A2948"/>
  <c r="A3019"/>
  <c r="A2973"/>
  <c r="A2947"/>
  <c r="A3451"/>
  <c r="A3413"/>
  <c r="A3376"/>
  <c r="A3450"/>
  <c r="A3412"/>
  <c r="A3375"/>
  <c r="A3219"/>
  <c r="A3138"/>
  <c r="A3080"/>
  <c r="A3338"/>
  <c r="A3627"/>
  <c r="A3576"/>
  <c r="A3554"/>
  <c r="A1079"/>
  <c r="A948"/>
  <c r="A1080"/>
  <c r="A1078"/>
  <c r="L203" i="60"/>
  <c r="L204"/>
  <c r="C1647" i="34"/>
  <c r="C1380"/>
  <c r="C1377"/>
  <c r="C1549"/>
  <c r="C2198"/>
  <c r="C2252"/>
  <c r="C2262"/>
  <c r="C1512"/>
  <c r="C1510"/>
  <c r="C1575"/>
  <c r="C2258"/>
  <c r="C1378"/>
  <c r="C1427"/>
  <c r="C1758"/>
  <c r="C1757"/>
  <c r="C1345"/>
  <c r="C1346"/>
  <c r="C2246"/>
  <c r="C2245"/>
  <c r="C1397"/>
  <c r="C1331"/>
  <c r="C1322"/>
  <c r="C1648"/>
  <c r="C1395"/>
  <c r="C2216"/>
  <c r="C2215"/>
  <c r="C1649"/>
  <c r="C2197"/>
  <c r="C1756"/>
  <c r="C1265"/>
  <c r="C1436"/>
  <c r="C1428"/>
  <c r="C1341"/>
  <c r="C1367"/>
  <c r="C1228"/>
  <c r="C1306"/>
  <c r="C1343"/>
  <c r="C1223"/>
  <c r="C1224"/>
  <c r="C1226"/>
  <c r="C1438"/>
  <c r="C1340"/>
  <c r="C1326"/>
  <c r="C2226"/>
  <c r="C1502"/>
  <c r="C2224"/>
  <c r="C2233"/>
  <c r="C1256"/>
  <c r="C1319"/>
  <c r="C1257"/>
  <c r="C1253"/>
  <c r="C1254"/>
  <c r="C1269"/>
  <c r="C1271"/>
  <c r="C1268"/>
  <c r="C1321"/>
  <c r="C1392"/>
  <c r="C1511"/>
  <c r="C1208"/>
  <c r="C1199"/>
  <c r="C1201"/>
  <c r="C1207"/>
  <c r="C1206"/>
  <c r="C1209"/>
  <c r="C1200"/>
  <c r="C1650"/>
  <c r="I55" i="12"/>
  <c r="I56"/>
  <c r="I57"/>
  <c r="I58"/>
  <c r="I59"/>
  <c r="I60"/>
  <c r="I61"/>
  <c r="I62"/>
  <c r="I63"/>
  <c r="I64"/>
  <c r="I65"/>
  <c r="I67"/>
  <c r="I68"/>
  <c r="I69"/>
  <c r="I70"/>
  <c r="I71"/>
  <c r="I72"/>
  <c r="I73"/>
  <c r="I74"/>
  <c r="I75"/>
  <c r="I76"/>
  <c r="I77"/>
  <c r="I78"/>
  <c r="I79"/>
  <c r="I80"/>
  <c r="I81"/>
  <c r="I82"/>
  <c r="I83"/>
  <c r="I85"/>
  <c r="H116" i="71" l="1"/>
  <c r="H117" s="1"/>
  <c r="B1650" i="34"/>
  <c r="B1209"/>
  <c r="B1207"/>
  <c r="B1199"/>
  <c r="B1511"/>
  <c r="B1321"/>
  <c r="B1271"/>
  <c r="B1254"/>
  <c r="B1257"/>
  <c r="B1256"/>
  <c r="B2224"/>
  <c r="B2226"/>
  <c r="B1340"/>
  <c r="B1226"/>
  <c r="B1223"/>
  <c r="B1306"/>
  <c r="B1367"/>
  <c r="B1428"/>
  <c r="B1265"/>
  <c r="B2197"/>
  <c r="B2215"/>
  <c r="B1395"/>
  <c r="B1331"/>
  <c r="B2245"/>
  <c r="B1346"/>
  <c r="B1757"/>
  <c r="B1427"/>
  <c r="B2258"/>
  <c r="B1510"/>
  <c r="B2262"/>
  <c r="B2198"/>
  <c r="B1377"/>
  <c r="B1647"/>
  <c r="B1200"/>
  <c r="B1206"/>
  <c r="B1201"/>
  <c r="B1208"/>
  <c r="B1392"/>
  <c r="B1268"/>
  <c r="B1269"/>
  <c r="B1253"/>
  <c r="B1319"/>
  <c r="B2233"/>
  <c r="B1502"/>
  <c r="B1326"/>
  <c r="B1438"/>
  <c r="B1224"/>
  <c r="B1343"/>
  <c r="B1228"/>
  <c r="B1341"/>
  <c r="B1436"/>
  <c r="B1756"/>
  <c r="B1649"/>
  <c r="B2216"/>
  <c r="B1648"/>
  <c r="B1322"/>
  <c r="B1397"/>
  <c r="B2246"/>
  <c r="B1345"/>
  <c r="B1758"/>
  <c r="B1378"/>
  <c r="B1575"/>
  <c r="B1512"/>
  <c r="B2252"/>
  <c r="B1549"/>
  <c r="B1380"/>
  <c r="A1443"/>
  <c r="A1454"/>
  <c r="A1365"/>
  <c r="M1359"/>
  <c r="C1359"/>
  <c r="M1355"/>
  <c r="C1355"/>
  <c r="M1354"/>
  <c r="C1354"/>
  <c r="C1382"/>
  <c r="M1382"/>
  <c r="C1383"/>
  <c r="M1383"/>
  <c r="C1370"/>
  <c r="M1370"/>
  <c r="C1385"/>
  <c r="M1385"/>
  <c r="C1439"/>
  <c r="M1439"/>
  <c r="C1432"/>
  <c r="M1432"/>
  <c r="C1433"/>
  <c r="M1433"/>
  <c r="C1379"/>
  <c r="M1379"/>
  <c r="C1435"/>
  <c r="M1435"/>
  <c r="I117" i="71" l="1"/>
  <c r="I118" s="1"/>
  <c r="B1354" i="34"/>
  <c r="B1355"/>
  <c r="B1359"/>
  <c r="B1432"/>
  <c r="B1370"/>
  <c r="B1433"/>
  <c r="B1385"/>
  <c r="B1379"/>
  <c r="B1382"/>
  <c r="B1439"/>
  <c r="B1383"/>
  <c r="B1435"/>
  <c r="A1207"/>
  <c r="A1511"/>
  <c r="A1209"/>
  <c r="A1228"/>
  <c r="A1265"/>
  <c r="A1306"/>
  <c r="A1341"/>
  <c r="A1340"/>
  <c r="A2226"/>
  <c r="A1343"/>
  <c r="A2224"/>
  <c r="A1271"/>
  <c r="A1256"/>
  <c r="A1257"/>
  <c r="A1395"/>
  <c r="A2215"/>
  <c r="A2197"/>
  <c r="A1764"/>
  <c r="A1512"/>
  <c r="A1384"/>
  <c r="A1378"/>
  <c r="A1575"/>
  <c r="A1758"/>
  <c r="A1345"/>
  <c r="A2246"/>
  <c r="A1397"/>
  <c r="A1322"/>
  <c r="A1223"/>
  <c r="A1268"/>
  <c r="A1208"/>
  <c r="A1206"/>
  <c r="A1647"/>
  <c r="A1377"/>
  <c r="A2262"/>
  <c r="A2258"/>
  <c r="A1650"/>
  <c r="A1321"/>
  <c r="A1199"/>
  <c r="A1428"/>
  <c r="A1226"/>
  <c r="A1436"/>
  <c r="A1224"/>
  <c r="A1438"/>
  <c r="A1326"/>
  <c r="A1254"/>
  <c r="A1502"/>
  <c r="A1269"/>
  <c r="A2233"/>
  <c r="A1319"/>
  <c r="A1648"/>
  <c r="A2216"/>
  <c r="A1649"/>
  <c r="A1756"/>
  <c r="A1549"/>
  <c r="A1448"/>
  <c r="A1445"/>
  <c r="A2252"/>
  <c r="A1427"/>
  <c r="A1757"/>
  <c r="A1346"/>
  <c r="A2245"/>
  <c r="A1331"/>
  <c r="A1367"/>
  <c r="A1253"/>
  <c r="A1392"/>
  <c r="A1201"/>
  <c r="A1200"/>
  <c r="A1380"/>
  <c r="A2198"/>
  <c r="A1510"/>
  <c r="M1182"/>
  <c r="M1169"/>
  <c r="M1168"/>
  <c r="M1167"/>
  <c r="M1189"/>
  <c r="C1189"/>
  <c r="M1188"/>
  <c r="C1188"/>
  <c r="M1187"/>
  <c r="C1187"/>
  <c r="M1181"/>
  <c r="C1181"/>
  <c r="M1180"/>
  <c r="C1180"/>
  <c r="M1179"/>
  <c r="C1179"/>
  <c r="M1178"/>
  <c r="C1178"/>
  <c r="M1177"/>
  <c r="C1177"/>
  <c r="M1176"/>
  <c r="C1176"/>
  <c r="M1175"/>
  <c r="C1175"/>
  <c r="M1174"/>
  <c r="C1174"/>
  <c r="M1173"/>
  <c r="C1173"/>
  <c r="M1215"/>
  <c r="M1198"/>
  <c r="M1196"/>
  <c r="M1425"/>
  <c r="C1425"/>
  <c r="M1339"/>
  <c r="C1339"/>
  <c r="M1211"/>
  <c r="C1211"/>
  <c r="M1210"/>
  <c r="C1210"/>
  <c r="M1221"/>
  <c r="C1221"/>
  <c r="M1220"/>
  <c r="C1220"/>
  <c r="M1222"/>
  <c r="M1217"/>
  <c r="M1335"/>
  <c r="C1335"/>
  <c r="M1386"/>
  <c r="C1386"/>
  <c r="M1336"/>
  <c r="C1336"/>
  <c r="M1338"/>
  <c r="C1338"/>
  <c r="M1219"/>
  <c r="C1219"/>
  <c r="M1426"/>
  <c r="C1426"/>
  <c r="C1215"/>
  <c r="E472"/>
  <c r="E471"/>
  <c r="E401"/>
  <c r="M401"/>
  <c r="M396"/>
  <c r="C396"/>
  <c r="M1144"/>
  <c r="C1144"/>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5"/>
  <c r="H118" i="71" l="1"/>
  <c r="H119" s="1"/>
  <c r="B396" i="34"/>
  <c r="B1338"/>
  <c r="B1217"/>
  <c r="B1220"/>
  <c r="B1339"/>
  <c r="B1198"/>
  <c r="B1176"/>
  <c r="B1180"/>
  <c r="B1189"/>
  <c r="B1144"/>
  <c r="B1215"/>
  <c r="B1219"/>
  <c r="B1335"/>
  <c r="B1211"/>
  <c r="B1175"/>
  <c r="B1179"/>
  <c r="B1188"/>
  <c r="B1168"/>
  <c r="B1182"/>
  <c r="B1426"/>
  <c r="B1386"/>
  <c r="B1222"/>
  <c r="B1210"/>
  <c r="B1196"/>
  <c r="B1174"/>
  <c r="B1178"/>
  <c r="B1187"/>
  <c r="B1336"/>
  <c r="B1221"/>
  <c r="B1425"/>
  <c r="B1173"/>
  <c r="B1177"/>
  <c r="B1181"/>
  <c r="B1167"/>
  <c r="B1169"/>
  <c r="A482"/>
  <c r="A483"/>
  <c r="A485"/>
  <c r="A487"/>
  <c r="A488"/>
  <c r="A490"/>
  <c r="A492"/>
  <c r="A495"/>
  <c r="A498"/>
  <c r="A500"/>
  <c r="A503"/>
  <c r="A507"/>
  <c r="A515"/>
  <c r="A472"/>
  <c r="A1354"/>
  <c r="A1432"/>
  <c r="A1370"/>
  <c r="A1385"/>
  <c r="A1433"/>
  <c r="A1383"/>
  <c r="A3855"/>
  <c r="A479"/>
  <c r="A481"/>
  <c r="A478"/>
  <c r="A480"/>
  <c r="A486"/>
  <c r="A489"/>
  <c r="A491"/>
  <c r="A493"/>
  <c r="A496"/>
  <c r="A499"/>
  <c r="A502"/>
  <c r="A505"/>
  <c r="A509"/>
  <c r="A471"/>
  <c r="A1359"/>
  <c r="A1355"/>
  <c r="A1382"/>
  <c r="A1379"/>
  <c r="A1439"/>
  <c r="A1435"/>
  <c r="E3846"/>
  <c r="E3847"/>
  <c r="E3894"/>
  <c r="M3894"/>
  <c r="E3979"/>
  <c r="M3979"/>
  <c r="E3877"/>
  <c r="E3852"/>
  <c r="E4104"/>
  <c r="E120" i="55"/>
  <c r="E3650" i="34"/>
  <c r="M3648"/>
  <c r="E3648"/>
  <c r="M284"/>
  <c r="K284" s="1"/>
  <c r="C284"/>
  <c r="M1193"/>
  <c r="K1193" s="1"/>
  <c r="C1193"/>
  <c r="D115" i="60"/>
  <c r="I119" i="71" l="1"/>
  <c r="I120" s="1"/>
  <c r="B284" i="34"/>
  <c r="B1193"/>
  <c r="A3648"/>
  <c r="A3852"/>
  <c r="A3877"/>
  <c r="A3979"/>
  <c r="A3846"/>
  <c r="A1144"/>
  <c r="A401"/>
  <c r="A1222"/>
  <c r="A1335"/>
  <c r="A1426"/>
  <c r="A1219"/>
  <c r="A1210"/>
  <c r="A1220"/>
  <c r="A1221"/>
  <c r="A1198"/>
  <c r="A1182"/>
  <c r="A1188"/>
  <c r="A1175"/>
  <c r="A1180"/>
  <c r="A1169"/>
  <c r="A1174"/>
  <c r="A1187"/>
  <c r="A1181"/>
  <c r="A3650"/>
  <c r="A3894"/>
  <c r="A3847"/>
  <c r="A396"/>
  <c r="A1215"/>
  <c r="A1338"/>
  <c r="A1217"/>
  <c r="A1336"/>
  <c r="A1425"/>
  <c r="A1211"/>
  <c r="A1386"/>
  <c r="A1339"/>
  <c r="A1196"/>
  <c r="A1168"/>
  <c r="A1179"/>
  <c r="A1189"/>
  <c r="A1176"/>
  <c r="A1167"/>
  <c r="A1178"/>
  <c r="A1177"/>
  <c r="A1173"/>
  <c r="H120" i="71" l="1"/>
  <c r="H121" s="1"/>
  <c r="A284" i="34"/>
  <c r="A1193"/>
  <c r="E2431"/>
  <c r="E2383"/>
  <c r="E4066"/>
  <c r="E4081"/>
  <c r="E4102"/>
  <c r="E4108"/>
  <c r="E4113"/>
  <c r="E4116"/>
  <c r="E4162"/>
  <c r="E4163"/>
  <c r="E4026"/>
  <c r="E304"/>
  <c r="K304"/>
  <c r="M304" s="1"/>
  <c r="E303"/>
  <c r="K303"/>
  <c r="M303" s="1"/>
  <c r="E305"/>
  <c r="K305"/>
  <c r="M305" s="1"/>
  <c r="E3649"/>
  <c r="K3649"/>
  <c r="M3649" s="1"/>
  <c r="E316"/>
  <c r="K316"/>
  <c r="M316" s="1"/>
  <c r="E302"/>
  <c r="K302"/>
  <c r="M302" s="1"/>
  <c r="I121" i="71" l="1"/>
  <c r="I122" s="1"/>
  <c r="A3742" i="34"/>
  <c r="A3772"/>
  <c r="A3623"/>
  <c r="A302"/>
  <c r="A3649"/>
  <c r="A316"/>
  <c r="A305"/>
  <c r="A304"/>
  <c r="A2431"/>
  <c r="A3571"/>
  <c r="A3475"/>
  <c r="A3382"/>
  <c r="A2094"/>
  <c r="A2093"/>
  <c r="A303"/>
  <c r="H122" i="71" l="1"/>
  <c r="H123" s="1"/>
  <c r="E4021" i="34"/>
  <c r="E4020"/>
  <c r="M4020"/>
  <c r="M3738"/>
  <c r="E3739"/>
  <c r="I123" i="71" l="1"/>
  <c r="I124" s="1"/>
  <c r="A3739" i="34"/>
  <c r="A4020"/>
  <c r="A4021"/>
  <c r="M3930"/>
  <c r="E3931"/>
  <c r="M3860"/>
  <c r="E3861"/>
  <c r="H124" i="71" l="1"/>
  <c r="H125" s="1"/>
  <c r="A3931" i="34"/>
  <c r="A3861"/>
  <c r="E3837"/>
  <c r="E3838"/>
  <c r="E4012"/>
  <c r="E4023"/>
  <c r="E3988"/>
  <c r="E3987"/>
  <c r="E3976"/>
  <c r="E3975"/>
  <c r="E3974"/>
  <c r="E3973"/>
  <c r="E3958"/>
  <c r="E3955"/>
  <c r="E3954"/>
  <c r="E2060"/>
  <c r="E3952"/>
  <c r="E3951"/>
  <c r="E2857"/>
  <c r="E3949"/>
  <c r="E3948"/>
  <c r="E1537"/>
  <c r="E3946"/>
  <c r="E3945"/>
  <c r="E2132"/>
  <c r="E3936"/>
  <c r="E3925"/>
  <c r="E3930"/>
  <c r="E3929"/>
  <c r="E3928"/>
  <c r="E3909"/>
  <c r="E3908"/>
  <c r="E2827"/>
  <c r="E3887"/>
  <c r="E3888"/>
  <c r="E3889"/>
  <c r="E3886"/>
  <c r="E3885"/>
  <c r="E2045"/>
  <c r="E3883"/>
  <c r="E3882"/>
  <c r="E3881"/>
  <c r="E2053"/>
  <c r="E3879"/>
  <c r="E3876"/>
  <c r="E3878"/>
  <c r="E3875"/>
  <c r="E3859"/>
  <c r="E3874"/>
  <c r="E3860"/>
  <c r="E3853"/>
  <c r="E3854"/>
  <c r="E3851"/>
  <c r="E4022"/>
  <c r="M4022"/>
  <c r="M4019"/>
  <c r="M4018"/>
  <c r="M4017"/>
  <c r="M4016"/>
  <c r="M4013"/>
  <c r="M3972"/>
  <c r="M3971"/>
  <c r="M3970"/>
  <c r="M3968"/>
  <c r="M3969"/>
  <c r="M3967"/>
  <c r="M3966"/>
  <c r="M3965"/>
  <c r="M3964"/>
  <c r="M3963"/>
  <c r="E3963"/>
  <c r="M3962"/>
  <c r="E3962"/>
  <c r="M3961"/>
  <c r="E3961"/>
  <c r="E3964"/>
  <c r="E3965"/>
  <c r="E3966"/>
  <c r="E3967"/>
  <c r="E3968"/>
  <c r="E3969"/>
  <c r="E3970"/>
  <c r="E3971"/>
  <c r="E3972"/>
  <c r="E4013"/>
  <c r="E4016"/>
  <c r="E4017"/>
  <c r="E4018"/>
  <c r="E4019"/>
  <c r="M3960"/>
  <c r="E3960"/>
  <c r="M3957"/>
  <c r="E3957"/>
  <c r="E3927"/>
  <c r="M3927"/>
  <c r="M3926"/>
  <c r="E3926"/>
  <c r="M3924"/>
  <c r="E3924"/>
  <c r="E3873"/>
  <c r="M3873"/>
  <c r="E3872"/>
  <c r="M3872"/>
  <c r="E3871"/>
  <c r="M3871"/>
  <c r="M3594"/>
  <c r="E3594"/>
  <c r="E2742"/>
  <c r="E3836"/>
  <c r="E3835"/>
  <c r="E3906"/>
  <c r="E3905"/>
  <c r="M3905"/>
  <c r="M3898"/>
  <c r="M3899"/>
  <c r="M3900"/>
  <c r="M3901"/>
  <c r="M3902"/>
  <c r="M3903"/>
  <c r="M3904"/>
  <c r="E3899"/>
  <c r="E3900"/>
  <c r="E3901"/>
  <c r="E3902"/>
  <c r="E3903"/>
  <c r="E3904"/>
  <c r="E3898"/>
  <c r="M3897"/>
  <c r="E3897"/>
  <c r="M3870"/>
  <c r="E3870"/>
  <c r="E3844"/>
  <c r="M3844"/>
  <c r="M3843"/>
  <c r="E3843"/>
  <c r="E3779"/>
  <c r="M4001"/>
  <c r="M4000"/>
  <c r="E1542"/>
  <c r="E3993"/>
  <c r="E3978"/>
  <c r="M3917"/>
  <c r="M3918"/>
  <c r="M3919"/>
  <c r="M3920"/>
  <c r="M3784"/>
  <c r="M3783"/>
  <c r="M3782"/>
  <c r="M3781"/>
  <c r="E3917"/>
  <c r="E3918"/>
  <c r="E3919"/>
  <c r="E3920"/>
  <c r="E2056"/>
  <c r="E3981"/>
  <c r="E3982"/>
  <c r="E3620"/>
  <c r="E3984"/>
  <c r="E3985"/>
  <c r="E3833"/>
  <c r="E3834"/>
  <c r="E2044"/>
  <c r="E4011"/>
  <c r="E4010"/>
  <c r="E301"/>
  <c r="K301"/>
  <c r="M301" s="1"/>
  <c r="E2929"/>
  <c r="K2929"/>
  <c r="M2929" s="1"/>
  <c r="K299"/>
  <c r="M299" s="1"/>
  <c r="E299"/>
  <c r="K3719"/>
  <c r="M3719" s="1"/>
  <c r="E3719"/>
  <c r="K3869"/>
  <c r="M3869" s="1"/>
  <c r="E3869"/>
  <c r="E3998"/>
  <c r="E3999"/>
  <c r="E3942"/>
  <c r="E3943"/>
  <c r="E3933"/>
  <c r="E3934"/>
  <c r="E2058"/>
  <c r="E4009"/>
  <c r="E2057"/>
  <c r="E2081"/>
  <c r="E3856"/>
  <c r="E3857"/>
  <c r="E2075"/>
  <c r="E2076"/>
  <c r="E2077"/>
  <c r="E2046"/>
  <c r="E2047"/>
  <c r="E2049"/>
  <c r="E2050"/>
  <c r="E2051"/>
  <c r="E2054"/>
  <c r="E2055"/>
  <c r="E2542"/>
  <c r="E3880"/>
  <c r="E4008"/>
  <c r="E2048"/>
  <c r="M3914"/>
  <c r="M3171"/>
  <c r="E2042"/>
  <c r="E2041"/>
  <c r="E3915"/>
  <c r="E3914"/>
  <c r="E3171"/>
  <c r="E4002"/>
  <c r="E4003"/>
  <c r="E4004"/>
  <c r="E3997"/>
  <c r="E3992"/>
  <c r="E3991"/>
  <c r="E3990"/>
  <c r="E3935"/>
  <c r="E3864"/>
  <c r="E3865"/>
  <c r="E3866"/>
  <c r="E3867"/>
  <c r="E3868"/>
  <c r="E3912"/>
  <c r="E3913"/>
  <c r="E3921"/>
  <c r="E3922"/>
  <c r="E3939"/>
  <c r="E3940"/>
  <c r="E3941"/>
  <c r="E3863"/>
  <c r="E3850"/>
  <c r="E3849"/>
  <c r="E3842"/>
  <c r="E4024"/>
  <c r="E3841"/>
  <c r="E3840"/>
  <c r="E3839"/>
  <c r="E3830"/>
  <c r="E3829"/>
  <c r="E3828"/>
  <c r="E3827"/>
  <c r="E3824"/>
  <c r="E3986"/>
  <c r="E3938"/>
  <c r="E3937"/>
  <c r="E3895"/>
  <c r="E3891"/>
  <c r="E3890"/>
  <c r="E3826"/>
  <c r="E3333"/>
  <c r="M3822"/>
  <c r="M3762"/>
  <c r="M3761"/>
  <c r="M3809"/>
  <c r="M3810"/>
  <c r="M3811"/>
  <c r="M3812"/>
  <c r="M3813"/>
  <c r="M3768"/>
  <c r="E3762"/>
  <c r="E3761"/>
  <c r="E3822"/>
  <c r="E3782"/>
  <c r="E3783"/>
  <c r="E3784"/>
  <c r="E3781"/>
  <c r="E3749"/>
  <c r="E3748"/>
  <c r="E3747"/>
  <c r="E3746"/>
  <c r="E3798"/>
  <c r="E3797"/>
  <c r="E3796"/>
  <c r="E3795"/>
  <c r="E3794"/>
  <c r="E3793"/>
  <c r="E3792"/>
  <c r="E3791"/>
  <c r="E3774"/>
  <c r="E3773"/>
  <c r="E3697"/>
  <c r="E3696"/>
  <c r="E3712"/>
  <c r="M3712"/>
  <c r="E298"/>
  <c r="M298"/>
  <c r="E3563"/>
  <c r="K3563"/>
  <c r="M3563" s="1"/>
  <c r="E3564"/>
  <c r="K3564"/>
  <c r="M3564" s="1"/>
  <c r="E3565"/>
  <c r="K3565"/>
  <c r="M3565" s="1"/>
  <c r="E3566"/>
  <c r="K3566"/>
  <c r="M3566" s="1"/>
  <c r="E292"/>
  <c r="K292"/>
  <c r="M292" s="1"/>
  <c r="E293"/>
  <c r="K293"/>
  <c r="M293" s="1"/>
  <c r="E3724"/>
  <c r="E3813"/>
  <c r="E3810"/>
  <c r="E3811"/>
  <c r="E3812"/>
  <c r="E3809"/>
  <c r="E3768"/>
  <c r="E3758"/>
  <c r="M3758"/>
  <c r="E297"/>
  <c r="M297"/>
  <c r="E294"/>
  <c r="M294"/>
  <c r="M287"/>
  <c r="E287"/>
  <c r="M3716"/>
  <c r="E3716"/>
  <c r="M3713"/>
  <c r="E3713"/>
  <c r="E3703"/>
  <c r="M3703"/>
  <c r="M3702"/>
  <c r="B45" i="55"/>
  <c r="A45" s="1"/>
  <c r="B40"/>
  <c r="A40" s="1"/>
  <c r="B39"/>
  <c r="A39" s="1"/>
  <c r="E3702" i="34"/>
  <c r="E3763"/>
  <c r="M3736"/>
  <c r="E3816"/>
  <c r="E3815"/>
  <c r="E3805"/>
  <c r="E3806"/>
  <c r="E3807"/>
  <c r="E3808"/>
  <c r="E984"/>
  <c r="M3804"/>
  <c r="E3804"/>
  <c r="E3803"/>
  <c r="E3788"/>
  <c r="E3787"/>
  <c r="E3760"/>
  <c r="E3759"/>
  <c r="M3755"/>
  <c r="E3755"/>
  <c r="E3757"/>
  <c r="E3756"/>
  <c r="E2595"/>
  <c r="E3736"/>
  <c r="E3738"/>
  <c r="M3735"/>
  <c r="E3735"/>
  <c r="E3737"/>
  <c r="E3723"/>
  <c r="M3720"/>
  <c r="E3720"/>
  <c r="E3722"/>
  <c r="E3721"/>
  <c r="E3715"/>
  <c r="E3714"/>
  <c r="M3701"/>
  <c r="E3701"/>
  <c r="E3743"/>
  <c r="E3726"/>
  <c r="E3725"/>
  <c r="E2703"/>
  <c r="E2655"/>
  <c r="E2052"/>
  <c r="E2476"/>
  <c r="E2526"/>
  <c r="E2618"/>
  <c r="E2637"/>
  <c r="E2034"/>
  <c r="E2033"/>
  <c r="E2032"/>
  <c r="E2043"/>
  <c r="E2030"/>
  <c r="E2029"/>
  <c r="E2028"/>
  <c r="E2027"/>
  <c r="E2026"/>
  <c r="E2025"/>
  <c r="E2024"/>
  <c r="E3165"/>
  <c r="E3526"/>
  <c r="E3174"/>
  <c r="E2013"/>
  <c r="E3765"/>
  <c r="E3764"/>
  <c r="E3562"/>
  <c r="E3561"/>
  <c r="M3561"/>
  <c r="E3230"/>
  <c r="M3230"/>
  <c r="E3231"/>
  <c r="M3231"/>
  <c r="E3523"/>
  <c r="M3523"/>
  <c r="E3557"/>
  <c r="M3557"/>
  <c r="E3558"/>
  <c r="M3558"/>
  <c r="E3559"/>
  <c r="M3559"/>
  <c r="E3560"/>
  <c r="M3560"/>
  <c r="M3421"/>
  <c r="M3439"/>
  <c r="E3439"/>
  <c r="M3437"/>
  <c r="E3437"/>
  <c r="M3431"/>
  <c r="E3431"/>
  <c r="E3354"/>
  <c r="I125" i="71" l="1"/>
  <c r="I126" s="1"/>
  <c r="A3437" i="34"/>
  <c r="A3559"/>
  <c r="A3557"/>
  <c r="A3231"/>
  <c r="A3561"/>
  <c r="A3562"/>
  <c r="A2025"/>
  <c r="A3165"/>
  <c r="A3333"/>
  <c r="A2016"/>
  <c r="A2019"/>
  <c r="A2018"/>
  <c r="A3721"/>
  <c r="A3722"/>
  <c r="A3755"/>
  <c r="A3763"/>
  <c r="A3703"/>
  <c r="A287"/>
  <c r="A297"/>
  <c r="A3768"/>
  <c r="A293"/>
  <c r="A3566"/>
  <c r="A3564"/>
  <c r="A298"/>
  <c r="A3697"/>
  <c r="A3694"/>
  <c r="A3729"/>
  <c r="A3751"/>
  <c r="A3744"/>
  <c r="A3785"/>
  <c r="A3800"/>
  <c r="A3786"/>
  <c r="A3821"/>
  <c r="A3802"/>
  <c r="A3766"/>
  <c r="A3776"/>
  <c r="A3791"/>
  <c r="A3792"/>
  <c r="A3793"/>
  <c r="A3794"/>
  <c r="A3795"/>
  <c r="A3796"/>
  <c r="A3797"/>
  <c r="A3798"/>
  <c r="A3746"/>
  <c r="A3747"/>
  <c r="A3748"/>
  <c r="A3749"/>
  <c r="A3857"/>
  <c r="A3856"/>
  <c r="A3934"/>
  <c r="A3933"/>
  <c r="A3943"/>
  <c r="A3942"/>
  <c r="A3999"/>
  <c r="A3998"/>
  <c r="A3719"/>
  <c r="A2929"/>
  <c r="A2063"/>
  <c r="A4000"/>
  <c r="A2742"/>
  <c r="A3835"/>
  <c r="A3905"/>
  <c r="A3594"/>
  <c r="A3872"/>
  <c r="A3924"/>
  <c r="A4022"/>
  <c r="A3926"/>
  <c r="A3859"/>
  <c r="A3875"/>
  <c r="A3929"/>
  <c r="A3988"/>
  <c r="A4012"/>
  <c r="A2910"/>
  <c r="A3028"/>
  <c r="A2938"/>
  <c r="A3069"/>
  <c r="A3838"/>
  <c r="A3837"/>
  <c r="A3354"/>
  <c r="A3431"/>
  <c r="A3439"/>
  <c r="A3560"/>
  <c r="A3558"/>
  <c r="A3523"/>
  <c r="A3230"/>
  <c r="A2013"/>
  <c r="A3174"/>
  <c r="A2024"/>
  <c r="A3526"/>
  <c r="A2015"/>
  <c r="A2017"/>
  <c r="A2059"/>
  <c r="A2026"/>
  <c r="A2027"/>
  <c r="A2028"/>
  <c r="A2029"/>
  <c r="A2030"/>
  <c r="A2043"/>
  <c r="A3736"/>
  <c r="A3760"/>
  <c r="A3716"/>
  <c r="A294"/>
  <c r="A3758"/>
  <c r="A3809"/>
  <c r="A3812"/>
  <c r="A3811"/>
  <c r="A3810"/>
  <c r="A3813"/>
  <c r="A3724"/>
  <c r="A292"/>
  <c r="A3565"/>
  <c r="A3563"/>
  <c r="A3712"/>
  <c r="A3695"/>
  <c r="A3711"/>
  <c r="A3730"/>
  <c r="A3745"/>
  <c r="A3752"/>
  <c r="A3803"/>
  <c r="A3799"/>
  <c r="A3817"/>
  <c r="A3818"/>
  <c r="A3801"/>
  <c r="A2638"/>
  <c r="A3773"/>
  <c r="A3774"/>
  <c r="A3330"/>
  <c r="A3777"/>
  <c r="A4024"/>
  <c r="A4003"/>
  <c r="A4002"/>
  <c r="A3869"/>
  <c r="A299"/>
  <c r="A301"/>
  <c r="A4010"/>
  <c r="A4011"/>
  <c r="A4001"/>
  <c r="A3779"/>
  <c r="A3844"/>
  <c r="A3836"/>
  <c r="A3906"/>
  <c r="A3904"/>
  <c r="A3871"/>
  <c r="A3873"/>
  <c r="A3927"/>
  <c r="A3854"/>
  <c r="A3853"/>
  <c r="A2053"/>
  <c r="A3930"/>
  <c r="A3925"/>
  <c r="A3936"/>
  <c r="A3958"/>
  <c r="A3973"/>
  <c r="A3974"/>
  <c r="A3975"/>
  <c r="A3976"/>
  <c r="A4023"/>
  <c r="A2133"/>
  <c r="A2984"/>
  <c r="A3140"/>
  <c r="M414"/>
  <c r="M389"/>
  <c r="M429"/>
  <c r="M126"/>
  <c r="M111"/>
  <c r="H126" i="71" l="1"/>
  <c r="H127" s="1"/>
  <c r="I127"/>
  <c r="I128" s="1"/>
  <c r="A1985" i="34"/>
  <c r="A2071"/>
  <c r="A1958"/>
  <c r="A1960"/>
  <c r="A1959"/>
  <c r="M172"/>
  <c r="M127"/>
  <c r="C24"/>
  <c r="C25"/>
  <c r="H128" i="71" l="1"/>
  <c r="H129" s="1"/>
  <c r="B25" i="34"/>
  <c r="B24"/>
  <c r="M176" i="60"/>
  <c r="D174"/>
  <c r="I129" i="71" l="1"/>
  <c r="I130" s="1"/>
  <c r="A25" i="34"/>
  <c r="A24"/>
  <c r="G174" i="60"/>
  <c r="M949" i="34"/>
  <c r="H130" i="71" l="1"/>
  <c r="H131" s="1"/>
  <c r="A949" i="34"/>
  <c r="E3436"/>
  <c r="M3436"/>
  <c r="E3438"/>
  <c r="M3438"/>
  <c r="I131" i="71" l="1"/>
  <c r="I132" s="1"/>
  <c r="A3438" i="34"/>
  <c r="A27"/>
  <c r="A1937"/>
  <c r="A3436"/>
  <c r="D41" i="15"/>
  <c r="D46" s="1"/>
  <c r="C41"/>
  <c r="C46" s="1"/>
  <c r="H132" i="71" l="1"/>
  <c r="H133" s="1"/>
  <c r="E127" i="60"/>
  <c r="E93"/>
  <c r="O93"/>
  <c r="M150"/>
  <c r="M1362" i="34"/>
  <c r="C1362"/>
  <c r="M1372"/>
  <c r="C1372"/>
  <c r="M1358"/>
  <c r="C1358"/>
  <c r="M1357"/>
  <c r="C1357"/>
  <c r="M1356"/>
  <c r="C1356"/>
  <c r="M1353"/>
  <c r="C1353"/>
  <c r="M1546"/>
  <c r="C1546"/>
  <c r="M1567"/>
  <c r="C1567"/>
  <c r="M1504"/>
  <c r="C1504"/>
  <c r="M1517"/>
  <c r="C1517"/>
  <c r="M1350"/>
  <c r="C1350"/>
  <c r="M1519"/>
  <c r="C1519"/>
  <c r="M1348"/>
  <c r="C1348"/>
  <c r="M1503"/>
  <c r="C1503"/>
  <c r="M1518"/>
  <c r="C1518"/>
  <c r="M1371"/>
  <c r="M1342"/>
  <c r="C1342"/>
  <c r="M1369"/>
  <c r="C1369"/>
  <c r="B76" i="55"/>
  <c r="A76" s="1"/>
  <c r="M1330" i="34"/>
  <c r="M1324"/>
  <c r="M1318"/>
  <c r="C1371"/>
  <c r="M1368"/>
  <c r="C1368"/>
  <c r="M1381"/>
  <c r="C1381"/>
  <c r="M1366"/>
  <c r="C1366"/>
  <c r="M1337"/>
  <c r="C1337"/>
  <c r="M1364"/>
  <c r="C1364"/>
  <c r="M1363"/>
  <c r="C1363"/>
  <c r="M1442"/>
  <c r="C1442"/>
  <c r="M1429"/>
  <c r="C1429"/>
  <c r="M1334"/>
  <c r="M1333"/>
  <c r="M1329"/>
  <c r="M2234"/>
  <c r="C2234"/>
  <c r="M2236"/>
  <c r="C2236"/>
  <c r="M2237"/>
  <c r="C2237"/>
  <c r="M1505"/>
  <c r="C1505"/>
  <c r="M1655"/>
  <c r="M1323"/>
  <c r="C1655"/>
  <c r="M1456"/>
  <c r="C1456"/>
  <c r="M1455"/>
  <c r="C1455"/>
  <c r="M1390"/>
  <c r="C1390"/>
  <c r="M1317"/>
  <c r="M1310"/>
  <c r="M1316"/>
  <c r="C1316"/>
  <c r="M1315"/>
  <c r="C1315"/>
  <c r="M1314"/>
  <c r="C1314"/>
  <c r="M1313"/>
  <c r="C1313"/>
  <c r="M1312"/>
  <c r="M1309"/>
  <c r="M1440"/>
  <c r="C1440"/>
  <c r="M1431"/>
  <c r="C1431"/>
  <c r="M1332"/>
  <c r="C1332"/>
  <c r="M1430"/>
  <c r="C1430"/>
  <c r="M1304"/>
  <c r="C1304"/>
  <c r="M1658"/>
  <c r="C1658"/>
  <c r="M1286"/>
  <c r="M1302"/>
  <c r="M1288"/>
  <c r="M1282"/>
  <c r="C1302"/>
  <c r="M1301"/>
  <c r="C1301"/>
  <c r="M1300"/>
  <c r="C1300"/>
  <c r="M1299"/>
  <c r="C1299"/>
  <c r="M1298"/>
  <c r="C1298"/>
  <c r="M1297"/>
  <c r="C1297"/>
  <c r="M1296"/>
  <c r="C1296"/>
  <c r="M1292"/>
  <c r="C1292"/>
  <c r="M1291"/>
  <c r="C1291"/>
  <c r="M1290"/>
  <c r="C1290"/>
  <c r="M1393"/>
  <c r="C1393"/>
  <c r="M1281"/>
  <c r="M1280"/>
  <c r="M1279"/>
  <c r="M1293"/>
  <c r="C1293"/>
  <c r="M1320"/>
  <c r="C1320"/>
  <c r="M1276"/>
  <c r="C1276"/>
  <c r="M1399"/>
  <c r="M1285"/>
  <c r="C1399"/>
  <c r="M1398"/>
  <c r="C1398"/>
  <c r="M1441"/>
  <c r="C1441"/>
  <c r="M1287"/>
  <c r="M2193"/>
  <c r="C2193"/>
  <c r="M2203"/>
  <c r="C2203"/>
  <c r="M1327"/>
  <c r="C1327"/>
  <c r="M1270"/>
  <c r="C1270"/>
  <c r="M1274"/>
  <c r="C1274"/>
  <c r="M1328"/>
  <c r="M1284"/>
  <c r="M1283"/>
  <c r="M1278"/>
  <c r="C1328"/>
  <c r="M2196"/>
  <c r="C2196"/>
  <c r="M1289"/>
  <c r="C1289"/>
  <c r="M1347"/>
  <c r="C1347"/>
  <c r="M1352"/>
  <c r="C1352"/>
  <c r="M1273"/>
  <c r="C1273"/>
  <c r="M2201"/>
  <c r="C2201"/>
  <c r="M1266"/>
  <c r="C1266"/>
  <c r="M1272"/>
  <c r="C1272"/>
  <c r="M1344"/>
  <c r="C1344"/>
  <c r="M1325"/>
  <c r="C1325"/>
  <c r="M1351"/>
  <c r="C1351"/>
  <c r="M1239"/>
  <c r="C1264"/>
  <c r="C1236"/>
  <c r="C1259"/>
  <c r="C1260"/>
  <c r="C1267"/>
  <c r="C1261"/>
  <c r="M1261"/>
  <c r="M1267"/>
  <c r="M1260"/>
  <c r="M1259"/>
  <c r="M1236"/>
  <c r="M1264"/>
  <c r="M1240"/>
  <c r="M1241"/>
  <c r="M1247"/>
  <c r="C1247"/>
  <c r="M1246"/>
  <c r="C1246"/>
  <c r="M1275"/>
  <c r="C1275"/>
  <c r="M1295"/>
  <c r="C1295"/>
  <c r="M1277"/>
  <c r="C1277"/>
  <c r="M1308"/>
  <c r="M1255"/>
  <c r="M1243"/>
  <c r="C1308"/>
  <c r="M1305"/>
  <c r="C1305"/>
  <c r="M1303"/>
  <c r="C1303"/>
  <c r="M1307"/>
  <c r="C1307"/>
  <c r="M1250"/>
  <c r="C1250"/>
  <c r="C1255"/>
  <c r="M1294"/>
  <c r="C1294"/>
  <c r="M1232"/>
  <c r="M1231"/>
  <c r="C1231"/>
  <c r="C1227"/>
  <c r="C1232"/>
  <c r="M1230"/>
  <c r="C1230"/>
  <c r="M1248"/>
  <c r="C1248"/>
  <c r="M1251"/>
  <c r="C1251"/>
  <c r="M1252"/>
  <c r="C1252"/>
  <c r="M1229"/>
  <c r="C1229"/>
  <c r="M1225"/>
  <c r="C1225"/>
  <c r="M1249"/>
  <c r="C1249"/>
  <c r="M1227"/>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26" i="34"/>
  <c r="K26" s="1"/>
  <c r="C26"/>
  <c r="M260"/>
  <c r="K260" s="1"/>
  <c r="C260"/>
  <c r="V103" i="60"/>
  <c r="V104"/>
  <c r="I133" i="71" l="1"/>
  <c r="I134" s="1"/>
  <c r="B1362" i="34"/>
  <c r="B260"/>
  <c r="B1249"/>
  <c r="B1229"/>
  <c r="B1251"/>
  <c r="B1230"/>
  <c r="B1231"/>
  <c r="B1307"/>
  <c r="B1305"/>
  <c r="B1243"/>
  <c r="B1267"/>
  <c r="B1264"/>
  <c r="B1325"/>
  <c r="B1272"/>
  <c r="B2201"/>
  <c r="B1352"/>
  <c r="B1289"/>
  <c r="B1328"/>
  <c r="B1274"/>
  <c r="B1327"/>
  <c r="B2193"/>
  <c r="B1441"/>
  <c r="B1399"/>
  <c r="B1280"/>
  <c r="B1393"/>
  <c r="B1291"/>
  <c r="B1296"/>
  <c r="B1298"/>
  <c r="B1300"/>
  <c r="B1302"/>
  <c r="B1288"/>
  <c r="B1658"/>
  <c r="B1430"/>
  <c r="B1431"/>
  <c r="B1309"/>
  <c r="B1313"/>
  <c r="B1315"/>
  <c r="B1310"/>
  <c r="B1323"/>
  <c r="B1324"/>
  <c r="B1503"/>
  <c r="B1519"/>
  <c r="B1517"/>
  <c r="B1567"/>
  <c r="B1353"/>
  <c r="B1357"/>
  <c r="B1372"/>
  <c r="B1255"/>
  <c r="B1277"/>
  <c r="B1275"/>
  <c r="B1247"/>
  <c r="B1240"/>
  <c r="B1244"/>
  <c r="B1260"/>
  <c r="B1278"/>
  <c r="B1284"/>
  <c r="B1279"/>
  <c r="B1276"/>
  <c r="B1293"/>
  <c r="B1282"/>
  <c r="B1390"/>
  <c r="B1456"/>
  <c r="B2237"/>
  <c r="B2234"/>
  <c r="B1333"/>
  <c r="B1429"/>
  <c r="B1363"/>
  <c r="B1337"/>
  <c r="B1381"/>
  <c r="B1371"/>
  <c r="B1369"/>
  <c r="B26"/>
  <c r="B1225"/>
  <c r="B1252"/>
  <c r="B1248"/>
  <c r="B1232"/>
  <c r="B1250"/>
  <c r="B1303"/>
  <c r="B1308"/>
  <c r="B1245"/>
  <c r="B1239"/>
  <c r="B1259"/>
  <c r="B1351"/>
  <c r="B1344"/>
  <c r="B1266"/>
  <c r="B1273"/>
  <c r="B1347"/>
  <c r="B2196"/>
  <c r="B1270"/>
  <c r="B2203"/>
  <c r="B1287"/>
  <c r="B1398"/>
  <c r="B1285"/>
  <c r="B1281"/>
  <c r="B1290"/>
  <c r="B1292"/>
  <c r="B1297"/>
  <c r="B1299"/>
  <c r="B1301"/>
  <c r="B1304"/>
  <c r="B1332"/>
  <c r="B1440"/>
  <c r="B1312"/>
  <c r="B1314"/>
  <c r="B1316"/>
  <c r="B1311"/>
  <c r="B1318"/>
  <c r="B1330"/>
  <c r="B1518"/>
  <c r="B1348"/>
  <c r="B1350"/>
  <c r="B1504"/>
  <c r="B1546"/>
  <c r="B1356"/>
  <c r="B1358"/>
  <c r="B1227"/>
  <c r="B1294"/>
  <c r="B1242"/>
  <c r="B1295"/>
  <c r="B1246"/>
  <c r="B1241"/>
  <c r="B1261"/>
  <c r="B1236"/>
  <c r="B1283"/>
  <c r="B1320"/>
  <c r="B1286"/>
  <c r="B1317"/>
  <c r="B1455"/>
  <c r="B1655"/>
  <c r="B1505"/>
  <c r="B2236"/>
  <c r="B1329"/>
  <c r="B1334"/>
  <c r="B1442"/>
  <c r="B1364"/>
  <c r="B1366"/>
  <c r="B1368"/>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H134" i="71" l="1"/>
  <c r="H135" s="1"/>
  <c r="A260" i="34"/>
  <c r="A1248"/>
  <c r="A1230"/>
  <c r="A1231"/>
  <c r="A1308"/>
  <c r="A1305"/>
  <c r="A1277"/>
  <c r="A1307"/>
  <c r="A1239"/>
  <c r="A1261"/>
  <c r="A1236"/>
  <c r="A1247"/>
  <c r="A1241"/>
  <c r="A1284"/>
  <c r="A2196"/>
  <c r="A1273"/>
  <c r="A1344"/>
  <c r="A1283"/>
  <c r="A1289"/>
  <c r="A2201"/>
  <c r="A1325"/>
  <c r="A1274"/>
  <c r="A1287"/>
  <c r="A2193"/>
  <c r="A1441"/>
  <c r="A1285"/>
  <c r="A1276"/>
  <c r="A1279"/>
  <c r="A1280"/>
  <c r="A1282"/>
  <c r="A1299"/>
  <c r="A1292"/>
  <c r="A1286"/>
  <c r="A1300"/>
  <c r="A1296"/>
  <c r="A1393"/>
  <c r="A1440"/>
  <c r="A1304"/>
  <c r="A1431"/>
  <c r="A1658"/>
  <c r="A1314"/>
  <c r="A1311"/>
  <c r="A1456"/>
  <c r="A1655"/>
  <c r="A1323"/>
  <c r="A2236"/>
  <c r="A1505"/>
  <c r="A1333"/>
  <c r="A1429"/>
  <c r="A1318"/>
  <c r="A1324"/>
  <c r="A1368"/>
  <c r="A1337"/>
  <c r="A1342"/>
  <c r="A1316"/>
  <c r="A1353"/>
  <c r="A1546"/>
  <c r="A1350"/>
  <c r="A1264"/>
  <c r="A2237"/>
  <c r="A1519"/>
  <c r="A1356"/>
  <c r="A1358"/>
  <c r="A1372"/>
  <c r="A1267"/>
  <c r="A1225"/>
  <c r="A1229"/>
  <c r="A1242"/>
  <c r="A1250"/>
  <c r="A26"/>
  <c r="A1232"/>
  <c r="A1252"/>
  <c r="A1227"/>
  <c r="A1251"/>
  <c r="A1249"/>
  <c r="A1245"/>
  <c r="A1243"/>
  <c r="A1303"/>
  <c r="A1294"/>
  <c r="A1275"/>
  <c r="A1295"/>
  <c r="A1246"/>
  <c r="A1244"/>
  <c r="A1260"/>
  <c r="A1255"/>
  <c r="A1240"/>
  <c r="A1278"/>
  <c r="A1347"/>
  <c r="A1266"/>
  <c r="A1351"/>
  <c r="A1328"/>
  <c r="A1352"/>
  <c r="A1272"/>
  <c r="A1327"/>
  <c r="A1270"/>
  <c r="A2203"/>
  <c r="A1399"/>
  <c r="A1398"/>
  <c r="A1293"/>
  <c r="A1320"/>
  <c r="A1281"/>
  <c r="A1288"/>
  <c r="A1301"/>
  <c r="A1297"/>
  <c r="A1290"/>
  <c r="A1302"/>
  <c r="A1298"/>
  <c r="A1291"/>
  <c r="A1312"/>
  <c r="A1332"/>
  <c r="A1309"/>
  <c r="A1430"/>
  <c r="A1313"/>
  <c r="A1315"/>
  <c r="A1310"/>
  <c r="A1317"/>
  <c r="A1455"/>
  <c r="A1390"/>
  <c r="A1329"/>
  <c r="A2234"/>
  <c r="A1334"/>
  <c r="A1442"/>
  <c r="A1330"/>
  <c r="A1381"/>
  <c r="A1371"/>
  <c r="A1366"/>
  <c r="A1363"/>
  <c r="A1369"/>
  <c r="A1364"/>
  <c r="A1567"/>
  <c r="A1504"/>
  <c r="A1503"/>
  <c r="A1259"/>
  <c r="A1518"/>
  <c r="A1517"/>
  <c r="A1357"/>
  <c r="A1362"/>
  <c r="A1348"/>
  <c r="G176" i="60"/>
  <c r="V100"/>
  <c r="L87" s="1"/>
  <c r="V101"/>
  <c r="V102"/>
  <c r="V182"/>
  <c r="L172" s="1"/>
  <c r="I135" i="71" l="1"/>
  <c r="I136" s="1"/>
  <c r="H136"/>
  <c r="H137" s="1"/>
  <c r="L86" i="60"/>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I137" i="71" l="1"/>
  <c r="I138" s="1"/>
  <c r="A780" i="34"/>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2" i="34"/>
  <c r="AB10"/>
  <c r="J336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C412"/>
  <c r="C411"/>
  <c r="C410"/>
  <c r="C409"/>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C417"/>
  <c r="C416"/>
  <c r="C415"/>
  <c r="C414"/>
  <c r="E407"/>
  <c r="E3039"/>
  <c r="E274"/>
  <c r="E385"/>
  <c r="E283"/>
  <c r="E51"/>
  <c r="E50"/>
  <c r="E49"/>
  <c r="E48"/>
  <c r="E47"/>
  <c r="E46"/>
  <c r="E36"/>
  <c r="E37"/>
  <c r="E45"/>
  <c r="E44"/>
  <c r="E43"/>
  <c r="E42"/>
  <c r="E41"/>
  <c r="E40"/>
  <c r="E39"/>
  <c r="E38"/>
  <c r="M3680"/>
  <c r="E3680"/>
  <c r="M3681"/>
  <c r="E3682"/>
  <c r="E3644"/>
  <c r="M3643"/>
  <c r="E3643"/>
  <c r="H138" i="71" l="1"/>
  <c r="H139" s="1"/>
  <c r="M181" i="34"/>
  <c r="B414"/>
  <c r="B418"/>
  <c r="B410"/>
  <c r="B415"/>
  <c r="B411"/>
  <c r="B416"/>
  <c r="B412"/>
  <c r="B417"/>
  <c r="B409"/>
  <c r="B413"/>
  <c r="A2665"/>
  <c r="A3643"/>
  <c r="A3644"/>
  <c r="A3682"/>
  <c r="A3535"/>
  <c r="A4132"/>
  <c r="A4134"/>
  <c r="A4136"/>
  <c r="A4152"/>
  <c r="A4154"/>
  <c r="A4227"/>
  <c r="A4231"/>
  <c r="A4286"/>
  <c r="A4289"/>
  <c r="A4049"/>
  <c r="A4051"/>
  <c r="A4040"/>
  <c r="A947"/>
  <c r="A4055"/>
  <c r="A4057"/>
  <c r="A4059"/>
  <c r="A4061"/>
  <c r="A4063"/>
  <c r="A4065"/>
  <c r="A4107"/>
  <c r="A4226"/>
  <c r="A4127"/>
  <c r="A4042"/>
  <c r="A4100"/>
  <c r="A4209"/>
  <c r="A4211"/>
  <c r="A4217"/>
  <c r="A4148"/>
  <c r="A3902"/>
  <c r="A3957"/>
  <c r="A3961"/>
  <c r="A3963"/>
  <c r="A3965"/>
  <c r="A3967"/>
  <c r="A3969"/>
  <c r="A3971"/>
  <c r="A4013"/>
  <c r="A4017"/>
  <c r="A4019"/>
  <c r="A3860"/>
  <c r="A3876"/>
  <c r="A3879"/>
  <c r="A3882"/>
  <c r="A2045"/>
  <c r="A3886"/>
  <c r="A3888"/>
  <c r="A2827"/>
  <c r="A3909"/>
  <c r="A2132"/>
  <c r="A3946"/>
  <c r="A3948"/>
  <c r="A2857"/>
  <c r="A3952"/>
  <c r="A3954"/>
  <c r="A3987"/>
  <c r="A2080"/>
  <c r="A2083"/>
  <c r="A2085"/>
  <c r="A2134"/>
  <c r="A2090"/>
  <c r="A2092"/>
  <c r="A4104"/>
  <c r="A4081"/>
  <c r="A4108"/>
  <c r="A4115"/>
  <c r="A3770"/>
  <c r="A3780"/>
  <c r="A3782"/>
  <c r="A3784"/>
  <c r="A3761"/>
  <c r="A3826"/>
  <c r="A3891"/>
  <c r="A3937"/>
  <c r="A3986"/>
  <c r="A3827"/>
  <c r="A3829"/>
  <c r="A3839"/>
  <c r="A3841"/>
  <c r="A3849"/>
  <c r="A3863"/>
  <c r="A3865"/>
  <c r="A3867"/>
  <c r="A3912"/>
  <c r="A3921"/>
  <c r="A3935"/>
  <c r="A3940"/>
  <c r="A3990"/>
  <c r="A3992"/>
  <c r="A4004"/>
  <c r="A3914"/>
  <c r="A2041"/>
  <c r="A2048"/>
  <c r="A2076"/>
  <c r="A2046"/>
  <c r="A2049"/>
  <c r="A2051"/>
  <c r="A2055"/>
  <c r="A3880"/>
  <c r="A4007"/>
  <c r="A4009"/>
  <c r="A2058"/>
  <c r="A2061"/>
  <c r="A2064"/>
  <c r="A2088"/>
  <c r="A2644"/>
  <c r="A2044"/>
  <c r="A3834"/>
  <c r="A3918"/>
  <c r="A3920"/>
  <c r="A3981"/>
  <c r="A3620"/>
  <c r="A3985"/>
  <c r="A3993"/>
  <c r="A3843"/>
  <c r="A3897"/>
  <c r="A3899"/>
  <c r="A3901"/>
  <c r="A3765"/>
  <c r="A2033"/>
  <c r="A2052"/>
  <c r="A2526"/>
  <c r="A2637"/>
  <c r="A2703"/>
  <c r="A3726"/>
  <c r="A3701"/>
  <c r="A3715"/>
  <c r="A3723"/>
  <c r="A3735"/>
  <c r="A2595"/>
  <c r="A3757"/>
  <c r="A3787"/>
  <c r="A3804"/>
  <c r="A3806"/>
  <c r="A3808"/>
  <c r="A3815"/>
  <c r="A3702"/>
  <c r="A3696"/>
  <c r="A3699"/>
  <c r="A3707"/>
  <c r="A3709"/>
  <c r="A3731"/>
  <c r="A3767"/>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0"/>
  <c r="A4131"/>
  <c r="A4133"/>
  <c r="A4135"/>
  <c r="A4151"/>
  <c r="A4153"/>
  <c r="A4224"/>
  <c r="A4230"/>
  <c r="A4225"/>
  <c r="A4288"/>
  <c r="A4048"/>
  <c r="A4050"/>
  <c r="A4199"/>
  <c r="A1708"/>
  <c r="A4054"/>
  <c r="A2078"/>
  <c r="A4058"/>
  <c r="A4060"/>
  <c r="A4064"/>
  <c r="A4106"/>
  <c r="A4166"/>
  <c r="A4041"/>
  <c r="A4165"/>
  <c r="A4096"/>
  <c r="A4097"/>
  <c r="A4155"/>
  <c r="A2104"/>
  <c r="A4212"/>
  <c r="A3691"/>
  <c r="A4218"/>
  <c r="A4242"/>
  <c r="A4232"/>
  <c r="A4038"/>
  <c r="A4160"/>
  <c r="A3903"/>
  <c r="A3960"/>
  <c r="A3962"/>
  <c r="A3964"/>
  <c r="A3966"/>
  <c r="A3968"/>
  <c r="A3970"/>
  <c r="A3972"/>
  <c r="A4016"/>
  <c r="A4018"/>
  <c r="A3851"/>
  <c r="A3874"/>
  <c r="A3878"/>
  <c r="A3881"/>
  <c r="A3883"/>
  <c r="A3885"/>
  <c r="A3887"/>
  <c r="A3889"/>
  <c r="A3908"/>
  <c r="A3928"/>
  <c r="A3945"/>
  <c r="A1537"/>
  <c r="A3949"/>
  <c r="A3951"/>
  <c r="A2060"/>
  <c r="A3955"/>
  <c r="A2079"/>
  <c r="A2082"/>
  <c r="A2084"/>
  <c r="A2086"/>
  <c r="A2089"/>
  <c r="A2091"/>
  <c r="A2383"/>
  <c r="A4066"/>
  <c r="A4102"/>
  <c r="A4026"/>
  <c r="A1533"/>
  <c r="A3771"/>
  <c r="A3781"/>
  <c r="A3783"/>
  <c r="A3822"/>
  <c r="A3762"/>
  <c r="A3890"/>
  <c r="A3895"/>
  <c r="A3938"/>
  <c r="A3824"/>
  <c r="A3828"/>
  <c r="A3830"/>
  <c r="A3840"/>
  <c r="A3842"/>
  <c r="A3850"/>
  <c r="A3864"/>
  <c r="A3866"/>
  <c r="A3868"/>
  <c r="A3913"/>
  <c r="A3922"/>
  <c r="A3939"/>
  <c r="A3941"/>
  <c r="A3991"/>
  <c r="A3997"/>
  <c r="A3171"/>
  <c r="A3915"/>
  <c r="A2042"/>
  <c r="A2075"/>
  <c r="A2077"/>
  <c r="A2047"/>
  <c r="A2050"/>
  <c r="A2054"/>
  <c r="A2542"/>
  <c r="A4006"/>
  <c r="A4008"/>
  <c r="A2057"/>
  <c r="A2081"/>
  <c r="A2062"/>
  <c r="A2087"/>
  <c r="A2643"/>
  <c r="A2664"/>
  <c r="A3833"/>
  <c r="A3917"/>
  <c r="A3919"/>
  <c r="A2056"/>
  <c r="A3982"/>
  <c r="A3984"/>
  <c r="A3978"/>
  <c r="A1542"/>
  <c r="A3870"/>
  <c r="A3898"/>
  <c r="A3900"/>
  <c r="A3764"/>
  <c r="A2032"/>
  <c r="A2034"/>
  <c r="A2476"/>
  <c r="A2618"/>
  <c r="A2655"/>
  <c r="A3725"/>
  <c r="A3743"/>
  <c r="A3714"/>
  <c r="A3720"/>
  <c r="A3737"/>
  <c r="A3738"/>
  <c r="A3756"/>
  <c r="A3759"/>
  <c r="A3788"/>
  <c r="A3805"/>
  <c r="A3807"/>
  <c r="A984"/>
  <c r="A3816"/>
  <c r="A3713"/>
  <c r="A3698"/>
  <c r="A3706"/>
  <c r="A3708"/>
  <c r="A3710"/>
  <c r="A3732"/>
  <c r="A3168"/>
  <c r="A38"/>
  <c r="A39"/>
  <c r="A40"/>
  <c r="A41"/>
  <c r="A42"/>
  <c r="A43"/>
  <c r="A44"/>
  <c r="A45"/>
  <c r="A46"/>
  <c r="A47"/>
  <c r="A48"/>
  <c r="A49"/>
  <c r="A50"/>
  <c r="A51"/>
  <c r="A407"/>
  <c r="A405"/>
  <c r="A404"/>
  <c r="A430"/>
  <c r="A431"/>
  <c r="A432"/>
  <c r="A433"/>
  <c r="A434"/>
  <c r="A435"/>
  <c r="A436"/>
  <c r="A437"/>
  <c r="A438"/>
  <c r="A439"/>
  <c r="A157"/>
  <c r="A159"/>
  <c r="A161"/>
  <c r="A163"/>
  <c r="A165"/>
  <c r="A174"/>
  <c r="A176"/>
  <c r="A178"/>
  <c r="A180"/>
  <c r="I139" i="71" l="1"/>
  <c r="I140" s="1"/>
  <c r="H140"/>
  <c r="H141" s="1"/>
  <c r="A414" i="34"/>
  <c r="A411"/>
  <c r="A429"/>
  <c r="A416"/>
  <c r="A418"/>
  <c r="A413"/>
  <c r="A409"/>
  <c r="A410"/>
  <c r="A415"/>
  <c r="A417"/>
  <c r="A412"/>
  <c r="M3653"/>
  <c r="E3653"/>
  <c r="E3609"/>
  <c r="I141" i="71" l="1"/>
  <c r="I142" s="1"/>
  <c r="A3609" i="34"/>
  <c r="A3653"/>
  <c r="H142" i="71" l="1"/>
  <c r="H143" s="1"/>
  <c r="A3688" i="34"/>
  <c r="A3687"/>
  <c r="A2008"/>
  <c r="A2011"/>
  <c r="A2023"/>
  <c r="E3670"/>
  <c r="I143" i="71" l="1"/>
  <c r="I144" s="1"/>
  <c r="A3670" i="34"/>
  <c r="E3602"/>
  <c r="M3601"/>
  <c r="E3642"/>
  <c r="H144" i="71" l="1"/>
  <c r="H145" s="1"/>
  <c r="A3642" i="34"/>
  <c r="A3602"/>
  <c r="M3584"/>
  <c r="M3690"/>
  <c r="I145" i="71" l="1"/>
  <c r="I146" s="1"/>
  <c r="M3524" i="34"/>
  <c r="M3229"/>
  <c r="M3507"/>
  <c r="M3508"/>
  <c r="M3525"/>
  <c r="M3579"/>
  <c r="M3580"/>
  <c r="M3581"/>
  <c r="M3228"/>
  <c r="E3671"/>
  <c r="M3671"/>
  <c r="E3672"/>
  <c r="M3672"/>
  <c r="E3684"/>
  <c r="E3683"/>
  <c r="E3685"/>
  <c r="E3679"/>
  <c r="E3681"/>
  <c r="E3656"/>
  <c r="E3655"/>
  <c r="E3639"/>
  <c r="E3631"/>
  <c r="E3630"/>
  <c r="E3608"/>
  <c r="E3597"/>
  <c r="M3596"/>
  <c r="E3596"/>
  <c r="M3595"/>
  <c r="K285"/>
  <c r="M285" s="1"/>
  <c r="K1360"/>
  <c r="M1360" s="1"/>
  <c r="E1194"/>
  <c r="K1194"/>
  <c r="M1194" s="1"/>
  <c r="E3193"/>
  <c r="K3193"/>
  <c r="M3193" s="1"/>
  <c r="E281"/>
  <c r="K281"/>
  <c r="M281" s="1"/>
  <c r="E280"/>
  <c r="K280"/>
  <c r="M280" s="1"/>
  <c r="E3151"/>
  <c r="K3151"/>
  <c r="M3151" s="1"/>
  <c r="E3152"/>
  <c r="K3152"/>
  <c r="M3152" s="1"/>
  <c r="E3227"/>
  <c r="K3227"/>
  <c r="M3227" s="1"/>
  <c r="K3150"/>
  <c r="M3150" s="1"/>
  <c r="E3150"/>
  <c r="H146" i="71" l="1"/>
  <c r="H147" s="1"/>
  <c r="A3150" i="34"/>
  <c r="A3152"/>
  <c r="A280"/>
  <c r="A3193"/>
  <c r="A3630"/>
  <c r="A3631"/>
  <c r="A3639"/>
  <c r="A3655"/>
  <c r="A3656"/>
  <c r="A3681"/>
  <c r="A3679"/>
  <c r="A3685"/>
  <c r="A3683"/>
  <c r="A3684"/>
  <c r="A3672"/>
  <c r="A3227"/>
  <c r="A3151"/>
  <c r="A281"/>
  <c r="A1194"/>
  <c r="A3596"/>
  <c r="A3597"/>
  <c r="A3608"/>
  <c r="A3671"/>
  <c r="M3647"/>
  <c r="E3647"/>
  <c r="M3646"/>
  <c r="E3646"/>
  <c r="M3645"/>
  <c r="M3673"/>
  <c r="M1361"/>
  <c r="I147" i="71" l="1"/>
  <c r="I148" s="1"/>
  <c r="A3102" i="34"/>
  <c r="A3647"/>
  <c r="A3195"/>
  <c r="A3100"/>
  <c r="A3646"/>
  <c r="A3196"/>
  <c r="E3407"/>
  <c r="M3365"/>
  <c r="E3365"/>
  <c r="E603"/>
  <c r="E3096"/>
  <c r="H148" i="71" l="1"/>
  <c r="H149" s="1"/>
  <c r="A3109" i="34"/>
  <c r="A3407"/>
  <c r="A603"/>
  <c r="A3365"/>
  <c r="A3096"/>
  <c r="E3442"/>
  <c r="M3441"/>
  <c r="E3441"/>
  <c r="M3440"/>
  <c r="E3440"/>
  <c r="M3405"/>
  <c r="M3445"/>
  <c r="M3446"/>
  <c r="M3447"/>
  <c r="E3196"/>
  <c r="M3100"/>
  <c r="E3100"/>
  <c r="E3149"/>
  <c r="M3381"/>
  <c r="M3380"/>
  <c r="M3371"/>
  <c r="E3380"/>
  <c r="E3372"/>
  <c r="M3360"/>
  <c r="M3359"/>
  <c r="E3359"/>
  <c r="M3356"/>
  <c r="E3357"/>
  <c r="E3291"/>
  <c r="A12" i="62"/>
  <c r="A13"/>
  <c r="A14"/>
  <c r="A15"/>
  <c r="A16"/>
  <c r="A17"/>
  <c r="M3040" i="34"/>
  <c r="M3443"/>
  <c r="M3406"/>
  <c r="M3216"/>
  <c r="M3232"/>
  <c r="M3251"/>
  <c r="E3251"/>
  <c r="E3316"/>
  <c r="E3111"/>
  <c r="E3110"/>
  <c r="E3097"/>
  <c r="E3244"/>
  <c r="E3243"/>
  <c r="E3242"/>
  <c r="E3241"/>
  <c r="E3245"/>
  <c r="E3240"/>
  <c r="E3239"/>
  <c r="E3238"/>
  <c r="E3237"/>
  <c r="E3246"/>
  <c r="E3247"/>
  <c r="E3248"/>
  <c r="M3263"/>
  <c r="E3263"/>
  <c r="M3261"/>
  <c r="E3261"/>
  <c r="M3259"/>
  <c r="E3259"/>
  <c r="A22" i="45"/>
  <c r="A8"/>
  <c r="A9"/>
  <c r="A10"/>
  <c r="A26"/>
  <c r="A51"/>
  <c r="A52"/>
  <c r="A11"/>
  <c r="A20"/>
  <c r="A12"/>
  <c r="A13"/>
  <c r="A21"/>
  <c r="A14"/>
  <c r="A15"/>
  <c r="A53"/>
  <c r="A16"/>
  <c r="A54"/>
  <c r="M3278" i="34"/>
  <c r="M3276"/>
  <c r="M3257"/>
  <c r="M3274"/>
  <c r="M3266"/>
  <c r="M3268"/>
  <c r="M3270"/>
  <c r="M3272"/>
  <c r="M3280"/>
  <c r="I149" i="71" l="1"/>
  <c r="I150" s="1"/>
  <c r="A3259" i="34"/>
  <c r="A3263"/>
  <c r="A3359"/>
  <c r="A3372"/>
  <c r="A3380"/>
  <c r="A3441"/>
  <c r="A3261"/>
  <c r="A3248"/>
  <c r="A3247"/>
  <c r="A3246"/>
  <c r="A3237"/>
  <c r="A3238"/>
  <c r="A3239"/>
  <c r="A3240"/>
  <c r="A3245"/>
  <c r="A3241"/>
  <c r="A3242"/>
  <c r="A3243"/>
  <c r="A3244"/>
  <c r="A3097"/>
  <c r="A3110"/>
  <c r="A3111"/>
  <c r="A3316"/>
  <c r="A3251"/>
  <c r="A3291"/>
  <c r="A3357"/>
  <c r="A3440"/>
  <c r="A3442"/>
  <c r="E3358"/>
  <c r="A5" i="43"/>
  <c r="E6"/>
  <c r="H150" i="71" l="1"/>
  <c r="H151" s="1"/>
  <c r="A3358" i="34"/>
  <c r="E876"/>
  <c r="M873"/>
  <c r="M874"/>
  <c r="M875"/>
  <c r="M872"/>
  <c r="B51" i="55"/>
  <c r="A51" s="1"/>
  <c r="B52"/>
  <c r="A52" s="1"/>
  <c r="B53"/>
  <c r="A53" s="1"/>
  <c r="E872" i="34"/>
  <c r="E873"/>
  <c r="M3662"/>
  <c r="B49" i="55"/>
  <c r="A49" s="1"/>
  <c r="B50"/>
  <c r="A50" s="1"/>
  <c r="M871" i="34"/>
  <c r="M869"/>
  <c r="M894"/>
  <c r="E869"/>
  <c r="M921"/>
  <c r="M3550"/>
  <c r="M863"/>
  <c r="M864"/>
  <c r="M865"/>
  <c r="M862"/>
  <c r="B47" i="55"/>
  <c r="A47" s="1"/>
  <c r="B46"/>
  <c r="A46" s="1"/>
  <c r="B44"/>
  <c r="A44" s="1"/>
  <c r="E3551" i="34"/>
  <c r="E921"/>
  <c r="E894"/>
  <c r="E895"/>
  <c r="E871"/>
  <c r="E943"/>
  <c r="E3662"/>
  <c r="E3663"/>
  <c r="E874"/>
  <c r="E875"/>
  <c r="E3280"/>
  <c r="E3278"/>
  <c r="E3276"/>
  <c r="E3257"/>
  <c r="E3274"/>
  <c r="E3266"/>
  <c r="E3268"/>
  <c r="E3270"/>
  <c r="E3272"/>
  <c r="E3040"/>
  <c r="E3443"/>
  <c r="E3406"/>
  <c r="E3445"/>
  <c r="E3446"/>
  <c r="E3447"/>
  <c r="E1361"/>
  <c r="E3645"/>
  <c r="E3673"/>
  <c r="E3522"/>
  <c r="E1360"/>
  <c r="E285"/>
  <c r="E3595"/>
  <c r="E3601"/>
  <c r="E3603"/>
  <c r="E628"/>
  <c r="E3605"/>
  <c r="E3606"/>
  <c r="E3607"/>
  <c r="E3632"/>
  <c r="E3633"/>
  <c r="E3634"/>
  <c r="E3635"/>
  <c r="E3636"/>
  <c r="E3660"/>
  <c r="E3228"/>
  <c r="E3524"/>
  <c r="E3229"/>
  <c r="E3507"/>
  <c r="E3508"/>
  <c r="E3525"/>
  <c r="E3521"/>
  <c r="E3579"/>
  <c r="E3580"/>
  <c r="E3581"/>
  <c r="E3584"/>
  <c r="E3690"/>
  <c r="E626"/>
  <c r="E3509"/>
  <c r="E3510"/>
  <c r="E2505"/>
  <c r="E3527"/>
  <c r="E3528"/>
  <c r="E2736"/>
  <c r="E3530"/>
  <c r="E3531"/>
  <c r="E1993"/>
  <c r="E3533"/>
  <c r="E3534"/>
  <c r="E2112"/>
  <c r="E3536"/>
  <c r="E3537"/>
  <c r="E625"/>
  <c r="E3539"/>
  <c r="E3540"/>
  <c r="E2113"/>
  <c r="E3572"/>
  <c r="E3573"/>
  <c r="E970"/>
  <c r="E2391"/>
  <c r="E3612"/>
  <c r="E3613"/>
  <c r="E952"/>
  <c r="E3615"/>
  <c r="E3616"/>
  <c r="E868"/>
  <c r="E3618"/>
  <c r="E3619"/>
  <c r="E1049"/>
  <c r="E3621"/>
  <c r="E3622"/>
  <c r="E2114"/>
  <c r="E3624"/>
  <c r="E3625"/>
  <c r="E2131"/>
  <c r="E974"/>
  <c r="E2150"/>
  <c r="E3692"/>
  <c r="E3693"/>
  <c r="E3629"/>
  <c r="E3541"/>
  <c r="E3542"/>
  <c r="E3543"/>
  <c r="E3589"/>
  <c r="E3585"/>
  <c r="E3586"/>
  <c r="E3587"/>
  <c r="E3588"/>
  <c r="E3657"/>
  <c r="E3658"/>
  <c r="E3659"/>
  <c r="E3674"/>
  <c r="E3675"/>
  <c r="E3676"/>
  <c r="B4646"/>
  <c r="E3669"/>
  <c r="E3677"/>
  <c r="E3678"/>
  <c r="E3689"/>
  <c r="E3550"/>
  <c r="E3583"/>
  <c r="E3582"/>
  <c r="E3575"/>
  <c r="E3577"/>
  <c r="E3578"/>
  <c r="E3590"/>
  <c r="E3591"/>
  <c r="E3592"/>
  <c r="E3593"/>
  <c r="E3637"/>
  <c r="E3638"/>
  <c r="E3640"/>
  <c r="E3641"/>
  <c r="E944"/>
  <c r="E3664"/>
  <c r="E3665"/>
  <c r="E3666"/>
  <c r="E3667"/>
  <c r="E3668"/>
  <c r="E3549"/>
  <c r="E3552"/>
  <c r="E3553"/>
  <c r="E3555"/>
  <c r="E3556"/>
  <c r="E3567"/>
  <c r="E3568"/>
  <c r="E3569"/>
  <c r="E3574"/>
  <c r="E3548"/>
  <c r="E3546"/>
  <c r="E3545"/>
  <c r="E3518"/>
  <c r="E3517"/>
  <c r="E3520"/>
  <c r="E3519"/>
  <c r="E3514"/>
  <c r="E3513"/>
  <c r="E3544"/>
  <c r="E3654"/>
  <c r="E3652"/>
  <c r="E3194"/>
  <c r="M3194"/>
  <c r="M3652"/>
  <c r="M3654"/>
  <c r="E3598"/>
  <c r="M3598"/>
  <c r="E3599"/>
  <c r="M3599"/>
  <c r="E3600"/>
  <c r="M3600"/>
  <c r="M286"/>
  <c r="E286"/>
  <c r="M3547"/>
  <c r="E3547"/>
  <c r="M3516"/>
  <c r="E3516"/>
  <c r="M3515"/>
  <c r="E3515"/>
  <c r="M3512"/>
  <c r="E3512"/>
  <c r="M3511"/>
  <c r="E3511"/>
  <c r="M3506"/>
  <c r="E3506"/>
  <c r="M3490"/>
  <c r="E3490"/>
  <c r="M3489"/>
  <c r="E3489"/>
  <c r="E3485"/>
  <c r="M3485"/>
  <c r="M3484"/>
  <c r="M3470"/>
  <c r="E3470"/>
  <c r="M3460"/>
  <c r="M3355"/>
  <c r="M3352"/>
  <c r="E3352"/>
  <c r="K283"/>
  <c r="M283" s="1"/>
  <c r="K3039"/>
  <c r="M3039" s="1"/>
  <c r="E3484"/>
  <c r="E3483"/>
  <c r="E3463"/>
  <c r="E3464"/>
  <c r="E3465"/>
  <c r="E3466"/>
  <c r="E3467"/>
  <c r="E3468"/>
  <c r="E3469"/>
  <c r="E3462"/>
  <c r="E3381"/>
  <c r="E3371"/>
  <c r="E3360"/>
  <c r="E3292"/>
  <c r="E3294"/>
  <c r="E3353"/>
  <c r="E3351"/>
  <c r="E3355"/>
  <c r="E3356"/>
  <c r="E3460"/>
  <c r="E3252"/>
  <c r="I151" i="71" l="1"/>
  <c r="I152" s="1"/>
  <c r="Q4646" i="34"/>
  <c r="S4646"/>
  <c r="R4646"/>
  <c r="A1003"/>
  <c r="A3513"/>
  <c r="A3351"/>
  <c r="A3514"/>
  <c r="A3517"/>
  <c r="A3460"/>
  <c r="A3353"/>
  <c r="A3292"/>
  <c r="A274"/>
  <c r="A385"/>
  <c r="A3512"/>
  <c r="A3506"/>
  <c r="A3490"/>
  <c r="A3598"/>
  <c r="A3356"/>
  <c r="A3294"/>
  <c r="A3371"/>
  <c r="A3462"/>
  <c r="A3483"/>
  <c r="A3484"/>
  <c r="A283"/>
  <c r="A3039"/>
  <c r="A3516"/>
  <c r="A3511"/>
  <c r="A3489"/>
  <c r="A3485"/>
  <c r="A3515"/>
  <c r="A286"/>
  <c r="A3599"/>
  <c r="A3520"/>
  <c r="A3544"/>
  <c r="A3654"/>
  <c r="A3652"/>
  <c r="A3194"/>
  <c r="A3518"/>
  <c r="A3583"/>
  <c r="A3578"/>
  <c r="A3575"/>
  <c r="A3569"/>
  <c r="A3567"/>
  <c r="A3555"/>
  <c r="A3552"/>
  <c r="A3548"/>
  <c r="A3546"/>
  <c r="A3678"/>
  <c r="A3669"/>
  <c r="A3667"/>
  <c r="A3665"/>
  <c r="A944"/>
  <c r="A3640"/>
  <c r="A3637"/>
  <c r="A3592"/>
  <c r="A3550"/>
  <c r="A1986"/>
  <c r="A4298"/>
  <c r="A4181"/>
  <c r="A3676"/>
  <c r="A3675"/>
  <c r="A3674"/>
  <c r="A3659"/>
  <c r="A3658"/>
  <c r="A3657"/>
  <c r="A3588"/>
  <c r="A3587"/>
  <c r="A3586"/>
  <c r="A3585"/>
  <c r="A3589"/>
  <c r="A3543"/>
  <c r="A3542"/>
  <c r="A3541"/>
  <c r="A3629"/>
  <c r="A3693"/>
  <c r="A3692"/>
  <c r="A2150"/>
  <c r="A974"/>
  <c r="A2131"/>
  <c r="A3625"/>
  <c r="A3624"/>
  <c r="A2114"/>
  <c r="A3622"/>
  <c r="A3621"/>
  <c r="A1049"/>
  <c r="A3619"/>
  <c r="A3618"/>
  <c r="A868"/>
  <c r="A3616"/>
  <c r="A3615"/>
  <c r="A952"/>
  <c r="A3613"/>
  <c r="A3612"/>
  <c r="A2391"/>
  <c r="A970"/>
  <c r="A3573"/>
  <c r="A3572"/>
  <c r="A2113"/>
  <c r="A3540"/>
  <c r="A3539"/>
  <c r="A625"/>
  <c r="A3537"/>
  <c r="A3536"/>
  <c r="A2112"/>
  <c r="A3534"/>
  <c r="A3533"/>
  <c r="A1993"/>
  <c r="A3531"/>
  <c r="A3530"/>
  <c r="A2736"/>
  <c r="A3528"/>
  <c r="A3527"/>
  <c r="A2505"/>
  <c r="A3510"/>
  <c r="A3509"/>
  <c r="A626"/>
  <c r="A3690"/>
  <c r="A3584"/>
  <c r="A3581"/>
  <c r="A3580"/>
  <c r="A3579"/>
  <c r="A3521"/>
  <c r="A3525"/>
  <c r="A3508"/>
  <c r="A3507"/>
  <c r="A3229"/>
  <c r="A3524"/>
  <c r="A3228"/>
  <c r="A3660"/>
  <c r="A3636"/>
  <c r="A3635"/>
  <c r="A3634"/>
  <c r="A3633"/>
  <c r="A3632"/>
  <c r="A3607"/>
  <c r="A3606"/>
  <c r="A3605"/>
  <c r="A628"/>
  <c r="A3603"/>
  <c r="A3601"/>
  <c r="A3595"/>
  <c r="A285"/>
  <c r="A1360"/>
  <c r="A3522"/>
  <c r="A3673"/>
  <c r="A3645"/>
  <c r="A1361"/>
  <c r="A3447"/>
  <c r="A3446"/>
  <c r="A3445"/>
  <c r="A3406"/>
  <c r="A3443"/>
  <c r="A3040"/>
  <c r="A3272"/>
  <c r="A3270"/>
  <c r="A3268"/>
  <c r="A3266"/>
  <c r="A3274"/>
  <c r="A3257"/>
  <c r="A3276"/>
  <c r="A3278"/>
  <c r="A3280"/>
  <c r="A1995"/>
  <c r="A1973"/>
  <c r="A1971"/>
  <c r="A2009"/>
  <c r="A2007"/>
  <c r="A1998"/>
  <c r="A2417"/>
  <c r="A2154"/>
  <c r="A2152"/>
  <c r="A2900"/>
  <c r="A2739"/>
  <c r="A2072"/>
  <c r="A875"/>
  <c r="A874"/>
  <c r="A3663"/>
  <c r="A3662"/>
  <c r="A943"/>
  <c r="A871"/>
  <c r="A895"/>
  <c r="A894"/>
  <c r="A4372"/>
  <c r="A4043"/>
  <c r="A4639"/>
  <c r="A4498"/>
  <c r="A4496"/>
  <c r="A4438"/>
  <c r="A4411"/>
  <c r="A4409"/>
  <c r="A4390"/>
  <c r="A4389"/>
  <c r="A1056"/>
  <c r="A4384"/>
  <c r="A1028"/>
  <c r="A1033"/>
  <c r="A1024"/>
  <c r="A4312"/>
  <c r="A4310"/>
  <c r="A4302"/>
  <c r="A865"/>
  <c r="A864"/>
  <c r="A863"/>
  <c r="A873"/>
  <c r="A872"/>
  <c r="A2004"/>
  <c r="A3355"/>
  <c r="A3360"/>
  <c r="A3381"/>
  <c r="A3547"/>
  <c r="A3600"/>
  <c r="A3519"/>
  <c r="A3590"/>
  <c r="A3582"/>
  <c r="A3577"/>
  <c r="A3574"/>
  <c r="A3568"/>
  <c r="A3556"/>
  <c r="A3553"/>
  <c r="A3549"/>
  <c r="A3545"/>
  <c r="A3677"/>
  <c r="A3668"/>
  <c r="A3666"/>
  <c r="A3664"/>
  <c r="A3641"/>
  <c r="A3638"/>
  <c r="A3593"/>
  <c r="A3591"/>
  <c r="A3689"/>
  <c r="A1987"/>
  <c r="A4301"/>
  <c r="A4299"/>
  <c r="A1021"/>
  <c r="A2014"/>
  <c r="A1994"/>
  <c r="A1972"/>
  <c r="A2010"/>
  <c r="A2002"/>
  <c r="A1999"/>
  <c r="A1997"/>
  <c r="A2155"/>
  <c r="A2153"/>
  <c r="A2151"/>
  <c r="A2897"/>
  <c r="A2073"/>
  <c r="A869"/>
  <c r="A921"/>
  <c r="A3551"/>
  <c r="A4371"/>
  <c r="A4368"/>
  <c r="A4305"/>
  <c r="A4497"/>
  <c r="A4439"/>
  <c r="A4410"/>
  <c r="A4385"/>
  <c r="A4367"/>
  <c r="A4334"/>
  <c r="A4332"/>
  <c r="A4330"/>
  <c r="A4313"/>
  <c r="A4311"/>
  <c r="A862"/>
  <c r="A867"/>
  <c r="A876"/>
  <c r="A2003"/>
  <c r="A4646"/>
  <c r="B37" i="55"/>
  <c r="A37" s="1"/>
  <c r="B38"/>
  <c r="A38" s="1"/>
  <c r="B41"/>
  <c r="A41" s="1"/>
  <c r="B42"/>
  <c r="A42" s="1"/>
  <c r="B43"/>
  <c r="A43" s="1"/>
  <c r="B48"/>
  <c r="A48" s="1"/>
  <c r="H152" i="71" l="1"/>
  <c r="H153" s="1"/>
  <c r="I153"/>
  <c r="I154" s="1"/>
  <c r="E3481" i="34"/>
  <c r="E3461"/>
  <c r="E3479"/>
  <c r="E3478"/>
  <c r="E3459"/>
  <c r="E3477"/>
  <c r="E3476"/>
  <c r="E2067"/>
  <c r="E3474"/>
  <c r="E3473"/>
  <c r="E3472"/>
  <c r="E623"/>
  <c r="E3458"/>
  <c r="H154" i="71" l="1"/>
  <c r="H155" s="1"/>
  <c r="A623" i="34"/>
  <c r="A3472"/>
  <c r="A3473"/>
  <c r="A3474"/>
  <c r="A2067"/>
  <c r="A3476"/>
  <c r="A3477"/>
  <c r="A3459"/>
  <c r="A3478"/>
  <c r="A3479"/>
  <c r="A3461"/>
  <c r="E3435"/>
  <c r="E3434"/>
  <c r="E1073"/>
  <c r="E619"/>
  <c r="E386"/>
  <c r="E3427"/>
  <c r="E3426"/>
  <c r="E3425"/>
  <c r="E3417"/>
  <c r="E3399"/>
  <c r="E3398"/>
  <c r="E861"/>
  <c r="E3396"/>
  <c r="E3395"/>
  <c r="E891"/>
  <c r="E1984"/>
  <c r="E3392"/>
  <c r="E3391"/>
  <c r="E3388"/>
  <c r="E3387"/>
  <c r="E3386"/>
  <c r="E3385"/>
  <c r="E3383"/>
  <c r="E3384"/>
  <c r="E2066"/>
  <c r="E273"/>
  <c r="E3364"/>
  <c r="E3363"/>
  <c r="E3409"/>
  <c r="E3408"/>
  <c r="M2130"/>
  <c r="M2074"/>
  <c r="E3361"/>
  <c r="E3362"/>
  <c r="E2860"/>
  <c r="E842"/>
  <c r="E3369"/>
  <c r="E3368"/>
  <c r="E3366"/>
  <c r="E3367"/>
  <c r="E3400"/>
  <c r="E3416"/>
  <c r="E3448"/>
  <c r="E3482"/>
  <c r="E3370"/>
  <c r="E3502"/>
  <c r="E3501"/>
  <c r="E3504"/>
  <c r="E3498"/>
  <c r="E3497"/>
  <c r="E3496"/>
  <c r="E3495"/>
  <c r="E3494"/>
  <c r="E3493"/>
  <c r="E3492"/>
  <c r="E3491"/>
  <c r="E3488"/>
  <c r="E3487"/>
  <c r="E3486"/>
  <c r="E3455"/>
  <c r="E3454"/>
  <c r="E3423"/>
  <c r="E3422"/>
  <c r="E3453"/>
  <c r="E3452"/>
  <c r="E3449"/>
  <c r="E3430"/>
  <c r="E3429"/>
  <c r="E3428"/>
  <c r="M3420"/>
  <c r="E3420"/>
  <c r="E3421"/>
  <c r="E3419"/>
  <c r="E3418"/>
  <c r="E3415"/>
  <c r="E3414"/>
  <c r="E3411"/>
  <c r="E3410"/>
  <c r="E3404"/>
  <c r="E3403"/>
  <c r="E3402"/>
  <c r="E3401"/>
  <c r="E3379"/>
  <c r="E3378"/>
  <c r="E3457"/>
  <c r="E3456"/>
  <c r="E3374"/>
  <c r="E3373"/>
  <c r="E3317"/>
  <c r="E3187"/>
  <c r="M3187"/>
  <c r="E2989"/>
  <c r="M2989"/>
  <c r="E3313"/>
  <c r="M3313"/>
  <c r="E3314"/>
  <c r="M3314"/>
  <c r="E3315"/>
  <c r="M3315"/>
  <c r="E2991"/>
  <c r="M2991"/>
  <c r="E3147"/>
  <c r="M3147"/>
  <c r="E3148"/>
  <c r="M3148"/>
  <c r="E3184"/>
  <c r="M3184"/>
  <c r="E3183"/>
  <c r="M3183"/>
  <c r="E3186"/>
  <c r="M3186"/>
  <c r="E3185"/>
  <c r="M3185"/>
  <c r="M3102"/>
  <c r="M3195"/>
  <c r="E3102"/>
  <c r="E3195"/>
  <c r="M2988"/>
  <c r="M2987"/>
  <c r="M2561"/>
  <c r="M2559"/>
  <c r="E2559"/>
  <c r="E2561"/>
  <c r="E2987"/>
  <c r="E2988"/>
  <c r="E3101"/>
  <c r="M3101"/>
  <c r="E300"/>
  <c r="M300"/>
  <c r="E3103"/>
  <c r="M3103"/>
  <c r="E3320"/>
  <c r="E3199"/>
  <c r="E2556"/>
  <c r="E2557"/>
  <c r="E261"/>
  <c r="E275"/>
  <c r="E262"/>
  <c r="E263"/>
  <c r="E264"/>
  <c r="E265"/>
  <c r="E266"/>
  <c r="E267"/>
  <c r="E268"/>
  <c r="E269"/>
  <c r="E270"/>
  <c r="E271"/>
  <c r="E257"/>
  <c r="K271"/>
  <c r="M271" s="1"/>
  <c r="K261"/>
  <c r="M261" s="1"/>
  <c r="K275"/>
  <c r="M275" s="1"/>
  <c r="K262"/>
  <c r="M262" s="1"/>
  <c r="K263"/>
  <c r="M263" s="1"/>
  <c r="K264"/>
  <c r="M264" s="1"/>
  <c r="K265"/>
  <c r="M265" s="1"/>
  <c r="K266"/>
  <c r="M266" s="1"/>
  <c r="K267"/>
  <c r="M267" s="1"/>
  <c r="K268"/>
  <c r="M268" s="1"/>
  <c r="K269"/>
  <c r="M269" s="1"/>
  <c r="K270"/>
  <c r="M270" s="1"/>
  <c r="E3336"/>
  <c r="M3336"/>
  <c r="M3127"/>
  <c r="M3126"/>
  <c r="M3106"/>
  <c r="E3335"/>
  <c r="E3334"/>
  <c r="E3331"/>
  <c r="E3332"/>
  <c r="E3329"/>
  <c r="E2021"/>
  <c r="E2022"/>
  <c r="E3106"/>
  <c r="E3126"/>
  <c r="E3127"/>
  <c r="M3318"/>
  <c r="E3318"/>
  <c r="E3282"/>
  <c r="E3281"/>
  <c r="M3113"/>
  <c r="E3113"/>
  <c r="E3124"/>
  <c r="E3125"/>
  <c r="E3114"/>
  <c r="E3204"/>
  <c r="E3205"/>
  <c r="E3206"/>
  <c r="E3207"/>
  <c r="E3290"/>
  <c r="E3112"/>
  <c r="M3119"/>
  <c r="M3120"/>
  <c r="M3121"/>
  <c r="M3122"/>
  <c r="M3134"/>
  <c r="M3135"/>
  <c r="M2558"/>
  <c r="M3189"/>
  <c r="M816"/>
  <c r="M3202"/>
  <c r="M3203"/>
  <c r="M3182"/>
  <c r="M3210"/>
  <c r="M3211"/>
  <c r="M3212"/>
  <c r="M3213"/>
  <c r="M3214"/>
  <c r="M3215"/>
  <c r="M2990"/>
  <c r="M3249"/>
  <c r="M3190"/>
  <c r="M3337"/>
  <c r="M3347"/>
  <c r="M282"/>
  <c r="M3099"/>
  <c r="E3105"/>
  <c r="E3099"/>
  <c r="E3347"/>
  <c r="E3337"/>
  <c r="E3190"/>
  <c r="E3249"/>
  <c r="E2990"/>
  <c r="E3214"/>
  <c r="E3215"/>
  <c r="E3216"/>
  <c r="E3212"/>
  <c r="E3213"/>
  <c r="E3211"/>
  <c r="E3210"/>
  <c r="M817"/>
  <c r="E3182"/>
  <c r="E3203"/>
  <c r="E3202"/>
  <c r="E816"/>
  <c r="E3189"/>
  <c r="E2558"/>
  <c r="E3120"/>
  <c r="E3121"/>
  <c r="E3122"/>
  <c r="E3134"/>
  <c r="E3135"/>
  <c r="E3119"/>
  <c r="E282"/>
  <c r="E3349"/>
  <c r="E3348"/>
  <c r="E614"/>
  <c r="E1965"/>
  <c r="E3322"/>
  <c r="E3323"/>
  <c r="E3324"/>
  <c r="E3325"/>
  <c r="E3326"/>
  <c r="E3319"/>
  <c r="E3328"/>
  <c r="E3296"/>
  <c r="E3297"/>
  <c r="E3298"/>
  <c r="E3299"/>
  <c r="E3300"/>
  <c r="E3301"/>
  <c r="E3302"/>
  <c r="E3295"/>
  <c r="E3289"/>
  <c r="E3267"/>
  <c r="E3269"/>
  <c r="E3271"/>
  <c r="E3273"/>
  <c r="E3275"/>
  <c r="E3277"/>
  <c r="E3279"/>
  <c r="E3197"/>
  <c r="E3191"/>
  <c r="E3188"/>
  <c r="E3198"/>
  <c r="E3192"/>
  <c r="E601"/>
  <c r="E3209"/>
  <c r="E3232"/>
  <c r="E2035"/>
  <c r="E3255"/>
  <c r="E3256"/>
  <c r="E3258"/>
  <c r="E3260"/>
  <c r="E3262"/>
  <c r="E3264"/>
  <c r="E607"/>
  <c r="E3265"/>
  <c r="E2012"/>
  <c r="E3175"/>
  <c r="E3176"/>
  <c r="E3177"/>
  <c r="E3178"/>
  <c r="E3179"/>
  <c r="E3173"/>
  <c r="E1990"/>
  <c r="E3166"/>
  <c r="E3167"/>
  <c r="E2020"/>
  <c r="E3169"/>
  <c r="E3170"/>
  <c r="E866"/>
  <c r="E3172"/>
  <c r="E3163"/>
  <c r="E3164"/>
  <c r="E3157"/>
  <c r="E3160"/>
  <c r="E3161"/>
  <c r="E3162"/>
  <c r="E3117"/>
  <c r="E3118"/>
  <c r="E3132"/>
  <c r="E3133"/>
  <c r="E2006"/>
  <c r="E3141"/>
  <c r="E3142"/>
  <c r="E3153"/>
  <c r="E3154"/>
  <c r="E3155"/>
  <c r="E3123"/>
  <c r="E3116"/>
  <c r="E3115"/>
  <c r="E3104"/>
  <c r="E3098"/>
  <c r="E3094"/>
  <c r="E3095"/>
  <c r="E3070"/>
  <c r="E3071"/>
  <c r="E3072"/>
  <c r="E3073"/>
  <c r="E3085"/>
  <c r="E3086"/>
  <c r="E3087"/>
  <c r="E3088"/>
  <c r="E3089"/>
  <c r="E3090"/>
  <c r="E3091"/>
  <c r="E3092"/>
  <c r="E3093"/>
  <c r="E2005"/>
  <c r="M819"/>
  <c r="M815"/>
  <c r="M812"/>
  <c r="M813"/>
  <c r="M811"/>
  <c r="I155" i="71" l="1"/>
  <c r="I156" s="1"/>
  <c r="A3076" i="34"/>
  <c r="A3074"/>
  <c r="A3067"/>
  <c r="A3065"/>
  <c r="A3373"/>
  <c r="A3370"/>
  <c r="A3075"/>
  <c r="A3068"/>
  <c r="A3066"/>
  <c r="A3064"/>
  <c r="A3374"/>
  <c r="A3368"/>
  <c r="A3369"/>
  <c r="A3496"/>
  <c r="A282"/>
  <c r="A3348"/>
  <c r="A3326"/>
  <c r="A3324"/>
  <c r="A3322"/>
  <c r="A3319"/>
  <c r="A3302"/>
  <c r="A3300"/>
  <c r="A3298"/>
  <c r="A3296"/>
  <c r="A3289"/>
  <c r="A3277"/>
  <c r="A3273"/>
  <c r="A3269"/>
  <c r="A3265"/>
  <c r="A3264"/>
  <c r="A3260"/>
  <c r="A3256"/>
  <c r="A2035"/>
  <c r="A3209"/>
  <c r="A3192"/>
  <c r="A3188"/>
  <c r="A3197"/>
  <c r="A3178"/>
  <c r="A3176"/>
  <c r="A2012"/>
  <c r="A3172"/>
  <c r="A3170"/>
  <c r="A2020"/>
  <c r="A3166"/>
  <c r="A3164"/>
  <c r="A3162"/>
  <c r="A3160"/>
  <c r="A3155"/>
  <c r="A3153"/>
  <c r="A3141"/>
  <c r="A3133"/>
  <c r="A3118"/>
  <c r="A3123"/>
  <c r="A3115"/>
  <c r="A3098"/>
  <c r="A3094"/>
  <c r="A3092"/>
  <c r="A3090"/>
  <c r="A3088"/>
  <c r="A3086"/>
  <c r="A3073"/>
  <c r="A3071"/>
  <c r="A2005"/>
  <c r="A819"/>
  <c r="A814"/>
  <c r="A812"/>
  <c r="A1949"/>
  <c r="A2119"/>
  <c r="A1945"/>
  <c r="A1943"/>
  <c r="A1941"/>
  <c r="A1939"/>
  <c r="A3346"/>
  <c r="A3342"/>
  <c r="A3340"/>
  <c r="A3345"/>
  <c r="A3311"/>
  <c r="A3309"/>
  <c r="A3307"/>
  <c r="A3305"/>
  <c r="A3288"/>
  <c r="A3286"/>
  <c r="A3284"/>
  <c r="A3236"/>
  <c r="A3234"/>
  <c r="A3224"/>
  <c r="A3222"/>
  <c r="A3220"/>
  <c r="A3180"/>
  <c r="A3145"/>
  <c r="A3143"/>
  <c r="A3131"/>
  <c r="A3108"/>
  <c r="A3084"/>
  <c r="A3082"/>
  <c r="A3078"/>
  <c r="A3293"/>
  <c r="A3217"/>
  <c r="A3156"/>
  <c r="A3129"/>
  <c r="A3449"/>
  <c r="A3378"/>
  <c r="A3318"/>
  <c r="A3282"/>
  <c r="A3207"/>
  <c r="A3205"/>
  <c r="A3114"/>
  <c r="A3124"/>
  <c r="A3112"/>
  <c r="A3099"/>
  <c r="A3190"/>
  <c r="A2990"/>
  <c r="A3215"/>
  <c r="A3213"/>
  <c r="A3210"/>
  <c r="A3202"/>
  <c r="A2558"/>
  <c r="A3134"/>
  <c r="A3121"/>
  <c r="A3119"/>
  <c r="A3189"/>
  <c r="A3182"/>
  <c r="A818"/>
  <c r="A817"/>
  <c r="A3211"/>
  <c r="A2065"/>
  <c r="A2039"/>
  <c r="A2037"/>
  <c r="A3347"/>
  <c r="A3126"/>
  <c r="A3335"/>
  <c r="A2022"/>
  <c r="A3331"/>
  <c r="A3329"/>
  <c r="A3199"/>
  <c r="A3320"/>
  <c r="A300"/>
  <c r="A2988"/>
  <c r="A2561"/>
  <c r="A3185"/>
  <c r="A3183"/>
  <c r="A3148"/>
  <c r="A2991"/>
  <c r="A3314"/>
  <c r="A2502"/>
  <c r="A3226"/>
  <c r="A3149"/>
  <c r="A3343"/>
  <c r="A3457"/>
  <c r="A3418"/>
  <c r="A3419"/>
  <c r="A3420"/>
  <c r="A3422"/>
  <c r="A3423"/>
  <c r="A3454"/>
  <c r="A3455"/>
  <c r="A3491"/>
  <c r="A3492"/>
  <c r="A3493"/>
  <c r="A3494"/>
  <c r="A3497"/>
  <c r="A3498"/>
  <c r="A3470"/>
  <c r="A3469"/>
  <c r="A3467"/>
  <c r="A3465"/>
  <c r="A3463"/>
  <c r="A3481"/>
  <c r="A619"/>
  <c r="A3391"/>
  <c r="A3384"/>
  <c r="A2066"/>
  <c r="A3363"/>
  <c r="A2068"/>
  <c r="A3499"/>
  <c r="A3408"/>
  <c r="A1964"/>
  <c r="A3501"/>
  <c r="A3502"/>
  <c r="A3448"/>
  <c r="A3400"/>
  <c r="A1969"/>
  <c r="A1976"/>
  <c r="A1978"/>
  <c r="A1996"/>
  <c r="A2109"/>
  <c r="A2111"/>
  <c r="A3385"/>
  <c r="A3386"/>
  <c r="A3387"/>
  <c r="A3417"/>
  <c r="A1073"/>
  <c r="A3434"/>
  <c r="A3435"/>
  <c r="A1963"/>
  <c r="A3495"/>
  <c r="A3349"/>
  <c r="A614"/>
  <c r="A3325"/>
  <c r="A3323"/>
  <c r="A1965"/>
  <c r="A3328"/>
  <c r="A3301"/>
  <c r="A3299"/>
  <c r="A3297"/>
  <c r="A3295"/>
  <c r="A3279"/>
  <c r="A3275"/>
  <c r="A3271"/>
  <c r="A3267"/>
  <c r="A607"/>
  <c r="A3262"/>
  <c r="A3258"/>
  <c r="A3255"/>
  <c r="A3232"/>
  <c r="A601"/>
  <c r="A3198"/>
  <c r="A3191"/>
  <c r="A3179"/>
  <c r="A3177"/>
  <c r="A3175"/>
  <c r="A3173"/>
  <c r="A866"/>
  <c r="A3169"/>
  <c r="A3167"/>
  <c r="A1990"/>
  <c r="A3163"/>
  <c r="A3161"/>
  <c r="A3157"/>
  <c r="A3154"/>
  <c r="A3142"/>
  <c r="A2006"/>
  <c r="A3132"/>
  <c r="A3117"/>
  <c r="A3116"/>
  <c r="A3104"/>
  <c r="A3095"/>
  <c r="A3093"/>
  <c r="A3091"/>
  <c r="A3089"/>
  <c r="A3087"/>
  <c r="A3085"/>
  <c r="A3072"/>
  <c r="A3070"/>
  <c r="A820"/>
  <c r="A815"/>
  <c r="A813"/>
  <c r="A811"/>
  <c r="A1948"/>
  <c r="A2118"/>
  <c r="A1944"/>
  <c r="A1942"/>
  <c r="A1940"/>
  <c r="A1938"/>
  <c r="A3344"/>
  <c r="A3341"/>
  <c r="A3339"/>
  <c r="A3312"/>
  <c r="A3310"/>
  <c r="A3308"/>
  <c r="A3306"/>
  <c r="A3304"/>
  <c r="A3287"/>
  <c r="A3285"/>
  <c r="A3283"/>
  <c r="A3235"/>
  <c r="A3225"/>
  <c r="A3223"/>
  <c r="A3221"/>
  <c r="A3181"/>
  <c r="A3146"/>
  <c r="A3144"/>
  <c r="A3139"/>
  <c r="A3130"/>
  <c r="A3107"/>
  <c r="A3083"/>
  <c r="A3081"/>
  <c r="A3077"/>
  <c r="A3233"/>
  <c r="A3208"/>
  <c r="A3136"/>
  <c r="A3452"/>
  <c r="A3430"/>
  <c r="A3456"/>
  <c r="A3366"/>
  <c r="A3290"/>
  <c r="A3281"/>
  <c r="A3206"/>
  <c r="A3204"/>
  <c r="A3125"/>
  <c r="A3113"/>
  <c r="A3105"/>
  <c r="A3337"/>
  <c r="A3249"/>
  <c r="A3216"/>
  <c r="A3214"/>
  <c r="A3212"/>
  <c r="A3203"/>
  <c r="A816"/>
  <c r="A3135"/>
  <c r="A3122"/>
  <c r="A3120"/>
  <c r="A2040"/>
  <c r="A2038"/>
  <c r="A2036"/>
  <c r="A3127"/>
  <c r="A3106"/>
  <c r="A3334"/>
  <c r="A3332"/>
  <c r="A2021"/>
  <c r="A3336"/>
  <c r="A270"/>
  <c r="A269"/>
  <c r="A268"/>
  <c r="A267"/>
  <c r="A266"/>
  <c r="A265"/>
  <c r="A264"/>
  <c r="A263"/>
  <c r="A262"/>
  <c r="A275"/>
  <c r="A261"/>
  <c r="A271"/>
  <c r="A3103"/>
  <c r="A3101"/>
  <c r="A2987"/>
  <c r="A2559"/>
  <c r="A3186"/>
  <c r="A3184"/>
  <c r="A3147"/>
  <c r="A3315"/>
  <c r="A3313"/>
  <c r="A2129"/>
  <c r="A2989"/>
  <c r="A3187"/>
  <c r="A3317"/>
  <c r="A3379"/>
  <c r="A3401"/>
  <c r="A3402"/>
  <c r="A3403"/>
  <c r="A3404"/>
  <c r="A3410"/>
  <c r="A3411"/>
  <c r="A3414"/>
  <c r="A3415"/>
  <c r="A3421"/>
  <c r="A3428"/>
  <c r="A3429"/>
  <c r="A3453"/>
  <c r="A3486"/>
  <c r="A3487"/>
  <c r="A3488"/>
  <c r="A3504"/>
  <c r="A3352"/>
  <c r="A3468"/>
  <c r="A3466"/>
  <c r="A3464"/>
  <c r="A3252"/>
  <c r="A3458"/>
  <c r="A3392"/>
  <c r="A3388"/>
  <c r="A3383"/>
  <c r="A273"/>
  <c r="A2069"/>
  <c r="A1966"/>
  <c r="A3409"/>
  <c r="A2074"/>
  <c r="A3482"/>
  <c r="A3416"/>
  <c r="A3367"/>
  <c r="A1970"/>
  <c r="A842"/>
  <c r="A2860"/>
  <c r="A3362"/>
  <c r="A3361"/>
  <c r="A2130"/>
  <c r="A3500"/>
  <c r="A1977"/>
  <c r="A1979"/>
  <c r="A2070"/>
  <c r="A2110"/>
  <c r="A3364"/>
  <c r="A1984"/>
  <c r="A891"/>
  <c r="A3395"/>
  <c r="A3396"/>
  <c r="A861"/>
  <c r="A3398"/>
  <c r="A3399"/>
  <c r="A3425"/>
  <c r="A3426"/>
  <c r="A3427"/>
  <c r="A386"/>
  <c r="K257"/>
  <c r="M257" s="1"/>
  <c r="K2557"/>
  <c r="M2557" s="1"/>
  <c r="K2556"/>
  <c r="M2556" s="1"/>
  <c r="H156" i="71" l="1"/>
  <c r="H157" s="1"/>
  <c r="I157"/>
  <c r="I158" s="1"/>
  <c r="A2556" i="34"/>
  <c r="A257"/>
  <c r="A2557"/>
  <c r="C3062"/>
  <c r="C288"/>
  <c r="C289"/>
  <c r="C290"/>
  <c r="C2581"/>
  <c r="C279"/>
  <c r="C3044"/>
  <c r="C2980"/>
  <c r="C2981"/>
  <c r="C2982"/>
  <c r="C2983"/>
  <c r="C3006"/>
  <c r="C3007"/>
  <c r="C3008"/>
  <c r="C3009"/>
  <c r="C3010"/>
  <c r="C3004"/>
  <c r="C588"/>
  <c r="C3018"/>
  <c r="C1975"/>
  <c r="C3029"/>
  <c r="C3030"/>
  <c r="C592"/>
  <c r="C3042"/>
  <c r="C3045"/>
  <c r="C1974"/>
  <c r="C2985"/>
  <c r="C2986"/>
  <c r="C2994"/>
  <c r="C2995"/>
  <c r="C2996"/>
  <c r="C2997"/>
  <c r="C2998"/>
  <c r="C2999"/>
  <c r="C3000"/>
  <c r="C3001"/>
  <c r="C3002"/>
  <c r="C3003"/>
  <c r="C2968"/>
  <c r="C2967"/>
  <c r="C2970"/>
  <c r="C2969"/>
  <c r="C2955"/>
  <c r="C2954"/>
  <c r="C2946"/>
  <c r="C2950"/>
  <c r="C2951"/>
  <c r="C2957"/>
  <c r="C2962"/>
  <c r="C2960"/>
  <c r="C2961"/>
  <c r="C2972"/>
  <c r="C2977"/>
  <c r="C2978"/>
  <c r="C2979"/>
  <c r="C2942"/>
  <c r="C2945"/>
  <c r="C3027"/>
  <c r="C2966"/>
  <c r="C2965"/>
  <c r="C2953"/>
  <c r="C2952"/>
  <c r="C2941"/>
  <c r="C2940"/>
  <c r="C2939"/>
  <c r="C1968"/>
  <c r="C581"/>
  <c r="C2971"/>
  <c r="C2956"/>
  <c r="M3041"/>
  <c r="C3041"/>
  <c r="M3043"/>
  <c r="C3043"/>
  <c r="C3038"/>
  <c r="C2555"/>
  <c r="M3017"/>
  <c r="C3017"/>
  <c r="M2993"/>
  <c r="C2993"/>
  <c r="M2992"/>
  <c r="C2992"/>
  <c r="C2583"/>
  <c r="M2480"/>
  <c r="C2480"/>
  <c r="M2482"/>
  <c r="C2482"/>
  <c r="M2481"/>
  <c r="C2481"/>
  <c r="C3054"/>
  <c r="C3053"/>
  <c r="C3047"/>
  <c r="C3046"/>
  <c r="C3026"/>
  <c r="C3025"/>
  <c r="C3012"/>
  <c r="C3011"/>
  <c r="C3024"/>
  <c r="C3023"/>
  <c r="C3022"/>
  <c r="C3021"/>
  <c r="C3050"/>
  <c r="C3049"/>
  <c r="C3035"/>
  <c r="C3034"/>
  <c r="M790"/>
  <c r="M791"/>
  <c r="M792"/>
  <c r="M793"/>
  <c r="M794"/>
  <c r="M2958"/>
  <c r="M3051"/>
  <c r="M789"/>
  <c r="C2959"/>
  <c r="C3051"/>
  <c r="C3052"/>
  <c r="C2958"/>
  <c r="K290"/>
  <c r="M290" s="1"/>
  <c r="K2581"/>
  <c r="M2581" s="1"/>
  <c r="K289"/>
  <c r="M289" s="1"/>
  <c r="K288"/>
  <c r="M288" s="1"/>
  <c r="K279"/>
  <c r="M279" s="1"/>
  <c r="M3014"/>
  <c r="M3015"/>
  <c r="M2582"/>
  <c r="M2583"/>
  <c r="M3016"/>
  <c r="M3013"/>
  <c r="M291"/>
  <c r="H158" i="71" l="1"/>
  <c r="H159" s="1"/>
  <c r="B2958" i="34"/>
  <c r="B3034"/>
  <c r="B3021"/>
  <c r="B3011"/>
  <c r="B3046"/>
  <c r="B2481"/>
  <c r="B2480"/>
  <c r="B2971"/>
  <c r="B2940"/>
  <c r="B2965"/>
  <c r="B2942"/>
  <c r="B2972"/>
  <c r="B2957"/>
  <c r="B2954"/>
  <c r="B2967"/>
  <c r="B3001"/>
  <c r="B2997"/>
  <c r="B2986"/>
  <c r="B3042"/>
  <c r="B1975"/>
  <c r="B3010"/>
  <c r="B3006"/>
  <c r="B2980"/>
  <c r="B290"/>
  <c r="B3052"/>
  <c r="B3035"/>
  <c r="B3022"/>
  <c r="B3012"/>
  <c r="B3047"/>
  <c r="B2993"/>
  <c r="B2555"/>
  <c r="B3041"/>
  <c r="B581"/>
  <c r="B2941"/>
  <c r="B2966"/>
  <c r="B2979"/>
  <c r="B2961"/>
  <c r="B2951"/>
  <c r="B2955"/>
  <c r="B2968"/>
  <c r="B3000"/>
  <c r="B2996"/>
  <c r="B2985"/>
  <c r="B592"/>
  <c r="B3018"/>
  <c r="B3009"/>
  <c r="B2983"/>
  <c r="B3044"/>
  <c r="B289"/>
  <c r="B3051"/>
  <c r="B3049"/>
  <c r="B3023"/>
  <c r="B3025"/>
  <c r="B3053"/>
  <c r="B2482"/>
  <c r="B2583"/>
  <c r="B3038"/>
  <c r="B1968"/>
  <c r="B2952"/>
  <c r="B3027"/>
  <c r="B2978"/>
  <c r="B2960"/>
  <c r="B2950"/>
  <c r="B2969"/>
  <c r="B3003"/>
  <c r="B2999"/>
  <c r="B2995"/>
  <c r="B1974"/>
  <c r="B3030"/>
  <c r="B588"/>
  <c r="B3008"/>
  <c r="B2982"/>
  <c r="B279"/>
  <c r="B288"/>
  <c r="B2959"/>
  <c r="B3050"/>
  <c r="B3024"/>
  <c r="B3026"/>
  <c r="B3054"/>
  <c r="B2992"/>
  <c r="B3017"/>
  <c r="B3043"/>
  <c r="B2956"/>
  <c r="B2939"/>
  <c r="B2953"/>
  <c r="B2945"/>
  <c r="B2977"/>
  <c r="B2962"/>
  <c r="B2946"/>
  <c r="B2970"/>
  <c r="B3002"/>
  <c r="B2998"/>
  <c r="B2994"/>
  <c r="B3045"/>
  <c r="B3029"/>
  <c r="B3004"/>
  <c r="B3007"/>
  <c r="B2981"/>
  <c r="B2581"/>
  <c r="B3062"/>
  <c r="A3128"/>
  <c r="A3057"/>
  <c r="A3058"/>
  <c r="A3056"/>
  <c r="A3055"/>
  <c r="C3014"/>
  <c r="C3015"/>
  <c r="C2582"/>
  <c r="C3016"/>
  <c r="C3013"/>
  <c r="C291"/>
  <c r="C2928"/>
  <c r="K2927"/>
  <c r="K2926"/>
  <c r="C2927"/>
  <c r="K2925"/>
  <c r="C2926"/>
  <c r="C2925"/>
  <c r="K295"/>
  <c r="M2924"/>
  <c r="C2924"/>
  <c r="C2874"/>
  <c r="C2873"/>
  <c r="C2875"/>
  <c r="C2876"/>
  <c r="C2896"/>
  <c r="C2907"/>
  <c r="C2908"/>
  <c r="C2909"/>
  <c r="C1950"/>
  <c r="C2911"/>
  <c r="C2912"/>
  <c r="C2917"/>
  <c r="C295"/>
  <c r="C2930"/>
  <c r="C1947"/>
  <c r="C2898"/>
  <c r="C2899"/>
  <c r="C1956"/>
  <c r="C2901"/>
  <c r="C2902"/>
  <c r="C1072"/>
  <c r="C2904"/>
  <c r="C2905"/>
  <c r="C2906"/>
  <c r="C577"/>
  <c r="C2887"/>
  <c r="C2888"/>
  <c r="C2889"/>
  <c r="C2890"/>
  <c r="C2891"/>
  <c r="C2892"/>
  <c r="I159" i="71" l="1"/>
  <c r="I160" s="1"/>
  <c r="B2904" i="34"/>
  <c r="B2911"/>
  <c r="B2889"/>
  <c r="B2902"/>
  <c r="B2917"/>
  <c r="B2876"/>
  <c r="B2924"/>
  <c r="B2892"/>
  <c r="B2888"/>
  <c r="B2905"/>
  <c r="B2901"/>
  <c r="B1947"/>
  <c r="B2912"/>
  <c r="B2908"/>
  <c r="B2875"/>
  <c r="B2928"/>
  <c r="B3016"/>
  <c r="B2930"/>
  <c r="B2887"/>
  <c r="B2907"/>
  <c r="B2927"/>
  <c r="B2582"/>
  <c r="B2890"/>
  <c r="B577"/>
  <c r="B1072"/>
  <c r="B2899"/>
  <c r="B295"/>
  <c r="B1950"/>
  <c r="B2896"/>
  <c r="B2874"/>
  <c r="B2925"/>
  <c r="B291"/>
  <c r="B3015"/>
  <c r="B2891"/>
  <c r="B1956"/>
  <c r="B2873"/>
  <c r="B2906"/>
  <c r="B2898"/>
  <c r="B2909"/>
  <c r="B2926"/>
  <c r="B3013"/>
  <c r="B3014"/>
  <c r="A2934"/>
  <c r="A2932"/>
  <c r="A2936"/>
  <c r="A2933"/>
  <c r="A1989"/>
  <c r="A1957"/>
  <c r="A1952"/>
  <c r="A1955"/>
  <c r="A1953"/>
  <c r="A1981"/>
  <c r="A1992"/>
  <c r="A2001"/>
  <c r="A1925"/>
  <c r="A1929"/>
  <c r="A1923"/>
  <c r="A795"/>
  <c r="A793"/>
  <c r="A791"/>
  <c r="A3022"/>
  <c r="A3026"/>
  <c r="A3054"/>
  <c r="A2481"/>
  <c r="A2992"/>
  <c r="A3017"/>
  <c r="A3051"/>
  <c r="A2555"/>
  <c r="A3043"/>
  <c r="A2953"/>
  <c r="A2966"/>
  <c r="A2970"/>
  <c r="A3010"/>
  <c r="A3050"/>
  <c r="A2956"/>
  <c r="A3035"/>
  <c r="A3027"/>
  <c r="A3062"/>
  <c r="A2977"/>
  <c r="A588"/>
  <c r="A2980"/>
  <c r="A1975"/>
  <c r="A2986"/>
  <c r="A581"/>
  <c r="A3044"/>
  <c r="A3029"/>
  <c r="A3018"/>
  <c r="A289"/>
  <c r="A288"/>
  <c r="A2982"/>
  <c r="A3030"/>
  <c r="A2999"/>
  <c r="A2946"/>
  <c r="A2945"/>
  <c r="A3021"/>
  <c r="A2983"/>
  <c r="A2985"/>
  <c r="A2960"/>
  <c r="A3053"/>
  <c r="A3023"/>
  <c r="A3001"/>
  <c r="A2979"/>
  <c r="A2981"/>
  <c r="A3004"/>
  <c r="A3002"/>
  <c r="A2954"/>
  <c r="A2972"/>
  <c r="A2971"/>
  <c r="A3011"/>
  <c r="A1988"/>
  <c r="A1951"/>
  <c r="A1967"/>
  <c r="A1954"/>
  <c r="A1980"/>
  <c r="A1991"/>
  <c r="A2000"/>
  <c r="A1928"/>
  <c r="A1930"/>
  <c r="A1924"/>
  <c r="A794"/>
  <c r="A792"/>
  <c r="A790"/>
  <c r="A3024"/>
  <c r="A3047"/>
  <c r="A2482"/>
  <c r="A2480"/>
  <c r="A2993"/>
  <c r="A3052"/>
  <c r="A3012"/>
  <c r="A3038"/>
  <c r="A3041"/>
  <c r="A2952"/>
  <c r="A2955"/>
  <c r="A2968"/>
  <c r="A2940"/>
  <c r="A2950"/>
  <c r="A3049"/>
  <c r="A2942"/>
  <c r="A3000"/>
  <c r="A2997"/>
  <c r="A1968"/>
  <c r="A3006"/>
  <c r="A3042"/>
  <c r="A2995"/>
  <c r="A2961"/>
  <c r="A2994"/>
  <c r="A3045"/>
  <c r="A2996"/>
  <c r="A2581"/>
  <c r="A592"/>
  <c r="A279"/>
  <c r="A3008"/>
  <c r="A1974"/>
  <c r="A3003"/>
  <c r="A2962"/>
  <c r="A2939"/>
  <c r="A3034"/>
  <c r="A3009"/>
  <c r="A2969"/>
  <c r="A2978"/>
  <c r="A3025"/>
  <c r="A290"/>
  <c r="A2951"/>
  <c r="A2941"/>
  <c r="A3007"/>
  <c r="A2998"/>
  <c r="A2967"/>
  <c r="A2957"/>
  <c r="A2965"/>
  <c r="A3046"/>
  <c r="C2851"/>
  <c r="C1936"/>
  <c r="C2858"/>
  <c r="C2859"/>
  <c r="C2871"/>
  <c r="C2872"/>
  <c r="C2877"/>
  <c r="C2882"/>
  <c r="C2883"/>
  <c r="C2884"/>
  <c r="C2854"/>
  <c r="C2855"/>
  <c r="C2856"/>
  <c r="C2845"/>
  <c r="C2846"/>
  <c r="C2847"/>
  <c r="C2848"/>
  <c r="C2849"/>
  <c r="C2850"/>
  <c r="M2866"/>
  <c r="M2867"/>
  <c r="M2868"/>
  <c r="M2869"/>
  <c r="M2870"/>
  <c r="M2885"/>
  <c r="M2853"/>
  <c r="M2864"/>
  <c r="M2865"/>
  <c r="M2852"/>
  <c r="C2853"/>
  <c r="C2864"/>
  <c r="C2865"/>
  <c r="C2866"/>
  <c r="C2867"/>
  <c r="C2868"/>
  <c r="C2869"/>
  <c r="C2870"/>
  <c r="C2885"/>
  <c r="C2852"/>
  <c r="M778"/>
  <c r="E778"/>
  <c r="E779"/>
  <c r="E2920"/>
  <c r="E2921"/>
  <c r="E777"/>
  <c r="E890"/>
  <c r="M777"/>
  <c r="E2836"/>
  <c r="E841"/>
  <c r="E1071"/>
  <c r="M1070"/>
  <c r="E1070"/>
  <c r="E773"/>
  <c r="M772"/>
  <c r="E772"/>
  <c r="E771"/>
  <c r="M770"/>
  <c r="E770"/>
  <c r="E776"/>
  <c r="E769"/>
  <c r="M769"/>
  <c r="M767"/>
  <c r="E767"/>
  <c r="E2923"/>
  <c r="E2919"/>
  <c r="E2918"/>
  <c r="E2879"/>
  <c r="E2878"/>
  <c r="E2863"/>
  <c r="E2862"/>
  <c r="E2861"/>
  <c r="E2844"/>
  <c r="E2843"/>
  <c r="E2842"/>
  <c r="E2840"/>
  <c r="E2841"/>
  <c r="E2837"/>
  <c r="H160" i="71" l="1"/>
  <c r="H161" s="1"/>
  <c r="I161"/>
  <c r="I162" s="1"/>
  <c r="B2869" i="34"/>
  <c r="B2865"/>
  <c r="B2847"/>
  <c r="B2855"/>
  <c r="B2882"/>
  <c r="B2859"/>
  <c r="B2852"/>
  <c r="B2868"/>
  <c r="B2864"/>
  <c r="B2850"/>
  <c r="B2846"/>
  <c r="B2854"/>
  <c r="B2877"/>
  <c r="B2858"/>
  <c r="B2885"/>
  <c r="B2867"/>
  <c r="B2853"/>
  <c r="B2849"/>
  <c r="B2845"/>
  <c r="B2884"/>
  <c r="B2872"/>
  <c r="B1936"/>
  <c r="B2870"/>
  <c r="B2866"/>
  <c r="B2848"/>
  <c r="B2856"/>
  <c r="B2883"/>
  <c r="B2871"/>
  <c r="B2851"/>
  <c r="A2837"/>
  <c r="A2841"/>
  <c r="A2840"/>
  <c r="A2842"/>
  <c r="A841"/>
  <c r="A2844"/>
  <c r="A2879"/>
  <c r="A2836"/>
  <c r="A2919"/>
  <c r="A767"/>
  <c r="A771"/>
  <c r="A772"/>
  <c r="A1071"/>
  <c r="A2893"/>
  <c r="A777"/>
  <c r="A2914"/>
  <c r="A1901"/>
  <c r="A1913"/>
  <c r="A2915"/>
  <c r="A2894"/>
  <c r="A2921"/>
  <c r="A2920"/>
  <c r="A779"/>
  <c r="A778"/>
  <c r="A2876"/>
  <c r="A2874"/>
  <c r="A2925"/>
  <c r="A2927"/>
  <c r="A2873"/>
  <c r="A769"/>
  <c r="A776"/>
  <c r="A770"/>
  <c r="A773"/>
  <c r="A1070"/>
  <c r="A1908"/>
  <c r="A890"/>
  <c r="A2913"/>
  <c r="A1912"/>
  <c r="A2916"/>
  <c r="A2895"/>
  <c r="A2896"/>
  <c r="A2875"/>
  <c r="A2924"/>
  <c r="A2926"/>
  <c r="A2928"/>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H162" i="71" l="1"/>
  <c r="H163" s="1"/>
  <c r="A2647" i="34"/>
  <c r="A2641"/>
  <c r="A2719"/>
  <c r="A2717"/>
  <c r="A2721"/>
  <c r="A2646"/>
  <c r="A1983"/>
  <c r="A2669"/>
  <c r="A1961"/>
  <c r="A2817"/>
  <c r="A2642"/>
  <c r="A2720"/>
  <c r="A2718"/>
  <c r="A2722"/>
  <c r="A1962"/>
  <c r="A2648"/>
  <c r="A2667"/>
  <c r="A1982"/>
  <c r="A109"/>
  <c r="A111"/>
  <c r="A113"/>
  <c r="A115"/>
  <c r="A117"/>
  <c r="A119"/>
  <c r="A121"/>
  <c r="A122"/>
  <c r="A124"/>
  <c r="A125"/>
  <c r="A126"/>
  <c r="A127"/>
  <c r="A128"/>
  <c r="A130"/>
  <c r="A132"/>
  <c r="A134"/>
  <c r="A136"/>
  <c r="A137"/>
  <c r="A139"/>
  <c r="A140"/>
  <c r="A141"/>
  <c r="A143"/>
  <c r="A145"/>
  <c r="A147"/>
  <c r="A149"/>
  <c r="A151"/>
  <c r="A152"/>
  <c r="A251"/>
  <c r="A2852"/>
  <c r="A110"/>
  <c r="A112"/>
  <c r="A114"/>
  <c r="A116"/>
  <c r="A118"/>
  <c r="A120"/>
  <c r="A129"/>
  <c r="A131"/>
  <c r="A133"/>
  <c r="A135"/>
  <c r="A142"/>
  <c r="A144"/>
  <c r="A146"/>
  <c r="A148"/>
  <c r="A150"/>
  <c r="A2853"/>
  <c r="A70" i="60"/>
  <c r="D70"/>
  <c r="A71"/>
  <c r="D71"/>
  <c r="G71" s="1"/>
  <c r="M2666" i="34"/>
  <c r="E2832"/>
  <c r="E2833"/>
  <c r="E2830"/>
  <c r="E2831"/>
  <c r="I163" i="71" l="1"/>
  <c r="I164" s="1"/>
  <c r="A2831" i="34"/>
  <c r="A2830"/>
  <c r="A2833"/>
  <c r="A2832"/>
  <c r="G70" i="60"/>
  <c r="E2835" i="34"/>
  <c r="E68" i="60"/>
  <c r="D68"/>
  <c r="D69"/>
  <c r="M766" i="34"/>
  <c r="E766"/>
  <c r="E400"/>
  <c r="M400"/>
  <c r="C1202"/>
  <c r="C1203"/>
  <c r="C1204"/>
  <c r="C1205"/>
  <c r="C1212"/>
  <c r="C1213"/>
  <c r="C1214"/>
  <c r="M1214"/>
  <c r="M1213"/>
  <c r="M1212"/>
  <c r="M1205"/>
  <c r="M1204"/>
  <c r="M1203"/>
  <c r="M1202"/>
  <c r="M754"/>
  <c r="E755"/>
  <c r="E2826"/>
  <c r="E754"/>
  <c r="D49" i="60"/>
  <c r="G49" s="1"/>
  <c r="M764" i="34"/>
  <c r="E764"/>
  <c r="E757"/>
  <c r="E759"/>
  <c r="E760"/>
  <c r="E761"/>
  <c r="E762"/>
  <c r="E763"/>
  <c r="E765"/>
  <c r="E756"/>
  <c r="M765"/>
  <c r="M763"/>
  <c r="M762"/>
  <c r="M761"/>
  <c r="M760"/>
  <c r="M759"/>
  <c r="M757"/>
  <c r="M756"/>
  <c r="M402"/>
  <c r="C402"/>
  <c r="H164" i="71" l="1"/>
  <c r="H165" s="1"/>
  <c r="B1212" i="34"/>
  <c r="B1202"/>
  <c r="B1205"/>
  <c r="B402"/>
  <c r="B1214"/>
  <c r="B1204"/>
  <c r="B1213"/>
  <c r="B1203"/>
  <c r="A2835"/>
  <c r="A759"/>
  <c r="A760"/>
  <c r="A761"/>
  <c r="A766"/>
  <c r="A756"/>
  <c r="A763"/>
  <c r="A765"/>
  <c r="A764"/>
  <c r="A400"/>
  <c r="G69" i="60"/>
  <c r="I165" i="71" l="1"/>
  <c r="I166" s="1"/>
  <c r="A753" i="34"/>
  <c r="A762"/>
  <c r="A1205"/>
  <c r="A1212"/>
  <c r="A1203"/>
  <c r="A1202"/>
  <c r="A936"/>
  <c r="A402"/>
  <c r="A752"/>
  <c r="A937"/>
  <c r="A757"/>
  <c r="A1214"/>
  <c r="A1204"/>
  <c r="A1213"/>
  <c r="J150" i="69"/>
  <c r="A4"/>
  <c r="H166" i="71" l="1"/>
  <c r="H167" s="1"/>
  <c r="M96" i="34"/>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I167" i="71" l="1"/>
  <c r="I168" s="1"/>
  <c r="A2843" i="34"/>
  <c r="A2834"/>
  <c r="A2828"/>
  <c r="A2825"/>
  <c r="A2823"/>
  <c r="A2822"/>
  <c r="A2820"/>
  <c r="A2816"/>
  <c r="A2814"/>
  <c r="A2812"/>
  <c r="A2810"/>
  <c r="A2808"/>
  <c r="A2806"/>
  <c r="A2804"/>
  <c r="A2802"/>
  <c r="A2800"/>
  <c r="A2798"/>
  <c r="A2796"/>
  <c r="A2793"/>
  <c r="A2791"/>
  <c r="A2789"/>
  <c r="A2787"/>
  <c r="A2785"/>
  <c r="A2783"/>
  <c r="A2782"/>
  <c r="A2779"/>
  <c r="A2777"/>
  <c r="A2775"/>
  <c r="A2773"/>
  <c r="A2771"/>
  <c r="A2769"/>
  <c r="A2767"/>
  <c r="A2765"/>
  <c r="A870"/>
  <c r="A2760"/>
  <c r="A2758"/>
  <c r="A775"/>
  <c r="A2754"/>
  <c r="A2752"/>
  <c r="A2750"/>
  <c r="A2748"/>
  <c r="A2746"/>
  <c r="A2744"/>
  <c r="A1918"/>
  <c r="A2740"/>
  <c r="A2738"/>
  <c r="A1914"/>
  <c r="A2734"/>
  <c r="A2732"/>
  <c r="A2730"/>
  <c r="A2728"/>
  <c r="A2726"/>
  <c r="A2725"/>
  <c r="A2716"/>
  <c r="A2714"/>
  <c r="A2712"/>
  <c r="A2710"/>
  <c r="A2708"/>
  <c r="A2707"/>
  <c r="A1917"/>
  <c r="A2704"/>
  <c r="A2701"/>
  <c r="A2700"/>
  <c r="A2699"/>
  <c r="A2698"/>
  <c r="A2696"/>
  <c r="A2690"/>
  <c r="A2688"/>
  <c r="A2679"/>
  <c r="A2685"/>
  <c r="A2683"/>
  <c r="A2674"/>
  <c r="A2676"/>
  <c r="A2677"/>
  <c r="A2673"/>
  <c r="A2671"/>
  <c r="A2668"/>
  <c r="A2663"/>
  <c r="A2661"/>
  <c r="A2659"/>
  <c r="A2657"/>
  <c r="A1898"/>
  <c r="A2652"/>
  <c r="A2650"/>
  <c r="A2645"/>
  <c r="A2639"/>
  <c r="A1896"/>
  <c r="A2826"/>
  <c r="A2829"/>
  <c r="A1919"/>
  <c r="A2824"/>
  <c r="A2818"/>
  <c r="A2821"/>
  <c r="A2819"/>
  <c r="A2815"/>
  <c r="A2813"/>
  <c r="A938"/>
  <c r="A2809"/>
  <c r="A2807"/>
  <c r="A2805"/>
  <c r="A2803"/>
  <c r="A2801"/>
  <c r="A2799"/>
  <c r="A2797"/>
  <c r="A2795"/>
  <c r="A2792"/>
  <c r="A2790"/>
  <c r="A2788"/>
  <c r="A2786"/>
  <c r="A2784"/>
  <c r="A512"/>
  <c r="A2781"/>
  <c r="A2778"/>
  <c r="A2776"/>
  <c r="A2774"/>
  <c r="A2772"/>
  <c r="A2770"/>
  <c r="A2768"/>
  <c r="A2766"/>
  <c r="A2764"/>
  <c r="A2761"/>
  <c r="A1910"/>
  <c r="A2757"/>
  <c r="A2755"/>
  <c r="A768"/>
  <c r="A2751"/>
  <c r="A2749"/>
  <c r="A2747"/>
  <c r="A2745"/>
  <c r="A2743"/>
  <c r="A2741"/>
  <c r="A1915"/>
  <c r="A2737"/>
  <c r="A2735"/>
  <c r="A2733"/>
  <c r="A2731"/>
  <c r="A2729"/>
  <c r="A2727"/>
  <c r="A2762"/>
  <c r="A2724"/>
  <c r="A2715"/>
  <c r="A2713"/>
  <c r="A2711"/>
  <c r="A2709"/>
  <c r="A2705"/>
  <c r="A2706"/>
  <c r="A935"/>
  <c r="A2702"/>
  <c r="A2692"/>
  <c r="A2695"/>
  <c r="A2694"/>
  <c r="A2697"/>
  <c r="A2691"/>
  <c r="A2689"/>
  <c r="A2687"/>
  <c r="A2686"/>
  <c r="A2684"/>
  <c r="A2682"/>
  <c r="A2680"/>
  <c r="A2681"/>
  <c r="A2678"/>
  <c r="A2672"/>
  <c r="A2670"/>
  <c r="A2666"/>
  <c r="A2662"/>
  <c r="A2660"/>
  <c r="A2658"/>
  <c r="A2656"/>
  <c r="A2653"/>
  <c r="A2651"/>
  <c r="A2649"/>
  <c r="A2640"/>
  <c r="A1897"/>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H168" i="71" l="1"/>
  <c r="H169" s="1"/>
  <c r="I169"/>
  <c r="I170" s="1"/>
  <c r="J35" i="64"/>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H170" i="71" l="1"/>
  <c r="H171" s="1"/>
  <c r="E30" i="68"/>
  <c r="G20" s="1"/>
  <c r="A10"/>
  <c r="L15" i="64"/>
  <c r="L16"/>
  <c r="L20"/>
  <c r="L21"/>
  <c r="L22"/>
  <c r="L23"/>
  <c r="L24"/>
  <c r="L25"/>
  <c r="L26"/>
  <c r="L29"/>
  <c r="L31"/>
  <c r="L32"/>
  <c r="L33"/>
  <c r="H35"/>
  <c r="K67"/>
  <c r="J67"/>
  <c r="H67"/>
  <c r="L65"/>
  <c r="L67" s="1"/>
  <c r="L14"/>
  <c r="I171" i="71" l="1"/>
  <c r="I172" s="1"/>
  <c r="H20" i="68"/>
  <c r="H172" i="71" l="1"/>
  <c r="H173" s="1"/>
  <c r="A23" i="45"/>
  <c r="A24"/>
  <c r="A25"/>
  <c r="A49"/>
  <c r="A50"/>
  <c r="A18"/>
  <c r="A55"/>
  <c r="H174" i="71" l="1"/>
  <c r="H175" s="1"/>
  <c r="I173"/>
  <c r="I174" s="1"/>
  <c r="A28" i="45"/>
  <c r="A29"/>
  <c r="A30"/>
  <c r="A31"/>
  <c r="A32"/>
  <c r="A33"/>
  <c r="A34"/>
  <c r="A35"/>
  <c r="A36"/>
  <c r="A38"/>
  <c r="A39"/>
  <c r="A43"/>
  <c r="A44"/>
  <c r="A45"/>
  <c r="A46"/>
  <c r="A47"/>
  <c r="A37"/>
  <c r="A40"/>
  <c r="A48"/>
  <c r="A41"/>
  <c r="A42"/>
  <c r="A27"/>
  <c r="A5" i="62"/>
  <c r="A6"/>
  <c r="A7"/>
  <c r="A8"/>
  <c r="A9"/>
  <c r="A10"/>
  <c r="A11"/>
  <c r="H176" i="71" l="1"/>
  <c r="H177" s="1"/>
  <c r="I175"/>
  <c r="I17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H178" i="71" l="1"/>
  <c r="H179" s="1"/>
  <c r="I177"/>
  <c r="I178" s="1"/>
  <c r="M1218" i="34"/>
  <c r="I1233"/>
  <c r="M1197"/>
  <c r="M1195"/>
  <c r="C2794"/>
  <c r="M1258"/>
  <c r="M1190"/>
  <c r="M1191"/>
  <c r="M2191"/>
  <c r="M1569"/>
  <c r="M1263"/>
  <c r="C1349"/>
  <c r="C1237"/>
  <c r="C2195"/>
  <c r="C2192"/>
  <c r="C2200"/>
  <c r="C1233"/>
  <c r="C1263"/>
  <c r="C1569"/>
  <c r="C2191"/>
  <c r="C1191"/>
  <c r="C1190"/>
  <c r="C1258"/>
  <c r="E72" i="60"/>
  <c r="V12"/>
  <c r="V13"/>
  <c r="V14"/>
  <c r="M737" i="34"/>
  <c r="M738"/>
  <c r="M739"/>
  <c r="M740"/>
  <c r="M741"/>
  <c r="M742"/>
  <c r="M743"/>
  <c r="M744"/>
  <c r="C744"/>
  <c r="C743"/>
  <c r="C742"/>
  <c r="C741"/>
  <c r="C740"/>
  <c r="C739"/>
  <c r="C738"/>
  <c r="C737"/>
  <c r="I179" i="71" l="1"/>
  <c r="I180" s="1"/>
  <c r="I82" i="55" a="1"/>
  <c r="I82" s="1"/>
  <c r="G82" a="1"/>
  <c r="G82" s="1"/>
  <c r="I52"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258"/>
  <c r="B1569"/>
  <c r="B2192"/>
  <c r="B1218"/>
  <c r="B2191"/>
  <c r="B1349"/>
  <c r="B738"/>
  <c r="B742"/>
  <c r="B1190"/>
  <c r="B1263"/>
  <c r="B2195"/>
  <c r="B1197"/>
  <c r="B740"/>
  <c r="B744"/>
  <c r="B2200"/>
  <c r="B1195"/>
  <c r="B739"/>
  <c r="B743"/>
  <c r="B1191"/>
  <c r="B1233"/>
  <c r="B1237"/>
  <c r="B2794"/>
  <c r="G15" i="55" a="1"/>
  <c r="G15" s="1"/>
  <c r="I110" a="1"/>
  <c r="I110" s="1"/>
  <c r="I111" a="1"/>
  <c r="I111" s="1"/>
  <c r="I112" a="1"/>
  <c r="I112" s="1"/>
  <c r="I113" a="1"/>
  <c r="I113" s="1"/>
  <c r="I114" a="1"/>
  <c r="I114" s="1"/>
  <c r="I115" a="1"/>
  <c r="I115" s="1"/>
  <c r="I116" a="1"/>
  <c r="I116" s="1"/>
  <c r="I117" a="1"/>
  <c r="I117" s="1"/>
  <c r="I118" a="1"/>
  <c r="I118" s="1"/>
  <c r="I15" a="1"/>
  <c r="I15" s="1"/>
  <c r="G110" a="1"/>
  <c r="G110" s="1"/>
  <c r="G111" a="1"/>
  <c r="G111" s="1"/>
  <c r="G112" a="1"/>
  <c r="G112" s="1"/>
  <c r="G113" a="1"/>
  <c r="G113" s="1"/>
  <c r="K113" s="1"/>
  <c r="G114" a="1"/>
  <c r="G114" s="1"/>
  <c r="G115" a="1"/>
  <c r="G115" s="1"/>
  <c r="G116" a="1"/>
  <c r="G116" s="1"/>
  <c r="G117" a="1"/>
  <c r="G117" s="1"/>
  <c r="K117" s="1"/>
  <c r="G118" a="1"/>
  <c r="G118" s="1"/>
  <c r="I60" a="1"/>
  <c r="I60" s="1"/>
  <c r="G60" a="1"/>
  <c r="G60" s="1"/>
  <c r="I109" a="1"/>
  <c r="I109" s="1"/>
  <c r="G109" a="1"/>
  <c r="G109" s="1"/>
  <c r="I85" a="1"/>
  <c r="I85" s="1"/>
  <c r="I87" a="1"/>
  <c r="I87" s="1"/>
  <c r="I89" a="1"/>
  <c r="I89" s="1"/>
  <c r="I91" a="1"/>
  <c r="I91" s="1"/>
  <c r="I93" a="1"/>
  <c r="I93" s="1"/>
  <c r="I95" a="1"/>
  <c r="I95" s="1"/>
  <c r="I97" a="1"/>
  <c r="I97" s="1"/>
  <c r="I99" a="1"/>
  <c r="I99" s="1"/>
  <c r="I101" a="1"/>
  <c r="I101" s="1"/>
  <c r="I103" a="1"/>
  <c r="I103" s="1"/>
  <c r="I105" a="1"/>
  <c r="I105" s="1"/>
  <c r="I107" a="1"/>
  <c r="I107" s="1"/>
  <c r="I83" a="1"/>
  <c r="I83" s="1"/>
  <c r="G102" a="1"/>
  <c r="G102" s="1"/>
  <c r="G106" a="1"/>
  <c r="G106" s="1"/>
  <c r="G84" a="1"/>
  <c r="G84" s="1"/>
  <c r="G86" a="1"/>
  <c r="G86" s="1"/>
  <c r="G88" a="1"/>
  <c r="G88" s="1"/>
  <c r="G90" a="1"/>
  <c r="G90" s="1"/>
  <c r="G92" a="1"/>
  <c r="G92" s="1"/>
  <c r="G94" a="1"/>
  <c r="G94" s="1"/>
  <c r="G96" a="1"/>
  <c r="G96" s="1"/>
  <c r="G98" a="1"/>
  <c r="G98" s="1"/>
  <c r="G100" a="1"/>
  <c r="G100" s="1"/>
  <c r="G104" a="1"/>
  <c r="G104" s="1"/>
  <c r="G108" a="1"/>
  <c r="G108" s="1"/>
  <c r="I86" a="1"/>
  <c r="I86" s="1"/>
  <c r="I88" a="1"/>
  <c r="I88" s="1"/>
  <c r="I90" a="1"/>
  <c r="I90" s="1"/>
  <c r="I92" a="1"/>
  <c r="I92" s="1"/>
  <c r="I94" a="1"/>
  <c r="I94" s="1"/>
  <c r="I96" a="1"/>
  <c r="I96" s="1"/>
  <c r="I98" a="1"/>
  <c r="I98" s="1"/>
  <c r="I100" a="1"/>
  <c r="I100" s="1"/>
  <c r="I102" a="1"/>
  <c r="I102" s="1"/>
  <c r="I104" a="1"/>
  <c r="I104" s="1"/>
  <c r="I106" a="1"/>
  <c r="I106" s="1"/>
  <c r="I108" a="1"/>
  <c r="I108" s="1"/>
  <c r="I84" a="1"/>
  <c r="I84" s="1"/>
  <c r="G85" a="1"/>
  <c r="G85" s="1"/>
  <c r="G87" a="1"/>
  <c r="G87" s="1"/>
  <c r="G89" a="1"/>
  <c r="G89" s="1"/>
  <c r="G91" a="1"/>
  <c r="G91" s="1"/>
  <c r="G93" a="1"/>
  <c r="G93" s="1"/>
  <c r="G95" a="1"/>
  <c r="G95" s="1"/>
  <c r="G97" a="1"/>
  <c r="G97" s="1"/>
  <c r="G99" a="1"/>
  <c r="G99" s="1"/>
  <c r="G101" a="1"/>
  <c r="G101" s="1"/>
  <c r="G103" a="1"/>
  <c r="G103" s="1"/>
  <c r="G105" a="1"/>
  <c r="G105" s="1"/>
  <c r="G107" a="1"/>
  <c r="G107" s="1"/>
  <c r="G83" a="1"/>
  <c r="G83"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233" i="34"/>
  <c r="I22" i="55" a="1"/>
  <c r="I22" s="1"/>
  <c r="G22" a="1"/>
  <c r="G22" s="1"/>
  <c r="H180" i="71" l="1"/>
  <c r="H181" s="1"/>
  <c r="K82" i="55"/>
  <c r="K52"/>
  <c r="K53"/>
  <c r="K54"/>
  <c r="K71"/>
  <c r="K73"/>
  <c r="K75"/>
  <c r="K72"/>
  <c r="K74"/>
  <c r="K110"/>
  <c r="K111"/>
  <c r="K116"/>
  <c r="K112"/>
  <c r="K114"/>
  <c r="K118"/>
  <c r="K115"/>
  <c r="K15"/>
  <c r="A1237" i="34"/>
  <c r="A2200"/>
  <c r="A2195"/>
  <c r="A1349"/>
  <c r="A2794"/>
  <c r="A2192"/>
  <c r="K60" i="55"/>
  <c r="A743" i="34"/>
  <c r="A739"/>
  <c r="A744"/>
  <c r="A740"/>
  <c r="A1263"/>
  <c r="A1190"/>
  <c r="A1569"/>
  <c r="A1258"/>
  <c r="A1197"/>
  <c r="A741"/>
  <c r="A737"/>
  <c r="A742"/>
  <c r="A738"/>
  <c r="A2191"/>
  <c r="A1233"/>
  <c r="A1191"/>
  <c r="A1195"/>
  <c r="A1218"/>
  <c r="K109" i="55"/>
  <c r="K39"/>
  <c r="K45"/>
  <c r="K40"/>
  <c r="K105"/>
  <c r="K90"/>
  <c r="K108"/>
  <c r="K100"/>
  <c r="K107"/>
  <c r="K103"/>
  <c r="K96"/>
  <c r="K106"/>
  <c r="K89"/>
  <c r="K65"/>
  <c r="K70"/>
  <c r="K69"/>
  <c r="K68"/>
  <c r="K67"/>
  <c r="K66"/>
  <c r="K64"/>
  <c r="K44"/>
  <c r="K93"/>
  <c r="K99"/>
  <c r="K97"/>
  <c r="K94"/>
  <c r="K104"/>
  <c r="K98"/>
  <c r="K101"/>
  <c r="K102"/>
  <c r="K95"/>
  <c r="K31"/>
  <c r="K32"/>
  <c r="K43"/>
  <c r="K49"/>
  <c r="K50"/>
  <c r="K46"/>
  <c r="K38"/>
  <c r="K33"/>
  <c r="K36"/>
  <c r="K48"/>
  <c r="K51"/>
  <c r="K41"/>
  <c r="K23"/>
  <c r="K92"/>
  <c r="K87"/>
  <c r="K88"/>
  <c r="K22"/>
  <c r="H182" i="71" l="1"/>
  <c r="H183" s="1"/>
  <c r="I181"/>
  <c r="I182" s="1"/>
  <c r="A2863" i="34"/>
  <c r="A2635"/>
  <c r="A2631"/>
  <c r="A2626"/>
  <c r="A2622"/>
  <c r="A1891"/>
  <c r="A2614"/>
  <c r="A2612"/>
  <c r="A2608"/>
  <c r="A2603"/>
  <c r="A2593"/>
  <c r="A2589"/>
  <c r="A2585"/>
  <c r="A2576"/>
  <c r="A2572"/>
  <c r="A2568"/>
  <c r="A2562"/>
  <c r="A2553"/>
  <c r="A2551"/>
  <c r="A2549"/>
  <c r="A2545"/>
  <c r="A1880"/>
  <c r="A2531"/>
  <c r="A2527"/>
  <c r="A2523"/>
  <c r="A2515"/>
  <c r="A2511"/>
  <c r="A2498"/>
  <c r="A1859"/>
  <c r="A2501"/>
  <c r="A2484"/>
  <c r="A2495"/>
  <c r="A2487"/>
  <c r="A2478"/>
  <c r="A2475"/>
  <c r="A2467"/>
  <c r="A2454"/>
  <c r="A2455"/>
  <c r="A2459"/>
  <c r="A2451"/>
  <c r="A2446"/>
  <c r="A2442"/>
  <c r="A2437"/>
  <c r="A2435"/>
  <c r="A2434"/>
  <c r="A2426"/>
  <c r="A2422"/>
  <c r="A2419"/>
  <c r="A2415"/>
  <c r="A2407"/>
  <c r="A2405"/>
  <c r="A2393"/>
  <c r="A250"/>
  <c r="A2384"/>
  <c r="A2943"/>
  <c r="A2861"/>
  <c r="A2633"/>
  <c r="A2628"/>
  <c r="A506"/>
  <c r="A2620"/>
  <c r="A2616"/>
  <c r="A2610"/>
  <c r="A2606"/>
  <c r="A2601"/>
  <c r="A1888"/>
  <c r="A2591"/>
  <c r="A2587"/>
  <c r="A2472"/>
  <c r="A2574"/>
  <c r="A2570"/>
  <c r="A2566"/>
  <c r="A2560"/>
  <c r="A2538"/>
  <c r="A2547"/>
  <c r="A2543"/>
  <c r="A2541"/>
  <c r="A2536"/>
  <c r="A2529"/>
  <c r="A2525"/>
  <c r="A2519"/>
  <c r="A2513"/>
  <c r="A2509"/>
  <c r="A2507"/>
  <c r="A2503"/>
  <c r="A2499"/>
  <c r="A2493"/>
  <c r="A2489"/>
  <c r="A2491"/>
  <c r="A2488"/>
  <c r="A1875"/>
  <c r="A2469"/>
  <c r="A2465"/>
  <c r="A2463"/>
  <c r="A2460"/>
  <c r="A2457"/>
  <c r="A2449"/>
  <c r="A2444"/>
  <c r="A2439"/>
  <c r="A2430"/>
  <c r="A2432"/>
  <c r="A2424"/>
  <c r="A2420"/>
  <c r="A2414"/>
  <c r="A1874"/>
  <c r="A2412"/>
  <c r="A2409"/>
  <c r="A2402"/>
  <c r="A2395"/>
  <c r="A2398"/>
  <c r="A2390"/>
  <c r="A2392"/>
  <c r="A2388"/>
  <c r="A2386"/>
  <c r="A2380"/>
  <c r="A2374"/>
  <c r="A2372"/>
  <c r="A2368"/>
  <c r="A2364"/>
  <c r="A2360"/>
  <c r="A2358"/>
  <c r="A2935"/>
  <c r="A2851"/>
  <c r="A2878"/>
  <c r="A2862"/>
  <c r="A2636"/>
  <c r="A2634"/>
  <c r="A2632"/>
  <c r="A2629"/>
  <c r="A2627"/>
  <c r="A2625"/>
  <c r="A2623"/>
  <c r="A2621"/>
  <c r="A2619"/>
  <c r="A2617"/>
  <c r="A2615"/>
  <c r="A2613"/>
  <c r="A2611"/>
  <c r="A2609"/>
  <c r="A2607"/>
  <c r="A2605"/>
  <c r="A2602"/>
  <c r="A2535"/>
  <c r="A2594"/>
  <c r="A2592"/>
  <c r="A2590"/>
  <c r="A2588"/>
  <c r="A2586"/>
  <c r="A2584"/>
  <c r="A2577"/>
  <c r="A2575"/>
  <c r="A2573"/>
  <c r="A2571"/>
  <c r="A2569"/>
  <c r="A2567"/>
  <c r="A2563"/>
  <c r="A255"/>
  <c r="A2554"/>
  <c r="A2552"/>
  <c r="A2400"/>
  <c r="A2550"/>
  <c r="A2548"/>
  <c r="A2546"/>
  <c r="A2544"/>
  <c r="A2031"/>
  <c r="A2540"/>
  <c r="A497"/>
  <c r="A2532"/>
  <c r="A2530"/>
  <c r="A2528"/>
  <c r="A1887"/>
  <c r="A2524"/>
  <c r="A2520"/>
  <c r="A2517"/>
  <c r="A2514"/>
  <c r="A2512"/>
  <c r="A2510"/>
  <c r="A2508"/>
  <c r="A2497"/>
  <c r="A2506"/>
  <c r="A2504"/>
  <c r="A1858"/>
  <c r="A2500"/>
  <c r="A2485"/>
  <c r="A2494"/>
  <c r="A2496"/>
  <c r="A2483"/>
  <c r="A2486"/>
  <c r="A2492"/>
  <c r="A2490"/>
  <c r="A252"/>
  <c r="A2477"/>
  <c r="A2479"/>
  <c r="A256"/>
  <c r="A2468"/>
  <c r="A2466"/>
  <c r="A2464"/>
  <c r="A2453"/>
  <c r="A2462"/>
  <c r="A2461"/>
  <c r="A2452"/>
  <c r="A2458"/>
  <c r="A2456"/>
  <c r="A2450"/>
  <c r="A2448"/>
  <c r="A2445"/>
  <c r="A2443"/>
  <c r="A2440"/>
  <c r="A2438"/>
  <c r="A2436"/>
  <c r="A749"/>
  <c r="A2429"/>
  <c r="A2433"/>
  <c r="A2427"/>
  <c r="A2425"/>
  <c r="A2423"/>
  <c r="A2421"/>
  <c r="A2428"/>
  <c r="A2413"/>
  <c r="A2418"/>
  <c r="A2416"/>
  <c r="A2411"/>
  <c r="A2410"/>
  <c r="A2408"/>
  <c r="A2403"/>
  <c r="A2406"/>
  <c r="A2396"/>
  <c r="A2394"/>
  <c r="A2401"/>
  <c r="A2397"/>
  <c r="A249"/>
  <c r="A2389"/>
  <c r="A774"/>
  <c r="A2387"/>
  <c r="A2385"/>
  <c r="A720"/>
  <c r="A2381"/>
  <c r="A2379"/>
  <c r="A2377"/>
  <c r="A2373"/>
  <c r="A2371"/>
  <c r="A2369"/>
  <c r="A2367"/>
  <c r="A2375"/>
  <c r="A2365"/>
  <c r="A2363"/>
  <c r="A2361"/>
  <c r="A2359"/>
  <c r="A2357"/>
  <c r="A2382"/>
  <c r="A2378"/>
  <c r="A2370"/>
  <c r="A2376"/>
  <c r="A2366"/>
  <c r="A2362"/>
  <c r="A2356"/>
  <c r="A2582"/>
  <c r="A3014"/>
  <c r="A3016"/>
  <c r="A2959"/>
  <c r="A789"/>
  <c r="A1926"/>
  <c r="A3060"/>
  <c r="A3037"/>
  <c r="A3032"/>
  <c r="A2976"/>
  <c r="A2964"/>
  <c r="A2949"/>
  <c r="A2930"/>
  <c r="A2917"/>
  <c r="A2911"/>
  <c r="A2909"/>
  <c r="A2907"/>
  <c r="A2905"/>
  <c r="A1072"/>
  <c r="A2901"/>
  <c r="A2899"/>
  <c r="A1947"/>
  <c r="A2891"/>
  <c r="A2889"/>
  <c r="A2887"/>
  <c r="A2884"/>
  <c r="A2882"/>
  <c r="A2872"/>
  <c r="A2859"/>
  <c r="A1936"/>
  <c r="A2850"/>
  <c r="A2848"/>
  <c r="A2846"/>
  <c r="A2856"/>
  <c r="A2854"/>
  <c r="A2870"/>
  <c r="A2868"/>
  <c r="A2866"/>
  <c r="A2864"/>
  <c r="A2539"/>
  <c r="A1907"/>
  <c r="A2918"/>
  <c r="A750"/>
  <c r="A746"/>
  <c r="A1946"/>
  <c r="A1900"/>
  <c r="A1935"/>
  <c r="A1933"/>
  <c r="A1931"/>
  <c r="A1921"/>
  <c r="A1904"/>
  <c r="A1905"/>
  <c r="A1890"/>
  <c r="A1895"/>
  <c r="A1893"/>
  <c r="A1884"/>
  <c r="A1909"/>
  <c r="A1881"/>
  <c r="A1885"/>
  <c r="A1878"/>
  <c r="A1876"/>
  <c r="A1872"/>
  <c r="A1870"/>
  <c r="A1868"/>
  <c r="A1866"/>
  <c r="A1864"/>
  <c r="A1862"/>
  <c r="A1860"/>
  <c r="A1902"/>
  <c r="A1856"/>
  <c r="A107"/>
  <c r="A105"/>
  <c r="A103"/>
  <c r="A101"/>
  <c r="A99"/>
  <c r="A97"/>
  <c r="A95"/>
  <c r="A92"/>
  <c r="A90"/>
  <c r="A88"/>
  <c r="A86"/>
  <c r="A84"/>
  <c r="A82"/>
  <c r="A80"/>
  <c r="A77"/>
  <c r="A75"/>
  <c r="A73"/>
  <c r="A71"/>
  <c r="A69"/>
  <c r="A67"/>
  <c r="A65"/>
  <c r="A36"/>
  <c r="A34"/>
  <c r="A32"/>
  <c r="A30"/>
  <c r="A28"/>
  <c r="A2399"/>
  <c r="A247"/>
  <c r="A2583"/>
  <c r="A3015"/>
  <c r="A3013"/>
  <c r="A291"/>
  <c r="A2958"/>
  <c r="A1927"/>
  <c r="A3061"/>
  <c r="A3059"/>
  <c r="A3036"/>
  <c r="A3031"/>
  <c r="A2975"/>
  <c r="A2963"/>
  <c r="A2944"/>
  <c r="A295"/>
  <c r="A2912"/>
  <c r="A1950"/>
  <c r="A2908"/>
  <c r="A2906"/>
  <c r="A2904"/>
  <c r="A2902"/>
  <c r="A1956"/>
  <c r="A2898"/>
  <c r="A2892"/>
  <c r="A2890"/>
  <c r="A2888"/>
  <c r="A577"/>
  <c r="A2883"/>
  <c r="A2877"/>
  <c r="A2871"/>
  <c r="A2858"/>
  <c r="A2849"/>
  <c r="A2847"/>
  <c r="A2845"/>
  <c r="A2855"/>
  <c r="A2885"/>
  <c r="A2869"/>
  <c r="A2867"/>
  <c r="A2865"/>
  <c r="A2759"/>
  <c r="A1911"/>
  <c r="A2923"/>
  <c r="A751"/>
  <c r="A747"/>
  <c r="A745"/>
  <c r="A1916"/>
  <c r="A1899"/>
  <c r="A1934"/>
  <c r="A1932"/>
  <c r="A1922"/>
  <c r="A1920"/>
  <c r="A1906"/>
  <c r="A1889"/>
  <c r="A1894"/>
  <c r="A1892"/>
  <c r="A1883"/>
  <c r="A1882"/>
  <c r="A1886"/>
  <c r="A1879"/>
  <c r="A1877"/>
  <c r="A1873"/>
  <c r="A1871"/>
  <c r="A1869"/>
  <c r="A1867"/>
  <c r="A1865"/>
  <c r="A1863"/>
  <c r="A1861"/>
  <c r="A1903"/>
  <c r="A1857"/>
  <c r="A1855"/>
  <c r="A106"/>
  <c r="A104"/>
  <c r="A102"/>
  <c r="A100"/>
  <c r="A98"/>
  <c r="A96"/>
  <c r="A94"/>
  <c r="A91"/>
  <c r="A89"/>
  <c r="A87"/>
  <c r="A85"/>
  <c r="A83"/>
  <c r="A81"/>
  <c r="A79"/>
  <c r="A76"/>
  <c r="A74"/>
  <c r="A72"/>
  <c r="A70"/>
  <c r="A68"/>
  <c r="A66"/>
  <c r="A64"/>
  <c r="A35"/>
  <c r="A33"/>
  <c r="A31"/>
  <c r="A29"/>
  <c r="A2600"/>
  <c r="A248"/>
  <c r="M1216"/>
  <c r="M1172"/>
  <c r="M1170"/>
  <c r="M1171"/>
  <c r="J730"/>
  <c r="H184" i="71" l="1"/>
  <c r="H185" s="1"/>
  <c r="I183"/>
  <c r="I184" s="1"/>
  <c r="B1172" i="34"/>
  <c r="B1170"/>
  <c r="B1171"/>
  <c r="B1216"/>
  <c r="M715"/>
  <c r="M716"/>
  <c r="M717"/>
  <c r="M718"/>
  <c r="H186" i="71" l="1"/>
  <c r="H187" s="1"/>
  <c r="H188" s="1"/>
  <c r="H189" s="1"/>
  <c r="H190" s="1"/>
  <c r="H191" s="1"/>
  <c r="H192" s="1"/>
  <c r="H193" s="1"/>
  <c r="H194" s="1"/>
  <c r="H195" s="1"/>
  <c r="H196" s="1"/>
  <c r="H197" s="1"/>
  <c r="H198" s="1"/>
  <c r="H199" s="1"/>
  <c r="H200" s="1"/>
  <c r="H201" s="1"/>
  <c r="H202" s="1"/>
  <c r="H203" s="1"/>
  <c r="H204" s="1"/>
  <c r="H205" s="1"/>
  <c r="H206" s="1"/>
  <c r="H207" s="1"/>
  <c r="H208" s="1"/>
  <c r="H209" s="1"/>
  <c r="H210" s="1"/>
  <c r="H211" s="1"/>
  <c r="H212" s="1"/>
  <c r="H213" s="1"/>
  <c r="H214" s="1"/>
  <c r="H215" s="1"/>
  <c r="H216" s="1"/>
  <c r="H217" s="1"/>
  <c r="H218" s="1"/>
  <c r="H219" s="1"/>
  <c r="H220" s="1"/>
  <c r="H221" s="1"/>
  <c r="H222" s="1"/>
  <c r="H223" s="1"/>
  <c r="H224" s="1"/>
  <c r="H225" s="1"/>
  <c r="H226" s="1"/>
  <c r="H227" s="1"/>
  <c r="H228" s="1"/>
  <c r="H229" s="1"/>
  <c r="H230" s="1"/>
  <c r="H231" s="1"/>
  <c r="H232" s="1"/>
  <c r="H233" s="1"/>
  <c r="H234" s="1"/>
  <c r="H235" s="1"/>
  <c r="H236" s="1"/>
  <c r="H237" s="1"/>
  <c r="H238" s="1"/>
  <c r="H239" s="1"/>
  <c r="H240" s="1"/>
  <c r="H241" s="1"/>
  <c r="H242" s="1"/>
  <c r="H243" s="1"/>
  <c r="H244" s="1"/>
  <c r="H245" s="1"/>
  <c r="H246" s="1"/>
  <c r="H247" s="1"/>
  <c r="H248" s="1"/>
  <c r="H249" s="1"/>
  <c r="H250" s="1"/>
  <c r="H251" s="1"/>
  <c r="H252" s="1"/>
  <c r="H253" s="1"/>
  <c r="H254" s="1"/>
  <c r="H255" s="1"/>
  <c r="H256" s="1"/>
  <c r="H257" s="1"/>
  <c r="H258" s="1"/>
  <c r="H259" s="1"/>
  <c r="H260" s="1"/>
  <c r="H261" s="1"/>
  <c r="H262" s="1"/>
  <c r="H263" s="1"/>
  <c r="H264" s="1"/>
  <c r="H265" s="1"/>
  <c r="H266" s="1"/>
  <c r="H267" s="1"/>
  <c r="H268" s="1"/>
  <c r="H269" s="1"/>
  <c r="H270" s="1"/>
  <c r="H271" s="1"/>
  <c r="H272" s="1"/>
  <c r="H273" s="1"/>
  <c r="H274" s="1"/>
  <c r="H275" s="1"/>
  <c r="H276" s="1"/>
  <c r="H277" s="1"/>
  <c r="H278" s="1"/>
  <c r="H279" s="1"/>
  <c r="H280" s="1"/>
  <c r="H281" s="1"/>
  <c r="H282" s="1"/>
  <c r="H283" s="1"/>
  <c r="H284" s="1"/>
  <c r="H285" s="1"/>
  <c r="H286" s="1"/>
  <c r="H287" s="1"/>
  <c r="H288" s="1"/>
  <c r="H289" s="1"/>
  <c r="H290" s="1"/>
  <c r="H291" s="1"/>
  <c r="H292" s="1"/>
  <c r="H293" s="1"/>
  <c r="H294" s="1"/>
  <c r="H295" s="1"/>
  <c r="H296" s="1"/>
  <c r="H297" s="1"/>
  <c r="H298" s="1"/>
  <c r="H299" s="1"/>
  <c r="H300" s="1"/>
  <c r="H301" s="1"/>
  <c r="H302" s="1"/>
  <c r="H303" s="1"/>
  <c r="H304" s="1"/>
  <c r="H305" s="1"/>
  <c r="H306" s="1"/>
  <c r="H307" s="1"/>
  <c r="H308" s="1"/>
  <c r="H309" s="1"/>
  <c r="H310" s="1"/>
  <c r="H311" s="1"/>
  <c r="H312" s="1"/>
  <c r="H313" s="1"/>
  <c r="H314" s="1"/>
  <c r="H315" s="1"/>
  <c r="H316" s="1"/>
  <c r="H317" s="1"/>
  <c r="H318" s="1"/>
  <c r="H319" s="1"/>
  <c r="H320" s="1"/>
  <c r="H321" s="1"/>
  <c r="H322" s="1"/>
  <c r="H323" s="1"/>
  <c r="H324" s="1"/>
  <c r="H325" s="1"/>
  <c r="H326" s="1"/>
  <c r="H327" s="1"/>
  <c r="H328" s="1"/>
  <c r="H329" s="1"/>
  <c r="H330" s="1"/>
  <c r="I185"/>
  <c r="I186" s="1"/>
  <c r="I187" s="1"/>
  <c r="I188" s="1"/>
  <c r="I189" s="1"/>
  <c r="I190" s="1"/>
  <c r="I191" s="1"/>
  <c r="I192" s="1"/>
  <c r="I193" s="1"/>
  <c r="I194" s="1"/>
  <c r="I195" s="1"/>
  <c r="I196" s="1"/>
  <c r="I197" s="1"/>
  <c r="I198" s="1"/>
  <c r="I199" s="1"/>
  <c r="I200" s="1"/>
  <c r="I201" s="1"/>
  <c r="I202" s="1"/>
  <c r="I203" s="1"/>
  <c r="I204" s="1"/>
  <c r="I205" s="1"/>
  <c r="I206" s="1"/>
  <c r="I207" s="1"/>
  <c r="I208" s="1"/>
  <c r="I209" s="1"/>
  <c r="I210" s="1"/>
  <c r="I211" s="1"/>
  <c r="I212" s="1"/>
  <c r="I213" s="1"/>
  <c r="I214" s="1"/>
  <c r="I215" s="1"/>
  <c r="I216" s="1"/>
  <c r="I217" s="1"/>
  <c r="I218" s="1"/>
  <c r="I219" s="1"/>
  <c r="I220" s="1"/>
  <c r="I221" s="1"/>
  <c r="I222" s="1"/>
  <c r="I223" s="1"/>
  <c r="I224" s="1"/>
  <c r="I225" s="1"/>
  <c r="I226" s="1"/>
  <c r="I227" s="1"/>
  <c r="I228" s="1"/>
  <c r="I229" s="1"/>
  <c r="I230" s="1"/>
  <c r="I231" s="1"/>
  <c r="I232" s="1"/>
  <c r="I233" s="1"/>
  <c r="I234" s="1"/>
  <c r="I235" s="1"/>
  <c r="I236" s="1"/>
  <c r="I237" s="1"/>
  <c r="I238" s="1"/>
  <c r="I239" s="1"/>
  <c r="I240" s="1"/>
  <c r="I241" s="1"/>
  <c r="I242" s="1"/>
  <c r="I243" s="1"/>
  <c r="I244" s="1"/>
  <c r="I245" s="1"/>
  <c r="I246" s="1"/>
  <c r="I247" s="1"/>
  <c r="I248" s="1"/>
  <c r="I249" s="1"/>
  <c r="I250" s="1"/>
  <c r="I251" s="1"/>
  <c r="I252" s="1"/>
  <c r="I253" s="1"/>
  <c r="I254" s="1"/>
  <c r="I255" s="1"/>
  <c r="I256" s="1"/>
  <c r="I257" s="1"/>
  <c r="I258" s="1"/>
  <c r="I259" s="1"/>
  <c r="I260" s="1"/>
  <c r="I261" s="1"/>
  <c r="I262" s="1"/>
  <c r="I263" s="1"/>
  <c r="I264" s="1"/>
  <c r="I265" s="1"/>
  <c r="I266" s="1"/>
  <c r="I267" s="1"/>
  <c r="I268" s="1"/>
  <c r="I269" s="1"/>
  <c r="I270" s="1"/>
  <c r="I271" s="1"/>
  <c r="I272" s="1"/>
  <c r="I273" s="1"/>
  <c r="I274" s="1"/>
  <c r="I275" s="1"/>
  <c r="I276" s="1"/>
  <c r="I277" s="1"/>
  <c r="I278" s="1"/>
  <c r="I279" s="1"/>
  <c r="I280" s="1"/>
  <c r="I281" s="1"/>
  <c r="I282" s="1"/>
  <c r="I283" s="1"/>
  <c r="I284" s="1"/>
  <c r="I285" s="1"/>
  <c r="I286" s="1"/>
  <c r="I287" s="1"/>
  <c r="I288" s="1"/>
  <c r="I289" s="1"/>
  <c r="I290" s="1"/>
  <c r="I291" s="1"/>
  <c r="I292" s="1"/>
  <c r="I293" s="1"/>
  <c r="I294" s="1"/>
  <c r="I295" s="1"/>
  <c r="I296" s="1"/>
  <c r="I297" s="1"/>
  <c r="I298" s="1"/>
  <c r="I299" s="1"/>
  <c r="I300" s="1"/>
  <c r="I301" s="1"/>
  <c r="I302" s="1"/>
  <c r="I303" s="1"/>
  <c r="I304" s="1"/>
  <c r="I305" s="1"/>
  <c r="I306" s="1"/>
  <c r="I307" s="1"/>
  <c r="I308" s="1"/>
  <c r="I309" s="1"/>
  <c r="I310" s="1"/>
  <c r="I311" s="1"/>
  <c r="I312" s="1"/>
  <c r="I313" s="1"/>
  <c r="I314" s="1"/>
  <c r="I315" s="1"/>
  <c r="I316" s="1"/>
  <c r="I317" s="1"/>
  <c r="I318" s="1"/>
  <c r="I319" s="1"/>
  <c r="I320" s="1"/>
  <c r="I321" s="1"/>
  <c r="I322" s="1"/>
  <c r="I323" s="1"/>
  <c r="I324" s="1"/>
  <c r="I325" s="1"/>
  <c r="I326" s="1"/>
  <c r="I327" s="1"/>
  <c r="I328" s="1"/>
  <c r="I329" s="1"/>
  <c r="I330" s="1"/>
  <c r="I331" s="1"/>
  <c r="A1216" i="34"/>
  <c r="A1172"/>
  <c r="A1170"/>
  <c r="A1171"/>
  <c r="C2598"/>
  <c r="C2599"/>
  <c r="M2598"/>
  <c r="M2397"/>
  <c r="M250"/>
  <c r="M2596"/>
  <c r="M2597"/>
  <c r="M2601"/>
  <c r="M2533"/>
  <c r="M2534"/>
  <c r="M2473"/>
  <c r="M2474"/>
  <c r="M2578"/>
  <c r="M2579"/>
  <c r="M258"/>
  <c r="M259"/>
  <c r="M276"/>
  <c r="M277"/>
  <c r="C259"/>
  <c r="C276"/>
  <c r="C277"/>
  <c r="C278"/>
  <c r="C2473"/>
  <c r="C2474"/>
  <c r="C2578"/>
  <c r="C2579"/>
  <c r="C2580"/>
  <c r="C2533"/>
  <c r="C2534"/>
  <c r="C2596"/>
  <c r="C2597"/>
  <c r="C258"/>
  <c r="H331" i="71" l="1"/>
  <c r="H332" s="1"/>
  <c r="B2597" i="34"/>
  <c r="B2534"/>
  <c r="B2578"/>
  <c r="B277"/>
  <c r="B2598"/>
  <c r="B258"/>
  <c r="B2533"/>
  <c r="B2474"/>
  <c r="B276"/>
  <c r="B2580"/>
  <c r="B2473"/>
  <c r="B259"/>
  <c r="B2596"/>
  <c r="B2579"/>
  <c r="B278"/>
  <c r="B2599"/>
  <c r="U10"/>
  <c r="V10"/>
  <c r="T10"/>
  <c r="I6" i="43"/>
  <c r="M2584" i="34"/>
  <c r="M2585"/>
  <c r="M2586"/>
  <c r="M2587"/>
  <c r="M2588"/>
  <c r="M2589"/>
  <c r="M2590"/>
  <c r="M2591"/>
  <c r="M2621"/>
  <c r="M2538"/>
  <c r="M2607"/>
  <c r="M2608"/>
  <c r="M2609"/>
  <c r="M2610"/>
  <c r="M2472"/>
  <c r="M2605"/>
  <c r="M2400"/>
  <c r="M2535"/>
  <c r="M255"/>
  <c r="H333" i="71" l="1"/>
  <c r="H334" s="1"/>
  <c r="H335" s="1"/>
  <c r="H336" s="1"/>
  <c r="H337" s="1"/>
  <c r="H338" s="1"/>
  <c r="H339" s="1"/>
  <c r="H340" s="1"/>
  <c r="H341" s="1"/>
  <c r="H342" s="1"/>
  <c r="H343" s="1"/>
  <c r="H344" s="1"/>
  <c r="H345" s="1"/>
  <c r="H346" s="1"/>
  <c r="H347" s="1"/>
  <c r="H348" s="1"/>
  <c r="H349" s="1"/>
  <c r="H350" s="1"/>
  <c r="H351" s="1"/>
  <c r="H352" s="1"/>
  <c r="H353" s="1"/>
  <c r="H354" s="1"/>
  <c r="I332"/>
  <c r="I333" s="1"/>
  <c r="I334" s="1"/>
  <c r="I335" s="1"/>
  <c r="I336" s="1"/>
  <c r="I337" s="1"/>
  <c r="I338" s="1"/>
  <c r="I339" s="1"/>
  <c r="I340" s="1"/>
  <c r="I341" s="1"/>
  <c r="I342" s="1"/>
  <c r="I343" s="1"/>
  <c r="I344" s="1"/>
  <c r="I345" s="1"/>
  <c r="I346" s="1"/>
  <c r="I347" s="1"/>
  <c r="I348" s="1"/>
  <c r="I349" s="1"/>
  <c r="I350" s="1"/>
  <c r="I351" s="1"/>
  <c r="I352" s="1"/>
  <c r="I353" s="1"/>
  <c r="A277" i="34"/>
  <c r="A2579"/>
  <c r="A2580"/>
  <c r="A2599"/>
  <c r="A2474"/>
  <c r="A258"/>
  <c r="A259"/>
  <c r="A2534"/>
  <c r="A276"/>
  <c r="A278"/>
  <c r="A2578"/>
  <c r="A2597"/>
  <c r="A2473"/>
  <c r="A2598"/>
  <c r="A2596"/>
  <c r="A2533"/>
  <c r="C397"/>
  <c r="C398"/>
  <c r="C399"/>
  <c r="C403"/>
  <c r="M397"/>
  <c r="M403"/>
  <c r="M399"/>
  <c r="M398"/>
  <c r="E35"/>
  <c r="E34"/>
  <c r="E33"/>
  <c r="E32"/>
  <c r="E31"/>
  <c r="K2600"/>
  <c r="M2600" s="1"/>
  <c r="E2600"/>
  <c r="K2399"/>
  <c r="E2399"/>
  <c r="H355" i="71" l="1"/>
  <c r="H356" s="1"/>
  <c r="I354"/>
  <c r="I355" s="1"/>
  <c r="I19" i="45" a="1"/>
  <c r="I19" s="1"/>
  <c r="K17" a="1"/>
  <c r="K17" s="1"/>
  <c r="I6" a="1"/>
  <c r="I6" s="1"/>
  <c r="K19" a="1"/>
  <c r="K19" s="1"/>
  <c r="I5" a="1"/>
  <c r="I5" s="1"/>
  <c r="K6" a="1"/>
  <c r="K6" s="1"/>
  <c r="I7" a="1"/>
  <c r="I7" s="1"/>
  <c r="K5" a="1"/>
  <c r="K5" s="1"/>
  <c r="I17" a="1"/>
  <c r="I17" s="1"/>
  <c r="K7" a="1"/>
  <c r="K7" s="1"/>
  <c r="G21" i="62" a="1"/>
  <c r="G21" s="1"/>
  <c r="I21" a="1"/>
  <c r="I21" s="1"/>
  <c r="B399" i="34"/>
  <c r="B398"/>
  <c r="B403"/>
  <c r="B397"/>
  <c r="M2399"/>
  <c r="G20" i="62" a="1"/>
  <c r="G20" s="1"/>
  <c r="I20" a="1"/>
  <c r="I20" s="1"/>
  <c r="K4648"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H357" i="71" l="1"/>
  <c r="H358" s="1"/>
  <c r="I356"/>
  <c r="I357" s="1"/>
  <c r="O13" i="45"/>
  <c r="O7"/>
  <c r="O5"/>
  <c r="O6"/>
  <c r="O19"/>
  <c r="M17"/>
  <c r="O10"/>
  <c r="M7"/>
  <c r="M6"/>
  <c r="O17"/>
  <c r="M5"/>
  <c r="M19"/>
  <c r="O11"/>
  <c r="O18"/>
  <c r="O14"/>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H359" i="71" l="1"/>
  <c r="H360" s="1"/>
  <c r="I358"/>
  <c r="I359" s="1"/>
  <c r="C2441" i="34"/>
  <c r="C2447"/>
  <c r="C2470"/>
  <c r="C2516"/>
  <c r="C2404"/>
  <c r="A4" i="12"/>
  <c r="C1235" i="34"/>
  <c r="M1165"/>
  <c r="C1165"/>
  <c r="M1238"/>
  <c r="C1238"/>
  <c r="M1164"/>
  <c r="C1164"/>
  <c r="M1163"/>
  <c r="C1163"/>
  <c r="M1162"/>
  <c r="C1162"/>
  <c r="M1161"/>
  <c r="C1161"/>
  <c r="M1160"/>
  <c r="C1160"/>
  <c r="M1159"/>
  <c r="C1159"/>
  <c r="M1158"/>
  <c r="C1158"/>
  <c r="M1157"/>
  <c r="C1157"/>
  <c r="M1156"/>
  <c r="C1156"/>
  <c r="M1155"/>
  <c r="C1155"/>
  <c r="C1185"/>
  <c r="C1166"/>
  <c r="C1234"/>
  <c r="C1184"/>
  <c r="C1192"/>
  <c r="C1262"/>
  <c r="C1183"/>
  <c r="C1186"/>
  <c r="H361" i="71" l="1"/>
  <c r="H362" s="1"/>
  <c r="I360"/>
  <c r="I361" s="1"/>
  <c r="B1192" i="34"/>
  <c r="B1185"/>
  <c r="B2516"/>
  <c r="B1186"/>
  <c r="B1184"/>
  <c r="B1155"/>
  <c r="B1157"/>
  <c r="B1159"/>
  <c r="B1161"/>
  <c r="B1163"/>
  <c r="B1238"/>
  <c r="B1235"/>
  <c r="B2470"/>
  <c r="B1183"/>
  <c r="B1234"/>
  <c r="B2447"/>
  <c r="B1262"/>
  <c r="B1166"/>
  <c r="B1156"/>
  <c r="B1158"/>
  <c r="B1160"/>
  <c r="B1162"/>
  <c r="B1164"/>
  <c r="B1165"/>
  <c r="B2404"/>
  <c r="B2441"/>
  <c r="G59" i="55" a="1"/>
  <c r="G59" s="1"/>
  <c r="G61" a="1"/>
  <c r="G61" s="1"/>
  <c r="G62" a="1"/>
  <c r="G62" s="1"/>
  <c r="G63" a="1"/>
  <c r="G63" s="1"/>
  <c r="G79" a="1"/>
  <c r="G79" s="1"/>
  <c r="G80" a="1"/>
  <c r="G80" s="1"/>
  <c r="M1147" i="34"/>
  <c r="M1148"/>
  <c r="M1150"/>
  <c r="M1152"/>
  <c r="C1134"/>
  <c r="C1135"/>
  <c r="C1136"/>
  <c r="C1137"/>
  <c r="C1138"/>
  <c r="C1139"/>
  <c r="C1140"/>
  <c r="C1141"/>
  <c r="C1142"/>
  <c r="C1143"/>
  <c r="C1133"/>
  <c r="M1134"/>
  <c r="M1135"/>
  <c r="M1136"/>
  <c r="M1137"/>
  <c r="M1138"/>
  <c r="M1139"/>
  <c r="M1140"/>
  <c r="M1141"/>
  <c r="M1142"/>
  <c r="M1133"/>
  <c r="M1143"/>
  <c r="M734"/>
  <c r="C734"/>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H363" i="71" l="1"/>
  <c r="H364" s="1"/>
  <c r="I362"/>
  <c r="I363" s="1"/>
  <c r="V24" i="60"/>
  <c r="L29"/>
  <c r="V41"/>
  <c r="B1143" i="34"/>
  <c r="B1139"/>
  <c r="B1135"/>
  <c r="B1148"/>
  <c r="B1142"/>
  <c r="B1138"/>
  <c r="B1134"/>
  <c r="B1147"/>
  <c r="B734"/>
  <c r="B1141"/>
  <c r="B1137"/>
  <c r="B1152"/>
  <c r="B1133"/>
  <c r="B1140"/>
  <c r="B1136"/>
  <c r="B1150"/>
  <c r="A1192"/>
  <c r="A2516"/>
  <c r="A2441"/>
  <c r="A1234"/>
  <c r="A2447"/>
  <c r="A1186"/>
  <c r="A1185"/>
  <c r="A1262"/>
  <c r="A1166"/>
  <c r="A2404"/>
  <c r="A1183"/>
  <c r="A1235"/>
  <c r="A1184"/>
  <c r="A2470"/>
  <c r="A1164"/>
  <c r="A1160"/>
  <c r="A1163"/>
  <c r="A1159"/>
  <c r="A1155"/>
  <c r="A1238"/>
  <c r="A1165"/>
  <c r="A1162"/>
  <c r="A1156"/>
  <c r="A1161"/>
  <c r="A1157"/>
  <c r="A1158"/>
  <c r="L7" i="60"/>
  <c r="L9"/>
  <c r="L8"/>
  <c r="V38"/>
  <c r="V17"/>
  <c r="K26" i="55"/>
  <c r="K25"/>
  <c r="K24"/>
  <c r="K21"/>
  <c r="I364" i="71" l="1"/>
  <c r="I365" s="1"/>
  <c r="A1147" i="34"/>
  <c r="A1148"/>
  <c r="A1139"/>
  <c r="A1140"/>
  <c r="A1152"/>
  <c r="A1141"/>
  <c r="A1138"/>
  <c r="A1150"/>
  <c r="A1137"/>
  <c r="A734"/>
  <c r="A1134"/>
  <c r="A1142"/>
  <c r="A1135"/>
  <c r="A1143"/>
  <c r="A1136"/>
  <c r="A1133"/>
  <c r="M22"/>
  <c r="M20"/>
  <c r="M21"/>
  <c r="M18"/>
  <c r="M19"/>
  <c r="H365" i="71" l="1"/>
  <c r="H366" s="1"/>
  <c r="C16" i="34"/>
  <c r="C17"/>
  <c r="C23"/>
  <c r="C18"/>
  <c r="C19"/>
  <c r="C20"/>
  <c r="C21"/>
  <c r="C22"/>
  <c r="C10"/>
  <c r="E247"/>
  <c r="H367" i="71" l="1"/>
  <c r="H368" s="1"/>
  <c r="I366"/>
  <c r="I367" s="1"/>
  <c r="AD10" i="34"/>
  <c r="F21" i="68"/>
  <c r="B20" i="34"/>
  <c r="B21"/>
  <c r="B23"/>
  <c r="B19"/>
  <c r="B22"/>
  <c r="B18"/>
  <c r="G7" i="57"/>
  <c r="D102" i="12"/>
  <c r="H369" i="71" l="1"/>
  <c r="H370" s="1"/>
  <c r="I368"/>
  <c r="I369" s="1"/>
  <c r="G21" i="68"/>
  <c r="A19" i="34"/>
  <c r="A22"/>
  <c r="A21"/>
  <c r="A18"/>
  <c r="A20"/>
  <c r="I182" i="42"/>
  <c r="G129" i="43"/>
  <c r="H371" i="71" l="1"/>
  <c r="H372" s="1"/>
  <c r="H373" s="1"/>
  <c r="I370"/>
  <c r="I371" s="1"/>
  <c r="I372" s="1"/>
  <c r="H21" i="68"/>
  <c r="F22" s="1"/>
  <c r="G22" s="1"/>
  <c r="H22" s="1"/>
  <c r="F23" s="1"/>
  <c r="G23" s="1"/>
  <c r="H23" s="1"/>
  <c r="F24" s="1"/>
  <c r="T9" i="43"/>
  <c r="T8"/>
  <c r="H374" i="71" l="1"/>
  <c r="H375" s="1"/>
  <c r="I373"/>
  <c r="I374" s="1"/>
  <c r="G24" i="68"/>
  <c r="H24" s="1"/>
  <c r="F25" s="1"/>
  <c r="D77" i="15"/>
  <c r="C77"/>
  <c r="C23"/>
  <c r="D23"/>
  <c r="C35"/>
  <c r="D35"/>
  <c r="D32"/>
  <c r="C32"/>
  <c r="C53"/>
  <c r="D53"/>
  <c r="H376" i="71" l="1"/>
  <c r="H377" s="1"/>
  <c r="I375"/>
  <c r="I376" s="1"/>
  <c r="G25" i="68"/>
  <c r="H25" s="1"/>
  <c r="F26" s="1"/>
  <c r="G26" s="1"/>
  <c r="H26" s="1"/>
  <c r="F27" s="1"/>
  <c r="G27" s="1"/>
  <c r="H27" s="1"/>
  <c r="F28" s="1"/>
  <c r="G28" s="1"/>
  <c r="H28" s="1"/>
  <c r="D58" i="15"/>
  <c r="H378" i="71" l="1"/>
  <c r="H379" s="1"/>
  <c r="I377"/>
  <c r="I378" s="1"/>
  <c r="G30" i="68"/>
  <c r="L2489" i="34"/>
  <c r="H380" i="71" l="1"/>
  <c r="H381" s="1"/>
  <c r="I379"/>
  <c r="I380" s="1"/>
  <c r="I40" i="45" a="1"/>
  <c r="I40" s="1"/>
  <c r="K40" a="1"/>
  <c r="K40" s="1"/>
  <c r="I48" a="1"/>
  <c r="I48" s="1"/>
  <c r="K48" a="1"/>
  <c r="K48" s="1"/>
  <c r="I41" a="1"/>
  <c r="I41" s="1"/>
  <c r="K41" a="1"/>
  <c r="K41" s="1"/>
  <c r="I42" a="1"/>
  <c r="I42" s="1"/>
  <c r="K42" a="1"/>
  <c r="K42" s="1"/>
  <c r="I381" i="71" l="1"/>
  <c r="I382" s="1"/>
  <c r="O41" i="45"/>
  <c r="O40"/>
  <c r="O42"/>
  <c r="O48"/>
  <c r="M42"/>
  <c r="M41"/>
  <c r="M48"/>
  <c r="M40"/>
  <c r="I37" a="1"/>
  <c r="I37" s="1"/>
  <c r="K37" a="1"/>
  <c r="K37" s="1"/>
  <c r="H382" i="71" l="1"/>
  <c r="H383" s="1"/>
  <c r="M37" i="45"/>
  <c r="O37"/>
  <c r="H384" i="71" l="1"/>
  <c r="H385" s="1"/>
  <c r="I383"/>
  <c r="I384" s="1"/>
  <c r="E16" i="6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C7"/>
  <c r="D5"/>
  <c r="F120" i="55"/>
  <c r="F121"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97" i="63"/>
  <c r="F22" i="62"/>
  <c r="E22"/>
  <c r="D22"/>
  <c r="D24" s="1"/>
  <c r="C22"/>
  <c r="I9" a="1"/>
  <c r="I9" s="1"/>
  <c r="G9" a="1"/>
  <c r="G9" s="1"/>
  <c r="I8" a="1"/>
  <c r="I8" s="1"/>
  <c r="G8" a="1"/>
  <c r="G8" s="1"/>
  <c r="I7" a="1"/>
  <c r="I7" s="1"/>
  <c r="G7" a="1"/>
  <c r="G7" s="1"/>
  <c r="I6" a="1"/>
  <c r="I6" s="1"/>
  <c r="G6" a="1"/>
  <c r="G6" s="1"/>
  <c r="I5" a="1"/>
  <c r="I5" s="1"/>
  <c r="G5" a="1"/>
  <c r="G5" s="1"/>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492" i="34"/>
  <c r="M2491"/>
  <c r="M2401"/>
  <c r="M2375"/>
  <c r="M2490"/>
  <c r="M2488"/>
  <c r="M2475"/>
  <c r="M2462"/>
  <c r="M2461"/>
  <c r="M2459"/>
  <c r="M2458"/>
  <c r="M2416"/>
  <c r="M2406"/>
  <c r="M2405"/>
  <c r="M2387"/>
  <c r="M2386"/>
  <c r="M2385"/>
  <c r="M2384"/>
  <c r="M249"/>
  <c r="M252"/>
  <c r="M256"/>
  <c r="M2457"/>
  <c r="M2456"/>
  <c r="M2415"/>
  <c r="M395"/>
  <c r="C395"/>
  <c r="M394"/>
  <c r="C394"/>
  <c r="M393"/>
  <c r="C393"/>
  <c r="M392"/>
  <c r="C392"/>
  <c r="M391"/>
  <c r="M390"/>
  <c r="M1154"/>
  <c r="M1153"/>
  <c r="M1151"/>
  <c r="M1149"/>
  <c r="M1146"/>
  <c r="M1145"/>
  <c r="M736"/>
  <c r="C736"/>
  <c r="M735"/>
  <c r="C735"/>
  <c r="M733"/>
  <c r="C733"/>
  <c r="M732"/>
  <c r="C732"/>
  <c r="M731"/>
  <c r="C731"/>
  <c r="C730"/>
  <c r="M729"/>
  <c r="C729"/>
  <c r="M728"/>
  <c r="C728"/>
  <c r="M727"/>
  <c r="C727"/>
  <c r="M726"/>
  <c r="C726"/>
  <c r="M725"/>
  <c r="C725"/>
  <c r="M724"/>
  <c r="C724"/>
  <c r="C723"/>
  <c r="C722"/>
  <c r="C748"/>
  <c r="C721"/>
  <c r="C719"/>
  <c r="C718"/>
  <c r="C717"/>
  <c r="C716"/>
  <c r="C715"/>
  <c r="C714"/>
  <c r="C713"/>
  <c r="C712"/>
  <c r="C711"/>
  <c r="C710"/>
  <c r="C709"/>
  <c r="C708"/>
  <c r="M254"/>
  <c r="C254"/>
  <c r="M253"/>
  <c r="C253"/>
  <c r="M2471"/>
  <c r="C2471"/>
  <c r="M311"/>
  <c r="C311"/>
  <c r="M272"/>
  <c r="C272"/>
  <c r="E30"/>
  <c r="E29"/>
  <c r="E28"/>
  <c r="E248"/>
  <c r="B17"/>
  <c r="B16"/>
  <c r="B15"/>
  <c r="B14"/>
  <c r="B11"/>
  <c r="AC10"/>
  <c r="AA10"/>
  <c r="Y10"/>
  <c r="W10"/>
  <c r="P10"/>
  <c r="B10"/>
  <c r="A10" s="1"/>
  <c r="X7"/>
  <c r="D56" i="15"/>
  <c r="D75" s="1"/>
  <c r="C56"/>
  <c r="C75" s="1"/>
  <c r="H12" i="61"/>
  <c r="C12"/>
  <c r="I385" i="71" l="1"/>
  <c r="I386" s="1"/>
  <c r="X4644" i="34"/>
  <c r="X4643"/>
  <c r="AA4643"/>
  <c r="AA4644"/>
  <c r="G2" i="56"/>
  <c r="A11"/>
  <c r="F33"/>
  <c r="F32"/>
  <c r="A10"/>
  <c r="F39"/>
  <c r="H33"/>
  <c r="V80" i="60"/>
  <c r="V163"/>
  <c r="V136"/>
  <c r="V62"/>
  <c r="V105"/>
  <c r="D244"/>
  <c r="G239"/>
  <c r="G270"/>
  <c r="D275"/>
  <c r="H269" s="1"/>
  <c r="L169"/>
  <c r="L176" s="1"/>
  <c r="V186"/>
  <c r="V317"/>
  <c r="I318" s="1"/>
  <c r="H304"/>
  <c r="B80" i="55"/>
  <c r="A80" s="1"/>
  <c r="A79"/>
  <c r="AA4646" i="34"/>
  <c r="AA4645"/>
  <c r="I22" i="62"/>
  <c r="X4645" i="34"/>
  <c r="X4646"/>
  <c r="B272"/>
  <c r="B2471"/>
  <c r="B254"/>
  <c r="B710"/>
  <c r="B714"/>
  <c r="B718"/>
  <c r="B722"/>
  <c r="B725"/>
  <c r="B727"/>
  <c r="B729"/>
  <c r="B711"/>
  <c r="B715"/>
  <c r="B719"/>
  <c r="B723"/>
  <c r="B732"/>
  <c r="B735"/>
  <c r="B1145"/>
  <c r="B1149"/>
  <c r="B1153"/>
  <c r="B393"/>
  <c r="B395"/>
  <c r="B311"/>
  <c r="B253"/>
  <c r="B708"/>
  <c r="B712"/>
  <c r="B716"/>
  <c r="B721"/>
  <c r="B724"/>
  <c r="B726"/>
  <c r="B728"/>
  <c r="B730"/>
  <c r="B709"/>
  <c r="B713"/>
  <c r="B717"/>
  <c r="B748"/>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B82" s="1"/>
  <c r="B83" s="1"/>
  <c r="B84" s="1"/>
  <c r="B59"/>
  <c r="D52" i="60"/>
  <c r="G141"/>
  <c r="H239"/>
  <c r="G86"/>
  <c r="D210"/>
  <c r="D72"/>
  <c r="G111"/>
  <c r="H29"/>
  <c r="H30"/>
  <c r="K29"/>
  <c r="J29"/>
  <c r="K30"/>
  <c r="J30"/>
  <c r="I29"/>
  <c r="I30"/>
  <c r="K8"/>
  <c r="H7"/>
  <c r="K9"/>
  <c r="I8"/>
  <c r="K7"/>
  <c r="J9"/>
  <c r="H8"/>
  <c r="J7"/>
  <c r="I9"/>
  <c r="I7"/>
  <c r="H9"/>
  <c r="J8"/>
  <c r="I120" i="55"/>
  <c r="S10" i="34"/>
  <c r="R10"/>
  <c r="Q10"/>
  <c r="X10"/>
  <c r="M7" i="62"/>
  <c r="K91" i="55"/>
  <c r="K17"/>
  <c r="K30"/>
  <c r="K81"/>
  <c r="K28"/>
  <c r="K42"/>
  <c r="K14"/>
  <c r="K16"/>
  <c r="K19"/>
  <c r="K20"/>
  <c r="K27"/>
  <c r="K34"/>
  <c r="K35"/>
  <c r="K86"/>
  <c r="K59"/>
  <c r="K61"/>
  <c r="K83"/>
  <c r="K84"/>
  <c r="K9" i="62"/>
  <c r="I56" i="55"/>
  <c r="K13"/>
  <c r="K18"/>
  <c r="K29"/>
  <c r="K37"/>
  <c r="K62"/>
  <c r="K63"/>
  <c r="K85"/>
  <c r="K79"/>
  <c r="G120"/>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F12"/>
  <c r="E12"/>
  <c r="D12"/>
  <c r="G12"/>
  <c r="H386" i="71" l="1"/>
  <c r="H387" s="1"/>
  <c r="I387"/>
  <c r="I388" s="1"/>
  <c r="I269" i="60"/>
  <c r="A81" i="55"/>
  <c r="A82"/>
  <c r="N9" i="60"/>
  <c r="N7"/>
  <c r="I303"/>
  <c r="I315"/>
  <c r="N315" s="1"/>
  <c r="P315" s="1"/>
  <c r="I316"/>
  <c r="N316" s="1"/>
  <c r="P316" s="1"/>
  <c r="I309"/>
  <c r="I310"/>
  <c r="I311"/>
  <c r="I312"/>
  <c r="I313"/>
  <c r="N313" s="1"/>
  <c r="P313" s="1"/>
  <c r="I314"/>
  <c r="N314" s="1"/>
  <c r="P314" s="1"/>
  <c r="N8"/>
  <c r="B60" i="55"/>
  <c r="A59"/>
  <c r="N303" i="60"/>
  <c r="K304"/>
  <c r="H305"/>
  <c r="H309"/>
  <c r="J304"/>
  <c r="H306"/>
  <c r="H310"/>
  <c r="I304"/>
  <c r="H307"/>
  <c r="H311"/>
  <c r="H308"/>
  <c r="H312"/>
  <c r="J307"/>
  <c r="I308"/>
  <c r="J302"/>
  <c r="I302"/>
  <c r="J308"/>
  <c r="K302"/>
  <c r="I305"/>
  <c r="I306"/>
  <c r="J309"/>
  <c r="J305"/>
  <c r="J306"/>
  <c r="I307"/>
  <c r="A2471" i="34"/>
  <c r="A254"/>
  <c r="A272"/>
  <c r="A311"/>
  <c r="A253"/>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48"/>
  <c r="A713"/>
  <c r="A730"/>
  <c r="A721"/>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A83" i="55"/>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20"/>
  <c r="M22" i="62"/>
  <c r="M56" i="45"/>
  <c r="O56"/>
  <c r="B13" i="61"/>
  <c r="H388" i="71" l="1"/>
  <c r="H389" s="1"/>
  <c r="I389"/>
  <c r="I390" s="1"/>
  <c r="N312" i="60"/>
  <c r="P312" s="1"/>
  <c r="N11"/>
  <c r="N269"/>
  <c r="B61" i="55"/>
  <c r="A60"/>
  <c r="P303" i="60"/>
  <c r="N311"/>
  <c r="P311" s="1"/>
  <c r="N302"/>
  <c r="N304"/>
  <c r="P304" s="1"/>
  <c r="N307"/>
  <c r="P307" s="1"/>
  <c r="N305"/>
  <c r="P305" s="1"/>
  <c r="P301"/>
  <c r="N310"/>
  <c r="P310" s="1"/>
  <c r="N306"/>
  <c r="P306" s="1"/>
  <c r="N308"/>
  <c r="P308" s="1"/>
  <c r="N309"/>
  <c r="P309" s="1"/>
  <c r="N273"/>
  <c r="P273" s="1"/>
  <c r="N203"/>
  <c r="P203" s="1"/>
  <c r="N141"/>
  <c r="N240"/>
  <c r="P240" s="1"/>
  <c r="N239"/>
  <c r="N202"/>
  <c r="P202" s="1"/>
  <c r="N272"/>
  <c r="P272" s="1"/>
  <c r="N271"/>
  <c r="P271" s="1"/>
  <c r="N270"/>
  <c r="P270" s="1"/>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A84" i="55"/>
  <c r="N208" i="60"/>
  <c r="P208" s="1"/>
  <c r="P29"/>
  <c r="F47" s="1"/>
  <c r="G47" s="1"/>
  <c r="N47" s="1"/>
  <c r="N32"/>
  <c r="P9"/>
  <c r="B14" i="61"/>
  <c r="H390" i="71" l="1"/>
  <c r="H391" s="1"/>
  <c r="N318" i="60"/>
  <c r="N327" s="1"/>
  <c r="N244"/>
  <c r="P302"/>
  <c r="N275"/>
  <c r="B62" i="55"/>
  <c r="A61"/>
  <c r="P269" i="60"/>
  <c r="P239"/>
  <c r="G72"/>
  <c r="N68"/>
  <c r="P68" s="1"/>
  <c r="B85" i="55"/>
  <c r="A85" s="1"/>
  <c r="N150" i="60"/>
  <c r="N210"/>
  <c r="G52"/>
  <c r="I391" i="71" l="1"/>
  <c r="I392" s="1"/>
  <c r="B63" i="55"/>
  <c r="A62"/>
  <c r="N72" i="60"/>
  <c r="B86" i="55"/>
  <c r="A86" s="1"/>
  <c r="P47" i="60"/>
  <c r="N52"/>
  <c r="H392" i="71" l="1"/>
  <c r="H393" s="1"/>
  <c r="B64" i="55"/>
  <c r="A63"/>
  <c r="B87"/>
  <c r="A87" s="1"/>
  <c r="I393" i="71" l="1"/>
  <c r="I394" s="1"/>
  <c r="B65" i="55"/>
  <c r="A64"/>
  <c r="B88"/>
  <c r="H394" i="71" l="1"/>
  <c r="H395" s="1"/>
  <c r="B66" i="55"/>
  <c r="A65"/>
  <c r="B89"/>
  <c r="A89" s="1"/>
  <c r="A88"/>
  <c r="I395" i="71" l="1"/>
  <c r="I396" s="1"/>
  <c r="B67" i="55"/>
  <c r="A66"/>
  <c r="H396" i="71" l="1"/>
  <c r="H397" s="1"/>
  <c r="B68" i="55"/>
  <c r="A67"/>
  <c r="B90"/>
  <c r="A90" s="1"/>
  <c r="I397" i="71" l="1"/>
  <c r="I398" s="1"/>
  <c r="A68" i="55"/>
  <c r="B69"/>
  <c r="B91"/>
  <c r="A91" s="1"/>
  <c r="H398" i="71" l="1"/>
  <c r="H399" s="1"/>
  <c r="A69" i="55"/>
  <c r="B70"/>
  <c r="B92"/>
  <c r="A92" s="1"/>
  <c r="I399" i="71" l="1"/>
  <c r="I400" s="1"/>
  <c r="B71" i="55"/>
  <c r="A70"/>
  <c r="M2606" i="34"/>
  <c r="H400" i="71" l="1"/>
  <c r="H401" s="1"/>
  <c r="A71" i="55"/>
  <c r="B72"/>
  <c r="E3405" i="34"/>
  <c r="I401" i="71" l="1"/>
  <c r="I402" s="1"/>
  <c r="A72" i="55"/>
  <c r="B73"/>
  <c r="A3405" i="34"/>
  <c r="H402" i="71" l="1"/>
  <c r="H403" s="1"/>
  <c r="A73" i="55"/>
  <c r="B74"/>
  <c r="M3679" i="34"/>
  <c r="I403" i="71" l="1"/>
  <c r="I404" s="1"/>
  <c r="A74" i="55"/>
  <c r="B75"/>
  <c r="A75" s="1"/>
  <c r="B93"/>
  <c r="A93" s="1"/>
  <c r="H404" i="71" l="1"/>
  <c r="H405" s="1"/>
  <c r="B94" i="55"/>
  <c r="A94" s="1"/>
  <c r="I405" i="71" l="1"/>
  <c r="I406" s="1"/>
  <c r="B95" i="55"/>
  <c r="A95" s="1"/>
  <c r="H406" i="71" l="1"/>
  <c r="H407" s="1"/>
  <c r="B96" i="55"/>
  <c r="A96" s="1"/>
  <c r="I407" i="71" l="1"/>
  <c r="I408" s="1"/>
  <c r="B97" i="55"/>
  <c r="A97" s="1"/>
  <c r="H408" i="71" l="1"/>
  <c r="H409" s="1"/>
  <c r="B98" i="55"/>
  <c r="A98" s="1"/>
  <c r="I409" i="71" l="1"/>
  <c r="I410" s="1"/>
  <c r="B99" i="55"/>
  <c r="A99" s="1"/>
  <c r="H410" i="71" l="1"/>
  <c r="H411" s="1"/>
  <c r="B100" i="55"/>
  <c r="A100" s="1"/>
  <c r="I411" i="71" l="1"/>
  <c r="I412" s="1"/>
  <c r="B101" i="55"/>
  <c r="A101" s="1"/>
  <c r="H412" i="71" l="1"/>
  <c r="H413" s="1"/>
  <c r="B102" i="55"/>
  <c r="A102" s="1"/>
  <c r="H414" i="71" l="1"/>
  <c r="H415" s="1"/>
  <c r="I413"/>
  <c r="I414" s="1"/>
  <c r="B103" i="55"/>
  <c r="A103" s="1"/>
  <c r="I415" i="71" l="1"/>
  <c r="I416" s="1"/>
  <c r="B104" i="55"/>
  <c r="A104" s="1"/>
  <c r="H416" i="71" l="1"/>
  <c r="H417" s="1"/>
  <c r="B105" i="55"/>
  <c r="A105" s="1"/>
  <c r="I417" i="71" l="1"/>
  <c r="I418" s="1"/>
  <c r="B106" i="55"/>
  <c r="A106" s="1"/>
  <c r="H418" i="71" l="1"/>
  <c r="H419" s="1"/>
  <c r="B107" i="55"/>
  <c r="A107" s="1"/>
  <c r="I419" i="71" l="1"/>
  <c r="I420" s="1"/>
  <c r="B108" i="55"/>
  <c r="A108" s="1"/>
  <c r="J87" i="60"/>
  <c r="J89"/>
  <c r="J91"/>
  <c r="J90"/>
  <c r="J88"/>
  <c r="J86"/>
  <c r="K91"/>
  <c r="K87"/>
  <c r="K89"/>
  <c r="K88"/>
  <c r="K90"/>
  <c r="I87"/>
  <c r="I89"/>
  <c r="I88"/>
  <c r="I90"/>
  <c r="I91"/>
  <c r="H90"/>
  <c r="H87"/>
  <c r="H88"/>
  <c r="H89"/>
  <c r="I86"/>
  <c r="H86"/>
  <c r="H91"/>
  <c r="K86"/>
  <c r="H420" i="71" l="1"/>
  <c r="H421" s="1"/>
  <c r="B109" i="55"/>
  <c r="A109" s="1"/>
  <c r="N90" i="60"/>
  <c r="P90" s="1"/>
  <c r="N91"/>
  <c r="P91" s="1"/>
  <c r="N86"/>
  <c r="N87"/>
  <c r="P87" s="1"/>
  <c r="N89"/>
  <c r="P89" s="1"/>
  <c r="N88"/>
  <c r="P88" s="1"/>
  <c r="I421" i="71" l="1"/>
  <c r="I422" s="1"/>
  <c r="P86" i="60"/>
  <c r="N93"/>
  <c r="B110" i="55"/>
  <c r="A110" s="1"/>
  <c r="D125" i="60"/>
  <c r="D127" s="1"/>
  <c r="H422" i="71" l="1"/>
  <c r="H423" s="1"/>
  <c r="B111" i="55"/>
  <c r="A111"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I423" i="71" l="1"/>
  <c r="I424" s="1"/>
  <c r="B112" i="55"/>
  <c r="A112"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H424" i="71" l="1"/>
  <c r="H425" s="1"/>
  <c r="B113" i="55"/>
  <c r="A113" s="1"/>
  <c r="N127" i="60"/>
  <c r="I425" i="71" l="1"/>
  <c r="I426" s="1"/>
  <c r="N321" i="60"/>
  <c r="N324" s="1"/>
  <c r="B114" i="55"/>
  <c r="A114" s="1"/>
  <c r="H426" i="71" l="1"/>
  <c r="H427" s="1"/>
  <c r="B115" i="55"/>
  <c r="A115" s="1"/>
  <c r="I427" i="71" l="1"/>
  <c r="I428" s="1"/>
  <c r="B116" i="55"/>
  <c r="A116" s="1"/>
  <c r="H428" i="71" l="1"/>
  <c r="H429" s="1"/>
  <c r="B117" i="55"/>
  <c r="A117" s="1"/>
  <c r="I429" i="71" l="1"/>
  <c r="I430" s="1"/>
  <c r="B118" i="55"/>
  <c r="A118" s="1"/>
  <c r="H430" i="71" l="1"/>
  <c r="H431" s="1"/>
  <c r="E2675" i="34"/>
  <c r="E2880"/>
  <c r="E2881"/>
  <c r="E2931"/>
  <c r="E2839"/>
  <c r="E2838"/>
  <c r="E2723"/>
  <c r="E2654"/>
  <c r="I431" i="71" l="1"/>
  <c r="I432" s="1"/>
  <c r="A307" i="34"/>
  <c r="A310"/>
  <c r="A308"/>
  <c r="A309"/>
  <c r="H432" i="71" l="1"/>
  <c r="H433" s="1"/>
  <c r="A2156" i="34"/>
  <c r="I433" i="71" l="1"/>
  <c r="I434" s="1"/>
  <c r="A2148" i="34"/>
  <c r="A2149"/>
  <c r="A2157"/>
  <c r="H434" i="71" l="1"/>
  <c r="H435" s="1"/>
  <c r="C576" i="34"/>
  <c r="I435" i="71" l="1"/>
  <c r="I436" s="1"/>
  <c r="B576" i="34"/>
  <c r="H436" i="71" l="1"/>
  <c r="H437" s="1"/>
  <c r="A576" i="34"/>
  <c r="A528"/>
  <c r="I437" i="71" l="1"/>
  <c r="I438" s="1"/>
  <c r="C391" i="34"/>
  <c r="H438" i="71" l="1"/>
  <c r="H439" s="1"/>
  <c r="B391" i="34"/>
  <c r="I439" i="71" l="1"/>
  <c r="I440" s="1"/>
  <c r="A391" i="34"/>
  <c r="C390"/>
  <c r="C389"/>
  <c r="H440" i="71" l="1"/>
  <c r="H441" s="1"/>
  <c r="B389" i="34"/>
  <c r="B390"/>
  <c r="I441" i="71" l="1"/>
  <c r="I442" s="1"/>
  <c r="A389" i="34"/>
  <c r="A390"/>
  <c r="H442" i="71" l="1"/>
  <c r="H443" s="1"/>
  <c r="M975" i="34"/>
  <c r="M976"/>
  <c r="M983"/>
  <c r="M985"/>
  <c r="M986"/>
  <c r="M971"/>
  <c r="I443" i="71" l="1"/>
  <c r="I444" s="1"/>
  <c r="F74" i="15" a="1"/>
  <c r="F74" s="1"/>
  <c r="F60" a="1"/>
  <c r="F60" s="1"/>
  <c r="E60" a="1"/>
  <c r="E60" s="1"/>
  <c r="H444" i="71" l="1"/>
  <c r="H445" s="1"/>
  <c r="G60" i="15"/>
  <c r="H60"/>
  <c r="I445" i="71" l="1"/>
  <c r="I446" s="1"/>
  <c r="H11" i="43"/>
  <c r="H446" i="71" l="1"/>
  <c r="H447" s="1"/>
  <c r="B557" i="34"/>
  <c r="I447" i="71" l="1"/>
  <c r="I448" s="1"/>
  <c r="A557" i="34"/>
  <c r="B558"/>
  <c r="H448" i="71" l="1"/>
  <c r="H449" s="1"/>
  <c r="A558" i="34"/>
  <c r="B596"/>
  <c r="B595"/>
  <c r="B4250"/>
  <c r="B612"/>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I449" i="71" l="1"/>
  <c r="I450" s="1"/>
  <c r="A654" i="34"/>
  <c r="A638"/>
  <c r="A653"/>
  <c r="A648"/>
  <c r="A663"/>
  <c r="A563"/>
  <c r="A647"/>
  <c r="A649"/>
  <c r="A560"/>
  <c r="A646"/>
  <c r="A641"/>
  <c r="A662"/>
  <c r="A659"/>
  <c r="A559"/>
  <c r="A657"/>
  <c r="A642"/>
  <c r="A650"/>
  <c r="A658"/>
  <c r="A637"/>
  <c r="A643"/>
  <c r="A564"/>
  <c r="A640"/>
  <c r="A651"/>
  <c r="A636"/>
  <c r="A644"/>
  <c r="A656"/>
  <c r="A652"/>
  <c r="A639"/>
  <c r="A635"/>
  <c r="A655"/>
  <c r="A661"/>
  <c r="A572"/>
  <c r="A595"/>
  <c r="A596"/>
  <c r="A565"/>
  <c r="A665"/>
  <c r="A645"/>
  <c r="A664"/>
  <c r="A660"/>
  <c r="A561"/>
  <c r="A562"/>
  <c r="A612"/>
  <c r="A4250"/>
  <c r="B632"/>
  <c r="B634"/>
  <c r="B689"/>
  <c r="B684"/>
  <c r="B688"/>
  <c r="B687"/>
  <c r="B685"/>
  <c r="B671"/>
  <c r="B681"/>
  <c r="B679"/>
  <c r="B670"/>
  <c r="B678"/>
  <c r="B680"/>
  <c r="B672"/>
  <c r="B676"/>
  <c r="B682"/>
  <c r="B667"/>
  <c r="B673"/>
  <c r="B675"/>
  <c r="B690"/>
  <c r="B668"/>
  <c r="B677"/>
  <c r="B633"/>
  <c r="B691"/>
  <c r="B692"/>
  <c r="B686"/>
  <c r="B669"/>
  <c r="B666"/>
  <c r="H450" i="71" l="1"/>
  <c r="H451" s="1"/>
  <c r="A692" i="34"/>
  <c r="A668"/>
  <c r="A673"/>
  <c r="A666"/>
  <c r="A686"/>
  <c r="A691"/>
  <c r="A677"/>
  <c r="A682"/>
  <c r="A669"/>
  <c r="A680"/>
  <c r="A690"/>
  <c r="A678"/>
  <c r="A670"/>
  <c r="A679"/>
  <c r="A681"/>
  <c r="A671"/>
  <c r="A667"/>
  <c r="A685"/>
  <c r="A688"/>
  <c r="A684"/>
  <c r="A689"/>
  <c r="A675"/>
  <c r="A633"/>
  <c r="A632"/>
  <c r="A676"/>
  <c r="A672"/>
  <c r="A687"/>
  <c r="A634"/>
  <c r="B1555"/>
  <c r="B1498"/>
  <c r="B1552"/>
  <c r="E1521"/>
  <c r="B1521"/>
  <c r="B1571"/>
  <c r="B1507"/>
  <c r="B1556"/>
  <c r="E1556"/>
  <c r="B1559"/>
  <c r="B1558"/>
  <c r="B1581"/>
  <c r="B1514"/>
  <c r="B1551"/>
  <c r="B1501"/>
  <c r="E1501"/>
  <c r="B1493"/>
  <c r="B1500"/>
  <c r="B1496"/>
  <c r="E1496"/>
  <c r="B1520"/>
  <c r="B1565"/>
  <c r="B1516"/>
  <c r="B1509"/>
  <c r="B1560"/>
  <c r="B1562"/>
  <c r="B1582"/>
  <c r="B1553"/>
  <c r="E1553"/>
  <c r="B1577"/>
  <c r="E1493"/>
  <c r="E1520"/>
  <c r="E1500"/>
  <c r="E1514"/>
  <c r="E1562"/>
  <c r="E1498"/>
  <c r="E1516"/>
  <c r="E1555"/>
  <c r="E1551"/>
  <c r="E1560"/>
  <c r="E1507"/>
  <c r="E1582"/>
  <c r="E1558"/>
  <c r="E1552"/>
  <c r="E1509"/>
  <c r="E1571"/>
  <c r="E1559"/>
  <c r="E1581"/>
  <c r="E1577"/>
  <c r="E1565"/>
  <c r="E1506"/>
  <c r="B1506"/>
  <c r="I451" i="71" l="1"/>
  <c r="I452" s="1"/>
  <c r="A1582" i="34"/>
  <c r="A1520"/>
  <c r="A1501"/>
  <c r="A1577"/>
  <c r="A1521"/>
  <c r="A1493"/>
  <c r="A1500"/>
  <c r="A1496"/>
  <c r="A1565"/>
  <c r="A1559"/>
  <c r="A1516"/>
  <c r="A1509"/>
  <c r="A1560"/>
  <c r="A1562"/>
  <c r="A1553"/>
  <c r="A1506"/>
  <c r="A1555"/>
  <c r="A1498"/>
  <c r="A1552"/>
  <c r="A1571"/>
  <c r="A1507"/>
  <c r="A1556"/>
  <c r="A1558"/>
  <c r="A1581"/>
  <c r="A1514"/>
  <c r="A1551"/>
  <c r="H452" i="71" l="1"/>
  <c r="H453" s="1"/>
  <c r="M9" i="39"/>
  <c r="I13" i="42"/>
  <c r="C15" i="39"/>
  <c r="M8"/>
  <c r="C12"/>
  <c r="H5"/>
  <c r="M16" s="1"/>
  <c r="C10"/>
  <c r="I453" i="71" l="1"/>
  <c r="I454" s="1"/>
  <c r="K35" i="64"/>
  <c r="L18"/>
  <c r="L35" s="1"/>
  <c r="M4400" i="34"/>
  <c r="M4160"/>
  <c r="I455" i="71" l="1"/>
  <c r="I456" s="1"/>
  <c r="I457" s="1"/>
  <c r="I458" s="1"/>
  <c r="I459" s="1"/>
  <c r="I460" s="1"/>
  <c r="H454"/>
  <c r="H455" s="1"/>
  <c r="H456" s="1"/>
  <c r="H457" s="1"/>
  <c r="H458" s="1"/>
  <c r="H459" s="1"/>
  <c r="H460" s="1"/>
  <c r="H461" s="1"/>
  <c r="J82" i="55" a="1"/>
  <c r="J82" s="1"/>
  <c r="H82" a="1"/>
  <c r="H82" s="1"/>
  <c r="F95" i="12" a="1"/>
  <c r="F95" s="1"/>
  <c r="F99" a="1"/>
  <c r="F99" s="1"/>
  <c r="E93" a="1"/>
  <c r="E93" s="1"/>
  <c r="E97" a="1"/>
  <c r="E97" s="1"/>
  <c r="F94" a="1"/>
  <c r="F94" s="1"/>
  <c r="F98" a="1"/>
  <c r="F98" s="1"/>
  <c r="E92" a="1"/>
  <c r="E92" s="1"/>
  <c r="E96" a="1"/>
  <c r="E96" s="1"/>
  <c r="F93" a="1"/>
  <c r="F93" s="1"/>
  <c r="H93" s="1"/>
  <c r="F97" a="1"/>
  <c r="F97" s="1"/>
  <c r="H97" s="1"/>
  <c r="E95" a="1"/>
  <c r="E95" s="1"/>
  <c r="G95" s="1"/>
  <c r="E99" a="1"/>
  <c r="E99" s="1"/>
  <c r="G99" s="1"/>
  <c r="F92" a="1"/>
  <c r="F92" s="1"/>
  <c r="H92" s="1"/>
  <c r="F96" a="1"/>
  <c r="F96" s="1"/>
  <c r="H96" s="1"/>
  <c r="E94" a="1"/>
  <c r="E94" s="1"/>
  <c r="G94" s="1"/>
  <c r="E98" a="1"/>
  <c r="E98" s="1"/>
  <c r="G98" s="1"/>
  <c r="E5" a="1"/>
  <c r="E5" s="1"/>
  <c r="F5" a="1"/>
  <c r="F5" s="1"/>
  <c r="E62" i="15" a="1"/>
  <c r="E62" s="1"/>
  <c r="P4648" i="34"/>
  <c r="X4648"/>
  <c r="Z4648"/>
  <c r="T4648"/>
  <c r="Y4648"/>
  <c r="AD4648"/>
  <c r="E10" i="15" a="1"/>
  <c r="E10" s="1"/>
  <c r="D554" i="47"/>
  <c r="AB4648" i="34"/>
  <c r="F4" i="12" a="1"/>
  <c r="F4" s="1"/>
  <c r="D669" i="47"/>
  <c r="E27" i="15" a="1"/>
  <c r="E27" s="1"/>
  <c r="D674" i="47"/>
  <c r="D665"/>
  <c r="D654"/>
  <c r="D388"/>
  <c r="D687"/>
  <c r="C14" i="14"/>
  <c r="B14"/>
  <c r="E14"/>
  <c r="A14"/>
  <c r="D14"/>
  <c r="D662" i="47"/>
  <c r="D656"/>
  <c r="J64" i="55" a="1"/>
  <c r="J64" s="1"/>
  <c r="J37" a="1"/>
  <c r="J37" s="1"/>
  <c r="J105" a="1"/>
  <c r="J105" s="1"/>
  <c r="J15" a="1"/>
  <c r="J15" s="1"/>
  <c r="J50" a="1"/>
  <c r="J50" s="1"/>
  <c r="J110" a="1"/>
  <c r="J110" s="1"/>
  <c r="J94" a="1"/>
  <c r="J94" s="1"/>
  <c r="J95" a="1"/>
  <c r="J95" s="1"/>
  <c r="J26" a="1"/>
  <c r="J26" s="1"/>
  <c r="J71" a="1"/>
  <c r="J71" s="1"/>
  <c r="J14" a="1"/>
  <c r="J14" s="1"/>
  <c r="F72" i="15" a="1"/>
  <c r="F72" s="1"/>
  <c r="J81" i="55" a="1"/>
  <c r="J81" s="1"/>
  <c r="J92" a="1"/>
  <c r="J92" s="1"/>
  <c r="J18" a="1"/>
  <c r="J18" s="1"/>
  <c r="J109" a="1"/>
  <c r="J109" s="1"/>
  <c r="J32" a="1"/>
  <c r="J32" s="1"/>
  <c r="J36" a="1"/>
  <c r="J36" s="1"/>
  <c r="J59" a="1"/>
  <c r="J59" s="1"/>
  <c r="J97" a="1"/>
  <c r="J97" s="1"/>
  <c r="J90" a="1"/>
  <c r="J90" s="1"/>
  <c r="F69" i="15" a="1"/>
  <c r="F69" s="1"/>
  <c r="J48" i="55" a="1"/>
  <c r="J48" s="1"/>
  <c r="J113" a="1"/>
  <c r="J113" s="1"/>
  <c r="J49" a="1"/>
  <c r="J49" s="1"/>
  <c r="J47" a="1"/>
  <c r="J47" s="1"/>
  <c r="S4648" i="34"/>
  <c r="F67" i="15" a="1"/>
  <c r="F67" s="1"/>
  <c r="J93" i="55" a="1"/>
  <c r="J93" s="1"/>
  <c r="J88" a="1"/>
  <c r="J88" s="1"/>
  <c r="J66" a="1"/>
  <c r="J66" s="1"/>
  <c r="J46" a="1"/>
  <c r="J46" s="1"/>
  <c r="F71" i="15" a="1"/>
  <c r="F71" s="1"/>
  <c r="J107" i="55" a="1"/>
  <c r="J107" s="1"/>
  <c r="J34" a="1"/>
  <c r="J34" s="1"/>
  <c r="J23" a="1"/>
  <c r="J23" s="1"/>
  <c r="J73" a="1"/>
  <c r="J73" s="1"/>
  <c r="J103" a="1"/>
  <c r="J103" s="1"/>
  <c r="J104" a="1"/>
  <c r="J104" s="1"/>
  <c r="F63" i="15" a="1"/>
  <c r="F63" s="1"/>
  <c r="J84" i="55" a="1"/>
  <c r="J84" s="1"/>
  <c r="J30" a="1"/>
  <c r="J30" s="1"/>
  <c r="J89" a="1"/>
  <c r="J89" s="1"/>
  <c r="J29" a="1"/>
  <c r="J29" s="1"/>
  <c r="J99" a="1"/>
  <c r="J99" s="1"/>
  <c r="J44" a="1"/>
  <c r="J44" s="1"/>
  <c r="R4648" i="34"/>
  <c r="J100" i="55" a="1"/>
  <c r="J100" s="1"/>
  <c r="J86" a="1"/>
  <c r="J86" s="1"/>
  <c r="J28" a="1"/>
  <c r="J28" s="1"/>
  <c r="J75" a="1"/>
  <c r="J75" s="1"/>
  <c r="F70" i="15" a="1"/>
  <c r="F70" s="1"/>
  <c r="J13" i="55" a="1"/>
  <c r="J13" s="1"/>
  <c r="F73" i="15" a="1"/>
  <c r="F73" s="1"/>
  <c r="J87" i="55" a="1"/>
  <c r="J87" s="1"/>
  <c r="J98" a="1"/>
  <c r="J98" s="1"/>
  <c r="J62" a="1"/>
  <c r="J62" s="1"/>
  <c r="J80" a="1"/>
  <c r="J80" s="1"/>
  <c r="J115" a="1"/>
  <c r="J115" s="1"/>
  <c r="J117" a="1"/>
  <c r="J117" s="1"/>
  <c r="J25" a="1"/>
  <c r="J25" s="1"/>
  <c r="J118" a="1"/>
  <c r="J118" s="1"/>
  <c r="M4648" i="34"/>
  <c r="J112" i="55" a="1"/>
  <c r="J112" s="1"/>
  <c r="J65" a="1"/>
  <c r="J65" s="1"/>
  <c r="J40" a="1"/>
  <c r="J40" s="1"/>
  <c r="V4648" i="34"/>
  <c r="J31" i="55" a="1"/>
  <c r="J31" s="1"/>
  <c r="J54" a="1"/>
  <c r="J54" s="1"/>
  <c r="J111" a="1"/>
  <c r="J111" s="1"/>
  <c r="J41" a="1"/>
  <c r="J41" s="1"/>
  <c r="J27" a="1"/>
  <c r="J27" s="1"/>
  <c r="F68" i="15" a="1"/>
  <c r="F68" s="1"/>
  <c r="J19" i="55" a="1"/>
  <c r="J19" s="1"/>
  <c r="J116" a="1"/>
  <c r="J116" s="1"/>
  <c r="J83" a="1"/>
  <c r="J83" s="1"/>
  <c r="J16" a="1"/>
  <c r="J16" s="1"/>
  <c r="J91" a="1"/>
  <c r="J91" s="1"/>
  <c r="U4648" i="34"/>
  <c r="J108" i="55" a="1"/>
  <c r="J108" s="1"/>
  <c r="J68" a="1"/>
  <c r="J68" s="1"/>
  <c r="J69" a="1"/>
  <c r="J69" s="1"/>
  <c r="J51" a="1"/>
  <c r="J51" s="1"/>
  <c r="J67" a="1"/>
  <c r="J67" s="1"/>
  <c r="J22" a="1"/>
  <c r="J22" s="1"/>
  <c r="J101" a="1"/>
  <c r="J101" s="1"/>
  <c r="J35" a="1"/>
  <c r="J35" s="1"/>
  <c r="J106" a="1"/>
  <c r="J106" s="1"/>
  <c r="J43" a="1"/>
  <c r="J43" s="1"/>
  <c r="J38" a="1"/>
  <c r="J38" s="1"/>
  <c r="J24" a="1"/>
  <c r="J24" s="1"/>
  <c r="J102" a="1"/>
  <c r="J102" s="1"/>
  <c r="J45" a="1"/>
  <c r="J45" s="1"/>
  <c r="J85" a="1"/>
  <c r="J85" s="1"/>
  <c r="J60" a="1"/>
  <c r="J60" s="1"/>
  <c r="J21" a="1"/>
  <c r="J21" s="1"/>
  <c r="J42" a="1"/>
  <c r="J42" s="1"/>
  <c r="J70" a="1"/>
  <c r="J70" s="1"/>
  <c r="J39" a="1"/>
  <c r="J39" s="1"/>
  <c r="J72" a="1"/>
  <c r="J72" s="1"/>
  <c r="J17" a="1"/>
  <c r="J17" s="1"/>
  <c r="J53" a="1"/>
  <c r="J53" s="1"/>
  <c r="J74" a="1"/>
  <c r="J74" s="1"/>
  <c r="J33" a="1"/>
  <c r="J33" s="1"/>
  <c r="F66" i="15" a="1"/>
  <c r="F66" s="1"/>
  <c r="J61" i="55" a="1"/>
  <c r="J61" s="1"/>
  <c r="J96" a="1"/>
  <c r="J96" s="1"/>
  <c r="J52" a="1"/>
  <c r="J52" s="1"/>
  <c r="J114" a="1"/>
  <c r="J114" s="1"/>
  <c r="J63" a="1"/>
  <c r="J63" s="1"/>
  <c r="J54" i="45" a="1"/>
  <c r="J54" s="1"/>
  <c r="J20" i="55" a="1"/>
  <c r="J20" s="1"/>
  <c r="J20" i="45" a="1"/>
  <c r="J20" s="1"/>
  <c r="E73" i="15" a="1"/>
  <c r="E73" s="1"/>
  <c r="I73" s="1"/>
  <c r="E12" i="12" a="1"/>
  <c r="E12" s="1"/>
  <c r="J51" i="45" a="1"/>
  <c r="J51" s="1"/>
  <c r="E61" i="12" a="1"/>
  <c r="E61" s="1"/>
  <c r="E72" i="15" a="1"/>
  <c r="E72" s="1"/>
  <c r="H17" i="55" a="1"/>
  <c r="H17" s="1"/>
  <c r="L14" i="45" a="1"/>
  <c r="L14" s="1"/>
  <c r="F27" i="12" a="1"/>
  <c r="F27" s="1"/>
  <c r="E29" a="1"/>
  <c r="E29" s="1"/>
  <c r="E8" a="1"/>
  <c r="E8" s="1"/>
  <c r="F51" a="1"/>
  <c r="F51" s="1"/>
  <c r="J5" i="45" a="1"/>
  <c r="J5" s="1"/>
  <c r="J52" a="1"/>
  <c r="J52" s="1"/>
  <c r="H40" i="55" a="1"/>
  <c r="H40" s="1"/>
  <c r="H110" a="1"/>
  <c r="H110" s="1"/>
  <c r="L110" s="1"/>
  <c r="F38" i="15" a="1"/>
  <c r="F38" s="1"/>
  <c r="J9" i="45" a="1"/>
  <c r="J9" s="1"/>
  <c r="H17" i="62" a="1"/>
  <c r="H17" s="1"/>
  <c r="F60" i="12" a="1"/>
  <c r="F60" s="1"/>
  <c r="E15" a="1"/>
  <c r="E15" s="1"/>
  <c r="J7" i="45" a="1"/>
  <c r="J7" s="1"/>
  <c r="J17" a="1"/>
  <c r="J17" s="1"/>
  <c r="H50" i="55" a="1"/>
  <c r="H50" s="1"/>
  <c r="H93" a="1"/>
  <c r="H93" s="1"/>
  <c r="L93" s="1"/>
  <c r="H60" a="1"/>
  <c r="H60" s="1"/>
  <c r="E84" i="12" a="1"/>
  <c r="E84" s="1"/>
  <c r="H16" i="62" a="1"/>
  <c r="H16" s="1"/>
  <c r="H21" a="1"/>
  <c r="H21" s="1"/>
  <c r="H10" a="1"/>
  <c r="H10" s="1"/>
  <c r="E66" i="15" a="1"/>
  <c r="E66" s="1"/>
  <c r="H114" i="55" a="1"/>
  <c r="H114" s="1"/>
  <c r="H73" a="1"/>
  <c r="H73" s="1"/>
  <c r="L73" s="1"/>
  <c r="H20" i="62" a="1"/>
  <c r="H20" s="1"/>
  <c r="H15" i="55" a="1"/>
  <c r="H15" s="1"/>
  <c r="H109" a="1"/>
  <c r="H109" s="1"/>
  <c r="E74" i="15" a="1"/>
  <c r="E74" s="1"/>
  <c r="I74" s="1"/>
  <c r="E32" i="12" a="1"/>
  <c r="E32" s="1"/>
  <c r="L50" i="45" a="1"/>
  <c r="L50" s="1"/>
  <c r="E29" i="15" a="1"/>
  <c r="E29" s="1"/>
  <c r="H30" i="55" a="1"/>
  <c r="H30" s="1"/>
  <c r="H61" a="1"/>
  <c r="H61" s="1"/>
  <c r="J10" i="45" a="1"/>
  <c r="J10" s="1"/>
  <c r="H42" i="55" a="1"/>
  <c r="H42" s="1"/>
  <c r="H108" a="1"/>
  <c r="H108"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F71" i="12" a="1"/>
  <c r="F71" s="1"/>
  <c r="F65" a="1"/>
  <c r="F65" s="1"/>
  <c r="H98" i="55" a="1"/>
  <c r="H98" s="1"/>
  <c r="E69" i="15" a="1"/>
  <c r="E69" s="1"/>
  <c r="J11" i="62" a="1"/>
  <c r="J11" s="1"/>
  <c r="H97" i="55" a="1"/>
  <c r="H97" s="1"/>
  <c r="H89" a="1"/>
  <c r="H89" s="1"/>
  <c r="F58" i="12" a="1"/>
  <c r="F58" s="1"/>
  <c r="F81" a="1"/>
  <c r="F81" s="1"/>
  <c r="H23" i="55" a="1"/>
  <c r="H23" s="1"/>
  <c r="E19" i="12" a="1"/>
  <c r="E19" s="1"/>
  <c r="H44" i="55" a="1"/>
  <c r="H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H112" a="1"/>
  <c r="H112"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7" i="55" a="1"/>
  <c r="H87" s="1"/>
  <c r="L47" i="45" a="1"/>
  <c r="L47" s="1"/>
  <c r="H92" i="55" a="1"/>
  <c r="H92" s="1"/>
  <c r="H111" a="1"/>
  <c r="H111"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L32" i="45" a="1"/>
  <c r="L32" s="1"/>
  <c r="H63" i="55" a="1"/>
  <c r="H63" s="1"/>
  <c r="E47" i="12" a="1"/>
  <c r="E47" s="1"/>
  <c r="H27" i="55" a="1"/>
  <c r="H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4" i="55" a="1"/>
  <c r="H104" s="1"/>
  <c r="J7" i="62" a="1"/>
  <c r="J7" s="1"/>
  <c r="L24" i="45" a="1"/>
  <c r="L24" s="1"/>
  <c r="F59" i="12" a="1"/>
  <c r="F59" s="1"/>
  <c r="E43" a="1"/>
  <c r="E43" s="1"/>
  <c r="H13" i="55" a="1"/>
  <c r="H13" s="1"/>
  <c r="L6" i="45" a="1"/>
  <c r="L6" s="1"/>
  <c r="P6" s="1"/>
  <c r="F34" i="15" a="1"/>
  <c r="F34" s="1"/>
  <c r="F25" a="1"/>
  <c r="F25" s="1"/>
  <c r="L17" i="45" a="1"/>
  <c r="L17" s="1"/>
  <c r="E38" i="12" a="1"/>
  <c r="E38" s="1"/>
  <c r="J28" i="45" a="1"/>
  <c r="J28" s="1"/>
  <c r="F49" i="12" a="1"/>
  <c r="F49" s="1"/>
  <c r="F28" a="1"/>
  <c r="F28" s="1"/>
  <c r="F72" a="1"/>
  <c r="F72" s="1"/>
  <c r="L5" i="45" a="1"/>
  <c r="L5" s="1"/>
  <c r="E25" i="12" a="1"/>
  <c r="E25" s="1"/>
  <c r="H106" i="55" a="1"/>
  <c r="H106" s="1"/>
  <c r="E11" i="12" a="1"/>
  <c r="E11" s="1"/>
  <c r="E85" a="1"/>
  <c r="E85" s="1"/>
  <c r="F14" a="1"/>
  <c r="F14" s="1"/>
  <c r="J38" i="45" a="1"/>
  <c r="J38" s="1"/>
  <c r="F45" i="12" a="1"/>
  <c r="F45" s="1"/>
  <c r="L21" i="45" a="1"/>
  <c r="L21" s="1"/>
  <c r="E15" i="15" a="1"/>
  <c r="E15" s="1"/>
  <c r="E33" i="12" a="1"/>
  <c r="E33" s="1"/>
  <c r="F74" a="1"/>
  <c r="F74" s="1"/>
  <c r="J22" i="45" a="1"/>
  <c r="J22" s="1"/>
  <c r="F62" i="15" a="1"/>
  <c r="F62"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3" i="55" a="1"/>
  <c r="H83"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H113" a="1"/>
  <c r="H113" s="1"/>
  <c r="L113" s="1"/>
  <c r="E39" i="12" a="1"/>
  <c r="E39" s="1"/>
  <c r="E55" i="15" a="1"/>
  <c r="E55" s="1"/>
  <c r="D13" i="39"/>
  <c r="H18" i="55" a="1"/>
  <c r="H18" s="1"/>
  <c r="E89" i="12" a="1"/>
  <c r="E89" s="1"/>
  <c r="J43" i="45" a="1"/>
  <c r="J43" s="1"/>
  <c r="L34" a="1"/>
  <c r="L34" s="1"/>
  <c r="E42" i="12" a="1"/>
  <c r="E42" s="1"/>
  <c r="F17" a="1"/>
  <c r="F17" s="1"/>
  <c r="H84" i="55" a="1"/>
  <c r="H84" s="1"/>
  <c r="E68" i="15" a="1"/>
  <c r="E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1" a="1"/>
  <c r="H101" s="1"/>
  <c r="F57" i="12" a="1"/>
  <c r="F57" s="1"/>
  <c r="H105" i="55" a="1"/>
  <c r="H105" s="1"/>
  <c r="J53" i="45" a="1"/>
  <c r="J53" s="1"/>
  <c r="E65" i="12" a="1"/>
  <c r="E65" s="1"/>
  <c r="G65" s="1"/>
  <c r="E71" i="15" a="1"/>
  <c r="E71" s="1"/>
  <c r="F50" a="1"/>
  <c r="F50" s="1"/>
  <c r="L49" i="45" a="1"/>
  <c r="L49" s="1"/>
  <c r="H49" i="55" a="1"/>
  <c r="H49" s="1"/>
  <c r="J47" i="45" a="1"/>
  <c r="J47" s="1"/>
  <c r="H91" i="55" a="1"/>
  <c r="H91" s="1"/>
  <c r="L12" i="45" a="1"/>
  <c r="L12" s="1"/>
  <c r="E36" i="12" a="1"/>
  <c r="E36" s="1"/>
  <c r="L20" i="45" a="1"/>
  <c r="L20" s="1"/>
  <c r="E22" i="12" a="1"/>
  <c r="E22" s="1"/>
  <c r="E67" i="15" a="1"/>
  <c r="E67" s="1"/>
  <c r="H46" i="55" a="1"/>
  <c r="H46" s="1"/>
  <c r="L46" s="1"/>
  <c r="F24" i="15" a="1"/>
  <c r="F24" s="1"/>
  <c r="H24" s="1"/>
  <c r="F41" i="12" a="1"/>
  <c r="F41" s="1"/>
  <c r="H41" s="1"/>
  <c r="E38" i="15" a="1"/>
  <c r="E38" s="1"/>
  <c r="J14" i="45" a="1"/>
  <c r="J14" s="1"/>
  <c r="H117" i="55" a="1"/>
  <c r="H117" s="1"/>
  <c r="H45" a="1"/>
  <c r="H45" s="1"/>
  <c r="H41" a="1"/>
  <c r="H41" s="1"/>
  <c r="H36" a="1"/>
  <c r="H36" s="1"/>
  <c r="L36" s="1"/>
  <c r="E51" i="15" a="1"/>
  <c r="E51" s="1"/>
  <c r="G51" s="1"/>
  <c r="H20" i="55" a="1"/>
  <c r="H20" s="1"/>
  <c r="H68" a="1"/>
  <c r="H68" s="1"/>
  <c r="F32" i="12" a="1"/>
  <c r="F32" s="1"/>
  <c r="H90" i="55" a="1"/>
  <c r="H90" s="1"/>
  <c r="F85" i="12" a="1"/>
  <c r="F85" s="1"/>
  <c r="F68" a="1"/>
  <c r="F68" s="1"/>
  <c r="J18" i="62" a="1"/>
  <c r="J18" s="1"/>
  <c r="N18" s="1"/>
  <c r="H118" i="55" a="1"/>
  <c r="H118" s="1"/>
  <c r="E13" i="15" a="1"/>
  <c r="E13" s="1"/>
  <c r="F29" a="1"/>
  <c r="F29" s="1"/>
  <c r="H29" s="1"/>
  <c r="J10" i="62" a="1"/>
  <c r="J10" s="1"/>
  <c r="F46" i="12" a="1"/>
  <c r="F46" s="1"/>
  <c r="H96" i="55" a="1"/>
  <c r="H96" s="1"/>
  <c r="F37" i="12" a="1"/>
  <c r="F37" s="1"/>
  <c r="F33" a="1"/>
  <c r="F33" s="1"/>
  <c r="E27" a="1"/>
  <c r="E27" s="1"/>
  <c r="J33" i="45" a="1"/>
  <c r="J33" s="1"/>
  <c r="F35" i="12" a="1"/>
  <c r="F35" s="1"/>
  <c r="H35" s="1"/>
  <c r="J36" i="45" a="1"/>
  <c r="J36" s="1"/>
  <c r="H69" i="55" a="1"/>
  <c r="H69" s="1"/>
  <c r="E42" i="15" a="1"/>
  <c r="E42" s="1"/>
  <c r="L46" i="45" a="1"/>
  <c r="L46" s="1"/>
  <c r="H62" i="55" a="1"/>
  <c r="H62" s="1"/>
  <c r="H14" a="1"/>
  <c r="H14" s="1"/>
  <c r="H53" a="1"/>
  <c r="H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H102" i="55" a="1"/>
  <c r="H102" s="1"/>
  <c r="H31" a="1"/>
  <c r="H31" s="1"/>
  <c r="H19" a="1"/>
  <c r="H19" s="1"/>
  <c r="L19" s="1"/>
  <c r="F26" i="12" a="1"/>
  <c r="F26" s="1"/>
  <c r="E66" a="1"/>
  <c r="E66" s="1"/>
  <c r="F73" a="1"/>
  <c r="F73" s="1"/>
  <c r="E74" a="1"/>
  <c r="E74" s="1"/>
  <c r="H107" i="55" a="1"/>
  <c r="H107" s="1"/>
  <c r="J44" i="45" a="1"/>
  <c r="J44" s="1"/>
  <c r="F12" i="12" a="1"/>
  <c r="F12" s="1"/>
  <c r="H12" s="1"/>
  <c r="L43" i="45" a="1"/>
  <c r="L43" s="1"/>
  <c r="J79" i="55" a="1"/>
  <c r="J79" s="1"/>
  <c r="F69" i="12" a="1"/>
  <c r="F69" s="1"/>
  <c r="E82" a="1"/>
  <c r="E82" s="1"/>
  <c r="F43" a="1"/>
  <c r="F43" s="1"/>
  <c r="L54" i="45" a="1"/>
  <c r="L54" s="1"/>
  <c r="P54" s="1"/>
  <c r="E80" i="12" a="1"/>
  <c r="E80" s="1"/>
  <c r="E58" a="1"/>
  <c r="E58" s="1"/>
  <c r="F67" a="1"/>
  <c r="F67" s="1"/>
  <c r="H99" i="55" a="1"/>
  <c r="H99" s="1"/>
  <c r="L99" s="1"/>
  <c r="L42" i="45" a="1"/>
  <c r="L42" s="1"/>
  <c r="J34" a="1"/>
  <c r="J34" s="1"/>
  <c r="H43" i="55" a="1"/>
  <c r="H43" s="1"/>
  <c r="L38" i="45" a="1"/>
  <c r="L38" s="1"/>
  <c r="E40" i="15" a="1"/>
  <c r="E40" s="1"/>
  <c r="L15" i="45" a="1"/>
  <c r="L15" s="1"/>
  <c r="J50" a="1"/>
  <c r="J50" s="1"/>
  <c r="F23" i="12" a="1"/>
  <c r="F23" s="1"/>
  <c r="L22" i="45" a="1"/>
  <c r="L22" s="1"/>
  <c r="F31" i="12" a="1"/>
  <c r="F31" s="1"/>
  <c r="H86" i="55" a="1"/>
  <c r="H86" s="1"/>
  <c r="F9" i="12" a="1"/>
  <c r="F9" s="1"/>
  <c r="E30" a="1"/>
  <c r="E30" s="1"/>
  <c r="J24" i="45" a="1"/>
  <c r="J24" s="1"/>
  <c r="L8" a="1"/>
  <c r="L8" s="1"/>
  <c r="E31" i="15" a="1"/>
  <c r="E31" s="1"/>
  <c r="L37" i="45" a="1"/>
  <c r="L37" s="1"/>
  <c r="L52" a="1"/>
  <c r="L52" s="1"/>
  <c r="H32" i="55" a="1"/>
  <c r="H32" s="1"/>
  <c r="L40" i="45" a="1"/>
  <c r="L40" s="1"/>
  <c r="L29" a="1"/>
  <c r="L29" s="1"/>
  <c r="F13" i="12" a="1"/>
  <c r="F13" s="1"/>
  <c r="E44" i="15" a="1"/>
  <c r="E44" s="1"/>
  <c r="H37" i="55" a="1"/>
  <c r="H37" s="1"/>
  <c r="H8" i="62" a="1"/>
  <c r="H8" s="1"/>
  <c r="H25" i="55" a="1"/>
  <c r="H25" s="1"/>
  <c r="L25" s="1"/>
  <c r="F76" i="12" a="1"/>
  <c r="F76" s="1"/>
  <c r="F43" i="15" a="1"/>
  <c r="F43" s="1"/>
  <c r="F10" i="12" a="1"/>
  <c r="F10" s="1"/>
  <c r="F33" i="15" a="1"/>
  <c r="F33" s="1"/>
  <c r="J21" i="45" a="1"/>
  <c r="J21" s="1"/>
  <c r="H75" i="55" a="1"/>
  <c r="H75" s="1"/>
  <c r="L75" s="1"/>
  <c r="H16" a="1"/>
  <c r="H16" s="1"/>
  <c r="E72" i="12" a="1"/>
  <c r="E72" s="1"/>
  <c r="J18" i="45" a="1"/>
  <c r="J18" s="1"/>
  <c r="L31" a="1"/>
  <c r="L31" s="1"/>
  <c r="E59" i="12" a="1"/>
  <c r="E59" s="1"/>
  <c r="E54" i="15" a="1"/>
  <c r="E54" s="1"/>
  <c r="J58" i="55" a="1"/>
  <c r="J58" s="1"/>
  <c r="E51" i="12" a="1"/>
  <c r="E51" s="1"/>
  <c r="F31" i="15" a="1"/>
  <c r="F31" s="1"/>
  <c r="L25" i="45" a="1"/>
  <c r="L25" s="1"/>
  <c r="F15" i="12" a="1"/>
  <c r="F15" s="1"/>
  <c r="F16" i="15" a="1"/>
  <c r="F16" s="1"/>
  <c r="F12" a="1"/>
  <c r="F12" s="1"/>
  <c r="F29" i="12" a="1"/>
  <c r="F29" s="1"/>
  <c r="F42" a="1"/>
  <c r="F42" s="1"/>
  <c r="H22" i="55" a="1"/>
  <c r="H22" s="1"/>
  <c r="L22" s="1"/>
  <c r="F36" i="15" a="1"/>
  <c r="F36" s="1"/>
  <c r="F77" i="12" a="1"/>
  <c r="F77" s="1"/>
  <c r="E25" i="15" a="1"/>
  <c r="E25" s="1"/>
  <c r="E7" i="12" a="1"/>
  <c r="E7" s="1"/>
  <c r="H6" i="62" a="1"/>
  <c r="H6" s="1"/>
  <c r="E63" i="12" a="1"/>
  <c r="E63" s="1"/>
  <c r="E56" a="1"/>
  <c r="E56" s="1"/>
  <c r="E79" a="1"/>
  <c r="E79" s="1"/>
  <c r="H88" i="55" a="1"/>
  <c r="H88" s="1"/>
  <c r="L88" s="1"/>
  <c r="E70" i="12" a="1"/>
  <c r="E70" s="1"/>
  <c r="F8" a="1"/>
  <c r="F8" s="1"/>
  <c r="L48" i="45" a="1"/>
  <c r="L48" s="1"/>
  <c r="J14" i="62" a="1"/>
  <c r="J14" s="1"/>
  <c r="L10" i="45" a="1"/>
  <c r="L10" s="1"/>
  <c r="H100" i="55" a="1"/>
  <c r="H100" s="1"/>
  <c r="L100" s="1"/>
  <c r="E50" i="12" a="1"/>
  <c r="E50" s="1"/>
  <c r="H26" i="55" a="1"/>
  <c r="H26" s="1"/>
  <c r="F47" i="12" a="1"/>
  <c r="F47" s="1"/>
  <c r="H13" i="62" a="1"/>
  <c r="H13" s="1"/>
  <c r="E28" i="12" a="1"/>
  <c r="E28" s="1"/>
  <c r="E44" a="1"/>
  <c r="E44" s="1"/>
  <c r="H54" i="55" a="1"/>
  <c r="H54" s="1"/>
  <c r="L54" s="1"/>
  <c r="J17" i="62" a="1"/>
  <c r="J17" s="1"/>
  <c r="E54" i="12" a="1"/>
  <c r="E54" s="1"/>
  <c r="F91" a="1"/>
  <c r="F91" s="1"/>
  <c r="E52" i="15" a="1"/>
  <c r="E52" s="1"/>
  <c r="H66" i="55" a="1"/>
  <c r="H66" s="1"/>
  <c r="F88" i="12" a="1"/>
  <c r="F88" s="1"/>
  <c r="F49" i="15" a="1"/>
  <c r="F49" s="1"/>
  <c r="L26" i="45" a="1"/>
  <c r="L26" s="1"/>
  <c r="E49" i="12" a="1"/>
  <c r="E49" s="1"/>
  <c r="H33" i="55" a="1"/>
  <c r="H33" s="1"/>
  <c r="H94" a="1"/>
  <c r="H94" s="1"/>
  <c r="F40" i="12" a="1"/>
  <c r="F40" s="1"/>
  <c r="J19" i="62" a="1"/>
  <c r="J19" s="1"/>
  <c r="H115" i="55" a="1"/>
  <c r="H115" s="1"/>
  <c r="L115" s="1"/>
  <c r="E34" i="15" a="1"/>
  <c r="E34" s="1"/>
  <c r="H21" i="55" a="1"/>
  <c r="H21" s="1"/>
  <c r="E34" i="12" a="1"/>
  <c r="E34" s="1"/>
  <c r="F19" a="1"/>
  <c r="F19" s="1"/>
  <c r="H19" s="1"/>
  <c r="E33" i="15" a="1"/>
  <c r="E33" s="1"/>
  <c r="F57" a="1"/>
  <c r="F57" s="1"/>
  <c r="L51" i="45" a="1"/>
  <c r="L51" s="1"/>
  <c r="P51" s="1"/>
  <c r="E81" i="12" a="1"/>
  <c r="E81" s="1"/>
  <c r="G81" s="1"/>
  <c r="J16" i="45" a="1"/>
  <c r="J16" s="1"/>
  <c r="L28" a="1"/>
  <c r="L28" s="1"/>
  <c r="E21" i="12" a="1"/>
  <c r="E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L13" i="45" a="1"/>
  <c r="L13" s="1"/>
  <c r="F90" i="12" a="1"/>
  <c r="F90" s="1"/>
  <c r="H80" i="55" a="1"/>
  <c r="H80" s="1"/>
  <c r="F75" i="12" a="1"/>
  <c r="F75" s="1"/>
  <c r="H67" i="55" a="1"/>
  <c r="H67" s="1"/>
  <c r="E52" i="12" a="1"/>
  <c r="E52" s="1"/>
  <c r="H48" i="55" a="1"/>
  <c r="H48" s="1"/>
  <c r="L48" s="1"/>
  <c r="J21" i="62" a="1"/>
  <c r="J21" s="1"/>
  <c r="F64" i="12" a="1"/>
  <c r="F64" s="1"/>
  <c r="E53" a="1"/>
  <c r="E53" s="1"/>
  <c r="E71" a="1"/>
  <c r="E71" s="1"/>
  <c r="G71" s="1"/>
  <c r="F89" a="1"/>
  <c r="F89" s="1"/>
  <c r="F47" i="15" a="1"/>
  <c r="F47" s="1"/>
  <c r="J11" i="45" a="1"/>
  <c r="J11" s="1"/>
  <c r="E17" i="12" a="1"/>
  <c r="E17" s="1"/>
  <c r="L30" i="45" a="1"/>
  <c r="L30" s="1"/>
  <c r="F11" i="12" a="1"/>
  <c r="F11" s="1"/>
  <c r="H15" i="62" a="1"/>
  <c r="H15" s="1"/>
  <c r="E57" i="15" a="1"/>
  <c r="E57" s="1"/>
  <c r="F59" a="1"/>
  <c r="F59" s="1"/>
  <c r="H116" i="55" a="1"/>
  <c r="H116" s="1"/>
  <c r="L116" s="1"/>
  <c r="J12" i="62" a="1"/>
  <c r="J12" s="1"/>
  <c r="J20" a="1"/>
  <c r="J20" s="1"/>
  <c r="H47" i="55" a="1"/>
  <c r="H47" s="1"/>
  <c r="L47" s="1"/>
  <c r="E59" i="15" a="1"/>
  <c r="E59" s="1"/>
  <c r="H85" i="55" a="1"/>
  <c r="H85" s="1"/>
  <c r="L85" s="1"/>
  <c r="F62" i="12" a="1"/>
  <c r="F62" s="1"/>
  <c r="H62" s="1"/>
  <c r="H7" i="62" a="1"/>
  <c r="H7" s="1"/>
  <c r="J16" a="1"/>
  <c r="J16" s="1"/>
  <c r="J35" i="45" a="1"/>
  <c r="J35" s="1"/>
  <c r="E86" i="12" a="1"/>
  <c r="E86" s="1"/>
  <c r="H64" i="55" a="1"/>
  <c r="H64" s="1"/>
  <c r="H103" a="1"/>
  <c r="H103" s="1"/>
  <c r="F25" i="12" a="1"/>
  <c r="F25" s="1"/>
  <c r="H38" i="55" a="1"/>
  <c r="H38" s="1"/>
  <c r="F16" i="12" a="1"/>
  <c r="F16" s="1"/>
  <c r="F18" a="1"/>
  <c r="F18" s="1"/>
  <c r="H51" i="55" a="1"/>
  <c r="H51" s="1"/>
  <c r="J32" i="45" a="1"/>
  <c r="J32" s="1"/>
  <c r="N32" s="1"/>
  <c r="E21" i="15" a="1"/>
  <c r="E21" s="1"/>
  <c r="H58" i="55" a="1"/>
  <c r="H58" s="1"/>
  <c r="F39" i="12" a="1"/>
  <c r="F39" s="1"/>
  <c r="J5" i="62" a="1"/>
  <c r="J5" s="1"/>
  <c r="F22" i="15" a="1"/>
  <c r="F22" s="1"/>
  <c r="E18" a="1"/>
  <c r="E18" s="1"/>
  <c r="E12" a="1"/>
  <c r="E12" s="1"/>
  <c r="E36" a="1"/>
  <c r="E36" s="1"/>
  <c r="F55" a="1"/>
  <c r="F55" s="1"/>
  <c r="E39" a="1"/>
  <c r="E39" s="1"/>
  <c r="F21" a="1"/>
  <c r="F21" s="1"/>
  <c r="F39" a="1"/>
  <c r="F39" s="1"/>
  <c r="F18" a="1"/>
  <c r="F18" s="1"/>
  <c r="H95" i="55" a="1"/>
  <c r="H95" s="1"/>
  <c r="J8" i="45" a="1"/>
  <c r="J8" s="1"/>
  <c r="H12" i="55" a="1"/>
  <c r="H12" s="1"/>
  <c r="H79" a="1"/>
  <c r="H79" s="1"/>
  <c r="AA4648" i="34"/>
  <c r="Q4648"/>
  <c r="L9" i="45" a="1"/>
  <c r="L9" s="1"/>
  <c r="H81" i="55" a="1"/>
  <c r="H81" s="1"/>
  <c r="F27" i="15" a="1"/>
  <c r="F27" s="1"/>
  <c r="E47" a="1"/>
  <c r="E47" s="1"/>
  <c r="E49" a="1"/>
  <c r="E49" s="1"/>
  <c r="F54" a="1"/>
  <c r="F54" s="1"/>
  <c r="D18" i="47"/>
  <c r="D186"/>
  <c r="D677"/>
  <c r="D181"/>
  <c r="D389"/>
  <c r="D110"/>
  <c r="AC4648" i="34"/>
  <c r="G14" i="14"/>
  <c r="D259" i="47"/>
  <c r="D551"/>
  <c r="D672"/>
  <c r="D553"/>
  <c r="D552"/>
  <c r="D663"/>
  <c r="D112"/>
  <c r="H14" i="14"/>
  <c r="W4648" i="34"/>
  <c r="D659" i="47"/>
  <c r="D185"/>
  <c r="D258"/>
  <c r="D556"/>
  <c r="D390"/>
  <c r="G551"/>
  <c r="F41"/>
  <c r="E575"/>
  <c r="F661"/>
  <c r="C23"/>
  <c r="B682"/>
  <c r="B111"/>
  <c r="E565"/>
  <c r="B685"/>
  <c r="E63"/>
  <c r="B36"/>
  <c r="F649"/>
  <c r="E47"/>
  <c r="G63"/>
  <c r="E19"/>
  <c r="B492"/>
  <c r="C562"/>
  <c r="A58"/>
  <c r="J58" s="1"/>
  <c r="G456"/>
  <c r="B454"/>
  <c r="F577"/>
  <c r="F343"/>
  <c r="E573"/>
  <c r="B576"/>
  <c r="B62"/>
  <c r="C397"/>
  <c r="B48"/>
  <c r="G666"/>
  <c r="C33"/>
  <c r="C679"/>
  <c r="G679"/>
  <c r="G453"/>
  <c r="F267"/>
  <c r="E218"/>
  <c r="F33"/>
  <c r="C335"/>
  <c r="E37"/>
  <c r="B389"/>
  <c r="F76"/>
  <c r="F340"/>
  <c r="F47"/>
  <c r="C75"/>
  <c r="F674"/>
  <c r="C499"/>
  <c r="B674"/>
  <c r="B346"/>
  <c r="A41"/>
  <c r="J41" s="1"/>
  <c r="F452"/>
  <c r="F46"/>
  <c r="B447"/>
  <c r="F337"/>
  <c r="F36"/>
  <c r="C651"/>
  <c r="B657"/>
  <c r="A54"/>
  <c r="J54" s="1"/>
  <c r="E336"/>
  <c r="B18"/>
  <c r="A56"/>
  <c r="J56" s="1"/>
  <c r="F219"/>
  <c r="G51"/>
  <c r="E666"/>
  <c r="F191"/>
  <c r="F45"/>
  <c r="F189"/>
  <c r="G653"/>
  <c r="C217"/>
  <c r="G672"/>
  <c r="E496"/>
  <c r="G339"/>
  <c r="E391"/>
  <c r="B574"/>
  <c r="F559"/>
  <c r="C653"/>
  <c r="B341"/>
  <c r="B647"/>
  <c r="C50"/>
  <c r="G78"/>
  <c r="G657"/>
  <c r="B676"/>
  <c r="C667"/>
  <c r="E656"/>
  <c r="F21"/>
  <c r="A57"/>
  <c r="J57" s="1"/>
  <c r="E495"/>
  <c r="A43"/>
  <c r="J43" s="1"/>
  <c r="B25"/>
  <c r="B566"/>
  <c r="A46"/>
  <c r="J46" s="1"/>
  <c r="B260"/>
  <c r="F64"/>
  <c r="B259"/>
  <c r="C60"/>
  <c r="B337"/>
  <c r="B182"/>
  <c r="G654"/>
  <c r="E189"/>
  <c r="E116"/>
  <c r="E660"/>
  <c r="B577"/>
  <c r="G120"/>
  <c r="E343"/>
  <c r="F667"/>
  <c r="G668"/>
  <c r="F400"/>
  <c r="C455"/>
  <c r="F16"/>
  <c r="C346"/>
  <c r="C655"/>
  <c r="C219"/>
  <c r="A34"/>
  <c r="J34" s="1"/>
  <c r="A60"/>
  <c r="J60" s="1"/>
  <c r="C650"/>
  <c r="E396"/>
  <c r="F37"/>
  <c r="B38"/>
  <c r="B76"/>
  <c r="C22"/>
  <c r="C569"/>
  <c r="E670"/>
  <c r="F18"/>
  <c r="G448"/>
  <c r="F572"/>
  <c r="C453"/>
  <c r="F15"/>
  <c r="C559"/>
  <c r="G343"/>
  <c r="C17"/>
  <c r="C78"/>
  <c r="C348"/>
  <c r="B187"/>
  <c r="E51"/>
  <c r="E80"/>
  <c r="E392"/>
  <c r="F116"/>
  <c r="F492"/>
  <c r="B114"/>
  <c r="G559"/>
  <c r="C31"/>
  <c r="A64"/>
  <c r="J64" s="1"/>
  <c r="C51"/>
  <c r="A38"/>
  <c r="J38" s="1"/>
  <c r="E498"/>
  <c r="B669"/>
  <c r="E652"/>
  <c r="E550"/>
  <c r="C390"/>
  <c r="A42"/>
  <c r="J42" s="1"/>
  <c r="C338"/>
  <c r="E492"/>
  <c r="G674"/>
  <c r="B391"/>
  <c r="C347"/>
  <c r="F550"/>
  <c r="G79"/>
  <c r="G37"/>
  <c r="E655"/>
  <c r="G31"/>
  <c r="C28"/>
  <c r="E649"/>
  <c r="F28"/>
  <c r="E265"/>
  <c r="G267"/>
  <c r="F396"/>
  <c r="G573"/>
  <c r="B222"/>
  <c r="G550"/>
  <c r="E559"/>
  <c r="G32"/>
  <c r="B186"/>
  <c r="A47"/>
  <c r="J47" s="1"/>
  <c r="B33"/>
  <c r="G649"/>
  <c r="C25"/>
  <c r="G336"/>
  <c r="G496"/>
  <c r="E667"/>
  <c r="G219"/>
  <c r="G181"/>
  <c r="F681"/>
  <c r="E574"/>
  <c r="F58"/>
  <c r="C216"/>
  <c r="C389"/>
  <c r="B561"/>
  <c r="C223"/>
  <c r="C686"/>
  <c r="B683"/>
  <c r="E30"/>
  <c r="F493"/>
  <c r="G495"/>
  <c r="G21"/>
  <c r="B670"/>
  <c r="C567"/>
  <c r="G19"/>
  <c r="E29"/>
  <c r="B335"/>
  <c r="E568"/>
  <c r="C260"/>
  <c r="F56"/>
  <c r="C114"/>
  <c r="B345"/>
  <c r="F62"/>
  <c r="E258"/>
  <c r="G15"/>
  <c r="F399"/>
  <c r="B495"/>
  <c r="G682"/>
  <c r="E35"/>
  <c r="G34"/>
  <c r="G80"/>
  <c r="C687"/>
  <c r="G119"/>
  <c r="F571"/>
  <c r="C558"/>
  <c r="F564"/>
  <c r="C26"/>
  <c r="G217"/>
  <c r="G689"/>
  <c r="G647"/>
  <c r="G675"/>
  <c r="E36"/>
  <c r="C555"/>
  <c r="C63"/>
  <c r="C662"/>
  <c r="B29"/>
  <c r="B563"/>
  <c r="E216"/>
  <c r="B185"/>
  <c r="G648"/>
  <c r="F262"/>
  <c r="E42"/>
  <c r="B455"/>
  <c r="G46"/>
  <c r="F113"/>
  <c r="G683"/>
  <c r="B59"/>
  <c r="E679"/>
  <c r="G449"/>
  <c r="G110"/>
  <c r="C18"/>
  <c r="C109"/>
  <c r="G563"/>
  <c r="F669"/>
  <c r="F666"/>
  <c r="B453"/>
  <c r="C191"/>
  <c r="C80"/>
  <c r="E54"/>
  <c r="B22"/>
  <c r="F44"/>
  <c r="A40"/>
  <c r="J40" s="1"/>
  <c r="B388"/>
  <c r="G577"/>
  <c r="E20"/>
  <c r="E658"/>
  <c r="G677"/>
  <c r="G220"/>
  <c r="G115"/>
  <c r="C190"/>
  <c r="F263"/>
  <c r="B262"/>
  <c r="C258"/>
  <c r="C664"/>
  <c r="C120"/>
  <c r="B452"/>
  <c r="F560"/>
  <c r="C570"/>
  <c r="E41"/>
  <c r="F43"/>
  <c r="F112"/>
  <c r="C498"/>
  <c r="E562"/>
  <c r="E342"/>
  <c r="G61"/>
  <c r="A35"/>
  <c r="J35" s="1"/>
  <c r="B649"/>
  <c r="E21"/>
  <c r="E340"/>
  <c r="E38"/>
  <c r="E553"/>
  <c r="A36"/>
  <c r="J36" s="1"/>
  <c r="C393"/>
  <c r="B338"/>
  <c r="F117"/>
  <c r="B53"/>
  <c r="E659"/>
  <c r="F555"/>
  <c r="F495"/>
  <c r="G111"/>
  <c r="E455"/>
  <c r="B115"/>
  <c r="G398"/>
  <c r="G33"/>
  <c r="F389"/>
  <c r="F686"/>
  <c r="E690"/>
  <c r="G112"/>
  <c r="E669"/>
  <c r="G216"/>
  <c r="B16"/>
  <c r="G491"/>
  <c r="E81"/>
  <c r="F679"/>
  <c r="F552"/>
  <c r="E17"/>
  <c r="C666"/>
  <c r="G114"/>
  <c r="C220"/>
  <c r="B575"/>
  <c r="E677"/>
  <c r="B689"/>
  <c r="B266"/>
  <c r="B660"/>
  <c r="E452"/>
  <c r="F676"/>
  <c r="E223"/>
  <c r="E564"/>
  <c r="C491"/>
  <c r="C659"/>
  <c r="E555"/>
  <c r="B399"/>
  <c r="G571"/>
  <c r="G344"/>
  <c r="F183"/>
  <c r="F398"/>
  <c r="F647"/>
  <c r="C35"/>
  <c r="C337"/>
  <c r="F652"/>
  <c r="G560"/>
  <c r="G74"/>
  <c r="C113"/>
  <c r="C115"/>
  <c r="E674"/>
  <c r="C37"/>
  <c r="C77"/>
  <c r="C57"/>
  <c r="G392"/>
  <c r="B78"/>
  <c r="E28"/>
  <c r="C456"/>
  <c r="F63"/>
  <c r="G575"/>
  <c r="E447"/>
  <c r="E686"/>
  <c r="C574"/>
  <c r="E661"/>
  <c r="B35"/>
  <c r="G260"/>
  <c r="B17"/>
  <c r="G655"/>
  <c r="C447"/>
  <c r="F575"/>
  <c r="G663"/>
  <c r="E79"/>
  <c r="B64"/>
  <c r="B56"/>
  <c r="E497"/>
  <c r="B692"/>
  <c r="F574"/>
  <c r="B49"/>
  <c r="C681"/>
  <c r="G26"/>
  <c r="F121"/>
  <c r="B347"/>
  <c r="G691"/>
  <c r="F32"/>
  <c r="F265"/>
  <c r="F563"/>
  <c r="G60"/>
  <c r="E264"/>
  <c r="F187"/>
  <c r="E348"/>
  <c r="C24"/>
  <c r="C560"/>
  <c r="F120"/>
  <c r="G665"/>
  <c r="C262"/>
  <c r="G388"/>
  <c r="B343"/>
  <c r="B63"/>
  <c r="C43"/>
  <c r="E453"/>
  <c r="C46"/>
  <c r="A63"/>
  <c r="J63" s="1"/>
  <c r="G77"/>
  <c r="C564"/>
  <c r="B334"/>
  <c r="B690"/>
  <c r="C222"/>
  <c r="F260"/>
  <c r="E61"/>
  <c r="G109"/>
  <c r="E77"/>
  <c r="E76"/>
  <c r="F561"/>
  <c r="A81"/>
  <c r="J81" s="1"/>
  <c r="C76"/>
  <c r="F677"/>
  <c r="E109"/>
  <c r="F662"/>
  <c r="E647"/>
  <c r="G185"/>
  <c r="C110"/>
  <c r="C342"/>
  <c r="F336"/>
  <c r="C688"/>
  <c r="E571"/>
  <c r="B75"/>
  <c r="G338"/>
  <c r="F75"/>
  <c r="E263"/>
  <c r="E560"/>
  <c r="B258"/>
  <c r="B497"/>
  <c r="F110"/>
  <c r="B553"/>
  <c r="C454"/>
  <c r="E450"/>
  <c r="F59"/>
  <c r="C54"/>
  <c r="G556"/>
  <c r="G664"/>
  <c r="G264"/>
  <c r="C678"/>
  <c r="G191"/>
  <c r="C64"/>
  <c r="B663"/>
  <c r="G188"/>
  <c r="G18"/>
  <c r="C449"/>
  <c r="E390"/>
  <c r="B57"/>
  <c r="F264"/>
  <c r="B116"/>
  <c r="E572"/>
  <c r="F220"/>
  <c r="C689"/>
  <c r="B45"/>
  <c r="G570"/>
  <c r="C392"/>
  <c r="F456"/>
  <c r="A61"/>
  <c r="J61" s="1"/>
  <c r="F109"/>
  <c r="C660"/>
  <c r="F61"/>
  <c r="B448"/>
  <c r="B263"/>
  <c r="E57"/>
  <c r="G56"/>
  <c r="B567"/>
  <c r="C263"/>
  <c r="B678"/>
  <c r="G43"/>
  <c r="E653"/>
  <c r="G553"/>
  <c r="C119"/>
  <c r="E491"/>
  <c r="F497"/>
  <c r="G342"/>
  <c r="F685"/>
  <c r="C188"/>
  <c r="G64"/>
  <c r="B673"/>
  <c r="E393"/>
  <c r="C48"/>
  <c r="C388"/>
  <c r="B684"/>
  <c r="B31"/>
  <c r="C41"/>
  <c r="G678"/>
  <c r="B218"/>
  <c r="F683"/>
  <c r="C556"/>
  <c r="B189"/>
  <c r="G30"/>
  <c r="B119"/>
  <c r="B42"/>
  <c r="G117"/>
  <c r="G673"/>
  <c r="C448"/>
  <c r="E50"/>
  <c r="C345"/>
  <c r="G29"/>
  <c r="B80"/>
  <c r="C187"/>
  <c r="E120"/>
  <c r="G341"/>
  <c r="B60"/>
  <c r="B41"/>
  <c r="E499"/>
  <c r="E563"/>
  <c r="C561"/>
  <c r="F216"/>
  <c r="B656"/>
  <c r="G41"/>
  <c r="C654"/>
  <c r="G566"/>
  <c r="B44"/>
  <c r="G348"/>
  <c r="E53"/>
  <c r="B118"/>
  <c r="C184"/>
  <c r="C59"/>
  <c r="C61"/>
  <c r="F23"/>
  <c r="G40"/>
  <c r="C394"/>
  <c r="G552"/>
  <c r="B568"/>
  <c r="C121"/>
  <c r="G23"/>
  <c r="C575"/>
  <c r="G53"/>
  <c r="F348"/>
  <c r="F562"/>
  <c r="B664"/>
  <c r="E259"/>
  <c r="F453"/>
  <c r="E39"/>
  <c r="G52"/>
  <c r="G400"/>
  <c r="G670"/>
  <c r="G16"/>
  <c r="C669"/>
  <c r="G685"/>
  <c r="C266"/>
  <c r="B15"/>
  <c r="F549"/>
  <c r="E267"/>
  <c r="C55"/>
  <c r="F119"/>
  <c r="F60"/>
  <c r="F650"/>
  <c r="B449"/>
  <c r="G55"/>
  <c r="E557"/>
  <c r="C652"/>
  <c r="G116"/>
  <c r="G340"/>
  <c r="F657"/>
  <c r="B265"/>
  <c r="E683"/>
  <c r="F19"/>
  <c r="E112"/>
  <c r="C684"/>
  <c r="E570"/>
  <c r="F573"/>
  <c r="G555"/>
  <c r="C182"/>
  <c r="G451"/>
  <c r="C74"/>
  <c r="E118"/>
  <c r="G49"/>
  <c r="C29"/>
  <c r="C671"/>
  <c r="E266"/>
  <c r="C396"/>
  <c r="F448"/>
  <c r="E682"/>
  <c r="G189"/>
  <c r="B223"/>
  <c r="G262"/>
  <c r="C340"/>
  <c r="G81"/>
  <c r="E454"/>
  <c r="E685"/>
  <c r="B569"/>
  <c r="F346"/>
  <c r="B392"/>
  <c r="G258"/>
  <c r="F182"/>
  <c r="C665"/>
  <c r="F567"/>
  <c r="E75"/>
  <c r="G671"/>
  <c r="E651"/>
  <c r="G493"/>
  <c r="C20"/>
  <c r="C690"/>
  <c r="G687"/>
  <c r="G497"/>
  <c r="F217"/>
  <c r="E335"/>
  <c r="E345"/>
  <c r="B34"/>
  <c r="A52"/>
  <c r="J52" s="1"/>
  <c r="B50"/>
  <c r="E680"/>
  <c r="A39"/>
  <c r="J39" s="1"/>
  <c r="B655"/>
  <c r="F390"/>
  <c r="E55"/>
  <c r="B571"/>
  <c r="E456"/>
  <c r="F451"/>
  <c r="F111"/>
  <c r="E24"/>
  <c r="E551"/>
  <c r="C52"/>
  <c r="G455"/>
  <c r="F668"/>
  <c r="G221"/>
  <c r="F660"/>
  <c r="C265"/>
  <c r="G650"/>
  <c r="F554"/>
  <c r="F29"/>
  <c r="F30"/>
  <c r="G692"/>
  <c r="G187"/>
  <c r="F35"/>
  <c r="F651"/>
  <c r="E260"/>
  <c r="C399"/>
  <c r="G389"/>
  <c r="B112"/>
  <c r="C497"/>
  <c r="C186"/>
  <c r="E337"/>
  <c r="F40"/>
  <c r="F393"/>
  <c r="F118"/>
  <c r="E60"/>
  <c r="B188"/>
  <c r="G24"/>
  <c r="C81"/>
  <c r="B28"/>
  <c r="F181"/>
  <c r="G568"/>
  <c r="G399"/>
  <c r="E678"/>
  <c r="G183"/>
  <c r="F678"/>
  <c r="B32"/>
  <c r="E494"/>
  <c r="B52"/>
  <c r="G44"/>
  <c r="E26"/>
  <c r="E40"/>
  <c r="C58"/>
  <c r="F335"/>
  <c r="G394"/>
  <c r="C36"/>
  <c r="G54"/>
  <c r="E62"/>
  <c r="C648"/>
  <c r="F659"/>
  <c r="F566"/>
  <c r="B336"/>
  <c r="C118"/>
  <c r="G25"/>
  <c r="E111"/>
  <c r="B110"/>
  <c r="A53"/>
  <c r="J53" s="1"/>
  <c r="F656"/>
  <c r="B79"/>
  <c r="F79"/>
  <c r="E56"/>
  <c r="C334"/>
  <c r="E217"/>
  <c r="C657"/>
  <c r="F342"/>
  <c r="C682"/>
  <c r="G190"/>
  <c r="G45"/>
  <c r="A55"/>
  <c r="J55" s="1"/>
  <c r="C38"/>
  <c r="B658"/>
  <c r="G36"/>
  <c r="F114"/>
  <c r="E388"/>
  <c r="B348"/>
  <c r="F551"/>
  <c r="B653"/>
  <c r="E663"/>
  <c r="C400"/>
  <c r="F491"/>
  <c r="B61"/>
  <c r="A45"/>
  <c r="J45" s="1"/>
  <c r="G690"/>
  <c r="F78"/>
  <c r="E400"/>
  <c r="F188"/>
  <c r="E16"/>
  <c r="C672"/>
  <c r="F557"/>
  <c r="F691"/>
  <c r="C42"/>
  <c r="B688"/>
  <c r="E187"/>
  <c r="F498"/>
  <c r="E261"/>
  <c r="C685"/>
  <c r="B340"/>
  <c r="C30"/>
  <c r="B558"/>
  <c r="C27"/>
  <c r="E577"/>
  <c r="B400"/>
  <c r="F690"/>
  <c r="F680"/>
  <c r="G686"/>
  <c r="C692"/>
  <c r="A223"/>
  <c r="J223" s="1"/>
  <c r="E399"/>
  <c r="B570"/>
  <c r="B551"/>
  <c r="C49"/>
  <c r="B120"/>
  <c r="E190"/>
  <c r="C554"/>
  <c r="C550"/>
  <c r="C691"/>
  <c r="E549"/>
  <c r="C649"/>
  <c r="E688"/>
  <c r="B51"/>
  <c r="G335"/>
  <c r="F261"/>
  <c r="B394"/>
  <c r="B121"/>
  <c r="C62"/>
  <c r="B54"/>
  <c r="B560"/>
  <c r="C185"/>
  <c r="G397"/>
  <c r="G557"/>
  <c r="B74"/>
  <c r="F671"/>
  <c r="G47"/>
  <c r="F655"/>
  <c r="F338"/>
  <c r="A44"/>
  <c r="J44" s="1"/>
  <c r="C395"/>
  <c r="B450"/>
  <c r="G494"/>
  <c r="F494"/>
  <c r="C341"/>
  <c r="E673"/>
  <c r="E576"/>
  <c r="F184"/>
  <c r="E43"/>
  <c r="C261"/>
  <c r="B691"/>
  <c r="E569"/>
  <c r="F345"/>
  <c r="E684"/>
  <c r="E183"/>
  <c r="E34"/>
  <c r="F454"/>
  <c r="F670"/>
  <c r="B24"/>
  <c r="B498"/>
  <c r="F259"/>
  <c r="F654"/>
  <c r="G390"/>
  <c r="B117"/>
  <c r="B43"/>
  <c r="C44"/>
  <c r="C19"/>
  <c r="F39"/>
  <c r="G184"/>
  <c r="F266"/>
  <c r="B395"/>
  <c r="F49"/>
  <c r="B652"/>
  <c r="F447"/>
  <c r="B659"/>
  <c r="E451"/>
  <c r="B564"/>
  <c r="F553"/>
  <c r="A49"/>
  <c r="J49" s="1"/>
  <c r="F688"/>
  <c r="B220"/>
  <c r="B572"/>
  <c r="F55"/>
  <c r="F394"/>
  <c r="B556"/>
  <c r="A59"/>
  <c r="J59" s="1"/>
  <c r="B339"/>
  <c r="E31"/>
  <c r="F397"/>
  <c r="C39"/>
  <c r="B552"/>
  <c r="G266"/>
  <c r="E346"/>
  <c r="E567"/>
  <c r="G20"/>
  <c r="E449"/>
  <c r="C391"/>
  <c r="C339"/>
  <c r="F51"/>
  <c r="B562"/>
  <c r="E668"/>
  <c r="C496"/>
  <c r="G569"/>
  <c r="B267"/>
  <c r="C663"/>
  <c r="F341"/>
  <c r="F687"/>
  <c r="A37"/>
  <c r="J37" s="1"/>
  <c r="C344"/>
  <c r="F665"/>
  <c r="B113"/>
  <c r="E691"/>
  <c r="C494"/>
  <c r="C259"/>
  <c r="C670"/>
  <c r="F391"/>
  <c r="E672"/>
  <c r="C32"/>
  <c r="F27"/>
  <c r="B573"/>
  <c r="B20"/>
  <c r="G346"/>
  <c r="E191"/>
  <c r="F190"/>
  <c r="E675"/>
  <c r="C15"/>
  <c r="C658"/>
  <c r="G567"/>
  <c r="G391"/>
  <c r="E32"/>
  <c r="G549"/>
  <c r="A33"/>
  <c r="J33" s="1"/>
  <c r="B40"/>
  <c r="C218"/>
  <c r="C647"/>
  <c r="C549"/>
  <c r="E556"/>
  <c r="G658"/>
  <c r="E186"/>
  <c r="B47"/>
  <c r="C189"/>
  <c r="F42"/>
  <c r="G75"/>
  <c r="C571"/>
  <c r="G121"/>
  <c r="E15"/>
  <c r="C112"/>
  <c r="B681"/>
  <c r="B651"/>
  <c r="C40"/>
  <c r="A48"/>
  <c r="J48" s="1"/>
  <c r="E110"/>
  <c r="E692"/>
  <c r="F77"/>
  <c r="G499"/>
  <c r="B396"/>
  <c r="G22"/>
  <c r="G28"/>
  <c r="F57"/>
  <c r="C674"/>
  <c r="C16"/>
  <c r="F449"/>
  <c r="C573"/>
  <c r="F34"/>
  <c r="C661"/>
  <c r="E22"/>
  <c r="G492"/>
  <c r="B398"/>
  <c r="C47"/>
  <c r="B499"/>
  <c r="B77"/>
  <c r="F24"/>
  <c r="B39"/>
  <c r="C116"/>
  <c r="G113"/>
  <c r="E33"/>
  <c r="F692"/>
  <c r="B675"/>
  <c r="F496"/>
  <c r="C264"/>
  <c r="B397"/>
  <c r="F664"/>
  <c r="C111"/>
  <c r="G452"/>
  <c r="E221"/>
  <c r="B493"/>
  <c r="B648"/>
  <c r="C21"/>
  <c r="G680"/>
  <c r="E681"/>
  <c r="B393"/>
  <c r="B216"/>
  <c r="E262"/>
  <c r="F565"/>
  <c r="G396"/>
  <c r="F344"/>
  <c r="E344"/>
  <c r="E650"/>
  <c r="F450"/>
  <c r="E220"/>
  <c r="B456"/>
  <c r="A577"/>
  <c r="J577" s="1"/>
  <c r="E689"/>
  <c r="G118"/>
  <c r="F672"/>
  <c r="F569"/>
  <c r="F221"/>
  <c r="G562"/>
  <c r="G39"/>
  <c r="B451"/>
  <c r="G38"/>
  <c r="G337"/>
  <c r="F74"/>
  <c r="G565"/>
  <c r="E78"/>
  <c r="G554"/>
  <c r="G669"/>
  <c r="G35"/>
  <c r="C79"/>
  <c r="G454"/>
  <c r="F658"/>
  <c r="A51"/>
  <c r="J51" s="1"/>
  <c r="E662"/>
  <c r="F31"/>
  <c r="B183"/>
  <c r="G186"/>
  <c r="E654"/>
  <c r="E52"/>
  <c r="F392"/>
  <c r="C572"/>
  <c r="G223"/>
  <c r="E347"/>
  <c r="F347"/>
  <c r="C668"/>
  <c r="C56"/>
  <c r="E687"/>
  <c r="G564"/>
  <c r="F499"/>
  <c r="E665"/>
  <c r="B668"/>
  <c r="E59"/>
  <c r="B27"/>
  <c r="B665"/>
  <c r="C563"/>
  <c r="E558"/>
  <c r="G58"/>
  <c r="E648"/>
  <c r="B496"/>
  <c r="F52"/>
  <c r="B342"/>
  <c r="B555"/>
  <c r="F648"/>
  <c r="F81"/>
  <c r="C577"/>
  <c r="G498"/>
  <c r="E18"/>
  <c r="E448"/>
  <c r="G662"/>
  <c r="E676"/>
  <c r="C673"/>
  <c r="B550"/>
  <c r="E664"/>
  <c r="E119"/>
  <c r="C495"/>
  <c r="E45"/>
  <c r="C343"/>
  <c r="C568"/>
  <c r="G688"/>
  <c r="G684"/>
  <c r="C183"/>
  <c r="C117"/>
  <c r="G259"/>
  <c r="E25"/>
  <c r="G656"/>
  <c r="B26"/>
  <c r="C398"/>
  <c r="F339"/>
  <c r="A50"/>
  <c r="J50" s="1"/>
  <c r="G576"/>
  <c r="E182"/>
  <c r="C676"/>
  <c r="B181"/>
  <c r="G561"/>
  <c r="G182"/>
  <c r="G42"/>
  <c r="E181"/>
  <c r="F80"/>
  <c r="F25"/>
  <c r="F395"/>
  <c r="E113"/>
  <c r="B46"/>
  <c r="F689"/>
  <c r="G222"/>
  <c r="B30"/>
  <c r="F223"/>
  <c r="G450"/>
  <c r="F556"/>
  <c r="B390"/>
  <c r="E58"/>
  <c r="B559"/>
  <c r="B491"/>
  <c r="B221"/>
  <c r="G57"/>
  <c r="C336"/>
  <c r="C553"/>
  <c r="G558"/>
  <c r="F258"/>
  <c r="F17"/>
  <c r="F38"/>
  <c r="F185"/>
  <c r="G395"/>
  <c r="F115"/>
  <c r="B191"/>
  <c r="F653"/>
  <c r="B264"/>
  <c r="G263"/>
  <c r="F663"/>
  <c r="C656"/>
  <c r="C576"/>
  <c r="E46"/>
  <c r="E334"/>
  <c r="B344"/>
  <c r="G76"/>
  <c r="B217"/>
  <c r="G660"/>
  <c r="B672"/>
  <c r="E552"/>
  <c r="B37"/>
  <c r="C267"/>
  <c r="G659"/>
  <c r="G572"/>
  <c r="E188"/>
  <c r="C452"/>
  <c r="G17"/>
  <c r="C565"/>
  <c r="E554"/>
  <c r="G574"/>
  <c r="F26"/>
  <c r="A400"/>
  <c r="J400" s="1"/>
  <c r="B190"/>
  <c r="B662"/>
  <c r="C551"/>
  <c r="E219"/>
  <c r="B686"/>
  <c r="E23"/>
  <c r="E389"/>
  <c r="B679"/>
  <c r="B667"/>
  <c r="E49"/>
  <c r="A62"/>
  <c r="J62" s="1"/>
  <c r="E27"/>
  <c r="B650"/>
  <c r="G667"/>
  <c r="B19"/>
  <c r="E44"/>
  <c r="C45"/>
  <c r="G652"/>
  <c r="C492"/>
  <c r="E671"/>
  <c r="F50"/>
  <c r="G48"/>
  <c r="F218"/>
  <c r="B55"/>
  <c r="C451"/>
  <c r="F684"/>
  <c r="G447"/>
  <c r="C181"/>
  <c r="B666"/>
  <c r="E339"/>
  <c r="B554"/>
  <c r="E121"/>
  <c r="C675"/>
  <c r="E64"/>
  <c r="E657"/>
  <c r="G345"/>
  <c r="E222"/>
  <c r="E338"/>
  <c r="B58"/>
  <c r="G347"/>
  <c r="F558"/>
  <c r="E74"/>
  <c r="F222"/>
  <c r="G661"/>
  <c r="E115"/>
  <c r="B21"/>
  <c r="C557"/>
  <c r="F54"/>
  <c r="G59"/>
  <c r="E566"/>
  <c r="F48"/>
  <c r="B261"/>
  <c r="E117"/>
  <c r="E398"/>
  <c r="E493"/>
  <c r="F570"/>
  <c r="B565"/>
  <c r="F22"/>
  <c r="B661"/>
  <c r="B654"/>
  <c r="G50"/>
  <c r="F388"/>
  <c r="B677"/>
  <c r="B81"/>
  <c r="E394"/>
  <c r="F675"/>
  <c r="B494"/>
  <c r="C683"/>
  <c r="B680"/>
  <c r="F53"/>
  <c r="G27"/>
  <c r="E185"/>
  <c r="F186"/>
  <c r="G393"/>
  <c r="F673"/>
  <c r="C566"/>
  <c r="B549"/>
  <c r="C680"/>
  <c r="F682"/>
  <c r="E341"/>
  <c r="B219"/>
  <c r="B184"/>
  <c r="F568"/>
  <c r="C221"/>
  <c r="E114"/>
  <c r="E561"/>
  <c r="F576"/>
  <c r="G62"/>
  <c r="G676"/>
  <c r="C34"/>
  <c r="E184"/>
  <c r="B687"/>
  <c r="G681"/>
  <c r="G651"/>
  <c r="B671"/>
  <c r="B557"/>
  <c r="C552"/>
  <c r="E395"/>
  <c r="G265"/>
  <c r="E397"/>
  <c r="C53"/>
  <c r="C677"/>
  <c r="B109"/>
  <c r="F455"/>
  <c r="G261"/>
  <c r="C493"/>
  <c r="C450"/>
  <c r="G218"/>
  <c r="B23"/>
  <c r="E48"/>
  <c r="F20"/>
  <c r="A556"/>
  <c r="J556" s="1"/>
  <c r="A566"/>
  <c r="J566" s="1"/>
  <c r="A571"/>
  <c r="J571" s="1"/>
  <c r="A186"/>
  <c r="J186" s="1"/>
  <c r="A258"/>
  <c r="J258" s="1"/>
  <c r="A661"/>
  <c r="J661" s="1"/>
  <c r="A394"/>
  <c r="J394" s="1"/>
  <c r="A222"/>
  <c r="J222" s="1"/>
  <c r="A75"/>
  <c r="J75" s="1"/>
  <c r="A575"/>
  <c r="J575" s="1"/>
  <c r="A492"/>
  <c r="J492" s="1"/>
  <c r="A497"/>
  <c r="J497" s="1"/>
  <c r="A549"/>
  <c r="J549" s="1"/>
  <c r="A648"/>
  <c r="J648" s="1"/>
  <c r="A563"/>
  <c r="J563" s="1"/>
  <c r="A553"/>
  <c r="J553" s="1"/>
  <c r="A216"/>
  <c r="J216" s="1"/>
  <c r="A77"/>
  <c r="J77" s="1"/>
  <c r="A652"/>
  <c r="J652" s="1"/>
  <c r="A448"/>
  <c r="J448" s="1"/>
  <c r="A112"/>
  <c r="J112" s="1"/>
  <c r="A388"/>
  <c r="J388" s="1"/>
  <c r="A668"/>
  <c r="J668" s="1"/>
  <c r="A116"/>
  <c r="J116" s="1"/>
  <c r="A221"/>
  <c r="J221" s="1"/>
  <c r="A396"/>
  <c r="J396" s="1"/>
  <c r="A679"/>
  <c r="J679" s="1"/>
  <c r="A558"/>
  <c r="J558" s="1"/>
  <c r="A23"/>
  <c r="J23" s="1"/>
  <c r="A189"/>
  <c r="J189" s="1"/>
  <c r="A660"/>
  <c r="J660" s="1"/>
  <c r="A555"/>
  <c r="J555" s="1"/>
  <c r="A340"/>
  <c r="J340" s="1"/>
  <c r="A671"/>
  <c r="J671" s="1"/>
  <c r="A334"/>
  <c r="J334" s="1"/>
  <c r="A264"/>
  <c r="J264" s="1"/>
  <c r="A692"/>
  <c r="J692" s="1"/>
  <c r="A118"/>
  <c r="J118" s="1"/>
  <c r="A395"/>
  <c r="J395" s="1"/>
  <c r="A551"/>
  <c r="J551" s="1"/>
  <c r="A17"/>
  <c r="J17" s="1"/>
  <c r="A554"/>
  <c r="J554" s="1"/>
  <c r="A263"/>
  <c r="J263" s="1"/>
  <c r="A569"/>
  <c r="J569" s="1"/>
  <c r="A76"/>
  <c r="J76" s="1"/>
  <c r="A109"/>
  <c r="J109" s="1"/>
  <c r="A667"/>
  <c r="J667" s="1"/>
  <c r="A681"/>
  <c r="J681" s="1"/>
  <c r="A27"/>
  <c r="J27" s="1"/>
  <c r="A687"/>
  <c r="J687" s="1"/>
  <c r="A259"/>
  <c r="J259" s="1"/>
  <c r="A651"/>
  <c r="J651" s="1"/>
  <c r="A493"/>
  <c r="J493" s="1"/>
  <c r="A219"/>
  <c r="J219" s="1"/>
  <c r="A655"/>
  <c r="J655" s="1"/>
  <c r="A653"/>
  <c r="J653" s="1"/>
  <c r="A19"/>
  <c r="J19" s="1"/>
  <c r="A16"/>
  <c r="J16" s="1"/>
  <c r="A110"/>
  <c r="J110" s="1"/>
  <c r="A397"/>
  <c r="J397" s="1"/>
  <c r="A79"/>
  <c r="J79" s="1"/>
  <c r="A491"/>
  <c r="J491" s="1"/>
  <c r="A391"/>
  <c r="J391" s="1"/>
  <c r="A499"/>
  <c r="J499" s="1"/>
  <c r="A30"/>
  <c r="J30" s="1"/>
  <c r="A217"/>
  <c r="J217" s="1"/>
  <c r="A452"/>
  <c r="J452" s="1"/>
  <c r="A455"/>
  <c r="J455" s="1"/>
  <c r="A688"/>
  <c r="J688" s="1"/>
  <c r="A347"/>
  <c r="J347" s="1"/>
  <c r="A21"/>
  <c r="J21" s="1"/>
  <c r="A262"/>
  <c r="J262" s="1"/>
  <c r="A182"/>
  <c r="J182" s="1"/>
  <c r="A345"/>
  <c r="J345" s="1"/>
  <c r="A115"/>
  <c r="J115" s="1"/>
  <c r="A343"/>
  <c r="J343" s="1"/>
  <c r="A574"/>
  <c r="J574" s="1"/>
  <c r="A335"/>
  <c r="J335" s="1"/>
  <c r="A560"/>
  <c r="J560" s="1"/>
  <c r="A119"/>
  <c r="J119" s="1"/>
  <c r="A649"/>
  <c r="J649" s="1"/>
  <c r="A559"/>
  <c r="J559" s="1"/>
  <c r="A346"/>
  <c r="J346" s="1"/>
  <c r="A31"/>
  <c r="J31" s="1"/>
  <c r="A674"/>
  <c r="J674" s="1"/>
  <c r="A496"/>
  <c r="J496" s="1"/>
  <c r="A32"/>
  <c r="J32" s="1"/>
  <c r="A114"/>
  <c r="J114" s="1"/>
  <c r="A121"/>
  <c r="J121" s="1"/>
  <c r="A678"/>
  <c r="J678" s="1"/>
  <c r="A336"/>
  <c r="J336" s="1"/>
  <c r="A562"/>
  <c r="J562" s="1"/>
  <c r="A393"/>
  <c r="J393" s="1"/>
  <c r="A654"/>
  <c r="J654" s="1"/>
  <c r="A677"/>
  <c r="J677" s="1"/>
  <c r="A80"/>
  <c r="J80" s="1"/>
  <c r="A15"/>
  <c r="J15" s="1"/>
  <c r="A392"/>
  <c r="J392" s="1"/>
  <c r="A339"/>
  <c r="J339" s="1"/>
  <c r="A650"/>
  <c r="J650" s="1"/>
  <c r="A261"/>
  <c r="J261" s="1"/>
  <c r="A570"/>
  <c r="J570" s="1"/>
  <c r="A348"/>
  <c r="J348" s="1"/>
  <c r="A187"/>
  <c r="J187" s="1"/>
  <c r="A191"/>
  <c r="J191" s="1"/>
  <c r="A29"/>
  <c r="J29" s="1"/>
  <c r="A552"/>
  <c r="J552" s="1"/>
  <c r="A113"/>
  <c r="J113" s="1"/>
  <c r="A664"/>
  <c r="J664" s="1"/>
  <c r="A686"/>
  <c r="J686" s="1"/>
  <c r="A120"/>
  <c r="J120" s="1"/>
  <c r="A266"/>
  <c r="J266" s="1"/>
  <c r="A265"/>
  <c r="J265" s="1"/>
  <c r="A399"/>
  <c r="J399" s="1"/>
  <c r="A665"/>
  <c r="J665" s="1"/>
  <c r="A662"/>
  <c r="J662" s="1"/>
  <c r="A647"/>
  <c r="J647" s="1"/>
  <c r="A494"/>
  <c r="J494" s="1"/>
  <c r="A260"/>
  <c r="J260" s="1"/>
  <c r="A683"/>
  <c r="J683" s="1"/>
  <c r="A22"/>
  <c r="J22" s="1"/>
  <c r="A20"/>
  <c r="J20" s="1"/>
  <c r="A572"/>
  <c r="J572" s="1"/>
  <c r="A185"/>
  <c r="J185" s="1"/>
  <c r="A568"/>
  <c r="J568" s="1"/>
  <c r="A117"/>
  <c r="J117" s="1"/>
  <c r="A453"/>
  <c r="J453" s="1"/>
  <c r="A449"/>
  <c r="J449" s="1"/>
  <c r="A666"/>
  <c r="J666" s="1"/>
  <c r="A390"/>
  <c r="J390" s="1"/>
  <c r="A267"/>
  <c r="J267" s="1"/>
  <c r="A565"/>
  <c r="J565" s="1"/>
  <c r="A495"/>
  <c r="J495" s="1"/>
  <c r="A550"/>
  <c r="J550" s="1"/>
  <c r="A684"/>
  <c r="J684" s="1"/>
  <c r="A28"/>
  <c r="J28" s="1"/>
  <c r="A78"/>
  <c r="J78" s="1"/>
  <c r="A658"/>
  <c r="J658" s="1"/>
  <c r="A450"/>
  <c r="J450" s="1"/>
  <c r="A669"/>
  <c r="J669" s="1"/>
  <c r="A447"/>
  <c r="J447" s="1"/>
  <c r="A659"/>
  <c r="J659" s="1"/>
  <c r="A690"/>
  <c r="J690" s="1"/>
  <c r="A220"/>
  <c r="J220" s="1"/>
  <c r="A576"/>
  <c r="J576" s="1"/>
  <c r="A454"/>
  <c r="J454" s="1"/>
  <c r="A673"/>
  <c r="J673" s="1"/>
  <c r="A691"/>
  <c r="J691" s="1"/>
  <c r="A564"/>
  <c r="J564" s="1"/>
  <c r="A183"/>
  <c r="J183" s="1"/>
  <c r="A656"/>
  <c r="J656" s="1"/>
  <c r="A111"/>
  <c r="J111" s="1"/>
  <c r="A663"/>
  <c r="J663" s="1"/>
  <c r="A26"/>
  <c r="J26" s="1"/>
  <c r="A680"/>
  <c r="J680" s="1"/>
  <c r="A181"/>
  <c r="J181" s="1"/>
  <c r="A188"/>
  <c r="J188" s="1"/>
  <c r="A337"/>
  <c r="J337" s="1"/>
  <c r="A675"/>
  <c r="J675" s="1"/>
  <c r="A561"/>
  <c r="J561" s="1"/>
  <c r="A342"/>
  <c r="J342" s="1"/>
  <c r="A184"/>
  <c r="J184" s="1"/>
  <c r="A344"/>
  <c r="J344" s="1"/>
  <c r="A657"/>
  <c r="J657" s="1"/>
  <c r="A74"/>
  <c r="J74" s="1"/>
  <c r="A25"/>
  <c r="J25" s="1"/>
  <c r="A498"/>
  <c r="J498" s="1"/>
  <c r="A676"/>
  <c r="J676" s="1"/>
  <c r="A573"/>
  <c r="J573" s="1"/>
  <c r="A218"/>
  <c r="J218" s="1"/>
  <c r="A190"/>
  <c r="J190" s="1"/>
  <c r="A451"/>
  <c r="J451" s="1"/>
  <c r="A398"/>
  <c r="J398" s="1"/>
  <c r="A685"/>
  <c r="J685" s="1"/>
  <c r="A24"/>
  <c r="J24" s="1"/>
  <c r="A456"/>
  <c r="J456" s="1"/>
  <c r="A682"/>
  <c r="J682" s="1"/>
  <c r="A389"/>
  <c r="J389" s="1"/>
  <c r="A670"/>
  <c r="J670" s="1"/>
  <c r="A567"/>
  <c r="J567" s="1"/>
  <c r="A672"/>
  <c r="J672" s="1"/>
  <c r="A341"/>
  <c r="J341" s="1"/>
  <c r="A338"/>
  <c r="J338" s="1"/>
  <c r="A18"/>
  <c r="J18" s="1"/>
  <c r="A689"/>
  <c r="J689" s="1"/>
  <c r="A557"/>
  <c r="J557" s="1"/>
  <c r="G334"/>
  <c r="D28"/>
  <c r="D577"/>
  <c r="D37"/>
  <c r="D496"/>
  <c r="D682"/>
  <c r="D397"/>
  <c r="D79"/>
  <c r="D55"/>
  <c r="D569"/>
  <c r="D343"/>
  <c r="D220"/>
  <c r="D219"/>
  <c r="D686"/>
  <c r="D334"/>
  <c r="D346"/>
  <c r="D188"/>
  <c r="D46"/>
  <c r="D681"/>
  <c r="D61"/>
  <c r="D498"/>
  <c r="D222"/>
  <c r="D115"/>
  <c r="D23"/>
  <c r="D395"/>
  <c r="D76"/>
  <c r="D221"/>
  <c r="D217"/>
  <c r="D30"/>
  <c r="D392"/>
  <c r="D683"/>
  <c r="D62"/>
  <c r="D692"/>
  <c r="D566"/>
  <c r="D264"/>
  <c r="D653"/>
  <c r="D647"/>
  <c r="D495"/>
  <c r="D491"/>
  <c r="D190"/>
  <c r="D63"/>
  <c r="D265"/>
  <c r="D183"/>
  <c r="D649"/>
  <c r="D557"/>
  <c r="D44"/>
  <c r="D399"/>
  <c r="D454"/>
  <c r="D336"/>
  <c r="D563"/>
  <c r="D114"/>
  <c r="D22"/>
  <c r="D52"/>
  <c r="D571"/>
  <c r="D261"/>
  <c r="D75"/>
  <c r="D688"/>
  <c r="D400"/>
  <c r="D59"/>
  <c r="D33"/>
  <c r="D451"/>
  <c r="D57"/>
  <c r="D398"/>
  <c r="D64"/>
  <c r="D262"/>
  <c r="D60"/>
  <c r="D34"/>
  <c r="D119"/>
  <c r="D25"/>
  <c r="D81"/>
  <c r="D50"/>
  <c r="D121"/>
  <c r="D36"/>
  <c r="D45"/>
  <c r="D575"/>
  <c r="D340"/>
  <c r="D43"/>
  <c r="D74"/>
  <c r="D111"/>
  <c r="D650"/>
  <c r="D651"/>
  <c r="D51"/>
  <c r="D562"/>
  <c r="D393"/>
  <c r="D679"/>
  <c r="D561"/>
  <c r="D218"/>
  <c r="D58"/>
  <c r="D32"/>
  <c r="D499"/>
  <c r="D394"/>
  <c r="D47"/>
  <c r="D337"/>
  <c r="D48"/>
  <c r="D574"/>
  <c r="D494"/>
  <c r="D31"/>
  <c r="D685"/>
  <c r="D497"/>
  <c r="D449"/>
  <c r="D54"/>
  <c r="D120"/>
  <c r="D678"/>
  <c r="D49"/>
  <c r="D345"/>
  <c r="D117"/>
  <c r="D53"/>
  <c r="D689"/>
  <c r="D347"/>
  <c r="D570"/>
  <c r="D339"/>
  <c r="D567"/>
  <c r="D568"/>
  <c r="D453"/>
  <c r="D191"/>
  <c r="D39"/>
  <c r="D19"/>
  <c r="D216"/>
  <c r="D648"/>
  <c r="D660"/>
  <c r="D668"/>
  <c r="D675"/>
  <c r="D560"/>
  <c r="D42"/>
  <c r="D684"/>
  <c r="D452"/>
  <c r="D223"/>
  <c r="D447"/>
  <c r="D338"/>
  <c r="D27"/>
  <c r="D40"/>
  <c r="D344"/>
  <c r="D492"/>
  <c r="D24"/>
  <c r="D680"/>
  <c r="D455"/>
  <c r="D26"/>
  <c r="D572"/>
  <c r="D396"/>
  <c r="D691"/>
  <c r="D565"/>
  <c r="D78"/>
  <c r="D690"/>
  <c r="D35"/>
  <c r="D266"/>
  <c r="D189"/>
  <c r="D29"/>
  <c r="D56"/>
  <c r="D116"/>
  <c r="D38"/>
  <c r="D348"/>
  <c r="D267"/>
  <c r="D118"/>
  <c r="D573"/>
  <c r="D493"/>
  <c r="D263"/>
  <c r="F334"/>
  <c r="D341"/>
  <c r="D456"/>
  <c r="D391"/>
  <c r="D187"/>
  <c r="D21"/>
  <c r="D41"/>
  <c r="D17"/>
  <c r="D20"/>
  <c r="D184"/>
  <c r="D335"/>
  <c r="D550"/>
  <c r="D555"/>
  <c r="D666"/>
  <c r="D576"/>
  <c r="D564"/>
  <c r="D342"/>
  <c r="D80"/>
  <c r="D549"/>
  <c r="D15"/>
  <c r="D671"/>
  <c r="D670"/>
  <c r="H5" i="62" a="1"/>
  <c r="H5" s="1"/>
  <c r="F10" i="15" a="1"/>
  <c r="F10" s="1"/>
  <c r="E4" i="12" a="1"/>
  <c r="E4" s="1"/>
  <c r="D448" i="47"/>
  <c r="D113"/>
  <c r="D667"/>
  <c r="D661"/>
  <c r="D652"/>
  <c r="D77"/>
  <c r="C14" i="39"/>
  <c r="I461" i="71" l="1"/>
  <c r="I462" s="1"/>
  <c r="I463" s="1"/>
  <c r="I464" s="1"/>
  <c r="H462"/>
  <c r="H463" s="1"/>
  <c r="H464" s="1"/>
  <c r="H465" s="1"/>
  <c r="F805"/>
  <c r="D805"/>
  <c r="B805"/>
  <c r="G804"/>
  <c r="E804"/>
  <c r="C804"/>
  <c r="A804"/>
  <c r="F803"/>
  <c r="D803"/>
  <c r="B803"/>
  <c r="G802"/>
  <c r="E802"/>
  <c r="C802"/>
  <c r="A802"/>
  <c r="F801"/>
  <c r="D801"/>
  <c r="B801"/>
  <c r="G800"/>
  <c r="E800"/>
  <c r="C800"/>
  <c r="A800"/>
  <c r="F799"/>
  <c r="D799"/>
  <c r="B799"/>
  <c r="G798"/>
  <c r="E798"/>
  <c r="C798"/>
  <c r="A798"/>
  <c r="F797"/>
  <c r="D797"/>
  <c r="B797"/>
  <c r="G805"/>
  <c r="E805"/>
  <c r="C805"/>
  <c r="A805"/>
  <c r="F804"/>
  <c r="D804"/>
  <c r="B804"/>
  <c r="G803"/>
  <c r="E803"/>
  <c r="C803"/>
  <c r="A803"/>
  <c r="F802"/>
  <c r="D802"/>
  <c r="B802"/>
  <c r="G801"/>
  <c r="E801"/>
  <c r="C801"/>
  <c r="A801"/>
  <c r="F800"/>
  <c r="D800"/>
  <c r="B800"/>
  <c r="G799"/>
  <c r="E799"/>
  <c r="C799"/>
  <c r="A799"/>
  <c r="F798"/>
  <c r="D798"/>
  <c r="B798"/>
  <c r="G797"/>
  <c r="E797"/>
  <c r="C797"/>
  <c r="A797"/>
  <c r="D795" i="47"/>
  <c r="B796"/>
  <c r="F796"/>
  <c r="D797"/>
  <c r="A798"/>
  <c r="E798"/>
  <c r="A799"/>
  <c r="E799"/>
  <c r="A800"/>
  <c r="E800"/>
  <c r="A801"/>
  <c r="E801"/>
  <c r="A802"/>
  <c r="E802"/>
  <c r="A803"/>
  <c r="E803"/>
  <c r="B804"/>
  <c r="F804"/>
  <c r="D805"/>
  <c r="C805"/>
  <c r="G805"/>
  <c r="C795"/>
  <c r="G795"/>
  <c r="C796"/>
  <c r="G796"/>
  <c r="C797"/>
  <c r="G797"/>
  <c r="D798"/>
  <c r="B799"/>
  <c r="F799"/>
  <c r="D800"/>
  <c r="B801"/>
  <c r="F801"/>
  <c r="D802"/>
  <c r="B803"/>
  <c r="F803"/>
  <c r="C804"/>
  <c r="G804"/>
  <c r="B786"/>
  <c r="B794"/>
  <c r="A793"/>
  <c r="J793" s="1"/>
  <c r="G791"/>
  <c r="F790"/>
  <c r="E789"/>
  <c r="E788"/>
  <c r="E787"/>
  <c r="E786"/>
  <c r="E794"/>
  <c r="D793"/>
  <c r="C792"/>
  <c r="B791"/>
  <c r="A790"/>
  <c r="J790" s="1"/>
  <c r="F788"/>
  <c r="D787"/>
  <c r="D775"/>
  <c r="G793"/>
  <c r="F792"/>
  <c r="E791"/>
  <c r="D790"/>
  <c r="C789"/>
  <c r="C788"/>
  <c r="C787"/>
  <c r="C786"/>
  <c r="C794"/>
  <c r="B793"/>
  <c r="A792"/>
  <c r="J792" s="1"/>
  <c r="G790"/>
  <c r="F789"/>
  <c r="D788"/>
  <c r="B787"/>
  <c r="G785"/>
  <c r="F784"/>
  <c r="E783"/>
  <c r="D782"/>
  <c r="C781"/>
  <c r="B780"/>
  <c r="A779"/>
  <c r="J779" s="1"/>
  <c r="G777"/>
  <c r="G776"/>
  <c r="G775"/>
  <c r="F785"/>
  <c r="E784"/>
  <c r="D783"/>
  <c r="C782"/>
  <c r="B781"/>
  <c r="A780"/>
  <c r="J780" s="1"/>
  <c r="G778"/>
  <c r="F777"/>
  <c r="D776"/>
  <c r="B775"/>
  <c r="A785"/>
  <c r="J785" s="1"/>
  <c r="G783"/>
  <c r="F782"/>
  <c r="E781"/>
  <c r="D780"/>
  <c r="C779"/>
  <c r="B778"/>
  <c r="A777"/>
  <c r="J777" s="1"/>
  <c r="A776"/>
  <c r="J776" s="1"/>
  <c r="A775"/>
  <c r="J775" s="1"/>
  <c r="G784"/>
  <c r="F783"/>
  <c r="E782"/>
  <c r="D781"/>
  <c r="C780"/>
  <c r="B779"/>
  <c r="A778"/>
  <c r="J778" s="1"/>
  <c r="F776"/>
  <c r="D764"/>
  <c r="B774"/>
  <c r="A773"/>
  <c r="J773" s="1"/>
  <c r="G771"/>
  <c r="F770"/>
  <c r="E769"/>
  <c r="D768"/>
  <c r="C767"/>
  <c r="C766"/>
  <c r="C765"/>
  <c r="C764"/>
  <c r="C774"/>
  <c r="B773"/>
  <c r="A772"/>
  <c r="J772" s="1"/>
  <c r="G770"/>
  <c r="F769"/>
  <c r="E768"/>
  <c r="D767"/>
  <c r="B766"/>
  <c r="F764"/>
  <c r="D774"/>
  <c r="C773"/>
  <c r="B772"/>
  <c r="A771"/>
  <c r="J771" s="1"/>
  <c r="G769"/>
  <c r="F768"/>
  <c r="E767"/>
  <c r="E766"/>
  <c r="E765"/>
  <c r="E764"/>
  <c r="E774"/>
  <c r="D773"/>
  <c r="C772"/>
  <c r="B771"/>
  <c r="A770"/>
  <c r="J770" s="1"/>
  <c r="G768"/>
  <c r="F767"/>
  <c r="D766"/>
  <c r="B765"/>
  <c r="D763"/>
  <c r="C762"/>
  <c r="B761"/>
  <c r="A760"/>
  <c r="J760" s="1"/>
  <c r="G758"/>
  <c r="F757"/>
  <c r="E756"/>
  <c r="D755"/>
  <c r="C754"/>
  <c r="B753"/>
  <c r="A752"/>
  <c r="J752" s="1"/>
  <c r="A751"/>
  <c r="J751" s="1"/>
  <c r="A750"/>
  <c r="J750" s="1"/>
  <c r="A749"/>
  <c r="J749" s="1"/>
  <c r="C763"/>
  <c r="B762"/>
  <c r="A761"/>
  <c r="J761" s="1"/>
  <c r="G759"/>
  <c r="F758"/>
  <c r="E757"/>
  <c r="D756"/>
  <c r="C755"/>
  <c r="B754"/>
  <c r="A753"/>
  <c r="J753" s="1"/>
  <c r="F751"/>
  <c r="D750"/>
  <c r="B749"/>
  <c r="B763"/>
  <c r="A762"/>
  <c r="J762" s="1"/>
  <c r="G760"/>
  <c r="F759"/>
  <c r="E758"/>
  <c r="D757"/>
  <c r="C756"/>
  <c r="B755"/>
  <c r="A754"/>
  <c r="J754" s="1"/>
  <c r="G752"/>
  <c r="G751"/>
  <c r="G750"/>
  <c r="G749"/>
  <c r="E763"/>
  <c r="D762"/>
  <c r="C761"/>
  <c r="B760"/>
  <c r="A759"/>
  <c r="J759" s="1"/>
  <c r="G757"/>
  <c r="F756"/>
  <c r="E755"/>
  <c r="D754"/>
  <c r="C753"/>
  <c r="B752"/>
  <c r="F750"/>
  <c r="D749"/>
  <c r="F748"/>
  <c r="E747"/>
  <c r="D746"/>
  <c r="C745"/>
  <c r="B744"/>
  <c r="A743"/>
  <c r="J743" s="1"/>
  <c r="G741"/>
  <c r="F740"/>
  <c r="E739"/>
  <c r="D738"/>
  <c r="C737"/>
  <c r="B736"/>
  <c r="A735"/>
  <c r="J735" s="1"/>
  <c r="G733"/>
  <c r="F732"/>
  <c r="E731"/>
  <c r="D730"/>
  <c r="C729"/>
  <c r="B728"/>
  <c r="A727"/>
  <c r="J727" s="1"/>
  <c r="G725"/>
  <c r="F724"/>
  <c r="E723"/>
  <c r="D722"/>
  <c r="C721"/>
  <c r="B720"/>
  <c r="A719"/>
  <c r="J719" s="1"/>
  <c r="A718"/>
  <c r="J718" s="1"/>
  <c r="A717"/>
  <c r="J717" s="1"/>
  <c r="A716"/>
  <c r="J716" s="1"/>
  <c r="D747"/>
  <c r="C746"/>
  <c r="B745"/>
  <c r="A744"/>
  <c r="J744" s="1"/>
  <c r="G742"/>
  <c r="F741"/>
  <c r="E740"/>
  <c r="D739"/>
  <c r="C738"/>
  <c r="B737"/>
  <c r="A736"/>
  <c r="J736" s="1"/>
  <c r="G734"/>
  <c r="F733"/>
  <c r="E732"/>
  <c r="D731"/>
  <c r="C730"/>
  <c r="B729"/>
  <c r="A728"/>
  <c r="J728" s="1"/>
  <c r="G726"/>
  <c r="F725"/>
  <c r="E724"/>
  <c r="B795"/>
  <c r="F795"/>
  <c r="D796"/>
  <c r="B797"/>
  <c r="F797"/>
  <c r="C798"/>
  <c r="G798"/>
  <c r="C799"/>
  <c r="G799"/>
  <c r="C800"/>
  <c r="G800"/>
  <c r="C801"/>
  <c r="G801"/>
  <c r="C802"/>
  <c r="G802"/>
  <c r="C803"/>
  <c r="G803"/>
  <c r="D804"/>
  <c r="B805"/>
  <c r="F805"/>
  <c r="E805"/>
  <c r="A795"/>
  <c r="J795" s="1"/>
  <c r="E795"/>
  <c r="A796"/>
  <c r="J796" s="1"/>
  <c r="E796"/>
  <c r="A797"/>
  <c r="E797"/>
  <c r="B798"/>
  <c r="F798"/>
  <c r="D799"/>
  <c r="B800"/>
  <c r="F800"/>
  <c r="D801"/>
  <c r="B802"/>
  <c r="F802"/>
  <c r="D803"/>
  <c r="A804"/>
  <c r="E804"/>
  <c r="A805"/>
  <c r="F794"/>
  <c r="E793"/>
  <c r="D792"/>
  <c r="C791"/>
  <c r="B790"/>
  <c r="A789"/>
  <c r="J789" s="1"/>
  <c r="A788"/>
  <c r="J788" s="1"/>
  <c r="A787"/>
  <c r="J787" s="1"/>
  <c r="A786"/>
  <c r="J786" s="1"/>
  <c r="A794"/>
  <c r="J794" s="1"/>
  <c r="G792"/>
  <c r="F791"/>
  <c r="E790"/>
  <c r="D789"/>
  <c r="B788"/>
  <c r="F786"/>
  <c r="D794"/>
  <c r="C793"/>
  <c r="B792"/>
  <c r="A791"/>
  <c r="J791" s="1"/>
  <c r="G789"/>
  <c r="G788"/>
  <c r="G787"/>
  <c r="G786"/>
  <c r="G794"/>
  <c r="F793"/>
  <c r="E792"/>
  <c r="D791"/>
  <c r="C790"/>
  <c r="B789"/>
  <c r="F787"/>
  <c r="D786"/>
  <c r="C785"/>
  <c r="B784"/>
  <c r="A783"/>
  <c r="J783" s="1"/>
  <c r="G781"/>
  <c r="F780"/>
  <c r="E779"/>
  <c r="D778"/>
  <c r="C777"/>
  <c r="C776"/>
  <c r="C775"/>
  <c r="B785"/>
  <c r="A784"/>
  <c r="J784" s="1"/>
  <c r="G782"/>
  <c r="F781"/>
  <c r="E780"/>
  <c r="D779"/>
  <c r="C778"/>
  <c r="B777"/>
  <c r="F775"/>
  <c r="E785"/>
  <c r="D784"/>
  <c r="C783"/>
  <c r="B782"/>
  <c r="A781"/>
  <c r="J781" s="1"/>
  <c r="G779"/>
  <c r="F778"/>
  <c r="E777"/>
  <c r="E776"/>
  <c r="E775"/>
  <c r="D785"/>
  <c r="C784"/>
  <c r="B783"/>
  <c r="A782"/>
  <c r="J782" s="1"/>
  <c r="G780"/>
  <c r="F779"/>
  <c r="E778"/>
  <c r="D777"/>
  <c r="B776"/>
  <c r="F774"/>
  <c r="E773"/>
  <c r="D772"/>
  <c r="C771"/>
  <c r="B770"/>
  <c r="A769"/>
  <c r="J769" s="1"/>
  <c r="G767"/>
  <c r="G766"/>
  <c r="G765"/>
  <c r="G764"/>
  <c r="G774"/>
  <c r="F773"/>
  <c r="E772"/>
  <c r="D771"/>
  <c r="C770"/>
  <c r="B769"/>
  <c r="A768"/>
  <c r="J768" s="1"/>
  <c r="F766"/>
  <c r="D765"/>
  <c r="B764"/>
  <c r="G773"/>
  <c r="F772"/>
  <c r="E771"/>
  <c r="D770"/>
  <c r="C769"/>
  <c r="B768"/>
  <c r="A767"/>
  <c r="J767" s="1"/>
  <c r="A766"/>
  <c r="J766" s="1"/>
  <c r="A765"/>
  <c r="J765" s="1"/>
  <c r="A764"/>
  <c r="J764" s="1"/>
  <c r="A774"/>
  <c r="J774" s="1"/>
  <c r="G772"/>
  <c r="F771"/>
  <c r="E770"/>
  <c r="D769"/>
  <c r="C768"/>
  <c r="B767"/>
  <c r="F765"/>
  <c r="B580"/>
  <c r="G762"/>
  <c r="F761"/>
  <c r="E760"/>
  <c r="D759"/>
  <c r="C758"/>
  <c r="B757"/>
  <c r="A756"/>
  <c r="J756" s="1"/>
  <c r="G754"/>
  <c r="F753"/>
  <c r="E752"/>
  <c r="E751"/>
  <c r="E750"/>
  <c r="E749"/>
  <c r="G763"/>
  <c r="F762"/>
  <c r="E761"/>
  <c r="D760"/>
  <c r="C759"/>
  <c r="B758"/>
  <c r="A757"/>
  <c r="J757" s="1"/>
  <c r="G755"/>
  <c r="F754"/>
  <c r="E753"/>
  <c r="D752"/>
  <c r="B751"/>
  <c r="F749"/>
  <c r="F763"/>
  <c r="E762"/>
  <c r="D761"/>
  <c r="C760"/>
  <c r="B759"/>
  <c r="A758"/>
  <c r="J758" s="1"/>
  <c r="G756"/>
  <c r="F755"/>
  <c r="E754"/>
  <c r="D753"/>
  <c r="C752"/>
  <c r="C751"/>
  <c r="C750"/>
  <c r="C749"/>
  <c r="A763"/>
  <c r="J763" s="1"/>
  <c r="G761"/>
  <c r="F760"/>
  <c r="E759"/>
  <c r="D758"/>
  <c r="C757"/>
  <c r="B756"/>
  <c r="A755"/>
  <c r="J755" s="1"/>
  <c r="G753"/>
  <c r="F752"/>
  <c r="D751"/>
  <c r="B750"/>
  <c r="G748"/>
  <c r="B748"/>
  <c r="A747"/>
  <c r="J747" s="1"/>
  <c r="G745"/>
  <c r="F744"/>
  <c r="E743"/>
  <c r="D742"/>
  <c r="C741"/>
  <c r="B740"/>
  <c r="A739"/>
  <c r="J739" s="1"/>
  <c r="G737"/>
  <c r="F736"/>
  <c r="E735"/>
  <c r="D734"/>
  <c r="C733"/>
  <c r="B732"/>
  <c r="A731"/>
  <c r="J731" s="1"/>
  <c r="G729"/>
  <c r="F728"/>
  <c r="E727"/>
  <c r="D726"/>
  <c r="C725"/>
  <c r="B724"/>
  <c r="A723"/>
  <c r="J723" s="1"/>
  <c r="G721"/>
  <c r="F720"/>
  <c r="E719"/>
  <c r="E718"/>
  <c r="E717"/>
  <c r="E716"/>
  <c r="A748"/>
  <c r="J748" s="1"/>
  <c r="G746"/>
  <c r="F745"/>
  <c r="E744"/>
  <c r="D743"/>
  <c r="C742"/>
  <c r="B741"/>
  <c r="A740"/>
  <c r="J740" s="1"/>
  <c r="G738"/>
  <c r="F737"/>
  <c r="E736"/>
  <c r="D735"/>
  <c r="C734"/>
  <c r="B733"/>
  <c r="A732"/>
  <c r="J732" s="1"/>
  <c r="G730"/>
  <c r="F729"/>
  <c r="E728"/>
  <c r="D727"/>
  <c r="C726"/>
  <c r="B725"/>
  <c r="A724"/>
  <c r="J724" s="1"/>
  <c r="G722"/>
  <c r="F721"/>
  <c r="E720"/>
  <c r="D719"/>
  <c r="C722"/>
  <c r="A720"/>
  <c r="J720" s="1"/>
  <c r="B718"/>
  <c r="F716"/>
  <c r="C748"/>
  <c r="G747"/>
  <c r="F746"/>
  <c r="E745"/>
  <c r="D744"/>
  <c r="C743"/>
  <c r="B742"/>
  <c r="A741"/>
  <c r="J741" s="1"/>
  <c r="G739"/>
  <c r="F738"/>
  <c r="E737"/>
  <c r="D736"/>
  <c r="C735"/>
  <c r="B734"/>
  <c r="A733"/>
  <c r="J733" s="1"/>
  <c r="G731"/>
  <c r="F730"/>
  <c r="E729"/>
  <c r="D728"/>
  <c r="C727"/>
  <c r="B726"/>
  <c r="A725"/>
  <c r="J725" s="1"/>
  <c r="G723"/>
  <c r="F722"/>
  <c r="E721"/>
  <c r="D720"/>
  <c r="C719"/>
  <c r="C718"/>
  <c r="C717"/>
  <c r="C716"/>
  <c r="F747"/>
  <c r="E746"/>
  <c r="D745"/>
  <c r="C744"/>
  <c r="B743"/>
  <c r="A742"/>
  <c r="J742" s="1"/>
  <c r="G740"/>
  <c r="F739"/>
  <c r="E738"/>
  <c r="D737"/>
  <c r="C736"/>
  <c r="B735"/>
  <c r="A734"/>
  <c r="J734" s="1"/>
  <c r="G732"/>
  <c r="F731"/>
  <c r="E730"/>
  <c r="D729"/>
  <c r="C728"/>
  <c r="B727"/>
  <c r="A726"/>
  <c r="J726" s="1"/>
  <c r="G724"/>
  <c r="F723"/>
  <c r="E722"/>
  <c r="D721"/>
  <c r="C720"/>
  <c r="B719"/>
  <c r="F717"/>
  <c r="D716"/>
  <c r="C715"/>
  <c r="B714"/>
  <c r="A713"/>
  <c r="J713" s="1"/>
  <c r="G711"/>
  <c r="F710"/>
  <c r="E709"/>
  <c r="D646"/>
  <c r="C645"/>
  <c r="B644"/>
  <c r="A643"/>
  <c r="J643" s="1"/>
  <c r="G641"/>
  <c r="F640"/>
  <c r="E639"/>
  <c r="C708"/>
  <c r="A636"/>
  <c r="J636" s="1"/>
  <c r="F633"/>
  <c r="D631"/>
  <c r="B629"/>
  <c r="G627"/>
  <c r="E625"/>
  <c r="C623"/>
  <c r="A621"/>
  <c r="J621" s="1"/>
  <c r="F618"/>
  <c r="D616"/>
  <c r="B614"/>
  <c r="G611"/>
  <c r="E609"/>
  <c r="C607"/>
  <c r="A605"/>
  <c r="J605" s="1"/>
  <c r="F603"/>
  <c r="D601"/>
  <c r="B599"/>
  <c r="G596"/>
  <c r="E594"/>
  <c r="C705"/>
  <c r="A704"/>
  <c r="J704" s="1"/>
  <c r="F589"/>
  <c r="D587"/>
  <c r="B585"/>
  <c r="G548"/>
  <c r="E546"/>
  <c r="B715"/>
  <c r="A714"/>
  <c r="J714" s="1"/>
  <c r="G712"/>
  <c r="F711"/>
  <c r="E710"/>
  <c r="D709"/>
  <c r="C646"/>
  <c r="B645"/>
  <c r="A644"/>
  <c r="J644" s="1"/>
  <c r="G642"/>
  <c r="F641"/>
  <c r="E640"/>
  <c r="C639"/>
  <c r="A708"/>
  <c r="J708" s="1"/>
  <c r="F635"/>
  <c r="D633"/>
  <c r="B631"/>
  <c r="G628"/>
  <c r="E627"/>
  <c r="C625"/>
  <c r="A623"/>
  <c r="J623" s="1"/>
  <c r="F620"/>
  <c r="D618"/>
  <c r="B616"/>
  <c r="G613"/>
  <c r="E611"/>
  <c r="C609"/>
  <c r="A607"/>
  <c r="J607" s="1"/>
  <c r="F604"/>
  <c r="D603"/>
  <c r="B601"/>
  <c r="G598"/>
  <c r="E596"/>
  <c r="C594"/>
  <c r="A705"/>
  <c r="J705" s="1"/>
  <c r="F591"/>
  <c r="D589"/>
  <c r="B587"/>
  <c r="G584"/>
  <c r="E548"/>
  <c r="C546"/>
  <c r="B545"/>
  <c r="A544"/>
  <c r="J544" s="1"/>
  <c r="G542"/>
  <c r="F541"/>
  <c r="E540"/>
  <c r="D539"/>
  <c r="C703"/>
  <c r="B538"/>
  <c r="A537"/>
  <c r="J537" s="1"/>
  <c r="G536"/>
  <c r="F535"/>
  <c r="E701"/>
  <c r="D534"/>
  <c r="C533"/>
  <c r="B532"/>
  <c r="A531"/>
  <c r="J531" s="1"/>
  <c r="G529"/>
  <c r="F528"/>
  <c r="E527"/>
  <c r="D526"/>
  <c r="C525"/>
  <c r="B524"/>
  <c r="A523"/>
  <c r="J523" s="1"/>
  <c r="G521"/>
  <c r="F520"/>
  <c r="E519"/>
  <c r="D518"/>
  <c r="C517"/>
  <c r="B516"/>
  <c r="A515"/>
  <c r="J515" s="1"/>
  <c r="G513"/>
  <c r="F512"/>
  <c r="E511"/>
  <c r="D510"/>
  <c r="C509"/>
  <c r="B508"/>
  <c r="A507"/>
  <c r="J507" s="1"/>
  <c r="G506"/>
  <c r="F505"/>
  <c r="E490"/>
  <c r="D489"/>
  <c r="C488"/>
  <c r="B487"/>
  <c r="A486"/>
  <c r="J486" s="1"/>
  <c r="G484"/>
  <c r="F483"/>
  <c r="E482"/>
  <c r="D481"/>
  <c r="C480"/>
  <c r="B582"/>
  <c r="A479"/>
  <c r="J479" s="1"/>
  <c r="G477"/>
  <c r="F476"/>
  <c r="E475"/>
  <c r="D474"/>
  <c r="C473"/>
  <c r="B472"/>
  <c r="A471"/>
  <c r="J471" s="1"/>
  <c r="G469"/>
  <c r="F468"/>
  <c r="E467"/>
  <c r="D466"/>
  <c r="C465"/>
  <c r="B464"/>
  <c r="A463"/>
  <c r="J463" s="1"/>
  <c r="G446"/>
  <c r="F445"/>
  <c r="E444"/>
  <c r="D443"/>
  <c r="F441"/>
  <c r="D439"/>
  <c r="D639"/>
  <c r="C638"/>
  <c r="B708"/>
  <c r="A637"/>
  <c r="J637" s="1"/>
  <c r="G635"/>
  <c r="F634"/>
  <c r="E633"/>
  <c r="D632"/>
  <c r="C631"/>
  <c r="B630"/>
  <c r="A629"/>
  <c r="J629" s="1"/>
  <c r="G707"/>
  <c r="F627"/>
  <c r="E626"/>
  <c r="D625"/>
  <c r="C624"/>
  <c r="B623"/>
  <c r="A622"/>
  <c r="J622" s="1"/>
  <c r="G620"/>
  <c r="F619"/>
  <c r="E618"/>
  <c r="D617"/>
  <c r="C616"/>
  <c r="B615"/>
  <c r="A614"/>
  <c r="J614" s="1"/>
  <c r="G612"/>
  <c r="F611"/>
  <c r="E610"/>
  <c r="D609"/>
  <c r="C608"/>
  <c r="B607"/>
  <c r="A606"/>
  <c r="J606" s="1"/>
  <c r="G604"/>
  <c r="F706"/>
  <c r="E603"/>
  <c r="D602"/>
  <c r="C601"/>
  <c r="B600"/>
  <c r="A599"/>
  <c r="J599" s="1"/>
  <c r="G597"/>
  <c r="F596"/>
  <c r="D723"/>
  <c r="B721"/>
  <c r="F718"/>
  <c r="D717"/>
  <c r="B716"/>
  <c r="D748"/>
  <c r="C747"/>
  <c r="B746"/>
  <c r="A745"/>
  <c r="J745" s="1"/>
  <c r="G743"/>
  <c r="F742"/>
  <c r="E741"/>
  <c r="D740"/>
  <c r="C739"/>
  <c r="B738"/>
  <c r="A737"/>
  <c r="J737" s="1"/>
  <c r="G735"/>
  <c r="F734"/>
  <c r="E733"/>
  <c r="D732"/>
  <c r="C731"/>
  <c r="B730"/>
  <c r="A729"/>
  <c r="J729" s="1"/>
  <c r="G727"/>
  <c r="F726"/>
  <c r="E725"/>
  <c r="D724"/>
  <c r="C723"/>
  <c r="B722"/>
  <c r="A721"/>
  <c r="J721" s="1"/>
  <c r="G719"/>
  <c r="G718"/>
  <c r="G717"/>
  <c r="G716"/>
  <c r="E748"/>
  <c r="B747"/>
  <c r="A746"/>
  <c r="J746" s="1"/>
  <c r="G744"/>
  <c r="F743"/>
  <c r="E742"/>
  <c r="D741"/>
  <c r="C740"/>
  <c r="B739"/>
  <c r="A738"/>
  <c r="J738" s="1"/>
  <c r="G736"/>
  <c r="F735"/>
  <c r="E734"/>
  <c r="D733"/>
  <c r="C732"/>
  <c r="B731"/>
  <c r="A730"/>
  <c r="J730" s="1"/>
  <c r="G728"/>
  <c r="F727"/>
  <c r="E726"/>
  <c r="D725"/>
  <c r="C724"/>
  <c r="B723"/>
  <c r="A722"/>
  <c r="J722" s="1"/>
  <c r="G720"/>
  <c r="F719"/>
  <c r="D718"/>
  <c r="B717"/>
  <c r="G715"/>
  <c r="F714"/>
  <c r="E713"/>
  <c r="D712"/>
  <c r="C711"/>
  <c r="B710"/>
  <c r="A709"/>
  <c r="J709" s="1"/>
  <c r="G645"/>
  <c r="F644"/>
  <c r="E643"/>
  <c r="D642"/>
  <c r="C641"/>
  <c r="B640"/>
  <c r="D638"/>
  <c r="B637"/>
  <c r="G634"/>
  <c r="E632"/>
  <c r="C630"/>
  <c r="A628"/>
  <c r="J628" s="1"/>
  <c r="F626"/>
  <c r="D624"/>
  <c r="B622"/>
  <c r="G619"/>
  <c r="E617"/>
  <c r="C615"/>
  <c r="A613"/>
  <c r="J613" s="1"/>
  <c r="F610"/>
  <c r="D608"/>
  <c r="B606"/>
  <c r="G706"/>
  <c r="E602"/>
  <c r="C600"/>
  <c r="A598"/>
  <c r="J598" s="1"/>
  <c r="F595"/>
  <c r="D593"/>
  <c r="B592"/>
  <c r="G590"/>
  <c r="E588"/>
  <c r="C586"/>
  <c r="A584"/>
  <c r="J584" s="1"/>
  <c r="F547"/>
  <c r="F715"/>
  <c r="E714"/>
  <c r="D713"/>
  <c r="C712"/>
  <c r="B711"/>
  <c r="A710"/>
  <c r="J710" s="1"/>
  <c r="G646"/>
  <c r="F645"/>
  <c r="E644"/>
  <c r="D643"/>
  <c r="C642"/>
  <c r="B641"/>
  <c r="A640"/>
  <c r="J640" s="1"/>
  <c r="B638"/>
  <c r="G636"/>
  <c r="E634"/>
  <c r="C632"/>
  <c r="A630"/>
  <c r="J630" s="1"/>
  <c r="F707"/>
  <c r="D626"/>
  <c r="B624"/>
  <c r="G621"/>
  <c r="E619"/>
  <c r="C617"/>
  <c r="A615"/>
  <c r="J615" s="1"/>
  <c r="F612"/>
  <c r="D610"/>
  <c r="B608"/>
  <c r="G605"/>
  <c r="E706"/>
  <c r="C602"/>
  <c r="A600"/>
  <c r="J600" s="1"/>
  <c r="F597"/>
  <c r="D595"/>
  <c r="B593"/>
  <c r="G704"/>
  <c r="E590"/>
  <c r="C588"/>
  <c r="A586"/>
  <c r="J586" s="1"/>
  <c r="F583"/>
  <c r="D547"/>
  <c r="F545"/>
  <c r="E544"/>
  <c r="D543"/>
  <c r="C542"/>
  <c r="B541"/>
  <c r="A540"/>
  <c r="J540" s="1"/>
  <c r="G703"/>
  <c r="F538"/>
  <c r="E537"/>
  <c r="D702"/>
  <c r="C536"/>
  <c r="B535"/>
  <c r="A701"/>
  <c r="J701" s="1"/>
  <c r="G533"/>
  <c r="F532"/>
  <c r="E531"/>
  <c r="D530"/>
  <c r="C529"/>
  <c r="B528"/>
  <c r="A527"/>
  <c r="J527" s="1"/>
  <c r="G525"/>
  <c r="F524"/>
  <c r="E523"/>
  <c r="D522"/>
  <c r="C521"/>
  <c r="B520"/>
  <c r="A519"/>
  <c r="J519" s="1"/>
  <c r="G517"/>
  <c r="F516"/>
  <c r="E515"/>
  <c r="D514"/>
  <c r="C513"/>
  <c r="B512"/>
  <c r="A511"/>
  <c r="J511" s="1"/>
  <c r="G509"/>
  <c r="F508"/>
  <c r="E507"/>
  <c r="D700"/>
  <c r="C506"/>
  <c r="B505"/>
  <c r="A490"/>
  <c r="J490" s="1"/>
  <c r="G488"/>
  <c r="F487"/>
  <c r="E486"/>
  <c r="D485"/>
  <c r="C484"/>
  <c r="B483"/>
  <c r="A482"/>
  <c r="J482" s="1"/>
  <c r="G480"/>
  <c r="F582"/>
  <c r="E479"/>
  <c r="D478"/>
  <c r="C477"/>
  <c r="B476"/>
  <c r="A475"/>
  <c r="J475" s="1"/>
  <c r="G473"/>
  <c r="F472"/>
  <c r="E471"/>
  <c r="D470"/>
  <c r="C469"/>
  <c r="B468"/>
  <c r="A467"/>
  <c r="J467" s="1"/>
  <c r="G465"/>
  <c r="F464"/>
  <c r="E463"/>
  <c r="D462"/>
  <c r="C446"/>
  <c r="B445"/>
  <c r="A444"/>
  <c r="J444" s="1"/>
  <c r="G442"/>
  <c r="E440"/>
  <c r="C438"/>
  <c r="G638"/>
  <c r="F708"/>
  <c r="E637"/>
  <c r="D636"/>
  <c r="C635"/>
  <c r="B634"/>
  <c r="A633"/>
  <c r="J633" s="1"/>
  <c r="G631"/>
  <c r="F630"/>
  <c r="E629"/>
  <c r="D628"/>
  <c r="C707"/>
  <c r="B627"/>
  <c r="A626"/>
  <c r="J626" s="1"/>
  <c r="G624"/>
  <c r="F623"/>
  <c r="E622"/>
  <c r="D621"/>
  <c r="C620"/>
  <c r="B619"/>
  <c r="A618"/>
  <c r="J618" s="1"/>
  <c r="G616"/>
  <c r="F615"/>
  <c r="E614"/>
  <c r="D613"/>
  <c r="C612"/>
  <c r="B611"/>
  <c r="A610"/>
  <c r="J610" s="1"/>
  <c r="G608"/>
  <c r="F607"/>
  <c r="E606"/>
  <c r="D605"/>
  <c r="C604"/>
  <c r="B706"/>
  <c r="A603"/>
  <c r="J603" s="1"/>
  <c r="G601"/>
  <c r="F600"/>
  <c r="D598"/>
  <c r="B596"/>
  <c r="A595"/>
  <c r="J595" s="1"/>
  <c r="G593"/>
  <c r="F705"/>
  <c r="E592"/>
  <c r="D704"/>
  <c r="C591"/>
  <c r="B590"/>
  <c r="A589"/>
  <c r="J589" s="1"/>
  <c r="G587"/>
  <c r="F586"/>
  <c r="E585"/>
  <c r="D584"/>
  <c r="C583"/>
  <c r="B548"/>
  <c r="A547"/>
  <c r="J547" s="1"/>
  <c r="G545"/>
  <c r="F544"/>
  <c r="E543"/>
  <c r="D542"/>
  <c r="C541"/>
  <c r="B540"/>
  <c r="A539"/>
  <c r="J539" s="1"/>
  <c r="G538"/>
  <c r="F537"/>
  <c r="E702"/>
  <c r="D536"/>
  <c r="C535"/>
  <c r="B701"/>
  <c r="A534"/>
  <c r="J534" s="1"/>
  <c r="G532"/>
  <c r="F531"/>
  <c r="E530"/>
  <c r="D529"/>
  <c r="C528"/>
  <c r="B527"/>
  <c r="A526"/>
  <c r="J526" s="1"/>
  <c r="G524"/>
  <c r="F523"/>
  <c r="E522"/>
  <c r="D521"/>
  <c r="C520"/>
  <c r="B519"/>
  <c r="A518"/>
  <c r="J518" s="1"/>
  <c r="G516"/>
  <c r="F515"/>
  <c r="E514"/>
  <c r="D513"/>
  <c r="C512"/>
  <c r="B511"/>
  <c r="A510"/>
  <c r="J510" s="1"/>
  <c r="G508"/>
  <c r="F507"/>
  <c r="E700"/>
  <c r="D506"/>
  <c r="C505"/>
  <c r="B490"/>
  <c r="A489"/>
  <c r="J489" s="1"/>
  <c r="G487"/>
  <c r="F486"/>
  <c r="E485"/>
  <c r="D484"/>
  <c r="C483"/>
  <c r="B482"/>
  <c r="A481"/>
  <c r="J481" s="1"/>
  <c r="G582"/>
  <c r="F479"/>
  <c r="E478"/>
  <c r="D477"/>
  <c r="C476"/>
  <c r="B475"/>
  <c r="A474"/>
  <c r="J474" s="1"/>
  <c r="G472"/>
  <c r="F471"/>
  <c r="E470"/>
  <c r="D469"/>
  <c r="C468"/>
  <c r="B467"/>
  <c r="A466"/>
  <c r="J466" s="1"/>
  <c r="G464"/>
  <c r="F463"/>
  <c r="E462"/>
  <c r="D446"/>
  <c r="C445"/>
  <c r="B444"/>
  <c r="A443"/>
  <c r="J443" s="1"/>
  <c r="G440"/>
  <c r="E438"/>
  <c r="G437"/>
  <c r="F436"/>
  <c r="E435"/>
  <c r="D699"/>
  <c r="D275"/>
  <c r="F276"/>
  <c r="A278"/>
  <c r="J278" s="1"/>
  <c r="B279"/>
  <c r="C280"/>
  <c r="D281"/>
  <c r="E282"/>
  <c r="F283"/>
  <c r="G284"/>
  <c r="A286"/>
  <c r="J286" s="1"/>
  <c r="B287"/>
  <c r="C288"/>
  <c r="D504"/>
  <c r="E289"/>
  <c r="F290"/>
  <c r="G291"/>
  <c r="A293"/>
  <c r="J293" s="1"/>
  <c r="B294"/>
  <c r="C295"/>
  <c r="D296"/>
  <c r="E297"/>
  <c r="F298"/>
  <c r="G461"/>
  <c r="A300"/>
  <c r="J300" s="1"/>
  <c r="B301"/>
  <c r="C302"/>
  <c r="D303"/>
  <c r="E304"/>
  <c r="F305"/>
  <c r="G306"/>
  <c r="A308"/>
  <c r="J308" s="1"/>
  <c r="B309"/>
  <c r="C310"/>
  <c r="D401"/>
  <c r="E311"/>
  <c r="F312"/>
  <c r="G313"/>
  <c r="A315"/>
  <c r="J315" s="1"/>
  <c r="B316"/>
  <c r="C317"/>
  <c r="D318"/>
  <c r="E319"/>
  <c r="F320"/>
  <c r="G321"/>
  <c r="A323"/>
  <c r="J323" s="1"/>
  <c r="B324"/>
  <c r="C325"/>
  <c r="D326"/>
  <c r="E327"/>
  <c r="F328"/>
  <c r="G329"/>
  <c r="A331"/>
  <c r="J331" s="1"/>
  <c r="B332"/>
  <c r="C333"/>
  <c r="D694"/>
  <c r="E350"/>
  <c r="F351"/>
  <c r="G352"/>
  <c r="A354"/>
  <c r="J354" s="1"/>
  <c r="B355"/>
  <c r="C356"/>
  <c r="D357"/>
  <c r="E358"/>
  <c r="F695"/>
  <c r="G275"/>
  <c r="G276"/>
  <c r="G277"/>
  <c r="A279"/>
  <c r="J279" s="1"/>
  <c r="B280"/>
  <c r="C281"/>
  <c r="D282"/>
  <c r="E283"/>
  <c r="F284"/>
  <c r="G285"/>
  <c r="A287"/>
  <c r="J287" s="1"/>
  <c r="B288"/>
  <c r="C504"/>
  <c r="D289"/>
  <c r="E290"/>
  <c r="F291"/>
  <c r="G292"/>
  <c r="A294"/>
  <c r="J294" s="1"/>
  <c r="B295"/>
  <c r="C296"/>
  <c r="D297"/>
  <c r="E298"/>
  <c r="F461"/>
  <c r="G299"/>
  <c r="A301"/>
  <c r="J301" s="1"/>
  <c r="B302"/>
  <c r="C303"/>
  <c r="D304"/>
  <c r="E305"/>
  <c r="F306"/>
  <c r="G307"/>
  <c r="A309"/>
  <c r="J309" s="1"/>
  <c r="B310"/>
  <c r="C401"/>
  <c r="D311"/>
  <c r="E312"/>
  <c r="F313"/>
  <c r="G314"/>
  <c r="A316"/>
  <c r="J316" s="1"/>
  <c r="B317"/>
  <c r="C318"/>
  <c r="D319"/>
  <c r="E320"/>
  <c r="F321"/>
  <c r="G322"/>
  <c r="A324"/>
  <c r="J324" s="1"/>
  <c r="B325"/>
  <c r="C326"/>
  <c r="D327"/>
  <c r="E328"/>
  <c r="F329"/>
  <c r="G330"/>
  <c r="A332"/>
  <c r="J332" s="1"/>
  <c r="B333"/>
  <c r="C694"/>
  <c r="D350"/>
  <c r="E351"/>
  <c r="F352"/>
  <c r="G353"/>
  <c r="A355"/>
  <c r="J355" s="1"/>
  <c r="B356"/>
  <c r="C357"/>
  <c r="D358"/>
  <c r="A359"/>
  <c r="J359" s="1"/>
  <c r="B696"/>
  <c r="C360"/>
  <c r="D361"/>
  <c r="E362"/>
  <c r="F363"/>
  <c r="G364"/>
  <c r="A366"/>
  <c r="J366" s="1"/>
  <c r="B367"/>
  <c r="C368"/>
  <c r="D369"/>
  <c r="E370"/>
  <c r="F371"/>
  <c r="G697"/>
  <c r="A373"/>
  <c r="J373" s="1"/>
  <c r="B374"/>
  <c r="C375"/>
  <c r="D376"/>
  <c r="E377"/>
  <c r="F378"/>
  <c r="G578"/>
  <c r="A380"/>
  <c r="J380" s="1"/>
  <c r="B381"/>
  <c r="C382"/>
  <c r="D383"/>
  <c r="E384"/>
  <c r="F385"/>
  <c r="G386"/>
  <c r="A402"/>
  <c r="J402" s="1"/>
  <c r="B403"/>
  <c r="C404"/>
  <c r="D405"/>
  <c r="E406"/>
  <c r="F407"/>
  <c r="G408"/>
  <c r="A698"/>
  <c r="J698" s="1"/>
  <c r="B410"/>
  <c r="C411"/>
  <c r="D412"/>
  <c r="E413"/>
  <c r="F414"/>
  <c r="G415"/>
  <c r="A417"/>
  <c r="J417" s="1"/>
  <c r="B418"/>
  <c r="C419"/>
  <c r="D420"/>
  <c r="E421"/>
  <c r="F422"/>
  <c r="G423"/>
  <c r="A425"/>
  <c r="J425" s="1"/>
  <c r="B426"/>
  <c r="C427"/>
  <c r="D428"/>
  <c r="E429"/>
  <c r="F430"/>
  <c r="G579"/>
  <c r="A432"/>
  <c r="J432" s="1"/>
  <c r="B433"/>
  <c r="C580"/>
  <c r="D434"/>
  <c r="E699"/>
  <c r="F435"/>
  <c r="G436"/>
  <c r="A581"/>
  <c r="J581" s="1"/>
  <c r="B438"/>
  <c r="C439"/>
  <c r="D440"/>
  <c r="E441"/>
  <c r="F442"/>
  <c r="D359"/>
  <c r="E696"/>
  <c r="F360"/>
  <c r="G361"/>
  <c r="A363"/>
  <c r="J363" s="1"/>
  <c r="B364"/>
  <c r="C365"/>
  <c r="D366"/>
  <c r="E367"/>
  <c r="F368"/>
  <c r="G369"/>
  <c r="A371"/>
  <c r="J371" s="1"/>
  <c r="B697"/>
  <c r="C372"/>
  <c r="D373"/>
  <c r="E374"/>
  <c r="F375"/>
  <c r="G376"/>
  <c r="A378"/>
  <c r="J378" s="1"/>
  <c r="B578"/>
  <c r="C379"/>
  <c r="D380"/>
  <c r="E381"/>
  <c r="F382"/>
  <c r="G383"/>
  <c r="A385"/>
  <c r="J385" s="1"/>
  <c r="B386"/>
  <c r="C387"/>
  <c r="D402"/>
  <c r="E403"/>
  <c r="F404"/>
  <c r="G405"/>
  <c r="A407"/>
  <c r="J407" s="1"/>
  <c r="B408"/>
  <c r="C409"/>
  <c r="D698"/>
  <c r="E410"/>
  <c r="F411"/>
  <c r="G412"/>
  <c r="A414"/>
  <c r="J414" s="1"/>
  <c r="B415"/>
  <c r="C416"/>
  <c r="D417"/>
  <c r="E418"/>
  <c r="F419"/>
  <c r="G420"/>
  <c r="A422"/>
  <c r="J422" s="1"/>
  <c r="B423"/>
  <c r="C424"/>
  <c r="D425"/>
  <c r="E426"/>
  <c r="F427"/>
  <c r="G428"/>
  <c r="A430"/>
  <c r="J430" s="1"/>
  <c r="B579"/>
  <c r="C431"/>
  <c r="D432"/>
  <c r="E433"/>
  <c r="F275"/>
  <c r="B277"/>
  <c r="C278"/>
  <c r="D279"/>
  <c r="E280"/>
  <c r="F281"/>
  <c r="G282"/>
  <c r="A284"/>
  <c r="J284" s="1"/>
  <c r="B285"/>
  <c r="C286"/>
  <c r="D287"/>
  <c r="E288"/>
  <c r="F504"/>
  <c r="G289"/>
  <c r="A291"/>
  <c r="J291" s="1"/>
  <c r="B292"/>
  <c r="C293"/>
  <c r="D294"/>
  <c r="E295"/>
  <c r="F296"/>
  <c r="G297"/>
  <c r="A461"/>
  <c r="J461" s="1"/>
  <c r="B299"/>
  <c r="C300"/>
  <c r="D301"/>
  <c r="E302"/>
  <c r="F303"/>
  <c r="G304"/>
  <c r="A306"/>
  <c r="J306" s="1"/>
  <c r="B307"/>
  <c r="C308"/>
  <c r="D309"/>
  <c r="E310"/>
  <c r="F401"/>
  <c r="G311"/>
  <c r="A313"/>
  <c r="J313" s="1"/>
  <c r="B314"/>
  <c r="C315"/>
  <c r="D316"/>
  <c r="E317"/>
  <c r="F318"/>
  <c r="G319"/>
  <c r="A321"/>
  <c r="J321" s="1"/>
  <c r="B322"/>
  <c r="C323"/>
  <c r="D324"/>
  <c r="E325"/>
  <c r="F326"/>
  <c r="G327"/>
  <c r="A329"/>
  <c r="J329" s="1"/>
  <c r="B330"/>
  <c r="C331"/>
  <c r="D332"/>
  <c r="E333"/>
  <c r="F694"/>
  <c r="G350"/>
  <c r="A352"/>
  <c r="J352" s="1"/>
  <c r="B353"/>
  <c r="C354"/>
  <c r="D355"/>
  <c r="E356"/>
  <c r="F357"/>
  <c r="G358"/>
  <c r="A275"/>
  <c r="J275" s="1"/>
  <c r="A276"/>
  <c r="J276" s="1"/>
  <c r="A277"/>
  <c r="J277" s="1"/>
  <c r="B278"/>
  <c r="C279"/>
  <c r="D280"/>
  <c r="E281"/>
  <c r="F282"/>
  <c r="G283"/>
  <c r="A285"/>
  <c r="J285" s="1"/>
  <c r="B286"/>
  <c r="C287"/>
  <c r="D288"/>
  <c r="E504"/>
  <c r="F289"/>
  <c r="G290"/>
  <c r="A292"/>
  <c r="J292" s="1"/>
  <c r="B293"/>
  <c r="C294"/>
  <c r="D295"/>
  <c r="E296"/>
  <c r="F297"/>
  <c r="G298"/>
  <c r="A299"/>
  <c r="J299" s="1"/>
  <c r="B300"/>
  <c r="C301"/>
  <c r="D302"/>
  <c r="E303"/>
  <c r="F304"/>
  <c r="G305"/>
  <c r="A307"/>
  <c r="J307" s="1"/>
  <c r="B308"/>
  <c r="C309"/>
  <c r="D310"/>
  <c r="E401"/>
  <c r="F311"/>
  <c r="G312"/>
  <c r="A314"/>
  <c r="J314" s="1"/>
  <c r="B315"/>
  <c r="C316"/>
  <c r="D317"/>
  <c r="E318"/>
  <c r="F319"/>
  <c r="G320"/>
  <c r="A322"/>
  <c r="J322" s="1"/>
  <c r="B323"/>
  <c r="C324"/>
  <c r="D325"/>
  <c r="E326"/>
  <c r="F327"/>
  <c r="G328"/>
  <c r="A330"/>
  <c r="J330" s="1"/>
  <c r="B331"/>
  <c r="C332"/>
  <c r="D333"/>
  <c r="E694"/>
  <c r="F350"/>
  <c r="G351"/>
  <c r="A353"/>
  <c r="J353" s="1"/>
  <c r="B354"/>
  <c r="C355"/>
  <c r="D356"/>
  <c r="E357"/>
  <c r="F358"/>
  <c r="C359"/>
  <c r="D696"/>
  <c r="E360"/>
  <c r="F361"/>
  <c r="G362"/>
  <c r="A364"/>
  <c r="J364" s="1"/>
  <c r="B365"/>
  <c r="C366"/>
  <c r="D367"/>
  <c r="E368"/>
  <c r="F369"/>
  <c r="G370"/>
  <c r="A697"/>
  <c r="J697" s="1"/>
  <c r="B372"/>
  <c r="C373"/>
  <c r="D374"/>
  <c r="E375"/>
  <c r="F376"/>
  <c r="G377"/>
  <c r="A578"/>
  <c r="J578" s="1"/>
  <c r="B379"/>
  <c r="C380"/>
  <c r="D381"/>
  <c r="E382"/>
  <c r="F383"/>
  <c r="G384"/>
  <c r="A386"/>
  <c r="J386" s="1"/>
  <c r="B387"/>
  <c r="C402"/>
  <c r="D403"/>
  <c r="E404"/>
  <c r="F405"/>
  <c r="G406"/>
  <c r="A408"/>
  <c r="J408" s="1"/>
  <c r="B409"/>
  <c r="C698"/>
  <c r="D410"/>
  <c r="E411"/>
  <c r="E599"/>
  <c r="C597"/>
  <c r="E595"/>
  <c r="D594"/>
  <c r="C593"/>
  <c r="B705"/>
  <c r="A592"/>
  <c r="J592" s="1"/>
  <c r="G591"/>
  <c r="F590"/>
  <c r="E589"/>
  <c r="D588"/>
  <c r="C587"/>
  <c r="B586"/>
  <c r="A585"/>
  <c r="J585" s="1"/>
  <c r="G583"/>
  <c r="F548"/>
  <c r="E547"/>
  <c r="D546"/>
  <c r="C545"/>
  <c r="B544"/>
  <c r="A543"/>
  <c r="J543" s="1"/>
  <c r="G541"/>
  <c r="F540"/>
  <c r="E539"/>
  <c r="D703"/>
  <c r="C538"/>
  <c r="B537"/>
  <c r="A702"/>
  <c r="J702" s="1"/>
  <c r="G535"/>
  <c r="F701"/>
  <c r="E534"/>
  <c r="D533"/>
  <c r="C532"/>
  <c r="B531"/>
  <c r="A530"/>
  <c r="J530" s="1"/>
  <c r="G528"/>
  <c r="F527"/>
  <c r="E526"/>
  <c r="D525"/>
  <c r="C524"/>
  <c r="B523"/>
  <c r="A522"/>
  <c r="J522" s="1"/>
  <c r="G520"/>
  <c r="F519"/>
  <c r="E518"/>
  <c r="D517"/>
  <c r="C516"/>
  <c r="B515"/>
  <c r="A514"/>
  <c r="J514" s="1"/>
  <c r="G512"/>
  <c r="F511"/>
  <c r="E510"/>
  <c r="D509"/>
  <c r="C508"/>
  <c r="B507"/>
  <c r="A700"/>
  <c r="J700" s="1"/>
  <c r="G505"/>
  <c r="F490"/>
  <c r="E489"/>
  <c r="D488"/>
  <c r="C487"/>
  <c r="B486"/>
  <c r="A485"/>
  <c r="J485" s="1"/>
  <c r="G483"/>
  <c r="F482"/>
  <c r="E481"/>
  <c r="D480"/>
  <c r="C582"/>
  <c r="B479"/>
  <c r="A478"/>
  <c r="J478" s="1"/>
  <c r="G476"/>
  <c r="F475"/>
  <c r="E474"/>
  <c r="D473"/>
  <c r="C472"/>
  <c r="B471"/>
  <c r="A470"/>
  <c r="J470" s="1"/>
  <c r="G468"/>
  <c r="F467"/>
  <c r="E466"/>
  <c r="D465"/>
  <c r="C464"/>
  <c r="B463"/>
  <c r="A462"/>
  <c r="J462" s="1"/>
  <c r="G445"/>
  <c r="F444"/>
  <c r="E443"/>
  <c r="A442"/>
  <c r="J442" s="1"/>
  <c r="F439"/>
  <c r="D581"/>
  <c r="C437"/>
  <c r="B436"/>
  <c r="A435"/>
  <c r="J435" s="1"/>
  <c r="C434"/>
  <c r="B276"/>
  <c r="D277"/>
  <c r="E278"/>
  <c r="F279"/>
  <c r="G280"/>
  <c r="A282"/>
  <c r="J282" s="1"/>
  <c r="B283"/>
  <c r="C284"/>
  <c r="D285"/>
  <c r="E286"/>
  <c r="F287"/>
  <c r="G288"/>
  <c r="A289"/>
  <c r="J289" s="1"/>
  <c r="B290"/>
  <c r="C291"/>
  <c r="D292"/>
  <c r="E293"/>
  <c r="F294"/>
  <c r="G295"/>
  <c r="A297"/>
  <c r="J297" s="1"/>
  <c r="B298"/>
  <c r="C461"/>
  <c r="D299"/>
  <c r="E300"/>
  <c r="F301"/>
  <c r="G302"/>
  <c r="A304"/>
  <c r="J304" s="1"/>
  <c r="B305"/>
  <c r="C306"/>
  <c r="D307"/>
  <c r="E308"/>
  <c r="F309"/>
  <c r="G310"/>
  <c r="A311"/>
  <c r="J311" s="1"/>
  <c r="B312"/>
  <c r="C313"/>
  <c r="D314"/>
  <c r="E315"/>
  <c r="F316"/>
  <c r="G317"/>
  <c r="A319"/>
  <c r="J319" s="1"/>
  <c r="B320"/>
  <c r="C321"/>
  <c r="D322"/>
  <c r="E323"/>
  <c r="F324"/>
  <c r="G325"/>
  <c r="A327"/>
  <c r="J327" s="1"/>
  <c r="B328"/>
  <c r="C329"/>
  <c r="D330"/>
  <c r="E331"/>
  <c r="F332"/>
  <c r="G333"/>
  <c r="A350"/>
  <c r="J350" s="1"/>
  <c r="B351"/>
  <c r="C352"/>
  <c r="D353"/>
  <c r="E354"/>
  <c r="F355"/>
  <c r="G356"/>
  <c r="A358"/>
  <c r="J358" s="1"/>
  <c r="B695"/>
  <c r="C275"/>
  <c r="C276"/>
  <c r="C277"/>
  <c r="D278"/>
  <c r="E279"/>
  <c r="F280"/>
  <c r="G281"/>
  <c r="A283"/>
  <c r="J283" s="1"/>
  <c r="B284"/>
  <c r="C285"/>
  <c r="D286"/>
  <c r="E287"/>
  <c r="F288"/>
  <c r="G504"/>
  <c r="A290"/>
  <c r="J290" s="1"/>
  <c r="B291"/>
  <c r="C292"/>
  <c r="D293"/>
  <c r="E294"/>
  <c r="F295"/>
  <c r="G296"/>
  <c r="A298"/>
  <c r="J298" s="1"/>
  <c r="B461"/>
  <c r="C299"/>
  <c r="D300"/>
  <c r="E301"/>
  <c r="F302"/>
  <c r="G303"/>
  <c r="A305"/>
  <c r="J305" s="1"/>
  <c r="B306"/>
  <c r="C307"/>
  <c r="D308"/>
  <c r="E309"/>
  <c r="F310"/>
  <c r="G401"/>
  <c r="A312"/>
  <c r="J312" s="1"/>
  <c r="B313"/>
  <c r="C314"/>
  <c r="D315"/>
  <c r="E316"/>
  <c r="F317"/>
  <c r="G318"/>
  <c r="A320"/>
  <c r="J320" s="1"/>
  <c r="B321"/>
  <c r="C322"/>
  <c r="D323"/>
  <c r="E324"/>
  <c r="F325"/>
  <c r="G326"/>
  <c r="A328"/>
  <c r="J328" s="1"/>
  <c r="B329"/>
  <c r="C330"/>
  <c r="D331"/>
  <c r="E332"/>
  <c r="F333"/>
  <c r="G694"/>
  <c r="A351"/>
  <c r="J351" s="1"/>
  <c r="B352"/>
  <c r="C353"/>
  <c r="D354"/>
  <c r="E355"/>
  <c r="F356"/>
  <c r="G357"/>
  <c r="A695"/>
  <c r="J695" s="1"/>
  <c r="E359"/>
  <c r="F696"/>
  <c r="G360"/>
  <c r="A362"/>
  <c r="J362" s="1"/>
  <c r="B363"/>
  <c r="C364"/>
  <c r="D365"/>
  <c r="E366"/>
  <c r="F367"/>
  <c r="G368"/>
  <c r="A370"/>
  <c r="J370" s="1"/>
  <c r="B371"/>
  <c r="C697"/>
  <c r="D372"/>
  <c r="E373"/>
  <c r="F374"/>
  <c r="G375"/>
  <c r="A377"/>
  <c r="J377" s="1"/>
  <c r="B378"/>
  <c r="C578"/>
  <c r="D379"/>
  <c r="E380"/>
  <c r="F381"/>
  <c r="G382"/>
  <c r="A384"/>
  <c r="J384" s="1"/>
  <c r="B385"/>
  <c r="C386"/>
  <c r="D387"/>
  <c r="E402"/>
  <c r="F403"/>
  <c r="G404"/>
  <c r="A406"/>
  <c r="J406" s="1"/>
  <c r="B407"/>
  <c r="C408"/>
  <c r="D409"/>
  <c r="E698"/>
  <c r="F410"/>
  <c r="G411"/>
  <c r="A413"/>
  <c r="J413" s="1"/>
  <c r="B414"/>
  <c r="C415"/>
  <c r="D416"/>
  <c r="E417"/>
  <c r="F418"/>
  <c r="G419"/>
  <c r="A421"/>
  <c r="J421" s="1"/>
  <c r="B422"/>
  <c r="C423"/>
  <c r="D424"/>
  <c r="E425"/>
  <c r="F426"/>
  <c r="G427"/>
  <c r="A429"/>
  <c r="J429" s="1"/>
  <c r="B430"/>
  <c r="C579"/>
  <c r="D431"/>
  <c r="E432"/>
  <c r="F433"/>
  <c r="G580"/>
  <c r="A699"/>
  <c r="J699" s="1"/>
  <c r="B435"/>
  <c r="C436"/>
  <c r="D437"/>
  <c r="E581"/>
  <c r="F438"/>
  <c r="G439"/>
  <c r="A441"/>
  <c r="J441" s="1"/>
  <c r="B442"/>
  <c r="G695"/>
  <c r="A696"/>
  <c r="J696" s="1"/>
  <c r="B360"/>
  <c r="C361"/>
  <c r="D362"/>
  <c r="E363"/>
  <c r="F364"/>
  <c r="G365"/>
  <c r="A367"/>
  <c r="J367" s="1"/>
  <c r="B368"/>
  <c r="C369"/>
  <c r="D370"/>
  <c r="E371"/>
  <c r="F697"/>
  <c r="G372"/>
  <c r="A374"/>
  <c r="J374" s="1"/>
  <c r="B375"/>
  <c r="C376"/>
  <c r="D377"/>
  <c r="E378"/>
  <c r="F578"/>
  <c r="G379"/>
  <c r="A381"/>
  <c r="J381" s="1"/>
  <c r="B382"/>
  <c r="C383"/>
  <c r="D384"/>
  <c r="E385"/>
  <c r="F386"/>
  <c r="G387"/>
  <c r="A403"/>
  <c r="J403" s="1"/>
  <c r="B404"/>
  <c r="C405"/>
  <c r="D406"/>
  <c r="E407"/>
  <c r="F408"/>
  <c r="G409"/>
  <c r="A410"/>
  <c r="J410" s="1"/>
  <c r="B411"/>
  <c r="C412"/>
  <c r="D413"/>
  <c r="E414"/>
  <c r="F415"/>
  <c r="G416"/>
  <c r="A418"/>
  <c r="J418" s="1"/>
  <c r="B419"/>
  <c r="C420"/>
  <c r="D421"/>
  <c r="E422"/>
  <c r="F423"/>
  <c r="G424"/>
  <c r="A426"/>
  <c r="J426" s="1"/>
  <c r="B427"/>
  <c r="C428"/>
  <c r="D429"/>
  <c r="E430"/>
  <c r="F579"/>
  <c r="G431"/>
  <c r="A433"/>
  <c r="J433" s="1"/>
  <c r="B275"/>
  <c r="D276"/>
  <c r="F277"/>
  <c r="G278"/>
  <c r="A280"/>
  <c r="J280" s="1"/>
  <c r="B281"/>
  <c r="C282"/>
  <c r="D283"/>
  <c r="E284"/>
  <c r="F285"/>
  <c r="G286"/>
  <c r="A288"/>
  <c r="J288" s="1"/>
  <c r="B504"/>
  <c r="C289"/>
  <c r="D290"/>
  <c r="E291"/>
  <c r="F292"/>
  <c r="G293"/>
  <c r="A295"/>
  <c r="J295" s="1"/>
  <c r="B296"/>
  <c r="C297"/>
  <c r="D298"/>
  <c r="E461"/>
  <c r="F299"/>
  <c r="G300"/>
  <c r="A302"/>
  <c r="J302" s="1"/>
  <c r="B303"/>
  <c r="C304"/>
  <c r="D305"/>
  <c r="E306"/>
  <c r="F307"/>
  <c r="G308"/>
  <c r="A310"/>
  <c r="J310" s="1"/>
  <c r="B401"/>
  <c r="C311"/>
  <c r="D312"/>
  <c r="E313"/>
  <c r="F314"/>
  <c r="G315"/>
  <c r="A317"/>
  <c r="J317" s="1"/>
  <c r="B318"/>
  <c r="C319"/>
  <c r="D320"/>
  <c r="E321"/>
  <c r="F322"/>
  <c r="G323"/>
  <c r="A325"/>
  <c r="J325" s="1"/>
  <c r="B326"/>
  <c r="C327"/>
  <c r="D328"/>
  <c r="E329"/>
  <c r="F330"/>
  <c r="G331"/>
  <c r="A333"/>
  <c r="J333" s="1"/>
  <c r="B694"/>
  <c r="C350"/>
  <c r="D351"/>
  <c r="E352"/>
  <c r="F353"/>
  <c r="G354"/>
  <c r="A356"/>
  <c r="J356" s="1"/>
  <c r="B357"/>
  <c r="C358"/>
  <c r="D695"/>
  <c r="E275"/>
  <c r="E276"/>
  <c r="E277"/>
  <c r="F278"/>
  <c r="G279"/>
  <c r="A281"/>
  <c r="J281" s="1"/>
  <c r="B282"/>
  <c r="C283"/>
  <c r="D284"/>
  <c r="E285"/>
  <c r="F286"/>
  <c r="G287"/>
  <c r="A504"/>
  <c r="J504" s="1"/>
  <c r="B289"/>
  <c r="C290"/>
  <c r="D291"/>
  <c r="E292"/>
  <c r="F293"/>
  <c r="G294"/>
  <c r="A296"/>
  <c r="J296" s="1"/>
  <c r="B297"/>
  <c r="C298"/>
  <c r="D461"/>
  <c r="E299"/>
  <c r="F300"/>
  <c r="G301"/>
  <c r="A303"/>
  <c r="J303" s="1"/>
  <c r="B304"/>
  <c r="C305"/>
  <c r="D306"/>
  <c r="E307"/>
  <c r="F308"/>
  <c r="G309"/>
  <c r="A401"/>
  <c r="J401" s="1"/>
  <c r="B311"/>
  <c r="C312"/>
  <c r="D313"/>
  <c r="E314"/>
  <c r="F315"/>
  <c r="G316"/>
  <c r="A318"/>
  <c r="J318" s="1"/>
  <c r="B319"/>
  <c r="C320"/>
  <c r="D321"/>
  <c r="E322"/>
  <c r="F323"/>
  <c r="G324"/>
  <c r="A326"/>
  <c r="J326" s="1"/>
  <c r="B327"/>
  <c r="C328"/>
  <c r="D329"/>
  <c r="E330"/>
  <c r="F331"/>
  <c r="G332"/>
  <c r="A694"/>
  <c r="J694" s="1"/>
  <c r="B350"/>
  <c r="C351"/>
  <c r="D352"/>
  <c r="E353"/>
  <c r="F354"/>
  <c r="G355"/>
  <c r="A357"/>
  <c r="J357" s="1"/>
  <c r="B358"/>
  <c r="E695"/>
  <c r="G359"/>
  <c r="A360"/>
  <c r="J360" s="1"/>
  <c r="B361"/>
  <c r="C362"/>
  <c r="D363"/>
  <c r="E364"/>
  <c r="F365"/>
  <c r="G366"/>
  <c r="A368"/>
  <c r="J368" s="1"/>
  <c r="B369"/>
  <c r="C370"/>
  <c r="D371"/>
  <c r="E697"/>
  <c r="F372"/>
  <c r="G373"/>
  <c r="A375"/>
  <c r="J375" s="1"/>
  <c r="B376"/>
  <c r="C377"/>
  <c r="D378"/>
  <c r="E578"/>
  <c r="F379"/>
  <c r="G380"/>
  <c r="A382"/>
  <c r="J382" s="1"/>
  <c r="B383"/>
  <c r="C384"/>
  <c r="D385"/>
  <c r="E386"/>
  <c r="F387"/>
  <c r="G402"/>
  <c r="A404"/>
  <c r="J404" s="1"/>
  <c r="B405"/>
  <c r="C406"/>
  <c r="D407"/>
  <c r="F409"/>
  <c r="A411"/>
  <c r="J411" s="1"/>
  <c r="F412"/>
  <c r="G413"/>
  <c r="A415"/>
  <c r="J415" s="1"/>
  <c r="B416"/>
  <c r="C417"/>
  <c r="D418"/>
  <c r="E419"/>
  <c r="F420"/>
  <c r="G421"/>
  <c r="A423"/>
  <c r="J423" s="1"/>
  <c r="B424"/>
  <c r="C425"/>
  <c r="D426"/>
  <c r="E427"/>
  <c r="F428"/>
  <c r="G429"/>
  <c r="A579"/>
  <c r="J579" s="1"/>
  <c r="B431"/>
  <c r="C432"/>
  <c r="D433"/>
  <c r="E580"/>
  <c r="F434"/>
  <c r="G699"/>
  <c r="A436"/>
  <c r="J436" s="1"/>
  <c r="B437"/>
  <c r="C581"/>
  <c r="D438"/>
  <c r="E439"/>
  <c r="F440"/>
  <c r="G441"/>
  <c r="C695"/>
  <c r="F359"/>
  <c r="G696"/>
  <c r="A361"/>
  <c r="J361" s="1"/>
  <c r="B362"/>
  <c r="C363"/>
  <c r="D364"/>
  <c r="E365"/>
  <c r="F366"/>
  <c r="G367"/>
  <c r="A369"/>
  <c r="J369" s="1"/>
  <c r="B370"/>
  <c r="C371"/>
  <c r="D697"/>
  <c r="E372"/>
  <c r="F373"/>
  <c r="G374"/>
  <c r="A376"/>
  <c r="J376" s="1"/>
  <c r="B377"/>
  <c r="C378"/>
  <c r="D578"/>
  <c r="E379"/>
  <c r="F380"/>
  <c r="G381"/>
  <c r="A383"/>
  <c r="J383" s="1"/>
  <c r="B384"/>
  <c r="C385"/>
  <c r="D386"/>
  <c r="E387"/>
  <c r="F402"/>
  <c r="G403"/>
  <c r="A405"/>
  <c r="J405" s="1"/>
  <c r="B406"/>
  <c r="C407"/>
  <c r="D408"/>
  <c r="E409"/>
  <c r="F698"/>
  <c r="G410"/>
  <c r="A412"/>
  <c r="J412" s="1"/>
  <c r="B413"/>
  <c r="C414"/>
  <c r="D415"/>
  <c r="E416"/>
  <c r="F417"/>
  <c r="G418"/>
  <c r="A420"/>
  <c r="J420" s="1"/>
  <c r="B421"/>
  <c r="C422"/>
  <c r="D423"/>
  <c r="E424"/>
  <c r="F425"/>
  <c r="G426"/>
  <c r="A428"/>
  <c r="J428" s="1"/>
  <c r="B429"/>
  <c r="C430"/>
  <c r="D579"/>
  <c r="E431"/>
  <c r="F432"/>
  <c r="G433"/>
  <c r="A434"/>
  <c r="J434" s="1"/>
  <c r="B699"/>
  <c r="A715"/>
  <c r="J715" s="1"/>
  <c r="G713"/>
  <c r="F712"/>
  <c r="E711"/>
  <c r="D710"/>
  <c r="C709"/>
  <c r="B646"/>
  <c r="A645"/>
  <c r="J645" s="1"/>
  <c r="G643"/>
  <c r="F642"/>
  <c r="E641"/>
  <c r="D640"/>
  <c r="A639"/>
  <c r="J639" s="1"/>
  <c r="F637"/>
  <c r="D635"/>
  <c r="B633"/>
  <c r="G630"/>
  <c r="E628"/>
  <c r="C627"/>
  <c r="A625"/>
  <c r="J625" s="1"/>
  <c r="F622"/>
  <c r="D620"/>
  <c r="B618"/>
  <c r="G615"/>
  <c r="E613"/>
  <c r="C611"/>
  <c r="A609"/>
  <c r="J609" s="1"/>
  <c r="F606"/>
  <c r="D604"/>
  <c r="B603"/>
  <c r="G600"/>
  <c r="E598"/>
  <c r="C596"/>
  <c r="A594"/>
  <c r="J594" s="1"/>
  <c r="F592"/>
  <c r="D591"/>
  <c r="B589"/>
  <c r="G586"/>
  <c r="E584"/>
  <c r="C548"/>
  <c r="D715"/>
  <c r="C714"/>
  <c r="B713"/>
  <c r="A712"/>
  <c r="J712" s="1"/>
  <c r="G710"/>
  <c r="F709"/>
  <c r="E646"/>
  <c r="D645"/>
  <c r="C644"/>
  <c r="B643"/>
  <c r="A642"/>
  <c r="J642" s="1"/>
  <c r="G640"/>
  <c r="F639"/>
  <c r="E708"/>
  <c r="C636"/>
  <c r="A634"/>
  <c r="J634" s="1"/>
  <c r="F631"/>
  <c r="D629"/>
  <c r="B707"/>
  <c r="G625"/>
  <c r="E623"/>
  <c r="C621"/>
  <c r="A619"/>
  <c r="J619" s="1"/>
  <c r="F616"/>
  <c r="D614"/>
  <c r="B612"/>
  <c r="G609"/>
  <c r="E607"/>
  <c r="C605"/>
  <c r="A706"/>
  <c r="J706" s="1"/>
  <c r="F601"/>
  <c r="D599"/>
  <c r="B597"/>
  <c r="G594"/>
  <c r="E705"/>
  <c r="C704"/>
  <c r="A590"/>
  <c r="J590" s="1"/>
  <c r="F587"/>
  <c r="D585"/>
  <c r="B583"/>
  <c r="G546"/>
  <c r="D545"/>
  <c r="C544"/>
  <c r="B543"/>
  <c r="A542"/>
  <c r="J542" s="1"/>
  <c r="G540"/>
  <c r="F539"/>
  <c r="E703"/>
  <c r="D538"/>
  <c r="C537"/>
  <c r="B702"/>
  <c r="A536"/>
  <c r="J536" s="1"/>
  <c r="G701"/>
  <c r="F534"/>
  <c r="E533"/>
  <c r="D532"/>
  <c r="C531"/>
  <c r="B530"/>
  <c r="A529"/>
  <c r="J529" s="1"/>
  <c r="G527"/>
  <c r="F526"/>
  <c r="E525"/>
  <c r="D524"/>
  <c r="C523"/>
  <c r="B522"/>
  <c r="A521"/>
  <c r="J521" s="1"/>
  <c r="G519"/>
  <c r="F518"/>
  <c r="E517"/>
  <c r="D516"/>
  <c r="C515"/>
  <c r="B514"/>
  <c r="A513"/>
  <c r="J513" s="1"/>
  <c r="G511"/>
  <c r="F510"/>
  <c r="E509"/>
  <c r="D508"/>
  <c r="C507"/>
  <c r="B700"/>
  <c r="A506"/>
  <c r="J506" s="1"/>
  <c r="G490"/>
  <c r="F489"/>
  <c r="E488"/>
  <c r="D487"/>
  <c r="C486"/>
  <c r="B485"/>
  <c r="A484"/>
  <c r="J484" s="1"/>
  <c r="G482"/>
  <c r="F481"/>
  <c r="E480"/>
  <c r="D582"/>
  <c r="C479"/>
  <c r="B478"/>
  <c r="A477"/>
  <c r="J477" s="1"/>
  <c r="G475"/>
  <c r="F474"/>
  <c r="E473"/>
  <c r="D472"/>
  <c r="C471"/>
  <c r="B470"/>
  <c r="A469"/>
  <c r="J469" s="1"/>
  <c r="G467"/>
  <c r="F466"/>
  <c r="E465"/>
  <c r="D464"/>
  <c r="C463"/>
  <c r="B462"/>
  <c r="A446"/>
  <c r="J446" s="1"/>
  <c r="G444"/>
  <c r="F443"/>
  <c r="C442"/>
  <c r="A440"/>
  <c r="J440" s="1"/>
  <c r="F581"/>
  <c r="E638"/>
  <c r="D708"/>
  <c r="C637"/>
  <c r="B636"/>
  <c r="A635"/>
  <c r="J635" s="1"/>
  <c r="G633"/>
  <c r="F632"/>
  <c r="E631"/>
  <c r="D630"/>
  <c r="C629"/>
  <c r="B628"/>
  <c r="A707"/>
  <c r="J707" s="1"/>
  <c r="G626"/>
  <c r="F625"/>
  <c r="E624"/>
  <c r="D623"/>
  <c r="C622"/>
  <c r="B621"/>
  <c r="A620"/>
  <c r="J620" s="1"/>
  <c r="G618"/>
  <c r="F617"/>
  <c r="E616"/>
  <c r="D615"/>
  <c r="C614"/>
  <c r="B613"/>
  <c r="A612"/>
  <c r="J612" s="1"/>
  <c r="G610"/>
  <c r="F609"/>
  <c r="E608"/>
  <c r="D607"/>
  <c r="C606"/>
  <c r="B605"/>
  <c r="A604"/>
  <c r="J604" s="1"/>
  <c r="G603"/>
  <c r="F602"/>
  <c r="E601"/>
  <c r="D600"/>
  <c r="C599"/>
  <c r="B598"/>
  <c r="A597"/>
  <c r="J597" s="1"/>
  <c r="G595"/>
  <c r="F594"/>
  <c r="E593"/>
  <c r="D705"/>
  <c r="C592"/>
  <c r="B704"/>
  <c r="A591"/>
  <c r="J591" s="1"/>
  <c r="G589"/>
  <c r="F588"/>
  <c r="E587"/>
  <c r="D586"/>
  <c r="C585"/>
  <c r="B584"/>
  <c r="A583"/>
  <c r="J583" s="1"/>
  <c r="G547"/>
  <c r="F546"/>
  <c r="E545"/>
  <c r="D544"/>
  <c r="C543"/>
  <c r="B542"/>
  <c r="A541"/>
  <c r="J541" s="1"/>
  <c r="G539"/>
  <c r="F703"/>
  <c r="E538"/>
  <c r="D537"/>
  <c r="C702"/>
  <c r="B536"/>
  <c r="A535"/>
  <c r="J535" s="1"/>
  <c r="G534"/>
  <c r="F533"/>
  <c r="E532"/>
  <c r="D531"/>
  <c r="C530"/>
  <c r="B529"/>
  <c r="A528"/>
  <c r="J528" s="1"/>
  <c r="G526"/>
  <c r="F525"/>
  <c r="E524"/>
  <c r="D523"/>
  <c r="C522"/>
  <c r="B521"/>
  <c r="A520"/>
  <c r="J520" s="1"/>
  <c r="G518"/>
  <c r="F517"/>
  <c r="E516"/>
  <c r="D515"/>
  <c r="C514"/>
  <c r="B513"/>
  <c r="A512"/>
  <c r="J512" s="1"/>
  <c r="G510"/>
  <c r="F509"/>
  <c r="E508"/>
  <c r="D507"/>
  <c r="C700"/>
  <c r="B506"/>
  <c r="A505"/>
  <c r="J505" s="1"/>
  <c r="G489"/>
  <c r="F488"/>
  <c r="E487"/>
  <c r="D486"/>
  <c r="C485"/>
  <c r="B484"/>
  <c r="A483"/>
  <c r="J483" s="1"/>
  <c r="G481"/>
  <c r="F480"/>
  <c r="E582"/>
  <c r="D479"/>
  <c r="C478"/>
  <c r="B477"/>
  <c r="A476"/>
  <c r="J476" s="1"/>
  <c r="G474"/>
  <c r="F473"/>
  <c r="E472"/>
  <c r="D471"/>
  <c r="C470"/>
  <c r="B469"/>
  <c r="A468"/>
  <c r="J468" s="1"/>
  <c r="G466"/>
  <c r="F465"/>
  <c r="E464"/>
  <c r="D463"/>
  <c r="C462"/>
  <c r="B446"/>
  <c r="A445"/>
  <c r="J445" s="1"/>
  <c r="G443"/>
  <c r="E442"/>
  <c r="C440"/>
  <c r="A438"/>
  <c r="J438" s="1"/>
  <c r="E437"/>
  <c r="D436"/>
  <c r="C435"/>
  <c r="G434"/>
  <c r="E408"/>
  <c r="G698"/>
  <c r="B412"/>
  <c r="C413"/>
  <c r="D414"/>
  <c r="E415"/>
  <c r="F416"/>
  <c r="G417"/>
  <c r="A419"/>
  <c r="J419" s="1"/>
  <c r="B420"/>
  <c r="C421"/>
  <c r="D422"/>
  <c r="E423"/>
  <c r="F424"/>
  <c r="G425"/>
  <c r="A427"/>
  <c r="J427" s="1"/>
  <c r="B428"/>
  <c r="C429"/>
  <c r="D430"/>
  <c r="E579"/>
  <c r="F431"/>
  <c r="G432"/>
  <c r="A580"/>
  <c r="J580" s="1"/>
  <c r="B434"/>
  <c r="C699"/>
  <c r="D435"/>
  <c r="E436"/>
  <c r="F437"/>
  <c r="G581"/>
  <c r="A439"/>
  <c r="J439" s="1"/>
  <c r="B440"/>
  <c r="C441"/>
  <c r="D442"/>
  <c r="B359"/>
  <c r="C696"/>
  <c r="D360"/>
  <c r="E361"/>
  <c r="F362"/>
  <c r="G363"/>
  <c r="A365"/>
  <c r="J365" s="1"/>
  <c r="B366"/>
  <c r="C367"/>
  <c r="D368"/>
  <c r="E369"/>
  <c r="F370"/>
  <c r="G371"/>
  <c r="A372"/>
  <c r="J372" s="1"/>
  <c r="B373"/>
  <c r="C374"/>
  <c r="D375"/>
  <c r="E376"/>
  <c r="F377"/>
  <c r="G378"/>
  <c r="A379"/>
  <c r="J379" s="1"/>
  <c r="B380"/>
  <c r="C381"/>
  <c r="D382"/>
  <c r="E383"/>
  <c r="F384"/>
  <c r="G385"/>
  <c r="A387"/>
  <c r="J387" s="1"/>
  <c r="B402"/>
  <c r="C403"/>
  <c r="D404"/>
  <c r="E405"/>
  <c r="F406"/>
  <c r="G407"/>
  <c r="A409"/>
  <c r="J409" s="1"/>
  <c r="B698"/>
  <c r="C410"/>
  <c r="D411"/>
  <c r="E412"/>
  <c r="F413"/>
  <c r="G414"/>
  <c r="A416"/>
  <c r="J416" s="1"/>
  <c r="B417"/>
  <c r="C418"/>
  <c r="D419"/>
  <c r="E420"/>
  <c r="F421"/>
  <c r="G422"/>
  <c r="A424"/>
  <c r="J424" s="1"/>
  <c r="B425"/>
  <c r="C426"/>
  <c r="D427"/>
  <c r="E428"/>
  <c r="F429"/>
  <c r="G430"/>
  <c r="A431"/>
  <c r="J431" s="1"/>
  <c r="B432"/>
  <c r="C433"/>
  <c r="D580"/>
  <c r="E434"/>
  <c r="E715"/>
  <c r="D714"/>
  <c r="C713"/>
  <c r="B712"/>
  <c r="A711"/>
  <c r="J711" s="1"/>
  <c r="G709"/>
  <c r="F646"/>
  <c r="E645"/>
  <c r="D644"/>
  <c r="C643"/>
  <c r="B642"/>
  <c r="A641"/>
  <c r="J641" s="1"/>
  <c r="G639"/>
  <c r="G708"/>
  <c r="E636"/>
  <c r="C634"/>
  <c r="A632"/>
  <c r="J632" s="1"/>
  <c r="F629"/>
  <c r="D707"/>
  <c r="B626"/>
  <c r="G623"/>
  <c r="E621"/>
  <c r="C619"/>
  <c r="A617"/>
  <c r="J617" s="1"/>
  <c r="F614"/>
  <c r="D612"/>
  <c r="B610"/>
  <c r="G607"/>
  <c r="E605"/>
  <c r="C706"/>
  <c r="A602"/>
  <c r="J602" s="1"/>
  <c r="F599"/>
  <c r="D597"/>
  <c r="B595"/>
  <c r="G705"/>
  <c r="E704"/>
  <c r="C590"/>
  <c r="A588"/>
  <c r="J588" s="1"/>
  <c r="F585"/>
  <c r="D583"/>
  <c r="B547"/>
  <c r="G714"/>
  <c r="F713"/>
  <c r="E712"/>
  <c r="D711"/>
  <c r="C710"/>
  <c r="B709"/>
  <c r="A646"/>
  <c r="J646" s="1"/>
  <c r="G644"/>
  <c r="F643"/>
  <c r="E642"/>
  <c r="D641"/>
  <c r="C640"/>
  <c r="F638"/>
  <c r="D637"/>
  <c r="B635"/>
  <c r="G632"/>
  <c r="E630"/>
  <c r="C628"/>
  <c r="A627"/>
  <c r="J627" s="1"/>
  <c r="F624"/>
  <c r="D622"/>
  <c r="B620"/>
  <c r="G617"/>
  <c r="E615"/>
  <c r="C613"/>
  <c r="A611"/>
  <c r="J611" s="1"/>
  <c r="F608"/>
  <c r="D606"/>
  <c r="B604"/>
  <c r="G602"/>
  <c r="E600"/>
  <c r="C598"/>
  <c r="A596"/>
  <c r="J596" s="1"/>
  <c r="F593"/>
  <c r="D592"/>
  <c r="B591"/>
  <c r="G588"/>
  <c r="E586"/>
  <c r="C584"/>
  <c r="A548"/>
  <c r="J548" s="1"/>
  <c r="A546"/>
  <c r="J546" s="1"/>
  <c r="G544"/>
  <c r="F543"/>
  <c r="E542"/>
  <c r="D541"/>
  <c r="C540"/>
  <c r="B539"/>
  <c r="A703"/>
  <c r="J703" s="1"/>
  <c r="G537"/>
  <c r="F702"/>
  <c r="E536"/>
  <c r="D535"/>
  <c r="C701"/>
  <c r="B534"/>
  <c r="A533"/>
  <c r="J533" s="1"/>
  <c r="G531"/>
  <c r="F530"/>
  <c r="E529"/>
  <c r="D528"/>
  <c r="C527"/>
  <c r="B526"/>
  <c r="A525"/>
  <c r="J525" s="1"/>
  <c r="G523"/>
  <c r="F522"/>
  <c r="E521"/>
  <c r="D520"/>
  <c r="C519"/>
  <c r="B518"/>
  <c r="A517"/>
  <c r="J517" s="1"/>
  <c r="G515"/>
  <c r="F514"/>
  <c r="E513"/>
  <c r="D512"/>
  <c r="C511"/>
  <c r="B510"/>
  <c r="A509"/>
  <c r="J509" s="1"/>
  <c r="G507"/>
  <c r="F700"/>
  <c r="E506"/>
  <c r="D505"/>
  <c r="C490"/>
  <c r="B489"/>
  <c r="A488"/>
  <c r="J488" s="1"/>
  <c r="G486"/>
  <c r="F485"/>
  <c r="E484"/>
  <c r="D483"/>
  <c r="C482"/>
  <c r="B481"/>
  <c r="A480"/>
  <c r="J480" s="1"/>
  <c r="G479"/>
  <c r="F478"/>
  <c r="E477"/>
  <c r="D476"/>
  <c r="C475"/>
  <c r="B474"/>
  <c r="A473"/>
  <c r="J473" s="1"/>
  <c r="G471"/>
  <c r="F470"/>
  <c r="E469"/>
  <c r="D468"/>
  <c r="C467"/>
  <c r="B466"/>
  <c r="A465"/>
  <c r="J465" s="1"/>
  <c r="G463"/>
  <c r="F462"/>
  <c r="E446"/>
  <c r="D445"/>
  <c r="C444"/>
  <c r="B443"/>
  <c r="B441"/>
  <c r="G438"/>
  <c r="B639"/>
  <c r="A638"/>
  <c r="J638" s="1"/>
  <c r="G637"/>
  <c r="F636"/>
  <c r="E635"/>
  <c r="D634"/>
  <c r="C633"/>
  <c r="B632"/>
  <c r="A631"/>
  <c r="J631" s="1"/>
  <c r="G629"/>
  <c r="F628"/>
  <c r="E707"/>
  <c r="D627"/>
  <c r="C626"/>
  <c r="B625"/>
  <c r="A624"/>
  <c r="J624" s="1"/>
  <c r="G622"/>
  <c r="F621"/>
  <c r="E620"/>
  <c r="D619"/>
  <c r="C618"/>
  <c r="B617"/>
  <c r="A616"/>
  <c r="J616" s="1"/>
  <c r="G614"/>
  <c r="F613"/>
  <c r="E612"/>
  <c r="D611"/>
  <c r="C610"/>
  <c r="B609"/>
  <c r="A608"/>
  <c r="J608" s="1"/>
  <c r="G606"/>
  <c r="F605"/>
  <c r="E604"/>
  <c r="D706"/>
  <c r="C603"/>
  <c r="B602"/>
  <c r="A601"/>
  <c r="J601" s="1"/>
  <c r="G599"/>
  <c r="F598"/>
  <c r="E597"/>
  <c r="D596"/>
  <c r="C595"/>
  <c r="B594"/>
  <c r="A593"/>
  <c r="J593" s="1"/>
  <c r="G592"/>
  <c r="F704"/>
  <c r="E591"/>
  <c r="D590"/>
  <c r="C589"/>
  <c r="B588"/>
  <c r="A587"/>
  <c r="J587" s="1"/>
  <c r="G585"/>
  <c r="F584"/>
  <c r="E583"/>
  <c r="D548"/>
  <c r="C547"/>
  <c r="B546"/>
  <c r="A545"/>
  <c r="J545" s="1"/>
  <c r="G543"/>
  <c r="F542"/>
  <c r="E541"/>
  <c r="D540"/>
  <c r="C539"/>
  <c r="B703"/>
  <c r="A538"/>
  <c r="J538" s="1"/>
  <c r="G702"/>
  <c r="F536"/>
  <c r="E535"/>
  <c r="D701"/>
  <c r="C534"/>
  <c r="B533"/>
  <c r="A532"/>
  <c r="J532" s="1"/>
  <c r="G530"/>
  <c r="F529"/>
  <c r="E528"/>
  <c r="D527"/>
  <c r="C526"/>
  <c r="B525"/>
  <c r="A524"/>
  <c r="J524" s="1"/>
  <c r="G522"/>
  <c r="F521"/>
  <c r="E520"/>
  <c r="D519"/>
  <c r="C518"/>
  <c r="B517"/>
  <c r="A516"/>
  <c r="J516" s="1"/>
  <c r="G514"/>
  <c r="F513"/>
  <c r="E512"/>
  <c r="D511"/>
  <c r="C510"/>
  <c r="B509"/>
  <c r="A508"/>
  <c r="J508" s="1"/>
  <c r="G700"/>
  <c r="F506"/>
  <c r="E505"/>
  <c r="D490"/>
  <c r="C489"/>
  <c r="B488"/>
  <c r="A487"/>
  <c r="J487" s="1"/>
  <c r="G485"/>
  <c r="F484"/>
  <c r="E483"/>
  <c r="D482"/>
  <c r="C481"/>
  <c r="B480"/>
  <c r="A582"/>
  <c r="J582" s="1"/>
  <c r="G478"/>
  <c r="F477"/>
  <c r="E476"/>
  <c r="D475"/>
  <c r="C474"/>
  <c r="B473"/>
  <c r="A472"/>
  <c r="J472" s="1"/>
  <c r="G470"/>
  <c r="F469"/>
  <c r="E468"/>
  <c r="D467"/>
  <c r="C466"/>
  <c r="B465"/>
  <c r="A464"/>
  <c r="J464" s="1"/>
  <c r="G462"/>
  <c r="F446"/>
  <c r="E445"/>
  <c r="D444"/>
  <c r="C443"/>
  <c r="D441"/>
  <c r="B439"/>
  <c r="B581"/>
  <c r="A437"/>
  <c r="J437" s="1"/>
  <c r="G435"/>
  <c r="F699"/>
  <c r="F580"/>
  <c r="D450"/>
  <c r="D65"/>
  <c r="B66"/>
  <c r="F66"/>
  <c r="D67"/>
  <c r="B68"/>
  <c r="F68"/>
  <c r="C69"/>
  <c r="G69"/>
  <c r="D70"/>
  <c r="A71"/>
  <c r="J71" s="1"/>
  <c r="E71"/>
  <c r="B72"/>
  <c r="F72"/>
  <c r="C73"/>
  <c r="G73"/>
  <c r="D82"/>
  <c r="A83"/>
  <c r="J83" s="1"/>
  <c r="E83"/>
  <c r="B457"/>
  <c r="F457"/>
  <c r="C84"/>
  <c r="G84"/>
  <c r="D85"/>
  <c r="A86"/>
  <c r="J86" s="1"/>
  <c r="E86"/>
  <c r="B87"/>
  <c r="F87"/>
  <c r="C88"/>
  <c r="G88"/>
  <c r="D89"/>
  <c r="A90"/>
  <c r="J90" s="1"/>
  <c r="E90"/>
  <c r="B91"/>
  <c r="F91"/>
  <c r="C92"/>
  <c r="G92"/>
  <c r="D268"/>
  <c r="A93"/>
  <c r="J93" s="1"/>
  <c r="E93"/>
  <c r="B94"/>
  <c r="F94"/>
  <c r="C95"/>
  <c r="G95"/>
  <c r="D96"/>
  <c r="A97"/>
  <c r="J97" s="1"/>
  <c r="E97"/>
  <c r="B98"/>
  <c r="F98"/>
  <c r="C99"/>
  <c r="G99"/>
  <c r="D100"/>
  <c r="A101"/>
  <c r="J101" s="1"/>
  <c r="E101"/>
  <c r="B102"/>
  <c r="F102"/>
  <c r="C103"/>
  <c r="G103"/>
  <c r="D104"/>
  <c r="A105"/>
  <c r="J105" s="1"/>
  <c r="E105"/>
  <c r="B106"/>
  <c r="F106"/>
  <c r="C107"/>
  <c r="G107"/>
  <c r="D108"/>
  <c r="A458"/>
  <c r="J458" s="1"/>
  <c r="E458"/>
  <c r="B122"/>
  <c r="F122"/>
  <c r="C123"/>
  <c r="G123"/>
  <c r="D500"/>
  <c r="A124"/>
  <c r="J124" s="1"/>
  <c r="E124"/>
  <c r="B125"/>
  <c r="F125"/>
  <c r="C126"/>
  <c r="G126"/>
  <c r="D127"/>
  <c r="A128"/>
  <c r="J128" s="1"/>
  <c r="E128"/>
  <c r="B129"/>
  <c r="F129"/>
  <c r="C130"/>
  <c r="G130"/>
  <c r="D131"/>
  <c r="A501"/>
  <c r="J501" s="1"/>
  <c r="E501"/>
  <c r="B132"/>
  <c r="F132"/>
  <c r="C133"/>
  <c r="G133"/>
  <c r="D134"/>
  <c r="A135"/>
  <c r="J135" s="1"/>
  <c r="E135"/>
  <c r="B136"/>
  <c r="F136"/>
  <c r="C459"/>
  <c r="G459"/>
  <c r="D137"/>
  <c r="A138"/>
  <c r="J138" s="1"/>
  <c r="E138"/>
  <c r="B139"/>
  <c r="F139"/>
  <c r="C140"/>
  <c r="G140"/>
  <c r="D141"/>
  <c r="A142"/>
  <c r="J142" s="1"/>
  <c r="E142"/>
  <c r="B143"/>
  <c r="F143"/>
  <c r="C144"/>
  <c r="G144"/>
  <c r="D145"/>
  <c r="A146"/>
  <c r="J146" s="1"/>
  <c r="E146"/>
  <c r="B147"/>
  <c r="F147"/>
  <c r="C148"/>
  <c r="G148"/>
  <c r="D149"/>
  <c r="A150"/>
  <c r="J150" s="1"/>
  <c r="E150"/>
  <c r="B151"/>
  <c r="F151"/>
  <c r="C152"/>
  <c r="A65"/>
  <c r="J65" s="1"/>
  <c r="E65"/>
  <c r="A66"/>
  <c r="J66" s="1"/>
  <c r="E66"/>
  <c r="A67"/>
  <c r="J67" s="1"/>
  <c r="E67"/>
  <c r="A68"/>
  <c r="J68" s="1"/>
  <c r="E68"/>
  <c r="B69"/>
  <c r="F69"/>
  <c r="C70"/>
  <c r="G70"/>
  <c r="D71"/>
  <c r="A72"/>
  <c r="J72" s="1"/>
  <c r="E72"/>
  <c r="B73"/>
  <c r="F73"/>
  <c r="C82"/>
  <c r="G82"/>
  <c r="D83"/>
  <c r="A457"/>
  <c r="J457" s="1"/>
  <c r="E457"/>
  <c r="B84"/>
  <c r="F84"/>
  <c r="C85"/>
  <c r="G85"/>
  <c r="D86"/>
  <c r="A87"/>
  <c r="J87" s="1"/>
  <c r="E87"/>
  <c r="B88"/>
  <c r="F88"/>
  <c r="C89"/>
  <c r="G89"/>
  <c r="D90"/>
  <c r="A91"/>
  <c r="J91" s="1"/>
  <c r="E91"/>
  <c r="B92"/>
  <c r="F92"/>
  <c r="C268"/>
  <c r="G268"/>
  <c r="D93"/>
  <c r="A94"/>
  <c r="J94" s="1"/>
  <c r="E94"/>
  <c r="B95"/>
  <c r="F95"/>
  <c r="C96"/>
  <c r="G96"/>
  <c r="D97"/>
  <c r="A98"/>
  <c r="J98" s="1"/>
  <c r="E98"/>
  <c r="B99"/>
  <c r="F99"/>
  <c r="C100"/>
  <c r="G100"/>
  <c r="D101"/>
  <c r="A102"/>
  <c r="J102" s="1"/>
  <c r="E102"/>
  <c r="B103"/>
  <c r="F103"/>
  <c r="C104"/>
  <c r="G104"/>
  <c r="D105"/>
  <c r="A106"/>
  <c r="J106" s="1"/>
  <c r="E106"/>
  <c r="B107"/>
  <c r="F107"/>
  <c r="C108"/>
  <c r="G108"/>
  <c r="D458"/>
  <c r="A122"/>
  <c r="J122" s="1"/>
  <c r="E122"/>
  <c r="B123"/>
  <c r="F123"/>
  <c r="C500"/>
  <c r="G500"/>
  <c r="D124"/>
  <c r="A125"/>
  <c r="J125" s="1"/>
  <c r="E125"/>
  <c r="B126"/>
  <c r="F126"/>
  <c r="C127"/>
  <c r="G127"/>
  <c r="D128"/>
  <c r="A129"/>
  <c r="J129" s="1"/>
  <c r="E129"/>
  <c r="B130"/>
  <c r="F130"/>
  <c r="C131"/>
  <c r="G131"/>
  <c r="D501"/>
  <c r="A132"/>
  <c r="J132" s="1"/>
  <c r="E132"/>
  <c r="B133"/>
  <c r="F133"/>
  <c r="C134"/>
  <c r="G134"/>
  <c r="D135"/>
  <c r="A136"/>
  <c r="J136" s="1"/>
  <c r="E136"/>
  <c r="B459"/>
  <c r="F459"/>
  <c r="C137"/>
  <c r="G137"/>
  <c r="D138"/>
  <c r="A139"/>
  <c r="J139" s="1"/>
  <c r="E139"/>
  <c r="B140"/>
  <c r="F140"/>
  <c r="C141"/>
  <c r="G141"/>
  <c r="D142"/>
  <c r="A143"/>
  <c r="J143" s="1"/>
  <c r="E143"/>
  <c r="B144"/>
  <c r="F144"/>
  <c r="C145"/>
  <c r="G145"/>
  <c r="D146"/>
  <c r="A147"/>
  <c r="J147" s="1"/>
  <c r="E147"/>
  <c r="B148"/>
  <c r="F148"/>
  <c r="C149"/>
  <c r="G149"/>
  <c r="D150"/>
  <c r="A151"/>
  <c r="J151" s="1"/>
  <c r="E151"/>
  <c r="B152"/>
  <c r="A153"/>
  <c r="J153" s="1"/>
  <c r="E153"/>
  <c r="B460"/>
  <c r="F460"/>
  <c r="C154"/>
  <c r="G154"/>
  <c r="D155"/>
  <c r="A192"/>
  <c r="J192" s="1"/>
  <c r="E192"/>
  <c r="B156"/>
  <c r="F156"/>
  <c r="C157"/>
  <c r="G157"/>
  <c r="D158"/>
  <c r="A159"/>
  <c r="J159" s="1"/>
  <c r="E159"/>
  <c r="B160"/>
  <c r="F160"/>
  <c r="C161"/>
  <c r="G161"/>
  <c r="D162"/>
  <c r="A163"/>
  <c r="J163" s="1"/>
  <c r="E163"/>
  <c r="B164"/>
  <c r="F164"/>
  <c r="C165"/>
  <c r="G165"/>
  <c r="D166"/>
  <c r="A167"/>
  <c r="J167" s="1"/>
  <c r="E167"/>
  <c r="B168"/>
  <c r="F168"/>
  <c r="C169"/>
  <c r="G169"/>
  <c r="D170"/>
  <c r="A171"/>
  <c r="J171" s="1"/>
  <c r="E171"/>
  <c r="B172"/>
  <c r="F172"/>
  <c r="C173"/>
  <c r="G173"/>
  <c r="D174"/>
  <c r="A175"/>
  <c r="J175" s="1"/>
  <c r="E175"/>
  <c r="B176"/>
  <c r="F176"/>
  <c r="C177"/>
  <c r="G177"/>
  <c r="D178"/>
  <c r="A179"/>
  <c r="J179" s="1"/>
  <c r="E179"/>
  <c r="B180"/>
  <c r="F180"/>
  <c r="C193"/>
  <c r="G193"/>
  <c r="D194"/>
  <c r="A195"/>
  <c r="J195" s="1"/>
  <c r="E195"/>
  <c r="B196"/>
  <c r="F196"/>
  <c r="C197"/>
  <c r="G197"/>
  <c r="D198"/>
  <c r="A199"/>
  <c r="J199" s="1"/>
  <c r="E199"/>
  <c r="B349"/>
  <c r="F349"/>
  <c r="C200"/>
  <c r="G200"/>
  <c r="D201"/>
  <c r="A202"/>
  <c r="J202" s="1"/>
  <c r="E202"/>
  <c r="B203"/>
  <c r="F203"/>
  <c r="C204"/>
  <c r="G204"/>
  <c r="D205"/>
  <c r="A206"/>
  <c r="J206" s="1"/>
  <c r="E206"/>
  <c r="B207"/>
  <c r="F207"/>
  <c r="C208"/>
  <c r="G208"/>
  <c r="D209"/>
  <c r="A210"/>
  <c r="J210" s="1"/>
  <c r="E210"/>
  <c r="B211"/>
  <c r="F211"/>
  <c r="C212"/>
  <c r="G212"/>
  <c r="D213"/>
  <c r="A214"/>
  <c r="J214" s="1"/>
  <c r="E214"/>
  <c r="B215"/>
  <c r="F215"/>
  <c r="C224"/>
  <c r="G224"/>
  <c r="D225"/>
  <c r="A502"/>
  <c r="J502" s="1"/>
  <c r="E502"/>
  <c r="A226"/>
  <c r="J226" s="1"/>
  <c r="E226"/>
  <c r="A227"/>
  <c r="J227" s="1"/>
  <c r="E227"/>
  <c r="A228"/>
  <c r="J228" s="1"/>
  <c r="E228"/>
  <c r="A229"/>
  <c r="J229" s="1"/>
  <c r="E229"/>
  <c r="D152"/>
  <c r="B153"/>
  <c r="F153"/>
  <c r="C460"/>
  <c r="G460"/>
  <c r="D154"/>
  <c r="A155"/>
  <c r="J155" s="1"/>
  <c r="E155"/>
  <c r="B192"/>
  <c r="F192"/>
  <c r="C156"/>
  <c r="G156"/>
  <c r="D157"/>
  <c r="A158"/>
  <c r="J158" s="1"/>
  <c r="E158"/>
  <c r="B159"/>
  <c r="F159"/>
  <c r="C160"/>
  <c r="G160"/>
  <c r="D161"/>
  <c r="A162"/>
  <c r="J162" s="1"/>
  <c r="E162"/>
  <c r="B163"/>
  <c r="F163"/>
  <c r="C164"/>
  <c r="G164"/>
  <c r="D165"/>
  <c r="A166"/>
  <c r="J166" s="1"/>
  <c r="E166"/>
  <c r="B167"/>
  <c r="F167"/>
  <c r="C168"/>
  <c r="G168"/>
  <c r="D169"/>
  <c r="A170"/>
  <c r="J170" s="1"/>
  <c r="E170"/>
  <c r="B171"/>
  <c r="F171"/>
  <c r="C172"/>
  <c r="G172"/>
  <c r="D173"/>
  <c r="A174"/>
  <c r="J174" s="1"/>
  <c r="E174"/>
  <c r="B175"/>
  <c r="F175"/>
  <c r="C176"/>
  <c r="G176"/>
  <c r="D177"/>
  <c r="A178"/>
  <c r="J178" s="1"/>
  <c r="E178"/>
  <c r="B179"/>
  <c r="F179"/>
  <c r="C180"/>
  <c r="G180"/>
  <c r="D193"/>
  <c r="A194"/>
  <c r="J194" s="1"/>
  <c r="E194"/>
  <c r="B195"/>
  <c r="F195"/>
  <c r="C196"/>
  <c r="G196"/>
  <c r="D197"/>
  <c r="A198"/>
  <c r="J198" s="1"/>
  <c r="E198"/>
  <c r="B199"/>
  <c r="F199"/>
  <c r="C349"/>
  <c r="G349"/>
  <c r="D200"/>
  <c r="A201"/>
  <c r="J201" s="1"/>
  <c r="E201"/>
  <c r="B202"/>
  <c r="F202"/>
  <c r="C203"/>
  <c r="G203"/>
  <c r="D204"/>
  <c r="A205"/>
  <c r="J205" s="1"/>
  <c r="E205"/>
  <c r="B206"/>
  <c r="F206"/>
  <c r="C207"/>
  <c r="G207"/>
  <c r="D208"/>
  <c r="A209"/>
  <c r="J209" s="1"/>
  <c r="E209"/>
  <c r="B210"/>
  <c r="F210"/>
  <c r="C211"/>
  <c r="G211"/>
  <c r="D212"/>
  <c r="A213"/>
  <c r="J213" s="1"/>
  <c r="E213"/>
  <c r="B214"/>
  <c r="F214"/>
  <c r="C215"/>
  <c r="G215"/>
  <c r="D224"/>
  <c r="A225"/>
  <c r="J225" s="1"/>
  <c r="E225"/>
  <c r="B502"/>
  <c r="F502"/>
  <c r="D226"/>
  <c r="B227"/>
  <c r="F227"/>
  <c r="D228"/>
  <c r="B229"/>
  <c r="F229"/>
  <c r="D230"/>
  <c r="B231"/>
  <c r="F231"/>
  <c r="D232"/>
  <c r="B233"/>
  <c r="F233"/>
  <c r="C234"/>
  <c r="G234"/>
  <c r="D235"/>
  <c r="A236"/>
  <c r="J236" s="1"/>
  <c r="E236"/>
  <c r="B237"/>
  <c r="F237"/>
  <c r="C238"/>
  <c r="G238"/>
  <c r="D239"/>
  <c r="A240"/>
  <c r="J240" s="1"/>
  <c r="C230"/>
  <c r="C231"/>
  <c r="C232"/>
  <c r="C233"/>
  <c r="D234"/>
  <c r="E235"/>
  <c r="F236"/>
  <c r="G237"/>
  <c r="A239"/>
  <c r="J239" s="1"/>
  <c r="B240"/>
  <c r="G240"/>
  <c r="D241"/>
  <c r="A269"/>
  <c r="J269" s="1"/>
  <c r="E269"/>
  <c r="B693"/>
  <c r="F693"/>
  <c r="C242"/>
  <c r="G242"/>
  <c r="D243"/>
  <c r="A244"/>
  <c r="J244" s="1"/>
  <c r="E244"/>
  <c r="B245"/>
  <c r="F245"/>
  <c r="C246"/>
  <c r="G246"/>
  <c r="D503"/>
  <c r="B65"/>
  <c r="F65"/>
  <c r="D66"/>
  <c r="B67"/>
  <c r="F67"/>
  <c r="D68"/>
  <c r="A69"/>
  <c r="J69" s="1"/>
  <c r="E69"/>
  <c r="B70"/>
  <c r="F70"/>
  <c r="C71"/>
  <c r="G71"/>
  <c r="D72"/>
  <c r="A73"/>
  <c r="J73" s="1"/>
  <c r="E73"/>
  <c r="B82"/>
  <c r="F82"/>
  <c r="C83"/>
  <c r="G83"/>
  <c r="D457"/>
  <c r="A84"/>
  <c r="J84" s="1"/>
  <c r="E84"/>
  <c r="B85"/>
  <c r="F85"/>
  <c r="C86"/>
  <c r="G86"/>
  <c r="D87"/>
  <c r="A88"/>
  <c r="J88" s="1"/>
  <c r="E88"/>
  <c r="B89"/>
  <c r="F89"/>
  <c r="C90"/>
  <c r="G90"/>
  <c r="D91"/>
  <c r="A92"/>
  <c r="J92" s="1"/>
  <c r="E92"/>
  <c r="B268"/>
  <c r="F268"/>
  <c r="C93"/>
  <c r="G93"/>
  <c r="D94"/>
  <c r="A95"/>
  <c r="J95" s="1"/>
  <c r="E95"/>
  <c r="B96"/>
  <c r="F96"/>
  <c r="C97"/>
  <c r="G97"/>
  <c r="D98"/>
  <c r="A99"/>
  <c r="J99" s="1"/>
  <c r="E99"/>
  <c r="B100"/>
  <c r="F100"/>
  <c r="C101"/>
  <c r="G101"/>
  <c r="D102"/>
  <c r="A103"/>
  <c r="J103" s="1"/>
  <c r="E103"/>
  <c r="B104"/>
  <c r="F104"/>
  <c r="C105"/>
  <c r="G105"/>
  <c r="D106"/>
  <c r="A107"/>
  <c r="J107" s="1"/>
  <c r="E107"/>
  <c r="B108"/>
  <c r="F108"/>
  <c r="C458"/>
  <c r="G458"/>
  <c r="D122"/>
  <c r="A123"/>
  <c r="J123" s="1"/>
  <c r="E123"/>
  <c r="B500"/>
  <c r="F500"/>
  <c r="C124"/>
  <c r="G124"/>
  <c r="D125"/>
  <c r="A126"/>
  <c r="J126" s="1"/>
  <c r="E126"/>
  <c r="B127"/>
  <c r="F127"/>
  <c r="C128"/>
  <c r="G128"/>
  <c r="D129"/>
  <c r="A130"/>
  <c r="J130" s="1"/>
  <c r="E130"/>
  <c r="B131"/>
  <c r="F131"/>
  <c r="C501"/>
  <c r="G501"/>
  <c r="D132"/>
  <c r="A133"/>
  <c r="J133" s="1"/>
  <c r="E133"/>
  <c r="B134"/>
  <c r="F134"/>
  <c r="C135"/>
  <c r="G135"/>
  <c r="D136"/>
  <c r="A459"/>
  <c r="J459" s="1"/>
  <c r="E459"/>
  <c r="B137"/>
  <c r="F137"/>
  <c r="C138"/>
  <c r="G138"/>
  <c r="D139"/>
  <c r="A140"/>
  <c r="J140" s="1"/>
  <c r="E140"/>
  <c r="B141"/>
  <c r="F141"/>
  <c r="C142"/>
  <c r="G142"/>
  <c r="D143"/>
  <c r="A144"/>
  <c r="J144" s="1"/>
  <c r="E144"/>
  <c r="B145"/>
  <c r="F145"/>
  <c r="C146"/>
  <c r="G146"/>
  <c r="D147"/>
  <c r="A148"/>
  <c r="J148" s="1"/>
  <c r="E148"/>
  <c r="B149"/>
  <c r="F149"/>
  <c r="C150"/>
  <c r="G150"/>
  <c r="D151"/>
  <c r="A152"/>
  <c r="J152" s="1"/>
  <c r="E152"/>
  <c r="C65"/>
  <c r="G65"/>
  <c r="C66"/>
  <c r="G66"/>
  <c r="C67"/>
  <c r="G67"/>
  <c r="C68"/>
  <c r="G68"/>
  <c r="D69"/>
  <c r="A70"/>
  <c r="J70" s="1"/>
  <c r="E70"/>
  <c r="B71"/>
  <c r="F71"/>
  <c r="C72"/>
  <c r="G72"/>
  <c r="D73"/>
  <c r="A82"/>
  <c r="J82" s="1"/>
  <c r="E82"/>
  <c r="B83"/>
  <c r="F83"/>
  <c r="C457"/>
  <c r="G457"/>
  <c r="D84"/>
  <c r="A85"/>
  <c r="J85" s="1"/>
  <c r="E85"/>
  <c r="B86"/>
  <c r="F86"/>
  <c r="C87"/>
  <c r="G87"/>
  <c r="D88"/>
  <c r="A89"/>
  <c r="J89" s="1"/>
  <c r="E89"/>
  <c r="B90"/>
  <c r="F90"/>
  <c r="C91"/>
  <c r="G91"/>
  <c r="D92"/>
  <c r="A268"/>
  <c r="J268" s="1"/>
  <c r="E268"/>
  <c r="B93"/>
  <c r="F93"/>
  <c r="C94"/>
  <c r="G94"/>
  <c r="D95"/>
  <c r="A96"/>
  <c r="J96" s="1"/>
  <c r="E96"/>
  <c r="B97"/>
  <c r="F97"/>
  <c r="C98"/>
  <c r="G98"/>
  <c r="D99"/>
  <c r="A100"/>
  <c r="J100" s="1"/>
  <c r="E100"/>
  <c r="B101"/>
  <c r="F101"/>
  <c r="C102"/>
  <c r="G102"/>
  <c r="D103"/>
  <c r="A104"/>
  <c r="J104" s="1"/>
  <c r="E104"/>
  <c r="B105"/>
  <c r="F105"/>
  <c r="C106"/>
  <c r="G106"/>
  <c r="D107"/>
  <c r="A108"/>
  <c r="J108" s="1"/>
  <c r="E108"/>
  <c r="B458"/>
  <c r="F458"/>
  <c r="C122"/>
  <c r="G122"/>
  <c r="D123"/>
  <c r="A500"/>
  <c r="J500" s="1"/>
  <c r="E500"/>
  <c r="B124"/>
  <c r="F124"/>
  <c r="C125"/>
  <c r="G125"/>
  <c r="D126"/>
  <c r="A127"/>
  <c r="J127" s="1"/>
  <c r="E127"/>
  <c r="B128"/>
  <c r="F128"/>
  <c r="C129"/>
  <c r="G129"/>
  <c r="D130"/>
  <c r="A131"/>
  <c r="J131" s="1"/>
  <c r="E131"/>
  <c r="B501"/>
  <c r="F501"/>
  <c r="C132"/>
  <c r="G132"/>
  <c r="D133"/>
  <c r="A134"/>
  <c r="J134" s="1"/>
  <c r="E134"/>
  <c r="B135"/>
  <c r="F135"/>
  <c r="C136"/>
  <c r="G136"/>
  <c r="D459"/>
  <c r="A137"/>
  <c r="J137" s="1"/>
  <c r="E137"/>
  <c r="B138"/>
  <c r="F138"/>
  <c r="C139"/>
  <c r="G139"/>
  <c r="D140"/>
  <c r="A141"/>
  <c r="J141" s="1"/>
  <c r="E141"/>
  <c r="B142"/>
  <c r="F142"/>
  <c r="C143"/>
  <c r="G143"/>
  <c r="D144"/>
  <c r="A145"/>
  <c r="J145" s="1"/>
  <c r="E145"/>
  <c r="B146"/>
  <c r="F146"/>
  <c r="C147"/>
  <c r="G147"/>
  <c r="D148"/>
  <c r="A149"/>
  <c r="J149" s="1"/>
  <c r="E149"/>
  <c r="B150"/>
  <c r="F150"/>
  <c r="C151"/>
  <c r="G151"/>
  <c r="F152"/>
  <c r="C153"/>
  <c r="G153"/>
  <c r="D460"/>
  <c r="A154"/>
  <c r="J154" s="1"/>
  <c r="E154"/>
  <c r="B155"/>
  <c r="F155"/>
  <c r="C192"/>
  <c r="G192"/>
  <c r="D156"/>
  <c r="A157"/>
  <c r="J157" s="1"/>
  <c r="E157"/>
  <c r="B158"/>
  <c r="F158"/>
  <c r="C159"/>
  <c r="G159"/>
  <c r="D160"/>
  <c r="A161"/>
  <c r="J161" s="1"/>
  <c r="E161"/>
  <c r="B162"/>
  <c r="F162"/>
  <c r="C163"/>
  <c r="G163"/>
  <c r="D164"/>
  <c r="A165"/>
  <c r="J165" s="1"/>
  <c r="E165"/>
  <c r="B166"/>
  <c r="F166"/>
  <c r="C167"/>
  <c r="G167"/>
  <c r="D168"/>
  <c r="A169"/>
  <c r="J169" s="1"/>
  <c r="E169"/>
  <c r="B170"/>
  <c r="F170"/>
  <c r="C171"/>
  <c r="G171"/>
  <c r="D172"/>
  <c r="A173"/>
  <c r="J173" s="1"/>
  <c r="E173"/>
  <c r="B174"/>
  <c r="F174"/>
  <c r="C175"/>
  <c r="G175"/>
  <c r="D176"/>
  <c r="A177"/>
  <c r="J177" s="1"/>
  <c r="E177"/>
  <c r="B178"/>
  <c r="F178"/>
  <c r="C179"/>
  <c r="G179"/>
  <c r="D180"/>
  <c r="A193"/>
  <c r="J193" s="1"/>
  <c r="E193"/>
  <c r="B194"/>
  <c r="F194"/>
  <c r="C195"/>
  <c r="G195"/>
  <c r="D196"/>
  <c r="A197"/>
  <c r="J197" s="1"/>
  <c r="E197"/>
  <c r="B198"/>
  <c r="F198"/>
  <c r="C199"/>
  <c r="G199"/>
  <c r="D349"/>
  <c r="A200"/>
  <c r="J200" s="1"/>
  <c r="E200"/>
  <c r="B201"/>
  <c r="F201"/>
  <c r="C202"/>
  <c r="G202"/>
  <c r="D203"/>
  <c r="A204"/>
  <c r="J204" s="1"/>
  <c r="E204"/>
  <c r="B205"/>
  <c r="F205"/>
  <c r="C206"/>
  <c r="G206"/>
  <c r="D207"/>
  <c r="A208"/>
  <c r="J208" s="1"/>
  <c r="E208"/>
  <c r="B209"/>
  <c r="F209"/>
  <c r="C210"/>
  <c r="G210"/>
  <c r="D211"/>
  <c r="A212"/>
  <c r="J212" s="1"/>
  <c r="E212"/>
  <c r="B213"/>
  <c r="F213"/>
  <c r="C214"/>
  <c r="G214"/>
  <c r="D215"/>
  <c r="A224"/>
  <c r="J224" s="1"/>
  <c r="E224"/>
  <c r="B225"/>
  <c r="F225"/>
  <c r="C502"/>
  <c r="G502"/>
  <c r="C226"/>
  <c r="G226"/>
  <c r="C227"/>
  <c r="G227"/>
  <c r="C228"/>
  <c r="G228"/>
  <c r="C229"/>
  <c r="G229"/>
  <c r="G152"/>
  <c r="D153"/>
  <c r="A460"/>
  <c r="J460" s="1"/>
  <c r="E460"/>
  <c r="B154"/>
  <c r="F154"/>
  <c r="C155"/>
  <c r="G155"/>
  <c r="D192"/>
  <c r="A156"/>
  <c r="J156" s="1"/>
  <c r="E156"/>
  <c r="B157"/>
  <c r="F157"/>
  <c r="C158"/>
  <c r="G158"/>
  <c r="D159"/>
  <c r="A160"/>
  <c r="J160" s="1"/>
  <c r="E160"/>
  <c r="B161"/>
  <c r="F161"/>
  <c r="C162"/>
  <c r="G162"/>
  <c r="D163"/>
  <c r="A164"/>
  <c r="J164" s="1"/>
  <c r="E164"/>
  <c r="B165"/>
  <c r="F165"/>
  <c r="C166"/>
  <c r="G166"/>
  <c r="D167"/>
  <c r="A168"/>
  <c r="J168" s="1"/>
  <c r="E168"/>
  <c r="B169"/>
  <c r="F169"/>
  <c r="C170"/>
  <c r="G170"/>
  <c r="D171"/>
  <c r="A172"/>
  <c r="J172" s="1"/>
  <c r="E172"/>
  <c r="B173"/>
  <c r="F173"/>
  <c r="C174"/>
  <c r="G174"/>
  <c r="D175"/>
  <c r="A176"/>
  <c r="J176" s="1"/>
  <c r="E176"/>
  <c r="B177"/>
  <c r="F177"/>
  <c r="C178"/>
  <c r="G178"/>
  <c r="D179"/>
  <c r="A180"/>
  <c r="J180" s="1"/>
  <c r="E180"/>
  <c r="B193"/>
  <c r="F193"/>
  <c r="C194"/>
  <c r="G194"/>
  <c r="D195"/>
  <c r="A196"/>
  <c r="J196" s="1"/>
  <c r="E196"/>
  <c r="B197"/>
  <c r="F197"/>
  <c r="C198"/>
  <c r="G198"/>
  <c r="D199"/>
  <c r="A349"/>
  <c r="J349" s="1"/>
  <c r="E349"/>
  <c r="B200"/>
  <c r="F200"/>
  <c r="C201"/>
  <c r="G201"/>
  <c r="D202"/>
  <c r="A203"/>
  <c r="J203" s="1"/>
  <c r="E203"/>
  <c r="B204"/>
  <c r="F204"/>
  <c r="C205"/>
  <c r="G205"/>
  <c r="D206"/>
  <c r="A207"/>
  <c r="J207" s="1"/>
  <c r="E207"/>
  <c r="B208"/>
  <c r="F208"/>
  <c r="C209"/>
  <c r="G209"/>
  <c r="D210"/>
  <c r="A211"/>
  <c r="J211" s="1"/>
  <c r="E211"/>
  <c r="B212"/>
  <c r="F212"/>
  <c r="C213"/>
  <c r="G213"/>
  <c r="D214"/>
  <c r="A215"/>
  <c r="J215" s="1"/>
  <c r="E215"/>
  <c r="B224"/>
  <c r="F224"/>
  <c r="C225"/>
  <c r="G225"/>
  <c r="D502"/>
  <c r="B226"/>
  <c r="F226"/>
  <c r="D227"/>
  <c r="B228"/>
  <c r="F228"/>
  <c r="D229"/>
  <c r="B230"/>
  <c r="F230"/>
  <c r="D231"/>
  <c r="B232"/>
  <c r="F232"/>
  <c r="D233"/>
  <c r="A234"/>
  <c r="J234" s="1"/>
  <c r="E234"/>
  <c r="B235"/>
  <c r="F235"/>
  <c r="C236"/>
  <c r="G236"/>
  <c r="D237"/>
  <c r="A238"/>
  <c r="J238" s="1"/>
  <c r="E238"/>
  <c r="B239"/>
  <c r="F239"/>
  <c r="C240"/>
  <c r="G230"/>
  <c r="G231"/>
  <c r="G232"/>
  <c r="G233"/>
  <c r="A235"/>
  <c r="J235" s="1"/>
  <c r="B236"/>
  <c r="C237"/>
  <c r="D238"/>
  <c r="E239"/>
  <c r="E240"/>
  <c r="B241"/>
  <c r="F241"/>
  <c r="C269"/>
  <c r="D693"/>
  <c r="E242"/>
  <c r="F243"/>
  <c r="G244"/>
  <c r="A246"/>
  <c r="J246" s="1"/>
  <c r="B503"/>
  <c r="A247"/>
  <c r="J247" s="1"/>
  <c r="E247"/>
  <c r="B248"/>
  <c r="F248"/>
  <c r="C249"/>
  <c r="G249"/>
  <c r="D250"/>
  <c r="A251"/>
  <c r="J251" s="1"/>
  <c r="E251"/>
  <c r="B252"/>
  <c r="F252"/>
  <c r="C253"/>
  <c r="G253"/>
  <c r="D254"/>
  <c r="A255"/>
  <c r="J255" s="1"/>
  <c r="E255"/>
  <c r="B256"/>
  <c r="F256"/>
  <c r="C257"/>
  <c r="G257"/>
  <c r="D270"/>
  <c r="A271"/>
  <c r="J271" s="1"/>
  <c r="E271"/>
  <c r="B272"/>
  <c r="F272"/>
  <c r="C273"/>
  <c r="G273"/>
  <c r="D274"/>
  <c r="A230"/>
  <c r="J230" s="1"/>
  <c r="A231"/>
  <c r="J231" s="1"/>
  <c r="A232"/>
  <c r="J232" s="1"/>
  <c r="A233"/>
  <c r="J233" s="1"/>
  <c r="B234"/>
  <c r="C235"/>
  <c r="D236"/>
  <c r="E237"/>
  <c r="F238"/>
  <c r="G239"/>
  <c r="F240"/>
  <c r="C241"/>
  <c r="G241"/>
  <c r="D269"/>
  <c r="A693"/>
  <c r="J693" s="1"/>
  <c r="E693"/>
  <c r="B242"/>
  <c r="F242"/>
  <c r="C243"/>
  <c r="G243"/>
  <c r="D244"/>
  <c r="A245"/>
  <c r="J245" s="1"/>
  <c r="E245"/>
  <c r="B246"/>
  <c r="F246"/>
  <c r="C503"/>
  <c r="G503"/>
  <c r="D247"/>
  <c r="A248"/>
  <c r="J248" s="1"/>
  <c r="E248"/>
  <c r="B249"/>
  <c r="F249"/>
  <c r="C250"/>
  <c r="G250"/>
  <c r="D251"/>
  <c r="A252"/>
  <c r="J252" s="1"/>
  <c r="E252"/>
  <c r="B253"/>
  <c r="F253"/>
  <c r="C254"/>
  <c r="G254"/>
  <c r="D255"/>
  <c r="A256"/>
  <c r="J256" s="1"/>
  <c r="E256"/>
  <c r="B257"/>
  <c r="F257"/>
  <c r="C270"/>
  <c r="G270"/>
  <c r="D271"/>
  <c r="A272"/>
  <c r="J272" s="1"/>
  <c r="E272"/>
  <c r="B273"/>
  <c r="F273"/>
  <c r="C274"/>
  <c r="G274"/>
  <c r="G269"/>
  <c r="A242"/>
  <c r="J242" s="1"/>
  <c r="B243"/>
  <c r="C244"/>
  <c r="D245"/>
  <c r="E246"/>
  <c r="F503"/>
  <c r="C247"/>
  <c r="G247"/>
  <c r="D248"/>
  <c r="A249"/>
  <c r="J249" s="1"/>
  <c r="E249"/>
  <c r="B250"/>
  <c r="F250"/>
  <c r="C251"/>
  <c r="G251"/>
  <c r="D252"/>
  <c r="A253"/>
  <c r="J253" s="1"/>
  <c r="E253"/>
  <c r="B254"/>
  <c r="F254"/>
  <c r="C255"/>
  <c r="G255"/>
  <c r="D256"/>
  <c r="A257"/>
  <c r="J257" s="1"/>
  <c r="E257"/>
  <c r="B270"/>
  <c r="F270"/>
  <c r="C271"/>
  <c r="G271"/>
  <c r="D272"/>
  <c r="A273"/>
  <c r="J273" s="1"/>
  <c r="E273"/>
  <c r="B274"/>
  <c r="F274"/>
  <c r="E230"/>
  <c r="E231"/>
  <c r="E232"/>
  <c r="E233"/>
  <c r="F234"/>
  <c r="G235"/>
  <c r="A237"/>
  <c r="J237" s="1"/>
  <c r="B238"/>
  <c r="C239"/>
  <c r="D240"/>
  <c r="A241"/>
  <c r="J241" s="1"/>
  <c r="E241"/>
  <c r="B269"/>
  <c r="F269"/>
  <c r="C693"/>
  <c r="G693"/>
  <c r="D242"/>
  <c r="A243"/>
  <c r="J243" s="1"/>
  <c r="E243"/>
  <c r="B244"/>
  <c r="F244"/>
  <c r="C245"/>
  <c r="G245"/>
  <c r="D246"/>
  <c r="A503"/>
  <c r="J503" s="1"/>
  <c r="E503"/>
  <c r="B247"/>
  <c r="F247"/>
  <c r="C248"/>
  <c r="G248"/>
  <c r="D249"/>
  <c r="A250"/>
  <c r="J250" s="1"/>
  <c r="E250"/>
  <c r="B251"/>
  <c r="F251"/>
  <c r="C252"/>
  <c r="G252"/>
  <c r="D253"/>
  <c r="A254"/>
  <c r="J254" s="1"/>
  <c r="E254"/>
  <c r="B255"/>
  <c r="F255"/>
  <c r="C256"/>
  <c r="G256"/>
  <c r="D257"/>
  <c r="A270"/>
  <c r="J270" s="1"/>
  <c r="E270"/>
  <c r="B271"/>
  <c r="F271"/>
  <c r="C272"/>
  <c r="G272"/>
  <c r="D273"/>
  <c r="A274"/>
  <c r="J274" s="1"/>
  <c r="E274"/>
  <c r="D64" i="14"/>
  <c r="A65"/>
  <c r="E65"/>
  <c r="A66"/>
  <c r="E66"/>
  <c r="A64"/>
  <c r="E64"/>
  <c r="B65"/>
  <c r="G65"/>
  <c r="D66"/>
  <c r="B51"/>
  <c r="G51"/>
  <c r="C52"/>
  <c r="H52"/>
  <c r="D53"/>
  <c r="A54"/>
  <c r="E54"/>
  <c r="B55"/>
  <c r="G55"/>
  <c r="C56"/>
  <c r="H56"/>
  <c r="C57"/>
  <c r="H57"/>
  <c r="C58"/>
  <c r="H58"/>
  <c r="C59"/>
  <c r="H59"/>
  <c r="D60"/>
  <c r="B61"/>
  <c r="G61"/>
  <c r="D62"/>
  <c r="B63"/>
  <c r="G63"/>
  <c r="C67"/>
  <c r="H67"/>
  <c r="C51"/>
  <c r="H51"/>
  <c r="D52"/>
  <c r="A53"/>
  <c r="E53"/>
  <c r="B54"/>
  <c r="G54"/>
  <c r="C55"/>
  <c r="H55"/>
  <c r="D56"/>
  <c r="B57"/>
  <c r="G57"/>
  <c r="D58"/>
  <c r="B59"/>
  <c r="G59"/>
  <c r="C60"/>
  <c r="H60"/>
  <c r="C61"/>
  <c r="H61"/>
  <c r="C62"/>
  <c r="H62"/>
  <c r="C63"/>
  <c r="H63"/>
  <c r="D67"/>
  <c r="B64"/>
  <c r="G64"/>
  <c r="C65"/>
  <c r="H65"/>
  <c r="C66"/>
  <c r="H66"/>
  <c r="C64"/>
  <c r="H64"/>
  <c r="D65"/>
  <c r="B66"/>
  <c r="G66"/>
  <c r="D51"/>
  <c r="A52"/>
  <c r="E52"/>
  <c r="B53"/>
  <c r="G53"/>
  <c r="C54"/>
  <c r="H54"/>
  <c r="D55"/>
  <c r="A56"/>
  <c r="E56"/>
  <c r="A57"/>
  <c r="E57"/>
  <c r="A58"/>
  <c r="E58"/>
  <c r="A59"/>
  <c r="E59"/>
  <c r="B60"/>
  <c r="G60"/>
  <c r="D61"/>
  <c r="B62"/>
  <c r="G62"/>
  <c r="D63"/>
  <c r="A67"/>
  <c r="E67"/>
  <c r="A51"/>
  <c r="E51"/>
  <c r="B52"/>
  <c r="G52"/>
  <c r="C53"/>
  <c r="H53"/>
  <c r="D54"/>
  <c r="A55"/>
  <c r="E55"/>
  <c r="B56"/>
  <c r="G56"/>
  <c r="D57"/>
  <c r="B58"/>
  <c r="G58"/>
  <c r="D59"/>
  <c r="A60"/>
  <c r="E60"/>
  <c r="A61"/>
  <c r="E61"/>
  <c r="A62"/>
  <c r="E62"/>
  <c r="A63"/>
  <c r="E63"/>
  <c r="B67"/>
  <c r="G67"/>
  <c r="C29"/>
  <c r="D34"/>
  <c r="A35"/>
  <c r="E35"/>
  <c r="B36"/>
  <c r="G36"/>
  <c r="C37"/>
  <c r="H37"/>
  <c r="D38"/>
  <c r="A39"/>
  <c r="E39"/>
  <c r="B40"/>
  <c r="G40"/>
  <c r="C41"/>
  <c r="H41"/>
  <c r="D42"/>
  <c r="A43"/>
  <c r="E43"/>
  <c r="B44"/>
  <c r="G44"/>
  <c r="C45"/>
  <c r="H45"/>
  <c r="D46"/>
  <c r="A47"/>
  <c r="E47"/>
  <c r="B48"/>
  <c r="G48"/>
  <c r="C49"/>
  <c r="H49"/>
  <c r="D50"/>
  <c r="A34"/>
  <c r="E34"/>
  <c r="B35"/>
  <c r="G35"/>
  <c r="C36"/>
  <c r="H36"/>
  <c r="D37"/>
  <c r="A38"/>
  <c r="E38"/>
  <c r="B39"/>
  <c r="G39"/>
  <c r="C40"/>
  <c r="H40"/>
  <c r="D41"/>
  <c r="A42"/>
  <c r="E42"/>
  <c r="B43"/>
  <c r="G43"/>
  <c r="C44"/>
  <c r="H44"/>
  <c r="D45"/>
  <c r="A46"/>
  <c r="E46"/>
  <c r="B47"/>
  <c r="G47"/>
  <c r="C48"/>
  <c r="H48"/>
  <c r="D49"/>
  <c r="A50"/>
  <c r="E50"/>
  <c r="B34"/>
  <c r="G34"/>
  <c r="C35"/>
  <c r="H35"/>
  <c r="D36"/>
  <c r="A37"/>
  <c r="E37"/>
  <c r="B38"/>
  <c r="G38"/>
  <c r="C39"/>
  <c r="H39"/>
  <c r="D40"/>
  <c r="A41"/>
  <c r="E41"/>
  <c r="B42"/>
  <c r="G42"/>
  <c r="C43"/>
  <c r="H43"/>
  <c r="D44"/>
  <c r="A45"/>
  <c r="E45"/>
  <c r="B46"/>
  <c r="G46"/>
  <c r="C47"/>
  <c r="H47"/>
  <c r="D48"/>
  <c r="A49"/>
  <c r="E49"/>
  <c r="B50"/>
  <c r="G50"/>
  <c r="C34"/>
  <c r="H34"/>
  <c r="D35"/>
  <c r="A36"/>
  <c r="E36"/>
  <c r="B37"/>
  <c r="G37"/>
  <c r="C38"/>
  <c r="H38"/>
  <c r="D39"/>
  <c r="A40"/>
  <c r="E40"/>
  <c r="B41"/>
  <c r="G41"/>
  <c r="C42"/>
  <c r="H42"/>
  <c r="D43"/>
  <c r="A44"/>
  <c r="E44"/>
  <c r="B45"/>
  <c r="G45"/>
  <c r="C46"/>
  <c r="H46"/>
  <c r="D47"/>
  <c r="A48"/>
  <c r="E48"/>
  <c r="B49"/>
  <c r="G49"/>
  <c r="C50"/>
  <c r="H50"/>
  <c r="D657" i="47"/>
  <c r="D260"/>
  <c r="D182"/>
  <c r="D559"/>
  <c r="D15" i="14"/>
  <c r="A16"/>
  <c r="E16"/>
  <c r="B17"/>
  <c r="G17"/>
  <c r="C18"/>
  <c r="H18"/>
  <c r="D19"/>
  <c r="A20"/>
  <c r="E20"/>
  <c r="B21"/>
  <c r="G21"/>
  <c r="C22"/>
  <c r="H22"/>
  <c r="D23"/>
  <c r="A24"/>
  <c r="E24"/>
  <c r="B25"/>
  <c r="G25"/>
  <c r="C26"/>
  <c r="H26"/>
  <c r="D27"/>
  <c r="A28"/>
  <c r="E28"/>
  <c r="B29"/>
  <c r="G29"/>
  <c r="C15"/>
  <c r="H15"/>
  <c r="D16"/>
  <c r="A17"/>
  <c r="E17"/>
  <c r="B18"/>
  <c r="G18"/>
  <c r="C19"/>
  <c r="H19"/>
  <c r="D20"/>
  <c r="A21"/>
  <c r="E21"/>
  <c r="B22"/>
  <c r="G22"/>
  <c r="C23"/>
  <c r="H23"/>
  <c r="D24"/>
  <c r="A25"/>
  <c r="E25"/>
  <c r="B26"/>
  <c r="G26"/>
  <c r="C27"/>
  <c r="H27"/>
  <c r="D28"/>
  <c r="A29"/>
  <c r="E29"/>
  <c r="B15"/>
  <c r="G15"/>
  <c r="C16"/>
  <c r="H16"/>
  <c r="D17"/>
  <c r="A18"/>
  <c r="E18"/>
  <c r="B19"/>
  <c r="G19"/>
  <c r="C20"/>
  <c r="H20"/>
  <c r="D21"/>
  <c r="A22"/>
  <c r="E22"/>
  <c r="B23"/>
  <c r="G23"/>
  <c r="C24"/>
  <c r="H24"/>
  <c r="D25"/>
  <c r="A26"/>
  <c r="E26"/>
  <c r="B27"/>
  <c r="G27"/>
  <c r="C28"/>
  <c r="H28"/>
  <c r="D29"/>
  <c r="A15"/>
  <c r="E15"/>
  <c r="B16"/>
  <c r="G16"/>
  <c r="C17"/>
  <c r="H17"/>
  <c r="D18"/>
  <c r="A19"/>
  <c r="E19"/>
  <c r="B20"/>
  <c r="G20"/>
  <c r="C21"/>
  <c r="H21"/>
  <c r="D22"/>
  <c r="A23"/>
  <c r="E23"/>
  <c r="B24"/>
  <c r="G24"/>
  <c r="C25"/>
  <c r="H25"/>
  <c r="D26"/>
  <c r="A27"/>
  <c r="E27"/>
  <c r="B28"/>
  <c r="G28"/>
  <c r="H29"/>
  <c r="A30"/>
  <c r="E30"/>
  <c r="B31"/>
  <c r="G31"/>
  <c r="D32"/>
  <c r="A33"/>
  <c r="E33"/>
  <c r="D30"/>
  <c r="A31"/>
  <c r="E31"/>
  <c r="A32"/>
  <c r="E32"/>
  <c r="B33"/>
  <c r="G33"/>
  <c r="C30"/>
  <c r="H30"/>
  <c r="D31"/>
  <c r="B32"/>
  <c r="G32"/>
  <c r="C33"/>
  <c r="H33"/>
  <c r="B30"/>
  <c r="G30"/>
  <c r="C31"/>
  <c r="H31"/>
  <c r="C32"/>
  <c r="H32"/>
  <c r="D33"/>
  <c r="E80" i="63"/>
  <c r="J80"/>
  <c r="D81"/>
  <c r="I81"/>
  <c r="C82"/>
  <c r="A82" s="1"/>
  <c r="H82"/>
  <c r="B83"/>
  <c r="F83"/>
  <c r="K83"/>
  <c r="E84"/>
  <c r="J84"/>
  <c r="D85"/>
  <c r="I85"/>
  <c r="C86"/>
  <c r="A86" s="1"/>
  <c r="H86"/>
  <c r="B87"/>
  <c r="F87"/>
  <c r="K87"/>
  <c r="D80"/>
  <c r="I80"/>
  <c r="C81"/>
  <c r="A81" s="1"/>
  <c r="H81"/>
  <c r="B82"/>
  <c r="F82"/>
  <c r="K82"/>
  <c r="E83"/>
  <c r="J83"/>
  <c r="D84"/>
  <c r="I84"/>
  <c r="C85"/>
  <c r="A85" s="1"/>
  <c r="H85"/>
  <c r="B86"/>
  <c r="F86"/>
  <c r="K86"/>
  <c r="E87"/>
  <c r="J87"/>
  <c r="C80"/>
  <c r="A80" s="1"/>
  <c r="H80"/>
  <c r="B81"/>
  <c r="F81"/>
  <c r="K81"/>
  <c r="E82"/>
  <c r="J82"/>
  <c r="D83"/>
  <c r="I83"/>
  <c r="C84"/>
  <c r="A84" s="1"/>
  <c r="H84"/>
  <c r="B85"/>
  <c r="F85"/>
  <c r="K85"/>
  <c r="E86"/>
  <c r="J86"/>
  <c r="D87"/>
  <c r="I87"/>
  <c r="B80"/>
  <c r="F80"/>
  <c r="K80"/>
  <c r="E81"/>
  <c r="J81"/>
  <c r="D82"/>
  <c r="I82"/>
  <c r="C83"/>
  <c r="A83" s="1"/>
  <c r="H83"/>
  <c r="B84"/>
  <c r="F84"/>
  <c r="K84"/>
  <c r="E85"/>
  <c r="J85"/>
  <c r="D86"/>
  <c r="I86"/>
  <c r="C87"/>
  <c r="A87" s="1"/>
  <c r="H87"/>
  <c r="J22"/>
  <c r="C88"/>
  <c r="A88" s="1"/>
  <c r="E88"/>
  <c r="H88"/>
  <c r="J88"/>
  <c r="C89"/>
  <c r="A89" s="1"/>
  <c r="E89"/>
  <c r="H89"/>
  <c r="J89"/>
  <c r="B90"/>
  <c r="D90"/>
  <c r="F90"/>
  <c r="I90"/>
  <c r="K90"/>
  <c r="B91"/>
  <c r="D91"/>
  <c r="F91"/>
  <c r="I91"/>
  <c r="K91"/>
  <c r="C92"/>
  <c r="A92" s="1"/>
  <c r="E92"/>
  <c r="H92"/>
  <c r="J92"/>
  <c r="C93"/>
  <c r="A93" s="1"/>
  <c r="E93"/>
  <c r="H93"/>
  <c r="J93"/>
  <c r="B94"/>
  <c r="D94"/>
  <c r="F94"/>
  <c r="I94"/>
  <c r="K94"/>
  <c r="B95"/>
  <c r="D95"/>
  <c r="F95"/>
  <c r="I95"/>
  <c r="K95"/>
  <c r="C96"/>
  <c r="A96" s="1"/>
  <c r="E96"/>
  <c r="H96"/>
  <c r="J96"/>
  <c r="B88"/>
  <c r="D88"/>
  <c r="F88"/>
  <c r="I88"/>
  <c r="K88"/>
  <c r="B89"/>
  <c r="D89"/>
  <c r="F89"/>
  <c r="I89"/>
  <c r="K89"/>
  <c r="C90"/>
  <c r="A90" s="1"/>
  <c r="E90"/>
  <c r="H90"/>
  <c r="J90"/>
  <c r="C91"/>
  <c r="A91" s="1"/>
  <c r="E91"/>
  <c r="H91"/>
  <c r="J91"/>
  <c r="B92"/>
  <c r="D92"/>
  <c r="F92"/>
  <c r="I92"/>
  <c r="K92"/>
  <c r="B93"/>
  <c r="D93"/>
  <c r="F93"/>
  <c r="I93"/>
  <c r="K93"/>
  <c r="C94"/>
  <c r="A94" s="1"/>
  <c r="E94"/>
  <c r="H94"/>
  <c r="J94"/>
  <c r="C95"/>
  <c r="A95" s="1"/>
  <c r="E95"/>
  <c r="H95"/>
  <c r="J95"/>
  <c r="B96"/>
  <c r="D96"/>
  <c r="F96"/>
  <c r="I96"/>
  <c r="K96"/>
  <c r="H25" i="12"/>
  <c r="N11" i="45"/>
  <c r="G52" i="12"/>
  <c r="H75"/>
  <c r="H20"/>
  <c r="G21"/>
  <c r="N16" i="45"/>
  <c r="N19" i="62"/>
  <c r="G49" i="12"/>
  <c r="N14" i="62"/>
  <c r="L6"/>
  <c r="G25" i="15"/>
  <c r="I25" s="1"/>
  <c r="H10" i="12"/>
  <c r="N50" i="45"/>
  <c r="H43" i="12"/>
  <c r="L14" i="55"/>
  <c r="G27" i="12"/>
  <c r="L90" i="55"/>
  <c r="G38" i="15"/>
  <c r="P20" i="45"/>
  <c r="I71" i="15"/>
  <c r="I68"/>
  <c r="P5" i="45"/>
  <c r="A34" i="43"/>
  <c r="A33"/>
  <c r="G34"/>
  <c r="E34"/>
  <c r="F34"/>
  <c r="C34"/>
  <c r="D34"/>
  <c r="A18"/>
  <c r="A53"/>
  <c r="D48"/>
  <c r="F53"/>
  <c r="D49"/>
  <c r="D52"/>
  <c r="B50"/>
  <c r="G47"/>
  <c r="E45"/>
  <c r="C43"/>
  <c r="A41"/>
  <c r="F38"/>
  <c r="D36"/>
  <c r="G31"/>
  <c r="E29"/>
  <c r="C27"/>
  <c r="A25"/>
  <c r="F22"/>
  <c r="D20"/>
  <c r="B18"/>
  <c r="D51"/>
  <c r="D47"/>
  <c r="B45"/>
  <c r="G42"/>
  <c r="E40"/>
  <c r="C38"/>
  <c r="A36"/>
  <c r="D31"/>
  <c r="B29"/>
  <c r="G26"/>
  <c r="E24"/>
  <c r="C22"/>
  <c r="A20"/>
  <c r="F17"/>
  <c r="B51"/>
  <c r="C53"/>
  <c r="A51"/>
  <c r="F48"/>
  <c r="D46"/>
  <c r="B44"/>
  <c r="G41"/>
  <c r="E39"/>
  <c r="C37"/>
  <c r="A35"/>
  <c r="E31"/>
  <c r="C29"/>
  <c r="A27"/>
  <c r="F24"/>
  <c r="D22"/>
  <c r="B20"/>
  <c r="G17"/>
  <c r="G50"/>
  <c r="B47"/>
  <c r="G44"/>
  <c r="E42"/>
  <c r="C40"/>
  <c r="A38"/>
  <c r="F35"/>
  <c r="B31"/>
  <c r="G28"/>
  <c r="E26"/>
  <c r="C24"/>
  <c r="A22"/>
  <c r="F19"/>
  <c r="D17"/>
  <c r="G51"/>
  <c r="C47"/>
  <c r="G43"/>
  <c r="E41"/>
  <c r="C39"/>
  <c r="A37"/>
  <c r="D32"/>
  <c r="B30"/>
  <c r="G27"/>
  <c r="E25"/>
  <c r="C23"/>
  <c r="A21"/>
  <c r="F18"/>
  <c r="E52"/>
  <c r="A48"/>
  <c r="F45"/>
  <c r="D43"/>
  <c r="B41"/>
  <c r="G38"/>
  <c r="E36"/>
  <c r="A32"/>
  <c r="F29"/>
  <c r="D27"/>
  <c r="B25"/>
  <c r="G22"/>
  <c r="E20"/>
  <c r="C18"/>
  <c r="C52"/>
  <c r="G53"/>
  <c r="E51"/>
  <c r="C49"/>
  <c r="A47"/>
  <c r="F44"/>
  <c r="D42"/>
  <c r="B40"/>
  <c r="G37"/>
  <c r="E35"/>
  <c r="A31"/>
  <c r="F28"/>
  <c r="D26"/>
  <c r="B24"/>
  <c r="G21"/>
  <c r="E19"/>
  <c r="C17"/>
  <c r="F49"/>
  <c r="E46"/>
  <c r="C44"/>
  <c r="A42"/>
  <c r="F39"/>
  <c r="D37"/>
  <c r="B35"/>
  <c r="F31"/>
  <c r="D29"/>
  <c r="B27"/>
  <c r="G24"/>
  <c r="E22"/>
  <c r="C20"/>
  <c r="G52"/>
  <c r="B34"/>
  <c r="F33"/>
  <c r="G33"/>
  <c r="D33"/>
  <c r="E33"/>
  <c r="B33"/>
  <c r="C33"/>
  <c r="E50"/>
  <c r="F50"/>
  <c r="B46"/>
  <c r="F51"/>
  <c r="E53"/>
  <c r="C51"/>
  <c r="A49"/>
  <c r="F46"/>
  <c r="D44"/>
  <c r="B42"/>
  <c r="G39"/>
  <c r="E37"/>
  <c r="C35"/>
  <c r="F30"/>
  <c r="D28"/>
  <c r="B26"/>
  <c r="G23"/>
  <c r="E21"/>
  <c r="C19"/>
  <c r="A17"/>
  <c r="B49"/>
  <c r="C46"/>
  <c r="A44"/>
  <c r="F41"/>
  <c r="D39"/>
  <c r="B37"/>
  <c r="E32"/>
  <c r="C30"/>
  <c r="A28"/>
  <c r="F25"/>
  <c r="D23"/>
  <c r="B21"/>
  <c r="G18"/>
  <c r="B53"/>
  <c r="G48"/>
  <c r="B52"/>
  <c r="G49"/>
  <c r="E47"/>
  <c r="C45"/>
  <c r="A43"/>
  <c r="F40"/>
  <c r="D38"/>
  <c r="B36"/>
  <c r="F32"/>
  <c r="D30"/>
  <c r="B28"/>
  <c r="G25"/>
  <c r="E23"/>
  <c r="C21"/>
  <c r="A19"/>
  <c r="D53"/>
  <c r="E48"/>
  <c r="A46"/>
  <c r="F43"/>
  <c r="D41"/>
  <c r="B39"/>
  <c r="G36"/>
  <c r="C32"/>
  <c r="A30"/>
  <c r="F27"/>
  <c r="D25"/>
  <c r="B23"/>
  <c r="G20"/>
  <c r="E18"/>
  <c r="C48"/>
  <c r="E49"/>
  <c r="A45"/>
  <c r="F42"/>
  <c r="D40"/>
  <c r="B38"/>
  <c r="G35"/>
  <c r="C31"/>
  <c r="A29"/>
  <c r="F26"/>
  <c r="D24"/>
  <c r="B22"/>
  <c r="G19"/>
  <c r="E17"/>
  <c r="C50"/>
  <c r="G46"/>
  <c r="E44"/>
  <c r="C42"/>
  <c r="A40"/>
  <c r="F37"/>
  <c r="D35"/>
  <c r="G30"/>
  <c r="E28"/>
  <c r="C26"/>
  <c r="A24"/>
  <c r="F21"/>
  <c r="D19"/>
  <c r="B17"/>
  <c r="A50"/>
  <c r="F52"/>
  <c r="D50"/>
  <c r="B48"/>
  <c r="G45"/>
  <c r="E43"/>
  <c r="C41"/>
  <c r="A39"/>
  <c r="F36"/>
  <c r="B32"/>
  <c r="G29"/>
  <c r="E27"/>
  <c r="C25"/>
  <c r="A23"/>
  <c r="F20"/>
  <c r="D18"/>
  <c r="A52"/>
  <c r="F47"/>
  <c r="D45"/>
  <c r="B43"/>
  <c r="G40"/>
  <c r="E38"/>
  <c r="C36"/>
  <c r="G32"/>
  <c r="E30"/>
  <c r="C28"/>
  <c r="A26"/>
  <c r="F23"/>
  <c r="D21"/>
  <c r="B19"/>
  <c r="F15"/>
  <c r="G15"/>
  <c r="G14"/>
  <c r="F14"/>
  <c r="E14"/>
  <c r="D14"/>
  <c r="C14"/>
  <c r="B14"/>
  <c r="A14"/>
  <c r="A15"/>
  <c r="E15"/>
  <c r="D15"/>
  <c r="C15"/>
  <c r="B15"/>
  <c r="L82" i="55"/>
  <c r="G86" i="12"/>
  <c r="G17"/>
  <c r="P28" i="45"/>
  <c r="H40" i="12"/>
  <c r="H88"/>
  <c r="G52" i="15"/>
  <c r="G54" i="12"/>
  <c r="G28"/>
  <c r="G50"/>
  <c r="P31" i="45"/>
  <c r="P40"/>
  <c r="H23" i="12"/>
  <c r="P38" i="45"/>
  <c r="H26" i="12"/>
  <c r="L53" i="55"/>
  <c r="N10" i="62"/>
  <c r="L20" i="55"/>
  <c r="N14" i="45"/>
  <c r="L91" i="55"/>
  <c r="L101"/>
  <c r="F64" i="15"/>
  <c r="F65" s="1"/>
  <c r="L27" i="55"/>
  <c r="L63"/>
  <c r="I70" i="15"/>
  <c r="L111" i="55"/>
  <c r="L29"/>
  <c r="L44"/>
  <c r="L23"/>
  <c r="L97"/>
  <c r="I69" i="15"/>
  <c r="L70" i="55"/>
  <c r="L30"/>
  <c r="L42"/>
  <c r="H55" i="15"/>
  <c r="H22"/>
  <c r="N35" i="45"/>
  <c r="H90" i="12"/>
  <c r="L13" i="62"/>
  <c r="P43" i="45"/>
  <c r="B16" i="43"/>
  <c r="G13"/>
  <c r="A16"/>
  <c r="F13"/>
  <c r="E13"/>
  <c r="D13"/>
  <c r="C13"/>
  <c r="B13"/>
  <c r="A13"/>
  <c r="G16"/>
  <c r="F16"/>
  <c r="E16"/>
  <c r="D16"/>
  <c r="C16"/>
  <c r="A54"/>
  <c r="B55"/>
  <c r="C56"/>
  <c r="D57"/>
  <c r="E58"/>
  <c r="F59"/>
  <c r="G60"/>
  <c r="A62"/>
  <c r="B63"/>
  <c r="C64"/>
  <c r="D65"/>
  <c r="E66"/>
  <c r="F67"/>
  <c r="G68"/>
  <c r="A70"/>
  <c r="B71"/>
  <c r="C72"/>
  <c r="D73"/>
  <c r="E74"/>
  <c r="F75"/>
  <c r="G76"/>
  <c r="A78"/>
  <c r="B79"/>
  <c r="C80"/>
  <c r="D81"/>
  <c r="E82"/>
  <c r="F83"/>
  <c r="G84"/>
  <c r="A86"/>
  <c r="A55"/>
  <c r="B56"/>
  <c r="C57"/>
  <c r="D58"/>
  <c r="E59"/>
  <c r="F60"/>
  <c r="G61"/>
  <c r="A63"/>
  <c r="B64"/>
  <c r="C65"/>
  <c r="D66"/>
  <c r="E67"/>
  <c r="F68"/>
  <c r="G69"/>
  <c r="A71"/>
  <c r="B72"/>
  <c r="C73"/>
  <c r="D74"/>
  <c r="E75"/>
  <c r="G54"/>
  <c r="A56"/>
  <c r="B57"/>
  <c r="C58"/>
  <c r="D59"/>
  <c r="E60"/>
  <c r="F61"/>
  <c r="G62"/>
  <c r="A64"/>
  <c r="B65"/>
  <c r="C66"/>
  <c r="D67"/>
  <c r="E68"/>
  <c r="F69"/>
  <c r="G70"/>
  <c r="A72"/>
  <c r="B73"/>
  <c r="C74"/>
  <c r="D75"/>
  <c r="E76"/>
  <c r="F77"/>
  <c r="G78"/>
  <c r="A80"/>
  <c r="B81"/>
  <c r="C82"/>
  <c r="D83"/>
  <c r="E84"/>
  <c r="F85"/>
  <c r="F54"/>
  <c r="G55"/>
  <c r="A57"/>
  <c r="B58"/>
  <c r="C59"/>
  <c r="D60"/>
  <c r="E61"/>
  <c r="F62"/>
  <c r="G63"/>
  <c r="A65"/>
  <c r="B66"/>
  <c r="C67"/>
  <c r="D68"/>
  <c r="E69"/>
  <c r="F70"/>
  <c r="G71"/>
  <c r="A73"/>
  <c r="B74"/>
  <c r="C75"/>
  <c r="D76"/>
  <c r="E77"/>
  <c r="F78"/>
  <c r="G79"/>
  <c r="E81"/>
  <c r="G83"/>
  <c r="B86"/>
  <c r="C87"/>
  <c r="D88"/>
  <c r="G77"/>
  <c r="B80"/>
  <c r="D84"/>
  <c r="E87"/>
  <c r="C89"/>
  <c r="D90"/>
  <c r="E91"/>
  <c r="F92"/>
  <c r="G93"/>
  <c r="A95"/>
  <c r="B96"/>
  <c r="C97"/>
  <c r="D98"/>
  <c r="E99"/>
  <c r="F100"/>
  <c r="G101"/>
  <c r="A103"/>
  <c r="B104"/>
  <c r="C105"/>
  <c r="D106"/>
  <c r="E107"/>
  <c r="F108"/>
  <c r="G109"/>
  <c r="A111"/>
  <c r="B112"/>
  <c r="C113"/>
  <c r="D114"/>
  <c r="E115"/>
  <c r="F116"/>
  <c r="D82"/>
  <c r="F84"/>
  <c r="E86"/>
  <c r="F87"/>
  <c r="G88"/>
  <c r="A90"/>
  <c r="B91"/>
  <c r="C92"/>
  <c r="D93"/>
  <c r="E94"/>
  <c r="F95"/>
  <c r="G96"/>
  <c r="A98"/>
  <c r="B99"/>
  <c r="C100"/>
  <c r="D101"/>
  <c r="E102"/>
  <c r="F103"/>
  <c r="G104"/>
  <c r="A106"/>
  <c r="B107"/>
  <c r="C108"/>
  <c r="D109"/>
  <c r="E110"/>
  <c r="F111"/>
  <c r="G112"/>
  <c r="A114"/>
  <c r="B115"/>
  <c r="C116"/>
  <c r="B76"/>
  <c r="D78"/>
  <c r="A81"/>
  <c r="E85"/>
  <c r="B88"/>
  <c r="E89"/>
  <c r="F90"/>
  <c r="G91"/>
  <c r="A93"/>
  <c r="B94"/>
  <c r="C95"/>
  <c r="D96"/>
  <c r="E97"/>
  <c r="F98"/>
  <c r="G99"/>
  <c r="A101"/>
  <c r="B102"/>
  <c r="C103"/>
  <c r="D104"/>
  <c r="E105"/>
  <c r="F106"/>
  <c r="G107"/>
  <c r="A109"/>
  <c r="B110"/>
  <c r="C111"/>
  <c r="D112"/>
  <c r="E113"/>
  <c r="F114"/>
  <c r="G115"/>
  <c r="F80"/>
  <c r="A83"/>
  <c r="C85"/>
  <c r="G86"/>
  <c r="A88"/>
  <c r="B89"/>
  <c r="C90"/>
  <c r="D91"/>
  <c r="E92"/>
  <c r="F93"/>
  <c r="G94"/>
  <c r="A96"/>
  <c r="B97"/>
  <c r="C98"/>
  <c r="D99"/>
  <c r="E100"/>
  <c r="F101"/>
  <c r="G102"/>
  <c r="A104"/>
  <c r="B105"/>
  <c r="C106"/>
  <c r="D107"/>
  <c r="E108"/>
  <c r="F109"/>
  <c r="G110"/>
  <c r="A112"/>
  <c r="B113"/>
  <c r="C114"/>
  <c r="D115"/>
  <c r="E116"/>
  <c r="E54"/>
  <c r="F55"/>
  <c r="G56"/>
  <c r="A58"/>
  <c r="B59"/>
  <c r="C60"/>
  <c r="D61"/>
  <c r="E62"/>
  <c r="F63"/>
  <c r="G64"/>
  <c r="A66"/>
  <c r="B67"/>
  <c r="C68"/>
  <c r="D69"/>
  <c r="E70"/>
  <c r="F71"/>
  <c r="G72"/>
  <c r="A74"/>
  <c r="B75"/>
  <c r="C76"/>
  <c r="D77"/>
  <c r="E78"/>
  <c r="F79"/>
  <c r="G80"/>
  <c r="A82"/>
  <c r="B83"/>
  <c r="C84"/>
  <c r="D85"/>
  <c r="D54"/>
  <c r="E55"/>
  <c r="F56"/>
  <c r="G57"/>
  <c r="A59"/>
  <c r="B60"/>
  <c r="C61"/>
  <c r="D62"/>
  <c r="E63"/>
  <c r="F64"/>
  <c r="G65"/>
  <c r="A67"/>
  <c r="B68"/>
  <c r="C69"/>
  <c r="D70"/>
  <c r="E71"/>
  <c r="F72"/>
  <c r="G73"/>
  <c r="A75"/>
  <c r="C54"/>
  <c r="D55"/>
  <c r="E56"/>
  <c r="F57"/>
  <c r="G58"/>
  <c r="A60"/>
  <c r="B61"/>
  <c r="C62"/>
  <c r="D63"/>
  <c r="E64"/>
  <c r="F65"/>
  <c r="G66"/>
  <c r="A68"/>
  <c r="B69"/>
  <c r="C70"/>
  <c r="D71"/>
  <c r="E72"/>
  <c r="F73"/>
  <c r="G74"/>
  <c r="A76"/>
  <c r="B77"/>
  <c r="C78"/>
  <c r="D79"/>
  <c r="E80"/>
  <c r="F81"/>
  <c r="G82"/>
  <c r="A84"/>
  <c r="B85"/>
  <c r="B54"/>
  <c r="C55"/>
  <c r="D56"/>
  <c r="E57"/>
  <c r="F58"/>
  <c r="G59"/>
  <c r="A61"/>
  <c r="B62"/>
  <c r="C63"/>
  <c r="D64"/>
  <c r="E65"/>
  <c r="F66"/>
  <c r="G67"/>
  <c r="A69"/>
  <c r="B70"/>
  <c r="C71"/>
  <c r="D72"/>
  <c r="E73"/>
  <c r="F74"/>
  <c r="G75"/>
  <c r="A77"/>
  <c r="B78"/>
  <c r="C79"/>
  <c r="D80"/>
  <c r="F82"/>
  <c r="A85"/>
  <c r="F86"/>
  <c r="G87"/>
  <c r="F76"/>
  <c r="A79"/>
  <c r="B82"/>
  <c r="D86"/>
  <c r="F88"/>
  <c r="G89"/>
  <c r="A91"/>
  <c r="B92"/>
  <c r="C93"/>
  <c r="D94"/>
  <c r="E95"/>
  <c r="F96"/>
  <c r="G97"/>
  <c r="A99"/>
  <c r="B100"/>
  <c r="C101"/>
  <c r="D102"/>
  <c r="E103"/>
  <c r="F104"/>
  <c r="G105"/>
  <c r="A107"/>
  <c r="B108"/>
  <c r="C109"/>
  <c r="D110"/>
  <c r="E111"/>
  <c r="F112"/>
  <c r="G113"/>
  <c r="A115"/>
  <c r="B116"/>
  <c r="C81"/>
  <c r="E83"/>
  <c r="G85"/>
  <c r="B87"/>
  <c r="C88"/>
  <c r="D89"/>
  <c r="E90"/>
  <c r="F91"/>
  <c r="G92"/>
  <c r="A94"/>
  <c r="B95"/>
  <c r="C96"/>
  <c r="D97"/>
  <c r="E98"/>
  <c r="F99"/>
  <c r="G100"/>
  <c r="A102"/>
  <c r="B103"/>
  <c r="C104"/>
  <c r="D105"/>
  <c r="E106"/>
  <c r="F107"/>
  <c r="G108"/>
  <c r="A110"/>
  <c r="B111"/>
  <c r="C112"/>
  <c r="D113"/>
  <c r="E114"/>
  <c r="F115"/>
  <c r="G116"/>
  <c r="C77"/>
  <c r="E79"/>
  <c r="C83"/>
  <c r="A87"/>
  <c r="A89"/>
  <c r="B90"/>
  <c r="C91"/>
  <c r="D92"/>
  <c r="E93"/>
  <c r="F94"/>
  <c r="G95"/>
  <c r="A97"/>
  <c r="B98"/>
  <c r="C99"/>
  <c r="D100"/>
  <c r="E101"/>
  <c r="F102"/>
  <c r="G103"/>
  <c r="A105"/>
  <c r="B106"/>
  <c r="C107"/>
  <c r="D108"/>
  <c r="E109"/>
  <c r="F110"/>
  <c r="G111"/>
  <c r="A113"/>
  <c r="B114"/>
  <c r="C115"/>
  <c r="D116"/>
  <c r="G81"/>
  <c r="B84"/>
  <c r="C86"/>
  <c r="D87"/>
  <c r="E88"/>
  <c r="F89"/>
  <c r="G90"/>
  <c r="A92"/>
  <c r="B93"/>
  <c r="C94"/>
  <c r="D95"/>
  <c r="E96"/>
  <c r="F97"/>
  <c r="G98"/>
  <c r="A100"/>
  <c r="B101"/>
  <c r="C102"/>
  <c r="D103"/>
  <c r="E104"/>
  <c r="F105"/>
  <c r="G106"/>
  <c r="A108"/>
  <c r="B109"/>
  <c r="C110"/>
  <c r="D111"/>
  <c r="E112"/>
  <c r="F113"/>
  <c r="G114"/>
  <c r="A116"/>
  <c r="H176" i="42"/>
  <c r="G173"/>
  <c r="C176"/>
  <c r="C173"/>
  <c r="F174"/>
  <c r="B174"/>
  <c r="F175"/>
  <c r="B175"/>
  <c r="F176"/>
  <c r="D173"/>
  <c r="H173"/>
  <c r="B173"/>
  <c r="E174"/>
  <c r="A174"/>
  <c r="E175"/>
  <c r="A175"/>
  <c r="H167"/>
  <c r="E166"/>
  <c r="H162"/>
  <c r="E172"/>
  <c r="B171"/>
  <c r="A165"/>
  <c r="B165"/>
  <c r="G168"/>
  <c r="D167"/>
  <c r="G163"/>
  <c r="D162"/>
  <c r="H169"/>
  <c r="F163"/>
  <c r="E168"/>
  <c r="C170"/>
  <c r="H164"/>
  <c r="G169"/>
  <c r="E163"/>
  <c r="D168"/>
  <c r="B162"/>
  <c r="A167"/>
  <c r="B169"/>
  <c r="G164"/>
  <c r="D163"/>
  <c r="H170"/>
  <c r="E169"/>
  <c r="B164"/>
  <c r="A169"/>
  <c r="A162"/>
  <c r="F165"/>
  <c r="B163"/>
  <c r="F171"/>
  <c r="D170"/>
  <c r="G162"/>
  <c r="F167"/>
  <c r="D172"/>
  <c r="B167"/>
  <c r="H168"/>
  <c r="F162"/>
  <c r="E167"/>
  <c r="C172"/>
  <c r="B166"/>
  <c r="C162"/>
  <c r="A166"/>
  <c r="E159"/>
  <c r="G129"/>
  <c r="G161"/>
  <c r="F148"/>
  <c r="E131"/>
  <c r="E152"/>
  <c r="D140"/>
  <c r="D156"/>
  <c r="C139"/>
  <c r="C155"/>
  <c r="B138"/>
  <c r="B154"/>
  <c r="A137"/>
  <c r="A153"/>
  <c r="E157"/>
  <c r="H141"/>
  <c r="H157"/>
  <c r="G140"/>
  <c r="G156"/>
  <c r="F139"/>
  <c r="F155"/>
  <c r="E138"/>
  <c r="D131"/>
  <c r="D147"/>
  <c r="C130"/>
  <c r="C146"/>
  <c r="B129"/>
  <c r="B145"/>
  <c r="B161"/>
  <c r="A144"/>
  <c r="A160"/>
  <c r="H142"/>
  <c r="G141"/>
  <c r="H136"/>
  <c r="H152"/>
  <c r="G135"/>
  <c r="G151"/>
  <c r="F134"/>
  <c r="F150"/>
  <c r="E133"/>
  <c r="E156"/>
  <c r="D142"/>
  <c r="D158"/>
  <c r="C141"/>
  <c r="C157"/>
  <c r="B140"/>
  <c r="B156"/>
  <c r="A139"/>
  <c r="A155"/>
  <c r="E161"/>
  <c r="H143"/>
  <c r="H159"/>
  <c r="G142"/>
  <c r="G158"/>
  <c r="F141"/>
  <c r="F157"/>
  <c r="E140"/>
  <c r="D133"/>
  <c r="D149"/>
  <c r="C132"/>
  <c r="C148"/>
  <c r="B131"/>
  <c r="B147"/>
  <c r="A130"/>
  <c r="A146"/>
  <c r="F132"/>
  <c r="H154"/>
  <c r="G153"/>
  <c r="F144"/>
  <c r="F160"/>
  <c r="E144"/>
  <c r="D136"/>
  <c r="D152"/>
  <c r="C135"/>
  <c r="C151"/>
  <c r="B134"/>
  <c r="B150"/>
  <c r="A133"/>
  <c r="A149"/>
  <c r="E149"/>
  <c r="H137"/>
  <c r="H153"/>
  <c r="G136"/>
  <c r="G152"/>
  <c r="F135"/>
  <c r="F151"/>
  <c r="E134"/>
  <c r="E158"/>
  <c r="D143"/>
  <c r="D159"/>
  <c r="C142"/>
  <c r="C158"/>
  <c r="B141"/>
  <c r="B157"/>
  <c r="A140"/>
  <c r="A156"/>
  <c r="H134"/>
  <c r="G133"/>
  <c r="H132"/>
  <c r="H148"/>
  <c r="G131"/>
  <c r="G147"/>
  <c r="F130"/>
  <c r="F146"/>
  <c r="E129"/>
  <c r="E148"/>
  <c r="D138"/>
  <c r="D154"/>
  <c r="C137"/>
  <c r="C153"/>
  <c r="B136"/>
  <c r="B152"/>
  <c r="A135"/>
  <c r="A151"/>
  <c r="E153"/>
  <c r="H139"/>
  <c r="H155"/>
  <c r="G138"/>
  <c r="G154"/>
  <c r="F137"/>
  <c r="F153"/>
  <c r="E136"/>
  <c r="D129"/>
  <c r="D145"/>
  <c r="D161"/>
  <c r="C144"/>
  <c r="C160"/>
  <c r="B143"/>
  <c r="B159"/>
  <c r="A142"/>
  <c r="A158"/>
  <c r="E143"/>
  <c r="H126"/>
  <c r="B127"/>
  <c r="D119"/>
  <c r="C117"/>
  <c r="F119"/>
  <c r="E117"/>
  <c r="G127"/>
  <c r="H125"/>
  <c r="G124"/>
  <c r="B126"/>
  <c r="A124"/>
  <c r="D118"/>
  <c r="C116"/>
  <c r="F118"/>
  <c r="E116"/>
  <c r="C126"/>
  <c r="A113"/>
  <c r="H128"/>
  <c r="B113"/>
  <c r="A119"/>
  <c r="D113"/>
  <c r="C119"/>
  <c r="F121"/>
  <c r="E127"/>
  <c r="H127"/>
  <c r="B120"/>
  <c r="A118"/>
  <c r="G128"/>
  <c r="D128"/>
  <c r="F120"/>
  <c r="E118"/>
  <c r="D115"/>
  <c r="G116"/>
  <c r="A117"/>
  <c r="D123"/>
  <c r="C121"/>
  <c r="F123"/>
  <c r="E121"/>
  <c r="H121"/>
  <c r="B114"/>
  <c r="A120"/>
  <c r="D114"/>
  <c r="C120"/>
  <c r="F122"/>
  <c r="E128"/>
  <c r="G120"/>
  <c r="A121"/>
  <c r="H124"/>
  <c r="C123"/>
  <c r="B125"/>
  <c r="A123"/>
  <c r="D117"/>
  <c r="C115"/>
  <c r="F117"/>
  <c r="E115"/>
  <c r="G123"/>
  <c r="H123"/>
  <c r="G121"/>
  <c r="B124"/>
  <c r="A122"/>
  <c r="D124"/>
  <c r="G122"/>
  <c r="F124"/>
  <c r="E122"/>
  <c r="H174"/>
  <c r="D176"/>
  <c r="G176"/>
  <c r="F173"/>
  <c r="A173"/>
  <c r="D174"/>
  <c r="H175"/>
  <c r="D175"/>
  <c r="A176"/>
  <c r="B176"/>
  <c r="E176"/>
  <c r="E173"/>
  <c r="G174"/>
  <c r="C174"/>
  <c r="G175"/>
  <c r="C175"/>
  <c r="H172"/>
  <c r="F172"/>
  <c r="C171"/>
  <c r="G167"/>
  <c r="D166"/>
  <c r="B168"/>
  <c r="C164"/>
  <c r="H163"/>
  <c r="E162"/>
  <c r="A168"/>
  <c r="F168"/>
  <c r="C167"/>
  <c r="G166"/>
  <c r="E171"/>
  <c r="D165"/>
  <c r="A164"/>
  <c r="G172"/>
  <c r="F166"/>
  <c r="D171"/>
  <c r="C165"/>
  <c r="B170"/>
  <c r="C166"/>
  <c r="A170"/>
  <c r="F169"/>
  <c r="A171"/>
  <c r="F164"/>
  <c r="C163"/>
  <c r="A172"/>
  <c r="C168"/>
  <c r="G171"/>
  <c r="E170"/>
  <c r="H166"/>
  <c r="E165"/>
  <c r="H165"/>
  <c r="G170"/>
  <c r="E164"/>
  <c r="D169"/>
  <c r="H171"/>
  <c r="G165"/>
  <c r="F170"/>
  <c r="D164"/>
  <c r="C169"/>
  <c r="A163"/>
  <c r="B172"/>
  <c r="H130"/>
  <c r="H146"/>
  <c r="G145"/>
  <c r="F140"/>
  <c r="F156"/>
  <c r="E139"/>
  <c r="D132"/>
  <c r="D148"/>
  <c r="C131"/>
  <c r="C147"/>
  <c r="B130"/>
  <c r="B146"/>
  <c r="A129"/>
  <c r="A145"/>
  <c r="A161"/>
  <c r="H133"/>
  <c r="H149"/>
  <c r="G132"/>
  <c r="G148"/>
  <c r="F131"/>
  <c r="F147"/>
  <c r="E130"/>
  <c r="E150"/>
  <c r="D139"/>
  <c r="D155"/>
  <c r="C138"/>
  <c r="C154"/>
  <c r="B137"/>
  <c r="B153"/>
  <c r="A136"/>
  <c r="A152"/>
  <c r="E155"/>
  <c r="H158"/>
  <c r="G157"/>
  <c r="H144"/>
  <c r="H160"/>
  <c r="G143"/>
  <c r="G159"/>
  <c r="F142"/>
  <c r="F158"/>
  <c r="E141"/>
  <c r="D134"/>
  <c r="D150"/>
  <c r="C133"/>
  <c r="C149"/>
  <c r="B132"/>
  <c r="B148"/>
  <c r="A131"/>
  <c r="A147"/>
  <c r="E145"/>
  <c r="H135"/>
  <c r="H151"/>
  <c r="G134"/>
  <c r="G150"/>
  <c r="F133"/>
  <c r="F149"/>
  <c r="E132"/>
  <c r="E154"/>
  <c r="D141"/>
  <c r="D157"/>
  <c r="C140"/>
  <c r="C156"/>
  <c r="B139"/>
  <c r="B155"/>
  <c r="A138"/>
  <c r="A154"/>
  <c r="H138"/>
  <c r="G137"/>
  <c r="F136"/>
  <c r="F152"/>
  <c r="E135"/>
  <c r="E160"/>
  <c r="D144"/>
  <c r="D160"/>
  <c r="C143"/>
  <c r="C159"/>
  <c r="B142"/>
  <c r="B158"/>
  <c r="A141"/>
  <c r="A157"/>
  <c r="H129"/>
  <c r="H145"/>
  <c r="H161"/>
  <c r="G144"/>
  <c r="G160"/>
  <c r="F143"/>
  <c r="F159"/>
  <c r="E142"/>
  <c r="D135"/>
  <c r="D151"/>
  <c r="C134"/>
  <c r="C150"/>
  <c r="B133"/>
  <c r="B149"/>
  <c r="A132"/>
  <c r="A148"/>
  <c r="E147"/>
  <c r="H150"/>
  <c r="G149"/>
  <c r="H140"/>
  <c r="H156"/>
  <c r="G139"/>
  <c r="G155"/>
  <c r="F138"/>
  <c r="F154"/>
  <c r="E137"/>
  <c r="D130"/>
  <c r="D146"/>
  <c r="C129"/>
  <c r="C145"/>
  <c r="C161"/>
  <c r="B144"/>
  <c r="B160"/>
  <c r="A143"/>
  <c r="A159"/>
  <c r="H131"/>
  <c r="H147"/>
  <c r="G130"/>
  <c r="G146"/>
  <c r="F129"/>
  <c r="F145"/>
  <c r="F161"/>
  <c r="E146"/>
  <c r="D137"/>
  <c r="D153"/>
  <c r="C136"/>
  <c r="C152"/>
  <c r="B135"/>
  <c r="B151"/>
  <c r="A134"/>
  <c r="A150"/>
  <c r="E151"/>
  <c r="H114"/>
  <c r="G126"/>
  <c r="A125"/>
  <c r="D127"/>
  <c r="C128"/>
  <c r="F127"/>
  <c r="E125"/>
  <c r="H117"/>
  <c r="G115"/>
  <c r="B118"/>
  <c r="A116"/>
  <c r="C125"/>
  <c r="D126"/>
  <c r="G125"/>
  <c r="F126"/>
  <c r="E124"/>
  <c r="B115"/>
  <c r="H120"/>
  <c r="G118"/>
  <c r="B121"/>
  <c r="A127"/>
  <c r="D121"/>
  <c r="F113"/>
  <c r="E119"/>
  <c r="H119"/>
  <c r="G117"/>
  <c r="B128"/>
  <c r="A126"/>
  <c r="D120"/>
  <c r="C118"/>
  <c r="F128"/>
  <c r="E126"/>
  <c r="H118"/>
  <c r="B119"/>
  <c r="C127"/>
  <c r="C113"/>
  <c r="F115"/>
  <c r="E113"/>
  <c r="H113"/>
  <c r="G119"/>
  <c r="B122"/>
  <c r="A128"/>
  <c r="D122"/>
  <c r="F114"/>
  <c r="E120"/>
  <c r="H122"/>
  <c r="B123"/>
  <c r="H116"/>
  <c r="G114"/>
  <c r="B117"/>
  <c r="A115"/>
  <c r="C122"/>
  <c r="D125"/>
  <c r="C124"/>
  <c r="F125"/>
  <c r="E123"/>
  <c r="H115"/>
  <c r="G113"/>
  <c r="B116"/>
  <c r="A114"/>
  <c r="D116"/>
  <c r="C114"/>
  <c r="F116"/>
  <c r="E114"/>
  <c r="B123" i="43"/>
  <c r="A12"/>
  <c r="A128" s="1"/>
  <c r="B12"/>
  <c r="C12"/>
  <c r="D12"/>
  <c r="E12"/>
  <c r="F12"/>
  <c r="G12"/>
  <c r="E119"/>
  <c r="E122"/>
  <c r="C120"/>
  <c r="B122"/>
  <c r="E123"/>
  <c r="F121"/>
  <c r="G123"/>
  <c r="C121"/>
  <c r="F118"/>
  <c r="G118"/>
  <c r="G119"/>
  <c r="C117"/>
  <c r="F119"/>
  <c r="D117"/>
  <c r="F122"/>
  <c r="D120"/>
  <c r="C122"/>
  <c r="A120"/>
  <c r="G121"/>
  <c r="C119"/>
  <c r="A117"/>
  <c r="D119"/>
  <c r="B117"/>
  <c r="A119"/>
  <c r="B119"/>
  <c r="A122"/>
  <c r="H122" s="1"/>
  <c r="F123"/>
  <c r="D121"/>
  <c r="C123"/>
  <c r="A121"/>
  <c r="G122"/>
  <c r="E120"/>
  <c r="D122"/>
  <c r="B120"/>
  <c r="E117"/>
  <c r="F117"/>
  <c r="D118"/>
  <c r="E118"/>
  <c r="G120"/>
  <c r="E121"/>
  <c r="D123"/>
  <c r="B121"/>
  <c r="A123"/>
  <c r="H123" s="1"/>
  <c r="F120"/>
  <c r="B118"/>
  <c r="C118"/>
  <c r="G117"/>
  <c r="A118"/>
  <c r="G71" i="42"/>
  <c r="H71"/>
  <c r="D71"/>
  <c r="F73"/>
  <c r="D73"/>
  <c r="A71"/>
  <c r="C71"/>
  <c r="E73"/>
  <c r="C73"/>
  <c r="A72"/>
  <c r="D70"/>
  <c r="G70"/>
  <c r="G72"/>
  <c r="B70"/>
  <c r="D72"/>
  <c r="C70"/>
  <c r="E72"/>
  <c r="E71"/>
  <c r="B71"/>
  <c r="H73"/>
  <c r="B73"/>
  <c r="H70"/>
  <c r="F71"/>
  <c r="G73"/>
  <c r="A73"/>
  <c r="H72"/>
  <c r="F70"/>
  <c r="B72"/>
  <c r="A70"/>
  <c r="C72"/>
  <c r="F72"/>
  <c r="E70"/>
  <c r="H46"/>
  <c r="H50"/>
  <c r="H51"/>
  <c r="E45"/>
  <c r="D46"/>
  <c r="C47"/>
  <c r="B48"/>
  <c r="B49"/>
  <c r="G49"/>
  <c r="G50"/>
  <c r="E51"/>
  <c r="D45"/>
  <c r="C46"/>
  <c r="B47"/>
  <c r="A48"/>
  <c r="G45"/>
  <c r="F46"/>
  <c r="E47"/>
  <c r="D48"/>
  <c r="D49"/>
  <c r="B50"/>
  <c r="B51"/>
  <c r="G51"/>
  <c r="F45"/>
  <c r="E46"/>
  <c r="D47"/>
  <c r="C48"/>
  <c r="A49"/>
  <c r="A50"/>
  <c r="G47"/>
  <c r="F48"/>
  <c r="F49"/>
  <c r="D50"/>
  <c r="D51"/>
  <c r="A45"/>
  <c r="H45"/>
  <c r="G46"/>
  <c r="F47"/>
  <c r="E48"/>
  <c r="C49"/>
  <c r="C50"/>
  <c r="A51"/>
  <c r="H48"/>
  <c r="H49"/>
  <c r="F50"/>
  <c r="F51"/>
  <c r="C45"/>
  <c r="B46"/>
  <c r="A47"/>
  <c r="H47"/>
  <c r="G48"/>
  <c r="E49"/>
  <c r="E50"/>
  <c r="C51"/>
  <c r="B45"/>
  <c r="A46"/>
  <c r="B30" i="69"/>
  <c r="G31"/>
  <c r="I32"/>
  <c r="B34"/>
  <c r="G35"/>
  <c r="I36"/>
  <c r="B38"/>
  <c r="G39"/>
  <c r="I40"/>
  <c r="B42"/>
  <c r="G43"/>
  <c r="I44"/>
  <c r="B46"/>
  <c r="G47"/>
  <c r="I48"/>
  <c r="B50"/>
  <c r="G51"/>
  <c r="I52"/>
  <c r="B54"/>
  <c r="G55"/>
  <c r="I56"/>
  <c r="B58"/>
  <c r="G59"/>
  <c r="I60"/>
  <c r="B62"/>
  <c r="G63"/>
  <c r="I64"/>
  <c r="B66"/>
  <c r="G67"/>
  <c r="I68"/>
  <c r="B70"/>
  <c r="G71"/>
  <c r="I72"/>
  <c r="B74"/>
  <c r="G75"/>
  <c r="I76"/>
  <c r="B78"/>
  <c r="G79"/>
  <c r="I80"/>
  <c r="B82"/>
  <c r="G83"/>
  <c r="I84"/>
  <c r="B86"/>
  <c r="G87"/>
  <c r="I88"/>
  <c r="B90"/>
  <c r="G91"/>
  <c r="I92"/>
  <c r="B94"/>
  <c r="G95"/>
  <c r="I96"/>
  <c r="B98"/>
  <c r="G99"/>
  <c r="I100"/>
  <c r="B102"/>
  <c r="G103"/>
  <c r="I104"/>
  <c r="B106"/>
  <c r="G107"/>
  <c r="I108"/>
  <c r="B110"/>
  <c r="G111"/>
  <c r="I112"/>
  <c r="D29"/>
  <c r="H30"/>
  <c r="A32"/>
  <c r="D33"/>
  <c r="H34"/>
  <c r="A36"/>
  <c r="D37"/>
  <c r="H38"/>
  <c r="A40"/>
  <c r="D41"/>
  <c r="H42"/>
  <c r="A44"/>
  <c r="D45"/>
  <c r="H46"/>
  <c r="A48"/>
  <c r="D49"/>
  <c r="H50"/>
  <c r="A52"/>
  <c r="D53"/>
  <c r="H54"/>
  <c r="A56"/>
  <c r="D57"/>
  <c r="H58"/>
  <c r="A60"/>
  <c r="D61"/>
  <c r="H62"/>
  <c r="A64"/>
  <c r="D65"/>
  <c r="H66"/>
  <c r="A68"/>
  <c r="D69"/>
  <c r="H70"/>
  <c r="A72"/>
  <c r="D73"/>
  <c r="H74"/>
  <c r="A76"/>
  <c r="D77"/>
  <c r="H78"/>
  <c r="A80"/>
  <c r="D81"/>
  <c r="H82"/>
  <c r="A84"/>
  <c r="D85"/>
  <c r="H86"/>
  <c r="A88"/>
  <c r="D89"/>
  <c r="H90"/>
  <c r="A92"/>
  <c r="D93"/>
  <c r="H94"/>
  <c r="A96"/>
  <c r="D97"/>
  <c r="H98"/>
  <c r="A100"/>
  <c r="D101"/>
  <c r="H102"/>
  <c r="A104"/>
  <c r="D105"/>
  <c r="H106"/>
  <c r="A108"/>
  <c r="D109"/>
  <c r="H110"/>
  <c r="A112"/>
  <c r="D113"/>
  <c r="H114"/>
  <c r="I29"/>
  <c r="B31"/>
  <c r="G32"/>
  <c r="I33"/>
  <c r="B35"/>
  <c r="G36"/>
  <c r="I37"/>
  <c r="B39"/>
  <c r="G40"/>
  <c r="I41"/>
  <c r="B43"/>
  <c r="G44"/>
  <c r="I45"/>
  <c r="B47"/>
  <c r="G48"/>
  <c r="I49"/>
  <c r="B51"/>
  <c r="G52"/>
  <c r="I53"/>
  <c r="B55"/>
  <c r="G56"/>
  <c r="I57"/>
  <c r="B59"/>
  <c r="G60"/>
  <c r="I61"/>
  <c r="B63"/>
  <c r="G64"/>
  <c r="I65"/>
  <c r="B67"/>
  <c r="G68"/>
  <c r="I69"/>
  <c r="B71"/>
  <c r="G72"/>
  <c r="I73"/>
  <c r="B75"/>
  <c r="G76"/>
  <c r="I77"/>
  <c r="B79"/>
  <c r="G80"/>
  <c r="I81"/>
  <c r="B83"/>
  <c r="G84"/>
  <c r="I85"/>
  <c r="B87"/>
  <c r="G88"/>
  <c r="I89"/>
  <c r="B91"/>
  <c r="G92"/>
  <c r="I93"/>
  <c r="B95"/>
  <c r="G96"/>
  <c r="I97"/>
  <c r="B99"/>
  <c r="G100"/>
  <c r="I101"/>
  <c r="B103"/>
  <c r="G104"/>
  <c r="I105"/>
  <c r="B107"/>
  <c r="G108"/>
  <c r="I109"/>
  <c r="B111"/>
  <c r="G112"/>
  <c r="A29"/>
  <c r="D30"/>
  <c r="H31"/>
  <c r="A33"/>
  <c r="D34"/>
  <c r="H35"/>
  <c r="A37"/>
  <c r="D38"/>
  <c r="H39"/>
  <c r="A41"/>
  <c r="D42"/>
  <c r="H43"/>
  <c r="A45"/>
  <c r="D46"/>
  <c r="H47"/>
  <c r="A49"/>
  <c r="D50"/>
  <c r="H51"/>
  <c r="A53"/>
  <c r="D54"/>
  <c r="H55"/>
  <c r="A57"/>
  <c r="D58"/>
  <c r="H59"/>
  <c r="A61"/>
  <c r="D62"/>
  <c r="H63"/>
  <c r="A65"/>
  <c r="D66"/>
  <c r="H67"/>
  <c r="A69"/>
  <c r="D70"/>
  <c r="H71"/>
  <c r="A73"/>
  <c r="D74"/>
  <c r="H75"/>
  <c r="A77"/>
  <c r="D78"/>
  <c r="H79"/>
  <c r="A81"/>
  <c r="D82"/>
  <c r="H83"/>
  <c r="A85"/>
  <c r="D86"/>
  <c r="H87"/>
  <c r="A89"/>
  <c r="D90"/>
  <c r="H91"/>
  <c r="A93"/>
  <c r="D94"/>
  <c r="H95"/>
  <c r="A97"/>
  <c r="D98"/>
  <c r="H99"/>
  <c r="A101"/>
  <c r="D102"/>
  <c r="H103"/>
  <c r="A105"/>
  <c r="D106"/>
  <c r="H107"/>
  <c r="A109"/>
  <c r="D110"/>
  <c r="H111"/>
  <c r="A113"/>
  <c r="D114"/>
  <c r="H115"/>
  <c r="A117"/>
  <c r="D118"/>
  <c r="H119"/>
  <c r="A121"/>
  <c r="D122"/>
  <c r="H123"/>
  <c r="A125"/>
  <c r="D126"/>
  <c r="H127"/>
  <c r="A129"/>
  <c r="D130"/>
  <c r="H131"/>
  <c r="A133"/>
  <c r="D134"/>
  <c r="H135"/>
  <c r="A137"/>
  <c r="D138"/>
  <c r="H139"/>
  <c r="A141"/>
  <c r="D142"/>
  <c r="H143"/>
  <c r="A145"/>
  <c r="D146"/>
  <c r="H147"/>
  <c r="I114"/>
  <c r="B116"/>
  <c r="G117"/>
  <c r="I118"/>
  <c r="B120"/>
  <c r="G121"/>
  <c r="I122"/>
  <c r="B124"/>
  <c r="G125"/>
  <c r="I126"/>
  <c r="B128"/>
  <c r="G129"/>
  <c r="I130"/>
  <c r="B132"/>
  <c r="G133"/>
  <c r="I134"/>
  <c r="B136"/>
  <c r="G137"/>
  <c r="I138"/>
  <c r="B140"/>
  <c r="G141"/>
  <c r="I142"/>
  <c r="B144"/>
  <c r="G145"/>
  <c r="I146"/>
  <c r="D115"/>
  <c r="H116"/>
  <c r="A118"/>
  <c r="D119"/>
  <c r="H120"/>
  <c r="A122"/>
  <c r="D123"/>
  <c r="H124"/>
  <c r="A126"/>
  <c r="D127"/>
  <c r="H128"/>
  <c r="A130"/>
  <c r="D131"/>
  <c r="H132"/>
  <c r="A134"/>
  <c r="D135"/>
  <c r="H136"/>
  <c r="A138"/>
  <c r="D139"/>
  <c r="H140"/>
  <c r="A142"/>
  <c r="D143"/>
  <c r="H144"/>
  <c r="A146"/>
  <c r="D147"/>
  <c r="G114"/>
  <c r="I115"/>
  <c r="B117"/>
  <c r="G118"/>
  <c r="I119"/>
  <c r="B121"/>
  <c r="G122"/>
  <c r="I123"/>
  <c r="B125"/>
  <c r="G126"/>
  <c r="I127"/>
  <c r="B129"/>
  <c r="G130"/>
  <c r="I131"/>
  <c r="B133"/>
  <c r="G134"/>
  <c r="I135"/>
  <c r="B137"/>
  <c r="G138"/>
  <c r="I139"/>
  <c r="B141"/>
  <c r="G142"/>
  <c r="I143"/>
  <c r="B145"/>
  <c r="G146"/>
  <c r="I147"/>
  <c r="B139"/>
  <c r="I141"/>
  <c r="G144"/>
  <c r="I145"/>
  <c r="G29"/>
  <c r="I30"/>
  <c r="B32"/>
  <c r="G33"/>
  <c r="I34"/>
  <c r="B36"/>
  <c r="G37"/>
  <c r="I38"/>
  <c r="B40"/>
  <c r="G41"/>
  <c r="I42"/>
  <c r="B44"/>
  <c r="G45"/>
  <c r="I46"/>
  <c r="B48"/>
  <c r="G49"/>
  <c r="I50"/>
  <c r="B52"/>
  <c r="G53"/>
  <c r="I54"/>
  <c r="B56"/>
  <c r="G57"/>
  <c r="I58"/>
  <c r="B60"/>
  <c r="G61"/>
  <c r="I62"/>
  <c r="B64"/>
  <c r="G65"/>
  <c r="I66"/>
  <c r="B68"/>
  <c r="G69"/>
  <c r="I70"/>
  <c r="B72"/>
  <c r="G73"/>
  <c r="I74"/>
  <c r="B76"/>
  <c r="G77"/>
  <c r="I78"/>
  <c r="B80"/>
  <c r="G81"/>
  <c r="I82"/>
  <c r="B84"/>
  <c r="G85"/>
  <c r="I86"/>
  <c r="B88"/>
  <c r="G89"/>
  <c r="I90"/>
  <c r="B92"/>
  <c r="G93"/>
  <c r="I94"/>
  <c r="B96"/>
  <c r="G97"/>
  <c r="I98"/>
  <c r="B100"/>
  <c r="G101"/>
  <c r="I102"/>
  <c r="B104"/>
  <c r="G105"/>
  <c r="I106"/>
  <c r="B108"/>
  <c r="G109"/>
  <c r="I110"/>
  <c r="B112"/>
  <c r="G113"/>
  <c r="A30"/>
  <c r="D31"/>
  <c r="H32"/>
  <c r="A34"/>
  <c r="D35"/>
  <c r="H36"/>
  <c r="A38"/>
  <c r="D39"/>
  <c r="H40"/>
  <c r="A42"/>
  <c r="D43"/>
  <c r="H44"/>
  <c r="A46"/>
  <c r="D47"/>
  <c r="H48"/>
  <c r="A50"/>
  <c r="D51"/>
  <c r="H52"/>
  <c r="A54"/>
  <c r="D55"/>
  <c r="H56"/>
  <c r="A58"/>
  <c r="D59"/>
  <c r="H60"/>
  <c r="A62"/>
  <c r="D63"/>
  <c r="H64"/>
  <c r="A66"/>
  <c r="D67"/>
  <c r="H68"/>
  <c r="A70"/>
  <c r="D71"/>
  <c r="H72"/>
  <c r="A74"/>
  <c r="D75"/>
  <c r="H76"/>
  <c r="A78"/>
  <c r="D79"/>
  <c r="H80"/>
  <c r="A82"/>
  <c r="D83"/>
  <c r="H84"/>
  <c r="A86"/>
  <c r="D87"/>
  <c r="H88"/>
  <c r="A90"/>
  <c r="D91"/>
  <c r="H92"/>
  <c r="A94"/>
  <c r="D95"/>
  <c r="H96"/>
  <c r="A98"/>
  <c r="D99"/>
  <c r="H100"/>
  <c r="A102"/>
  <c r="D103"/>
  <c r="H104"/>
  <c r="A106"/>
  <c r="D107"/>
  <c r="H108"/>
  <c r="A110"/>
  <c r="D111"/>
  <c r="H112"/>
  <c r="A114"/>
  <c r="B29"/>
  <c r="G30"/>
  <c r="I31"/>
  <c r="B33"/>
  <c r="G34"/>
  <c r="I35"/>
  <c r="B37"/>
  <c r="G38"/>
  <c r="I39"/>
  <c r="B41"/>
  <c r="G42"/>
  <c r="I43"/>
  <c r="B45"/>
  <c r="G46"/>
  <c r="I47"/>
  <c r="B49"/>
  <c r="G50"/>
  <c r="I51"/>
  <c r="B53"/>
  <c r="G54"/>
  <c r="I55"/>
  <c r="B57"/>
  <c r="G58"/>
  <c r="I59"/>
  <c r="B61"/>
  <c r="G62"/>
  <c r="I63"/>
  <c r="B65"/>
  <c r="G66"/>
  <c r="I67"/>
  <c r="B69"/>
  <c r="G70"/>
  <c r="I71"/>
  <c r="B73"/>
  <c r="G74"/>
  <c r="I75"/>
  <c r="B77"/>
  <c r="G78"/>
  <c r="I79"/>
  <c r="B81"/>
  <c r="G82"/>
  <c r="I83"/>
  <c r="B85"/>
  <c r="G86"/>
  <c r="I87"/>
  <c r="B89"/>
  <c r="G90"/>
  <c r="I91"/>
  <c r="B93"/>
  <c r="G94"/>
  <c r="I95"/>
  <c r="B97"/>
  <c r="G98"/>
  <c r="I99"/>
  <c r="B101"/>
  <c r="G102"/>
  <c r="I103"/>
  <c r="B105"/>
  <c r="G106"/>
  <c r="I107"/>
  <c r="B109"/>
  <c r="G110"/>
  <c r="I111"/>
  <c r="B113"/>
  <c r="H29"/>
  <c r="A31"/>
  <c r="D32"/>
  <c r="H33"/>
  <c r="A35"/>
  <c r="D36"/>
  <c r="H37"/>
  <c r="A39"/>
  <c r="D40"/>
  <c r="H41"/>
  <c r="A43"/>
  <c r="D44"/>
  <c r="H45"/>
  <c r="A47"/>
  <c r="D48"/>
  <c r="H49"/>
  <c r="A51"/>
  <c r="D52"/>
  <c r="H53"/>
  <c r="A55"/>
  <c r="D56"/>
  <c r="H57"/>
  <c r="A59"/>
  <c r="D60"/>
  <c r="H61"/>
  <c r="A63"/>
  <c r="D64"/>
  <c r="H65"/>
  <c r="A67"/>
  <c r="D68"/>
  <c r="H69"/>
  <c r="A71"/>
  <c r="D72"/>
  <c r="H73"/>
  <c r="A75"/>
  <c r="D76"/>
  <c r="H77"/>
  <c r="A79"/>
  <c r="D80"/>
  <c r="H81"/>
  <c r="A83"/>
  <c r="D84"/>
  <c r="H85"/>
  <c r="A87"/>
  <c r="D88"/>
  <c r="H89"/>
  <c r="A91"/>
  <c r="D92"/>
  <c r="H93"/>
  <c r="A95"/>
  <c r="D96"/>
  <c r="H97"/>
  <c r="A99"/>
  <c r="D100"/>
  <c r="H101"/>
  <c r="A103"/>
  <c r="D104"/>
  <c r="H105"/>
  <c r="A107"/>
  <c r="D108"/>
  <c r="H109"/>
  <c r="A111"/>
  <c r="D112"/>
  <c r="H113"/>
  <c r="A115"/>
  <c r="D116"/>
  <c r="H117"/>
  <c r="A119"/>
  <c r="D120"/>
  <c r="H121"/>
  <c r="A123"/>
  <c r="D124"/>
  <c r="H125"/>
  <c r="A127"/>
  <c r="D128"/>
  <c r="H129"/>
  <c r="A131"/>
  <c r="D132"/>
  <c r="H133"/>
  <c r="A135"/>
  <c r="D136"/>
  <c r="H137"/>
  <c r="A139"/>
  <c r="D140"/>
  <c r="H141"/>
  <c r="A143"/>
  <c r="D144"/>
  <c r="H145"/>
  <c r="A147"/>
  <c r="B114"/>
  <c r="G115"/>
  <c r="I116"/>
  <c r="B118"/>
  <c r="G119"/>
  <c r="I120"/>
  <c r="B122"/>
  <c r="G123"/>
  <c r="I124"/>
  <c r="B126"/>
  <c r="G127"/>
  <c r="I128"/>
  <c r="B130"/>
  <c r="G131"/>
  <c r="I132"/>
  <c r="B134"/>
  <c r="G135"/>
  <c r="I136"/>
  <c r="B138"/>
  <c r="G139"/>
  <c r="I140"/>
  <c r="B142"/>
  <c r="G143"/>
  <c r="I144"/>
  <c r="B146"/>
  <c r="G147"/>
  <c r="A116"/>
  <c r="D117"/>
  <c r="H118"/>
  <c r="A120"/>
  <c r="D121"/>
  <c r="H122"/>
  <c r="A124"/>
  <c r="D125"/>
  <c r="H126"/>
  <c r="A128"/>
  <c r="D129"/>
  <c r="H130"/>
  <c r="A132"/>
  <c r="D133"/>
  <c r="H134"/>
  <c r="A136"/>
  <c r="D137"/>
  <c r="H138"/>
  <c r="A140"/>
  <c r="D141"/>
  <c r="H142"/>
  <c r="A144"/>
  <c r="D145"/>
  <c r="H146"/>
  <c r="I113"/>
  <c r="B115"/>
  <c r="G116"/>
  <c r="I117"/>
  <c r="B119"/>
  <c r="G120"/>
  <c r="I121"/>
  <c r="B123"/>
  <c r="G124"/>
  <c r="I125"/>
  <c r="B127"/>
  <c r="G128"/>
  <c r="I129"/>
  <c r="B131"/>
  <c r="G132"/>
  <c r="I133"/>
  <c r="B135"/>
  <c r="G136"/>
  <c r="I137"/>
  <c r="G140"/>
  <c r="B143"/>
  <c r="B147"/>
  <c r="J147" s="1"/>
  <c r="L102" i="55"/>
  <c r="L68"/>
  <c r="L41"/>
  <c r="L59"/>
  <c r="L87"/>
  <c r="P37" i="45"/>
  <c r="P42"/>
  <c r="H69" i="12"/>
  <c r="N44" i="45"/>
  <c r="G66" i="12"/>
  <c r="P17" i="45"/>
  <c r="B148" i="69"/>
  <c r="D148"/>
  <c r="A148"/>
  <c r="G148"/>
  <c r="I148"/>
  <c r="H148"/>
  <c r="G96" i="12"/>
  <c r="H98"/>
  <c r="G93"/>
  <c r="H95"/>
  <c r="G92"/>
  <c r="H94"/>
  <c r="G97"/>
  <c r="H99"/>
  <c r="G56"/>
  <c r="H42"/>
  <c r="G74"/>
  <c r="G42" i="15"/>
  <c r="G13"/>
  <c r="G22" i="12"/>
  <c r="L108" i="55"/>
  <c r="I72" i="15"/>
  <c r="D673" i="47"/>
  <c r="D109"/>
  <c r="D658"/>
  <c r="D16"/>
  <c r="D655"/>
  <c r="D558"/>
  <c r="D664"/>
  <c r="D676"/>
  <c r="B24" i="56"/>
  <c r="D24" s="1"/>
  <c r="G23"/>
  <c r="F23"/>
  <c r="H23" s="1"/>
  <c r="B23"/>
  <c r="D23" s="1"/>
  <c r="G22"/>
  <c r="F22"/>
  <c r="H22" s="1"/>
  <c r="B22"/>
  <c r="D22" s="1"/>
  <c r="G26"/>
  <c r="F26"/>
  <c r="H26" s="1"/>
  <c r="B26"/>
  <c r="G25"/>
  <c r="F25"/>
  <c r="H25" s="1"/>
  <c r="B25"/>
  <c r="D25" s="1"/>
  <c r="G24"/>
  <c r="F24"/>
  <c r="H24" s="1"/>
  <c r="B19"/>
  <c r="F19"/>
  <c r="B20"/>
  <c r="F20"/>
  <c r="B21"/>
  <c r="F21"/>
  <c r="G19"/>
  <c r="G20"/>
  <c r="G21"/>
  <c r="D6"/>
  <c r="F31" s="1"/>
  <c r="G5" i="12"/>
  <c r="H5"/>
  <c r="P9" i="45"/>
  <c r="L95" i="55"/>
  <c r="H18" i="12"/>
  <c r="L38" i="55"/>
  <c r="L103"/>
  <c r="N16" i="62"/>
  <c r="N20"/>
  <c r="H11" i="12"/>
  <c r="H64"/>
  <c r="L67" i="55"/>
  <c r="L80"/>
  <c r="G45" i="12"/>
  <c r="L21" i="55"/>
  <c r="L33"/>
  <c r="P26" i="45"/>
  <c r="P10"/>
  <c r="P48"/>
  <c r="G70" i="12"/>
  <c r="G79"/>
  <c r="G63"/>
  <c r="G7"/>
  <c r="H77"/>
  <c r="H29"/>
  <c r="P25" i="45"/>
  <c r="G51" i="12"/>
  <c r="G72"/>
  <c r="H43" i="15"/>
  <c r="L37" i="55"/>
  <c r="H13" i="12"/>
  <c r="P52" i="45"/>
  <c r="G58" i="12"/>
  <c r="J120" i="55"/>
  <c r="J121" s="1"/>
  <c r="L107"/>
  <c r="L31"/>
  <c r="J56"/>
  <c r="J57" s="1"/>
  <c r="H24" i="12"/>
  <c r="L69" i="55"/>
  <c r="H37" i="12"/>
  <c r="L118" i="55"/>
  <c r="L117"/>
  <c r="I67" i="15"/>
  <c r="P49" i="45"/>
  <c r="L72" i="55"/>
  <c r="L83"/>
  <c r="I63" i="15"/>
  <c r="L106" i="55"/>
  <c r="L92"/>
  <c r="L52"/>
  <c r="L112"/>
  <c r="L71"/>
  <c r="L98"/>
  <c r="L109"/>
  <c r="L15"/>
  <c r="L81"/>
  <c r="N84" s="1"/>
  <c r="H39" i="12"/>
  <c r="L51" i="55"/>
  <c r="H16" i="12"/>
  <c r="L64" i="55"/>
  <c r="L7" i="62"/>
  <c r="N12"/>
  <c r="L15"/>
  <c r="H89" i="12"/>
  <c r="G53"/>
  <c r="N21" i="62"/>
  <c r="H61" i="12"/>
  <c r="G28" i="15"/>
  <c r="N45" i="45"/>
  <c r="G34" i="12"/>
  <c r="G34" i="15"/>
  <c r="L94" i="55"/>
  <c r="L66"/>
  <c r="H91" i="12"/>
  <c r="N17" i="62"/>
  <c r="G44" i="12"/>
  <c r="L26" i="55"/>
  <c r="H8" i="12"/>
  <c r="H15"/>
  <c r="J77" i="55"/>
  <c r="J78" s="1"/>
  <c r="G59" i="12"/>
  <c r="N18" i="45"/>
  <c r="L16" i="55"/>
  <c r="N21" i="45"/>
  <c r="H76" i="12"/>
  <c r="L8" i="62"/>
  <c r="P29" i="45"/>
  <c r="L32" i="55"/>
  <c r="G30" i="12"/>
  <c r="L86" i="55"/>
  <c r="P22" i="45"/>
  <c r="G40" i="15"/>
  <c r="L43" i="55"/>
  <c r="H67" i="12"/>
  <c r="G80"/>
  <c r="P27" i="45"/>
  <c r="L9" i="62"/>
  <c r="L39" i="55"/>
  <c r="G55" i="12"/>
  <c r="H87"/>
  <c r="L62" i="55"/>
  <c r="N36" i="45"/>
  <c r="N33"/>
  <c r="H33" i="12"/>
  <c r="L96" i="55"/>
  <c r="H85" i="12"/>
  <c r="H32"/>
  <c r="L45" i="55"/>
  <c r="G36" i="12"/>
  <c r="L49" i="55"/>
  <c r="L105"/>
  <c r="L74"/>
  <c r="L34"/>
  <c r="L84"/>
  <c r="L18"/>
  <c r="L104"/>
  <c r="L24"/>
  <c r="L35"/>
  <c r="L50"/>
  <c r="F806" i="47"/>
  <c r="H68" i="14"/>
  <c r="H9" i="12"/>
  <c r="H31"/>
  <c r="P46" i="45"/>
  <c r="G20" i="15"/>
  <c r="L28" i="55"/>
  <c r="H47" i="12"/>
  <c r="P30" i="45"/>
  <c r="N39"/>
  <c r="P13"/>
  <c r="N24"/>
  <c r="P15"/>
  <c r="N47"/>
  <c r="P7"/>
  <c r="G68" i="12"/>
  <c r="P19" i="45"/>
  <c r="L60" i="55"/>
  <c r="N34" i="45"/>
  <c r="G82" i="12"/>
  <c r="H73"/>
  <c r="N23" i="45"/>
  <c r="H46" i="12"/>
  <c r="H57"/>
  <c r="G50" i="15"/>
  <c r="N12" i="45"/>
  <c r="P53"/>
  <c r="G83" i="12"/>
  <c r="L89"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I64" s="1"/>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L114"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806" i="47"/>
  <c r="E100" i="12"/>
  <c r="E102" s="1"/>
  <c r="G4"/>
  <c r="F11" i="15"/>
  <c r="H10"/>
  <c r="H11" s="1"/>
  <c r="H22" i="62"/>
  <c r="H24" s="1"/>
  <c r="L5"/>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F43" i="42"/>
  <c r="C94"/>
  <c r="D94"/>
  <c r="B82"/>
  <c r="B26"/>
  <c r="H103"/>
  <c r="B108"/>
  <c r="G74"/>
  <c r="H89"/>
  <c r="A104"/>
  <c r="B107"/>
  <c r="B94"/>
  <c r="H26"/>
  <c r="B63"/>
  <c r="F23"/>
  <c r="F59"/>
  <c r="B36"/>
  <c r="G84"/>
  <c r="A53"/>
  <c r="G61"/>
  <c r="C44"/>
  <c r="F27"/>
  <c r="G23"/>
  <c r="A22"/>
  <c r="A94"/>
  <c r="H55"/>
  <c r="F28"/>
  <c r="F32"/>
  <c r="G89"/>
  <c r="F24"/>
  <c r="G79"/>
  <c r="C106"/>
  <c r="A18"/>
  <c r="A69"/>
  <c r="F91"/>
  <c r="G108"/>
  <c r="C62"/>
  <c r="C78"/>
  <c r="H56"/>
  <c r="A84"/>
  <c r="A33"/>
  <c r="G65"/>
  <c r="C15"/>
  <c r="C93"/>
  <c r="B39"/>
  <c r="C96"/>
  <c r="B95"/>
  <c r="A43"/>
  <c r="A54"/>
  <c r="A62"/>
  <c r="D37"/>
  <c r="A82"/>
  <c r="D53"/>
  <c r="A59"/>
  <c r="H107"/>
  <c r="H66"/>
  <c r="G27"/>
  <c r="A25"/>
  <c r="D77"/>
  <c r="B98"/>
  <c r="C84"/>
  <c r="C88"/>
  <c r="F17"/>
  <c r="A105"/>
  <c r="C31"/>
  <c r="H99"/>
  <c r="A39"/>
  <c r="A95"/>
  <c r="A108"/>
  <c r="C112"/>
  <c r="H34"/>
  <c r="H86"/>
  <c r="C109"/>
  <c r="A77"/>
  <c r="C85"/>
  <c r="D24"/>
  <c r="G96"/>
  <c r="F35"/>
  <c r="G59"/>
  <c r="B84"/>
  <c r="B112"/>
  <c r="D112"/>
  <c r="C87"/>
  <c r="G38"/>
  <c r="G107"/>
  <c r="C89"/>
  <c r="H90"/>
  <c r="F94"/>
  <c r="D87"/>
  <c r="G97"/>
  <c r="B32"/>
  <c r="H75"/>
  <c r="B110"/>
  <c r="H18"/>
  <c r="F97"/>
  <c r="G101"/>
  <c r="F21"/>
  <c r="D34"/>
  <c r="H88"/>
  <c r="G75"/>
  <c r="D18"/>
  <c r="D83"/>
  <c r="F15"/>
  <c r="H67"/>
  <c r="B75"/>
  <c r="H39"/>
  <c r="H110"/>
  <c r="C21"/>
  <c r="F109"/>
  <c r="D35"/>
  <c r="G95"/>
  <c r="B53"/>
  <c r="B35"/>
  <c r="B104"/>
  <c r="A87"/>
  <c r="C100"/>
  <c r="A102"/>
  <c r="G111"/>
  <c r="G92"/>
  <c r="G17"/>
  <c r="C27"/>
  <c r="A35"/>
  <c r="A89"/>
  <c r="G90"/>
  <c r="B42"/>
  <c r="B91"/>
  <c r="F76"/>
  <c r="A44"/>
  <c r="D31"/>
  <c r="F41"/>
  <c r="D88"/>
  <c r="D95"/>
  <c r="C65"/>
  <c r="H25"/>
  <c r="F81"/>
  <c r="D17"/>
  <c r="C91"/>
  <c r="F20"/>
  <c r="B69"/>
  <c r="A23"/>
  <c r="G25"/>
  <c r="F33"/>
  <c r="A57"/>
  <c r="B76"/>
  <c r="F25"/>
  <c r="A111"/>
  <c r="C98"/>
  <c r="G98"/>
  <c r="H84"/>
  <c r="B68"/>
  <c r="D38"/>
  <c r="C83"/>
  <c r="G91"/>
  <c r="H93"/>
  <c r="D69"/>
  <c r="B85"/>
  <c r="A56"/>
  <c r="G80"/>
  <c r="H87"/>
  <c r="F87"/>
  <c r="F19"/>
  <c r="C23"/>
  <c r="H32"/>
  <c r="C24"/>
  <c r="H38"/>
  <c r="H30"/>
  <c r="D93"/>
  <c r="H22"/>
  <c r="C68"/>
  <c r="C82"/>
  <c r="D80"/>
  <c r="F34"/>
  <c r="H111"/>
  <c r="D29"/>
  <c r="F39"/>
  <c r="C101"/>
  <c r="D106"/>
  <c r="G85"/>
  <c r="D102"/>
  <c r="B103"/>
  <c r="F108"/>
  <c r="H15"/>
  <c r="G19"/>
  <c r="F112"/>
  <c r="F54"/>
  <c r="F85"/>
  <c r="C42"/>
  <c r="F101"/>
  <c r="F78"/>
  <c r="D43"/>
  <c r="A27"/>
  <c r="B59"/>
  <c r="A26"/>
  <c r="G86"/>
  <c r="A41"/>
  <c r="H19"/>
  <c r="C79"/>
  <c r="C26"/>
  <c r="C61"/>
  <c r="G69"/>
  <c r="C75"/>
  <c r="A81"/>
  <c r="F61"/>
  <c r="C95"/>
  <c r="H31"/>
  <c r="G60"/>
  <c r="B29"/>
  <c r="F69"/>
  <c r="H29"/>
  <c r="G32"/>
  <c r="F90"/>
  <c r="F82"/>
  <c r="C57"/>
  <c r="A97"/>
  <c r="D104"/>
  <c r="F60"/>
  <c r="F37"/>
  <c r="G22"/>
  <c r="B20"/>
  <c r="C56"/>
  <c r="H101"/>
  <c r="B15"/>
  <c r="B34"/>
  <c r="B54"/>
  <c r="B83"/>
  <c r="H85"/>
  <c r="B92"/>
  <c r="B38"/>
  <c r="D109"/>
  <c r="H54"/>
  <c r="D56"/>
  <c r="H102"/>
  <c r="F88"/>
  <c r="A93"/>
  <c r="D62"/>
  <c r="H37"/>
  <c r="D82"/>
  <c r="D108"/>
  <c r="H95"/>
  <c r="C43"/>
  <c r="H65"/>
  <c r="G35"/>
  <c r="C39"/>
  <c r="H59"/>
  <c r="A96"/>
  <c r="B28"/>
  <c r="D103"/>
  <c r="A83"/>
  <c r="G30"/>
  <c r="C16"/>
  <c r="A88"/>
  <c r="D86"/>
  <c r="C97"/>
  <c r="H44"/>
  <c r="A60"/>
  <c r="C99"/>
  <c r="A79"/>
  <c r="G100"/>
  <c r="C33"/>
  <c r="F77"/>
  <c r="D91"/>
  <c r="A20"/>
  <c r="D32"/>
  <c r="B101"/>
  <c r="A21"/>
  <c r="A78"/>
  <c r="F31"/>
  <c r="G40"/>
  <c r="A28"/>
  <c r="F92"/>
  <c r="C36"/>
  <c r="H35"/>
  <c r="C104"/>
  <c r="H82"/>
  <c r="D58"/>
  <c r="G18"/>
  <c r="G28"/>
  <c r="H43"/>
  <c r="D26"/>
  <c r="G83"/>
  <c r="G15"/>
  <c r="F58"/>
  <c r="C19"/>
  <c r="B109"/>
  <c r="D16"/>
  <c r="G54"/>
  <c r="H41"/>
  <c r="A32"/>
  <c r="B80"/>
  <c r="A58"/>
  <c r="F107"/>
  <c r="A65"/>
  <c r="F16"/>
  <c r="F100"/>
  <c r="A106"/>
  <c r="D54"/>
  <c r="H105"/>
  <c r="H42"/>
  <c r="H64"/>
  <c r="D92"/>
  <c r="H58"/>
  <c r="G66"/>
  <c r="C81"/>
  <c r="G102"/>
  <c r="B79"/>
  <c r="D84"/>
  <c r="H33"/>
  <c r="G63"/>
  <c r="C80"/>
  <c r="F65"/>
  <c r="A40"/>
  <c r="H24"/>
  <c r="A91"/>
  <c r="A98"/>
  <c r="B60"/>
  <c r="D96"/>
  <c r="D78"/>
  <c r="B88"/>
  <c r="G81"/>
  <c r="D60"/>
  <c r="G110"/>
  <c r="F83"/>
  <c r="H97"/>
  <c r="A76"/>
  <c r="C69"/>
  <c r="C32"/>
  <c r="F42"/>
  <c r="F89"/>
  <c r="G105"/>
  <c r="D20"/>
  <c r="B17"/>
  <c r="D33"/>
  <c r="A100"/>
  <c r="B55"/>
  <c r="B23"/>
  <c r="C90"/>
  <c r="A63"/>
  <c r="H96"/>
  <c r="D67"/>
  <c r="G55"/>
  <c r="G57"/>
  <c r="F44"/>
  <c r="F53"/>
  <c r="H106"/>
  <c r="B81"/>
  <c r="B57"/>
  <c r="B21"/>
  <c r="F84"/>
  <c r="H61"/>
  <c r="F93"/>
  <c r="C107"/>
  <c r="F36"/>
  <c r="D61"/>
  <c r="C52"/>
  <c r="D66"/>
  <c r="H21"/>
  <c r="B56"/>
  <c r="H27"/>
  <c r="C111"/>
  <c r="D101"/>
  <c r="G82"/>
  <c r="H53"/>
  <c r="D74"/>
  <c r="G64"/>
  <c r="H108"/>
  <c r="A42"/>
  <c r="F105"/>
  <c r="H57"/>
  <c r="D28"/>
  <c r="D79"/>
  <c r="F52"/>
  <c r="F29"/>
  <c r="G16"/>
  <c r="B40"/>
  <c r="D59"/>
  <c r="C55"/>
  <c r="G112"/>
  <c r="F40"/>
  <c r="H68"/>
  <c r="A66"/>
  <c r="C77"/>
  <c r="B86"/>
  <c r="A80"/>
  <c r="H76"/>
  <c r="A61"/>
  <c r="B19"/>
  <c r="C60"/>
  <c r="C105"/>
  <c r="H104"/>
  <c r="A29"/>
  <c r="C30"/>
  <c r="H100"/>
  <c r="D85"/>
  <c r="A75"/>
  <c r="A52"/>
  <c r="B100"/>
  <c r="G56"/>
  <c r="B93"/>
  <c r="F96"/>
  <c r="A31"/>
  <c r="D98"/>
  <c r="B67"/>
  <c r="B111"/>
  <c r="D107"/>
  <c r="D44"/>
  <c r="C14"/>
  <c r="G93"/>
  <c r="A86"/>
  <c r="H94"/>
  <c r="B77"/>
  <c r="D25"/>
  <c r="D55"/>
  <c r="G21"/>
  <c r="C59"/>
  <c r="F79"/>
  <c r="G62"/>
  <c r="H79"/>
  <c r="G103"/>
  <c r="B44"/>
  <c r="F55"/>
  <c r="C76"/>
  <c r="B90"/>
  <c r="G37"/>
  <c r="F110"/>
  <c r="H52"/>
  <c r="C102"/>
  <c r="B89"/>
  <c r="F38"/>
  <c r="F95"/>
  <c r="F57"/>
  <c r="H17"/>
  <c r="G106"/>
  <c r="G31"/>
  <c r="C108"/>
  <c r="B37"/>
  <c r="G34"/>
  <c r="C37"/>
  <c r="B22"/>
  <c r="F63"/>
  <c r="B27"/>
  <c r="B66"/>
  <c r="B64"/>
  <c r="D21"/>
  <c r="D99"/>
  <c r="F68"/>
  <c r="C34"/>
  <c r="B61"/>
  <c r="H60"/>
  <c r="D36"/>
  <c r="B106"/>
  <c r="G58"/>
  <c r="D30"/>
  <c r="A15"/>
  <c r="B52"/>
  <c r="F75"/>
  <c r="D39"/>
  <c r="G20"/>
  <c r="B58"/>
  <c r="C28"/>
  <c r="F86"/>
  <c r="C63"/>
  <c r="H98"/>
  <c r="C66"/>
  <c r="A68"/>
  <c r="D40"/>
  <c r="B65"/>
  <c r="D42"/>
  <c r="H112"/>
  <c r="G94"/>
  <c r="H91"/>
  <c r="A99"/>
  <c r="D64"/>
  <c r="C67"/>
  <c r="F56"/>
  <c r="F66"/>
  <c r="A19"/>
  <c r="F104"/>
  <c r="F18"/>
  <c r="A37"/>
  <c r="F102"/>
  <c r="F103"/>
  <c r="C41"/>
  <c r="F111"/>
  <c r="F30"/>
  <c r="D75"/>
  <c r="B97"/>
  <c r="F74"/>
  <c r="C38"/>
  <c r="C110"/>
  <c r="C64"/>
  <c r="B62"/>
  <c r="C58"/>
  <c r="B43"/>
  <c r="F98"/>
  <c r="A55"/>
  <c r="F106"/>
  <c r="H92"/>
  <c r="D100"/>
  <c r="H20"/>
  <c r="F26"/>
  <c r="A34"/>
  <c r="D63"/>
  <c r="B18"/>
  <c r="B16"/>
  <c r="E81"/>
  <c r="E80"/>
  <c r="E105"/>
  <c r="E76"/>
  <c r="E86"/>
  <c r="E97"/>
  <c r="E92"/>
  <c r="E109"/>
  <c r="H77"/>
  <c r="C18"/>
  <c r="B25"/>
  <c r="D15"/>
  <c r="B41"/>
  <c r="H83"/>
  <c r="G33"/>
  <c r="A30"/>
  <c r="H36"/>
  <c r="A38"/>
  <c r="F14"/>
  <c r="G36"/>
  <c r="H28"/>
  <c r="B105"/>
  <c r="D89"/>
  <c r="D19"/>
  <c r="H63"/>
  <c r="A90"/>
  <c r="G109"/>
  <c r="H23"/>
  <c r="H78"/>
  <c r="G88"/>
  <c r="H80"/>
  <c r="B96"/>
  <c r="C54"/>
  <c r="G104"/>
  <c r="H62"/>
  <c r="G76"/>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41"/>
  <c r="G68"/>
  <c r="F80"/>
  <c r="A74"/>
  <c r="D65"/>
  <c r="D57"/>
  <c r="C20"/>
  <c r="D27"/>
  <c r="D68"/>
  <c r="A103"/>
  <c r="D81"/>
  <c r="A17"/>
  <c r="G24"/>
  <c r="B14"/>
  <c r="D90"/>
  <c r="B102"/>
  <c r="C29"/>
  <c r="A112"/>
  <c r="H69"/>
  <c r="B78"/>
  <c r="F99"/>
  <c r="F22"/>
  <c r="B24"/>
  <c r="A64"/>
  <c r="H40"/>
  <c r="A67"/>
  <c r="D41"/>
  <c r="E107"/>
  <c r="E96"/>
  <c r="E104"/>
  <c r="E106"/>
  <c r="E93"/>
  <c r="E94"/>
  <c r="E101"/>
  <c r="E84"/>
  <c r="E103"/>
  <c r="E110"/>
  <c r="E95"/>
  <c r="E99"/>
  <c r="E98"/>
  <c r="E79"/>
  <c r="E68"/>
  <c r="E90"/>
  <c r="E78"/>
  <c r="E112"/>
  <c r="E77"/>
  <c r="E82"/>
  <c r="E83"/>
  <c r="E75"/>
  <c r="E87"/>
  <c r="E111"/>
  <c r="E85"/>
  <c r="E108"/>
  <c r="E88"/>
  <c r="A14"/>
  <c r="A181" s="1"/>
  <c r="E89"/>
  <c r="E69"/>
  <c r="E91"/>
  <c r="E100"/>
  <c r="E102"/>
  <c r="E74"/>
  <c r="E64"/>
  <c r="E56"/>
  <c r="E40"/>
  <c r="E32"/>
  <c r="E24"/>
  <c r="E16"/>
  <c r="E66"/>
  <c r="E58"/>
  <c r="E42"/>
  <c r="E34"/>
  <c r="E26"/>
  <c r="E18"/>
  <c r="E60"/>
  <c r="E52"/>
  <c r="E44"/>
  <c r="E36"/>
  <c r="E28"/>
  <c r="E20"/>
  <c r="E62"/>
  <c r="E54"/>
  <c r="E38"/>
  <c r="E30"/>
  <c r="E22"/>
  <c r="E14"/>
  <c r="D14"/>
  <c r="E57"/>
  <c r="E25"/>
  <c r="E67"/>
  <c r="E37"/>
  <c r="E15"/>
  <c r="E39"/>
  <c r="E27"/>
  <c r="E41"/>
  <c r="E43"/>
  <c r="E59"/>
  <c r="E53"/>
  <c r="E21"/>
  <c r="E63"/>
  <c r="E31"/>
  <c r="E35"/>
  <c r="H14"/>
  <c r="E65"/>
  <c r="E33"/>
  <c r="E19"/>
  <c r="E29"/>
  <c r="E23"/>
  <c r="E55"/>
  <c r="E61"/>
  <c r="E17"/>
  <c r="G14"/>
  <c r="G17" i="56"/>
  <c r="A9"/>
  <c r="G18"/>
  <c r="G8"/>
  <c r="G7"/>
  <c r="B17"/>
  <c r="B18"/>
  <c r="F18"/>
  <c r="F17"/>
  <c r="L79" i="55"/>
  <c r="H120"/>
  <c r="H121" s="1"/>
  <c r="H56"/>
  <c r="H57" s="1"/>
  <c r="L12"/>
  <c r="J56" i="45"/>
  <c r="N8"/>
  <c r="H18" i="15"/>
  <c r="F19"/>
  <c r="F41"/>
  <c r="H39"/>
  <c r="H21"/>
  <c r="F23"/>
  <c r="E41"/>
  <c r="G39"/>
  <c r="G41" s="1"/>
  <c r="G36"/>
  <c r="E37"/>
  <c r="E14"/>
  <c r="G12"/>
  <c r="G18"/>
  <c r="E19"/>
  <c r="G19" s="1"/>
  <c r="J22" i="62"/>
  <c r="J24" s="1"/>
  <c r="N5"/>
  <c r="L58" i="55"/>
  <c r="H77"/>
  <c r="H78" s="1"/>
  <c r="G21" i="15"/>
  <c r="E23"/>
  <c r="G59"/>
  <c r="G61" s="1"/>
  <c r="E61"/>
  <c r="H59"/>
  <c r="H61" s="1"/>
  <c r="F61"/>
  <c r="E58"/>
  <c r="G57"/>
  <c r="F48"/>
  <c r="H47"/>
  <c r="H57"/>
  <c r="F58"/>
  <c r="E35"/>
  <c r="G33"/>
  <c r="H49"/>
  <c r="F53"/>
  <c r="H36"/>
  <c r="F37"/>
  <c r="H12"/>
  <c r="F14"/>
  <c r="H16"/>
  <c r="H17" s="1"/>
  <c r="F17"/>
  <c r="F32"/>
  <c r="H31"/>
  <c r="H32" s="1"/>
  <c r="E56"/>
  <c r="G54"/>
  <c r="F35"/>
  <c r="H33"/>
  <c r="E45"/>
  <c r="G44"/>
  <c r="G45" s="1"/>
  <c r="E32"/>
  <c r="G31"/>
  <c r="G32" s="1"/>
  <c r="L56" i="45"/>
  <c r="L57" s="1"/>
  <c r="P8"/>
  <c r="E17" i="15"/>
  <c r="G16"/>
  <c r="G17" s="1"/>
  <c r="F45"/>
  <c r="H44"/>
  <c r="H45" s="1"/>
  <c r="I14" i="14"/>
  <c r="J14"/>
  <c r="E30" i="15"/>
  <c r="G27"/>
  <c r="F100" i="12"/>
  <c r="F102"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G10" i="15"/>
  <c r="G11" s="1"/>
  <c r="E11"/>
  <c r="I17" i="69"/>
  <c r="A20"/>
  <c r="A22"/>
  <c r="G27"/>
  <c r="D24"/>
  <c r="G24"/>
  <c r="H17"/>
  <c r="H27"/>
  <c r="G17"/>
  <c r="G23"/>
  <c r="I21"/>
  <c r="G19"/>
  <c r="G21"/>
  <c r="I15"/>
  <c r="H24"/>
  <c r="H23"/>
  <c r="A15"/>
  <c r="D17"/>
  <c r="A25"/>
  <c r="A19"/>
  <c r="H19"/>
  <c r="G28"/>
  <c r="G14"/>
  <c r="H18"/>
  <c r="A16"/>
  <c r="H15"/>
  <c r="D25"/>
  <c r="A14"/>
  <c r="I23"/>
  <c r="A17"/>
  <c r="D15"/>
  <c r="G22"/>
  <c r="I16"/>
  <c r="D28"/>
  <c r="A28"/>
  <c r="H16"/>
  <c r="D27"/>
  <c r="I26"/>
  <c r="D26"/>
  <c r="I14"/>
  <c r="I20"/>
  <c r="A18"/>
  <c r="G16"/>
  <c r="D18"/>
  <c r="G25"/>
  <c r="D19"/>
  <c r="D21"/>
  <c r="I19"/>
  <c r="G15"/>
  <c r="A24"/>
  <c r="D22"/>
  <c r="G18"/>
  <c r="G26"/>
  <c r="D23"/>
  <c r="D14"/>
  <c r="H21"/>
  <c r="I22"/>
  <c r="H22"/>
  <c r="I25"/>
  <c r="I28"/>
  <c r="A27"/>
  <c r="I24"/>
  <c r="H26"/>
  <c r="I27"/>
  <c r="G20"/>
  <c r="D16"/>
  <c r="A23"/>
  <c r="I18"/>
  <c r="H25"/>
  <c r="A26"/>
  <c r="A21"/>
  <c r="H14"/>
  <c r="H28"/>
  <c r="H20"/>
  <c r="D20"/>
  <c r="B24"/>
  <c r="F24" s="1"/>
  <c r="B18"/>
  <c r="F18" s="1"/>
  <c r="B26"/>
  <c r="F26" s="1"/>
  <c r="B20"/>
  <c r="F20" s="1"/>
  <c r="B28"/>
  <c r="F28" s="1"/>
  <c r="B15"/>
  <c r="B23"/>
  <c r="F23" s="1"/>
  <c r="B19"/>
  <c r="F19" s="1"/>
  <c r="B17"/>
  <c r="F17" s="1"/>
  <c r="B21"/>
  <c r="F21" s="1"/>
  <c r="B27"/>
  <c r="F27" s="1"/>
  <c r="B22"/>
  <c r="F22" s="1"/>
  <c r="B16"/>
  <c r="F16" s="1"/>
  <c r="B25"/>
  <c r="F25" s="1"/>
  <c r="B14"/>
  <c r="F54" i="63"/>
  <c r="B75"/>
  <c r="K47"/>
  <c r="H71"/>
  <c r="I31"/>
  <c r="J26"/>
  <c r="K77"/>
  <c r="K76"/>
  <c r="E53"/>
  <c r="H47"/>
  <c r="K23"/>
  <c r="H34"/>
  <c r="I18"/>
  <c r="B61"/>
  <c r="J40"/>
  <c r="I30"/>
  <c r="K62"/>
  <c r="K35"/>
  <c r="B48"/>
  <c r="E56"/>
  <c r="F45"/>
  <c r="H77"/>
  <c r="K44"/>
  <c r="E22"/>
  <c r="E42"/>
  <c r="I52"/>
  <c r="J70"/>
  <c r="J54"/>
  <c r="E25"/>
  <c r="E69"/>
  <c r="B35"/>
  <c r="I49"/>
  <c r="H65"/>
  <c r="F63"/>
  <c r="J25"/>
  <c r="H37"/>
  <c r="I77"/>
  <c r="E59"/>
  <c r="B24"/>
  <c r="B49"/>
  <c r="K69"/>
  <c r="I46"/>
  <c r="H58"/>
  <c r="B23"/>
  <c r="H72"/>
  <c r="K20"/>
  <c r="K49"/>
  <c r="F65"/>
  <c r="E31"/>
  <c r="F32"/>
  <c r="E68"/>
  <c r="B26"/>
  <c r="E64"/>
  <c r="E74"/>
  <c r="K30"/>
  <c r="H64"/>
  <c r="E65"/>
  <c r="F71"/>
  <c r="I27"/>
  <c r="K21"/>
  <c r="K51"/>
  <c r="E32"/>
  <c r="K64"/>
  <c r="I71"/>
  <c r="F38"/>
  <c r="B59"/>
  <c r="I43"/>
  <c r="J34"/>
  <c r="J56"/>
  <c r="K55"/>
  <c r="F20"/>
  <c r="K45"/>
  <c r="H73"/>
  <c r="B18"/>
  <c r="K68"/>
  <c r="J21"/>
  <c r="J65"/>
  <c r="K32"/>
  <c r="B25"/>
  <c r="H52"/>
  <c r="J35"/>
  <c r="E29"/>
  <c r="E67"/>
  <c r="J19"/>
  <c r="I76"/>
  <c r="H36"/>
  <c r="H30"/>
  <c r="F57"/>
  <c r="J29"/>
  <c r="J46"/>
  <c r="J39"/>
  <c r="J78"/>
  <c r="J62"/>
  <c r="F70"/>
  <c r="B46"/>
  <c r="E21"/>
  <c r="E70"/>
  <c r="H46"/>
  <c r="J38"/>
  <c r="F35"/>
  <c r="I73"/>
  <c r="E17"/>
  <c r="J61"/>
  <c r="I26"/>
  <c r="I19"/>
  <c r="I41"/>
  <c r="B60"/>
  <c r="E19"/>
  <c r="H74"/>
  <c r="F52"/>
  <c r="B19"/>
  <c r="E75"/>
  <c r="E45"/>
  <c r="J32"/>
  <c r="F64"/>
  <c r="B57"/>
  <c r="E43"/>
  <c r="H70"/>
  <c r="E55"/>
  <c r="K59"/>
  <c r="K66"/>
  <c r="E66"/>
  <c r="F62"/>
  <c r="J49"/>
  <c r="K22"/>
  <c r="I28"/>
  <c r="H78"/>
  <c r="H33"/>
  <c r="K39"/>
  <c r="J77"/>
  <c r="E78"/>
  <c r="F18"/>
  <c r="J45"/>
  <c r="H25"/>
  <c r="B58"/>
  <c r="K58"/>
  <c r="E36"/>
  <c r="I36"/>
  <c r="B44"/>
  <c r="B69"/>
  <c r="E52"/>
  <c r="H54"/>
  <c r="E51"/>
  <c r="F77"/>
  <c r="H22"/>
  <c r="K37"/>
  <c r="J72"/>
  <c r="B27"/>
  <c r="I42"/>
  <c r="E50"/>
  <c r="B56"/>
  <c r="B72"/>
  <c r="H66"/>
  <c r="E58"/>
  <c r="H49"/>
  <c r="B33"/>
  <c r="J66"/>
  <c r="B76"/>
  <c r="F37"/>
  <c r="F58"/>
  <c r="H63"/>
  <c r="H67"/>
  <c r="I38"/>
  <c r="B38"/>
  <c r="H20"/>
  <c r="B53"/>
  <c r="B51"/>
  <c r="H18"/>
  <c r="F19"/>
  <c r="J50"/>
  <c r="H79"/>
  <c r="H56"/>
  <c r="K28"/>
  <c r="J76"/>
  <c r="K73"/>
  <c r="E72"/>
  <c r="J69"/>
  <c r="K52"/>
  <c r="H43"/>
  <c r="J42"/>
  <c r="H26"/>
  <c r="F59"/>
  <c r="I33"/>
  <c r="B22"/>
  <c r="K63"/>
  <c r="K40"/>
  <c r="H68"/>
  <c r="B63"/>
  <c r="E38"/>
  <c r="I66"/>
  <c r="B30"/>
  <c r="F76"/>
  <c r="E23"/>
  <c r="I37"/>
  <c r="I22"/>
  <c r="I29"/>
  <c r="B74"/>
  <c r="B37"/>
  <c r="F31"/>
  <c r="F40"/>
  <c r="J73"/>
  <c r="B31"/>
  <c r="I44"/>
  <c r="I61"/>
  <c r="K29"/>
  <c r="B29"/>
  <c r="J74"/>
  <c r="F60"/>
  <c r="E62"/>
  <c r="F27"/>
  <c r="I75"/>
  <c r="I56"/>
  <c r="F73"/>
  <c r="I74"/>
  <c r="H75"/>
  <c r="B68"/>
  <c r="B21"/>
  <c r="I68"/>
  <c r="F55"/>
  <c r="E47"/>
  <c r="J64"/>
  <c r="F41"/>
  <c r="K60"/>
  <c r="I40"/>
  <c r="I51"/>
  <c r="K78"/>
  <c r="B62"/>
  <c r="H32"/>
  <c r="I35"/>
  <c r="K79"/>
  <c r="B55"/>
  <c r="E40"/>
  <c r="E76"/>
  <c r="F69"/>
  <c r="B67"/>
  <c r="B41"/>
  <c r="E41"/>
  <c r="F22"/>
  <c r="J23"/>
  <c r="B66"/>
  <c r="F42"/>
  <c r="H39"/>
  <c r="B47"/>
  <c r="B28"/>
  <c r="K53"/>
  <c r="H19"/>
  <c r="F47"/>
  <c r="F51"/>
  <c r="E63"/>
  <c r="J47"/>
  <c r="K41"/>
  <c r="F78"/>
  <c r="H42"/>
  <c r="J31"/>
  <c r="I62"/>
  <c r="F66"/>
  <c r="J28"/>
  <c r="F74"/>
  <c r="B70"/>
  <c r="E46"/>
  <c r="K36"/>
  <c r="E39"/>
  <c r="F79"/>
  <c r="E20"/>
  <c r="K75"/>
  <c r="E57"/>
  <c r="K26"/>
  <c r="H51"/>
  <c r="E44"/>
  <c r="H29"/>
  <c r="I59"/>
  <c r="F67"/>
  <c r="E30"/>
  <c r="F49"/>
  <c r="K57"/>
  <c r="E27"/>
  <c r="K31"/>
  <c r="J37"/>
  <c r="K61"/>
  <c r="I53"/>
  <c r="I39"/>
  <c r="I54"/>
  <c r="B40"/>
  <c r="H38"/>
  <c r="E73"/>
  <c r="I60"/>
  <c r="I78"/>
  <c r="I55"/>
  <c r="F43"/>
  <c r="F44"/>
  <c r="E49"/>
  <c r="J79"/>
  <c r="E79"/>
  <c r="H59"/>
  <c r="K50"/>
  <c r="F53"/>
  <c r="F25"/>
  <c r="I47"/>
  <c r="H48"/>
  <c r="I65"/>
  <c r="F30"/>
  <c r="J71"/>
  <c r="H53"/>
  <c r="E34"/>
  <c r="I23"/>
  <c r="B78"/>
  <c r="B71"/>
  <c r="I50"/>
  <c r="C60"/>
  <c r="A60" s="1"/>
  <c r="C76"/>
  <c r="A76" s="1"/>
  <c r="C52"/>
  <c r="A52" s="1"/>
  <c r="C29"/>
  <c r="A29" s="1"/>
  <c r="K25"/>
  <c r="J75"/>
  <c r="K18"/>
  <c r="K74"/>
  <c r="I45"/>
  <c r="F72"/>
  <c r="B52"/>
  <c r="J41"/>
  <c r="K27"/>
  <c r="E33"/>
  <c r="B79"/>
  <c r="E71"/>
  <c r="H31"/>
  <c r="H60"/>
  <c r="J55"/>
  <c r="F29"/>
  <c r="I48"/>
  <c r="B43"/>
  <c r="I67"/>
  <c r="F26"/>
  <c r="K70"/>
  <c r="J57"/>
  <c r="E18"/>
  <c r="I20"/>
  <c r="J52"/>
  <c r="J24"/>
  <c r="H44"/>
  <c r="H28"/>
  <c r="E37"/>
  <c r="B39"/>
  <c r="B42"/>
  <c r="H45"/>
  <c r="K48"/>
  <c r="I57"/>
  <c r="H41"/>
  <c r="I24"/>
  <c r="K38"/>
  <c r="J59"/>
  <c r="B17"/>
  <c r="H40"/>
  <c r="H69"/>
  <c r="B77"/>
  <c r="F75"/>
  <c r="K72"/>
  <c r="F39"/>
  <c r="J60"/>
  <c r="H61"/>
  <c r="E35"/>
  <c r="F46"/>
  <c r="I58"/>
  <c r="B20"/>
  <c r="I63"/>
  <c r="B34"/>
  <c r="H24"/>
  <c r="K65"/>
  <c r="B32"/>
  <c r="I64"/>
  <c r="K24"/>
  <c r="F61"/>
  <c r="J53"/>
  <c r="E77"/>
  <c r="I25"/>
  <c r="J58"/>
  <c r="F34"/>
  <c r="K42"/>
  <c r="E60"/>
  <c r="B50"/>
  <c r="H57"/>
  <c r="E48"/>
  <c r="E26"/>
  <c r="F56"/>
  <c r="J27"/>
  <c r="J44"/>
  <c r="J30"/>
  <c r="K19"/>
  <c r="I70"/>
  <c r="I21"/>
  <c r="H50"/>
  <c r="I34"/>
  <c r="H62"/>
  <c r="I32"/>
  <c r="E28"/>
  <c r="J63"/>
  <c r="F23"/>
  <c r="F48"/>
  <c r="K43"/>
  <c r="K33"/>
  <c r="H76"/>
  <c r="H23"/>
  <c r="K67"/>
  <c r="K71"/>
  <c r="F36"/>
  <c r="I69"/>
  <c r="F68"/>
  <c r="K34"/>
  <c r="K56"/>
  <c r="J43"/>
  <c r="I72"/>
  <c r="E61"/>
  <c r="F21"/>
  <c r="B36"/>
  <c r="J68"/>
  <c r="I79"/>
  <c r="J36"/>
  <c r="E54"/>
  <c r="B73"/>
  <c r="J20"/>
  <c r="B54"/>
  <c r="F24"/>
  <c r="B64"/>
  <c r="F17"/>
  <c r="B65"/>
  <c r="B45"/>
  <c r="F50"/>
  <c r="J51"/>
  <c r="F28"/>
  <c r="J48"/>
  <c r="H35"/>
  <c r="E24"/>
  <c r="J33"/>
  <c r="H55"/>
  <c r="H27"/>
  <c r="J67"/>
  <c r="J18"/>
  <c r="K54"/>
  <c r="F33"/>
  <c r="H21"/>
  <c r="K46"/>
  <c r="C20"/>
  <c r="A20" s="1"/>
  <c r="C56"/>
  <c r="A56" s="1"/>
  <c r="C78"/>
  <c r="A78" s="1"/>
  <c r="C74"/>
  <c r="A74" s="1"/>
  <c r="C37"/>
  <c r="A37" s="1"/>
  <c r="C43"/>
  <c r="A43" s="1"/>
  <c r="C48"/>
  <c r="A48" s="1"/>
  <c r="C36"/>
  <c r="A36" s="1"/>
  <c r="C63"/>
  <c r="A63" s="1"/>
  <c r="C38"/>
  <c r="A38" s="1"/>
  <c r="C67"/>
  <c r="A67" s="1"/>
  <c r="C31"/>
  <c r="A31" s="1"/>
  <c r="C54"/>
  <c r="A54" s="1"/>
  <c r="C33"/>
  <c r="A33" s="1"/>
  <c r="C50"/>
  <c r="A50" s="1"/>
  <c r="C77"/>
  <c r="A77" s="1"/>
  <c r="C34"/>
  <c r="A34" s="1"/>
  <c r="C59"/>
  <c r="A59" s="1"/>
  <c r="C57"/>
  <c r="A57" s="1"/>
  <c r="C53"/>
  <c r="A53" s="1"/>
  <c r="C42"/>
  <c r="A42" s="1"/>
  <c r="C58"/>
  <c r="A58" s="1"/>
  <c r="C45"/>
  <c r="A45" s="1"/>
  <c r="C41"/>
  <c r="A41" s="1"/>
  <c r="C35"/>
  <c r="A35" s="1"/>
  <c r="C27"/>
  <c r="A27" s="1"/>
  <c r="C26"/>
  <c r="A26" s="1"/>
  <c r="C17"/>
  <c r="A17" s="1"/>
  <c r="C72"/>
  <c r="A72" s="1"/>
  <c r="C75"/>
  <c r="A75" s="1"/>
  <c r="C24"/>
  <c r="A24" s="1"/>
  <c r="C28"/>
  <c r="A28" s="1"/>
  <c r="C44"/>
  <c r="A44" s="1"/>
  <c r="C49"/>
  <c r="A49" s="1"/>
  <c r="C39"/>
  <c r="A39" s="1"/>
  <c r="C46"/>
  <c r="A46" s="1"/>
  <c r="C47"/>
  <c r="A47" s="1"/>
  <c r="C22"/>
  <c r="A22" s="1"/>
  <c r="C61"/>
  <c r="A61" s="1"/>
  <c r="C71"/>
  <c r="A71" s="1"/>
  <c r="C66"/>
  <c r="A66" s="1"/>
  <c r="C32"/>
  <c r="A32" s="1"/>
  <c r="C79"/>
  <c r="A79" s="1"/>
  <c r="C64"/>
  <c r="A64" s="1"/>
  <c r="C19"/>
  <c r="A19" s="1"/>
  <c r="C30"/>
  <c r="A30" s="1"/>
  <c r="C40"/>
  <c r="A40" s="1"/>
  <c r="C51"/>
  <c r="A51" s="1"/>
  <c r="C25"/>
  <c r="A25" s="1"/>
  <c r="C70"/>
  <c r="A70" s="1"/>
  <c r="C62"/>
  <c r="A62" s="1"/>
  <c r="C69"/>
  <c r="A69" s="1"/>
  <c r="C55"/>
  <c r="A55" s="1"/>
  <c r="C18"/>
  <c r="A18" s="1"/>
  <c r="C65"/>
  <c r="A65" s="1"/>
  <c r="C68"/>
  <c r="A68" s="1"/>
  <c r="C21"/>
  <c r="A21" s="1"/>
  <c r="C73"/>
  <c r="A73" s="1"/>
  <c r="C23"/>
  <c r="A23" s="1"/>
  <c r="D31"/>
  <c r="D64"/>
  <c r="D24"/>
  <c r="D38"/>
  <c r="D28"/>
  <c r="D30"/>
  <c r="D56"/>
  <c r="D71"/>
  <c r="D69"/>
  <c r="D23"/>
  <c r="D45"/>
  <c r="D59"/>
  <c r="D36"/>
  <c r="D35"/>
  <c r="D74"/>
  <c r="D17"/>
  <c r="D58"/>
  <c r="D47"/>
  <c r="D27"/>
  <c r="D32"/>
  <c r="D41"/>
  <c r="D75"/>
  <c r="D33"/>
  <c r="D61"/>
  <c r="D63"/>
  <c r="D49"/>
  <c r="D25"/>
  <c r="D52"/>
  <c r="D66"/>
  <c r="D50"/>
  <c r="D46"/>
  <c r="D53"/>
  <c r="D72"/>
  <c r="D76"/>
  <c r="D78"/>
  <c r="D62"/>
  <c r="D55"/>
  <c r="D73"/>
  <c r="D67"/>
  <c r="D51"/>
  <c r="D29"/>
  <c r="D19"/>
  <c r="D21"/>
  <c r="D60"/>
  <c r="H17"/>
  <c r="J17"/>
  <c r="D39"/>
  <c r="D48"/>
  <c r="D42"/>
  <c r="D20"/>
  <c r="D40"/>
  <c r="D57"/>
  <c r="D44"/>
  <c r="D79"/>
  <c r="K17"/>
  <c r="D54"/>
  <c r="D26"/>
  <c r="D22"/>
  <c r="D68"/>
  <c r="I17"/>
  <c r="D65"/>
  <c r="D43"/>
  <c r="D18"/>
  <c r="D37"/>
  <c r="D77"/>
  <c r="D34"/>
  <c r="D70"/>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798" i="71" l="1"/>
  <c r="H798"/>
  <c r="I800"/>
  <c r="H800"/>
  <c r="I802"/>
  <c r="H802"/>
  <c r="I804"/>
  <c r="H804"/>
  <c r="I797"/>
  <c r="H797"/>
  <c r="I799"/>
  <c r="H799"/>
  <c r="I801"/>
  <c r="H801"/>
  <c r="I803"/>
  <c r="H803"/>
  <c r="I805"/>
  <c r="H805"/>
  <c r="I465"/>
  <c r="I466" s="1"/>
  <c r="H466"/>
  <c r="H467" s="1"/>
  <c r="H803" i="47"/>
  <c r="I803"/>
  <c r="H799"/>
  <c r="I799"/>
  <c r="H804"/>
  <c r="I804"/>
  <c r="H800"/>
  <c r="I800"/>
  <c r="H805"/>
  <c r="I805"/>
  <c r="H801"/>
  <c r="I801"/>
  <c r="H802"/>
  <c r="I802"/>
  <c r="H798"/>
  <c r="I798"/>
  <c r="I797"/>
  <c r="H797"/>
  <c r="I65" i="14"/>
  <c r="J65"/>
  <c r="I67"/>
  <c r="J67"/>
  <c r="I66"/>
  <c r="J66"/>
  <c r="E65" i="15"/>
  <c r="H35"/>
  <c r="H41"/>
  <c r="G68" i="14"/>
  <c r="J15"/>
  <c r="H53" i="15"/>
  <c r="H48"/>
  <c r="I15" i="14"/>
  <c r="N325" i="60"/>
  <c r="J66" i="15" s="1"/>
  <c r="J69" i="14"/>
  <c r="M86" i="63"/>
  <c r="N86"/>
  <c r="L86"/>
  <c r="O86"/>
  <c r="N82"/>
  <c r="O82"/>
  <c r="L82"/>
  <c r="M82"/>
  <c r="M87"/>
  <c r="N87"/>
  <c r="L87"/>
  <c r="O87"/>
  <c r="O83"/>
  <c r="N83"/>
  <c r="L83"/>
  <c r="M83"/>
  <c r="M84"/>
  <c r="N84"/>
  <c r="L84"/>
  <c r="O84"/>
  <c r="N80"/>
  <c r="O80"/>
  <c r="L80"/>
  <c r="M80"/>
  <c r="O85"/>
  <c r="N85"/>
  <c r="L85"/>
  <c r="M85"/>
  <c r="O81"/>
  <c r="N81"/>
  <c r="M81"/>
  <c r="L81"/>
  <c r="L96"/>
  <c r="N96"/>
  <c r="O96"/>
  <c r="M96"/>
  <c r="L93"/>
  <c r="M93"/>
  <c r="O93"/>
  <c r="N93"/>
  <c r="L92"/>
  <c r="O92"/>
  <c r="N92"/>
  <c r="M92"/>
  <c r="L89"/>
  <c r="M89"/>
  <c r="O89"/>
  <c r="N89"/>
  <c r="L88"/>
  <c r="O88"/>
  <c r="N88"/>
  <c r="M88"/>
  <c r="L95"/>
  <c r="O95"/>
  <c r="M95"/>
  <c r="N95"/>
  <c r="L94"/>
  <c r="O94"/>
  <c r="M94"/>
  <c r="N94"/>
  <c r="L91"/>
  <c r="O91"/>
  <c r="M91"/>
  <c r="N91"/>
  <c r="L90"/>
  <c r="O90"/>
  <c r="M90"/>
  <c r="N90"/>
  <c r="J98"/>
  <c r="H14" i="15"/>
  <c r="L77" i="55"/>
  <c r="L78" s="1"/>
  <c r="L120"/>
  <c r="L121" s="1"/>
  <c r="H30" i="15"/>
  <c r="F125" i="43"/>
  <c r="G125"/>
  <c r="G35" i="15"/>
  <c r="G14"/>
  <c r="H12" i="43"/>
  <c r="H13" s="1"/>
  <c r="H14" s="1"/>
  <c r="H15" s="1"/>
  <c r="F143" i="69"/>
  <c r="C143"/>
  <c r="E143"/>
  <c r="J143"/>
  <c r="E135"/>
  <c r="J135"/>
  <c r="C135"/>
  <c r="F135"/>
  <c r="E131"/>
  <c r="J131"/>
  <c r="F131"/>
  <c r="C131"/>
  <c r="E127"/>
  <c r="J127"/>
  <c r="C127"/>
  <c r="F127"/>
  <c r="E123"/>
  <c r="J123"/>
  <c r="C123"/>
  <c r="F123"/>
  <c r="E119"/>
  <c r="J119"/>
  <c r="C119"/>
  <c r="F119"/>
  <c r="E115"/>
  <c r="F115"/>
  <c r="J115"/>
  <c r="C115"/>
  <c r="C146"/>
  <c r="F146"/>
  <c r="J146"/>
  <c r="E146"/>
  <c r="C142"/>
  <c r="F142"/>
  <c r="J142"/>
  <c r="E142"/>
  <c r="C138"/>
  <c r="F138"/>
  <c r="J138"/>
  <c r="E138"/>
  <c r="C134"/>
  <c r="F134"/>
  <c r="J134"/>
  <c r="E134"/>
  <c r="C130"/>
  <c r="J130"/>
  <c r="F130"/>
  <c r="E130"/>
  <c r="C126"/>
  <c r="J126"/>
  <c r="F126"/>
  <c r="E126"/>
  <c r="C122"/>
  <c r="J122"/>
  <c r="F122"/>
  <c r="E122"/>
  <c r="C118"/>
  <c r="F118"/>
  <c r="J118"/>
  <c r="E118"/>
  <c r="C114"/>
  <c r="E114"/>
  <c r="F114"/>
  <c r="J114"/>
  <c r="E113"/>
  <c r="F113"/>
  <c r="J113"/>
  <c r="C113"/>
  <c r="E109"/>
  <c r="J109"/>
  <c r="F109"/>
  <c r="C109"/>
  <c r="E105"/>
  <c r="F105"/>
  <c r="J105"/>
  <c r="C105"/>
  <c r="C101"/>
  <c r="F101"/>
  <c r="J101"/>
  <c r="E101"/>
  <c r="C97"/>
  <c r="J97"/>
  <c r="E97"/>
  <c r="F97"/>
  <c r="E93"/>
  <c r="F93"/>
  <c r="J93"/>
  <c r="C93"/>
  <c r="C89"/>
  <c r="J89"/>
  <c r="E89"/>
  <c r="F89"/>
  <c r="E85"/>
  <c r="F85"/>
  <c r="C85"/>
  <c r="J85"/>
  <c r="E81"/>
  <c r="F81"/>
  <c r="C81"/>
  <c r="J81"/>
  <c r="E77"/>
  <c r="F77"/>
  <c r="C77"/>
  <c r="J77"/>
  <c r="E73"/>
  <c r="F73"/>
  <c r="C73"/>
  <c r="J73"/>
  <c r="E69"/>
  <c r="F69"/>
  <c r="C69"/>
  <c r="J69"/>
  <c r="E65"/>
  <c r="F65"/>
  <c r="C65"/>
  <c r="J65"/>
  <c r="E61"/>
  <c r="F61"/>
  <c r="C61"/>
  <c r="J61"/>
  <c r="E57"/>
  <c r="F57"/>
  <c r="C57"/>
  <c r="J57"/>
  <c r="E53"/>
  <c r="F53"/>
  <c r="C53"/>
  <c r="J53"/>
  <c r="E49"/>
  <c r="F49"/>
  <c r="C49"/>
  <c r="J49"/>
  <c r="E45"/>
  <c r="C45"/>
  <c r="F45"/>
  <c r="J45"/>
  <c r="E41"/>
  <c r="C41"/>
  <c r="J41"/>
  <c r="F41"/>
  <c r="E37"/>
  <c r="J37"/>
  <c r="F37"/>
  <c r="C37"/>
  <c r="E33"/>
  <c r="F33"/>
  <c r="J33"/>
  <c r="C33"/>
  <c r="E29"/>
  <c r="F29"/>
  <c r="C29"/>
  <c r="J29"/>
  <c r="F112"/>
  <c r="E112"/>
  <c r="C112"/>
  <c r="J112"/>
  <c r="C108"/>
  <c r="J108"/>
  <c r="E108"/>
  <c r="F108"/>
  <c r="F104"/>
  <c r="E104"/>
  <c r="J104"/>
  <c r="C104"/>
  <c r="F100"/>
  <c r="E100"/>
  <c r="J100"/>
  <c r="C100"/>
  <c r="E96"/>
  <c r="C96"/>
  <c r="F96"/>
  <c r="J96"/>
  <c r="E92"/>
  <c r="C92"/>
  <c r="F92"/>
  <c r="J92"/>
  <c r="C88"/>
  <c r="F88"/>
  <c r="E88"/>
  <c r="J88"/>
  <c r="C84"/>
  <c r="F84"/>
  <c r="E84"/>
  <c r="J84"/>
  <c r="C80"/>
  <c r="F80"/>
  <c r="E80"/>
  <c r="J80"/>
  <c r="C76"/>
  <c r="F76"/>
  <c r="E76"/>
  <c r="J76"/>
  <c r="C72"/>
  <c r="F72"/>
  <c r="E72"/>
  <c r="J72"/>
  <c r="C68"/>
  <c r="F68"/>
  <c r="E68"/>
  <c r="J68"/>
  <c r="C64"/>
  <c r="F64"/>
  <c r="E64"/>
  <c r="J64"/>
  <c r="C60"/>
  <c r="E60"/>
  <c r="F60"/>
  <c r="J60"/>
  <c r="C56"/>
  <c r="E56"/>
  <c r="F56"/>
  <c r="J56"/>
  <c r="C52"/>
  <c r="E52"/>
  <c r="F52"/>
  <c r="J52"/>
  <c r="C48"/>
  <c r="E48"/>
  <c r="F48"/>
  <c r="J48"/>
  <c r="C44"/>
  <c r="J44"/>
  <c r="F44"/>
  <c r="E44"/>
  <c r="C40"/>
  <c r="J40"/>
  <c r="E40"/>
  <c r="F40"/>
  <c r="C36"/>
  <c r="F36"/>
  <c r="E36"/>
  <c r="J36"/>
  <c r="C32"/>
  <c r="F32"/>
  <c r="E32"/>
  <c r="J32"/>
  <c r="E139"/>
  <c r="C139"/>
  <c r="J139"/>
  <c r="F139"/>
  <c r="E145"/>
  <c r="C145"/>
  <c r="F145"/>
  <c r="J145"/>
  <c r="E141"/>
  <c r="F141"/>
  <c r="C141"/>
  <c r="J141"/>
  <c r="E137"/>
  <c r="F137"/>
  <c r="C137"/>
  <c r="J137"/>
  <c r="E133"/>
  <c r="F133"/>
  <c r="C133"/>
  <c r="J133"/>
  <c r="E129"/>
  <c r="F129"/>
  <c r="C129"/>
  <c r="J129"/>
  <c r="E125"/>
  <c r="J125"/>
  <c r="C125"/>
  <c r="F125"/>
  <c r="E121"/>
  <c r="J121"/>
  <c r="C121"/>
  <c r="F121"/>
  <c r="E117"/>
  <c r="F117"/>
  <c r="C117"/>
  <c r="J117"/>
  <c r="C144"/>
  <c r="F144"/>
  <c r="J144"/>
  <c r="E144"/>
  <c r="C140"/>
  <c r="J140"/>
  <c r="F140"/>
  <c r="E140"/>
  <c r="C136"/>
  <c r="J136"/>
  <c r="F136"/>
  <c r="E136"/>
  <c r="C132"/>
  <c r="J132"/>
  <c r="F132"/>
  <c r="E132"/>
  <c r="C128"/>
  <c r="J128"/>
  <c r="F128"/>
  <c r="E128"/>
  <c r="C124"/>
  <c r="F124"/>
  <c r="J124"/>
  <c r="E124"/>
  <c r="C120"/>
  <c r="J120"/>
  <c r="F120"/>
  <c r="E120"/>
  <c r="C116"/>
  <c r="J116"/>
  <c r="F116"/>
  <c r="E116"/>
  <c r="E111"/>
  <c r="F111"/>
  <c r="C111"/>
  <c r="J111"/>
  <c r="E107"/>
  <c r="C107"/>
  <c r="F107"/>
  <c r="J107"/>
  <c r="E103"/>
  <c r="J103"/>
  <c r="F103"/>
  <c r="C103"/>
  <c r="J99"/>
  <c r="E99"/>
  <c r="F99"/>
  <c r="C99"/>
  <c r="C95"/>
  <c r="J95"/>
  <c r="E95"/>
  <c r="F95"/>
  <c r="E91"/>
  <c r="F91"/>
  <c r="J91"/>
  <c r="C91"/>
  <c r="E87"/>
  <c r="F87"/>
  <c r="J87"/>
  <c r="C87"/>
  <c r="E83"/>
  <c r="F83"/>
  <c r="J83"/>
  <c r="C83"/>
  <c r="E79"/>
  <c r="F79"/>
  <c r="J79"/>
  <c r="C79"/>
  <c r="E75"/>
  <c r="F75"/>
  <c r="J75"/>
  <c r="C75"/>
  <c r="E71"/>
  <c r="F71"/>
  <c r="J71"/>
  <c r="C71"/>
  <c r="E67"/>
  <c r="F67"/>
  <c r="J67"/>
  <c r="C67"/>
  <c r="E63"/>
  <c r="F63"/>
  <c r="J63"/>
  <c r="C63"/>
  <c r="E59"/>
  <c r="F59"/>
  <c r="J59"/>
  <c r="C59"/>
  <c r="E55"/>
  <c r="F55"/>
  <c r="J55"/>
  <c r="C55"/>
  <c r="E51"/>
  <c r="F51"/>
  <c r="J51"/>
  <c r="C51"/>
  <c r="E47"/>
  <c r="C47"/>
  <c r="F47"/>
  <c r="J47"/>
  <c r="E43"/>
  <c r="J43"/>
  <c r="F43"/>
  <c r="C43"/>
  <c r="E39"/>
  <c r="F39"/>
  <c r="J39"/>
  <c r="C39"/>
  <c r="E35"/>
  <c r="F35"/>
  <c r="J35"/>
  <c r="C35"/>
  <c r="C31"/>
  <c r="E31"/>
  <c r="J31"/>
  <c r="F31"/>
  <c r="C110"/>
  <c r="J110"/>
  <c r="E110"/>
  <c r="F110"/>
  <c r="C106"/>
  <c r="E106"/>
  <c r="F106"/>
  <c r="J106"/>
  <c r="E102"/>
  <c r="C102"/>
  <c r="F102"/>
  <c r="J102"/>
  <c r="E98"/>
  <c r="J98"/>
  <c r="F98"/>
  <c r="C98"/>
  <c r="C94"/>
  <c r="F94"/>
  <c r="E94"/>
  <c r="J94"/>
  <c r="C90"/>
  <c r="F90"/>
  <c r="E90"/>
  <c r="J90"/>
  <c r="C86"/>
  <c r="E86"/>
  <c r="J86"/>
  <c r="F86"/>
  <c r="C82"/>
  <c r="E82"/>
  <c r="J82"/>
  <c r="F82"/>
  <c r="C78"/>
  <c r="E78"/>
  <c r="J78"/>
  <c r="F78"/>
  <c r="C74"/>
  <c r="E74"/>
  <c r="J74"/>
  <c r="F74"/>
  <c r="C70"/>
  <c r="E70"/>
  <c r="J70"/>
  <c r="F70"/>
  <c r="C66"/>
  <c r="E66"/>
  <c r="J66"/>
  <c r="F66"/>
  <c r="C62"/>
  <c r="J62"/>
  <c r="E62"/>
  <c r="F62"/>
  <c r="C58"/>
  <c r="J58"/>
  <c r="E58"/>
  <c r="F58"/>
  <c r="C54"/>
  <c r="J54"/>
  <c r="E54"/>
  <c r="F54"/>
  <c r="C50"/>
  <c r="E50"/>
  <c r="J50"/>
  <c r="F50"/>
  <c r="C46"/>
  <c r="F46"/>
  <c r="E46"/>
  <c r="J46"/>
  <c r="C42"/>
  <c r="F42"/>
  <c r="E42"/>
  <c r="J42"/>
  <c r="C38"/>
  <c r="E38"/>
  <c r="F38"/>
  <c r="J38"/>
  <c r="C34"/>
  <c r="F34"/>
  <c r="E34"/>
  <c r="J34"/>
  <c r="C30"/>
  <c r="J30"/>
  <c r="F30"/>
  <c r="E30"/>
  <c r="H18" i="56"/>
  <c r="J148" i="69"/>
  <c r="H17" i="56"/>
  <c r="H21"/>
  <c r="H20"/>
  <c r="H19"/>
  <c r="D26"/>
  <c r="A26"/>
  <c r="D21"/>
  <c r="D20"/>
  <c r="D19"/>
  <c r="I807" i="47"/>
  <c r="H100" i="12"/>
  <c r="G30" i="15"/>
  <c r="P56" i="45"/>
  <c r="G56" i="15"/>
  <c r="N22" i="62"/>
  <c r="N56" i="45"/>
  <c r="L56" i="55"/>
  <c r="L57" s="1"/>
  <c r="G27" i="52"/>
  <c r="G53" i="15"/>
  <c r="G32" i="58"/>
  <c r="E192" i="42"/>
  <c r="I27" i="52"/>
  <c r="J27"/>
  <c r="J57" i="45"/>
  <c r="L22" i="62"/>
  <c r="K98" i="63"/>
  <c r="G177" i="42"/>
  <c r="G100" i="12"/>
  <c r="I98" i="63"/>
  <c r="A26" i="48" a="1"/>
  <c r="A26" s="1"/>
  <c r="I26" s="1"/>
  <c r="A17" a="1"/>
  <c r="A17" s="1"/>
  <c r="I17" s="1"/>
  <c r="A12" a="1"/>
  <c r="A12" s="1"/>
  <c r="I12" s="1"/>
  <c r="H98" i="63"/>
  <c r="I161" i="57"/>
  <c r="A28" i="48" a="1"/>
  <c r="A28" s="1"/>
  <c r="I28" s="1"/>
  <c r="A14" a="1"/>
  <c r="A14" s="1"/>
  <c r="I14" s="1"/>
  <c r="A27" a="1"/>
  <c r="A27" s="1"/>
  <c r="I27" s="1"/>
  <c r="A35" a="1"/>
  <c r="A35" s="1"/>
  <c r="I35" s="1"/>
  <c r="A38" a="1"/>
  <c r="A38" s="1"/>
  <c r="I38" s="1"/>
  <c r="A36" a="1"/>
  <c r="A36" s="1"/>
  <c r="I36" s="1"/>
  <c r="A37" a="1"/>
  <c r="A37" s="1"/>
  <c r="I37" s="1"/>
  <c r="H177" i="42"/>
  <c r="A19" i="48" a="1"/>
  <c r="A19" s="1"/>
  <c r="I19" s="1"/>
  <c r="A31" a="1"/>
  <c r="A31" s="1"/>
  <c r="I31" s="1"/>
  <c r="A22" a="1"/>
  <c r="A22" s="1"/>
  <c r="I22" s="1"/>
  <c r="A29" a="1"/>
  <c r="A29" s="1"/>
  <c r="I29" s="1"/>
  <c r="A18" a="1"/>
  <c r="A18" s="1"/>
  <c r="I18" s="1"/>
  <c r="A25" a="1"/>
  <c r="A25" s="1"/>
  <c r="I25" s="1"/>
  <c r="A21" a="1"/>
  <c r="A21" s="1"/>
  <c r="I21" s="1"/>
  <c r="A32"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H58" i="15"/>
  <c r="G37"/>
  <c r="H23"/>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H19" i="15"/>
  <c r="I14" i="58"/>
  <c r="I15" s="1"/>
  <c r="I16" s="1"/>
  <c r="I17" s="1"/>
  <c r="I18" s="1"/>
  <c r="I19" s="1"/>
  <c r="I20" s="1"/>
  <c r="I21" s="1"/>
  <c r="I22" s="1"/>
  <c r="I23" s="1"/>
  <c r="I24" s="1"/>
  <c r="I25" s="1"/>
  <c r="I26" s="1"/>
  <c r="I27" s="1"/>
  <c r="I28" s="1"/>
  <c r="I29" s="1"/>
  <c r="I30" s="1"/>
  <c r="G58" i="15"/>
  <c r="G48"/>
  <c r="H807"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O17" i="63"/>
  <c r="L17"/>
  <c r="N17"/>
  <c r="M17"/>
  <c r="C14" i="69"/>
  <c r="E14"/>
  <c r="F14"/>
  <c r="J14"/>
  <c r="C25"/>
  <c r="J25"/>
  <c r="E25"/>
  <c r="C16"/>
  <c r="E16"/>
  <c r="J16"/>
  <c r="J22"/>
  <c r="E22"/>
  <c r="C22"/>
  <c r="C27"/>
  <c r="E27"/>
  <c r="J27"/>
  <c r="E21"/>
  <c r="C21"/>
  <c r="J21"/>
  <c r="J17"/>
  <c r="C17"/>
  <c r="E17"/>
  <c r="J19"/>
  <c r="E19"/>
  <c r="C19"/>
  <c r="E23"/>
  <c r="C23"/>
  <c r="J23"/>
  <c r="C15"/>
  <c r="E15"/>
  <c r="F15"/>
  <c r="J15"/>
  <c r="E28"/>
  <c r="J28"/>
  <c r="C28"/>
  <c r="J20"/>
  <c r="C20"/>
  <c r="E20"/>
  <c r="E26"/>
  <c r="J26"/>
  <c r="C26"/>
  <c r="C18"/>
  <c r="E18"/>
  <c r="J18"/>
  <c r="J24"/>
  <c r="C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5" i="55"/>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I806" i="71" l="1"/>
  <c r="H806"/>
  <c r="I807" s="1"/>
  <c r="I467"/>
  <c r="I468" s="1"/>
  <c r="H468"/>
  <c r="H469" s="1"/>
  <c r="J74" i="15"/>
  <c r="I16" i="14"/>
  <c r="J16"/>
  <c r="I69"/>
  <c r="H16" i="43"/>
  <c r="H17" s="1"/>
  <c r="H18" s="1"/>
  <c r="H19" s="1"/>
  <c r="H20" s="1"/>
  <c r="H125"/>
  <c r="H126" s="1"/>
  <c r="I45" i="42"/>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N86" i="55"/>
  <c r="F147" i="69" s="1"/>
  <c r="H27" i="56"/>
  <c r="I32" i="58"/>
  <c r="H102" i="12"/>
  <c r="N24" i="62"/>
  <c r="K28" i="52"/>
  <c r="M28"/>
  <c r="L28"/>
  <c r="I178"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99" i="63"/>
  <c r="N99"/>
  <c r="K161" i="57"/>
  <c r="M99" i="63"/>
  <c r="G75" i="15"/>
  <c r="H75"/>
  <c r="L18" i="52"/>
  <c r="M18"/>
  <c r="N18"/>
  <c r="K18"/>
  <c r="I4" i="12"/>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BZ52"/>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99" i="63"/>
  <c r="AO52" i="48"/>
  <c r="Y52"/>
  <c r="Y54" s="1"/>
  <c r="Y54" i="49" s="1"/>
  <c r="Y54" i="50" s="1"/>
  <c r="Y54" i="51" s="1"/>
  <c r="K52" i="48"/>
  <c r="BO52"/>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BX52"/>
  <c r="BX54" s="1"/>
  <c r="BX54" i="49" s="1"/>
  <c r="BX54" i="50" s="1"/>
  <c r="BX54" i="51" s="1"/>
  <c r="CB52" i="48"/>
  <c r="CB53" s="1"/>
  <c r="CB10" i="49" s="1"/>
  <c r="BB52" i="48"/>
  <c r="BB54" s="1"/>
  <c r="BB54" i="49" s="1"/>
  <c r="BB54" i="50" s="1"/>
  <c r="BB54" i="51" s="1"/>
  <c r="BV52" i="48"/>
  <c r="N28" i="52"/>
  <c r="E149" i="69"/>
  <c r="N149"/>
  <c r="F40" i="50"/>
  <c r="F49"/>
  <c r="F46"/>
  <c r="F48"/>
  <c r="F47"/>
  <c r="F43"/>
  <c r="F41"/>
  <c r="F50"/>
  <c r="F42"/>
  <c r="F44"/>
  <c r="F42" i="49"/>
  <c r="F41"/>
  <c r="F43"/>
  <c r="F50"/>
  <c r="F44"/>
  <c r="F49"/>
  <c r="F47"/>
  <c r="F40"/>
  <c r="F48"/>
  <c r="F46"/>
  <c r="F47" i="48"/>
  <c r="F42" i="51"/>
  <c r="F43"/>
  <c r="F41"/>
  <c r="F44"/>
  <c r="F50"/>
  <c r="F40"/>
  <c r="F48"/>
  <c r="F47"/>
  <c r="F46"/>
  <c r="F49"/>
  <c r="A29" i="56"/>
  <c r="I469" i="71" l="1"/>
  <c r="I470" s="1"/>
  <c r="I17" i="14"/>
  <c r="J17"/>
  <c r="BV53" i="48"/>
  <c r="BV10" i="49" s="1"/>
  <c r="N53" i="48"/>
  <c r="N10" i="49" s="1"/>
  <c r="I43" i="12"/>
  <c r="I28"/>
  <c r="K53" i="48"/>
  <c r="K10" i="49" s="1"/>
  <c r="I41" i="12"/>
  <c r="I51"/>
  <c r="H21" i="43"/>
  <c r="H22" s="1"/>
  <c r="H23" s="1"/>
  <c r="H24" s="1"/>
  <c r="H25" s="1"/>
  <c r="H26" s="1"/>
  <c r="H27" s="1"/>
  <c r="H28" s="1"/>
  <c r="H29" s="1"/>
  <c r="H30" s="1"/>
  <c r="H31" s="1"/>
  <c r="H32" s="1"/>
  <c r="I74" i="42"/>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I110" s="1"/>
  <c r="I111" s="1"/>
  <c r="I112" s="1"/>
  <c r="I113" s="1"/>
  <c r="I114" s="1"/>
  <c r="I115" s="1"/>
  <c r="I116" s="1"/>
  <c r="I117" s="1"/>
  <c r="I118" s="1"/>
  <c r="I119" s="1"/>
  <c r="I120" s="1"/>
  <c r="I121" s="1"/>
  <c r="I122" s="1"/>
  <c r="I123" s="1"/>
  <c r="I124" s="1"/>
  <c r="I125" s="1"/>
  <c r="I126" s="1"/>
  <c r="I127" s="1"/>
  <c r="I128" s="1"/>
  <c r="I129" s="1"/>
  <c r="I130" s="1"/>
  <c r="I131" s="1"/>
  <c r="I132" s="1"/>
  <c r="I133" s="1"/>
  <c r="I134" s="1"/>
  <c r="I135" s="1"/>
  <c r="I136" s="1"/>
  <c r="I137" s="1"/>
  <c r="I138" s="1"/>
  <c r="I139" s="1"/>
  <c r="I140" s="1"/>
  <c r="I141" s="1"/>
  <c r="I142" s="1"/>
  <c r="I143" s="1"/>
  <c r="I144" s="1"/>
  <c r="I145" s="1"/>
  <c r="I146" s="1"/>
  <c r="I147" s="1"/>
  <c r="I148" s="1"/>
  <c r="I149" s="1"/>
  <c r="I150" s="1"/>
  <c r="I151" s="1"/>
  <c r="I152" s="1"/>
  <c r="I153" s="1"/>
  <c r="I154" s="1"/>
  <c r="I155" s="1"/>
  <c r="I156" s="1"/>
  <c r="I157" s="1"/>
  <c r="I158" s="1"/>
  <c r="I159" s="1"/>
  <c r="I160" s="1"/>
  <c r="I161" s="1"/>
  <c r="I162" s="1"/>
  <c r="I163" s="1"/>
  <c r="I164" s="1"/>
  <c r="I165" s="1"/>
  <c r="I166" s="1"/>
  <c r="I167" s="1"/>
  <c r="I168" s="1"/>
  <c r="I169" s="1"/>
  <c r="I170" s="1"/>
  <c r="I171" s="1"/>
  <c r="I172" s="1"/>
  <c r="I173" s="1"/>
  <c r="I174" s="1"/>
  <c r="I175" s="1"/>
  <c r="I176" s="1"/>
  <c r="C147" i="69"/>
  <c r="E147"/>
  <c r="AO53" i="48"/>
  <c r="AO10" i="49" s="1"/>
  <c r="I45" i="12"/>
  <c r="I49"/>
  <c r="I42"/>
  <c r="I40"/>
  <c r="I48"/>
  <c r="I47"/>
  <c r="I35"/>
  <c r="I53"/>
  <c r="I52"/>
  <c r="I36"/>
  <c r="I34"/>
  <c r="I38"/>
  <c r="I39"/>
  <c r="I46"/>
  <c r="I50"/>
  <c r="I54"/>
  <c r="I37"/>
  <c r="I29"/>
  <c r="I44"/>
  <c r="F148" i="69"/>
  <c r="C148"/>
  <c r="E148"/>
  <c r="AP53" i="48"/>
  <c r="AP10" i="49" s="1"/>
  <c r="N54" i="48"/>
  <c r="N54" i="49" s="1"/>
  <c r="N54" i="50" s="1"/>
  <c r="N54" i="51" s="1"/>
  <c r="AN53" i="48"/>
  <c r="AN10" i="49" s="1"/>
  <c r="AJ53" i="48"/>
  <c r="AJ10" i="49" s="1"/>
  <c r="P53" i="48"/>
  <c r="P10" i="49" s="1"/>
  <c r="AQ53" i="48"/>
  <c r="AQ10" i="49"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AI53" i="48"/>
  <c r="AI10" i="49" s="1"/>
  <c r="O53" i="48"/>
  <c r="O10" i="49" s="1"/>
  <c r="BN53" i="48"/>
  <c r="BN10" i="49" s="1"/>
  <c r="AH54" i="48"/>
  <c r="AH54" i="49" s="1"/>
  <c r="AH54" i="50" s="1"/>
  <c r="AH54" i="51" s="1"/>
  <c r="AL53" i="48"/>
  <c r="AL10" i="49" s="1"/>
  <c r="BQ53" i="48"/>
  <c r="BQ10" i="49" s="1"/>
  <c r="BB53" i="48"/>
  <c r="BB10" i="49" s="1"/>
  <c r="BS53" i="48"/>
  <c r="BS10" i="49" s="1"/>
  <c r="AE53" i="48"/>
  <c r="AE10" i="49" s="1"/>
  <c r="BU53" i="48"/>
  <c r="BU10" i="49" s="1"/>
  <c r="CY53" i="48"/>
  <c r="CY10" i="49" s="1"/>
  <c r="Q53" i="48"/>
  <c r="Q10" i="49" s="1"/>
  <c r="BR53" i="48"/>
  <c r="BR10" i="49" s="1"/>
  <c r="BX53" i="48"/>
  <c r="BX10" i="49" s="1"/>
  <c r="J53" i="48"/>
  <c r="J10" i="49"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H77" i="15"/>
  <c r="Q25" i="57"/>
  <c r="L161"/>
  <c r="L19" i="52"/>
  <c r="M19"/>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H470" i="71" l="1"/>
  <c r="H471" s="1"/>
  <c r="I18" i="14"/>
  <c r="J18"/>
  <c r="BV53" i="49"/>
  <c r="BV10" i="50" s="1"/>
  <c r="N53" i="49"/>
  <c r="N10" i="50" s="1"/>
  <c r="J53" i="49"/>
  <c r="J10" i="50" s="1"/>
  <c r="AO53" i="49"/>
  <c r="AO10" i="50" s="1"/>
  <c r="AQ53" i="49"/>
  <c r="AQ10" i="50" s="1"/>
  <c r="H33" i="43"/>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H120" s="1"/>
  <c r="H121" s="1"/>
  <c r="P53" i="49"/>
  <c r="P10" i="50" s="1"/>
  <c r="AL53" i="49"/>
  <c r="AL10" i="50" s="1"/>
  <c r="I15" i="47"/>
  <c r="BY53" i="49"/>
  <c r="BY10" i="50" s="1"/>
  <c r="AB53" i="49"/>
  <c r="AB10" i="50" s="1"/>
  <c r="AX40" i="48"/>
  <c r="AX52" s="1"/>
  <c r="AY53" s="1"/>
  <c r="AY10" i="49" s="1"/>
  <c r="AJ53"/>
  <c r="AJ10" i="50" s="1"/>
  <c r="AP53" i="49"/>
  <c r="AP10" i="50" s="1"/>
  <c r="DA46" i="48"/>
  <c r="CT49"/>
  <c r="CT52" s="1"/>
  <c r="CT54" s="1"/>
  <c r="CT54" i="49" s="1"/>
  <c r="CT54" i="50" s="1"/>
  <c r="CT54" i="51" s="1"/>
  <c r="BW53" i="49"/>
  <c r="BW10" i="50" s="1"/>
  <c r="AN53" i="49"/>
  <c r="AN10" i="50" s="1"/>
  <c r="AN53" s="1"/>
  <c r="AN10" i="51" s="1"/>
  <c r="BR53" i="49"/>
  <c r="BR10" i="50" s="1"/>
  <c r="O53" i="49"/>
  <c r="O10" i="50" s="1"/>
  <c r="CA53" i="49"/>
  <c r="CA10" i="50" s="1"/>
  <c r="V53" i="49"/>
  <c r="V10" i="50" s="1"/>
  <c r="AT53" i="49"/>
  <c r="AT10" i="50" s="1"/>
  <c r="BH53" i="49"/>
  <c r="BH10" i="50" s="1"/>
  <c r="BO53" i="49"/>
  <c r="BO10" i="50" s="1"/>
  <c r="AM53" i="49"/>
  <c r="AM10" i="50" s="1"/>
  <c r="AU53" i="49"/>
  <c r="AU10" i="50" s="1"/>
  <c r="AU53" s="1"/>
  <c r="AU10" i="51" s="1"/>
  <c r="AZ53" i="49"/>
  <c r="AZ10" i="50" s="1"/>
  <c r="Y53" i="49"/>
  <c r="Y10" i="50" s="1"/>
  <c r="CY53" i="49"/>
  <c r="CY10" i="50" s="1"/>
  <c r="Z53" i="49"/>
  <c r="Z10" i="50" s="1"/>
  <c r="DA48" i="48"/>
  <c r="CZ43"/>
  <c r="CZ52" s="1"/>
  <c r="K53" i="49"/>
  <c r="K10" i="50" s="1"/>
  <c r="BI53" i="49"/>
  <c r="BI10" i="50" s="1"/>
  <c r="X53" i="49"/>
  <c r="X10" i="50" s="1"/>
  <c r="BB53" i="49"/>
  <c r="BB10" i="50" s="1"/>
  <c r="BA53" i="49"/>
  <c r="BA10" i="50" s="1"/>
  <c r="AF53" i="49"/>
  <c r="AF10" i="50" s="1"/>
  <c r="CJ53" i="49"/>
  <c r="CJ10" i="50" s="1"/>
  <c r="BC53" i="49"/>
  <c r="BC10" i="50" s="1"/>
  <c r="AK53" i="49"/>
  <c r="AK10" i="50" s="1"/>
  <c r="AV53" i="49"/>
  <c r="AV10" i="50" s="1"/>
  <c r="AD53" i="49"/>
  <c r="AD10" i="50" s="1"/>
  <c r="AA53" i="49"/>
  <c r="AA10" i="50" s="1"/>
  <c r="AH53" i="49"/>
  <c r="AH10" i="50" s="1"/>
  <c r="CX53" i="49"/>
  <c r="CX10" i="50" s="1"/>
  <c r="BS53" i="49"/>
  <c r="BS10" i="50" s="1"/>
  <c r="BN53" i="49"/>
  <c r="BN10" i="50" s="1"/>
  <c r="BO53" s="1"/>
  <c r="BO10" i="51" s="1"/>
  <c r="W53" i="49"/>
  <c r="W10" i="50" s="1"/>
  <c r="V53" s="1"/>
  <c r="V10" i="51" s="1"/>
  <c r="CK53" i="49"/>
  <c r="CK10" i="50" s="1"/>
  <c r="BZ53" i="49"/>
  <c r="BZ10" i="50" s="1"/>
  <c r="Q53" i="49"/>
  <c r="Q10" i="50" s="1"/>
  <c r="AE53" i="49"/>
  <c r="AE10" i="50" s="1"/>
  <c r="BG53" i="49"/>
  <c r="BG10" i="50" s="1"/>
  <c r="BG53" s="1"/>
  <c r="BG10" i="51" s="1"/>
  <c r="BX53" i="49"/>
  <c r="BX10" i="50" s="1"/>
  <c r="BY53" s="1"/>
  <c r="BY10" i="51" s="1"/>
  <c r="BT53" i="49"/>
  <c r="BT10" i="50" s="1"/>
  <c r="M20" i="52"/>
  <c r="CC53" i="49"/>
  <c r="CC10" i="50" s="1"/>
  <c r="CC53" s="1"/>
  <c r="CC10" i="51" s="1"/>
  <c r="AI53" i="49"/>
  <c r="AI10" i="50" s="1"/>
  <c r="BK53" i="49"/>
  <c r="BK10" i="50" s="1"/>
  <c r="BL53" i="49"/>
  <c r="BL10" i="50" s="1"/>
  <c r="BP53" i="49"/>
  <c r="BP10" i="50" s="1"/>
  <c r="BU53" i="49"/>
  <c r="BU10" i="50" s="1"/>
  <c r="AC53" i="49"/>
  <c r="AC10" i="50" s="1"/>
  <c r="K20" i="52"/>
  <c r="AW53" i="49"/>
  <c r="AW10" i="50" s="1"/>
  <c r="BE53" i="49"/>
  <c r="BE10" i="50" s="1"/>
  <c r="AG53" i="49"/>
  <c r="AG10" i="50" s="1"/>
  <c r="BQ53" i="49"/>
  <c r="BQ10" i="50" s="1"/>
  <c r="BM53" i="49"/>
  <c r="BM10" i="50" s="1"/>
  <c r="BD53" i="49"/>
  <c r="BD10" i="50" s="1"/>
  <c r="T53" i="49"/>
  <c r="T10" i="50" s="1"/>
  <c r="M53" i="49"/>
  <c r="M10" i="50" s="1"/>
  <c r="AR53" i="49"/>
  <c r="AR10" i="50" s="1"/>
  <c r="L53" i="49"/>
  <c r="L10" i="50" s="1"/>
  <c r="U53" i="49"/>
  <c r="U10" i="50" s="1"/>
  <c r="AS53" i="49"/>
  <c r="AS10" i="50" s="1"/>
  <c r="BJ53" i="49"/>
  <c r="BJ10" i="50" s="1"/>
  <c r="H15" i="47"/>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I471" i="71" l="1"/>
  <c r="I472" s="1"/>
  <c r="I19" i="14"/>
  <c r="J19"/>
  <c r="BV53" i="50"/>
  <c r="BV10" i="51" s="1"/>
  <c r="O53" i="50"/>
  <c r="O10" i="51" s="1"/>
  <c r="J53" i="50"/>
  <c r="J10" i="51" s="1"/>
  <c r="AQ53" i="50"/>
  <c r="AQ10" i="51" s="1"/>
  <c r="AP53" i="50"/>
  <c r="AP10" i="51" s="1"/>
  <c r="BW53" i="50"/>
  <c r="BW10" i="51" s="1"/>
  <c r="AO53" i="50"/>
  <c r="AO10" i="51" s="1"/>
  <c r="AO53" s="1"/>
  <c r="AM53" i="50"/>
  <c r="AM10" i="51" s="1"/>
  <c r="AJ53" i="50"/>
  <c r="AJ10" i="51" s="1"/>
  <c r="BA53" i="50"/>
  <c r="BA10" i="51" s="1"/>
  <c r="Q53" i="50"/>
  <c r="Q10" i="51" s="1"/>
  <c r="Z53" i="50"/>
  <c r="Z10" i="51" s="1"/>
  <c r="AB53" i="50"/>
  <c r="AB10" i="51" s="1"/>
  <c r="BR53" i="50"/>
  <c r="BR10" i="51" s="1"/>
  <c r="H16" i="47"/>
  <c r="BC53" i="50"/>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AL53" i="50"/>
  <c r="AL10" i="51" s="1"/>
  <c r="W53" i="50"/>
  <c r="W10" i="51" s="1"/>
  <c r="W53" s="1"/>
  <c r="N53" i="50"/>
  <c r="N10" i="51"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BK53" i="50"/>
  <c r="BK10" i="51" s="1"/>
  <c r="AA53" i="50"/>
  <c r="AA10" i="51" s="1"/>
  <c r="BQ53" i="50"/>
  <c r="BQ10" i="51" s="1"/>
  <c r="AZ53" i="50"/>
  <c r="AZ10" i="51" s="1"/>
  <c r="CB53" i="50"/>
  <c r="CB10" i="51" s="1"/>
  <c r="CB53" s="1"/>
  <c r="AK53" i="50"/>
  <c r="AK10" i="51" s="1"/>
  <c r="BS53" i="50"/>
  <c r="BS10" i="51" s="1"/>
  <c r="AI53" i="50"/>
  <c r="AI10" i="51" s="1"/>
  <c r="AE53" i="50"/>
  <c r="AE10" i="51" s="1"/>
  <c r="CX53" i="50"/>
  <c r="CX10" i="51" s="1"/>
  <c r="BT53" i="50"/>
  <c r="BT10" i="51" s="1"/>
  <c r="Y53" i="50"/>
  <c r="Y10" i="51" s="1"/>
  <c r="X53" i="50"/>
  <c r="X10" i="51" s="1"/>
  <c r="AC53" i="50"/>
  <c r="AC10" i="51" s="1"/>
  <c r="BB53" i="50"/>
  <c r="BB10" i="51" s="1"/>
  <c r="AV53" i="50"/>
  <c r="AV10" i="51" s="1"/>
  <c r="AD53" i="50"/>
  <c r="AD10" i="51" s="1"/>
  <c r="CY53" i="50"/>
  <c r="CY10" i="51" s="1"/>
  <c r="P53" i="50"/>
  <c r="P10" i="51" s="1"/>
  <c r="BN53" i="50"/>
  <c r="BN10" i="51" s="1"/>
  <c r="BN53" s="1"/>
  <c r="AW53" i="50"/>
  <c r="AW10" i="51" s="1"/>
  <c r="CJ53" i="50"/>
  <c r="CJ10" i="51" s="1"/>
  <c r="L53" i="50"/>
  <c r="L10" i="51" s="1"/>
  <c r="BF53" i="50"/>
  <c r="BF10" i="51" s="1"/>
  <c r="BF53" s="1"/>
  <c r="AS53" i="50"/>
  <c r="AS10" i="51" s="1"/>
  <c r="AR53" i="50"/>
  <c r="AR10" i="51" s="1"/>
  <c r="AF53" i="50"/>
  <c r="AF10" i="51" s="1"/>
  <c r="AH53" i="50"/>
  <c r="AH10" i="51" s="1"/>
  <c r="BX53" i="50"/>
  <c r="BX10" i="51" s="1"/>
  <c r="BX53" s="1"/>
  <c r="K21" i="52"/>
  <c r="BP53" i="50"/>
  <c r="BP10" i="51" s="1"/>
  <c r="BJ53" i="50"/>
  <c r="BJ10" i="51" s="1"/>
  <c r="M21" i="52"/>
  <c r="BL53" i="50"/>
  <c r="BL10" i="51" s="1"/>
  <c r="U53" i="50"/>
  <c r="U10" i="51" s="1"/>
  <c r="BD53" i="50"/>
  <c r="BD10" i="51" s="1"/>
  <c r="BE53" i="50"/>
  <c r="BE10" i="51" s="1"/>
  <c r="T53" i="50"/>
  <c r="T10" i="51" s="1"/>
  <c r="N21" i="52"/>
  <c r="I16"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CL53" i="49"/>
  <c r="CL10" i="50" s="1"/>
  <c r="S53" i="49"/>
  <c r="S10" i="50" s="1"/>
  <c r="CP53" i="49"/>
  <c r="CP10" i="50" s="1"/>
  <c r="CD53" i="49"/>
  <c r="CD10" i="50" s="1"/>
  <c r="CS53" i="49"/>
  <c r="CS10" i="50" s="1"/>
  <c r="CO53" i="49"/>
  <c r="CO10" i="50" s="1"/>
  <c r="CH53" i="49"/>
  <c r="CH10" i="50" s="1"/>
  <c r="CV53" i="49"/>
  <c r="CV10" i="50" s="1"/>
  <c r="CF53" i="49"/>
  <c r="CF10" i="50" s="1"/>
  <c r="H472" i="71" l="1"/>
  <c r="H473" s="1"/>
  <c r="J20" i="14"/>
  <c r="BV53" i="51"/>
  <c r="I20" i="14"/>
  <c r="J21" s="1"/>
  <c r="BC53" i="51"/>
  <c r="N53"/>
  <c r="J53"/>
  <c r="AQ53"/>
  <c r="BW53"/>
  <c r="AP53"/>
  <c r="AZ53"/>
  <c r="AM53"/>
  <c r="P53"/>
  <c r="BR53"/>
  <c r="AB53"/>
  <c r="AK53"/>
  <c r="Z53"/>
  <c r="BG53"/>
  <c r="I17" i="47"/>
  <c r="DA53" i="48"/>
  <c r="DA10" i="49" s="1"/>
  <c r="CZ53" i="48"/>
  <c r="CZ10" i="49" s="1"/>
  <c r="CT53"/>
  <c r="CT10" i="50" s="1"/>
  <c r="CU53" s="1"/>
  <c r="CU10" i="51" s="1"/>
  <c r="AX53" i="49"/>
  <c r="AX10" i="50" s="1"/>
  <c r="AX53" s="1"/>
  <c r="AX10" i="51" s="1"/>
  <c r="K53"/>
  <c r="V53"/>
  <c r="AT53"/>
  <c r="BZ53"/>
  <c r="AL53"/>
  <c r="O53"/>
  <c r="CJ53"/>
  <c r="CC53"/>
  <c r="AF53"/>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BE53"/>
  <c r="CX53"/>
  <c r="CV53" i="50"/>
  <c r="CV10" i="51" s="1"/>
  <c r="BO53"/>
  <c r="BY53"/>
  <c r="CK53"/>
  <c r="BD53"/>
  <c r="CE53" i="50"/>
  <c r="CE10" i="51" s="1"/>
  <c r="BM53"/>
  <c r="CM53" i="50"/>
  <c r="CM10" i="51" s="1"/>
  <c r="M22" i="52"/>
  <c r="K22"/>
  <c r="CH53" i="50"/>
  <c r="CH10" i="51" s="1"/>
  <c r="CL53" i="50"/>
  <c r="CL10" i="51" s="1"/>
  <c r="CF53" i="50"/>
  <c r="CF10" i="51" s="1"/>
  <c r="CO53" i="50"/>
  <c r="CO10" i="51" s="1"/>
  <c r="S53" i="50"/>
  <c r="S10" i="51" s="1"/>
  <c r="T53"/>
  <c r="U53"/>
  <c r="R53" i="50"/>
  <c r="R10" i="51" s="1"/>
  <c r="CS53" i="50"/>
  <c r="CS10" i="51" s="1"/>
  <c r="H17" i="47"/>
  <c r="L22" i="52"/>
  <c r="N22"/>
  <c r="CG53" i="50"/>
  <c r="CG10" i="51" s="1"/>
  <c r="CR53" i="50"/>
  <c r="CR10" i="51" s="1"/>
  <c r="CQ53" i="50"/>
  <c r="CQ10" i="51" s="1"/>
  <c r="CW53" i="50"/>
  <c r="CW10" i="51" s="1"/>
  <c r="CI53" i="50"/>
  <c r="CI10" i="51" s="1"/>
  <c r="CN53" i="50"/>
  <c r="CN10" i="51" s="1"/>
  <c r="H474" i="71" l="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H587" s="1"/>
  <c r="H588" s="1"/>
  <c r="H589" s="1"/>
  <c r="H590" s="1"/>
  <c r="H591" s="1"/>
  <c r="H592" s="1"/>
  <c r="H593" s="1"/>
  <c r="H594" s="1"/>
  <c r="H595" s="1"/>
  <c r="H596" s="1"/>
  <c r="H597" s="1"/>
  <c r="H598" s="1"/>
  <c r="H599" s="1"/>
  <c r="H600" s="1"/>
  <c r="H601" s="1"/>
  <c r="H602" s="1"/>
  <c r="H603" s="1"/>
  <c r="H604" s="1"/>
  <c r="H605" s="1"/>
  <c r="H606" s="1"/>
  <c r="H607" s="1"/>
  <c r="H608" s="1"/>
  <c r="H609" s="1"/>
  <c r="H610" s="1"/>
  <c r="H611" s="1"/>
  <c r="H612" s="1"/>
  <c r="H613" s="1"/>
  <c r="H614" s="1"/>
  <c r="H615" s="1"/>
  <c r="H616" s="1"/>
  <c r="H617" s="1"/>
  <c r="H618" s="1"/>
  <c r="H619" s="1"/>
  <c r="H620" s="1"/>
  <c r="H621" s="1"/>
  <c r="H622" s="1"/>
  <c r="H623" s="1"/>
  <c r="H624" s="1"/>
  <c r="H625" s="1"/>
  <c r="H626" s="1"/>
  <c r="H627" s="1"/>
  <c r="H628" s="1"/>
  <c r="H629" s="1"/>
  <c r="H630" s="1"/>
  <c r="H631" s="1"/>
  <c r="H632" s="1"/>
  <c r="H633" s="1"/>
  <c r="H634" s="1"/>
  <c r="H635" s="1"/>
  <c r="H636" s="1"/>
  <c r="H637" s="1"/>
  <c r="H638" s="1"/>
  <c r="H639" s="1"/>
  <c r="H640" s="1"/>
  <c r="H641" s="1"/>
  <c r="H642" s="1"/>
  <c r="H643" s="1"/>
  <c r="H644" s="1"/>
  <c r="H645" s="1"/>
  <c r="H646" s="1"/>
  <c r="H647" s="1"/>
  <c r="H648" s="1"/>
  <c r="H649" s="1"/>
  <c r="H650" s="1"/>
  <c r="H651" s="1"/>
  <c r="H652" s="1"/>
  <c r="H653" s="1"/>
  <c r="H654" s="1"/>
  <c r="H655" s="1"/>
  <c r="H656" s="1"/>
  <c r="H657" s="1"/>
  <c r="H658" s="1"/>
  <c r="H659" s="1"/>
  <c r="H660" s="1"/>
  <c r="H661" s="1"/>
  <c r="H662" s="1"/>
  <c r="I473"/>
  <c r="I474" s="1"/>
  <c r="I475" s="1"/>
  <c r="I476" s="1"/>
  <c r="I477" s="1"/>
  <c r="I478" s="1"/>
  <c r="I479" s="1"/>
  <c r="I480" s="1"/>
  <c r="I481" s="1"/>
  <c r="I482" s="1"/>
  <c r="I483" s="1"/>
  <c r="I484" s="1"/>
  <c r="I485" s="1"/>
  <c r="I486" s="1"/>
  <c r="I487" s="1"/>
  <c r="I488" s="1"/>
  <c r="I489" s="1"/>
  <c r="I490" s="1"/>
  <c r="I491" s="1"/>
  <c r="I492" s="1"/>
  <c r="I493" s="1"/>
  <c r="I494" s="1"/>
  <c r="I495" s="1"/>
  <c r="I496" s="1"/>
  <c r="I497" s="1"/>
  <c r="I498" s="1"/>
  <c r="I499" s="1"/>
  <c r="I500" s="1"/>
  <c r="I501" s="1"/>
  <c r="I502" s="1"/>
  <c r="I503" s="1"/>
  <c r="I504" s="1"/>
  <c r="I505" s="1"/>
  <c r="I506" s="1"/>
  <c r="I507" s="1"/>
  <c r="I508" s="1"/>
  <c r="I509" s="1"/>
  <c r="I510" s="1"/>
  <c r="I511" s="1"/>
  <c r="I512" s="1"/>
  <c r="I513" s="1"/>
  <c r="I514" s="1"/>
  <c r="I515" s="1"/>
  <c r="I516" s="1"/>
  <c r="I517" s="1"/>
  <c r="I518" s="1"/>
  <c r="I519" s="1"/>
  <c r="I520" s="1"/>
  <c r="I521" s="1"/>
  <c r="I522" s="1"/>
  <c r="I523" s="1"/>
  <c r="I524" s="1"/>
  <c r="I525" s="1"/>
  <c r="I526" s="1"/>
  <c r="I527" s="1"/>
  <c r="I528" s="1"/>
  <c r="I529" s="1"/>
  <c r="I530" s="1"/>
  <c r="I531" s="1"/>
  <c r="I532" s="1"/>
  <c r="I533" s="1"/>
  <c r="I534" s="1"/>
  <c r="I535" s="1"/>
  <c r="I536" s="1"/>
  <c r="I537" s="1"/>
  <c r="I538" s="1"/>
  <c r="I539" s="1"/>
  <c r="I540" s="1"/>
  <c r="I541" s="1"/>
  <c r="I542" s="1"/>
  <c r="I543" s="1"/>
  <c r="I544" s="1"/>
  <c r="I545" s="1"/>
  <c r="I546" s="1"/>
  <c r="I547" s="1"/>
  <c r="I548" s="1"/>
  <c r="I549" s="1"/>
  <c r="I550" s="1"/>
  <c r="I551" s="1"/>
  <c r="I552" s="1"/>
  <c r="I553" s="1"/>
  <c r="I554" s="1"/>
  <c r="I555" s="1"/>
  <c r="I556" s="1"/>
  <c r="I557" s="1"/>
  <c r="I558" s="1"/>
  <c r="I559" s="1"/>
  <c r="I560" s="1"/>
  <c r="I561" s="1"/>
  <c r="I562" s="1"/>
  <c r="I563" s="1"/>
  <c r="I564" s="1"/>
  <c r="I565" s="1"/>
  <c r="I566" s="1"/>
  <c r="I567" s="1"/>
  <c r="I568" s="1"/>
  <c r="I569" s="1"/>
  <c r="I570" s="1"/>
  <c r="I571" s="1"/>
  <c r="I572" s="1"/>
  <c r="I573" s="1"/>
  <c r="I574" s="1"/>
  <c r="I575" s="1"/>
  <c r="I576" s="1"/>
  <c r="I577" s="1"/>
  <c r="I578" s="1"/>
  <c r="I579" s="1"/>
  <c r="I580" s="1"/>
  <c r="I581" s="1"/>
  <c r="I582" s="1"/>
  <c r="I583" s="1"/>
  <c r="I584" s="1"/>
  <c r="I585" s="1"/>
  <c r="I586" s="1"/>
  <c r="I587" s="1"/>
  <c r="I588" s="1"/>
  <c r="I589" s="1"/>
  <c r="I590" s="1"/>
  <c r="I591" s="1"/>
  <c r="I592" s="1"/>
  <c r="I593" s="1"/>
  <c r="I594" s="1"/>
  <c r="I595" s="1"/>
  <c r="I596" s="1"/>
  <c r="I597" s="1"/>
  <c r="I598" s="1"/>
  <c r="I599" s="1"/>
  <c r="I600" s="1"/>
  <c r="I601" s="1"/>
  <c r="I602" s="1"/>
  <c r="I603" s="1"/>
  <c r="I604" s="1"/>
  <c r="I605" s="1"/>
  <c r="I606" s="1"/>
  <c r="I607" s="1"/>
  <c r="I608" s="1"/>
  <c r="I609" s="1"/>
  <c r="I610" s="1"/>
  <c r="I611" s="1"/>
  <c r="I612" s="1"/>
  <c r="I613" s="1"/>
  <c r="I614" s="1"/>
  <c r="I615" s="1"/>
  <c r="I616" s="1"/>
  <c r="I617" s="1"/>
  <c r="I618" s="1"/>
  <c r="I619" s="1"/>
  <c r="I620" s="1"/>
  <c r="I621" s="1"/>
  <c r="I622" s="1"/>
  <c r="I623" s="1"/>
  <c r="I624" s="1"/>
  <c r="I625" s="1"/>
  <c r="I626" s="1"/>
  <c r="I627" s="1"/>
  <c r="I628" s="1"/>
  <c r="I629" s="1"/>
  <c r="I630" s="1"/>
  <c r="I631" s="1"/>
  <c r="I632" s="1"/>
  <c r="I633" s="1"/>
  <c r="I634" s="1"/>
  <c r="I635" s="1"/>
  <c r="I636" s="1"/>
  <c r="I637" s="1"/>
  <c r="I638" s="1"/>
  <c r="I639" s="1"/>
  <c r="I640" s="1"/>
  <c r="I641" s="1"/>
  <c r="I642" s="1"/>
  <c r="I643" s="1"/>
  <c r="I644" s="1"/>
  <c r="I645" s="1"/>
  <c r="I646" s="1"/>
  <c r="I647" s="1"/>
  <c r="I648" s="1"/>
  <c r="I649" s="1"/>
  <c r="I650" s="1"/>
  <c r="I651" s="1"/>
  <c r="I652" s="1"/>
  <c r="I653" s="1"/>
  <c r="I654" s="1"/>
  <c r="I655" s="1"/>
  <c r="I656" s="1"/>
  <c r="I657" s="1"/>
  <c r="I658" s="1"/>
  <c r="I659" s="1"/>
  <c r="I660" s="1"/>
  <c r="I661" s="1"/>
  <c r="I21" i="14"/>
  <c r="I22" s="1"/>
  <c r="H18" i="47"/>
  <c r="CE53" i="51"/>
  <c r="AY53" i="50"/>
  <c r="AY10" i="51" s="1"/>
  <c r="AY53" s="1"/>
  <c r="CL53"/>
  <c r="DA53" i="49"/>
  <c r="DA10" i="50" s="1"/>
  <c r="CZ53" i="49"/>
  <c r="CZ10" i="50" s="1"/>
  <c r="CT53"/>
  <c r="CT10" i="51" s="1"/>
  <c r="CT53" s="1"/>
  <c r="CD53"/>
  <c r="CW53"/>
  <c r="CQ53"/>
  <c r="CI53"/>
  <c r="CM53"/>
  <c r="CN53"/>
  <c r="CG53"/>
  <c r="S53"/>
  <c r="R53"/>
  <c r="I18" i="47"/>
  <c r="CR53" i="51"/>
  <c r="CF53"/>
  <c r="CH53"/>
  <c r="CV53"/>
  <c r="CS53"/>
  <c r="CO53"/>
  <c r="CP53"/>
  <c r="H663" i="71" l="1"/>
  <c r="H664" s="1"/>
  <c r="I662"/>
  <c r="I663" s="1"/>
  <c r="J22" i="14"/>
  <c r="J23" s="1"/>
  <c r="I19" i="47"/>
  <c r="AX53" i="51"/>
  <c r="CZ53" i="50"/>
  <c r="CZ10" i="51" s="1"/>
  <c r="DA53" i="50"/>
  <c r="DA10" i="51" s="1"/>
  <c r="CU53"/>
  <c r="H19" i="47"/>
  <c r="H665" i="71" l="1"/>
  <c r="H666" s="1"/>
  <c r="I664"/>
  <c r="I665" s="1"/>
  <c r="I23" i="14"/>
  <c r="I24" s="1"/>
  <c r="DA53" i="51"/>
  <c r="CZ53"/>
  <c r="H667" i="71" l="1"/>
  <c r="H668" s="1"/>
  <c r="I666"/>
  <c r="I667" s="1"/>
  <c r="J24" i="14"/>
  <c r="J25" s="1"/>
  <c r="H20" i="47"/>
  <c r="H669" i="71" l="1"/>
  <c r="H670" s="1"/>
  <c r="I668"/>
  <c r="I669" s="1"/>
  <c r="I25" i="14"/>
  <c r="I26" s="1"/>
  <c r="H671" i="71" l="1"/>
  <c r="H672" s="1"/>
  <c r="I670"/>
  <c r="I671" s="1"/>
  <c r="J26" i="14"/>
  <c r="J27" s="1"/>
  <c r="H673" i="71" l="1"/>
  <c r="H674" s="1"/>
  <c r="H675" s="1"/>
  <c r="H676" s="1"/>
  <c r="H677" s="1"/>
  <c r="H678" s="1"/>
  <c r="H679" s="1"/>
  <c r="H680" s="1"/>
  <c r="H681" s="1"/>
  <c r="H682" s="1"/>
  <c r="H683" s="1"/>
  <c r="H684" s="1"/>
  <c r="H685" s="1"/>
  <c r="H686" s="1"/>
  <c r="H687" s="1"/>
  <c r="H688" s="1"/>
  <c r="H689" s="1"/>
  <c r="H690" s="1"/>
  <c r="H691" s="1"/>
  <c r="H692" s="1"/>
  <c r="H693" s="1"/>
  <c r="H694" s="1"/>
  <c r="H695" s="1"/>
  <c r="H696" s="1"/>
  <c r="H697" s="1"/>
  <c r="H698" s="1"/>
  <c r="H699" s="1"/>
  <c r="H700" s="1"/>
  <c r="H701" s="1"/>
  <c r="H702" s="1"/>
  <c r="H703" s="1"/>
  <c r="H704" s="1"/>
  <c r="H705" s="1"/>
  <c r="H706" s="1"/>
  <c r="H707" s="1"/>
  <c r="H708" s="1"/>
  <c r="H709" s="1"/>
  <c r="H710" s="1"/>
  <c r="H711" s="1"/>
  <c r="H712" s="1"/>
  <c r="H713" s="1"/>
  <c r="H714" s="1"/>
  <c r="H715" s="1"/>
  <c r="H716" s="1"/>
  <c r="I672"/>
  <c r="I673" s="1"/>
  <c r="I674" s="1"/>
  <c r="I675" s="1"/>
  <c r="I676" s="1"/>
  <c r="I677" s="1"/>
  <c r="I678" s="1"/>
  <c r="I679" s="1"/>
  <c r="I680" s="1"/>
  <c r="I681" s="1"/>
  <c r="I682" s="1"/>
  <c r="I683" s="1"/>
  <c r="I684" s="1"/>
  <c r="I685" s="1"/>
  <c r="I686" s="1"/>
  <c r="I687" s="1"/>
  <c r="I688" s="1"/>
  <c r="I689" s="1"/>
  <c r="I690" s="1"/>
  <c r="I691" s="1"/>
  <c r="I692" s="1"/>
  <c r="I693" s="1"/>
  <c r="I694" s="1"/>
  <c r="I695" s="1"/>
  <c r="I696" s="1"/>
  <c r="I697" s="1"/>
  <c r="I698" s="1"/>
  <c r="I699" s="1"/>
  <c r="I700" s="1"/>
  <c r="I701" s="1"/>
  <c r="I702" s="1"/>
  <c r="I703" s="1"/>
  <c r="I704" s="1"/>
  <c r="I705" s="1"/>
  <c r="I706" s="1"/>
  <c r="I707" s="1"/>
  <c r="I708" s="1"/>
  <c r="I709" s="1"/>
  <c r="I710" s="1"/>
  <c r="I711" s="1"/>
  <c r="I712" s="1"/>
  <c r="I713" s="1"/>
  <c r="I714" s="1"/>
  <c r="I715" s="1"/>
  <c r="I716" s="1"/>
  <c r="I717" s="1"/>
  <c r="I27" i="14"/>
  <c r="I28" s="1"/>
  <c r="H717" i="71" l="1"/>
  <c r="H718" s="1"/>
  <c r="J28" i="14"/>
  <c r="J29" s="1"/>
  <c r="H719" i="71" l="1"/>
  <c r="H720" s="1"/>
  <c r="H721" s="1"/>
  <c r="H722" s="1"/>
  <c r="H723" s="1"/>
  <c r="H724" s="1"/>
  <c r="H725" s="1"/>
  <c r="H726" s="1"/>
  <c r="H727" s="1"/>
  <c r="H728" s="1"/>
  <c r="H729" s="1"/>
  <c r="H730" s="1"/>
  <c r="H731" s="1"/>
  <c r="H732" s="1"/>
  <c r="H733" s="1"/>
  <c r="H734" s="1"/>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I718"/>
  <c r="I719" s="1"/>
  <c r="I720" s="1"/>
  <c r="I721" s="1"/>
  <c r="I722" s="1"/>
  <c r="I723" s="1"/>
  <c r="I724" s="1"/>
  <c r="I725" s="1"/>
  <c r="I726" s="1"/>
  <c r="I727" s="1"/>
  <c r="I728" s="1"/>
  <c r="I729" s="1"/>
  <c r="I730" s="1"/>
  <c r="I731" s="1"/>
  <c r="I732" s="1"/>
  <c r="I733" s="1"/>
  <c r="I734" s="1"/>
  <c r="I735" s="1"/>
  <c r="I736" s="1"/>
  <c r="I737" s="1"/>
  <c r="I738" s="1"/>
  <c r="I739" s="1"/>
  <c r="I740" s="1"/>
  <c r="I741" s="1"/>
  <c r="I742" s="1"/>
  <c r="I743" s="1"/>
  <c r="I744" s="1"/>
  <c r="I745" s="1"/>
  <c r="I746" s="1"/>
  <c r="I747" s="1"/>
  <c r="I748" s="1"/>
  <c r="I749" s="1"/>
  <c r="I750" s="1"/>
  <c r="I751" s="1"/>
  <c r="I752" s="1"/>
  <c r="I753" s="1"/>
  <c r="I754" s="1"/>
  <c r="I755" s="1"/>
  <c r="I756" s="1"/>
  <c r="I757" s="1"/>
  <c r="I758" s="1"/>
  <c r="I759" s="1"/>
  <c r="I760" s="1"/>
  <c r="I761" s="1"/>
  <c r="I762" s="1"/>
  <c r="I763" s="1"/>
  <c r="I764" s="1"/>
  <c r="I765" s="1"/>
  <c r="I766" s="1"/>
  <c r="I767" s="1"/>
  <c r="I768" s="1"/>
  <c r="I769" s="1"/>
  <c r="I770" s="1"/>
  <c r="I771" s="1"/>
  <c r="I772" s="1"/>
  <c r="I773" s="1"/>
  <c r="I774" s="1"/>
  <c r="I775" s="1"/>
  <c r="I776" s="1"/>
  <c r="I777" s="1"/>
  <c r="I778" s="1"/>
  <c r="I779" s="1"/>
  <c r="I780" s="1"/>
  <c r="I781" s="1"/>
  <c r="I782" s="1"/>
  <c r="I783" s="1"/>
  <c r="I784" s="1"/>
  <c r="I785" s="1"/>
  <c r="I786" s="1"/>
  <c r="I787" s="1"/>
  <c r="I788" s="1"/>
  <c r="I789" s="1"/>
  <c r="I790" s="1"/>
  <c r="I791" s="1"/>
  <c r="I792" s="1"/>
  <c r="I793" s="1"/>
  <c r="I794" s="1"/>
  <c r="I795" s="1"/>
  <c r="I796" s="1"/>
  <c r="I29" i="14"/>
  <c r="J30" s="1"/>
  <c r="I30" l="1"/>
  <c r="I31" s="1"/>
  <c r="J31" l="1"/>
  <c r="J32" s="1"/>
  <c r="I32" l="1"/>
  <c r="I33" s="1"/>
  <c r="J33" l="1"/>
  <c r="J34" s="1"/>
  <c r="I34" l="1"/>
  <c r="I35" s="1"/>
  <c r="J35" l="1"/>
  <c r="J36" s="1"/>
  <c r="I36" l="1"/>
  <c r="I37" s="1"/>
  <c r="J37" l="1"/>
  <c r="J38" s="1"/>
  <c r="J39" l="1"/>
  <c r="J40" s="1"/>
  <c r="I38"/>
  <c r="I39" s="1"/>
  <c r="I40" l="1"/>
  <c r="I41" s="1"/>
  <c r="J41" l="1"/>
  <c r="J42" s="1"/>
  <c r="J43" s="1"/>
  <c r="J44" s="1"/>
  <c r="I42"/>
  <c r="I43" s="1"/>
  <c r="I44" l="1"/>
  <c r="I45" s="1"/>
  <c r="J45" l="1"/>
  <c r="J46" s="1"/>
  <c r="J47" s="1"/>
  <c r="J48" s="1"/>
  <c r="I46"/>
  <c r="I47" s="1"/>
  <c r="J49" l="1"/>
  <c r="J50" s="1"/>
  <c r="I48"/>
  <c r="I49" s="1"/>
  <c r="I50" l="1"/>
  <c r="I51" s="1"/>
  <c r="I52" s="1"/>
  <c r="I53" s="1"/>
  <c r="I54" s="1"/>
  <c r="I55" s="1"/>
  <c r="I56" s="1"/>
  <c r="I57" s="1"/>
  <c r="I58" s="1"/>
  <c r="I59" s="1"/>
  <c r="I60" s="1"/>
  <c r="I61" s="1"/>
  <c r="I62" s="1"/>
  <c r="I63" s="1"/>
  <c r="I64" s="1"/>
  <c r="J51" l="1"/>
  <c r="J52" s="1"/>
  <c r="J53" s="1"/>
  <c r="J54" s="1"/>
  <c r="J55" s="1"/>
  <c r="J56" s="1"/>
  <c r="J57" s="1"/>
  <c r="J58" s="1"/>
  <c r="J59" s="1"/>
  <c r="J60" s="1"/>
  <c r="J61" s="1"/>
  <c r="J62" s="1"/>
  <c r="J63" s="1"/>
  <c r="J64" s="1"/>
  <c r="O18" i="63" l="1"/>
  <c r="L18" l="1"/>
  <c r="M18"/>
  <c r="M19" s="1"/>
  <c r="N18"/>
  <c r="O19" l="1"/>
  <c r="M20" s="1"/>
  <c r="N19"/>
  <c r="L19"/>
  <c r="O20" l="1"/>
  <c r="L20"/>
  <c r="O21"/>
  <c r="N20"/>
  <c r="M21"/>
  <c r="M22" s="1"/>
  <c r="N21"/>
  <c r="O22"/>
  <c r="L21" l="1"/>
  <c r="N22" s="1"/>
  <c r="M23"/>
  <c r="O23"/>
  <c r="L22" l="1"/>
  <c r="O24"/>
  <c r="M24"/>
  <c r="O25" l="1"/>
  <c r="N23"/>
  <c r="L23"/>
  <c r="M25"/>
  <c r="M26" l="1"/>
  <c r="N24"/>
  <c r="L24"/>
  <c r="O26"/>
  <c r="O27" l="1"/>
  <c r="L25"/>
  <c r="N25"/>
  <c r="M27"/>
  <c r="M28" l="1"/>
  <c r="L26"/>
  <c r="O28"/>
  <c r="O29" s="1"/>
  <c r="N26"/>
  <c r="L27" s="1"/>
  <c r="M29"/>
  <c r="M30" s="1"/>
  <c r="N27" l="1"/>
  <c r="O30"/>
  <c r="O31" s="1"/>
  <c r="L28" l="1"/>
  <c r="N28"/>
  <c r="M31"/>
  <c r="M32" s="1"/>
  <c r="N29" l="1"/>
  <c r="L29"/>
  <c r="O32"/>
  <c r="O33" s="1"/>
  <c r="L30" l="1"/>
  <c r="N30"/>
  <c r="M33"/>
  <c r="M34" s="1"/>
  <c r="N31" l="1"/>
  <c r="L31"/>
  <c r="O34"/>
  <c r="O35" s="1"/>
  <c r="L32" l="1"/>
  <c r="N32"/>
  <c r="M35"/>
  <c r="M36" s="1"/>
  <c r="N33" l="1"/>
  <c r="L33"/>
  <c r="O36"/>
  <c r="O37" s="1"/>
  <c r="L34" l="1"/>
  <c r="N34"/>
  <c r="M37"/>
  <c r="M38" s="1"/>
  <c r="N35" l="1"/>
  <c r="L35"/>
  <c r="O38"/>
  <c r="O39" s="1"/>
  <c r="L36" l="1"/>
  <c r="N36"/>
  <c r="M39"/>
  <c r="M40" s="1"/>
  <c r="N37" l="1"/>
  <c r="L37"/>
  <c r="O40"/>
  <c r="O41" s="1"/>
  <c r="L38" l="1"/>
  <c r="N38"/>
  <c r="M41"/>
  <c r="M42" s="1"/>
  <c r="N39" l="1"/>
  <c r="L39"/>
  <c r="O42"/>
  <c r="O43" s="1"/>
  <c r="L40" l="1"/>
  <c r="N40"/>
  <c r="M43"/>
  <c r="M44" s="1"/>
  <c r="N41" l="1"/>
  <c r="L41"/>
  <c r="O44"/>
  <c r="O45" s="1"/>
  <c r="L42" l="1"/>
  <c r="N42"/>
  <c r="M45"/>
  <c r="M46" s="1"/>
  <c r="N43" l="1"/>
  <c r="L43"/>
  <c r="O46"/>
  <c r="O47" s="1"/>
  <c r="L44" l="1"/>
  <c r="N44"/>
  <c r="M47"/>
  <c r="M48" s="1"/>
  <c r="N45" l="1"/>
  <c r="L45"/>
  <c r="O48"/>
  <c r="O49" s="1"/>
  <c r="L46" l="1"/>
  <c r="N46"/>
  <c r="M49"/>
  <c r="M50" s="1"/>
  <c r="N47" l="1"/>
  <c r="O50"/>
  <c r="O51" s="1"/>
  <c r="L47"/>
  <c r="M51"/>
  <c r="M52" s="1"/>
  <c r="L48" l="1"/>
  <c r="L49" s="1"/>
  <c r="N48"/>
  <c r="O52"/>
  <c r="O53" s="1"/>
  <c r="L50" l="1"/>
  <c r="L51" s="1"/>
  <c r="N49"/>
  <c r="N50" s="1"/>
  <c r="M53"/>
  <c r="M54" s="1"/>
  <c r="L52" l="1"/>
  <c r="N51"/>
  <c r="O54"/>
  <c r="O55" s="1"/>
  <c r="N52"/>
  <c r="N53" l="1"/>
  <c r="M55"/>
  <c r="M56" s="1"/>
  <c r="L53"/>
  <c r="L54" s="1"/>
  <c r="O56" l="1"/>
  <c r="O57" s="1"/>
  <c r="N54"/>
  <c r="N55" s="1"/>
  <c r="M57" l="1"/>
  <c r="M58" s="1"/>
  <c r="L55"/>
  <c r="L56" s="1"/>
  <c r="O58" l="1"/>
  <c r="O59" s="1"/>
  <c r="N56"/>
  <c r="N57" s="1"/>
  <c r="O60" l="1"/>
  <c r="O61" s="1"/>
  <c r="M59"/>
  <c r="M60" s="1"/>
  <c r="L57"/>
  <c r="L58" s="1"/>
  <c r="O62" l="1"/>
  <c r="O63" s="1"/>
  <c r="M61"/>
  <c r="M62" s="1"/>
  <c r="N58"/>
  <c r="N59" s="1"/>
  <c r="O64" l="1"/>
  <c r="O65" s="1"/>
  <c r="M63"/>
  <c r="M64" s="1"/>
  <c r="L59"/>
  <c r="L60" s="1"/>
  <c r="O66" l="1"/>
  <c r="O67" s="1"/>
  <c r="M65"/>
  <c r="M66" s="1"/>
  <c r="N60"/>
  <c r="N61" s="1"/>
  <c r="O68" l="1"/>
  <c r="O69" s="1"/>
  <c r="M67"/>
  <c r="M68" s="1"/>
  <c r="L61"/>
  <c r="L62" s="1"/>
  <c r="O70" l="1"/>
  <c r="O71" s="1"/>
  <c r="M69"/>
  <c r="M70" s="1"/>
  <c r="N62"/>
  <c r="N63" s="1"/>
  <c r="O72" l="1"/>
  <c r="O73" s="1"/>
  <c r="M71"/>
  <c r="M72" s="1"/>
  <c r="L63"/>
  <c r="L64" s="1"/>
  <c r="O74" l="1"/>
  <c r="O75" s="1"/>
  <c r="M73"/>
  <c r="M74" s="1"/>
  <c r="N64"/>
  <c r="N65" s="1"/>
  <c r="O76" l="1"/>
  <c r="O77" s="1"/>
  <c r="M75"/>
  <c r="M76" s="1"/>
  <c r="L65"/>
  <c r="L66" s="1"/>
  <c r="O78" l="1"/>
  <c r="O79" s="1"/>
  <c r="M77"/>
  <c r="M78" s="1"/>
  <c r="N66"/>
  <c r="N67" s="1"/>
  <c r="M79" l="1"/>
  <c r="L67"/>
  <c r="L68" s="1"/>
  <c r="N68" l="1"/>
  <c r="N69" s="1"/>
  <c r="L69" l="1"/>
  <c r="L70" s="1"/>
  <c r="N70" l="1"/>
  <c r="N71" s="1"/>
  <c r="L71" l="1"/>
  <c r="L72" s="1"/>
  <c r="N72" l="1"/>
  <c r="N73" s="1"/>
  <c r="L73" l="1"/>
  <c r="L74" s="1"/>
  <c r="N74" l="1"/>
  <c r="N75" s="1"/>
  <c r="L75" l="1"/>
  <c r="L76" s="1"/>
  <c r="N76" l="1"/>
  <c r="N77" s="1"/>
  <c r="L77" l="1"/>
  <c r="L78" s="1"/>
  <c r="N78" l="1"/>
  <c r="N79" s="1"/>
  <c r="L79" l="1"/>
  <c r="I20" i="47"/>
  <c r="I21" s="1"/>
  <c r="H21" l="1"/>
  <c r="H22" s="1"/>
  <c r="I22" l="1"/>
  <c r="H23" s="1"/>
  <c r="H24" l="1"/>
  <c r="I23"/>
  <c r="I24"/>
  <c r="H25" s="1"/>
  <c r="I25" l="1"/>
  <c r="I26" s="1"/>
  <c r="I27" s="1"/>
  <c r="I28" s="1"/>
  <c r="H26"/>
  <c r="H27" s="1"/>
  <c r="H28" l="1"/>
  <c r="H29" s="1"/>
  <c r="I29" l="1"/>
  <c r="I30" s="1"/>
  <c r="H30"/>
  <c r="H31" s="1"/>
  <c r="I31" l="1"/>
  <c r="I32" s="1"/>
  <c r="I33" s="1"/>
  <c r="I34" s="1"/>
  <c r="H32"/>
  <c r="H33" s="1"/>
  <c r="H34" l="1"/>
  <c r="H35" s="1"/>
  <c r="I35" l="1"/>
  <c r="I36" s="1"/>
  <c r="H36" l="1"/>
  <c r="H37" s="1"/>
  <c r="I37" l="1"/>
  <c r="I38" l="1"/>
  <c r="H38"/>
  <c r="H39" s="1"/>
  <c r="I39" l="1"/>
  <c r="I40" s="1"/>
  <c r="H40" l="1"/>
  <c r="H41" s="1"/>
  <c r="I41" l="1"/>
  <c r="I42" s="1"/>
  <c r="I43" s="1"/>
  <c r="I44" s="1"/>
  <c r="I45" s="1"/>
  <c r="I46" s="1"/>
  <c r="H42"/>
  <c r="H43" s="1"/>
  <c r="H44" s="1"/>
  <c r="H45" s="1"/>
  <c r="H46" s="1"/>
  <c r="H47" s="1"/>
  <c r="I47"/>
  <c r="I48" s="1"/>
  <c r="I49" s="1"/>
  <c r="I50" s="1"/>
  <c r="H48"/>
  <c r="H49" s="1"/>
  <c r="H50" l="1"/>
  <c r="H51" s="1"/>
  <c r="I51" l="1"/>
  <c r="I52" s="1"/>
  <c r="H52"/>
  <c r="H53" s="1"/>
  <c r="I53" l="1"/>
  <c r="I54" s="1"/>
  <c r="I55" s="1"/>
  <c r="I56" s="1"/>
  <c r="H54"/>
  <c r="H55" s="1"/>
  <c r="H56" l="1"/>
  <c r="H57" s="1"/>
  <c r="I57" l="1"/>
  <c r="I58" s="1"/>
  <c r="H58"/>
  <c r="H59" s="1"/>
  <c r="I59" l="1"/>
  <c r="I60" s="1"/>
  <c r="I61" s="1"/>
  <c r="I62" s="1"/>
  <c r="H60"/>
  <c r="H61" s="1"/>
  <c r="H62" l="1"/>
  <c r="H63" s="1"/>
  <c r="I63" l="1"/>
  <c r="I64" s="1"/>
  <c r="I65" s="1"/>
  <c r="I66" s="1"/>
  <c r="H64"/>
  <c r="H65" s="1"/>
  <c r="H66" l="1"/>
  <c r="H67" s="1"/>
  <c r="I67" l="1"/>
  <c r="I68" s="1"/>
  <c r="H68" l="1"/>
  <c r="H69" s="1"/>
  <c r="I69" l="1"/>
  <c r="I70" s="1"/>
  <c r="H70" l="1"/>
  <c r="H71" s="1"/>
  <c r="I71" l="1"/>
  <c r="I72" s="1"/>
  <c r="H72" l="1"/>
  <c r="H73" s="1"/>
  <c r="I73" l="1"/>
  <c r="I74" s="1"/>
  <c r="H74" l="1"/>
  <c r="H75" s="1"/>
  <c r="H76" s="1"/>
  <c r="H77" s="1"/>
  <c r="H78" s="1"/>
  <c r="H79" s="1"/>
  <c r="H80" s="1"/>
  <c r="H81" s="1"/>
  <c r="H82" s="1"/>
  <c r="H83" s="1"/>
  <c r="I75"/>
  <c r="I76" s="1"/>
  <c r="I77" s="1"/>
  <c r="I78" s="1"/>
  <c r="I79" s="1"/>
  <c r="I80" s="1"/>
  <c r="I81"/>
  <c r="I82" s="1"/>
  <c r="I83" l="1"/>
  <c r="I84" s="1"/>
  <c r="I85" s="1"/>
  <c r="I86" s="1"/>
  <c r="H84"/>
  <c r="H85" s="1"/>
  <c r="H86" l="1"/>
  <c r="H87" s="1"/>
  <c r="I87" l="1"/>
  <c r="I88" s="1"/>
  <c r="I89" s="1"/>
  <c r="I90" s="1"/>
  <c r="H88"/>
  <c r="H89" s="1"/>
  <c r="H90" l="1"/>
  <c r="H91" s="1"/>
  <c r="I91" l="1"/>
  <c r="I92" s="1"/>
  <c r="H92" l="1"/>
  <c r="H93" s="1"/>
  <c r="I93" l="1"/>
  <c r="I94" s="1"/>
  <c r="H94" l="1"/>
  <c r="H95" s="1"/>
  <c r="I95" l="1"/>
  <c r="I96" s="1"/>
  <c r="H96" l="1"/>
  <c r="H97" s="1"/>
  <c r="I97" l="1"/>
  <c r="I98" s="1"/>
  <c r="H98" l="1"/>
  <c r="H99" l="1"/>
  <c r="H100" s="1"/>
  <c r="H101" s="1"/>
  <c r="H102" s="1"/>
  <c r="H103" s="1"/>
  <c r="H104" s="1"/>
  <c r="H105" s="1"/>
  <c r="H106" s="1"/>
  <c r="H107" s="1"/>
  <c r="I99"/>
  <c r="I100" s="1"/>
  <c r="I101" s="1"/>
  <c r="I102" s="1"/>
  <c r="I103" s="1"/>
  <c r="I104" s="1"/>
  <c r="I105" s="1"/>
  <c r="I106" s="1"/>
  <c r="I107" s="1"/>
  <c r="I108" s="1"/>
  <c r="H108"/>
  <c r="H109" s="1"/>
  <c r="I109" l="1"/>
  <c r="I110" s="1"/>
  <c r="H110" l="1"/>
  <c r="H111" s="1"/>
  <c r="I111" l="1"/>
  <c r="I112" l="1"/>
  <c r="I113" s="1"/>
  <c r="I114" s="1"/>
  <c r="H112"/>
  <c r="H113" s="1"/>
  <c r="H114" l="1"/>
  <c r="H115" l="1"/>
  <c r="H116" s="1"/>
  <c r="H117" s="1"/>
  <c r="H118" s="1"/>
  <c r="H119" s="1"/>
  <c r="I115"/>
  <c r="I116" s="1"/>
  <c r="I117" s="1"/>
  <c r="I118" s="1"/>
  <c r="I119"/>
  <c r="I120" s="1"/>
  <c r="H120"/>
  <c r="H121" s="1"/>
  <c r="I121" l="1"/>
  <c r="I122" s="1"/>
  <c r="I123" s="1"/>
  <c r="I124" s="1"/>
  <c r="H122"/>
  <c r="H123" s="1"/>
  <c r="H124" l="1"/>
  <c r="H125" s="1"/>
  <c r="I125" l="1"/>
  <c r="I126" s="1"/>
  <c r="H126"/>
  <c r="H127" s="1"/>
  <c r="I127" l="1"/>
  <c r="I128" s="1"/>
  <c r="I129" s="1"/>
  <c r="I130" s="1"/>
  <c r="H128"/>
  <c r="H129" s="1"/>
  <c r="H130" l="1"/>
  <c r="H131" s="1"/>
  <c r="I131" l="1"/>
  <c r="I132" s="1"/>
  <c r="I133" s="1"/>
  <c r="I134" s="1"/>
  <c r="H132"/>
  <c r="H133" s="1"/>
  <c r="H134" l="1"/>
  <c r="H135" s="1"/>
  <c r="I135" l="1"/>
  <c r="I136" s="1"/>
  <c r="I137" s="1"/>
  <c r="I138" s="1"/>
  <c r="H136"/>
  <c r="H137" s="1"/>
  <c r="H138" l="1"/>
  <c r="H139" s="1"/>
  <c r="I139" l="1"/>
  <c r="I140" s="1"/>
  <c r="I141" s="1"/>
  <c r="I142" s="1"/>
  <c r="H140"/>
  <c r="H141" s="1"/>
  <c r="H142" l="1"/>
  <c r="H143" s="1"/>
  <c r="I143" l="1"/>
  <c r="I144" s="1"/>
  <c r="H144"/>
  <c r="H145" s="1"/>
  <c r="I145" l="1"/>
  <c r="I146" s="1"/>
  <c r="I147" s="1"/>
  <c r="I148" s="1"/>
  <c r="H146"/>
  <c r="H147" s="1"/>
  <c r="H148" l="1"/>
  <c r="H149" s="1"/>
  <c r="I149" l="1"/>
  <c r="I150" s="1"/>
  <c r="H150"/>
  <c r="H151" s="1"/>
  <c r="I151" l="1"/>
  <c r="I152" s="1"/>
  <c r="I153" s="1"/>
  <c r="I154" s="1"/>
  <c r="H152"/>
  <c r="H153" s="1"/>
  <c r="H154" l="1"/>
  <c r="H155" s="1"/>
  <c r="I155" l="1"/>
  <c r="I156" s="1"/>
  <c r="H156"/>
  <c r="H157" s="1"/>
  <c r="I157" l="1"/>
  <c r="I158" s="1"/>
  <c r="I159" s="1"/>
  <c r="I160" s="1"/>
  <c r="H158"/>
  <c r="H159" s="1"/>
  <c r="H160" l="1"/>
  <c r="H161" s="1"/>
  <c r="I161" l="1"/>
  <c r="I162" s="1"/>
  <c r="I163" s="1"/>
  <c r="I164" s="1"/>
  <c r="H162"/>
  <c r="H163" s="1"/>
  <c r="H164" l="1"/>
  <c r="H165" s="1"/>
  <c r="I165" l="1"/>
  <c r="I166" s="1"/>
  <c r="H166" l="1"/>
  <c r="H167" s="1"/>
  <c r="I167" l="1"/>
  <c r="I168" l="1"/>
  <c r="H168"/>
  <c r="H169" s="1"/>
  <c r="I169" l="1"/>
  <c r="I170" s="1"/>
  <c r="H170"/>
  <c r="H171" s="1"/>
  <c r="I171" l="1"/>
  <c r="I172" s="1"/>
  <c r="H172" l="1"/>
  <c r="H173" s="1"/>
  <c r="I173" l="1"/>
  <c r="I174" s="1"/>
  <c r="I175" s="1"/>
  <c r="I176" s="1"/>
  <c r="I177" s="1"/>
  <c r="I178" s="1"/>
  <c r="H174"/>
  <c r="H175" s="1"/>
  <c r="H176" s="1"/>
  <c r="H177" s="1"/>
  <c r="H178" s="1"/>
  <c r="H179" s="1"/>
  <c r="I179"/>
  <c r="I180" s="1"/>
  <c r="I181" s="1"/>
  <c r="I182" s="1"/>
  <c r="H180"/>
  <c r="H181" s="1"/>
  <c r="H182" l="1"/>
  <c r="H183" s="1"/>
  <c r="I183" l="1"/>
  <c r="I184" s="1"/>
  <c r="I185" s="1"/>
  <c r="I186" s="1"/>
  <c r="H184"/>
  <c r="H185" s="1"/>
  <c r="H186" l="1"/>
  <c r="H187" s="1"/>
  <c r="I187" l="1"/>
  <c r="I188" s="1"/>
  <c r="H188" l="1"/>
  <c r="H189" s="1"/>
  <c r="I189" l="1"/>
  <c r="I190" l="1"/>
  <c r="I191" s="1"/>
  <c r="I192" s="1"/>
  <c r="H190"/>
  <c r="H191" s="1"/>
  <c r="H192" s="1"/>
  <c r="H193" s="1"/>
  <c r="I193"/>
  <c r="I194" s="1"/>
  <c r="H194"/>
  <c r="H195" s="1"/>
  <c r="I195" l="1"/>
  <c r="I196" s="1"/>
  <c r="I197" s="1"/>
  <c r="I198" s="1"/>
  <c r="H196"/>
  <c r="H197" s="1"/>
  <c r="H198" l="1"/>
  <c r="H199" s="1"/>
  <c r="I199" l="1"/>
  <c r="I200" s="1"/>
  <c r="I201" s="1"/>
  <c r="I202" s="1"/>
  <c r="H200"/>
  <c r="H201" s="1"/>
  <c r="H202" l="1"/>
  <c r="H203" s="1"/>
  <c r="I203" l="1"/>
  <c r="I204" s="1"/>
  <c r="I205" s="1"/>
  <c r="I206" s="1"/>
  <c r="H204"/>
  <c r="H205" s="1"/>
  <c r="H206" l="1"/>
  <c r="H207" s="1"/>
  <c r="I207" l="1"/>
  <c r="I208" s="1"/>
  <c r="H208" l="1"/>
  <c r="H209" s="1"/>
  <c r="I209" l="1"/>
  <c r="I210" s="1"/>
  <c r="H210" l="1"/>
  <c r="H211" s="1"/>
  <c r="I211" l="1"/>
  <c r="I212" s="1"/>
  <c r="H212" l="1"/>
  <c r="H213" s="1"/>
  <c r="I213" l="1"/>
  <c r="I214" s="1"/>
  <c r="H214" l="1"/>
  <c r="H215" s="1"/>
  <c r="I215" l="1"/>
  <c r="I216" s="1"/>
  <c r="H216" l="1"/>
  <c r="H217" s="1"/>
  <c r="H218" s="1"/>
  <c r="H219" s="1"/>
  <c r="H220" s="1"/>
  <c r="H221" s="1"/>
  <c r="H222" s="1"/>
  <c r="H223" s="1"/>
  <c r="H224" s="1"/>
  <c r="H225" s="1"/>
  <c r="I217"/>
  <c r="I218" s="1"/>
  <c r="I219" s="1"/>
  <c r="I220" s="1"/>
  <c r="I221" s="1"/>
  <c r="I222" s="1"/>
  <c r="I223" s="1"/>
  <c r="I224" s="1"/>
  <c r="I225" s="1"/>
  <c r="I226" s="1"/>
  <c r="H226"/>
  <c r="H227" s="1"/>
  <c r="I227" l="1"/>
  <c r="I228" s="1"/>
  <c r="I229" s="1"/>
  <c r="I230" s="1"/>
  <c r="H228"/>
  <c r="H229" s="1"/>
  <c r="H230" l="1"/>
  <c r="H231" s="1"/>
  <c r="I231" l="1"/>
  <c r="I232" s="1"/>
  <c r="H232"/>
  <c r="H233" s="1"/>
  <c r="I233" l="1"/>
  <c r="I234" s="1"/>
  <c r="H234" l="1"/>
  <c r="H235" s="1"/>
  <c r="I235" l="1"/>
  <c r="I236" s="1"/>
  <c r="H236" l="1"/>
  <c r="H237" s="1"/>
  <c r="H238" s="1"/>
  <c r="H239" s="1"/>
  <c r="I237"/>
  <c r="I238" s="1"/>
  <c r="I239"/>
  <c r="I240" s="1"/>
  <c r="H240"/>
  <c r="H241" s="1"/>
  <c r="I241" l="1"/>
  <c r="I242" s="1"/>
  <c r="H242"/>
  <c r="H243" s="1"/>
  <c r="I243" l="1"/>
  <c r="I244" s="1"/>
  <c r="I245" s="1"/>
  <c r="I246" s="1"/>
  <c r="H244"/>
  <c r="H245" s="1"/>
  <c r="H246" l="1"/>
  <c r="H247" s="1"/>
  <c r="I247" l="1"/>
  <c r="I248" s="1"/>
  <c r="I249" s="1"/>
  <c r="I250" s="1"/>
  <c r="H248"/>
  <c r="H249" s="1"/>
  <c r="H250" l="1"/>
  <c r="H251" s="1"/>
  <c r="I251" l="1"/>
  <c r="I252" s="1"/>
  <c r="H252"/>
  <c r="H253" s="1"/>
  <c r="I253" l="1"/>
  <c r="I254" s="1"/>
  <c r="I255" s="1"/>
  <c r="I256" s="1"/>
  <c r="H254"/>
  <c r="H255" s="1"/>
  <c r="H256" l="1"/>
  <c r="H257" s="1"/>
  <c r="I257" l="1"/>
  <c r="I258" s="1"/>
  <c r="I259" s="1"/>
  <c r="I260" s="1"/>
  <c r="H258"/>
  <c r="H259" s="1"/>
  <c r="H260" l="1"/>
  <c r="H261" s="1"/>
  <c r="I261" l="1"/>
  <c r="I262" s="1"/>
  <c r="H262"/>
  <c r="H263" s="1"/>
  <c r="I263" l="1"/>
  <c r="I264" s="1"/>
  <c r="I265" s="1"/>
  <c r="I266" s="1"/>
  <c r="H264"/>
  <c r="H265" s="1"/>
  <c r="H266" l="1"/>
  <c r="H267" s="1"/>
  <c r="I267" l="1"/>
  <c r="I268" s="1"/>
  <c r="H268"/>
  <c r="H269" s="1"/>
  <c r="I269" l="1"/>
  <c r="I270" s="1"/>
  <c r="I271" s="1"/>
  <c r="I272" s="1"/>
  <c r="H270"/>
  <c r="H271" s="1"/>
  <c r="H272" l="1"/>
  <c r="H273" s="1"/>
  <c r="I273" l="1"/>
  <c r="I274" s="1"/>
  <c r="I275" s="1"/>
  <c r="I276" s="1"/>
  <c r="H274"/>
  <c r="H275" s="1"/>
  <c r="H276" l="1"/>
  <c r="H277" s="1"/>
  <c r="I277" l="1"/>
  <c r="I278" s="1"/>
  <c r="H278" l="1"/>
  <c r="H279" s="1"/>
  <c r="I279" l="1"/>
  <c r="I280" s="1"/>
  <c r="H280" l="1"/>
  <c r="H281" s="1"/>
  <c r="I281" l="1"/>
  <c r="I282" s="1"/>
  <c r="H282" l="1"/>
  <c r="H283" l="1"/>
  <c r="H284" s="1"/>
  <c r="H285" s="1"/>
  <c r="I283"/>
  <c r="I284" s="1"/>
  <c r="I285" s="1"/>
  <c r="I286" s="1"/>
  <c r="H286"/>
  <c r="H287" s="1"/>
  <c r="I287" l="1"/>
  <c r="I288" s="1"/>
  <c r="H288" l="1"/>
  <c r="H289" s="1"/>
  <c r="I289" l="1"/>
  <c r="I290" s="1"/>
  <c r="H290" l="1"/>
  <c r="H291" s="1"/>
  <c r="I291" l="1"/>
  <c r="I292" s="1"/>
  <c r="H292" l="1"/>
  <c r="H293" l="1"/>
  <c r="I293"/>
  <c r="I294" s="1"/>
  <c r="H294" l="1"/>
  <c r="H295" s="1"/>
  <c r="I295"/>
  <c r="I296" s="1"/>
  <c r="H296" l="1"/>
  <c r="H297" s="1"/>
  <c r="I297"/>
  <c r="I298" s="1"/>
  <c r="H298" l="1"/>
  <c r="H299" s="1"/>
  <c r="I299" l="1"/>
  <c r="I300" s="1"/>
  <c r="H300" l="1"/>
  <c r="H301" s="1"/>
  <c r="I301" l="1"/>
  <c r="I302" s="1"/>
  <c r="H302" l="1"/>
  <c r="H303" l="1"/>
  <c r="H304" s="1"/>
  <c r="H305" s="1"/>
  <c r="H306" s="1"/>
  <c r="H307" s="1"/>
  <c r="I303"/>
  <c r="I304" s="1"/>
  <c r="I305" s="1"/>
  <c r="I306" s="1"/>
  <c r="I307" s="1"/>
  <c r="I308" s="1"/>
  <c r="H308"/>
  <c r="H309" s="1"/>
  <c r="I309" l="1"/>
  <c r="I310" s="1"/>
  <c r="H310" l="1"/>
  <c r="H311" s="1"/>
  <c r="I311" l="1"/>
  <c r="I312" s="1"/>
  <c r="H312" l="1"/>
  <c r="H313" s="1"/>
  <c r="I313" l="1"/>
  <c r="I314" s="1"/>
  <c r="H314" l="1"/>
  <c r="H315" s="1"/>
  <c r="I315" l="1"/>
  <c r="I316" s="1"/>
  <c r="H316" l="1"/>
  <c r="H317" s="1"/>
  <c r="I317" l="1"/>
  <c r="I318" s="1"/>
  <c r="H318" l="1"/>
  <c r="H319" s="1"/>
  <c r="I319" l="1"/>
  <c r="I320" s="1"/>
  <c r="H320" l="1"/>
  <c r="H321" s="1"/>
  <c r="I321" l="1"/>
  <c r="I322" s="1"/>
  <c r="H322" l="1"/>
  <c r="H323" s="1"/>
  <c r="I323" l="1"/>
  <c r="I324" s="1"/>
  <c r="H324" l="1"/>
  <c r="H325" s="1"/>
  <c r="I325" l="1"/>
  <c r="I326" s="1"/>
  <c r="H326" l="1"/>
  <c r="H327" s="1"/>
  <c r="I327" l="1"/>
  <c r="I328" s="1"/>
  <c r="H328" l="1"/>
  <c r="H329" s="1"/>
  <c r="H330" s="1"/>
  <c r="H331" s="1"/>
  <c r="H332" s="1"/>
  <c r="H333" s="1"/>
  <c r="H334" s="1"/>
  <c r="H335" s="1"/>
  <c r="H336" s="1"/>
  <c r="H337" s="1"/>
  <c r="I329"/>
  <c r="I330" s="1"/>
  <c r="I331" s="1"/>
  <c r="I332" s="1"/>
  <c r="I333" s="1"/>
  <c r="I334" s="1"/>
  <c r="I335" s="1"/>
  <c r="I336" s="1"/>
  <c r="I337" s="1"/>
  <c r="I338" s="1"/>
  <c r="H338"/>
  <c r="H339" s="1"/>
  <c r="I339"/>
  <c r="I340" s="1"/>
  <c r="H340" l="1"/>
  <c r="H341" s="1"/>
  <c r="I341" l="1"/>
  <c r="I342" s="1"/>
  <c r="H342" l="1"/>
  <c r="H343" s="1"/>
  <c r="I343" l="1"/>
  <c r="I344" s="1"/>
  <c r="H344" l="1"/>
  <c r="H345" l="1"/>
  <c r="H346" s="1"/>
  <c r="H347" s="1"/>
  <c r="I345"/>
  <c r="I346" s="1"/>
  <c r="I347"/>
  <c r="I348" s="1"/>
  <c r="H348" l="1"/>
  <c r="H349" s="1"/>
  <c r="I349"/>
  <c r="I350" s="1"/>
  <c r="H350" l="1"/>
  <c r="H351" s="1"/>
  <c r="I351"/>
  <c r="I352" s="1"/>
  <c r="H352" l="1"/>
  <c r="H353" s="1"/>
  <c r="I353" l="1"/>
  <c r="I354" s="1"/>
  <c r="H354"/>
  <c r="H355" l="1"/>
  <c r="I355"/>
  <c r="I356" s="1"/>
  <c r="H356" l="1"/>
  <c r="H357" s="1"/>
  <c r="I357" l="1"/>
  <c r="I358" s="1"/>
  <c r="H358"/>
  <c r="H359" s="1"/>
  <c r="I359" l="1"/>
  <c r="I360" s="1"/>
  <c r="H360" l="1"/>
  <c r="H361" s="1"/>
  <c r="I361" l="1"/>
  <c r="I362" s="1"/>
  <c r="H362" l="1"/>
  <c r="H363" l="1"/>
  <c r="H364" s="1"/>
  <c r="H365" s="1"/>
  <c r="H366" s="1"/>
  <c r="H367" s="1"/>
  <c r="I363"/>
  <c r="I364" s="1"/>
  <c r="I365"/>
  <c r="I366" s="1"/>
  <c r="I367" l="1"/>
  <c r="I368" s="1"/>
  <c r="H368" l="1"/>
  <c r="H369" s="1"/>
  <c r="I369"/>
  <c r="I370" s="1"/>
  <c r="H370" l="1"/>
  <c r="H371" s="1"/>
  <c r="I371" l="1"/>
  <c r="I372" s="1"/>
  <c r="H372" l="1"/>
  <c r="H373" s="1"/>
  <c r="I373" l="1"/>
  <c r="I374" s="1"/>
  <c r="H374" l="1"/>
  <c r="H375" s="1"/>
  <c r="I375" l="1"/>
  <c r="I376" s="1"/>
  <c r="H376" l="1"/>
  <c r="H377" l="1"/>
  <c r="I377"/>
  <c r="I378" s="1"/>
  <c r="H378" l="1"/>
  <c r="H379" s="1"/>
  <c r="I379" l="1"/>
  <c r="I380" s="1"/>
  <c r="H380" l="1"/>
  <c r="H381" s="1"/>
  <c r="I381" l="1"/>
  <c r="I382" s="1"/>
  <c r="H382" l="1"/>
  <c r="H383" s="1"/>
  <c r="I383" l="1"/>
  <c r="I384" s="1"/>
  <c r="H384" l="1"/>
  <c r="H385" s="1"/>
  <c r="I385" l="1"/>
  <c r="I386" s="1"/>
  <c r="H386" l="1"/>
  <c r="H387" s="1"/>
  <c r="I387" l="1"/>
  <c r="I388" s="1"/>
  <c r="H388" l="1"/>
  <c r="H389" s="1"/>
  <c r="H390" s="1"/>
  <c r="H391" s="1"/>
  <c r="H392" s="1"/>
  <c r="H393" s="1"/>
  <c r="H394" s="1"/>
  <c r="H395" s="1"/>
  <c r="H396" s="1"/>
  <c r="H397" s="1"/>
  <c r="I389"/>
  <c r="I390" s="1"/>
  <c r="I391" s="1"/>
  <c r="I392" s="1"/>
  <c r="I393" s="1"/>
  <c r="I394" s="1"/>
  <c r="I395" s="1"/>
  <c r="I396" s="1"/>
  <c r="H398"/>
  <c r="H399" s="1"/>
  <c r="I397"/>
  <c r="I398" s="1"/>
  <c r="I399" l="1"/>
  <c r="I400" s="1"/>
  <c r="H400" l="1"/>
  <c r="H401" s="1"/>
  <c r="I401" l="1"/>
  <c r="I402" s="1"/>
  <c r="H402" l="1"/>
  <c r="H403" s="1"/>
  <c r="I403" l="1"/>
  <c r="I404" s="1"/>
  <c r="H404" l="1"/>
  <c r="H405" s="1"/>
  <c r="I405" l="1"/>
  <c r="I406" s="1"/>
  <c r="H406" l="1"/>
  <c r="H407" l="1"/>
  <c r="I407"/>
  <c r="I408" s="1"/>
  <c r="H408" l="1"/>
  <c r="H409" s="1"/>
  <c r="H410" s="1"/>
  <c r="H411" s="1"/>
  <c r="I409"/>
  <c r="I410" s="1"/>
  <c r="I411"/>
  <c r="I412" s="1"/>
  <c r="H412" l="1"/>
  <c r="H413" s="1"/>
  <c r="I413" l="1"/>
  <c r="I414" s="1"/>
  <c r="H414" l="1"/>
  <c r="H415" s="1"/>
  <c r="I415" l="1"/>
  <c r="I416" s="1"/>
  <c r="H416" l="1"/>
  <c r="H417" s="1"/>
  <c r="I417" l="1"/>
  <c r="I418" s="1"/>
  <c r="H418" l="1"/>
  <c r="H419" s="1"/>
  <c r="I419" l="1"/>
  <c r="I420" s="1"/>
  <c r="H420" l="1"/>
  <c r="H421" s="1"/>
  <c r="I421" l="1"/>
  <c r="I422" s="1"/>
  <c r="H422" l="1"/>
  <c r="H423" s="1"/>
  <c r="H424" s="1"/>
  <c r="H425" s="1"/>
  <c r="H426" s="1"/>
  <c r="H427" s="1"/>
  <c r="I423"/>
  <c r="I424" s="1"/>
  <c r="I425" s="1"/>
  <c r="I426" s="1"/>
  <c r="I427" s="1"/>
  <c r="I428" s="1"/>
  <c r="H428"/>
  <c r="H429" s="1"/>
  <c r="I429"/>
  <c r="I430" s="1"/>
  <c r="H430" l="1"/>
  <c r="H431" s="1"/>
  <c r="I431" l="1"/>
  <c r="I432" s="1"/>
  <c r="H432" l="1"/>
  <c r="H433" s="1"/>
  <c r="I433"/>
  <c r="I434" s="1"/>
  <c r="H434" l="1"/>
  <c r="H435" s="1"/>
  <c r="I435"/>
  <c r="I436" s="1"/>
  <c r="H436" l="1"/>
  <c r="H437" s="1"/>
  <c r="I437" l="1"/>
  <c r="I438" s="1"/>
  <c r="H438" l="1"/>
  <c r="H439" s="1"/>
  <c r="I439" l="1"/>
  <c r="I440" s="1"/>
  <c r="H440" l="1"/>
  <c r="H441" s="1"/>
  <c r="I441" l="1"/>
  <c r="I442" s="1"/>
  <c r="H442" l="1"/>
  <c r="H443" s="1"/>
  <c r="I443" l="1"/>
  <c r="I444" s="1"/>
  <c r="H444" l="1"/>
  <c r="H445" s="1"/>
  <c r="I445" l="1"/>
  <c r="I446" s="1"/>
  <c r="H446" l="1"/>
  <c r="H447" s="1"/>
  <c r="I447" l="1"/>
  <c r="I448" s="1"/>
  <c r="H448" l="1"/>
  <c r="H449" l="1"/>
  <c r="H450" s="1"/>
  <c r="H451" s="1"/>
  <c r="H452" s="1"/>
  <c r="H453" s="1"/>
  <c r="H454" s="1"/>
  <c r="H455" s="1"/>
  <c r="I449"/>
  <c r="I450" s="1"/>
  <c r="I451" s="1"/>
  <c r="I452" s="1"/>
  <c r="I453" s="1"/>
  <c r="I454" s="1"/>
  <c r="I455"/>
  <c r="I456" s="1"/>
  <c r="H456" l="1"/>
  <c r="H457" s="1"/>
  <c r="I457" l="1"/>
  <c r="I458" s="1"/>
  <c r="H458" l="1"/>
  <c r="H459" s="1"/>
  <c r="I459" l="1"/>
  <c r="I460" s="1"/>
  <c r="H460" l="1"/>
  <c r="H461" s="1"/>
  <c r="I461" l="1"/>
  <c r="I462" s="1"/>
  <c r="H462"/>
  <c r="H463" s="1"/>
  <c r="H464" l="1"/>
  <c r="H465" s="1"/>
  <c r="I463"/>
  <c r="I464" s="1"/>
  <c r="I465"/>
  <c r="I466" s="1"/>
  <c r="H466" l="1"/>
  <c r="H467" s="1"/>
  <c r="I467" l="1"/>
  <c r="I468" s="1"/>
  <c r="H468" l="1"/>
  <c r="H469" s="1"/>
  <c r="I469" l="1"/>
  <c r="I470" s="1"/>
  <c r="H470" l="1"/>
  <c r="H471" s="1"/>
  <c r="H472" l="1"/>
  <c r="H473" s="1"/>
  <c r="I471"/>
  <c r="I472" s="1"/>
  <c r="I473" l="1"/>
  <c r="I474" l="1"/>
  <c r="I475" s="1"/>
  <c r="I476" s="1"/>
  <c r="H474"/>
  <c r="H475" s="1"/>
  <c r="H476"/>
  <c r="H477" s="1"/>
  <c r="I477" l="1"/>
  <c r="I478" s="1"/>
  <c r="H478" l="1"/>
  <c r="H479" l="1"/>
  <c r="H480" s="1"/>
  <c r="H481" s="1"/>
  <c r="I479"/>
  <c r="I480" s="1"/>
  <c r="I481" s="1"/>
  <c r="I482" s="1"/>
  <c r="H482"/>
  <c r="H483" s="1"/>
  <c r="I483"/>
  <c r="I484" s="1"/>
  <c r="H484" l="1"/>
  <c r="H485" s="1"/>
  <c r="I485" l="1"/>
  <c r="I486" s="1"/>
  <c r="H486" l="1"/>
  <c r="H487" s="1"/>
  <c r="I487" l="1"/>
  <c r="I488" s="1"/>
  <c r="H488" l="1"/>
  <c r="H489" s="1"/>
  <c r="I489" l="1"/>
  <c r="I490" s="1"/>
  <c r="H490" l="1"/>
  <c r="H491" l="1"/>
  <c r="H492" s="1"/>
  <c r="H493" s="1"/>
  <c r="I491"/>
  <c r="I492" s="1"/>
  <c r="I493" s="1"/>
  <c r="I494" s="1"/>
  <c r="H494"/>
  <c r="H495" s="1"/>
  <c r="I495"/>
  <c r="I496" s="1"/>
  <c r="H496" l="1"/>
  <c r="H497" s="1"/>
  <c r="I497" l="1"/>
  <c r="I498" s="1"/>
  <c r="H498" l="1"/>
  <c r="H499" s="1"/>
  <c r="I499" l="1"/>
  <c r="I500" s="1"/>
  <c r="H500" l="1"/>
  <c r="H501" s="1"/>
  <c r="I501" l="1"/>
  <c r="I502" s="1"/>
  <c r="H502" l="1"/>
  <c r="H503" s="1"/>
  <c r="I503" l="1"/>
  <c r="I504" s="1"/>
  <c r="I505" s="1"/>
  <c r="I506" s="1"/>
  <c r="H504"/>
  <c r="H505" s="1"/>
  <c r="H506"/>
  <c r="H507" s="1"/>
  <c r="I507" l="1"/>
  <c r="I508" s="1"/>
  <c r="H508"/>
  <c r="H509" s="1"/>
  <c r="I509" l="1"/>
  <c r="I510" s="1"/>
  <c r="H510"/>
  <c r="H511" s="1"/>
  <c r="I511" l="1"/>
  <c r="I512" s="1"/>
  <c r="H512" l="1"/>
  <c r="H513" s="1"/>
  <c r="I513"/>
  <c r="I514" s="1"/>
  <c r="H514" l="1"/>
  <c r="H515" s="1"/>
  <c r="I515" l="1"/>
  <c r="I516" s="1"/>
  <c r="H516" l="1"/>
  <c r="H517" s="1"/>
  <c r="I517" l="1"/>
  <c r="I518" s="1"/>
  <c r="H518" l="1"/>
  <c r="H519" s="1"/>
  <c r="I519" l="1"/>
  <c r="I520" s="1"/>
  <c r="H520" l="1"/>
  <c r="H521" s="1"/>
  <c r="I521" l="1"/>
  <c r="I522" s="1"/>
  <c r="H522" l="1"/>
  <c r="H523" s="1"/>
  <c r="H524" s="1"/>
  <c r="H525" s="1"/>
  <c r="I523"/>
  <c r="I524" s="1"/>
  <c r="I525" s="1"/>
  <c r="I526" s="1"/>
  <c r="H526"/>
  <c r="H527" s="1"/>
  <c r="I527" l="1"/>
  <c r="I528" s="1"/>
  <c r="H528" l="1"/>
  <c r="H529" s="1"/>
  <c r="I529" l="1"/>
  <c r="I530" s="1"/>
  <c r="H530" l="1"/>
  <c r="H531" s="1"/>
  <c r="I531"/>
  <c r="I532" s="1"/>
  <c r="H532"/>
  <c r="H533" s="1"/>
  <c r="I533" l="1"/>
  <c r="I534" s="1"/>
  <c r="H534" l="1"/>
  <c r="H535" s="1"/>
  <c r="I535" l="1"/>
  <c r="I536" s="1"/>
  <c r="H536" l="1"/>
  <c r="H537" s="1"/>
  <c r="I537" l="1"/>
  <c r="I538" s="1"/>
  <c r="H538" l="1"/>
  <c r="H539" l="1"/>
  <c r="I539"/>
  <c r="I540" s="1"/>
  <c r="H540" l="1"/>
  <c r="H541" s="1"/>
  <c r="I541" l="1"/>
  <c r="I542" s="1"/>
  <c r="H542" l="1"/>
  <c r="H543" s="1"/>
  <c r="H544" s="1"/>
  <c r="H545" s="1"/>
  <c r="H546" s="1"/>
  <c r="H547" s="1"/>
  <c r="I543"/>
  <c r="I544" s="1"/>
  <c r="I545" s="1"/>
  <c r="I546" s="1"/>
  <c r="I547"/>
  <c r="I548" s="1"/>
  <c r="H548" l="1"/>
  <c r="H549" s="1"/>
  <c r="I549" l="1"/>
  <c r="I550" s="1"/>
  <c r="H550" l="1"/>
  <c r="H551" s="1"/>
  <c r="I551" l="1"/>
  <c r="I552" s="1"/>
  <c r="H552" l="1"/>
  <c r="H553" s="1"/>
  <c r="I553" l="1"/>
  <c r="I554" s="1"/>
  <c r="H554" l="1"/>
  <c r="H555" s="1"/>
  <c r="I555" l="1"/>
  <c r="I556" s="1"/>
  <c r="H556" l="1"/>
  <c r="H557" s="1"/>
  <c r="H558" l="1"/>
  <c r="H559" s="1"/>
  <c r="H560" s="1"/>
  <c r="H561" s="1"/>
  <c r="I557"/>
  <c r="I558" s="1"/>
  <c r="I559" s="1"/>
  <c r="I560" s="1"/>
  <c r="I561"/>
  <c r="I562" s="1"/>
  <c r="H562" l="1"/>
  <c r="H563" s="1"/>
  <c r="I563" l="1"/>
  <c r="I564" l="1"/>
  <c r="I565" s="1"/>
  <c r="I566" s="1"/>
  <c r="I567" s="1"/>
  <c r="I568" s="1"/>
  <c r="H564"/>
  <c r="H565" s="1"/>
  <c r="H566"/>
  <c r="H567" s="1"/>
  <c r="H568" l="1"/>
  <c r="H569" s="1"/>
  <c r="I569" l="1"/>
  <c r="I570" s="1"/>
  <c r="H570" l="1"/>
  <c r="H571" s="1"/>
  <c r="I571" l="1"/>
  <c r="I572" s="1"/>
  <c r="H572" l="1"/>
  <c r="H573" s="1"/>
  <c r="I573"/>
  <c r="I574" s="1"/>
  <c r="H574" l="1"/>
  <c r="H575" s="1"/>
  <c r="I575" l="1"/>
  <c r="I576" s="1"/>
  <c r="H576" l="1"/>
  <c r="H577" l="1"/>
  <c r="H578" s="1"/>
  <c r="H579" s="1"/>
  <c r="I577"/>
  <c r="I578" s="1"/>
  <c r="I579" s="1"/>
  <c r="I580" s="1"/>
  <c r="H580"/>
  <c r="H581" s="1"/>
  <c r="I581" l="1"/>
  <c r="I582" s="1"/>
  <c r="H582" l="1"/>
  <c r="H583" s="1"/>
  <c r="I583" l="1"/>
  <c r="I584" s="1"/>
  <c r="H584" l="1"/>
  <c r="H585" s="1"/>
  <c r="I585" l="1"/>
  <c r="I586" s="1"/>
  <c r="H586" l="1"/>
  <c r="H587" s="1"/>
  <c r="I587" l="1"/>
  <c r="I588" s="1"/>
  <c r="H588" l="1"/>
  <c r="H589" s="1"/>
  <c r="I589" l="1"/>
  <c r="I590" s="1"/>
  <c r="I591" s="1"/>
  <c r="I592" s="1"/>
  <c r="H590"/>
  <c r="H591" s="1"/>
  <c r="H592" s="1"/>
  <c r="H593" s="1"/>
  <c r="I593"/>
  <c r="I594" s="1"/>
  <c r="H594" l="1"/>
  <c r="H595" s="1"/>
  <c r="I595" l="1"/>
  <c r="I596" s="1"/>
  <c r="H596" l="1"/>
  <c r="H597" s="1"/>
  <c r="I597" l="1"/>
  <c r="I598" s="1"/>
  <c r="H598"/>
  <c r="H599" s="1"/>
  <c r="I599" l="1"/>
  <c r="I600" s="1"/>
  <c r="H600" l="1"/>
  <c r="H601" s="1"/>
  <c r="I601" l="1"/>
  <c r="I602" s="1"/>
  <c r="H602" l="1"/>
  <c r="H603" s="1"/>
  <c r="I603" l="1"/>
  <c r="I604" s="1"/>
  <c r="H604" l="1"/>
  <c r="H605" s="1"/>
  <c r="I605" l="1"/>
  <c r="I606" s="1"/>
  <c r="H606" l="1"/>
  <c r="H607" s="1"/>
  <c r="H608" s="1"/>
  <c r="H609" s="1"/>
  <c r="H610" s="1"/>
  <c r="H611" s="1"/>
  <c r="I607"/>
  <c r="I608" s="1"/>
  <c r="I609" s="1"/>
  <c r="I610" s="1"/>
  <c r="I611"/>
  <c r="I612" s="1"/>
  <c r="H612" l="1"/>
  <c r="H613" s="1"/>
  <c r="I613" l="1"/>
  <c r="I614" s="1"/>
  <c r="H614"/>
  <c r="H615" s="1"/>
  <c r="I615"/>
  <c r="I616" s="1"/>
  <c r="H616" l="1"/>
  <c r="H617" s="1"/>
  <c r="I617" l="1"/>
  <c r="I618" s="1"/>
  <c r="H618" l="1"/>
  <c r="H619" s="1"/>
  <c r="I619" l="1"/>
  <c r="I620" s="1"/>
  <c r="H620" l="1"/>
  <c r="H621" s="1"/>
  <c r="I621"/>
  <c r="I622" s="1"/>
  <c r="H622" l="1"/>
  <c r="H623" s="1"/>
  <c r="I623"/>
  <c r="I624" s="1"/>
  <c r="H624"/>
  <c r="H625" s="1"/>
  <c r="I625" l="1"/>
  <c r="I626" s="1"/>
  <c r="H626" l="1"/>
  <c r="H627" s="1"/>
  <c r="I627" l="1"/>
  <c r="I628" s="1"/>
  <c r="H628" l="1"/>
  <c r="H629" s="1"/>
  <c r="I629" l="1"/>
  <c r="I630" s="1"/>
  <c r="H630" l="1"/>
  <c r="H631" l="1"/>
  <c r="H632" s="1"/>
  <c r="H633" s="1"/>
  <c r="I631"/>
  <c r="I632" s="1"/>
  <c r="I633" s="1"/>
  <c r="I634" s="1"/>
  <c r="H634"/>
  <c r="H635" s="1"/>
  <c r="I635" l="1"/>
  <c r="I636" s="1"/>
  <c r="H636" l="1"/>
  <c r="H637" s="1"/>
  <c r="I637" l="1"/>
  <c r="I638" s="1"/>
  <c r="H638" l="1"/>
  <c r="H639" s="1"/>
  <c r="I639" l="1"/>
  <c r="I640" s="1"/>
  <c r="H640" l="1"/>
  <c r="H641" l="1"/>
  <c r="H642" s="1"/>
  <c r="H643" s="1"/>
  <c r="I641"/>
  <c r="I642" s="1"/>
  <c r="I643" s="1"/>
  <c r="I644" s="1"/>
  <c r="H644"/>
  <c r="H645" s="1"/>
  <c r="I645"/>
  <c r="I646" s="1"/>
  <c r="H646" l="1"/>
  <c r="H647" s="1"/>
  <c r="I647" l="1"/>
  <c r="I648" s="1"/>
  <c r="H648" l="1"/>
  <c r="H649" s="1"/>
  <c r="I649" l="1"/>
  <c r="I650" s="1"/>
  <c r="H650" l="1"/>
  <c r="H651" s="1"/>
  <c r="I651" l="1"/>
  <c r="I652" s="1"/>
  <c r="H652" l="1"/>
  <c r="H653" s="1"/>
  <c r="I653" l="1"/>
  <c r="I654" s="1"/>
  <c r="H654" l="1"/>
  <c r="H655" s="1"/>
  <c r="I655" l="1"/>
  <c r="I656" s="1"/>
  <c r="I657" s="1"/>
  <c r="I658" s="1"/>
  <c r="H656"/>
  <c r="H657" s="1"/>
  <c r="H658"/>
  <c r="H659" s="1"/>
  <c r="I659" l="1"/>
  <c r="I660" l="1"/>
  <c r="I661" s="1"/>
  <c r="H660"/>
  <c r="H661" l="1"/>
  <c r="H662" s="1"/>
  <c r="I662" l="1"/>
  <c r="I663" s="1"/>
  <c r="H663" l="1"/>
  <c r="H664" s="1"/>
  <c r="I664" l="1"/>
  <c r="I665" s="1"/>
  <c r="H665"/>
  <c r="H666" s="1"/>
  <c r="I666" l="1"/>
  <c r="I667" s="1"/>
  <c r="H667"/>
  <c r="H668" s="1"/>
  <c r="I668" l="1"/>
  <c r="I669" s="1"/>
  <c r="H669"/>
  <c r="H670" s="1"/>
  <c r="I670" l="1"/>
  <c r="H671" s="1"/>
  <c r="I671" l="1"/>
  <c r="I672" s="1"/>
  <c r="H672" l="1"/>
  <c r="H673" s="1"/>
  <c r="I673"/>
  <c r="I674" l="1"/>
  <c r="H674"/>
  <c r="H675" s="1"/>
  <c r="I675"/>
  <c r="I676" s="1"/>
  <c r="H676" l="1"/>
  <c r="H677" l="1"/>
  <c r="I677"/>
  <c r="I678" s="1"/>
  <c r="H678" l="1"/>
  <c r="H679" s="1"/>
  <c r="I679" l="1"/>
  <c r="I680" s="1"/>
  <c r="H680" l="1"/>
  <c r="H681" s="1"/>
  <c r="I681" l="1"/>
  <c r="I682" s="1"/>
  <c r="H682" l="1"/>
  <c r="H683" s="1"/>
  <c r="I683" l="1"/>
  <c r="I684" s="1"/>
  <c r="H684" l="1"/>
  <c r="H685" s="1"/>
  <c r="I685" l="1"/>
  <c r="I686" s="1"/>
  <c r="H686" l="1"/>
  <c r="H687" s="1"/>
  <c r="I687" l="1"/>
  <c r="I688" s="1"/>
  <c r="I689" s="1"/>
  <c r="I690" s="1"/>
  <c r="I691" s="1"/>
  <c r="I692" s="1"/>
  <c r="I693" s="1"/>
  <c r="I694" s="1"/>
  <c r="H688"/>
  <c r="H689" s="1"/>
  <c r="H690" s="1"/>
  <c r="H691" s="1"/>
  <c r="H692" s="1"/>
  <c r="H693" s="1"/>
  <c r="H694"/>
  <c r="H695" s="1"/>
  <c r="I695" l="1"/>
  <c r="I696" s="1"/>
  <c r="H696" l="1"/>
  <c r="H697" s="1"/>
  <c r="I697" l="1"/>
  <c r="I698" s="1"/>
  <c r="H698" l="1"/>
  <c r="H699" s="1"/>
  <c r="I699" l="1"/>
  <c r="I700" s="1"/>
  <c r="H700" l="1"/>
  <c r="H701" s="1"/>
  <c r="I701" l="1"/>
  <c r="I702" s="1"/>
  <c r="H702" l="1"/>
  <c r="H703" s="1"/>
  <c r="I703" l="1"/>
  <c r="I704" s="1"/>
  <c r="H704"/>
  <c r="H705" s="1"/>
  <c r="I705"/>
  <c r="I706" s="1"/>
  <c r="H706" l="1"/>
  <c r="H707" s="1"/>
  <c r="I707" l="1"/>
  <c r="I708" s="1"/>
  <c r="H708" l="1"/>
  <c r="H709" s="1"/>
  <c r="I709" l="1"/>
  <c r="I710" s="1"/>
  <c r="H710" l="1"/>
  <c r="H711" l="1"/>
  <c r="H712" s="1"/>
  <c r="H713" s="1"/>
  <c r="I711"/>
  <c r="I712" s="1"/>
  <c r="I713" s="1"/>
  <c r="I714" s="1"/>
  <c r="H714"/>
  <c r="H715" s="1"/>
  <c r="H716" s="1"/>
  <c r="H717" s="1"/>
  <c r="I715"/>
  <c r="I716" s="1"/>
  <c r="I717" s="1"/>
  <c r="I718" s="1"/>
  <c r="H718"/>
  <c r="H719" s="1"/>
  <c r="I719" l="1"/>
  <c r="I720" s="1"/>
  <c r="H720" l="1"/>
  <c r="H721" s="1"/>
  <c r="H722" s="1"/>
  <c r="H723" s="1"/>
  <c r="I721"/>
  <c r="I722" s="1"/>
  <c r="I723" l="1"/>
  <c r="I724" s="1"/>
  <c r="H724" l="1"/>
  <c r="H725" s="1"/>
  <c r="I725" l="1"/>
  <c r="I726" s="1"/>
  <c r="H726" l="1"/>
  <c r="H727" s="1"/>
  <c r="I727" l="1"/>
  <c r="I728" s="1"/>
  <c r="H728" l="1"/>
  <c r="H729" l="1"/>
  <c r="I729"/>
  <c r="I730" s="1"/>
  <c r="H730" l="1"/>
  <c r="H731" l="1"/>
  <c r="I731"/>
  <c r="I732" s="1"/>
  <c r="H732" l="1"/>
  <c r="H733" s="1"/>
  <c r="H734" s="1"/>
  <c r="H735" s="1"/>
  <c r="H736" s="1"/>
  <c r="H737" s="1"/>
  <c r="I733"/>
  <c r="I734" s="1"/>
  <c r="I735"/>
  <c r="I736" s="1"/>
  <c r="I737" l="1"/>
  <c r="I738" s="1"/>
  <c r="H738"/>
  <c r="H739" s="1"/>
  <c r="I739" l="1"/>
  <c r="I740" s="1"/>
  <c r="H740" l="1"/>
  <c r="H741" s="1"/>
  <c r="I741" l="1"/>
  <c r="I742" s="1"/>
  <c r="H742"/>
  <c r="H743" s="1"/>
  <c r="I743" l="1"/>
  <c r="I744" s="1"/>
  <c r="H744"/>
  <c r="H745" s="1"/>
  <c r="I745" l="1"/>
  <c r="I746" s="1"/>
  <c r="H746" l="1"/>
  <c r="H747" s="1"/>
  <c r="I747" l="1"/>
  <c r="I748" s="1"/>
  <c r="H748" l="1"/>
  <c r="H749" s="1"/>
  <c r="I749" l="1"/>
  <c r="I750" s="1"/>
  <c r="H750" l="1"/>
  <c r="H751" l="1"/>
  <c r="H752" s="1"/>
  <c r="H753" s="1"/>
  <c r="H754" s="1"/>
  <c r="H755" s="1"/>
  <c r="I751"/>
  <c r="I752" s="1"/>
  <c r="I753"/>
  <c r="I754" s="1"/>
  <c r="I755" l="1"/>
  <c r="I756" s="1"/>
  <c r="H756" l="1"/>
  <c r="H757" s="1"/>
  <c r="I757" l="1"/>
  <c r="I758" s="1"/>
  <c r="H758" l="1"/>
  <c r="H759" s="1"/>
  <c r="I759" l="1"/>
  <c r="I760" s="1"/>
  <c r="H760" l="1"/>
  <c r="H761" s="1"/>
  <c r="I761"/>
  <c r="I762" s="1"/>
  <c r="H762" l="1"/>
  <c r="H763" s="1"/>
  <c r="I763" l="1"/>
  <c r="I764" s="1"/>
  <c r="H764" l="1"/>
  <c r="H765" s="1"/>
  <c r="H766" s="1"/>
  <c r="H767" s="1"/>
  <c r="I765"/>
  <c r="I766" s="1"/>
  <c r="I767"/>
  <c r="I768" s="1"/>
  <c r="H768" l="1"/>
  <c r="H769" s="1"/>
  <c r="H770" s="1"/>
  <c r="H771" s="1"/>
  <c r="I769"/>
  <c r="I770" s="1"/>
  <c r="I771" l="1"/>
  <c r="I772" s="1"/>
  <c r="H772" l="1"/>
  <c r="H773" s="1"/>
  <c r="I773" l="1"/>
  <c r="I774" s="1"/>
  <c r="H774"/>
  <c r="H775" s="1"/>
  <c r="I775" l="1"/>
  <c r="I776" s="1"/>
  <c r="H776" l="1"/>
  <c r="H777" s="1"/>
  <c r="I777" l="1"/>
  <c r="I778" s="1"/>
  <c r="H778" l="1"/>
  <c r="H779" s="1"/>
  <c r="I779" l="1"/>
  <c r="I780" s="1"/>
  <c r="H780" l="1"/>
  <c r="H781" s="1"/>
  <c r="I781" l="1"/>
  <c r="I782" s="1"/>
  <c r="I783" s="1"/>
  <c r="I784" s="1"/>
  <c r="H782"/>
  <c r="H783" s="1"/>
  <c r="I785"/>
  <c r="I786" s="1"/>
  <c r="H784"/>
  <c r="H785" s="1"/>
  <c r="H786" l="1"/>
  <c r="H787" s="1"/>
  <c r="I787" l="1"/>
  <c r="I788" s="1"/>
  <c r="H788" l="1"/>
  <c r="H789" s="1"/>
  <c r="I789"/>
  <c r="I790" s="1"/>
  <c r="H790" l="1"/>
  <c r="H791" s="1"/>
  <c r="I791" l="1"/>
  <c r="I792" s="1"/>
  <c r="H792" l="1"/>
  <c r="H793" s="1"/>
  <c r="I793"/>
  <c r="I794" s="1"/>
  <c r="H794" l="1"/>
  <c r="H795" s="1"/>
  <c r="I795" l="1"/>
  <c r="I796" s="1"/>
  <c r="H796"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53" authorId="0">
      <text>
        <r>
          <rPr>
            <b/>
            <sz val="9"/>
            <color indexed="81"/>
            <rFont val="Tahoma"/>
            <family val="2"/>
          </rPr>
          <t>User:</t>
        </r>
        <r>
          <rPr>
            <sz val="9"/>
            <color indexed="81"/>
            <rFont val="Tahoma"/>
            <family val="2"/>
          </rPr>
          <t xml:space="preserve">
103.169.000 phí trong
</t>
        </r>
      </text>
    </comment>
    <comment ref="M2059" authorId="0">
      <text>
        <r>
          <rPr>
            <b/>
            <sz val="9"/>
            <color indexed="81"/>
            <rFont val="Tahoma"/>
            <family val="2"/>
          </rPr>
          <t>User:</t>
        </r>
        <r>
          <rPr>
            <sz val="9"/>
            <color indexed="81"/>
            <rFont val="Tahoma"/>
            <family val="2"/>
          </rPr>
          <t xml:space="preserve">
1.935.564
</t>
        </r>
      </text>
    </comment>
    <comment ref="M2595" authorId="0">
      <text>
        <r>
          <rPr>
            <b/>
            <sz val="9"/>
            <color indexed="81"/>
            <rFont val="Tahoma"/>
            <family val="2"/>
          </rPr>
          <t>User:</t>
        </r>
        <r>
          <rPr>
            <sz val="9"/>
            <color indexed="81"/>
            <rFont val="Tahoma"/>
            <family val="2"/>
          </rPr>
          <t xml:space="preserve">
24.057.550 Phí trong
</t>
        </r>
      </text>
    </comment>
    <comment ref="M2637" authorId="0">
      <text>
        <r>
          <rPr>
            <b/>
            <sz val="9"/>
            <color indexed="81"/>
            <rFont val="Tahoma"/>
            <family val="2"/>
          </rPr>
          <t>User:</t>
        </r>
        <r>
          <rPr>
            <sz val="9"/>
            <color indexed="81"/>
            <rFont val="Tahoma"/>
            <family val="2"/>
          </rPr>
          <t xml:space="preserve">
1.296.080</t>
        </r>
      </text>
    </comment>
  </commentList>
</comments>
</file>

<file path=xl/sharedStrings.xml><?xml version="1.0" encoding="utf-8"?>
<sst xmlns="http://schemas.openxmlformats.org/spreadsheetml/2006/main" count="31755" uniqueCount="3039">
  <si>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</si>
  <si>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</si>
  <si>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</si>
  <si>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</si>
  <si>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</si>
  <si>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</si>
  <si>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</si>
  <si>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</si>
  <si>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</si>
  <si>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</si>
  <si>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</si>
  <si>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</si>
  <si>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</si>
  <si>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</si>
  <si>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</si>
  <si>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TK đối ứng</t>
  </si>
  <si>
    <t>Số hiệu</t>
  </si>
  <si>
    <t>111</t>
  </si>
  <si>
    <t>3388</t>
  </si>
  <si>
    <t>3338</t>
  </si>
  <si>
    <t>x</t>
  </si>
  <si>
    <t>Ngày tháng ghi sổ</t>
  </si>
  <si>
    <t>Số phát sinh</t>
  </si>
  <si>
    <t>Nợ</t>
  </si>
  <si>
    <t>Có</t>
  </si>
  <si>
    <t>1121</t>
  </si>
  <si>
    <t>4111</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</si>
  <si>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</si>
  <si>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</si>
  <si>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</si>
  <si>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</si>
  <si>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</si>
  <si>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</si>
  <si>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</si>
  <si>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</si>
  <si>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</si>
  <si>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</si>
  <si>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</si>
  <si>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</si>
  <si>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</si>
  <si>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</si>
  <si>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</si>
  <si>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</si>
  <si>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</si>
  <si>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</si>
  <si>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</si>
  <si>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</si>
  <si>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</si>
  <si>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</si>
  <si>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</si>
  <si>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</si>
  <si>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</si>
  <si>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</si>
  <si>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</si>
  <si>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</si>
  <si>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</si>
  <si>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</si>
  <si>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</si>
  <si>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</si>
  <si>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</si>
  <si>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</si>
  <si>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</si>
  <si>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</si>
  <si>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</si>
  <si>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</si>
  <si>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</si>
  <si>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</si>
  <si>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</si>
  <si>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</si>
  <si>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</si>
  <si>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</si>
  <si>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</si>
  <si>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</si>
  <si>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</si>
  <si>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</si>
  <si>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</si>
  <si>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</si>
  <si>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</si>
  <si>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</si>
  <si>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</si>
  <si>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</si>
  <si>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</si>
  <si>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</si>
  <si>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</si>
  <si>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</si>
  <si>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</si>
  <si>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</si>
  <si>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</si>
  <si>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</si>
  <si>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</si>
  <si>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</si>
  <si>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</si>
  <si>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</si>
  <si>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</si>
  <si>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</si>
  <si>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</si>
  <si>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</si>
  <si>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</si>
  <si>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</si>
  <si>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</si>
  <si>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</si>
  <si>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</si>
  <si>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</si>
  <si>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</si>
  <si>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</si>
  <si>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</si>
  <si>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</si>
  <si>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</si>
  <si>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</si>
  <si>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</si>
  <si>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</si>
  <si>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</si>
  <si>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</si>
  <si>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</si>
  <si>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</si>
  <si>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</si>
  <si>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</si>
  <si>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</si>
  <si>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</si>
  <si>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</si>
  <si>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</si>
  <si>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</si>
  <si>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</si>
  <si>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</si>
  <si>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</si>
  <si>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</si>
  <si>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</si>
  <si>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</si>
  <si>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</si>
  <si>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</si>
  <si>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</si>
  <si>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</si>
  <si>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</si>
  <si>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</si>
  <si>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</si>
  <si>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</si>
  <si>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</si>
  <si>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</si>
  <si>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</si>
  <si>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</si>
  <si>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</si>
  <si>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</si>
  <si>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</si>
  <si>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</si>
  <si>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</si>
  <si>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</si>
  <si>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</si>
  <si>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</si>
  <si>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</si>
  <si>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</si>
  <si>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</si>
  <si>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</si>
  <si>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</si>
  <si>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</si>
  <si>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</si>
  <si>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</si>
  <si>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</si>
  <si>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</si>
  <si>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</si>
  <si>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</si>
  <si>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</si>
  <si>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</si>
  <si>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</si>
  <si>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</si>
  <si>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</si>
  <si>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</si>
  <si>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</si>
  <si>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</si>
  <si>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</si>
  <si>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</si>
  <si>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</si>
  <si>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</si>
  <si>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</si>
  <si>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</si>
  <si>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</si>
  <si>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</si>
  <si>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</si>
  <si>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</si>
  <si>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</si>
  <si>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</si>
  <si>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</si>
  <si>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</si>
  <si>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</si>
  <si>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</si>
  <si>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</si>
  <si>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</si>
  <si>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</si>
  <si>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</si>
  <si>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</si>
  <si>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</si>
  <si>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</si>
  <si>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</si>
  <si>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</si>
  <si>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</si>
  <si>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</si>
  <si>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</si>
  <si>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</si>
  <si>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</si>
  <si>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</si>
  <si>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</si>
  <si>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</si>
  <si>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</si>
  <si>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</si>
  <si>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</si>
  <si>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</si>
  <si>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</si>
  <si>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</si>
  <si>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</si>
  <si>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</si>
  <si>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</si>
  <si>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</si>
  <si>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</si>
  <si>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</si>
  <si>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</si>
  <si>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</si>
  <si>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</si>
  <si>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</si>
  <si>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</si>
  <si>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</si>
  <si>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</si>
  <si>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</si>
  <si>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</si>
  <si>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</si>
  <si>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</si>
  <si>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</si>
  <si>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</si>
  <si>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</si>
  <si>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</si>
  <si>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</si>
  <si>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</si>
  <si>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</si>
  <si>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</si>
  <si>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</si>
  <si>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</si>
  <si>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</si>
  <si>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</si>
  <si>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</si>
  <si>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</si>
  <si>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</si>
  <si>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</si>
  <si>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</si>
  <si>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</si>
  <si>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</si>
  <si>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</si>
  <si>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</si>
  <si>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</si>
  <si>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</si>
  <si>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</si>
  <si>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</si>
  <si>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</si>
  <si>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</si>
  <si>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</si>
  <si>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</si>
  <si>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</si>
  <si>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</si>
  <si>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</si>
  <si>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</si>
  <si>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</si>
  <si>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</si>
  <si>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</si>
  <si>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</si>
  <si>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</si>
  <si>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</si>
  <si>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</si>
  <si>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</si>
  <si>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</si>
  <si>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</si>
  <si>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</si>
  <si>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</si>
  <si>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</si>
  <si>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</si>
  <si>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</si>
  <si>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</si>
  <si>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</si>
  <si>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</si>
  <si>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</si>
  <si>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</si>
  <si>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</si>
  <si>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</si>
  <si>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</si>
  <si>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</si>
  <si>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</si>
  <si>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</si>
  <si>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</si>
  <si>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</si>
  <si>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</si>
  <si>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</si>
  <si>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</si>
  <si>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</si>
  <si>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</si>
  <si>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</si>
  <si>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</si>
  <si>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</si>
  <si>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</si>
  <si>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</si>
  <si>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</si>
  <si>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</si>
  <si>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</si>
  <si>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</si>
  <si>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</si>
  <si>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</si>
  <si>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</si>
  <si>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</si>
  <si>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</si>
  <si>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</si>
  <si>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</si>
  <si>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</si>
  <si>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</si>
  <si>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</si>
  <si>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</si>
  <si>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</si>
  <si>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</si>
  <si>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</si>
  <si>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</si>
  <si>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</si>
  <si>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</si>
  <si>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</si>
  <si>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</si>
  <si>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</si>
  <si>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</si>
  <si>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</si>
  <si>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</si>
  <si>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</si>
  <si>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</si>
  <si>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</si>
  <si>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</si>
  <si>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</si>
  <si>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</si>
  <si>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</si>
  <si>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</si>
  <si>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</si>
  <si>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</si>
  <si>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</si>
  <si>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</si>
  <si>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</si>
  <si>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</si>
  <si>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</si>
  <si>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</si>
  <si>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</si>
  <si>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</si>
  <si>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</si>
  <si>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</si>
  <si>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</si>
  <si>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</si>
  <si>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</si>
  <si>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</si>
  <si>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</si>
  <si>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</si>
  <si>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</si>
  <si>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</si>
  <si>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</si>
  <si>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</si>
  <si>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</si>
  <si>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</si>
  <si>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</si>
  <si>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</si>
  <si>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</si>
  <si>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</si>
  <si>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</si>
  <si>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</si>
  <si>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</si>
  <si>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</si>
  <si>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</si>
  <si>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</si>
  <si>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</si>
  <si>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</si>
  <si>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</si>
  <si>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</si>
  <si>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</si>
  <si>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</si>
  <si>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</si>
  <si>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</si>
  <si>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</si>
  <si>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</si>
  <si>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</si>
  <si>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</si>
  <si>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</si>
  <si>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</si>
  <si>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</si>
  <si>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</si>
  <si>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</si>
  <si>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</si>
  <si>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</si>
  <si>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</si>
  <si>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</si>
  <si>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</si>
  <si>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</si>
  <si>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</si>
  <si>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</si>
  <si>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</si>
  <si>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</si>
  <si>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</si>
  <si>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</si>
  <si>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</si>
  <si>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</si>
  <si>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</si>
  <si>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</si>
  <si>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</si>
  <si>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</si>
  <si>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</si>
  <si>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</si>
  <si>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</si>
  <si>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</si>
  <si>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</si>
  <si>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</si>
  <si>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</si>
  <si>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</si>
  <si>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</si>
  <si>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</si>
  <si>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</si>
  <si>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</si>
  <si>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</si>
  <si>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</si>
  <si>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</si>
  <si>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</si>
  <si>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</si>
  <si>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</si>
  <si>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</si>
  <si>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</si>
  <si>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</si>
  <si>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</si>
  <si>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</si>
  <si>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</si>
  <si>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</si>
  <si>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</si>
  <si>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</si>
  <si>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</si>
  <si>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</si>
  <si>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</si>
  <si>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</si>
  <si>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</si>
  <si>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</si>
  <si>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</si>
  <si>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</si>
  <si>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</si>
  <si>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</si>
  <si>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</si>
  <si>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</si>
  <si>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</si>
  <si>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</si>
  <si>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</si>
  <si>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</si>
  <si>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</si>
  <si>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</si>
  <si>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</si>
  <si>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</si>
  <si>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</si>
  <si>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</si>
  <si>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</si>
  <si>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</si>
  <si>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</si>
  <si>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</si>
  <si>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</si>
  <si>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</si>
  <si>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</si>
  <si>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</si>
  <si>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</si>
  <si>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</si>
  <si>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</si>
  <si>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</si>
  <si>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</si>
  <si>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</si>
  <si>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</si>
  <si>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</si>
  <si>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</si>
  <si>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</si>
  <si>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</si>
  <si>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</si>
  <si>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</si>
  <si>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</si>
  <si>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</si>
  <si>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</si>
  <si>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</si>
  <si>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</si>
  <si>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</si>
  <si>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</si>
  <si>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</si>
  <si>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</si>
  <si>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</si>
  <si>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</si>
  <si>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</si>
  <si>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</si>
  <si>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</si>
  <si>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</si>
  <si>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</si>
  <si>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</si>
  <si>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</si>
  <si>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</si>
  <si>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</si>
  <si>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</si>
  <si>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</si>
  <si>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</si>
  <si>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</si>
  <si>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</si>
  <si>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</si>
  <si>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</si>
  <si>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</si>
  <si>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</si>
  <si>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</si>
  <si>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</si>
  <si>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</si>
  <si>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</si>
  <si>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</si>
  <si>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</si>
  <si>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</si>
  <si>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</si>
  <si>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</si>
  <si>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</si>
  <si>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</si>
  <si>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</si>
  <si>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</si>
  <si>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</si>
  <si>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</si>
  <si>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</si>
  <si>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</si>
  <si>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</si>
  <si>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</si>
  <si>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</si>
  <si>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</si>
  <si>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</si>
  <si>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</si>
  <si>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</si>
  <si>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</si>
  <si>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</si>
  <si>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</si>
  <si>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</si>
  <si>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</si>
  <si>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</si>
  <si>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</si>
  <si>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</si>
  <si>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</si>
  <si>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</si>
  <si>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</si>
  <si>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</si>
  <si>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</si>
  <si>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</si>
  <si>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</si>
  <si>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</si>
  <si>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</si>
  <si>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</si>
  <si>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</si>
  <si>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</si>
  <si>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</si>
  <si>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</si>
  <si>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</si>
  <si>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</si>
  <si>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</si>
  <si>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</si>
  <si>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</si>
  <si>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</si>
  <si>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</si>
  <si>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</si>
  <si>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</si>
  <si>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</si>
  <si>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</si>
  <si>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</si>
  <si>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</si>
  <si>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</si>
  <si>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</si>
  <si>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</si>
  <si>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</si>
  <si>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</si>
  <si>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</si>
  <si>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</si>
  <si>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</si>
  <si>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</si>
  <si>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</si>
  <si>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</si>
  <si>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</si>
  <si>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</si>
  <si>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</si>
  <si>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</si>
  <si>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</si>
  <si>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</si>
  <si>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</si>
  <si>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</si>
  <si>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</si>
  <si>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</si>
  <si>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</si>
  <si>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</si>
  <si>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</si>
  <si>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</si>
  <si>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</si>
  <si>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</si>
  <si>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</si>
  <si>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</si>
  <si>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</si>
  <si>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</si>
  <si>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</si>
  <si>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</si>
  <si>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</si>
  <si>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</si>
  <si>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</si>
  <si>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</si>
  <si>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</si>
  <si>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</si>
  <si>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</si>
  <si>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</si>
  <si>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</si>
  <si>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</si>
  <si>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</si>
  <si>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</si>
  <si>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</si>
  <si>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</si>
  <si>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</si>
  <si>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</si>
  <si>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</si>
  <si>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</si>
  <si>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</si>
  <si>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</si>
  <si>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</si>
  <si>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</si>
  <si>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</si>
  <si>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</si>
  <si>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</si>
  <si>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</si>
  <si>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</si>
  <si>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</si>
  <si>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</si>
  <si>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</si>
  <si>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</si>
  <si>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</si>
  <si>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</si>
  <si>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</si>
  <si>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</si>
  <si>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</si>
  <si>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</si>
  <si>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</si>
  <si>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</si>
  <si>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</si>
  <si>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</si>
  <si>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</si>
  <si>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</si>
  <si>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</si>
  <si>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</si>
  <si>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</si>
  <si>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</si>
  <si>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</si>
  <si>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</si>
  <si>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</si>
  <si>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</si>
  <si>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</si>
  <si>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</si>
  <si>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</si>
  <si>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</si>
  <si>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</si>
  <si>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</si>
  <si>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</si>
  <si>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</si>
  <si>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</si>
  <si>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</si>
  <si>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</si>
  <si>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</si>
  <si>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</si>
  <si>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</si>
  <si>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</si>
  <si>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</si>
  <si>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</si>
  <si>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</si>
  <si>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</si>
  <si>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</si>
  <si>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</si>
  <si>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</si>
  <si>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</si>
  <si>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</si>
  <si>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</si>
  <si>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</si>
  <si>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</si>
  <si>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</si>
  <si>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</si>
  <si>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</si>
  <si>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</si>
  <si>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</si>
  <si>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</si>
  <si>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</si>
  <si>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</si>
  <si>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</si>
  <si>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</si>
  <si>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</si>
  <si>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</si>
  <si>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</si>
  <si>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</si>
  <si>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</si>
  <si>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</si>
  <si>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</si>
  <si>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</si>
  <si>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</si>
  <si>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</si>
  <si>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</si>
  <si>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</si>
  <si>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</si>
  <si>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</si>
  <si>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</si>
  <si>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</si>
  <si>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</si>
  <si>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</si>
  <si>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</si>
  <si>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</si>
  <si>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</si>
  <si>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</si>
  <si>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</si>
  <si>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</si>
  <si>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</si>
  <si>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</si>
  <si>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</si>
  <si>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</si>
  <si>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</si>
  <si>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</si>
  <si>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</si>
  <si>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</si>
  <si>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</si>
  <si>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</si>
  <si>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</si>
  <si>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</si>
  <si>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</si>
  <si>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</si>
  <si>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</si>
  <si>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</si>
  <si>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</si>
  <si>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</si>
  <si>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</si>
  <si>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</si>
  <si>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</si>
  <si>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</si>
  <si>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</si>
  <si>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</si>
  <si>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</si>
  <si>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</si>
  <si>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</si>
  <si>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</si>
  <si>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</si>
  <si>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</si>
  <si>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</si>
  <si>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</si>
  <si>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</si>
  <si>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</si>
  <si>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</si>
  <si>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</si>
  <si>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</si>
  <si>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</si>
  <si>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</si>
  <si>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</si>
  <si>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</si>
  <si>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</si>
  <si>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</si>
  <si>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</si>
  <si>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</si>
  <si>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</si>
  <si>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</si>
  <si>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</si>
  <si>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</si>
  <si>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</si>
  <si>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</si>
  <si>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</si>
  <si>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</si>
  <si>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</si>
  <si>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</si>
  <si>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</si>
  <si>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</si>
  <si>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</si>
  <si>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</si>
  <si>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</si>
  <si>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</si>
  <si>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</si>
  <si>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</si>
  <si>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</si>
  <si>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</si>
  <si>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</si>
  <si>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</si>
  <si>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</si>
  <si>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</si>
  <si>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</si>
  <si>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</si>
  <si>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</si>
  <si>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</si>
  <si>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</si>
  <si>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</si>
  <si>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</si>
  <si>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</si>
  <si>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</si>
  <si>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</si>
  <si>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</si>
  <si>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</si>
  <si>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</si>
  <si>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</si>
  <si>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</si>
  <si>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</si>
  <si>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</si>
  <si>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</si>
  <si>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</si>
  <si>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</si>
  <si>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</si>
  <si>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</si>
  <si>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</si>
  <si>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</si>
  <si>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</si>
  <si>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</si>
  <si>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</si>
  <si>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</si>
  <si>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</si>
  <si>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</si>
  <si>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</si>
  <si>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</si>
  <si>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</si>
  <si>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</si>
  <si>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</si>
  <si>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</si>
  <si>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</si>
  <si>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</si>
  <si>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</si>
  <si>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</si>
  <si>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</si>
  <si>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</si>
  <si>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</si>
  <si>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</si>
  <si>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</si>
  <si>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</si>
  <si>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</si>
  <si>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</si>
  <si>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</si>
  <si>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</si>
  <si>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</si>
  <si>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</si>
  <si>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</si>
  <si>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</si>
  <si>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</si>
  <si>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</si>
  <si>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</si>
  <si>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</si>
  <si>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</si>
  <si>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</si>
  <si>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</si>
  <si>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</si>
  <si>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</si>
  <si>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</si>
  <si>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</si>
  <si>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</si>
  <si>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</si>
  <si>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</si>
  <si>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</si>
  <si>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</si>
  <si>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</si>
  <si>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</si>
  <si>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</si>
  <si>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</si>
  <si>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</si>
  <si>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</si>
  <si>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</si>
  <si>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</si>
  <si>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</si>
  <si>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</si>
  <si>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</si>
  <si>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</si>
  <si>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</si>
  <si>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</si>
  <si>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</si>
  <si>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</si>
  <si>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</si>
  <si>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</si>
  <si>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</si>
  <si>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</si>
  <si>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</si>
  <si>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</si>
  <si>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</si>
  <si>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</si>
  <si>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</si>
  <si>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</si>
  <si>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</si>
  <si>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</si>
  <si>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</si>
  <si>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</si>
  <si>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</si>
  <si>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</si>
  <si>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</si>
  <si>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</si>
  <si>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</si>
  <si>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</si>
  <si>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</si>
  <si>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</si>
  <si>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</si>
  <si>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</si>
  <si>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</si>
  <si>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</si>
  <si>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</si>
  <si>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</si>
  <si>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</si>
  <si>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</si>
  <si>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</si>
  <si>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</si>
  <si>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</si>
  <si>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</si>
  <si>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</si>
  <si>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</si>
  <si>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</si>
  <si>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</si>
  <si>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</si>
  <si>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</si>
  <si>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</si>
  <si>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</si>
  <si>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</si>
  <si>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</si>
  <si>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</si>
  <si>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</si>
  <si>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</si>
  <si>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</si>
  <si>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</si>
  <si>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</si>
  <si>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</si>
  <si>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</si>
  <si>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</si>
  <si>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</si>
  <si>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</si>
  <si>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</si>
  <si>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</si>
  <si>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</si>
  <si>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</si>
  <si>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</si>
  <si>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</si>
  <si>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</si>
  <si>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</si>
  <si>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</si>
  <si>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</si>
  <si>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</si>
  <si>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</si>
  <si>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</si>
  <si>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</si>
  <si>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</si>
  <si>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</si>
  <si>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</si>
  <si>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</si>
  <si>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</si>
  <si>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</si>
  <si>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</si>
  <si>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</si>
  <si>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</si>
  <si>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</si>
  <si>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</si>
  <si>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</si>
  <si>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</si>
  <si>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</si>
  <si>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</si>
  <si>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</si>
  <si>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</si>
  <si>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</si>
  <si>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</si>
  <si>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</si>
  <si>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</si>
  <si>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</si>
  <si>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</si>
  <si>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</si>
  <si>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</si>
  <si>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</si>
  <si>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</si>
  <si>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</si>
  <si>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</si>
  <si>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</si>
  <si>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</si>
  <si>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</si>
  <si>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</si>
  <si>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</si>
  <si>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</si>
  <si>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</si>
  <si>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</si>
  <si>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</si>
  <si>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</si>
  <si>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</si>
  <si>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</si>
  <si>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</si>
  <si>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</si>
  <si>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</si>
  <si>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</si>
  <si>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</si>
  <si>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</si>
  <si>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</si>
  <si>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</si>
  <si>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</si>
  <si>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</si>
  <si>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</si>
  <si>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</si>
  <si>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</si>
  <si>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</si>
  <si>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</si>
  <si>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</si>
  <si>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</si>
  <si>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</si>
  <si>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</si>
  <si>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</si>
  <si>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</si>
  <si>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</si>
  <si>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</si>
  <si>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</si>
  <si>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</si>
  <si>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</si>
  <si>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</si>
  <si>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</si>
  <si>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</si>
  <si>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</si>
  <si>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</si>
  <si>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</si>
  <si>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</si>
  <si>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</si>
  <si>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</si>
  <si>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</si>
  <si>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</si>
  <si>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</si>
  <si>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</si>
  <si>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</si>
  <si>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</si>
  <si>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</si>
  <si>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</si>
  <si>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</si>
  <si>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</si>
  <si>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</si>
  <si>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</si>
  <si>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</si>
  <si>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</si>
  <si>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</si>
  <si>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</si>
  <si>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</si>
  <si>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</si>
  <si>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</si>
  <si>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</si>
  <si>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</si>
  <si>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</si>
  <si>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</si>
  <si>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</si>
  <si>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</si>
  <si>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</si>
  <si>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</si>
  <si>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</si>
  <si>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</si>
  <si>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</si>
  <si>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</si>
  <si>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</si>
  <si>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</si>
  <si>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</si>
  <si>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</si>
  <si>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</si>
  <si>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</si>
  <si>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</si>
  <si>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</si>
  <si>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</si>
  <si>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</si>
  <si>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</si>
  <si>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</si>
  <si>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</si>
  <si>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</si>
  <si>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</si>
  <si>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</si>
  <si>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</si>
  <si>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</si>
  <si>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</si>
  <si>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</si>
  <si>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</si>
  <si>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</si>
  <si>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</si>
  <si>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</si>
  <si>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</si>
  <si>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</si>
  <si>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</si>
  <si>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</si>
  <si>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</si>
  <si>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</si>
  <si>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</si>
  <si>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</si>
  <si>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</si>
  <si>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</si>
  <si>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</si>
  <si>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</si>
  <si>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</si>
  <si>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</si>
  <si>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</si>
  <si>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</si>
  <si>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</si>
  <si>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</si>
  <si>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</si>
  <si>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</si>
  <si>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</si>
  <si>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</si>
  <si>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</si>
  <si>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</si>
  <si>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</si>
  <si>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</si>
  <si>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</si>
  <si>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</si>
  <si>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</si>
  <si>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</si>
  <si>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</si>
  <si>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</si>
  <si>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</si>
  <si>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</si>
  <si>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</si>
  <si>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</si>
  <si>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</si>
  <si>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</si>
  <si>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</si>
  <si>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</si>
  <si>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</si>
  <si>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</si>
  <si>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</si>
  <si>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</si>
  <si>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</si>
  <si>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</si>
  <si>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</si>
  <si>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</si>
  <si>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</si>
  <si>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</si>
  <si>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</si>
  <si>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</si>
  <si>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</si>
  <si>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</si>
  <si>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</si>
  <si>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</si>
  <si>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</si>
  <si>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</si>
  <si>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</si>
  <si>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</si>
  <si>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</si>
  <si>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</si>
  <si>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</si>
  <si>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</si>
  <si>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</si>
  <si>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</si>
  <si>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</si>
  <si>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</si>
  <si>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</si>
  <si>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</si>
  <si>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</si>
  <si>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</si>
  <si>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</si>
  <si>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</si>
  <si>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</si>
  <si>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</si>
  <si>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</si>
  <si>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</si>
  <si>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</si>
  <si>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</si>
  <si>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</si>
  <si>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</si>
  <si>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</si>
  <si>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</si>
  <si>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</si>
  <si>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</si>
  <si>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</si>
  <si>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</si>
  <si>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</si>
  <si>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</si>
  <si>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</si>
  <si>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</si>
  <si>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</si>
  <si>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</si>
  <si>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</si>
  <si>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</si>
  <si>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</si>
  <si>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</si>
  <si>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</si>
  <si>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</si>
  <si>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</si>
  <si>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</si>
  <si>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</si>
  <si>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</si>
  <si>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</si>
  <si>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</si>
  <si>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</si>
  <si>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</si>
  <si>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</si>
  <si>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</si>
  <si>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</si>
  <si>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</si>
  <si>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</si>
  <si>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</si>
  <si>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</si>
  <si>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</si>
  <si>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</si>
  <si>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</si>
  <si>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</si>
  <si>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</si>
  <si>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</si>
  <si>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</si>
  <si>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</si>
  <si>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</si>
  <si>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</si>
  <si>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</si>
  <si>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</si>
  <si>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</si>
  <si>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</si>
  <si>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</si>
  <si>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</si>
  <si>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</si>
  <si>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</si>
  <si>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</si>
  <si>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</si>
  <si>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</si>
  <si>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</si>
  <si>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</si>
  <si>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</si>
  <si>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</si>
  <si>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</si>
  <si>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</si>
  <si>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</si>
  <si>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</si>
  <si>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</si>
  <si>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</si>
  <si>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</si>
  <si>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</si>
  <si>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</si>
  <si>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</si>
  <si>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</si>
  <si>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</si>
  <si>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</si>
  <si>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</si>
  <si>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</si>
  <si>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</si>
  <si>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</si>
  <si>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</si>
  <si>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</si>
  <si>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</si>
  <si>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</si>
  <si>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</si>
  <si>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</si>
  <si>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</si>
  <si>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</si>
  <si>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</si>
  <si>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</si>
  <si>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</si>
  <si>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</si>
  <si>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</si>
  <si>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</si>
  <si>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</si>
  <si>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</si>
  <si>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</si>
  <si>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</si>
  <si>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</si>
  <si>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</si>
  <si>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</si>
  <si>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</si>
  <si>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</si>
  <si>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</si>
  <si>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</si>
  <si>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</si>
  <si>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</si>
  <si>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</si>
  <si>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</si>
  <si>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</si>
  <si>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</si>
  <si>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</si>
  <si>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</si>
  <si>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</si>
  <si>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</si>
  <si>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</si>
  <si>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</si>
  <si>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</si>
  <si>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</si>
  <si>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</si>
  <si>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</si>
  <si>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</si>
  <si>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</si>
  <si>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</si>
  <si>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</si>
  <si>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</si>
  <si>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</si>
  <si>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</si>
  <si>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</si>
  <si>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</si>
  <si>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</si>
  <si>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</si>
  <si>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</si>
  <si>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</si>
  <si>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</si>
  <si>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</si>
  <si>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</si>
  <si>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</si>
  <si>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</si>
  <si>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</si>
  <si>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</si>
  <si>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</si>
  <si>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</si>
  <si>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</si>
  <si>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</si>
  <si>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</si>
  <si>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</si>
  <si>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</si>
  <si>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</si>
  <si>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</si>
  <si>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</si>
  <si>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</si>
  <si>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</si>
  <si>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</si>
  <si>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</si>
  <si>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</si>
  <si>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</si>
  <si>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</si>
  <si>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</si>
  <si>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</si>
  <si>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</si>
  <si>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</si>
  <si>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</si>
  <si>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</si>
  <si>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</si>
  <si>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</si>
  <si>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</si>
  <si>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</si>
  <si>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</si>
  <si>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</si>
  <si>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</si>
  <si>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</si>
  <si>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</si>
  <si>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</si>
  <si>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</si>
  <si>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</si>
  <si>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</si>
  <si>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</si>
  <si>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</si>
  <si>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</si>
  <si>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</si>
  <si>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</si>
  <si>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</si>
  <si>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</si>
  <si>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</si>
  <si>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</si>
  <si>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</si>
  <si>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</si>
  <si>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</si>
  <si>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</si>
  <si>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</si>
  <si>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</si>
  <si>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</si>
  <si>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</si>
  <si>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</si>
  <si>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</si>
  <si>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</si>
  <si>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</si>
  <si>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</si>
  <si>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</si>
  <si>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</si>
  <si>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</si>
  <si>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</si>
  <si>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</si>
  <si>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</si>
  <si>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</si>
  <si>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</si>
  <si>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</si>
  <si>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</si>
  <si>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</si>
  <si>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</si>
  <si>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</si>
  <si>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</si>
  <si>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</si>
  <si>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</si>
  <si>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</si>
  <si>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</si>
  <si>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</si>
  <si>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</si>
  <si>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</si>
  <si>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</si>
  <si>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</si>
  <si>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</si>
  <si>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</si>
  <si>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</si>
  <si>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</si>
  <si>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</si>
  <si>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</si>
  <si>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</si>
  <si>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</si>
  <si>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</si>
  <si>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</si>
  <si>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</si>
  <si>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</si>
  <si>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</si>
  <si>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</si>
  <si>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</si>
  <si>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</si>
  <si>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</si>
  <si>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</si>
  <si>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</si>
  <si>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</si>
  <si>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</si>
  <si>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</si>
  <si>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</si>
  <si>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</si>
  <si>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</si>
  <si>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</si>
  <si>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</si>
  <si>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</si>
  <si>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</si>
  <si>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</si>
  <si>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</si>
  <si>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</si>
  <si>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</si>
  <si>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</si>
  <si>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</si>
  <si>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</si>
  <si>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</si>
  <si>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</si>
  <si>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</si>
  <si>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</si>
  <si>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</si>
  <si>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</si>
  <si>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</si>
  <si>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</si>
  <si>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</si>
  <si>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</si>
  <si>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</si>
  <si>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</si>
  <si>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</si>
  <si>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</si>
  <si>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</si>
  <si>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</si>
  <si>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</si>
  <si>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</si>
  <si>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</si>
  <si>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</si>
  <si>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</si>
  <si>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</si>
  <si>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</si>
  <si>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</si>
  <si>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</si>
  <si>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</si>
  <si>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</si>
  <si>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</si>
  <si>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</si>
  <si>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</si>
  <si>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</si>
  <si>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</si>
  <si>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</si>
  <si>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</si>
  <si>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</si>
  <si>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</si>
  <si>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</si>
  <si>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</si>
  <si>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</si>
  <si>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</si>
  <si>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</si>
  <si>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</si>
  <si>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</si>
  <si>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</si>
  <si>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</si>
  <si>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</si>
  <si>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</si>
  <si>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</si>
  <si>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</si>
  <si>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</si>
  <si>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</si>
  <si>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</si>
  <si>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</si>
  <si>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</si>
  <si>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</si>
  <si>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</si>
  <si>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</si>
  <si>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</si>
  <si>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</si>
  <si>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</si>
  <si>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</si>
  <si>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</si>
  <si>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</si>
  <si>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</si>
  <si>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</si>
  <si>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</si>
  <si>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</si>
  <si>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</si>
  <si>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</si>
  <si>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</si>
  <si>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</si>
  <si>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</si>
  <si>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</si>
  <si>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</si>
  <si>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</si>
  <si>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</si>
  <si>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</si>
  <si>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</si>
  <si>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</si>
  <si>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</si>
  <si>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</si>
  <si>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</si>
  <si>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</si>
  <si>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</si>
  <si>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</si>
  <si>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</si>
  <si>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</si>
  <si>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</si>
  <si>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</si>
  <si>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</si>
  <si>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</si>
  <si>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</si>
  <si>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</si>
  <si>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</si>
  <si>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</si>
  <si>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</si>
  <si>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</si>
  <si>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</si>
  <si>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</si>
  <si>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</si>
  <si>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</si>
  <si>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</si>
  <si>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</si>
  <si>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</si>
  <si>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</si>
  <si>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</si>
  <si>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</si>
  <si>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</si>
  <si>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</si>
  <si>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</si>
  <si>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</si>
  <si>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</si>
  <si>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</si>
  <si>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</si>
  <si>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</si>
  <si>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</si>
  <si>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</si>
  <si>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</si>
  <si>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</si>
  <si>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</si>
  <si>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</si>
  <si>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</si>
  <si>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</si>
  <si>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</si>
  <si>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</si>
  <si>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</si>
  <si>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</si>
  <si>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</si>
  <si>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</si>
  <si>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</si>
  <si>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</si>
  <si>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</si>
  <si>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</si>
  <si>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</si>
  <si>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</si>
  <si>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</si>
  <si>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</si>
  <si>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</si>
  <si>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</si>
  <si>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</si>
  <si>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</si>
  <si>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</si>
  <si>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</si>
  <si>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</si>
  <si>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</si>
  <si>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</si>
  <si>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</si>
  <si>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</si>
  <si>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</si>
  <si>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</si>
  <si>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</si>
  <si>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</si>
  <si>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</si>
  <si>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</si>
  <si>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</si>
  <si>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</si>
  <si>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</si>
  <si>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</si>
  <si>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</si>
  <si>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</si>
  <si>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</si>
  <si>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</si>
  <si>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</si>
  <si>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</si>
  <si>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</si>
  <si>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</si>
  <si>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</si>
  <si>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</si>
  <si>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</si>
  <si>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</si>
  <si>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</si>
  <si>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</si>
  <si>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</si>
  <si>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</si>
  <si>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</si>
  <si>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</si>
  <si>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</si>
  <si>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</si>
  <si>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</si>
  <si>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</si>
  <si>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</si>
  <si>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</si>
  <si>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</si>
  <si>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</si>
  <si>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</si>
  <si>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</si>
  <si>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</si>
  <si>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</si>
  <si>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</si>
  <si>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</si>
  <si>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</si>
  <si>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</si>
  <si>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</si>
  <si>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</si>
  <si>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</si>
  <si>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</si>
  <si>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</si>
  <si>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</si>
  <si>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</si>
  <si>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</si>
  <si>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</si>
  <si>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</si>
  <si>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</si>
  <si>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</si>
  <si>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</si>
  <si>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</si>
  <si>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</si>
  <si>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</si>
  <si>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</si>
  <si>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</si>
  <si>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</si>
  <si>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</si>
  <si>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</si>
  <si>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</si>
  <si>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</si>
  <si>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</si>
  <si>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</si>
  <si>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</si>
  <si>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</si>
  <si>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</si>
  <si>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</si>
  <si>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</si>
  <si>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</si>
  <si>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</si>
  <si>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</si>
  <si>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</si>
  <si>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</si>
  <si>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</si>
  <si>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</si>
  <si>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</si>
  <si>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</si>
  <si>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</si>
  <si>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</si>
  <si>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</si>
  <si>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</si>
  <si>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</si>
  <si>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</si>
  <si>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</si>
  <si>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</si>
  <si>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</si>
  <si>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</si>
  <si>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</si>
  <si>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</si>
  <si>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</si>
  <si>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</si>
  <si>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</si>
  <si>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</si>
  <si>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</si>
  <si>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</si>
  <si>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</si>
  <si>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</si>
  <si>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</si>
  <si>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</si>
  <si>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</si>
  <si>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</si>
  <si>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</si>
  <si>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</si>
  <si>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</si>
  <si>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</si>
  <si>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</si>
  <si>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</si>
  <si>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</si>
  <si>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</si>
  <si>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</si>
  <si>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</si>
  <si>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</si>
  <si>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</si>
  <si>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</si>
  <si>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</si>
  <si>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</si>
  <si>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</si>
  <si>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</si>
  <si>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</si>
  <si>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</si>
  <si>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</si>
  <si>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</si>
  <si>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</si>
  <si>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</si>
  <si>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</si>
  <si>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</si>
  <si>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</si>
  <si>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</si>
  <si>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</si>
  <si>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</si>
  <si>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</si>
  <si>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</si>
  <si>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</si>
  <si>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</si>
  <si>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</si>
  <si>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</si>
  <si>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</si>
  <si>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</si>
  <si>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</si>
  <si>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</si>
  <si>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</si>
  <si>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</si>
  <si>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</si>
  <si>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</si>
  <si>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</si>
  <si>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</si>
  <si>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</si>
  <si>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</si>
  <si>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</si>
  <si>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</si>
  <si>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</si>
  <si>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</si>
  <si>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</si>
  <si>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</si>
  <si>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</si>
  <si>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</si>
  <si>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</si>
  <si>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</si>
  <si>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</si>
  <si>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</si>
  <si>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</si>
  <si>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</si>
  <si>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</si>
  <si>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</si>
  <si>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</si>
  <si>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</si>
  <si>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</si>
  <si>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</si>
  <si>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</si>
  <si>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</si>
  <si>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</si>
  <si>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</si>
  <si>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</si>
  <si>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</si>
  <si>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</si>
  <si>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</si>
  <si>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</si>
  <si>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</si>
  <si>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</si>
  <si>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</si>
  <si>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</si>
  <si>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</si>
  <si>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</si>
  <si>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</si>
  <si>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</si>
  <si>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</si>
  <si>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</si>
  <si>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</si>
  <si>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</si>
  <si>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</si>
  <si>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</si>
  <si>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</si>
  <si>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</si>
  <si>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</si>
  <si>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</si>
  <si>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</si>
  <si>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</si>
  <si>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</si>
  <si>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</si>
  <si>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</si>
  <si>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</si>
  <si>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</si>
  <si>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</si>
  <si>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</si>
  <si>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</si>
  <si>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</si>
  <si>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</si>
  <si>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</si>
  <si>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</si>
  <si>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</si>
  <si>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</si>
  <si>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</si>
  <si>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</si>
  <si>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</si>
  <si>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</si>
  <si>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</si>
  <si>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</si>
  <si>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</si>
  <si>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</si>
  <si>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</si>
  <si>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</si>
  <si>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</si>
  <si>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</si>
  <si>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</si>
  <si>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</si>
  <si>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</si>
  <si>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</si>
  <si>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</si>
  <si>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</si>
  <si>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</si>
  <si>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</si>
  <si>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</si>
  <si>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</si>
  <si>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</si>
  <si>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</si>
  <si>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</si>
  <si>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</si>
  <si>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</si>
  <si>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</si>
  <si>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</si>
  <si>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</si>
  <si>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</si>
  <si>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</si>
  <si>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</si>
  <si>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</si>
  <si>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</si>
  <si>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</si>
  <si>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</si>
  <si>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</si>
  <si>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</si>
  <si>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</si>
  <si>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</si>
  <si>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</si>
  <si>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</si>
  <si>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</si>
  <si>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</si>
  <si>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</si>
  <si>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</si>
  <si>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</si>
  <si>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</si>
  <si>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</si>
  <si>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</si>
  <si>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</si>
  <si>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</si>
  <si>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</si>
  <si>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</si>
  <si>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</si>
  <si>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</si>
  <si>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</si>
  <si>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</si>
  <si>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</si>
  <si>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</si>
  <si>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</si>
  <si>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</si>
  <si>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</si>
  <si>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</si>
  <si>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</si>
  <si>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</si>
  <si>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</si>
  <si>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</si>
  <si>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</si>
  <si>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</si>
  <si>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</si>
  <si>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</si>
  <si>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</si>
  <si>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</si>
  <si>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</si>
  <si>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</si>
  <si>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</si>
  <si>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</si>
  <si>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</si>
  <si>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</si>
  <si>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</si>
  <si>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</si>
  <si>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</si>
  <si>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</si>
  <si>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</si>
  <si>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</si>
  <si>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</si>
  <si>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</si>
  <si>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</si>
  <si>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</si>
  <si>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</si>
  <si>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</si>
  <si>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</si>
  <si>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</si>
  <si>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</si>
  <si>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</si>
  <si>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</si>
  <si>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</si>
  <si>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</si>
  <si>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</si>
  <si>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</si>
  <si>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</si>
  <si>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</si>
  <si>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</si>
  <si>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</si>
  <si>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</si>
  <si>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</si>
  <si>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</si>
  <si>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</si>
  <si>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</si>
  <si>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</si>
  <si>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</si>
  <si>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</si>
  <si>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</si>
  <si>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</si>
  <si>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</si>
  <si>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</si>
  <si>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</si>
  <si>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</si>
  <si>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</si>
  <si>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</si>
  <si>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</si>
  <si>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</si>
  <si>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</si>
  <si>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</si>
  <si>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</si>
  <si>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</si>
  <si>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</si>
  <si>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</si>
  <si>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</si>
  <si>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</si>
  <si>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</si>
  <si>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</si>
  <si>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</si>
  <si>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</si>
  <si>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</si>
  <si>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</si>
  <si>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</si>
  <si>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</si>
  <si>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</si>
  <si>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</si>
  <si>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</si>
  <si>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</si>
  <si>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</si>
  <si>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</si>
  <si>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</si>
  <si>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</si>
  <si>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</si>
  <si>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</si>
  <si>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</si>
  <si>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</si>
  <si>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</si>
  <si>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</si>
  <si>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</si>
  <si>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</si>
  <si>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</si>
  <si>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</si>
  <si>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</si>
  <si>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</si>
  <si>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</si>
  <si>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</si>
  <si>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</si>
  <si>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</si>
  <si>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</si>
  <si>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</si>
  <si>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</si>
  <si>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</si>
  <si>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</si>
  <si>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</si>
  <si>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</si>
  <si>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</si>
  <si>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</si>
  <si>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</si>
  <si>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</si>
  <si>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</si>
  <si>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</si>
  <si>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</si>
  <si>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</si>
  <si>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</si>
  <si>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</si>
  <si>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</si>
  <si>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</si>
  <si>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</si>
  <si>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</si>
  <si>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</si>
  <si>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</si>
  <si>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</si>
  <si>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</si>
  <si>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</si>
  <si>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</si>
  <si>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</si>
  <si>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</si>
  <si>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</si>
  <si>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</si>
  <si>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</si>
  <si>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</si>
  <si>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</si>
  <si>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</si>
  <si>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</si>
  <si>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</si>
  <si>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</si>
  <si>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</si>
  <si>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</si>
  <si>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</si>
  <si>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</si>
  <si>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</si>
  <si>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</si>
  <si>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</si>
  <si>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</si>
  <si>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</si>
  <si>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</si>
  <si>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</si>
  <si>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</si>
  <si>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</si>
  <si>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</si>
  <si>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</si>
  <si>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</si>
  <si>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</si>
  <si>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</si>
  <si>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</si>
  <si>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</si>
  <si>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</si>
  <si>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</si>
  <si>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</si>
  <si>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</si>
  <si>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</si>
  <si>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</si>
  <si>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</si>
  <si>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</si>
  <si>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</si>
  <si>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</si>
  <si>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</si>
  <si>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</si>
  <si>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</si>
  <si>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</si>
  <si>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</si>
  <si>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</si>
  <si>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</si>
  <si>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</si>
  <si>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</si>
  <si>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</si>
  <si>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</si>
  <si>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</si>
  <si>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</si>
  <si>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</si>
  <si>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</si>
  <si>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</si>
  <si>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</si>
  <si>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</si>
  <si>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</si>
  <si>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</si>
  <si>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</si>
  <si>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</si>
  <si>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</si>
  <si>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</si>
  <si>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</si>
  <si>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</si>
  <si>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</si>
  <si>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</si>
  <si>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</si>
  <si>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</si>
  <si>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</si>
  <si>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</si>
  <si>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</si>
  <si>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</si>
  <si>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</si>
  <si>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</si>
  <si>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</si>
  <si>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</si>
  <si>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</si>
  <si>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</si>
  <si>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</si>
  <si>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</si>
  <si>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</si>
  <si>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</si>
  <si>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</si>
  <si>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</si>
  <si>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</si>
  <si>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</si>
  <si>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</si>
  <si>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</si>
  <si>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</si>
  <si>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</si>
  <si>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</si>
  <si>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</si>
  <si>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</si>
  <si>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</si>
  <si>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</si>
  <si>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</si>
  <si>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</si>
  <si>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</si>
  <si>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</si>
  <si>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</si>
  <si>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</si>
  <si>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</si>
  <si>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</si>
  <si>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</si>
  <si>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</si>
  <si>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</si>
  <si>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</si>
  <si>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</si>
  <si>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</si>
  <si>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</si>
  <si>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</si>
  <si>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</si>
  <si>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</si>
  <si>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</si>
  <si>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</si>
  <si>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</si>
  <si>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</si>
  <si>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</si>
  <si>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</si>
  <si>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</si>
  <si>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</si>
  <si>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</si>
  <si>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</si>
  <si>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</si>
  <si>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</si>
  <si>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</si>
  <si>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</si>
  <si>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</si>
  <si>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</si>
  <si>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</si>
  <si>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</si>
  <si>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</si>
  <si>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</si>
  <si>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</si>
  <si>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</si>
  <si>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</si>
  <si>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</si>
  <si>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</si>
  <si>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</si>
  <si>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</si>
  <si>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</si>
  <si>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</si>
  <si>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</si>
  <si>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</si>
  <si>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</si>
  <si>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</si>
  <si>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</si>
  <si>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</si>
  <si>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</si>
  <si>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</si>
  <si>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</si>
  <si>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</si>
  <si>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</si>
  <si>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</si>
  <si>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</si>
  <si>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</si>
  <si>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</si>
  <si>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</si>
  <si>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</si>
  <si>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</si>
  <si>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</si>
  <si>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</si>
  <si>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</si>
  <si>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</si>
  <si>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</si>
  <si>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</si>
  <si>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</si>
  <si>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</si>
  <si>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</si>
  <si>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</si>
  <si>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</si>
  <si>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</si>
  <si>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</si>
  <si>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</si>
  <si>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</si>
  <si>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</si>
  <si>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</si>
  <si>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</si>
  <si>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</si>
  <si>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</si>
  <si>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</si>
  <si>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</si>
  <si>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</si>
  <si>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</si>
  <si>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</si>
  <si>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</si>
  <si>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</si>
  <si>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</si>
  <si>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</si>
  <si>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</si>
  <si>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</si>
  <si>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</si>
  <si>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</si>
  <si>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</si>
  <si>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</si>
  <si>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</si>
  <si>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</si>
  <si>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</si>
  <si>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</si>
  <si>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</si>
  <si>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</si>
  <si>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</si>
  <si>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</si>
  <si>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</si>
  <si>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</si>
  <si>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</si>
  <si>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</si>
  <si>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</si>
  <si>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</si>
  <si>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</si>
  <si>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</si>
  <si>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</si>
  <si>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</si>
  <si>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</si>
  <si>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</si>
  <si>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</si>
  <si>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</si>
  <si>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</si>
  <si>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</si>
  <si>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</si>
  <si>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</si>
  <si>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</si>
  <si>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</si>
  <si>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</si>
  <si>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</si>
  <si>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</si>
  <si>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</si>
  <si>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</si>
  <si>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</si>
  <si>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</si>
  <si>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</si>
  <si>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</si>
  <si>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</si>
  <si>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</si>
  <si>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</si>
  <si>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</si>
  <si>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</si>
  <si>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</si>
  <si>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</si>
  <si>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</si>
  <si>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</si>
  <si>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</si>
  <si>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</si>
  <si>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</si>
  <si>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</si>
  <si>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</si>
  <si>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</si>
  <si>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</si>
  <si>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</si>
  <si>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</si>
  <si>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</si>
  <si>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</si>
  <si>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</si>
  <si>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</si>
  <si>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</si>
  <si>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</si>
  <si>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</si>
  <si>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</si>
  <si>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</si>
  <si>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</si>
  <si>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</si>
  <si>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</si>
  <si>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</si>
  <si>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</si>
  <si>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</si>
  <si>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</si>
  <si>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</si>
  <si>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</si>
  <si>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</si>
  <si>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</si>
  <si>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</si>
  <si>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</si>
  <si>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</si>
  <si>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</si>
  <si>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</si>
  <si>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</si>
  <si>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</si>
  <si>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</si>
  <si>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</si>
  <si>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</si>
  <si>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</si>
  <si>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</si>
  <si>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</si>
  <si>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</si>
  <si>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</si>
  <si>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</si>
  <si>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</si>
  <si>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</si>
  <si>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</si>
  <si>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</si>
  <si>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</si>
  <si>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</si>
  <si>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</si>
  <si>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</si>
  <si>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</si>
  <si>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</si>
  <si>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</si>
  <si>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</si>
  <si>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</si>
  <si>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</si>
  <si>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</si>
  <si>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</si>
  <si>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</si>
  <si>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</si>
  <si>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</si>
  <si>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</si>
  <si>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</si>
  <si>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</si>
  <si>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</si>
  <si>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</si>
  <si>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</si>
  <si>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</si>
  <si>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</si>
  <si>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</si>
  <si>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</si>
  <si>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</si>
  <si>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</si>
  <si>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</si>
  <si>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</si>
  <si>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</si>
  <si>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</si>
  <si>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</si>
  <si>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</si>
  <si>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</si>
  <si>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</si>
  <si>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</si>
  <si>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</si>
  <si>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</si>
  <si>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</si>
  <si>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</si>
  <si>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</si>
  <si>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</si>
  <si>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</si>
  <si>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</si>
  <si>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</si>
  <si>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</si>
  <si>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</si>
  <si>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</si>
  <si>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</si>
  <si>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</si>
  <si>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</si>
  <si>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</si>
  <si>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</si>
  <si>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</si>
  <si>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</si>
  <si>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</si>
  <si>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</si>
  <si>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</si>
  <si>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</si>
  <si>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</si>
  <si>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</si>
  <si>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</si>
  <si>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</si>
  <si>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</si>
  <si>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</si>
  <si>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</si>
  <si>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</si>
  <si>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</si>
  <si>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</si>
  <si>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</si>
  <si>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</si>
  <si>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</si>
  <si>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</si>
  <si>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</si>
  <si>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</si>
  <si>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</si>
  <si>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</si>
  <si>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</si>
  <si>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</si>
  <si>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</si>
  <si>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</si>
  <si>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</si>
  <si>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</si>
  <si>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</si>
  <si>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</si>
  <si>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</si>
  <si>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</si>
  <si>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</si>
  <si>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</si>
  <si>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</si>
  <si>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</si>
  <si>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</si>
  <si>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</si>
  <si>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</si>
  <si>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</si>
  <si>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</si>
  <si>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</si>
  <si>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</si>
  <si>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</si>
  <si>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</si>
  <si>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</si>
  <si>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</si>
  <si>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</si>
  <si>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</si>
  <si>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</si>
  <si>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</si>
  <si>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</si>
  <si>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</si>
  <si>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</si>
  <si>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</si>
  <si>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</si>
  <si>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</si>
  <si>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</si>
  <si>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</si>
  <si>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</si>
  <si>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</si>
  <si>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</si>
  <si>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</si>
  <si>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</si>
  <si>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</si>
  <si>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</si>
  <si>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</si>
  <si>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</si>
  <si>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</si>
  <si>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</si>
  <si>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</si>
  <si>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</si>
  <si>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</si>
  <si>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</si>
  <si>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</si>
  <si>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</si>
  <si>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</si>
  <si>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</si>
  <si>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</si>
  <si>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</si>
  <si>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</si>
  <si>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</si>
  <si>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</si>
  <si>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</si>
  <si>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</si>
  <si>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</si>
  <si>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</si>
  <si>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</si>
  <si>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</si>
  <si>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</si>
  <si>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</si>
  <si>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</si>
  <si>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</si>
  <si>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</si>
  <si>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</si>
  <si>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</si>
  <si>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</si>
  <si>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</si>
  <si>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</si>
  <si>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</si>
  <si>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</si>
  <si>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</si>
  <si>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</si>
  <si>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</si>
  <si>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</si>
  <si>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</si>
  <si>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</si>
  <si>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</si>
  <si>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</si>
  <si>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</si>
  <si>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</si>
  <si>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</si>
  <si>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</si>
  <si>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</si>
  <si>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</si>
  <si>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</si>
  <si>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</si>
  <si>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</si>
  <si>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</si>
  <si>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</si>
  <si>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</si>
  <si>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</si>
  <si>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</si>
  <si>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</si>
  <si>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</si>
  <si>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</si>
  <si>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</si>
  <si>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</si>
  <si>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</si>
  <si>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</si>
  <si>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</si>
  <si>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</si>
  <si>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</si>
  <si>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</si>
  <si>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</si>
  <si>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</si>
  <si>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</si>
  <si>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</si>
  <si>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</si>
  <si>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</si>
  <si>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</si>
  <si>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</si>
  <si>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</si>
  <si>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</si>
  <si>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</si>
  <si>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</si>
  <si>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</si>
  <si>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</si>
  <si>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</si>
  <si>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</si>
  <si>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</si>
  <si>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</si>
  <si>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</si>
  <si>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</si>
  <si>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</si>
  <si>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</si>
  <si>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</si>
  <si>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</si>
  <si>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</si>
  <si>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</si>
  <si>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</si>
  <si>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</si>
  <si>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</si>
  <si>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</si>
  <si>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</si>
  <si>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</si>
  <si>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</si>
  <si>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</si>
  <si>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</si>
  <si>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</si>
  <si>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</si>
  <si>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</si>
  <si>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</si>
  <si>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</si>
  <si>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</si>
  <si>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</si>
  <si>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</si>
  <si>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</si>
  <si>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</si>
  <si>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</si>
  <si>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</si>
  <si>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</si>
  <si>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</si>
  <si>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</si>
  <si>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</si>
  <si>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</si>
  <si>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</si>
  <si>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</si>
  <si>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</si>
  <si>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</si>
  <si>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</si>
  <si>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</si>
  <si>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</si>
  <si>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</si>
  <si>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</si>
  <si>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</si>
  <si>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</si>
  <si>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</si>
  <si>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</si>
  <si>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</si>
  <si>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</si>
  <si>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</si>
  <si>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</si>
  <si>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</si>
  <si>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</si>
  <si>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</si>
  <si>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</si>
  <si>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</si>
  <si>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</si>
  <si>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</si>
  <si>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</si>
  <si>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</si>
  <si>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</si>
  <si>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</si>
  <si>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</si>
  <si>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</si>
  <si>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</si>
  <si>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</si>
  <si>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</si>
  <si>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</si>
  <si>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</si>
  <si>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</si>
  <si>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</si>
  <si>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</si>
  <si>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</si>
  <si>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</si>
  <si>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</si>
  <si>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</si>
  <si>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</si>
  <si>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</si>
  <si>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</si>
  <si>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</si>
  <si>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</si>
  <si>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</si>
  <si>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</si>
  <si>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</si>
  <si>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</si>
  <si>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</si>
  <si>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</si>
  <si>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</si>
  <si>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</si>
  <si>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</si>
  <si>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</si>
  <si>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</si>
  <si>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</si>
  <si>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</si>
  <si>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</si>
  <si>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</si>
  <si>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</si>
  <si>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</si>
  <si>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</si>
  <si>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</si>
  <si>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</si>
  <si>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</si>
  <si>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</si>
  <si>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</si>
  <si>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</si>
  <si>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</si>
  <si>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</si>
  <si>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</si>
  <si>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</si>
  <si>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</si>
  <si>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</si>
  <si>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</si>
  <si>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</si>
  <si>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</si>
  <si>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</si>
  <si>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</si>
  <si>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</si>
  <si>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</si>
  <si>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</si>
  <si>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</si>
  <si>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</si>
  <si>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</si>
  <si>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</si>
  <si>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</si>
  <si>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</si>
  <si>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</si>
  <si>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</si>
  <si>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</si>
  <si>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</si>
  <si>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</si>
  <si>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</si>
  <si>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</si>
  <si>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</si>
  <si>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</si>
  <si>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</si>
  <si>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</si>
  <si>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</si>
  <si>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</si>
  <si>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</si>
  <si>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</si>
  <si>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</si>
  <si>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</si>
  <si>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</si>
  <si>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</si>
  <si>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</si>
  <si>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</si>
  <si>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</si>
  <si>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</si>
  <si>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</si>
  <si>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</si>
  <si>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</si>
  <si>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</si>
  <si>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</si>
  <si>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</si>
  <si>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</si>
  <si>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</si>
  <si>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</si>
  <si>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</si>
  <si>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</si>
  <si>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</si>
  <si>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</si>
  <si>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</si>
  <si>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</si>
  <si>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</si>
  <si>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</si>
  <si>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</si>
  <si>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</si>
  <si>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</si>
  <si>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</si>
  <si>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</si>
  <si>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</si>
  <si>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</si>
  <si>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</si>
  <si>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</si>
  <si>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</si>
  <si>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</si>
  <si>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</si>
  <si>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</si>
  <si>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</si>
  <si>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</si>
  <si>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</si>
  <si>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</si>
  <si>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</si>
  <si>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</si>
  <si>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</si>
  <si>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</si>
  <si>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</si>
  <si>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</si>
  <si>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</si>
  <si>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</si>
  <si>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</si>
  <si>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</si>
  <si>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</si>
  <si>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</si>
  <si>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</si>
  <si>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</si>
  <si>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</si>
  <si>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</si>
  <si>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</si>
  <si>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</si>
  <si>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</si>
  <si>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</si>
  <si>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</si>
  <si>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</si>
  <si>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</si>
  <si>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</si>
  <si>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</si>
  <si>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</si>
  <si>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</si>
  <si>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</si>
  <si>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</si>
  <si>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</si>
  <si>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</si>
  <si>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</si>
  <si>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</si>
  <si>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</si>
  <si>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</si>
  <si>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</si>
  <si>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</si>
  <si>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</si>
  <si>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</si>
  <si>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</si>
  <si>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</si>
  <si>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</si>
  <si>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</si>
  <si>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</si>
  <si>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</si>
  <si>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</si>
  <si>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</si>
  <si>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</si>
  <si>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</si>
  <si>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</si>
  <si>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</si>
  <si>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</si>
  <si>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</si>
  <si>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</si>
  <si>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</si>
  <si>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</si>
  <si>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</si>
  <si>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</si>
  <si>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</si>
  <si>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</si>
  <si>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</si>
  <si>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</si>
  <si>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</si>
  <si>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</si>
  <si>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</si>
  <si>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</si>
  <si>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</si>
  <si>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</si>
  <si>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</si>
  <si>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</si>
  <si>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</si>
  <si>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</si>
  <si>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</si>
  <si>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</si>
  <si>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</si>
  <si>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</si>
  <si>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</si>
  <si>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</si>
  <si>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</si>
  <si>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</si>
  <si>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</si>
  <si>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</si>
  <si>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</si>
  <si>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</si>
  <si>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</si>
  <si>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</si>
  <si>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</si>
  <si>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</si>
  <si>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</si>
  <si>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</si>
  <si>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</si>
  <si>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</si>
  <si>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</si>
  <si>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</si>
  <si>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</si>
  <si>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</si>
  <si>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</si>
  <si>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</si>
  <si>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</si>
  <si>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</si>
  <si>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</si>
  <si>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</si>
  <si>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</si>
  <si>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</si>
  <si>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</si>
  <si>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</si>
  <si>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</si>
  <si>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</si>
  <si>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</si>
  <si>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</si>
  <si>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</si>
  <si>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</si>
  <si>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</si>
  <si>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</si>
  <si>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</si>
  <si>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</si>
  <si>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</si>
  <si>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</si>
  <si>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</si>
  <si>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</si>
  <si>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</si>
  <si>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</si>
  <si>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</si>
  <si>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</si>
  <si>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</si>
  <si>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</si>
  <si>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</si>
  <si>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</si>
  <si>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</si>
  <si>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</si>
  <si>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</si>
  <si>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</si>
  <si>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</si>
  <si>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</si>
  <si>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</si>
  <si>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</si>
  <si>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</si>
  <si>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</si>
  <si>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</si>
  <si>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</si>
  <si>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</si>
  <si>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</si>
  <si>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</si>
  <si>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</si>
  <si>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</si>
  <si>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</si>
  <si>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</si>
  <si>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</si>
  <si>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</si>
  <si>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</si>
  <si>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</si>
  <si>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</si>
  <si>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</si>
  <si>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</si>
  <si>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</si>
  <si>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</si>
  <si>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</si>
  <si>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</si>
  <si>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</si>
  <si>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</si>
  <si>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</si>
  <si>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</si>
  <si>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</si>
  <si>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</si>
  <si>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</si>
  <si>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</si>
  <si>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</si>
  <si>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</si>
  <si>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</si>
  <si>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</si>
  <si>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</si>
  <si>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</si>
  <si>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</si>
  <si>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</si>
  <si>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</si>
  <si>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</si>
  <si>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</si>
  <si>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</si>
  <si>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</si>
  <si>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</si>
  <si>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</si>
  <si>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</si>
  <si>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</si>
  <si>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</si>
  <si>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</si>
  <si>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</si>
  <si>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</si>
  <si>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</si>
  <si>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</si>
  <si>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</si>
  <si>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</si>
  <si>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</si>
  <si>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</si>
  <si>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</si>
  <si>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</si>
  <si>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</si>
  <si>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</si>
  <si>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</si>
  <si>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</si>
  <si>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</si>
  <si>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</si>
  <si>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</si>
  <si>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</si>
  <si>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</si>
  <si>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</si>
  <si>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</si>
  <si>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</si>
  <si>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</si>
  <si>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</si>
  <si>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</si>
  <si>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</si>
  <si>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</si>
  <si>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</si>
  <si>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</si>
  <si>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</si>
  <si>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</si>
  <si>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</si>
  <si>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</si>
  <si>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</si>
  <si>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</si>
  <si>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</si>
  <si>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</si>
  <si>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</si>
  <si>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</si>
  <si>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</si>
  <si>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</si>
  <si>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</si>
  <si>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</si>
  <si>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</si>
  <si>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</si>
  <si>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</si>
  <si>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</si>
  <si>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</si>
  <si>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</si>
  <si>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</si>
  <si>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</si>
  <si>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</si>
  <si>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</si>
  <si>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</si>
  <si>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</si>
  <si>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</si>
  <si>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</si>
  <si>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</si>
  <si>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</si>
  <si>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</si>
  <si>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</si>
  <si>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</si>
  <si>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</si>
  <si>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</si>
  <si>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</si>
  <si>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</si>
  <si>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</si>
  <si>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</si>
  <si>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</si>
  <si>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</si>
  <si>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</si>
  <si>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</si>
  <si>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</si>
  <si>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</si>
  <si>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</si>
  <si>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</si>
  <si>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</si>
  <si>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</si>
  <si>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</si>
  <si>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</si>
  <si>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</si>
  <si>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</si>
  <si>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</si>
  <si>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</si>
  <si>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</si>
  <si>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</si>
  <si>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</si>
  <si>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</si>
  <si>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</si>
  <si>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</si>
  <si>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</si>
  <si>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</si>
  <si>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</si>
  <si>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</si>
  <si>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</si>
  <si>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</si>
  <si>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</si>
  <si>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</si>
  <si>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</si>
  <si>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</si>
  <si>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</si>
  <si>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</si>
  <si>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</si>
  <si>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</si>
  <si>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</si>
  <si>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</si>
  <si>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</si>
  <si>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</si>
  <si>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</si>
  <si>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</si>
  <si>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</si>
  <si>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</si>
  <si>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</si>
  <si>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</si>
  <si>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</si>
  <si>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</si>
  <si>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</si>
  <si>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</si>
  <si>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</si>
  <si>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</si>
  <si>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</si>
  <si>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</si>
  <si>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</si>
  <si>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</si>
  <si>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</si>
  <si>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</si>
  <si>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</si>
  <si>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</si>
  <si>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</si>
  <si>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</si>
  <si>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</si>
  <si>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</si>
  <si>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</si>
  <si>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</si>
  <si>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</si>
  <si>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</si>
  <si>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</si>
  <si>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</si>
  <si>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</si>
  <si>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</si>
  <si>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</si>
  <si>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</si>
  <si>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</si>
  <si>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</si>
  <si>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</si>
  <si>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</si>
  <si>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</si>
  <si>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</si>
  <si>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</si>
  <si>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</si>
  <si>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</si>
  <si>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</si>
  <si>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</si>
  <si>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</si>
  <si>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</si>
  <si>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</si>
  <si>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</si>
  <si>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</si>
  <si>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</si>
  <si>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</si>
  <si>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</si>
  <si>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</si>
  <si>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</si>
  <si>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</si>
  <si>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</si>
  <si>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</si>
  <si>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</si>
  <si>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</si>
  <si>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</si>
  <si>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</si>
  <si>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</si>
  <si>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</si>
  <si>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</si>
  <si>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</si>
  <si>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</si>
  <si>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</si>
  <si>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</si>
  <si>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</si>
  <si>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</si>
  <si>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</si>
  <si>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</si>
  <si>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</si>
  <si>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</si>
  <si>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</si>
  <si>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</si>
  <si>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</si>
  <si>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</si>
  <si>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</si>
  <si>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</si>
  <si>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</si>
  <si>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</si>
  <si>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</si>
  <si>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</si>
  <si>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TU19</t>
  </si>
  <si>
    <t>TU20</t>
  </si>
  <si>
    <t>TU21</t>
  </si>
  <si>
    <t>TU22</t>
  </si>
  <si>
    <t>0415294</t>
  </si>
  <si>
    <t>C21B</t>
  </si>
  <si>
    <t>Nguyễn Thị Thanh Thuỷ</t>
  </si>
  <si>
    <t>Nguyễn Thị Cúc</t>
  </si>
  <si>
    <t>Nguyễn Thị Ngọc Thanh</t>
  </si>
  <si>
    <t>Nguyễn Minh Tâm</t>
  </si>
  <si>
    <t>Nguyễn Văn Quốc</t>
  </si>
  <si>
    <t>Trần Thanh Hợi</t>
  </si>
  <si>
    <t>Trần Thị Bích Vân</t>
  </si>
  <si>
    <t>Nhiên</t>
  </si>
  <si>
    <t>DANH SÁCH NHÀ CUNG CẤP NGUYÊN LIỆU 2016</t>
  </si>
  <si>
    <t>Ký Tên</t>
  </si>
  <si>
    <t>Tân Phước - Long Điền - Vũng Tàu</t>
  </si>
  <si>
    <t>NNL</t>
  </si>
  <si>
    <t>Khô cá chỉ vàng B TP</t>
  </si>
  <si>
    <t>TỔNG HỢP TÀI KHOẢN 331 - 2016</t>
  </si>
  <si>
    <t>TỔNG HỢP TÀI KHOẢN 131 - 2016</t>
  </si>
  <si>
    <t>Xuất Nhập Tồn Năm 2016</t>
  </si>
  <si>
    <t>Địa chỉ: Lô A14, đường 4A, KCN Hải Sơn, H. Đức Hoà, T. Long An</t>
  </si>
  <si>
    <t>- Sổ này có 05 trang, đánh từ trang 01 đến trang 05</t>
  </si>
  <si>
    <t xml:space="preserve">Ngày 31 tháng 12  năm  2016 </t>
  </si>
  <si>
    <t>- Ngày mở sổ:  02/01/ 2016</t>
  </si>
  <si>
    <t>SỔ CHI TIẾT THANH TOÁN VỚI NGƯỜI BÁN</t>
  </si>
  <si>
    <t>VAT Tiền điện kỳ 2 T10/16 - Cty Điện Lực Long An</t>
  </si>
  <si>
    <t>VAT Phí dịch vụ cung ứng bảo vệ T8/2016 - Cty TNHH Dịch Vụ Bảo Vệ Huỳnh Long</t>
  </si>
  <si>
    <t>VAT Gas  - Cty Xăng Dầu Trà Vinh</t>
  </si>
  <si>
    <t>VAT Thùng carton - Cty TNHH Bao Bì Giấy Kim Dung Phát</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</si>
</sst>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94">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69" fillId="29" borderId="0" xfId="87" applyFont="1" applyFill="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4"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34" fillId="30" borderId="18" xfId="0" applyFont="1" applyFill="1" applyBorder="1" applyAlignment="1">
      <alignment horizontal="center" vertical="center" wrapText="1"/>
    </xf>
    <xf numFmtId="0" fontId="34" fillId="0" borderId="43" xfId="0" applyFont="1" applyBorder="1" applyAlignment="1">
      <alignment horizontal="center" vertical="center"/>
    </xf>
    <xf numFmtId="0" fontId="106" fillId="0" borderId="16" xfId="0" applyFont="1" applyBorder="1" applyAlignment="1">
      <alignment vertical="center"/>
    </xf>
    <xf numFmtId="0" fontId="106" fillId="0" borderId="40" xfId="0" applyFont="1" applyBorder="1" applyAlignment="1">
      <alignment vertical="center"/>
    </xf>
    <xf numFmtId="0" fontId="106" fillId="0" borderId="43" xfId="0" applyFont="1" applyBorder="1" applyAlignment="1">
      <alignment horizontal="center" vertical="center"/>
    </xf>
    <xf numFmtId="0" fontId="106" fillId="0" borderId="43" xfId="0" applyFont="1" applyBorder="1" applyAlignment="1">
      <alignment vertical="center"/>
    </xf>
    <xf numFmtId="0" fontId="106" fillId="0" borderId="21" xfId="0" applyFont="1" applyBorder="1" applyAlignment="1">
      <alignment vertical="center"/>
    </xf>
    <xf numFmtId="0" fontId="106" fillId="0" borderId="42" xfId="0" applyFont="1" applyBorder="1" applyAlignment="1">
      <alignment vertical="center"/>
    </xf>
    <xf numFmtId="0" fontId="106" fillId="0" borderId="16" xfId="0" applyFont="1" applyFill="1" applyBorder="1" applyAlignment="1">
      <alignment vertical="center"/>
    </xf>
    <xf numFmtId="164" fontId="106" fillId="0" borderId="16" xfId="29" applyNumberFormat="1" applyFont="1" applyFill="1" applyBorder="1" applyAlignment="1">
      <alignment vertical="center"/>
    </xf>
    <xf numFmtId="0" fontId="106" fillId="0" borderId="16" xfId="0" quotePrefix="1" applyFont="1" applyFill="1" applyBorder="1" applyAlignment="1">
      <alignment horizontal="center" vertical="center"/>
    </xf>
    <xf numFmtId="0" fontId="106" fillId="0" borderId="40" xfId="0" applyFont="1" applyBorder="1" applyAlignment="1">
      <alignment horizontal="center" vertical="center"/>
    </xf>
    <xf numFmtId="0" fontId="106" fillId="0" borderId="16" xfId="0" applyFont="1" applyFill="1" applyBorder="1" applyAlignment="1">
      <alignment horizontal="center" vertical="center"/>
    </xf>
    <xf numFmtId="49" fontId="106" fillId="0" borderId="16" xfId="90" applyNumberFormat="1" applyFont="1" applyFill="1" applyBorder="1" applyAlignment="1">
      <alignment horizontal="left" vertical="center"/>
    </xf>
    <xf numFmtId="0" fontId="33" fillId="0" borderId="0" xfId="87" applyFont="1" applyFill="1" applyAlignment="1">
      <alignment vertical="center"/>
    </xf>
    <xf numFmtId="164" fontId="36" fillId="0" borderId="0" xfId="29" applyNumberFormat="1" applyFont="1" applyFill="1" applyAlignment="1" applyProtection="1">
      <alignment horizontal="left" vertical="center" indent="2"/>
      <protection hidden="1"/>
    </xf>
    <xf numFmtId="164" fontId="33" fillId="0" borderId="0" xfId="29" applyNumberFormat="1" applyFont="1" applyFill="1" applyAlignment="1" applyProtection="1">
      <alignment horizontal="left" vertical="center" indent="2"/>
      <protection hidden="1"/>
    </xf>
    <xf numFmtId="164" fontId="33" fillId="0" borderId="0" xfId="29" applyNumberFormat="1" applyFont="1" applyAlignment="1">
      <alignment horizontal="left" vertical="center" indent="2"/>
    </xf>
    <xf numFmtId="164" fontId="34" fillId="0" borderId="35" xfId="29" applyNumberFormat="1" applyFont="1" applyFill="1" applyBorder="1" applyAlignment="1">
      <alignment horizontal="left" vertical="center" wrapText="1" indent="2"/>
    </xf>
    <xf numFmtId="164" fontId="70" fillId="29" borderId="2" xfId="29" applyNumberFormat="1" applyFont="1" applyFill="1" applyBorder="1" applyAlignment="1">
      <alignment horizontal="left" vertical="center" wrapText="1" indent="2"/>
    </xf>
    <xf numFmtId="164" fontId="71" fillId="29" borderId="2" xfId="29" applyNumberFormat="1" applyFont="1" applyFill="1" applyBorder="1" applyAlignment="1">
      <alignment horizontal="left" vertical="center" wrapText="1" indent="2"/>
    </xf>
    <xf numFmtId="164" fontId="34" fillId="0" borderId="16" xfId="29" applyNumberFormat="1" applyFont="1" applyFill="1" applyBorder="1" applyAlignment="1">
      <alignment horizontal="left" vertical="center" wrapText="1" indent="2"/>
    </xf>
    <xf numFmtId="164" fontId="34" fillId="0" borderId="0" xfId="29" applyNumberFormat="1" applyFont="1" applyAlignment="1">
      <alignment horizontal="left" vertical="center" indent="2"/>
    </xf>
    <xf numFmtId="164" fontId="71" fillId="29" borderId="0" xfId="29" applyNumberFormat="1" applyFont="1" applyFill="1" applyAlignment="1">
      <alignment horizontal="left" vertical="center" indent="2"/>
    </xf>
    <xf numFmtId="164" fontId="69" fillId="29" borderId="0" xfId="29" applyNumberFormat="1" applyFont="1" applyFill="1" applyAlignment="1">
      <alignment horizontal="left" vertical="center" indent="2"/>
    </xf>
    <xf numFmtId="164" fontId="73" fillId="0" borderId="0" xfId="29" applyNumberFormat="1" applyFont="1" applyAlignment="1">
      <alignment horizontal="left" vertical="center" indent="2"/>
    </xf>
    <xf numFmtId="164" fontId="71"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164" fontId="39" fillId="0" borderId="0" xfId="29" applyNumberFormat="1" applyFont="1" applyFill="1" applyAlignment="1" applyProtection="1">
      <alignment horizontal="center" vertical="center"/>
      <protection hidden="1"/>
    </xf>
    <xf numFmtId="164" fontId="34" fillId="0" borderId="0" xfId="29" applyNumberFormat="1" applyFont="1" applyFill="1" applyAlignment="1" applyProtection="1">
      <alignment horizontal="center" vertical="center"/>
      <protection hidden="1"/>
    </xf>
    <xf numFmtId="164" fontId="33" fillId="0" borderId="0" xfId="29" applyNumberFormat="1" applyFont="1" applyAlignment="1">
      <alignment vertical="center"/>
    </xf>
    <xf numFmtId="164" fontId="33" fillId="0" borderId="0" xfId="29" applyNumberFormat="1" applyFont="1" applyAlignment="1">
      <alignment horizontal="center" vertical="center"/>
    </xf>
    <xf numFmtId="164" fontId="69" fillId="29" borderId="36" xfId="29" applyNumberFormat="1" applyFont="1" applyFill="1" applyBorder="1" applyAlignment="1">
      <alignment horizontal="center" vertical="center" wrapText="1"/>
    </xf>
    <xf numFmtId="164" fontId="70" fillId="29" borderId="2" xfId="29" applyNumberFormat="1" applyFont="1" applyFill="1" applyBorder="1" applyAlignment="1">
      <alignment horizontal="center" vertical="center" wrapText="1"/>
    </xf>
    <xf numFmtId="164" fontId="34" fillId="0" borderId="16" xfId="29" applyNumberFormat="1" applyFont="1" applyFill="1" applyBorder="1" applyAlignment="1">
      <alignment vertical="center" wrapText="1"/>
    </xf>
    <xf numFmtId="164" fontId="39" fillId="0" borderId="0" xfId="29" applyNumberFormat="1" applyFont="1" applyAlignment="1">
      <alignment vertical="center"/>
    </xf>
    <xf numFmtId="0" fontId="39" fillId="21" borderId="20" xfId="34" applyFont="1" applyBorder="1" applyAlignment="1">
      <alignment horizontal="center" vertical="center" wrapText="1"/>
    </xf>
    <xf numFmtId="0" fontId="39" fillId="21" borderId="2" xfId="34" applyFont="1" applyBorder="1" applyAlignment="1">
      <alignment horizontal="center" vertical="center" wrapText="1"/>
    </xf>
    <xf numFmtId="164" fontId="49" fillId="0" borderId="0" xfId="29" applyNumberFormat="1" applyFont="1" applyFill="1" applyBorder="1" applyAlignment="1">
      <alignment horizontal="left" vertical="center"/>
    </xf>
    <xf numFmtId="164" fontId="50" fillId="0" borderId="0" xfId="29" applyNumberFormat="1" applyFont="1" applyFill="1" applyBorder="1" applyAlignment="1">
      <alignment horizontal="left" vertical="center"/>
    </xf>
    <xf numFmtId="164" fontId="34" fillId="0" borderId="36" xfId="29" applyNumberFormat="1" applyFont="1" applyFill="1" applyBorder="1" applyAlignment="1">
      <alignment horizontal="center" vertical="center" wrapText="1"/>
    </xf>
    <xf numFmtId="164" fontId="34" fillId="0" borderId="0" xfId="29" applyNumberFormat="1" applyFont="1" applyAlignment="1">
      <alignment horizontal="center" vertical="center"/>
    </xf>
    <xf numFmtId="164" fontId="39" fillId="0" borderId="0" xfId="29" applyNumberFormat="1" applyFont="1" applyAlignment="1">
      <alignment horizontal="center" vertical="center"/>
    </xf>
    <xf numFmtId="0" fontId="39" fillId="29" borderId="0" xfId="97" applyFont="1" applyFill="1" applyAlignment="1">
      <alignment horizontal="left" vertical="center"/>
    </xf>
    <xf numFmtId="0" fontId="39" fillId="29" borderId="0" xfId="97" applyFont="1" applyFill="1" applyAlignment="1">
      <alignment horizontal="left" vertical="center" wrapText="1"/>
    </xf>
    <xf numFmtId="0" fontId="34" fillId="0" borderId="0" xfId="97" applyFont="1" applyAlignment="1">
      <alignment horizontal="left" vertical="center"/>
    </xf>
    <xf numFmtId="0" fontId="34" fillId="0" borderId="0" xfId="97" applyFont="1" applyAlignment="1">
      <alignment vertical="center"/>
    </xf>
    <xf numFmtId="14" fontId="50" fillId="0" borderId="21" xfId="76" applyNumberFormat="1" applyFont="1" applyFill="1" applyBorder="1" applyAlignment="1">
      <alignment horizontal="center" vertical="center"/>
    </xf>
    <xf numFmtId="14" fontId="34" fillId="0" borderId="16" xfId="96" applyNumberFormat="1" applyFont="1" applyFill="1" applyBorder="1" applyAlignment="1">
      <alignment horizontal="center"/>
    </xf>
    <xf numFmtId="14" fontId="34" fillId="0" borderId="21" xfId="76" applyNumberFormat="1" applyFont="1" applyFill="1" applyBorder="1" applyAlignment="1">
      <alignment horizontal="center" vertical="center"/>
    </xf>
    <xf numFmtId="0" fontId="34" fillId="0" borderId="0" xfId="52" applyFont="1" applyAlignment="1">
      <alignment horizontal="center" vertical="center"/>
    </xf>
    <xf numFmtId="0" fontId="33"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164" fontId="34" fillId="0" borderId="34" xfId="29" applyNumberFormat="1" applyFont="1" applyFill="1" applyBorder="1" applyAlignment="1">
      <alignment horizontal="center" vertical="center" wrapText="1"/>
    </xf>
    <xf numFmtId="164" fontId="34" fillId="0" borderId="35" xfId="29" applyNumberFormat="1"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9" borderId="0" xfId="97" applyFont="1" applyFill="1" applyAlignment="1">
      <alignment horizontal="left" vertical="center" wrapText="1"/>
    </xf>
    <xf numFmtId="0" fontId="33" fillId="0" borderId="0" xfId="99" applyFont="1" applyAlignment="1" applyProtection="1">
      <alignment horizontal="center"/>
      <protection hidden="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80" fillId="0" borderId="22" xfId="0" applyFont="1" applyBorder="1" applyAlignment="1">
      <alignment horizontal="left"/>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2" activePane="bottomLeft" state="frozen"/>
      <selection activeCell="A7" sqref="A7"/>
      <selection pane="bottomLeft" activeCell="C52" sqref="C52"/>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49</v>
      </c>
      <c r="B1" s="31"/>
    </row>
    <row r="2" spans="1:12">
      <c r="A2" s="31" t="s">
        <v>50</v>
      </c>
      <c r="B2" s="31"/>
    </row>
    <row r="3" spans="1:12">
      <c r="A3" s="31" t="s">
        <v>51</v>
      </c>
      <c r="B3" s="31"/>
    </row>
    <row r="4" spans="1:12" ht="1.5" customHeight="1"/>
    <row r="5" spans="1:12" ht="19.5">
      <c r="A5" s="34" t="s">
        <v>52</v>
      </c>
      <c r="B5" s="34"/>
      <c r="C5" s="35"/>
      <c r="D5" s="35"/>
      <c r="E5" s="34"/>
      <c r="F5" s="34"/>
      <c r="G5" s="34"/>
      <c r="H5" s="34"/>
    </row>
    <row r="6" spans="1:12" ht="19.5">
      <c r="A6" s="36" t="s">
        <v>53</v>
      </c>
      <c r="B6" s="34"/>
      <c r="C6" s="35"/>
      <c r="D6" s="35"/>
      <c r="E6" s="34"/>
      <c r="F6" s="34"/>
      <c r="G6" s="34"/>
      <c r="H6" s="34"/>
    </row>
    <row r="7" spans="1:12" ht="6" customHeight="1"/>
    <row r="8" spans="1:12">
      <c r="A8" s="37"/>
      <c r="B8" s="37" t="s">
        <v>54</v>
      </c>
      <c r="C8" s="38" t="s">
        <v>55</v>
      </c>
      <c r="D8" s="38"/>
      <c r="E8" s="39" t="s">
        <v>56</v>
      </c>
      <c r="F8" s="39"/>
      <c r="G8" s="39" t="s">
        <v>57</v>
      </c>
      <c r="H8" s="39"/>
    </row>
    <row r="9" spans="1:12">
      <c r="A9" s="40" t="s">
        <v>58</v>
      </c>
      <c r="B9" s="40"/>
      <c r="C9" s="38" t="s">
        <v>59</v>
      </c>
      <c r="D9" s="38" t="s">
        <v>60</v>
      </c>
      <c r="E9" s="39" t="s">
        <v>59</v>
      </c>
      <c r="F9" s="39" t="s">
        <v>60</v>
      </c>
      <c r="G9" s="39" t="s">
        <v>59</v>
      </c>
      <c r="H9" s="39" t="s">
        <v>60</v>
      </c>
    </row>
    <row r="10" spans="1:12" s="32" customFormat="1">
      <c r="A10" s="41" t="s">
        <v>61</v>
      </c>
      <c r="B10" s="42" t="s">
        <v>62</v>
      </c>
      <c r="C10" s="43">
        <v>3705039095</v>
      </c>
      <c r="D10" s="43">
        <v>0</v>
      </c>
      <c r="E10" s="1188">
        <f t="array" ref="E10">SUM(IF(A10=KHN,TH))</f>
        <v>100935965700</v>
      </c>
      <c r="F10" s="1188">
        <f t="array" ref="F10">SUM(IF(A10=KHC,TH))</f>
        <v>103973620272.5</v>
      </c>
      <c r="G10" s="44">
        <f>MAX(C10+E10-D10-F10,0)</f>
        <v>667384522.5</v>
      </c>
      <c r="H10" s="44">
        <f>MAX(D10+F10-E10-C10,0)</f>
        <v>0</v>
      </c>
      <c r="K10" s="45"/>
      <c r="L10" s="45"/>
    </row>
    <row r="11" spans="1:12" s="32" customFormat="1">
      <c r="A11" s="46" t="s">
        <v>17</v>
      </c>
      <c r="B11" s="47" t="s">
        <v>63</v>
      </c>
      <c r="C11" s="48">
        <v>3705039095</v>
      </c>
      <c r="D11" s="48">
        <v>0</v>
      </c>
      <c r="E11" s="1189">
        <f>E10</f>
        <v>100935965700</v>
      </c>
      <c r="F11" s="1189">
        <f>F10</f>
        <v>103973620272.5</v>
      </c>
      <c r="G11" s="48">
        <f>G10</f>
        <v>667384522.5</v>
      </c>
      <c r="H11" s="48">
        <f>H10</f>
        <v>0</v>
      </c>
    </row>
    <row r="12" spans="1:12" s="32" customFormat="1">
      <c r="A12" s="49" t="s">
        <v>25</v>
      </c>
      <c r="B12" s="42" t="s">
        <v>64</v>
      </c>
      <c r="C12" s="43">
        <v>19829295</v>
      </c>
      <c r="D12" s="43">
        <v>0</v>
      </c>
      <c r="E12" s="1188">
        <f t="array" ref="E12">SUM(IF(A12=KHN,TH))</f>
        <v>178296144576</v>
      </c>
      <c r="F12" s="1188">
        <f t="array" ref="F12">SUM(IF(A12=KHC,TH))</f>
        <v>178306591452</v>
      </c>
      <c r="G12" s="44">
        <f>MAX(C12+E12-D12-F12,0)</f>
        <v>9382419</v>
      </c>
      <c r="H12" s="44">
        <f>MAX(D12+F12-E12-C12,0)</f>
        <v>0</v>
      </c>
      <c r="K12" s="45"/>
      <c r="L12" s="45"/>
    </row>
    <row r="13" spans="1:12" s="32" customFormat="1">
      <c r="A13" s="49" t="s">
        <v>260</v>
      </c>
      <c r="B13" s="42" t="s">
        <v>261</v>
      </c>
      <c r="C13" s="43">
        <v>2236796790</v>
      </c>
      <c r="D13" s="43">
        <v>0</v>
      </c>
      <c r="E13" s="1188">
        <f t="array" ref="E13">SUM(IF(A13=KHN,TH))</f>
        <v>177334204806.39999</v>
      </c>
      <c r="F13" s="1188">
        <f t="array" ref="F13">SUM(IF(A13=KHC,TH))</f>
        <v>179565321612.20001</v>
      </c>
      <c r="G13" s="44">
        <f>MAX(C13+E13-D13-F13,0)</f>
        <v>5679984.1999816895</v>
      </c>
      <c r="H13" s="44">
        <f>MAX(D13+F13-E13-C13,0)</f>
        <v>0</v>
      </c>
      <c r="K13" s="45"/>
      <c r="L13" s="45"/>
    </row>
    <row r="14" spans="1:12" s="32" customFormat="1">
      <c r="A14" s="46" t="s">
        <v>65</v>
      </c>
      <c r="B14" s="47" t="s">
        <v>66</v>
      </c>
      <c r="C14" s="48">
        <v>2256626085</v>
      </c>
      <c r="D14" s="48">
        <v>0</v>
      </c>
      <c r="E14" s="1189">
        <f>E12+E13</f>
        <v>355630349382.40002</v>
      </c>
      <c r="F14" s="1189">
        <f>F12+F13</f>
        <v>357871913064.20001</v>
      </c>
      <c r="G14" s="48">
        <f>G12+G13</f>
        <v>15062403.199981689</v>
      </c>
      <c r="H14" s="48">
        <f>H12+H13</f>
        <v>0</v>
      </c>
    </row>
    <row r="15" spans="1:12" s="32" customFormat="1">
      <c r="A15" s="46" t="s">
        <v>576</v>
      </c>
      <c r="B15" s="47" t="s">
        <v>850</v>
      </c>
      <c r="C15" s="48">
        <v>3343381600</v>
      </c>
      <c r="D15" s="48">
        <v>0</v>
      </c>
      <c r="E15" s="1190">
        <f t="array" ref="E15">SUM(IF(A15=KHN,TH))</f>
        <v>163935009965</v>
      </c>
      <c r="F15" s="1190">
        <f t="array" ref="F15">SUM(IF(A15=KHC,TH))</f>
        <v>110239598669.39999</v>
      </c>
      <c r="G15" s="48">
        <f>MAX(C15+E15-D15-F15,0)</f>
        <v>57038792895.600006</v>
      </c>
      <c r="H15" s="48">
        <f>MAX(D15+F15-E15-C15,0)</f>
        <v>0</v>
      </c>
    </row>
    <row r="16" spans="1:12" s="32" customFormat="1">
      <c r="A16" s="49" t="s">
        <v>9</v>
      </c>
      <c r="B16" s="42" t="s">
        <v>67</v>
      </c>
      <c r="C16" s="43">
        <v>162420936</v>
      </c>
      <c r="D16" s="43">
        <v>0</v>
      </c>
      <c r="E16" s="1188">
        <f t="array" ref="E16">SUM(IF(A16=KHN,TH))</f>
        <v>875467002</v>
      </c>
      <c r="F16" s="1188">
        <f t="array" ref="F16">SUM(IF(A16=KHC,TH))</f>
        <v>519416947</v>
      </c>
      <c r="G16" s="44">
        <f>MAX(C16+E16-D16-F16,0)</f>
        <v>518470991</v>
      </c>
      <c r="H16" s="44">
        <f>MAX(D16+F16-E16-C16,0)</f>
        <v>0</v>
      </c>
      <c r="I16" s="32">
        <v>317962589</v>
      </c>
      <c r="J16" s="32" t="s">
        <v>2523</v>
      </c>
    </row>
    <row r="17" spans="1:9" s="32" customFormat="1">
      <c r="A17" s="46" t="s">
        <v>68</v>
      </c>
      <c r="B17" s="47" t="s">
        <v>69</v>
      </c>
      <c r="C17" s="48">
        <v>162420936</v>
      </c>
      <c r="D17" s="48">
        <v>0</v>
      </c>
      <c r="E17" s="1189">
        <f>E16</f>
        <v>875467002</v>
      </c>
      <c r="F17" s="1189">
        <f>F16</f>
        <v>519416947</v>
      </c>
      <c r="G17" s="48">
        <f>G16</f>
        <v>518470991</v>
      </c>
      <c r="H17" s="48">
        <f>H16</f>
        <v>0</v>
      </c>
    </row>
    <row r="18" spans="1:9" s="32" customFormat="1">
      <c r="A18" s="49" t="s">
        <v>70</v>
      </c>
      <c r="B18" s="42" t="s">
        <v>71</v>
      </c>
      <c r="C18" s="43">
        <v>1500000000</v>
      </c>
      <c r="D18" s="43">
        <v>0</v>
      </c>
      <c r="E18" s="1188">
        <f t="array" ref="E18">SUM(IF(A18=KHN,TH))</f>
        <v>1190088412</v>
      </c>
      <c r="F18" s="1188">
        <f t="array" ref="F18">SUM(IF(A18=KHC,TH))</f>
        <v>2690088412</v>
      </c>
      <c r="G18" s="44">
        <f t="shared" ref="G18:G44" si="0">MAX(C18+E18-D18-F18,0)</f>
        <v>0</v>
      </c>
      <c r="H18" s="44">
        <f t="shared" ref="H18:H44" si="1">MAX(D18+F18-E18-C18,0)</f>
        <v>0</v>
      </c>
    </row>
    <row r="19" spans="1:9" s="32" customFormat="1">
      <c r="A19" s="46" t="s">
        <v>72</v>
      </c>
      <c r="B19" s="47" t="s">
        <v>73</v>
      </c>
      <c r="C19" s="48">
        <v>1500000000</v>
      </c>
      <c r="D19" s="48">
        <v>0</v>
      </c>
      <c r="E19" s="1189">
        <f>E18</f>
        <v>1190088412</v>
      </c>
      <c r="F19" s="1189">
        <f>F18</f>
        <v>2690088412</v>
      </c>
      <c r="G19" s="48">
        <f t="shared" si="0"/>
        <v>0</v>
      </c>
      <c r="H19" s="48">
        <f t="shared" si="1"/>
        <v>0</v>
      </c>
    </row>
    <row r="20" spans="1:9" s="32" customFormat="1">
      <c r="A20" s="46" t="s">
        <v>266</v>
      </c>
      <c r="B20" s="47" t="s">
        <v>267</v>
      </c>
      <c r="C20" s="48"/>
      <c r="D20" s="48">
        <v>0</v>
      </c>
      <c r="E20" s="1190">
        <f t="array" ref="E20">SUM(IF(A20=KHN,TH))</f>
        <v>77772918500</v>
      </c>
      <c r="F20" s="1190">
        <f t="array" ref="F20">SUM(IF(A20=KHC,TH))</f>
        <v>77772918500</v>
      </c>
      <c r="G20" s="48">
        <f t="shared" si="0"/>
        <v>0</v>
      </c>
      <c r="H20" s="48">
        <f t="shared" si="1"/>
        <v>0</v>
      </c>
    </row>
    <row r="21" spans="1:9" s="32" customFormat="1">
      <c r="A21" s="49" t="s">
        <v>268</v>
      </c>
      <c r="B21" s="42" t="s">
        <v>269</v>
      </c>
      <c r="C21" s="43">
        <v>2772400000</v>
      </c>
      <c r="D21" s="43">
        <v>0</v>
      </c>
      <c r="E21" s="1188">
        <f t="array" ref="E21">SUM(IF(A21=KHN,TH))</f>
        <v>97188574000</v>
      </c>
      <c r="F21" s="1188">
        <f t="array" ref="F21">SUM(IF(A21=KHC,TH))</f>
        <v>99960974000</v>
      </c>
      <c r="G21" s="44">
        <f t="shared" si="0"/>
        <v>0</v>
      </c>
      <c r="H21" s="44">
        <f t="shared" si="1"/>
        <v>0</v>
      </c>
    </row>
    <row r="22" spans="1:9" s="32" customFormat="1">
      <c r="A22" s="49" t="s">
        <v>270</v>
      </c>
      <c r="B22" s="42" t="s">
        <v>271</v>
      </c>
      <c r="C22" s="43">
        <v>526519887</v>
      </c>
      <c r="D22" s="43">
        <v>0</v>
      </c>
      <c r="E22" s="1188">
        <f t="array" ref="E22">SUM(IF(A22=KHN,TH))</f>
        <v>2169953792</v>
      </c>
      <c r="F22" s="1188">
        <f t="array" ref="F22">SUM(IF(A22=KHC,TH))</f>
        <v>2344482236</v>
      </c>
      <c r="G22" s="43">
        <f t="shared" si="0"/>
        <v>351991443</v>
      </c>
      <c r="H22" s="43">
        <f t="shared" si="1"/>
        <v>0</v>
      </c>
    </row>
    <row r="23" spans="1:9" s="32" customFormat="1">
      <c r="A23" s="46" t="s">
        <v>272</v>
      </c>
      <c r="B23" s="47" t="s">
        <v>273</v>
      </c>
      <c r="C23" s="48">
        <f>C21+C22</f>
        <v>3298919887</v>
      </c>
      <c r="D23" s="48">
        <f>D21+D22</f>
        <v>0</v>
      </c>
      <c r="E23" s="1189">
        <f>E21+E22</f>
        <v>99358527792</v>
      </c>
      <c r="F23" s="1189">
        <f>F21+F22</f>
        <v>102305456236</v>
      </c>
      <c r="G23" s="48">
        <f t="shared" si="0"/>
        <v>351991443</v>
      </c>
      <c r="H23" s="48">
        <f t="shared" si="1"/>
        <v>0</v>
      </c>
    </row>
    <row r="24" spans="1:9" s="32" customFormat="1" ht="15" customHeight="1">
      <c r="A24" s="46" t="s">
        <v>274</v>
      </c>
      <c r="B24" s="47" t="s">
        <v>275</v>
      </c>
      <c r="C24" s="48"/>
      <c r="D24" s="48">
        <v>0</v>
      </c>
      <c r="E24" s="1190">
        <f t="array" ref="E24">SUM(IF(A24=KHN,TH))</f>
        <v>49990909</v>
      </c>
      <c r="F24" s="1190">
        <f t="array" ref="F24">SUM(IF(A24=KHC,TH))</f>
        <v>0</v>
      </c>
      <c r="G24" s="48">
        <f t="shared" si="0"/>
        <v>49990909</v>
      </c>
      <c r="H24" s="48">
        <f t="shared" si="1"/>
        <v>0</v>
      </c>
    </row>
    <row r="25" spans="1:9" s="32" customFormat="1" ht="12.75" customHeight="1">
      <c r="A25" s="46" t="s">
        <v>276</v>
      </c>
      <c r="B25" s="47" t="s">
        <v>277</v>
      </c>
      <c r="C25" s="48"/>
      <c r="D25" s="48">
        <v>0</v>
      </c>
      <c r="E25" s="1190">
        <f t="array" ref="E25">SUM(IF(A25=KHN,TH))</f>
        <v>140644407679.5</v>
      </c>
      <c r="F25" s="1190">
        <f t="array" ref="F25">SUM(IF(A25=KHC,TH))</f>
        <v>139193566679.5</v>
      </c>
      <c r="G25" s="48">
        <f>MAX(C25+E25-D25-F25,0)</f>
        <v>1450841000</v>
      </c>
      <c r="H25" s="48">
        <f t="shared" si="1"/>
        <v>0</v>
      </c>
      <c r="I25" s="32">
        <f>G25-1450841000</f>
        <v>0</v>
      </c>
    </row>
    <row r="26" spans="1:9" s="32" customFormat="1">
      <c r="A26" s="46" t="s">
        <v>278</v>
      </c>
      <c r="B26" s="47" t="s">
        <v>279</v>
      </c>
      <c r="C26" s="48">
        <v>9386323824</v>
      </c>
      <c r="D26" s="48">
        <v>0</v>
      </c>
      <c r="E26" s="1190">
        <f t="array" ref="E26">SUM(IF(A26=KHN,TH))</f>
        <v>184759580679.5</v>
      </c>
      <c r="F26" s="1190">
        <f t="array" ref="F26">SUM(IF(A26=KHC,TH))</f>
        <v>190677395204.5</v>
      </c>
      <c r="G26" s="48">
        <f t="shared" si="0"/>
        <v>3468509299</v>
      </c>
      <c r="H26" s="48">
        <f t="shared" si="1"/>
        <v>0</v>
      </c>
    </row>
    <row r="27" spans="1:9" s="32" customFormat="1">
      <c r="A27" s="420" t="s">
        <v>280</v>
      </c>
      <c r="B27" s="421" t="s">
        <v>281</v>
      </c>
      <c r="C27" s="422">
        <v>7490743648</v>
      </c>
      <c r="D27" s="422">
        <v>0</v>
      </c>
      <c r="E27" s="1188">
        <f t="array" ref="E27">SUM(IF(A27=KHN,TH))</f>
        <v>279617893</v>
      </c>
      <c r="F27" s="1188">
        <f t="array" ref="F27">SUM(IF(A27=KHC,TH))</f>
        <v>0</v>
      </c>
      <c r="G27" s="422">
        <f t="shared" si="0"/>
        <v>7770361541</v>
      </c>
      <c r="H27" s="422">
        <f t="shared" si="1"/>
        <v>0</v>
      </c>
    </row>
    <row r="28" spans="1:9" s="32" customFormat="1">
      <c r="A28" s="423" t="s">
        <v>282</v>
      </c>
      <c r="B28" s="424" t="s">
        <v>283</v>
      </c>
      <c r="C28" s="425">
        <v>3807898863</v>
      </c>
      <c r="D28" s="425">
        <v>0</v>
      </c>
      <c r="E28" s="1188">
        <f t="array" ref="E28">SUM(IF(A28=KHN,TH))</f>
        <v>0</v>
      </c>
      <c r="F28" s="1188">
        <f t="array" ref="F28">SUM(IF(A28=KHC,TH))</f>
        <v>0</v>
      </c>
      <c r="G28" s="425">
        <f t="shared" si="0"/>
        <v>3807898863</v>
      </c>
      <c r="H28" s="425">
        <f t="shared" si="1"/>
        <v>0</v>
      </c>
    </row>
    <row r="29" spans="1:9" s="32" customFormat="1">
      <c r="A29" s="423" t="s">
        <v>284</v>
      </c>
      <c r="B29" s="424" t="s">
        <v>285</v>
      </c>
      <c r="C29" s="425">
        <v>3790918485</v>
      </c>
      <c r="D29" s="425">
        <v>0</v>
      </c>
      <c r="E29" s="1188">
        <f t="array" ref="E29">SUM(IF(A29=KHN,TH))</f>
        <v>0</v>
      </c>
      <c r="F29" s="1188">
        <f t="array" ref="F29">SUM(IF(A29=KHC,TH))</f>
        <v>0</v>
      </c>
      <c r="G29" s="425">
        <f t="shared" si="0"/>
        <v>3790918485</v>
      </c>
      <c r="H29" s="425">
        <f t="shared" si="1"/>
        <v>0</v>
      </c>
    </row>
    <row r="30" spans="1:9" s="32" customFormat="1">
      <c r="A30" s="46" t="s">
        <v>286</v>
      </c>
      <c r="B30" s="47" t="s">
        <v>287</v>
      </c>
      <c r="C30" s="48">
        <v>15089560996</v>
      </c>
      <c r="D30" s="48">
        <v>0</v>
      </c>
      <c r="E30" s="1189">
        <f>SUM(E27:E29)</f>
        <v>279617893</v>
      </c>
      <c r="F30" s="1189">
        <f>SUM(F27:F29)</f>
        <v>0</v>
      </c>
      <c r="G30" s="48">
        <f>SUM(G27:G29)</f>
        <v>15369178889</v>
      </c>
      <c r="H30" s="48">
        <f>SUM(H27:H29)</f>
        <v>0</v>
      </c>
    </row>
    <row r="31" spans="1:9" s="32" customFormat="1">
      <c r="A31" s="423" t="s">
        <v>842</v>
      </c>
      <c r="B31" s="424" t="s">
        <v>843</v>
      </c>
      <c r="C31" s="425">
        <v>5405781300</v>
      </c>
      <c r="D31" s="425">
        <v>0</v>
      </c>
      <c r="E31" s="1188">
        <f t="array" ref="E31">SUM(IF(A31=KHN,TH))</f>
        <v>0</v>
      </c>
      <c r="F31" s="1188">
        <f t="array" ref="F31">SUM(IF(A31=KHC,TH))</f>
        <v>0</v>
      </c>
      <c r="G31" s="425">
        <f>MAX(C31+E31-D31-F31,0)</f>
        <v>5405781300</v>
      </c>
      <c r="H31" s="425">
        <f>MAX(D31+F31-E31-C31,0)</f>
        <v>0</v>
      </c>
    </row>
    <row r="32" spans="1:9" s="32" customFormat="1">
      <c r="A32" s="50" t="s">
        <v>844</v>
      </c>
      <c r="B32" s="47" t="s">
        <v>845</v>
      </c>
      <c r="C32" s="48">
        <f t="shared" ref="C32:H32" si="2">C31</f>
        <v>5405781300</v>
      </c>
      <c r="D32" s="48">
        <f t="shared" si="2"/>
        <v>0</v>
      </c>
      <c r="E32" s="1189">
        <f t="shared" si="2"/>
        <v>0</v>
      </c>
      <c r="F32" s="1189">
        <f t="shared" si="2"/>
        <v>0</v>
      </c>
      <c r="G32" s="48">
        <f t="shared" si="2"/>
        <v>5405781300</v>
      </c>
      <c r="H32" s="48">
        <f t="shared" si="2"/>
        <v>0</v>
      </c>
    </row>
    <row r="33" spans="1:8" s="32" customFormat="1">
      <c r="A33" s="49" t="s">
        <v>578</v>
      </c>
      <c r="B33" s="42" t="s">
        <v>846</v>
      </c>
      <c r="C33" s="43">
        <v>0</v>
      </c>
      <c r="D33" s="43">
        <v>9132359256</v>
      </c>
      <c r="E33" s="1188">
        <f t="array" ref="E33">SUM(IF(A33=KHN,TH))</f>
        <v>0</v>
      </c>
      <c r="F33" s="1188">
        <f t="array" ref="F33">SUM(IF(A33=KHC,TH))</f>
        <v>625902677</v>
      </c>
      <c r="G33" s="43">
        <f>MAX(C33+E33-D33-F33,0)</f>
        <v>0</v>
      </c>
      <c r="H33" s="43">
        <f>MAX(D33+F33-E33-C33,0)</f>
        <v>9758261933</v>
      </c>
    </row>
    <row r="34" spans="1:8" s="32" customFormat="1">
      <c r="A34" s="41" t="s">
        <v>577</v>
      </c>
      <c r="B34" s="42" t="s">
        <v>847</v>
      </c>
      <c r="C34" s="43">
        <v>0</v>
      </c>
      <c r="D34" s="43">
        <v>600642360</v>
      </c>
      <c r="E34" s="1188">
        <f t="array" ref="E34">SUM(IF(A34=KHN,TH))</f>
        <v>0</v>
      </c>
      <c r="F34" s="1188">
        <f t="array" ref="F34">SUM(IF(A34=KHC,TH))</f>
        <v>120128478</v>
      </c>
      <c r="G34" s="43">
        <f>MAX(C34+E34-D34-F34,0)</f>
        <v>0</v>
      </c>
      <c r="H34" s="43">
        <f>MAX(D34+F34-E34-C34,0)</f>
        <v>720770838</v>
      </c>
    </row>
    <row r="35" spans="1:8" s="32" customFormat="1" ht="12.75" customHeight="1">
      <c r="A35" s="46" t="s">
        <v>848</v>
      </c>
      <c r="B35" s="47" t="s">
        <v>849</v>
      </c>
      <c r="C35" s="48">
        <f t="shared" ref="C35:H35" si="3">C33+C34</f>
        <v>0</v>
      </c>
      <c r="D35" s="48">
        <f t="shared" si="3"/>
        <v>9733001616</v>
      </c>
      <c r="E35" s="1189">
        <f t="shared" si="3"/>
        <v>0</v>
      </c>
      <c r="F35" s="1189">
        <f t="shared" si="3"/>
        <v>746031155</v>
      </c>
      <c r="G35" s="48">
        <f t="shared" si="3"/>
        <v>0</v>
      </c>
      <c r="H35" s="48">
        <f t="shared" si="3"/>
        <v>10479032771</v>
      </c>
    </row>
    <row r="36" spans="1:8" s="32" customFormat="1">
      <c r="A36" s="41" t="s">
        <v>159</v>
      </c>
      <c r="B36" s="42" t="s">
        <v>160</v>
      </c>
      <c r="C36" s="43"/>
      <c r="D36" s="43">
        <v>0</v>
      </c>
      <c r="E36" s="1188">
        <f t="array" ref="E36">SUM(IF(A36=KHN,TH))</f>
        <v>279617893</v>
      </c>
      <c r="F36" s="1188">
        <f t="array" ref="F36">SUM(IF(A36=KHC,TH))</f>
        <v>279617893</v>
      </c>
      <c r="G36" s="44">
        <f t="shared" si="0"/>
        <v>0</v>
      </c>
      <c r="H36" s="44">
        <f t="shared" si="1"/>
        <v>0</v>
      </c>
    </row>
    <row r="37" spans="1:8" s="32" customFormat="1">
      <c r="A37" s="50" t="s">
        <v>220</v>
      </c>
      <c r="B37" s="47" t="s">
        <v>161</v>
      </c>
      <c r="C37" s="48"/>
      <c r="D37" s="48">
        <v>0</v>
      </c>
      <c r="E37" s="1189">
        <f>E36</f>
        <v>279617893</v>
      </c>
      <c r="F37" s="1189">
        <f>F36</f>
        <v>279617893</v>
      </c>
      <c r="G37" s="48">
        <f t="shared" si="0"/>
        <v>0</v>
      </c>
      <c r="H37" s="48">
        <f t="shared" si="1"/>
        <v>0</v>
      </c>
    </row>
    <row r="38" spans="1:8" s="32" customFormat="1">
      <c r="A38" s="46" t="s">
        <v>8</v>
      </c>
      <c r="B38" s="47" t="s">
        <v>74</v>
      </c>
      <c r="C38" s="48">
        <v>0</v>
      </c>
      <c r="D38" s="48">
        <v>476953252</v>
      </c>
      <c r="E38" s="1190">
        <f t="array" ref="E38">SUM(IF(A38=KHN,TH))</f>
        <v>117159457729</v>
      </c>
      <c r="F38" s="1190">
        <f t="array" ref="F38">SUM(IF(A38=KHC,TH))</f>
        <v>152407726076</v>
      </c>
      <c r="G38" s="48">
        <f>MAX(C38+E38-D38-F38,0)</f>
        <v>0</v>
      </c>
      <c r="H38" s="48">
        <f>MAX(D38+F38-E38-C38,0)</f>
        <v>35725221599</v>
      </c>
    </row>
    <row r="39" spans="1:8" s="32" customFormat="1">
      <c r="A39" s="426" t="s">
        <v>915</v>
      </c>
      <c r="B39" s="427" t="s">
        <v>1954</v>
      </c>
      <c r="C39" s="428"/>
      <c r="D39" s="428"/>
      <c r="E39" s="1191">
        <f t="array" ref="E39">SUM(IF(A39=KHN,TH))</f>
        <v>205520481</v>
      </c>
      <c r="F39" s="1191">
        <f t="array" ref="F39">SUM(IF(A39=KHC,TH))</f>
        <v>205520481</v>
      </c>
      <c r="G39" s="422">
        <f t="shared" si="0"/>
        <v>0</v>
      </c>
      <c r="H39" s="422">
        <f t="shared" si="1"/>
        <v>0</v>
      </c>
    </row>
    <row r="40" spans="1:8" s="32" customFormat="1">
      <c r="A40" s="426" t="s">
        <v>1568</v>
      </c>
      <c r="B40" s="427" t="s">
        <v>1955</v>
      </c>
      <c r="C40" s="428"/>
      <c r="D40" s="428"/>
      <c r="E40" s="1191">
        <f t="array" ref="E40">SUM(IF(A40=KHN,TH))</f>
        <v>14703700</v>
      </c>
      <c r="F40" s="1191">
        <f t="array" ref="F40">SUM(IF(A40=KHC,TH))</f>
        <v>14703700</v>
      </c>
      <c r="G40" s="51">
        <f t="shared" si="0"/>
        <v>0</v>
      </c>
      <c r="H40" s="51">
        <f t="shared" si="1"/>
        <v>0</v>
      </c>
    </row>
    <row r="41" spans="1:8" s="32" customFormat="1">
      <c r="A41" s="49" t="s">
        <v>1956</v>
      </c>
      <c r="B41" s="42" t="s">
        <v>1957</v>
      </c>
      <c r="C41" s="43">
        <f t="shared" ref="C41:H41" si="4">C39+C40</f>
        <v>0</v>
      </c>
      <c r="D41" s="43">
        <f t="shared" si="4"/>
        <v>0</v>
      </c>
      <c r="E41" s="1188">
        <f t="shared" si="4"/>
        <v>220224181</v>
      </c>
      <c r="F41" s="1188">
        <f t="shared" si="4"/>
        <v>220224181</v>
      </c>
      <c r="G41" s="43">
        <f t="shared" si="4"/>
        <v>0</v>
      </c>
      <c r="H41" s="43">
        <f t="shared" si="4"/>
        <v>0</v>
      </c>
    </row>
    <row r="42" spans="1:8" s="32" customFormat="1">
      <c r="A42" s="49" t="s">
        <v>75</v>
      </c>
      <c r="B42" s="42" t="s">
        <v>76</v>
      </c>
      <c r="C42" s="43">
        <v>0</v>
      </c>
      <c r="D42" s="43">
        <v>3313435</v>
      </c>
      <c r="E42" s="1188">
        <f t="array" ref="E42">SUM(IF(A42=KHN,TH))</f>
        <v>13069999</v>
      </c>
      <c r="F42" s="1188">
        <f t="array" ref="F42">SUM(IF(A42=KHC,TH))</f>
        <v>3369695</v>
      </c>
      <c r="G42" s="43">
        <f t="shared" si="0"/>
        <v>6386869</v>
      </c>
      <c r="H42" s="43">
        <f t="shared" si="1"/>
        <v>0</v>
      </c>
    </row>
    <row r="43" spans="1:8" s="32" customFormat="1">
      <c r="A43" s="49" t="s">
        <v>839</v>
      </c>
      <c r="B43" s="42" t="s">
        <v>840</v>
      </c>
      <c r="C43" s="43">
        <v>3389804</v>
      </c>
      <c r="D43" s="43">
        <v>0</v>
      </c>
      <c r="E43" s="1188">
        <f t="array" ref="E43">SUM(IF(A43=KHN,TH))</f>
        <v>0</v>
      </c>
      <c r="F43" s="1188">
        <f t="array" ref="F43">SUM(IF(A43=KHC,TH))</f>
        <v>0</v>
      </c>
      <c r="G43" s="43">
        <f t="shared" si="0"/>
        <v>3389804</v>
      </c>
      <c r="H43" s="43">
        <f t="shared" si="1"/>
        <v>0</v>
      </c>
    </row>
    <row r="44" spans="1:8" s="32" customFormat="1">
      <c r="A44" s="52" t="s">
        <v>77</v>
      </c>
      <c r="B44" s="53" t="s">
        <v>78</v>
      </c>
      <c r="C44" s="51">
        <v>0</v>
      </c>
      <c r="D44" s="51">
        <v>0</v>
      </c>
      <c r="E44" s="1192">
        <f t="array" ref="E44">SUM(IF(A44=KHN,TH))</f>
        <v>2000000</v>
      </c>
      <c r="F44" s="1192">
        <f t="array" ref="F44">SUM(IF(A44=KHC,TH))</f>
        <v>2000000</v>
      </c>
      <c r="G44" s="51">
        <f t="shared" si="0"/>
        <v>0</v>
      </c>
      <c r="H44" s="51">
        <f t="shared" si="1"/>
        <v>0</v>
      </c>
    </row>
    <row r="45" spans="1:8" s="32" customFormat="1">
      <c r="A45" s="49" t="s">
        <v>19</v>
      </c>
      <c r="B45" s="42" t="s">
        <v>79</v>
      </c>
      <c r="C45" s="43">
        <v>0</v>
      </c>
      <c r="D45" s="43">
        <v>0</v>
      </c>
      <c r="E45" s="1188">
        <f>E44</f>
        <v>2000000</v>
      </c>
      <c r="F45" s="1188">
        <f>F44</f>
        <v>2000000</v>
      </c>
      <c r="G45" s="43">
        <f>G44</f>
        <v>0</v>
      </c>
      <c r="H45" s="43">
        <f>H44</f>
        <v>0</v>
      </c>
    </row>
    <row r="46" spans="1:8" s="32" customFormat="1">
      <c r="A46" s="46" t="s">
        <v>80</v>
      </c>
      <c r="B46" s="47" t="s">
        <v>81</v>
      </c>
      <c r="C46" s="48">
        <f t="shared" ref="C46:H46" si="5">C41+C42+C43+C45</f>
        <v>3389804</v>
      </c>
      <c r="D46" s="48">
        <f t="shared" si="5"/>
        <v>3313435</v>
      </c>
      <c r="E46" s="1189">
        <f t="shared" si="5"/>
        <v>235294180</v>
      </c>
      <c r="F46" s="1189">
        <f t="shared" si="5"/>
        <v>225593876</v>
      </c>
      <c r="G46" s="48">
        <f t="shared" si="5"/>
        <v>9776673</v>
      </c>
      <c r="H46" s="48">
        <f t="shared" si="5"/>
        <v>0</v>
      </c>
    </row>
    <row r="47" spans="1:8" s="32" customFormat="1">
      <c r="A47" s="49" t="s">
        <v>580</v>
      </c>
      <c r="B47" s="42" t="s">
        <v>836</v>
      </c>
      <c r="C47" s="43">
        <v>0</v>
      </c>
      <c r="D47" s="43">
        <v>0</v>
      </c>
      <c r="E47" s="1188">
        <f t="array" ref="E47">SUM(IF(A47=KHN,TH))</f>
        <v>1544813234</v>
      </c>
      <c r="F47" s="1188">
        <f t="array" ref="F47">SUM(IF(A47=KHC,TH))</f>
        <v>1544813234</v>
      </c>
      <c r="G47" s="43">
        <f t="shared" ref="G47:G52" si="6">MAX(C47+E47-D47-F47,0)</f>
        <v>0</v>
      </c>
      <c r="H47" s="43">
        <f t="shared" ref="H47:H52" si="7">MAX(D47+F47-E47-C47,0)</f>
        <v>0</v>
      </c>
    </row>
    <row r="48" spans="1:8" s="32" customFormat="1">
      <c r="A48" s="46" t="s">
        <v>837</v>
      </c>
      <c r="B48" s="47" t="s">
        <v>838</v>
      </c>
      <c r="C48" s="48">
        <v>0</v>
      </c>
      <c r="D48" s="48">
        <v>0</v>
      </c>
      <c r="E48" s="1189">
        <f>E47</f>
        <v>1544813234</v>
      </c>
      <c r="F48" s="1189">
        <f>F47</f>
        <v>1544813234</v>
      </c>
      <c r="G48" s="48">
        <f t="shared" si="6"/>
        <v>0</v>
      </c>
      <c r="H48" s="48">
        <f t="shared" si="7"/>
        <v>0</v>
      </c>
    </row>
    <row r="49" spans="1:9" s="32" customFormat="1" ht="12.75" customHeight="1">
      <c r="A49" s="41" t="s">
        <v>581</v>
      </c>
      <c r="B49" s="42" t="s">
        <v>833</v>
      </c>
      <c r="C49" s="43">
        <v>0</v>
      </c>
      <c r="D49" s="43">
        <v>40272309</v>
      </c>
      <c r="E49" s="1188">
        <f t="array" ref="E49">SUM(IF(A49=KHN,TH))</f>
        <v>368576030</v>
      </c>
      <c r="F49" s="1188">
        <f t="array" ref="F49">SUM(IF(A49=KHC,TH))</f>
        <v>434932270</v>
      </c>
      <c r="G49" s="43">
        <f t="shared" si="6"/>
        <v>0</v>
      </c>
      <c r="H49" s="43">
        <f t="shared" si="7"/>
        <v>106628549</v>
      </c>
    </row>
    <row r="50" spans="1:9" s="32" customFormat="1">
      <c r="A50" s="49" t="s">
        <v>582</v>
      </c>
      <c r="B50" s="42" t="s">
        <v>834</v>
      </c>
      <c r="C50" s="43">
        <v>0</v>
      </c>
      <c r="D50" s="43">
        <v>6403142</v>
      </c>
      <c r="E50" s="1188">
        <f t="array" ref="E50">SUM(IF(A50=KHN,TH))</f>
        <v>73095030</v>
      </c>
      <c r="F50" s="1188">
        <f t="array" ref="F50">SUM(IF(A50=KHC,TH))</f>
        <v>71161108</v>
      </c>
      <c r="G50" s="43">
        <f t="shared" si="6"/>
        <v>0</v>
      </c>
      <c r="H50" s="43">
        <f t="shared" si="7"/>
        <v>4469220</v>
      </c>
    </row>
    <row r="51" spans="1:9" s="32" customFormat="1">
      <c r="A51" s="41" t="s">
        <v>583</v>
      </c>
      <c r="B51" s="42" t="s">
        <v>835</v>
      </c>
      <c r="C51" s="43">
        <v>0</v>
      </c>
      <c r="D51" s="43">
        <v>2761373</v>
      </c>
      <c r="E51" s="1188">
        <f t="array" ref="E51">SUM(IF(A51=KHN,TH))</f>
        <v>30114940</v>
      </c>
      <c r="F51" s="1188">
        <f t="array" ref="F51">SUM(IF(A51=KHC,TH))</f>
        <v>29339887</v>
      </c>
      <c r="G51" s="43">
        <f t="shared" si="6"/>
        <v>0</v>
      </c>
      <c r="H51" s="43">
        <f t="shared" si="7"/>
        <v>1986320</v>
      </c>
    </row>
    <row r="52" spans="1:9" s="32" customFormat="1">
      <c r="A52" s="49" t="s">
        <v>18</v>
      </c>
      <c r="B52" s="42" t="s">
        <v>82</v>
      </c>
      <c r="C52" s="43">
        <v>0</v>
      </c>
      <c r="D52" s="43">
        <v>0</v>
      </c>
      <c r="E52" s="1188">
        <f t="array" ref="E52">SUM(IF(A52=KHN,TH))</f>
        <v>118189976</v>
      </c>
      <c r="F52" s="1188">
        <f t="array" ref="F52">SUM(IF(A52=KHC,TH))</f>
        <v>118189976</v>
      </c>
      <c r="G52" s="43">
        <f t="shared" si="6"/>
        <v>0</v>
      </c>
      <c r="H52" s="43">
        <f t="shared" si="7"/>
        <v>0</v>
      </c>
    </row>
    <row r="53" spans="1:9" s="32" customFormat="1">
      <c r="A53" s="46" t="s">
        <v>83</v>
      </c>
      <c r="B53" s="47" t="s">
        <v>84</v>
      </c>
      <c r="C53" s="48">
        <f t="shared" ref="C53:H53" si="8">SUM(C49:C52)</f>
        <v>0</v>
      </c>
      <c r="D53" s="48">
        <f t="shared" si="8"/>
        <v>49436824</v>
      </c>
      <c r="E53" s="1189">
        <f t="shared" si="8"/>
        <v>589975976</v>
      </c>
      <c r="F53" s="1189">
        <f t="shared" si="8"/>
        <v>653623241</v>
      </c>
      <c r="G53" s="48">
        <f t="shared" si="8"/>
        <v>0</v>
      </c>
      <c r="H53" s="48">
        <f t="shared" si="8"/>
        <v>113084089</v>
      </c>
    </row>
    <row r="54" spans="1:9" s="32" customFormat="1">
      <c r="A54" s="41" t="s">
        <v>85</v>
      </c>
      <c r="B54" s="42" t="s">
        <v>255</v>
      </c>
      <c r="C54" s="44">
        <v>0</v>
      </c>
      <c r="D54" s="44">
        <v>2169121879</v>
      </c>
      <c r="E54" s="1188">
        <f t="array" ref="E54">SUM(IF(A54=KHN,TH))</f>
        <v>2169121879</v>
      </c>
      <c r="F54" s="1188">
        <f t="array" ref="F54">SUM(IF(A54=KHC,TH))</f>
        <v>0</v>
      </c>
      <c r="G54" s="44">
        <f>MAX(C54+E54-D54-F54,0)</f>
        <v>0</v>
      </c>
      <c r="H54" s="44">
        <f>MAX(D54+F54-E54-C54,0)</f>
        <v>0</v>
      </c>
    </row>
    <row r="55" spans="1:9" s="32" customFormat="1">
      <c r="A55" s="41" t="s">
        <v>254</v>
      </c>
      <c r="B55" s="42" t="s">
        <v>256</v>
      </c>
      <c r="C55" s="43">
        <v>0</v>
      </c>
      <c r="D55" s="43">
        <v>21202920500</v>
      </c>
      <c r="E55" s="1188">
        <f t="array" ref="E55">SUM(IF(A55=KHN,TH))</f>
        <v>65069028840</v>
      </c>
      <c r="F55" s="1188">
        <f t="array" ref="F55">SUM(IF(A55=KHC,TH))</f>
        <v>71337702140</v>
      </c>
      <c r="G55" s="43">
        <f>MAX(C55+E55-D55-F55,0)</f>
        <v>0</v>
      </c>
      <c r="H55" s="43">
        <f>MAX(D55+F55-E55-C55,0)</f>
        <v>27471593800</v>
      </c>
    </row>
    <row r="56" spans="1:9" s="32" customFormat="1">
      <c r="A56" s="50" t="s">
        <v>40</v>
      </c>
      <c r="B56" s="47" t="s">
        <v>86</v>
      </c>
      <c r="C56" s="48">
        <f t="shared" ref="C56:H56" si="9">SUM(C54:C55)</f>
        <v>0</v>
      </c>
      <c r="D56" s="48">
        <f t="shared" si="9"/>
        <v>23372042379</v>
      </c>
      <c r="E56" s="1189">
        <f t="shared" si="9"/>
        <v>67238150719</v>
      </c>
      <c r="F56" s="1189">
        <f t="shared" si="9"/>
        <v>71337702140</v>
      </c>
      <c r="G56" s="48">
        <f t="shared" si="9"/>
        <v>0</v>
      </c>
      <c r="H56" s="48">
        <f t="shared" si="9"/>
        <v>27471593800</v>
      </c>
    </row>
    <row r="57" spans="1:9" s="32" customFormat="1">
      <c r="A57" s="49" t="s">
        <v>26</v>
      </c>
      <c r="B57" s="42" t="s">
        <v>87</v>
      </c>
      <c r="C57" s="43">
        <v>0</v>
      </c>
      <c r="D57" s="43">
        <v>10000000000</v>
      </c>
      <c r="E57" s="1188">
        <f t="array" ref="E57">SUM(IF(A57=KHN,TH))</f>
        <v>0</v>
      </c>
      <c r="F57" s="1188">
        <f t="array" ref="F57">SUM(IF(A57=KHC,TH))</f>
        <v>0</v>
      </c>
      <c r="G57" s="44">
        <f>MAX(C57+E57-D57-F57,0)</f>
        <v>0</v>
      </c>
      <c r="H57" s="44">
        <f>MAX(D57+F57-E57-C57,0)</f>
        <v>10000000000</v>
      </c>
    </row>
    <row r="58" spans="1:9" s="32" customFormat="1">
      <c r="A58" s="46" t="s">
        <v>88</v>
      </c>
      <c r="B58" s="47" t="s">
        <v>89</v>
      </c>
      <c r="C58" s="48">
        <v>0</v>
      </c>
      <c r="D58" s="48">
        <f>D57</f>
        <v>10000000000</v>
      </c>
      <c r="E58" s="1189">
        <f>E57</f>
        <v>0</v>
      </c>
      <c r="F58" s="1189">
        <f>F57</f>
        <v>0</v>
      </c>
      <c r="G58" s="48">
        <f>MAX(C58+E58-D58-F58,0)</f>
        <v>0</v>
      </c>
      <c r="H58" s="48">
        <f>MAX(D58+F58-E58-C58,0)</f>
        <v>10000000000</v>
      </c>
    </row>
    <row r="59" spans="1:9" s="32" customFormat="1">
      <c r="A59" s="41" t="s">
        <v>90</v>
      </c>
      <c r="B59" s="42" t="s">
        <v>91</v>
      </c>
      <c r="C59" s="43"/>
      <c r="D59" s="43">
        <v>486535137</v>
      </c>
      <c r="E59" s="1188">
        <f t="array" ref="E59">SUM(IF(A59=KHN,TH))</f>
        <v>2520000</v>
      </c>
      <c r="F59" s="1188">
        <f t="array" ref="F59">SUM(IF(A59=KHC,TH))</f>
        <v>43230883.000000477</v>
      </c>
      <c r="G59" s="44">
        <f>MAX(C59+E59-D59-F59,0)</f>
        <v>0</v>
      </c>
      <c r="H59" s="44">
        <f>MAX(D59+F59-E59-C59,0)</f>
        <v>527246020.00000048</v>
      </c>
    </row>
    <row r="60" spans="1:9" s="32" customFormat="1">
      <c r="A60" s="49" t="s">
        <v>92</v>
      </c>
      <c r="B60" s="42" t="s">
        <v>93</v>
      </c>
      <c r="C60" s="43"/>
      <c r="D60" s="43">
        <v>30160884.000000477</v>
      </c>
      <c r="E60" s="1188">
        <f t="array" ref="E60">SUM(IF(A60=TH!$N$10:$N$3552,TH!$M$10:$M$3552))</f>
        <v>30160884.000000477</v>
      </c>
      <c r="F60" s="1188">
        <f t="array" ref="F60">SUM(IF(A60=TH!$O$10:$O$3552,TH!$M$10:$M$3552))</f>
        <v>29602046</v>
      </c>
      <c r="G60" s="43">
        <f>MAX(C60+E60-D60-F60,0)</f>
        <v>0</v>
      </c>
      <c r="H60" s="43">
        <f>MAX(D60+F60-E60-C60,0)</f>
        <v>29602046</v>
      </c>
    </row>
    <row r="61" spans="1:9" s="32" customFormat="1">
      <c r="A61" s="46" t="s">
        <v>94</v>
      </c>
      <c r="B61" s="47" t="s">
        <v>95</v>
      </c>
      <c r="C61" s="48"/>
      <c r="D61" s="48">
        <v>516696021.00000048</v>
      </c>
      <c r="E61" s="1189">
        <f>E60+E59</f>
        <v>32680884.000000477</v>
      </c>
      <c r="F61" s="1189">
        <f>F60+F59</f>
        <v>72832929.000000477</v>
      </c>
      <c r="G61" s="48">
        <f>G60+G59</f>
        <v>0</v>
      </c>
      <c r="H61" s="48">
        <f>H60+H59</f>
        <v>556848066.00000048</v>
      </c>
    </row>
    <row r="62" spans="1:9" s="32" customFormat="1" ht="12.75" customHeight="1">
      <c r="A62" s="426" t="s">
        <v>290</v>
      </c>
      <c r="B62" s="427" t="s">
        <v>291</v>
      </c>
      <c r="C62" s="428"/>
      <c r="D62" s="428"/>
      <c r="E62" s="1191">
        <f t="array" ref="E62">SUM(IF(A62=KHN,TH))</f>
        <v>3354529410</v>
      </c>
      <c r="F62" s="1191">
        <f t="array" ref="F62">SUM(IF(A62=KHC,TH))</f>
        <v>3354529410</v>
      </c>
      <c r="G62" s="428"/>
      <c r="H62" s="428"/>
      <c r="I62" s="32">
        <f>E62-F62</f>
        <v>0</v>
      </c>
    </row>
    <row r="63" spans="1:9" s="32" customFormat="1">
      <c r="A63" s="426" t="s">
        <v>292</v>
      </c>
      <c r="B63" s="427" t="s">
        <v>293</v>
      </c>
      <c r="C63" s="428"/>
      <c r="D63" s="428"/>
      <c r="E63" s="1191">
        <f t="array" ref="E63">SUM(IF(A63=KHN,TH))</f>
        <v>159805210133</v>
      </c>
      <c r="F63" s="1191">
        <f t="array" ref="F63">SUM(IF(A63=KHC,TH))</f>
        <v>159805210133</v>
      </c>
      <c r="G63" s="428"/>
      <c r="H63" s="428"/>
      <c r="I63" s="32">
        <f>E63-F63</f>
        <v>0</v>
      </c>
    </row>
    <row r="64" spans="1:9" s="32" customFormat="1">
      <c r="A64" s="41" t="s">
        <v>294</v>
      </c>
      <c r="B64" s="42" t="s">
        <v>295</v>
      </c>
      <c r="C64" s="43"/>
      <c r="D64" s="43"/>
      <c r="E64" s="1188">
        <f>E62+E63</f>
        <v>163159739543</v>
      </c>
      <c r="F64" s="1188">
        <f>F62+F63</f>
        <v>163159739543</v>
      </c>
      <c r="G64" s="43"/>
      <c r="H64" s="43"/>
      <c r="I64" s="32">
        <f>E64-F64</f>
        <v>0</v>
      </c>
    </row>
    <row r="65" spans="1:10" s="32" customFormat="1">
      <c r="A65" s="46" t="s">
        <v>296</v>
      </c>
      <c r="B65" s="47" t="s">
        <v>297</v>
      </c>
      <c r="C65" s="48"/>
      <c r="D65" s="48"/>
      <c r="E65" s="1189">
        <f>E64</f>
        <v>163159739543</v>
      </c>
      <c r="F65" s="1189">
        <f>F64</f>
        <v>163159739543</v>
      </c>
      <c r="G65" s="48"/>
      <c r="H65" s="48"/>
      <c r="I65" s="32">
        <f>E65-F65</f>
        <v>0</v>
      </c>
    </row>
    <row r="66" spans="1:10" s="32" customFormat="1">
      <c r="A66" s="46" t="s">
        <v>41</v>
      </c>
      <c r="B66" s="47" t="s">
        <v>96</v>
      </c>
      <c r="C66" s="48"/>
      <c r="D66" s="48"/>
      <c r="E66" s="1190">
        <f t="array" ref="E66">SUM(IF(A66=KHN,TH))</f>
        <v>781070542</v>
      </c>
      <c r="F66" s="1190">
        <f t="array" ref="F66">SUM(IF(A66=KHC,TH))</f>
        <v>781070542</v>
      </c>
      <c r="G66" s="48"/>
      <c r="H66" s="48"/>
      <c r="I66" s="32">
        <f t="shared" ref="I66:I73" si="10">E66-F66</f>
        <v>0</v>
      </c>
      <c r="J66" s="32">
        <f>BTGT!N325</f>
        <v>158404291478.34912</v>
      </c>
    </row>
    <row r="67" spans="1:10" s="32" customFormat="1" ht="12.75" customHeight="1">
      <c r="A67" s="46" t="s">
        <v>288</v>
      </c>
      <c r="B67" s="47" t="s">
        <v>289</v>
      </c>
      <c r="C67" s="48"/>
      <c r="D67" s="48"/>
      <c r="E67" s="1190">
        <f t="array" ref="E67">SUM(IF(A67=KHN,TH))</f>
        <v>158404291476.5</v>
      </c>
      <c r="F67" s="1190">
        <f t="array" ref="F67">SUM(IF(A67=KHC,TH))</f>
        <v>158404291476.5</v>
      </c>
      <c r="G67" s="48"/>
      <c r="H67" s="48"/>
      <c r="I67" s="32">
        <f t="shared" si="10"/>
        <v>0</v>
      </c>
    </row>
    <row r="68" spans="1:10" s="32" customFormat="1" ht="12.75" customHeight="1">
      <c r="A68" s="46" t="s">
        <v>97</v>
      </c>
      <c r="B68" s="47" t="s">
        <v>98</v>
      </c>
      <c r="C68" s="48"/>
      <c r="D68" s="48"/>
      <c r="E68" s="1190">
        <f t="array" ref="E68">SUM(IF(A68=KHN,TH))</f>
        <v>1305647509.2</v>
      </c>
      <c r="F68" s="1190">
        <f t="array" ref="F68">SUM(IF(A68=KHC,TH))</f>
        <v>1305647509.2</v>
      </c>
      <c r="G68" s="48"/>
      <c r="H68" s="48"/>
      <c r="I68" s="32">
        <f t="shared" si="10"/>
        <v>0</v>
      </c>
    </row>
    <row r="69" spans="1:10" s="32" customFormat="1" ht="12.75" customHeight="1">
      <c r="A69" s="50" t="s">
        <v>579</v>
      </c>
      <c r="B69" s="47" t="s">
        <v>1337</v>
      </c>
      <c r="C69" s="48"/>
      <c r="D69" s="48"/>
      <c r="E69" s="1190">
        <f t="array" ref="E69">SUM(IF(A69=KHN,TH))</f>
        <v>3000933399</v>
      </c>
      <c r="F69" s="1190">
        <f t="array" ref="F69">SUM(IF(A69=KHC,TH))</f>
        <v>3000933399</v>
      </c>
      <c r="G69" s="48"/>
      <c r="H69" s="48"/>
      <c r="I69" s="32">
        <f>E69-F69</f>
        <v>0</v>
      </c>
    </row>
    <row r="70" spans="1:10" s="32" customFormat="1" ht="12.75" customHeight="1">
      <c r="A70" s="46" t="s">
        <v>99</v>
      </c>
      <c r="B70" s="47" t="s">
        <v>100</v>
      </c>
      <c r="C70" s="48"/>
      <c r="D70" s="48"/>
      <c r="E70" s="1190">
        <f t="array" ref="E70">SUM(IF(A70=KHN,TH))</f>
        <v>1192392675</v>
      </c>
      <c r="F70" s="1190">
        <f t="array" ref="F70">SUM(IF(A70=KHC,TH))</f>
        <v>1192392675</v>
      </c>
      <c r="G70" s="48"/>
      <c r="H70" s="48"/>
      <c r="I70" s="32">
        <f t="shared" si="10"/>
        <v>0</v>
      </c>
    </row>
    <row r="71" spans="1:10" s="32" customFormat="1" ht="12.75" customHeight="1">
      <c r="A71" s="50" t="s">
        <v>101</v>
      </c>
      <c r="B71" s="47" t="s">
        <v>102</v>
      </c>
      <c r="C71" s="48"/>
      <c r="D71" s="48"/>
      <c r="E71" s="1190">
        <f t="array" ref="E71">SUM(IF(A71=KHN,TH))</f>
        <v>7384240</v>
      </c>
      <c r="F71" s="1190">
        <f t="array" ref="F71">SUM(IF(A71=KHC,TH))</f>
        <v>7384240</v>
      </c>
      <c r="G71" s="48"/>
      <c r="H71" s="48"/>
      <c r="I71" s="32">
        <f t="shared" si="10"/>
        <v>0</v>
      </c>
    </row>
    <row r="72" spans="1:10" s="32" customFormat="1" ht="12.75" customHeight="1">
      <c r="A72" s="46" t="s">
        <v>103</v>
      </c>
      <c r="B72" s="47" t="s">
        <v>104</v>
      </c>
      <c r="C72" s="48"/>
      <c r="D72" s="48"/>
      <c r="E72" s="1190">
        <f t="array" ref="E72">SUM(IF(A72=KHN,TH))</f>
        <v>11957524</v>
      </c>
      <c r="F72" s="1190">
        <f t="array" ref="F72">SUM(IF(A72=KHC,TH))</f>
        <v>11957524</v>
      </c>
      <c r="G72" s="48"/>
      <c r="H72" s="48"/>
      <c r="I72" s="32">
        <f t="shared" si="10"/>
        <v>0</v>
      </c>
    </row>
    <row r="73" spans="1:10" s="32" customFormat="1" ht="12.75" customHeight="1">
      <c r="A73" s="50" t="s">
        <v>105</v>
      </c>
      <c r="B73" s="47" t="s">
        <v>106</v>
      </c>
      <c r="C73" s="48"/>
      <c r="D73" s="48"/>
      <c r="E73" s="1190">
        <f t="array" ref="E73">SUM(IF(A73=KHN,TH))</f>
        <v>3369695</v>
      </c>
      <c r="F73" s="1190">
        <f t="array" ref="F73">SUM(IF(A73=KHC,TH))</f>
        <v>3369695</v>
      </c>
      <c r="G73" s="48"/>
      <c r="H73" s="48"/>
      <c r="I73" s="32">
        <f t="shared" si="10"/>
        <v>0</v>
      </c>
    </row>
    <row r="74" spans="1:10" s="32" customFormat="1">
      <c r="A74" s="46" t="s">
        <v>107</v>
      </c>
      <c r="B74" s="47" t="s">
        <v>108</v>
      </c>
      <c r="C74" s="48"/>
      <c r="D74" s="48"/>
      <c r="E74" s="1193">
        <f t="array" ref="E74">SUM(IF(A74=KHN,TH))</f>
        <v>163948194324.70001</v>
      </c>
      <c r="F74" s="1193">
        <f t="array" ref="F74">SUM(IF(A74=TH!$O$10:$O$3552,TH!$M$10:$M$3552))</f>
        <v>163948194325</v>
      </c>
      <c r="G74" s="48"/>
      <c r="H74" s="48"/>
      <c r="I74" s="32">
        <f>E74-F74</f>
        <v>-0.29998779296875</v>
      </c>
      <c r="J74" s="32">
        <f>E65-J66+E66-E68-E69-E70+E71-E72</f>
        <v>32971739.450879097</v>
      </c>
    </row>
    <row r="75" spans="1:10" s="32" customFormat="1">
      <c r="A75" s="54" t="s">
        <v>109</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F4674"/>
  <sheetViews>
    <sheetView topLeftCell="I7" workbookViewId="0">
      <pane ySplit="3" topLeftCell="A4624" activePane="bottomLeft" state="frozen"/>
      <selection activeCell="A7" sqref="A7"/>
      <selection pane="bottomLeft" activeCell="P10" sqref="P10:AD4642"/>
    </sheetView>
  </sheetViews>
  <sheetFormatPr defaultRowHeight="12.75"/>
  <cols>
    <col min="1" max="1" width="4.5703125" style="324" customWidth="1"/>
    <col min="2" max="2" width="4.85546875" style="317" customWidth="1"/>
    <col min="3" max="3" width="9.140625" style="1211" customWidth="1"/>
    <col min="4" max="4" width="6.85546875" style="317" customWidth="1"/>
    <col min="5" max="5" width="9.140625" style="1211" customWidth="1"/>
    <col min="6" max="6" width="32.7109375" style="332" customWidth="1"/>
    <col min="7" max="7" width="11.28515625" style="936" customWidth="1"/>
    <col min="8" max="8" width="32.5703125" style="333" customWidth="1"/>
    <col min="9" max="9" width="8.42578125" style="333" customWidth="1"/>
    <col min="10" max="10" width="11" style="333" customWidth="1"/>
    <col min="11" max="11" width="10" style="333" customWidth="1"/>
    <col min="12" max="12" width="7.28515625" style="333" customWidth="1"/>
    <col min="13" max="13" width="15.7109375" style="317" customWidth="1"/>
    <col min="14" max="14" width="6.140625" style="317" customWidth="1"/>
    <col min="15" max="15" width="7" style="317" customWidth="1"/>
    <col min="16" max="16" width="4.42578125" style="317" customWidth="1"/>
    <col min="17" max="19" width="2.7109375" style="317" customWidth="1"/>
    <col min="20" max="20" width="8.140625" style="317" customWidth="1"/>
    <col min="21" max="21" width="5.28515625" style="317" customWidth="1"/>
    <col min="22" max="22" width="2.5703125" style="317" customWidth="1"/>
    <col min="23" max="25" width="4.42578125" style="317" customWidth="1"/>
    <col min="26" max="26" width="4.140625" style="317" customWidth="1"/>
    <col min="27" max="30" width="2.7109375" style="317" customWidth="1"/>
    <col min="31" max="31" width="14" customWidth="1"/>
    <col min="32" max="32" width="11.28515625" bestFit="1" customWidth="1"/>
  </cols>
  <sheetData>
    <row r="1" spans="1:30">
      <c r="B1" s="58"/>
      <c r="C1" s="1212" t="s">
        <v>119</v>
      </c>
      <c r="D1" s="59"/>
      <c r="E1" s="1207"/>
      <c r="F1" s="60"/>
      <c r="G1" s="927"/>
      <c r="H1" s="87"/>
      <c r="I1" s="87"/>
      <c r="J1" s="87"/>
      <c r="K1" s="87"/>
      <c r="L1" s="87"/>
      <c r="M1" s="69"/>
      <c r="N1" s="61"/>
      <c r="O1" s="61"/>
      <c r="P1" s="61"/>
      <c r="Q1" s="61"/>
      <c r="R1" s="61"/>
      <c r="S1" s="61"/>
      <c r="T1" s="61"/>
      <c r="U1" s="61"/>
      <c r="V1" s="61"/>
      <c r="W1" s="61"/>
      <c r="X1" s="61"/>
      <c r="Y1" s="61"/>
      <c r="AA1" s="61"/>
      <c r="AB1" s="61"/>
      <c r="AC1" s="61"/>
      <c r="AD1" s="61"/>
    </row>
    <row r="2" spans="1:30">
      <c r="B2" s="58"/>
      <c r="C2" s="1212" t="s">
        <v>120</v>
      </c>
      <c r="D2" s="59"/>
      <c r="E2" s="1207"/>
      <c r="F2" s="59"/>
      <c r="G2" s="927"/>
      <c r="H2" s="88"/>
      <c r="I2" s="88"/>
      <c r="J2" s="88"/>
      <c r="K2" s="88"/>
      <c r="L2" s="88"/>
      <c r="M2" s="69"/>
      <c r="N2" s="61"/>
      <c r="O2" s="61"/>
      <c r="P2" s="61"/>
      <c r="Q2" s="61"/>
      <c r="R2" s="61"/>
      <c r="S2" s="61"/>
      <c r="T2" s="61"/>
      <c r="U2" s="61"/>
      <c r="V2" s="61"/>
      <c r="W2" s="61"/>
      <c r="X2" s="61"/>
      <c r="Y2" s="61"/>
      <c r="AA2" s="61"/>
      <c r="AB2" s="61"/>
      <c r="AC2" s="61"/>
      <c r="AD2" s="61"/>
    </row>
    <row r="3" spans="1:30">
      <c r="B3" s="59"/>
      <c r="C3" s="1207"/>
      <c r="D3" s="59"/>
      <c r="E3" s="1207"/>
      <c r="F3" s="59"/>
      <c r="G3" s="927"/>
      <c r="H3" s="88"/>
      <c r="I3" s="88"/>
      <c r="J3" s="88"/>
      <c r="K3" s="88"/>
      <c r="L3" s="88"/>
      <c r="M3" s="68"/>
      <c r="N3" s="62"/>
      <c r="O3" s="62"/>
      <c r="P3" s="62"/>
      <c r="Q3" s="62"/>
      <c r="R3" s="62"/>
      <c r="S3" s="62"/>
      <c r="T3" s="62"/>
      <c r="U3" s="62"/>
      <c r="V3" s="62"/>
      <c r="W3" s="62"/>
      <c r="X3" s="62"/>
      <c r="Y3" s="62"/>
      <c r="AA3" s="62"/>
      <c r="AB3" s="62"/>
      <c r="AC3" s="62"/>
      <c r="AD3" s="62"/>
    </row>
    <row r="4" spans="1:30" ht="22.5">
      <c r="B4" s="69"/>
      <c r="C4" s="1363" t="s">
        <v>110</v>
      </c>
      <c r="D4" s="1364"/>
      <c r="E4" s="1363"/>
      <c r="F4" s="1364"/>
      <c r="G4" s="1364"/>
      <c r="H4" s="1364"/>
      <c r="I4" s="1364"/>
      <c r="J4" s="1364"/>
      <c r="K4" s="1364"/>
      <c r="L4" s="1364"/>
      <c r="M4" s="1364"/>
      <c r="N4" s="1364"/>
      <c r="O4" s="1364"/>
    </row>
    <row r="5" spans="1:30" ht="14.25">
      <c r="B5" s="69"/>
      <c r="C5" s="1365"/>
      <c r="D5" s="1366"/>
      <c r="E5" s="1365"/>
      <c r="F5" s="1366"/>
      <c r="G5" s="1366"/>
      <c r="H5" s="1366"/>
      <c r="I5" s="1366"/>
      <c r="J5" s="1366"/>
      <c r="K5" s="1366"/>
      <c r="L5" s="1366"/>
      <c r="M5" s="1366"/>
      <c r="N5" s="1366"/>
      <c r="O5" s="1366"/>
    </row>
    <row r="6" spans="1:30">
      <c r="B6" s="69"/>
      <c r="C6" s="1208"/>
      <c r="D6" s="69"/>
      <c r="E6" s="1208"/>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43" t="s">
        <v>138</v>
      </c>
      <c r="B7" s="1345" t="s">
        <v>121</v>
      </c>
      <c r="C7" s="1367" t="s">
        <v>21</v>
      </c>
      <c r="D7" s="1368" t="s">
        <v>1</v>
      </c>
      <c r="E7" s="1369"/>
      <c r="F7" s="1348" t="s">
        <v>0</v>
      </c>
      <c r="G7" s="1371" t="s">
        <v>137</v>
      </c>
      <c r="H7" s="1347" t="s">
        <v>45</v>
      </c>
      <c r="I7" s="1361" t="s">
        <v>568</v>
      </c>
      <c r="J7" s="1362"/>
      <c r="K7" s="1348" t="s">
        <v>259</v>
      </c>
      <c r="L7" s="1348"/>
      <c r="M7" s="1348" t="s">
        <v>258</v>
      </c>
      <c r="N7" s="1370" t="s">
        <v>112</v>
      </c>
      <c r="O7" s="1370"/>
      <c r="P7" s="1353" t="s">
        <v>8</v>
      </c>
      <c r="Q7" s="1355" t="s">
        <v>61</v>
      </c>
      <c r="R7" s="1356"/>
      <c r="S7" s="1357"/>
      <c r="T7" s="1355" t="s">
        <v>65</v>
      </c>
      <c r="U7" s="1356"/>
      <c r="V7" s="1357"/>
      <c r="W7" s="1353" t="s">
        <v>40</v>
      </c>
      <c r="X7" s="1351" t="str">
        <f>CTTK!$E$7</f>
        <v>1331</v>
      </c>
      <c r="Y7" s="1351" t="s">
        <v>576</v>
      </c>
      <c r="Z7" s="1349" t="s">
        <v>219</v>
      </c>
      <c r="AA7" s="1355" t="s">
        <v>272</v>
      </c>
      <c r="AB7" s="1356"/>
      <c r="AC7" s="1356"/>
      <c r="AD7" s="1357"/>
    </row>
    <row r="8" spans="1:30" ht="24.75" customHeight="1">
      <c r="A8" s="1344"/>
      <c r="B8" s="1346"/>
      <c r="C8" s="1367"/>
      <c r="D8" s="1172" t="s">
        <v>16</v>
      </c>
      <c r="E8" s="1209" t="s">
        <v>32</v>
      </c>
      <c r="F8" s="1348"/>
      <c r="G8" s="1372"/>
      <c r="H8" s="1347"/>
      <c r="I8" s="1174" t="s">
        <v>459</v>
      </c>
      <c r="J8" s="1174" t="s">
        <v>460</v>
      </c>
      <c r="K8" s="1171" t="s">
        <v>265</v>
      </c>
      <c r="L8" s="1171" t="s">
        <v>263</v>
      </c>
      <c r="M8" s="1348"/>
      <c r="N8" s="1173" t="s">
        <v>23</v>
      </c>
      <c r="O8" s="1173" t="s">
        <v>24</v>
      </c>
      <c r="P8" s="1354"/>
      <c r="Q8" s="1358"/>
      <c r="R8" s="1359"/>
      <c r="S8" s="1360"/>
      <c r="T8" s="1358"/>
      <c r="U8" s="1359"/>
      <c r="V8" s="1360"/>
      <c r="W8" s="1354"/>
      <c r="X8" s="1352"/>
      <c r="Y8" s="1352"/>
      <c r="Z8" s="1350"/>
      <c r="AA8" s="1358"/>
      <c r="AB8" s="1359"/>
      <c r="AC8" s="1359"/>
      <c r="AD8" s="1360"/>
    </row>
    <row r="9" spans="1:30">
      <c r="A9" s="325">
        <v>1</v>
      </c>
      <c r="B9" s="326">
        <v>2</v>
      </c>
      <c r="C9" s="1210">
        <v>3</v>
      </c>
      <c r="D9" s="326">
        <v>4</v>
      </c>
      <c r="E9" s="1210">
        <v>5</v>
      </c>
      <c r="F9" s="326">
        <v>6</v>
      </c>
      <c r="G9" s="928">
        <v>7</v>
      </c>
      <c r="H9" s="326">
        <v>8</v>
      </c>
      <c r="I9" s="327">
        <v>9</v>
      </c>
      <c r="J9" s="326">
        <v>10</v>
      </c>
      <c r="K9" s="327">
        <v>11</v>
      </c>
      <c r="L9" s="326">
        <v>12</v>
      </c>
      <c r="M9" s="327">
        <v>13</v>
      </c>
      <c r="N9" s="326">
        <v>14</v>
      </c>
      <c r="O9" s="327">
        <v>15</v>
      </c>
      <c r="P9" s="326">
        <v>16</v>
      </c>
      <c r="Q9" s="327">
        <v>17</v>
      </c>
      <c r="R9" s="326">
        <v>18</v>
      </c>
      <c r="S9" s="327">
        <v>19</v>
      </c>
      <c r="T9" s="326">
        <v>20</v>
      </c>
      <c r="U9" s="326"/>
      <c r="V9" s="326"/>
      <c r="W9" s="326">
        <v>26</v>
      </c>
      <c r="X9" s="327">
        <v>27</v>
      </c>
      <c r="Y9" s="327"/>
      <c r="Z9" s="326">
        <v>24</v>
      </c>
      <c r="AA9" s="326">
        <v>19</v>
      </c>
      <c r="AB9" s="326">
        <v>20</v>
      </c>
      <c r="AC9" s="326"/>
      <c r="AD9" s="326">
        <v>21</v>
      </c>
    </row>
    <row r="10" spans="1:30" ht="15.75" customHeight="1">
      <c r="A10" s="323" t="str">
        <f>IF(B10&lt;&gt;"",IF(AND(B10='IN-TC'!$S$4,OR(TH!N10="1111",TH!O10="1111")),TH!D10,""),"")</f>
        <v/>
      </c>
      <c r="B10" s="63">
        <f t="shared" ref="B10:B25" si="0">IF(C10&lt;&gt;"",MONTH(C10),"")</f>
        <v>1</v>
      </c>
      <c r="C10" s="78">
        <f t="shared" ref="C10:C25" si="1">E10</f>
        <v>42400</v>
      </c>
      <c r="D10" s="78" t="s">
        <v>113</v>
      </c>
      <c r="E10" s="78">
        <v>42400</v>
      </c>
      <c r="F10" s="79" t="s">
        <v>207</v>
      </c>
      <c r="G10" s="79"/>
      <c r="H10" s="80"/>
      <c r="I10" s="406"/>
      <c r="J10" s="406"/>
      <c r="K10" s="397"/>
      <c r="L10" s="406"/>
      <c r="M10" s="81">
        <f>CĐPS!D60</f>
        <v>30160884.000000477</v>
      </c>
      <c r="N10" s="82" t="s">
        <v>92</v>
      </c>
      <c r="O10" s="82" t="s">
        <v>90</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customHeight="1">
      <c r="A11" s="323" t="str">
        <f>IF(B11&lt;&gt;"",IF(AND(B11='IN-TC'!$S$4,OR(TH!N11="1111",TH!O11="1111")),TH!D11,""),"")</f>
        <v/>
      </c>
      <c r="B11" s="63">
        <f t="shared" si="0"/>
        <v>7</v>
      </c>
      <c r="C11" s="78">
        <f t="shared" si="1"/>
        <v>42582</v>
      </c>
      <c r="D11" s="78" t="s">
        <v>113</v>
      </c>
      <c r="E11" s="78">
        <v>42582</v>
      </c>
      <c r="F11" s="79" t="s">
        <v>2551</v>
      </c>
      <c r="G11" s="79"/>
      <c r="H11" s="80"/>
      <c r="I11" s="406"/>
      <c r="J11" s="406"/>
      <c r="K11" s="397"/>
      <c r="L11" s="406"/>
      <c r="M11" s="81">
        <f>49965435</f>
        <v>49965435</v>
      </c>
      <c r="N11" s="84" t="s">
        <v>915</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x</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customHeight="1">
      <c r="A12" s="323" t="str">
        <f>IF(B12&lt;&gt;"",IF(AND(B12='IN-TC'!$S$4,OR(TH!N12="1111",TH!O12="1111")),TH!D12,""),"")</f>
        <v/>
      </c>
      <c r="B12" s="63">
        <f t="shared" si="0"/>
        <v>11</v>
      </c>
      <c r="C12" s="78">
        <f t="shared" si="1"/>
        <v>42704</v>
      </c>
      <c r="D12" s="78" t="s">
        <v>113</v>
      </c>
      <c r="E12" s="78">
        <v>42704</v>
      </c>
      <c r="F12" s="79" t="s">
        <v>2552</v>
      </c>
      <c r="G12" s="79"/>
      <c r="H12" s="80"/>
      <c r="I12" s="406"/>
      <c r="J12" s="406"/>
      <c r="K12" s="397"/>
      <c r="L12" s="406"/>
      <c r="M12" s="81">
        <v>68769000</v>
      </c>
      <c r="N12" s="84" t="s">
        <v>915</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x</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customHeight="1">
      <c r="A13" s="323" t="str">
        <f>IF(B13&lt;&gt;"",IF(AND(B13='IN-TC'!$S$4,OR(TH!N13="1111",TH!O13="1111")),TH!D13,""),"")</f>
        <v/>
      </c>
      <c r="B13" s="63">
        <f t="shared" si="0"/>
        <v>12</v>
      </c>
      <c r="C13" s="78">
        <f t="shared" si="1"/>
        <v>42735</v>
      </c>
      <c r="D13" s="78" t="s">
        <v>113</v>
      </c>
      <c r="E13" s="78">
        <v>42735</v>
      </c>
      <c r="F13" s="79" t="s">
        <v>2553</v>
      </c>
      <c r="G13" s="79"/>
      <c r="H13" s="80"/>
      <c r="I13" s="406"/>
      <c r="J13" s="406"/>
      <c r="K13" s="397"/>
      <c r="L13" s="406"/>
      <c r="M13" s="81">
        <f>10378700+64127500+5017900</f>
        <v>79524100</v>
      </c>
      <c r="N13" s="84" t="s">
        <v>915</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x</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customHeight="1">
      <c r="A14" s="323" t="str">
        <f>IF(B14&lt;&gt;"",IF(AND(B14='IN-TC'!$S$4,OR(TH!N14="1111",TH!O14="1111")),TH!D14,""),"")</f>
        <v/>
      </c>
      <c r="B14" s="63">
        <f t="shared" si="0"/>
        <v>1</v>
      </c>
      <c r="C14" s="78">
        <f t="shared" si="1"/>
        <v>42400</v>
      </c>
      <c r="D14" s="78" t="s">
        <v>113</v>
      </c>
      <c r="E14" s="78">
        <v>42400</v>
      </c>
      <c r="F14" s="79" t="s">
        <v>911</v>
      </c>
      <c r="G14" s="79"/>
      <c r="H14" s="80"/>
      <c r="I14" s="406"/>
      <c r="J14" s="406"/>
      <c r="K14" s="397"/>
      <c r="L14" s="406"/>
      <c r="M14" s="81">
        <f>SUMIF(KHN,O14,TH)</f>
        <v>158404291476.5</v>
      </c>
      <c r="N14" s="84" t="s">
        <v>107</v>
      </c>
      <c r="O14" s="82" t="s">
        <v>288</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customHeight="1">
      <c r="A15" s="323" t="str">
        <f>IF(B15&lt;&gt;"",IF(AND(B15='IN-TC'!$S$4,OR(TH!N15="1111",TH!O15="1111")),TH!D15,""),"")</f>
        <v/>
      </c>
      <c r="B15" s="63">
        <f t="shared" si="0"/>
        <v>1</v>
      </c>
      <c r="C15" s="78">
        <f t="shared" si="1"/>
        <v>42400</v>
      </c>
      <c r="D15" s="78" t="s">
        <v>113</v>
      </c>
      <c r="E15" s="78">
        <v>42400</v>
      </c>
      <c r="F15" s="79" t="s">
        <v>114</v>
      </c>
      <c r="G15" s="79"/>
      <c r="H15" s="85"/>
      <c r="I15" s="407"/>
      <c r="J15" s="407"/>
      <c r="K15" s="398"/>
      <c r="L15" s="407"/>
      <c r="M15" s="81">
        <f>SUMIF(KHN,O15,TH)</f>
        <v>1305647509.2</v>
      </c>
      <c r="N15" s="82" t="s">
        <v>107</v>
      </c>
      <c r="O15" s="82" t="s">
        <v>97</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customHeight="1">
      <c r="A16" s="323" t="str">
        <f>IF(B16&lt;&gt;"",IF(AND(B16='IN-TC'!$S$4,OR(TH!N16="1111",TH!O16="1111")),TH!D16,""),"")</f>
        <v/>
      </c>
      <c r="B16" s="63">
        <f t="shared" si="0"/>
        <v>1</v>
      </c>
      <c r="C16" s="78">
        <f t="shared" si="1"/>
        <v>42400</v>
      </c>
      <c r="D16" s="78" t="s">
        <v>113</v>
      </c>
      <c r="E16" s="78">
        <v>42400</v>
      </c>
      <c r="F16" s="79" t="s">
        <v>912</v>
      </c>
      <c r="G16" s="79"/>
      <c r="H16" s="80"/>
      <c r="I16" s="406"/>
      <c r="J16" s="406"/>
      <c r="K16" s="397"/>
      <c r="L16" s="406"/>
      <c r="M16" s="81">
        <f>SUMIF(KHN,O16,TH)</f>
        <v>3000933399</v>
      </c>
      <c r="N16" s="82" t="s">
        <v>107</v>
      </c>
      <c r="O16" s="82" t="s">
        <v>579</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customHeight="1">
      <c r="A17" s="323" t="str">
        <f>IF(B17&lt;&gt;"",IF(AND(B17='IN-TC'!$S$4,OR(TH!N17="1111",TH!O17="1111")),TH!D17,""),"")</f>
        <v/>
      </c>
      <c r="B17" s="63">
        <f t="shared" si="0"/>
        <v>1</v>
      </c>
      <c r="C17" s="78">
        <f t="shared" si="1"/>
        <v>42400</v>
      </c>
      <c r="D17" s="78" t="s">
        <v>113</v>
      </c>
      <c r="E17" s="78">
        <v>42400</v>
      </c>
      <c r="F17" s="79" t="s">
        <v>115</v>
      </c>
      <c r="G17" s="79"/>
      <c r="H17" s="80"/>
      <c r="I17" s="406"/>
      <c r="J17" s="406"/>
      <c r="K17" s="397"/>
      <c r="L17" s="406"/>
      <c r="M17" s="81">
        <f>SUMIF(KHN,O17,TH)</f>
        <v>1192392675</v>
      </c>
      <c r="N17" s="82" t="s">
        <v>107</v>
      </c>
      <c r="O17" s="82" t="s">
        <v>99</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customHeight="1">
      <c r="A18" s="323" t="str">
        <f>IF(B18&lt;&gt;"",IF(AND(B18='IN-TC'!$S$4,OR(TH!N18="1111",TH!O18="1111")),TH!D18,""),"")</f>
        <v/>
      </c>
      <c r="B18" s="63">
        <f t="shared" si="0"/>
        <v>1</v>
      </c>
      <c r="C18" s="78">
        <f t="shared" si="1"/>
        <v>42400</v>
      </c>
      <c r="D18" s="78" t="s">
        <v>113</v>
      </c>
      <c r="E18" s="78">
        <v>42400</v>
      </c>
      <c r="F18" s="79" t="s">
        <v>116</v>
      </c>
      <c r="G18" s="79"/>
      <c r="H18" s="80"/>
      <c r="I18" s="406"/>
      <c r="J18" s="406"/>
      <c r="K18" s="397"/>
      <c r="L18" s="406"/>
      <c r="M18" s="81">
        <f>SUMIF(KHC,N18,TH)</f>
        <v>781070542</v>
      </c>
      <c r="N18" s="84" t="s">
        <v>41</v>
      </c>
      <c r="O18" s="82" t="s">
        <v>107</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customHeight="1">
      <c r="A19" s="323" t="str">
        <f>IF(B19&lt;&gt;"",IF(AND(B19='IN-TC'!$S$4,OR(TH!N19="1111",TH!O19="1111")),TH!D19,""),"")</f>
        <v/>
      </c>
      <c r="B19" s="63">
        <f t="shared" si="0"/>
        <v>1</v>
      </c>
      <c r="C19" s="78">
        <f t="shared" si="1"/>
        <v>42400</v>
      </c>
      <c r="D19" s="78" t="s">
        <v>113</v>
      </c>
      <c r="E19" s="78">
        <v>42400</v>
      </c>
      <c r="F19" s="79" t="s">
        <v>913</v>
      </c>
      <c r="G19" s="79"/>
      <c r="H19" s="85"/>
      <c r="I19" s="407"/>
      <c r="J19" s="407"/>
      <c r="K19" s="398"/>
      <c r="L19" s="407"/>
      <c r="M19" s="81">
        <f>SUMIF(KHC,N19,TH)</f>
        <v>3354529410</v>
      </c>
      <c r="N19" s="82" t="s">
        <v>290</v>
      </c>
      <c r="O19" s="82" t="s">
        <v>107</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customHeight="1">
      <c r="A20" s="323" t="str">
        <f>IF(B20&lt;&gt;"",IF(AND(B20='IN-TC'!$S$4,OR(TH!N20="1111",TH!O20="1111")),TH!D20,""),"")</f>
        <v/>
      </c>
      <c r="B20" s="63">
        <f t="shared" si="0"/>
        <v>1</v>
      </c>
      <c r="C20" s="78">
        <f t="shared" si="1"/>
        <v>42400</v>
      </c>
      <c r="D20" s="78" t="s">
        <v>113</v>
      </c>
      <c r="E20" s="78">
        <v>42400</v>
      </c>
      <c r="F20" s="79" t="s">
        <v>914</v>
      </c>
      <c r="G20" s="79"/>
      <c r="H20" s="80"/>
      <c r="I20" s="406"/>
      <c r="J20" s="406"/>
      <c r="K20" s="397"/>
      <c r="L20" s="406"/>
      <c r="M20" s="81">
        <f>SUMIF(KHC,N20,TH)</f>
        <v>159805210133</v>
      </c>
      <c r="N20" s="82" t="s">
        <v>292</v>
      </c>
      <c r="O20" s="82" t="s">
        <v>107</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customHeight="1">
      <c r="A21" s="323" t="str">
        <f>IF(B21&lt;&gt;"",IF(AND(B21='IN-TC'!$S$4,OR(TH!N21="1111",TH!O21="1111")),TH!D21,""),"")</f>
        <v/>
      </c>
      <c r="B21" s="63">
        <f t="shared" si="0"/>
        <v>1</v>
      </c>
      <c r="C21" s="78">
        <f t="shared" si="1"/>
        <v>42400</v>
      </c>
      <c r="D21" s="78" t="s">
        <v>113</v>
      </c>
      <c r="E21" s="78">
        <v>42400</v>
      </c>
      <c r="F21" s="79" t="s">
        <v>117</v>
      </c>
      <c r="G21" s="79"/>
      <c r="H21" s="80"/>
      <c r="I21" s="406"/>
      <c r="J21" s="406"/>
      <c r="K21" s="397"/>
      <c r="L21" s="406"/>
      <c r="M21" s="81">
        <f>SUMIF(KHC,N21,TH)</f>
        <v>7384240</v>
      </c>
      <c r="N21" s="82" t="s">
        <v>101</v>
      </c>
      <c r="O21" s="82" t="s">
        <v>107</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customHeight="1">
      <c r="A22" s="323" t="str">
        <f>IF(B22&lt;&gt;"",IF(AND(B22='IN-TC'!$S$4,OR(TH!N22="1111",TH!O22="1111")),TH!D22,""),"")</f>
        <v/>
      </c>
      <c r="B22" s="63">
        <f t="shared" si="0"/>
        <v>1</v>
      </c>
      <c r="C22" s="78">
        <f t="shared" si="1"/>
        <v>42400</v>
      </c>
      <c r="D22" s="78" t="s">
        <v>113</v>
      </c>
      <c r="E22" s="78">
        <v>42400</v>
      </c>
      <c r="F22" s="79" t="s">
        <v>118</v>
      </c>
      <c r="G22" s="79"/>
      <c r="H22" s="80"/>
      <c r="I22" s="406"/>
      <c r="J22" s="406"/>
      <c r="K22" s="397"/>
      <c r="L22" s="406"/>
      <c r="M22" s="81">
        <f>SUMIF(KHN,O22,TH)</f>
        <v>11957524</v>
      </c>
      <c r="N22" s="84" t="s">
        <v>107</v>
      </c>
      <c r="O22" s="82" t="s">
        <v>103</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customHeight="1">
      <c r="A23" s="323" t="str">
        <f>IF(B23&lt;&gt;"",IF(AND(B23='IN-TC'!$S$4,OR(TH!N23="1111",TH!O23="1111")),TH!D23,""),"")</f>
        <v/>
      </c>
      <c r="B23" s="63">
        <f t="shared" si="0"/>
        <v>1</v>
      </c>
      <c r="C23" s="78">
        <f t="shared" si="1"/>
        <v>42400</v>
      </c>
      <c r="D23" s="78" t="s">
        <v>113</v>
      </c>
      <c r="E23" s="78">
        <v>42400</v>
      </c>
      <c r="F23" s="79" t="s">
        <v>1348</v>
      </c>
      <c r="G23" s="79"/>
      <c r="H23" s="80"/>
      <c r="I23" s="406"/>
      <c r="J23" s="406"/>
      <c r="K23" s="397"/>
      <c r="L23" s="406"/>
      <c r="M23" s="81">
        <v>29602046</v>
      </c>
      <c r="N23" s="84" t="s">
        <v>107</v>
      </c>
      <c r="O23" s="82" t="s">
        <v>92</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customHeight="1">
      <c r="A24" s="323" t="str">
        <f>IF(B24&lt;&gt;"",IF(AND(B24='IN-TC'!$S$4,OR(TH!N24="1111",TH!O24="1111")),TH!D24,""),"")</f>
        <v/>
      </c>
      <c r="B24" s="63">
        <f t="shared" si="0"/>
        <v>1</v>
      </c>
      <c r="C24" s="78">
        <f t="shared" si="1"/>
        <v>42400</v>
      </c>
      <c r="D24" s="78" t="s">
        <v>113</v>
      </c>
      <c r="E24" s="78">
        <v>42400</v>
      </c>
      <c r="F24" s="79" t="s">
        <v>1962</v>
      </c>
      <c r="G24" s="79"/>
      <c r="H24" s="80"/>
      <c r="I24" s="406"/>
      <c r="J24" s="406"/>
      <c r="K24" s="397"/>
      <c r="L24" s="406"/>
      <c r="M24" s="81">
        <v>3369695</v>
      </c>
      <c r="N24" s="84" t="s">
        <v>105</v>
      </c>
      <c r="O24" s="82" t="s">
        <v>75</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customHeight="1">
      <c r="A25" s="323" t="str">
        <f>IF(B25&lt;&gt;"",IF(AND(B25='IN-TC'!$S$4,OR(TH!N25="1111",TH!O25="1111")),TH!D25,""),"")</f>
        <v/>
      </c>
      <c r="B25" s="63">
        <f t="shared" si="0"/>
        <v>1</v>
      </c>
      <c r="C25" s="78">
        <f t="shared" si="1"/>
        <v>42400</v>
      </c>
      <c r="D25" s="78" t="s">
        <v>113</v>
      </c>
      <c r="E25" s="78">
        <v>42400</v>
      </c>
      <c r="F25" s="79" t="s">
        <v>1963</v>
      </c>
      <c r="G25" s="79"/>
      <c r="H25" s="80"/>
      <c r="I25" s="406"/>
      <c r="J25" s="406"/>
      <c r="K25" s="397"/>
      <c r="L25" s="406"/>
      <c r="M25" s="81">
        <v>3369695</v>
      </c>
      <c r="N25" s="84" t="s">
        <v>107</v>
      </c>
      <c r="O25" s="82" t="s">
        <v>105</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customHeight="1">
      <c r="A26" s="323" t="str">
        <f>IF(B26&lt;&gt;"",IF(AND(B26='IN-TC'!$S$4,OR(TH!N1194="1111",TH!O1194="1111")),TH!D1194,""),"")</f>
        <v/>
      </c>
      <c r="B26" s="63">
        <f t="shared" ref="B26:B89" si="2">IF(C26&lt;&gt;"",MONTH(C26),"")</f>
        <v>2</v>
      </c>
      <c r="C26" s="78">
        <f>E26</f>
        <v>42426</v>
      </c>
      <c r="D26" s="78" t="s">
        <v>942</v>
      </c>
      <c r="E26" s="78">
        <v>42426</v>
      </c>
      <c r="F26" s="79" t="s">
        <v>1938</v>
      </c>
      <c r="G26" s="934" t="s">
        <v>1939</v>
      </c>
      <c r="H26" s="80" t="s">
        <v>1525</v>
      </c>
      <c r="I26" s="406">
        <v>7700</v>
      </c>
      <c r="J26" s="407">
        <v>11165</v>
      </c>
      <c r="K26" s="397">
        <f>M26/L26</f>
        <v>3850</v>
      </c>
      <c r="L26" s="406">
        <v>22330</v>
      </c>
      <c r="M26" s="81">
        <f>ROUND(I26*J26,0)</f>
        <v>85970500</v>
      </c>
      <c r="N26" s="82" t="s">
        <v>268</v>
      </c>
      <c r="O26" s="82" t="s">
        <v>8</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customHeight="1">
      <c r="A27" s="323" t="str">
        <f>IF(B27&lt;&gt;"",IF(AND(B27='IN-TC'!$S$4,OR(TH!N27="1111",TH!O27="1111")),TH!D27,""),"")</f>
        <v/>
      </c>
      <c r="B27" s="63">
        <f t="shared" si="2"/>
        <v>6</v>
      </c>
      <c r="C27" s="78">
        <v>42551</v>
      </c>
      <c r="D27" s="78" t="s">
        <v>113</v>
      </c>
      <c r="E27" s="78">
        <v>42551</v>
      </c>
      <c r="F27" s="79" t="s">
        <v>2993</v>
      </c>
      <c r="G27" s="79"/>
      <c r="H27" s="80"/>
      <c r="I27" s="406"/>
      <c r="J27" s="406"/>
      <c r="K27" s="397"/>
      <c r="L27" s="406"/>
      <c r="M27" s="81">
        <v>279617893</v>
      </c>
      <c r="N27" s="84" t="s">
        <v>280</v>
      </c>
      <c r="O27" s="82" t="s">
        <v>159</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customHeight="1">
      <c r="A28" s="323" t="str">
        <f>IF(B28&lt;&gt;"",IF(AND(B28='IN-TC'!$S$4,OR(TH!N28="1111",TH!O28="1111")),TH!D28,""),"")</f>
        <v/>
      </c>
      <c r="B28" s="63">
        <f t="shared" si="2"/>
        <v>1</v>
      </c>
      <c r="C28" s="827">
        <v>42400</v>
      </c>
      <c r="D28" s="827" t="s">
        <v>570</v>
      </c>
      <c r="E28" s="827">
        <f t="shared" ref="E28:E91" si="3">C28</f>
        <v>42400</v>
      </c>
      <c r="F28" s="1156" t="s">
        <v>1295</v>
      </c>
      <c r="G28" s="828"/>
      <c r="H28" s="72"/>
      <c r="I28" s="408"/>
      <c r="J28" s="408"/>
      <c r="K28" s="399"/>
      <c r="L28" s="408"/>
      <c r="M28" s="829">
        <v>10010706</v>
      </c>
      <c r="N28" s="831" t="s">
        <v>276</v>
      </c>
      <c r="O28" s="832" t="s">
        <v>577</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customHeight="1">
      <c r="A29" s="323" t="str">
        <f>IF(B29&lt;&gt;"",IF(AND(B29='IN-TC'!$S$4,OR(TH!N29="1111",TH!O29="1111")),TH!D29,""),"")</f>
        <v/>
      </c>
      <c r="B29" s="63">
        <f t="shared" si="2"/>
        <v>1</v>
      </c>
      <c r="C29" s="827">
        <v>42400</v>
      </c>
      <c r="D29" s="827" t="s">
        <v>570</v>
      </c>
      <c r="E29" s="827">
        <f t="shared" si="3"/>
        <v>42400</v>
      </c>
      <c r="F29" s="1156" t="s">
        <v>1296</v>
      </c>
      <c r="G29" s="930"/>
      <c r="H29" s="71"/>
      <c r="I29" s="409"/>
      <c r="J29" s="409"/>
      <c r="K29" s="400"/>
      <c r="L29" s="409"/>
      <c r="M29" s="829">
        <v>3671167</v>
      </c>
      <c r="N29" s="833" t="s">
        <v>99</v>
      </c>
      <c r="O29" s="833" t="s">
        <v>578</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customHeight="1">
      <c r="A30" s="323" t="str">
        <f>IF(B30&lt;&gt;"",IF(AND(B30='IN-TC'!$S$4,OR(TH!N30="1111",TH!O30="1111")),TH!D30,""),"")</f>
        <v/>
      </c>
      <c r="B30" s="63">
        <f t="shared" si="2"/>
        <v>1</v>
      </c>
      <c r="C30" s="827">
        <v>42400</v>
      </c>
      <c r="D30" s="827" t="s">
        <v>570</v>
      </c>
      <c r="E30" s="827">
        <f t="shared" si="3"/>
        <v>42400</v>
      </c>
      <c r="F30" s="1156" t="s">
        <v>1296</v>
      </c>
      <c r="G30" s="828"/>
      <c r="H30" s="71"/>
      <c r="I30" s="409"/>
      <c r="J30" s="409"/>
      <c r="K30" s="400"/>
      <c r="L30" s="409"/>
      <c r="M30" s="829">
        <v>47128136</v>
      </c>
      <c r="N30" s="833" t="s">
        <v>276</v>
      </c>
      <c r="O30" s="833" t="s">
        <v>578</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customHeight="1">
      <c r="A31" s="323" t="str">
        <f>IF(B31&lt;&gt;"",IF(AND(B31='IN-TC'!$S$4,OR(TH!N31="1111",TH!O31="1111")),TH!D31,""),"")</f>
        <v/>
      </c>
      <c r="B31" s="63">
        <f t="shared" si="2"/>
        <v>2</v>
      </c>
      <c r="C31" s="827">
        <v>42429</v>
      </c>
      <c r="D31" s="827" t="s">
        <v>570</v>
      </c>
      <c r="E31" s="827">
        <f t="shared" si="3"/>
        <v>42429</v>
      </c>
      <c r="F31" s="1156" t="s">
        <v>1295</v>
      </c>
      <c r="G31" s="828"/>
      <c r="H31" s="72"/>
      <c r="I31" s="408"/>
      <c r="J31" s="408"/>
      <c r="K31" s="399"/>
      <c r="L31" s="408"/>
      <c r="M31" s="829">
        <v>10010706</v>
      </c>
      <c r="N31" s="831" t="s">
        <v>276</v>
      </c>
      <c r="O31" s="832" t="s">
        <v>577</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customHeight="1">
      <c r="A32" s="323" t="str">
        <f>IF(B32&lt;&gt;"",IF(AND(B32='IN-TC'!$S$4,OR(TH!N32="1111",TH!O32="1111")),TH!D32,""),"")</f>
        <v/>
      </c>
      <c r="B32" s="63">
        <f t="shared" si="2"/>
        <v>2</v>
      </c>
      <c r="C32" s="827">
        <v>42429</v>
      </c>
      <c r="D32" s="827" t="s">
        <v>570</v>
      </c>
      <c r="E32" s="827">
        <f t="shared" si="3"/>
        <v>42429</v>
      </c>
      <c r="F32" s="1156" t="s">
        <v>1296</v>
      </c>
      <c r="G32" s="930"/>
      <c r="H32" s="71"/>
      <c r="I32" s="409"/>
      <c r="J32" s="409"/>
      <c r="K32" s="400"/>
      <c r="L32" s="409"/>
      <c r="M32" s="829">
        <v>3671167</v>
      </c>
      <c r="N32" s="833" t="s">
        <v>99</v>
      </c>
      <c r="O32" s="833" t="s">
        <v>578</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customHeight="1">
      <c r="A33" s="323" t="str">
        <f>IF(B33&lt;&gt;"",IF(AND(B33='IN-TC'!$S$4,OR(TH!N33="1111",TH!O33="1111")),TH!D33,""),"")</f>
        <v/>
      </c>
      <c r="B33" s="63">
        <f t="shared" si="2"/>
        <v>2</v>
      </c>
      <c r="C33" s="827">
        <v>42429</v>
      </c>
      <c r="D33" s="827" t="s">
        <v>570</v>
      </c>
      <c r="E33" s="827">
        <f t="shared" si="3"/>
        <v>42429</v>
      </c>
      <c r="F33" s="1156" t="s">
        <v>1296</v>
      </c>
      <c r="G33" s="828"/>
      <c r="H33" s="71"/>
      <c r="I33" s="409"/>
      <c r="J33" s="409"/>
      <c r="K33" s="400"/>
      <c r="L33" s="409"/>
      <c r="M33" s="829">
        <v>47128136</v>
      </c>
      <c r="N33" s="833" t="s">
        <v>276</v>
      </c>
      <c r="O33" s="833" t="s">
        <v>578</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customHeight="1">
      <c r="A34" s="323" t="str">
        <f>IF(B34&lt;&gt;"",IF(AND(B34='IN-TC'!$S$4,OR(TH!N34="1111",TH!O34="1111")),TH!D34,""),"")</f>
        <v/>
      </c>
      <c r="B34" s="63">
        <f t="shared" si="2"/>
        <v>3</v>
      </c>
      <c r="C34" s="827">
        <v>42460</v>
      </c>
      <c r="D34" s="827" t="s">
        <v>570</v>
      </c>
      <c r="E34" s="827">
        <f t="shared" si="3"/>
        <v>42460</v>
      </c>
      <c r="F34" s="1156" t="s">
        <v>1295</v>
      </c>
      <c r="G34" s="828"/>
      <c r="H34" s="72"/>
      <c r="I34" s="408"/>
      <c r="J34" s="408"/>
      <c r="K34" s="399"/>
      <c r="L34" s="408"/>
      <c r="M34" s="829">
        <v>10010706</v>
      </c>
      <c r="N34" s="831" t="s">
        <v>276</v>
      </c>
      <c r="O34" s="832" t="s">
        <v>577</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customHeight="1">
      <c r="A35" s="323" t="str">
        <f>IF(B35&lt;&gt;"",IF(AND(B35='IN-TC'!$S$4,OR(TH!N35="1111",TH!O35="1111")),TH!D35,""),"")</f>
        <v/>
      </c>
      <c r="B35" s="63">
        <f t="shared" si="2"/>
        <v>3</v>
      </c>
      <c r="C35" s="827">
        <v>42460</v>
      </c>
      <c r="D35" s="827" t="s">
        <v>570</v>
      </c>
      <c r="E35" s="827">
        <f t="shared" si="3"/>
        <v>42460</v>
      </c>
      <c r="F35" s="1156" t="s">
        <v>1296</v>
      </c>
      <c r="G35" s="930"/>
      <c r="H35" s="71"/>
      <c r="I35" s="409"/>
      <c r="J35" s="409"/>
      <c r="K35" s="400"/>
      <c r="L35" s="409"/>
      <c r="M35" s="829">
        <v>3671167</v>
      </c>
      <c r="N35" s="833" t="s">
        <v>99</v>
      </c>
      <c r="O35" s="833" t="s">
        <v>578</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customHeight="1">
      <c r="A36" s="323" t="str">
        <f>IF(B36&lt;&gt;"",IF(AND(B36='IN-TC'!$S$4,OR(TH!N36="1111",TH!O36="1111")),TH!D36,""),"")</f>
        <v/>
      </c>
      <c r="B36" s="63">
        <f t="shared" si="2"/>
        <v>3</v>
      </c>
      <c r="C36" s="827">
        <v>42460</v>
      </c>
      <c r="D36" s="827" t="s">
        <v>570</v>
      </c>
      <c r="E36" s="827">
        <f t="shared" si="3"/>
        <v>42460</v>
      </c>
      <c r="F36" s="1156" t="s">
        <v>1296</v>
      </c>
      <c r="G36" s="828"/>
      <c r="H36" s="71"/>
      <c r="I36" s="409"/>
      <c r="J36" s="409"/>
      <c r="K36" s="400"/>
      <c r="L36" s="409"/>
      <c r="M36" s="829">
        <v>47128136</v>
      </c>
      <c r="N36" s="833" t="s">
        <v>276</v>
      </c>
      <c r="O36" s="833" t="s">
        <v>578</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customHeight="1">
      <c r="A37" s="323" t="str">
        <f>IF(B37&lt;&gt;"",IF(AND(B37='IN-TC'!$S$4,OR(TH!N37="1111",TH!O37="1111")),TH!D37,""),"")</f>
        <v/>
      </c>
      <c r="B37" s="63">
        <f t="shared" si="2"/>
        <v>4</v>
      </c>
      <c r="C37" s="827">
        <v>42490</v>
      </c>
      <c r="D37" s="827" t="s">
        <v>570</v>
      </c>
      <c r="E37" s="827">
        <f t="shared" si="3"/>
        <v>42490</v>
      </c>
      <c r="F37" s="1156" t="s">
        <v>1295</v>
      </c>
      <c r="G37" s="828"/>
      <c r="H37" s="72"/>
      <c r="I37" s="408"/>
      <c r="J37" s="408"/>
      <c r="K37" s="399"/>
      <c r="L37" s="408"/>
      <c r="M37" s="829">
        <v>10010706</v>
      </c>
      <c r="N37" s="831" t="s">
        <v>276</v>
      </c>
      <c r="O37" s="832" t="s">
        <v>577</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customHeight="1">
      <c r="A38" s="323" t="str">
        <f>IF(B38&lt;&gt;"",IF(AND(B38='IN-TC'!$S$4,OR(TH!N38="1111",TH!O38="1111")),TH!D38,""),"")</f>
        <v/>
      </c>
      <c r="B38" s="63">
        <f t="shared" si="2"/>
        <v>4</v>
      </c>
      <c r="C38" s="827">
        <v>42490</v>
      </c>
      <c r="D38" s="827" t="s">
        <v>570</v>
      </c>
      <c r="E38" s="827">
        <f t="shared" si="3"/>
        <v>42490</v>
      </c>
      <c r="F38" s="1156" t="s">
        <v>1296</v>
      </c>
      <c r="G38" s="930"/>
      <c r="H38" s="71"/>
      <c r="I38" s="409"/>
      <c r="J38" s="409"/>
      <c r="K38" s="400"/>
      <c r="L38" s="409"/>
      <c r="M38" s="829">
        <v>3671167</v>
      </c>
      <c r="N38" s="833" t="s">
        <v>99</v>
      </c>
      <c r="O38" s="833" t="s">
        <v>578</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customHeight="1">
      <c r="A39" s="323" t="str">
        <f>IF(B39&lt;&gt;"",IF(AND(B39='IN-TC'!$S$4,OR(TH!N39="1111",TH!O39="1111")),TH!D39,""),"")</f>
        <v/>
      </c>
      <c r="B39" s="63">
        <f t="shared" si="2"/>
        <v>4</v>
      </c>
      <c r="C39" s="827">
        <v>42490</v>
      </c>
      <c r="D39" s="827" t="s">
        <v>570</v>
      </c>
      <c r="E39" s="827">
        <f t="shared" si="3"/>
        <v>42490</v>
      </c>
      <c r="F39" s="1156" t="s">
        <v>1296</v>
      </c>
      <c r="G39" s="828"/>
      <c r="H39" s="71"/>
      <c r="I39" s="409"/>
      <c r="J39" s="409"/>
      <c r="K39" s="400"/>
      <c r="L39" s="409"/>
      <c r="M39" s="829">
        <v>47128136</v>
      </c>
      <c r="N39" s="833" t="s">
        <v>276</v>
      </c>
      <c r="O39" s="833" t="s">
        <v>578</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customHeight="1">
      <c r="A40" s="323" t="str">
        <f>IF(B40&lt;&gt;"",IF(AND(B40='IN-TC'!$S$4,OR(TH!N40="1111",TH!O40="1111")),TH!D40,""),"")</f>
        <v/>
      </c>
      <c r="B40" s="63">
        <f t="shared" si="2"/>
        <v>5</v>
      </c>
      <c r="C40" s="827">
        <v>42521</v>
      </c>
      <c r="D40" s="827" t="s">
        <v>570</v>
      </c>
      <c r="E40" s="827">
        <f t="shared" si="3"/>
        <v>42521</v>
      </c>
      <c r="F40" s="1156" t="s">
        <v>1295</v>
      </c>
      <c r="G40" s="828"/>
      <c r="H40" s="72"/>
      <c r="I40" s="408"/>
      <c r="J40" s="408"/>
      <c r="K40" s="399"/>
      <c r="L40" s="408"/>
      <c r="M40" s="829">
        <v>10010706</v>
      </c>
      <c r="N40" s="831" t="s">
        <v>276</v>
      </c>
      <c r="O40" s="832" t="s">
        <v>577</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customHeight="1">
      <c r="A41" s="323" t="str">
        <f>IF(B41&lt;&gt;"",IF(AND(B41='IN-TC'!$S$4,OR(TH!N41="1111",TH!O41="1111")),TH!D41,""),"")</f>
        <v/>
      </c>
      <c r="B41" s="63">
        <f t="shared" si="2"/>
        <v>5</v>
      </c>
      <c r="C41" s="827">
        <v>42521</v>
      </c>
      <c r="D41" s="827" t="s">
        <v>570</v>
      </c>
      <c r="E41" s="827">
        <f t="shared" si="3"/>
        <v>42521</v>
      </c>
      <c r="F41" s="1156" t="s">
        <v>1296</v>
      </c>
      <c r="G41" s="930"/>
      <c r="H41" s="71"/>
      <c r="I41" s="409"/>
      <c r="J41" s="409"/>
      <c r="K41" s="400"/>
      <c r="L41" s="409"/>
      <c r="M41" s="829">
        <v>3671167</v>
      </c>
      <c r="N41" s="833" t="s">
        <v>99</v>
      </c>
      <c r="O41" s="833" t="s">
        <v>578</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customHeight="1">
      <c r="A42" s="323" t="str">
        <f>IF(B42&lt;&gt;"",IF(AND(B42='IN-TC'!$S$4,OR(TH!N42="1111",TH!O42="1111")),TH!D42,""),"")</f>
        <v/>
      </c>
      <c r="B42" s="63">
        <f t="shared" si="2"/>
        <v>5</v>
      </c>
      <c r="C42" s="827">
        <v>42521</v>
      </c>
      <c r="D42" s="827" t="s">
        <v>570</v>
      </c>
      <c r="E42" s="827">
        <f t="shared" si="3"/>
        <v>42521</v>
      </c>
      <c r="F42" s="1156" t="s">
        <v>1296</v>
      </c>
      <c r="G42" s="828"/>
      <c r="H42" s="71"/>
      <c r="I42" s="409"/>
      <c r="J42" s="409"/>
      <c r="K42" s="400"/>
      <c r="L42" s="409"/>
      <c r="M42" s="829">
        <v>47128136</v>
      </c>
      <c r="N42" s="833" t="s">
        <v>276</v>
      </c>
      <c r="O42" s="833" t="s">
        <v>578</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customHeight="1">
      <c r="A43" s="323" t="str">
        <f>IF(B43&lt;&gt;"",IF(AND(B43='IN-TC'!$S$4,OR(TH!N43="1111",TH!O43="1111")),TH!D43,""),"")</f>
        <v/>
      </c>
      <c r="B43" s="63">
        <f t="shared" si="2"/>
        <v>6</v>
      </c>
      <c r="C43" s="827">
        <v>42551</v>
      </c>
      <c r="D43" s="827" t="s">
        <v>570</v>
      </c>
      <c r="E43" s="827">
        <f t="shared" si="3"/>
        <v>42551</v>
      </c>
      <c r="F43" s="1156" t="s">
        <v>1295</v>
      </c>
      <c r="G43" s="828"/>
      <c r="H43" s="72"/>
      <c r="I43" s="408"/>
      <c r="J43" s="408"/>
      <c r="K43" s="399"/>
      <c r="L43" s="408"/>
      <c r="M43" s="829">
        <v>10010706</v>
      </c>
      <c r="N43" s="831" t="s">
        <v>276</v>
      </c>
      <c r="O43" s="832" t="s">
        <v>577</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customHeight="1">
      <c r="A44" s="323" t="str">
        <f>IF(B44&lt;&gt;"",IF(AND(B44='IN-TC'!$S$4,OR(TH!N44="1111",TH!O44="1111")),TH!D44,""),"")</f>
        <v/>
      </c>
      <c r="B44" s="63">
        <f t="shared" si="2"/>
        <v>6</v>
      </c>
      <c r="C44" s="827">
        <v>42551</v>
      </c>
      <c r="D44" s="827" t="s">
        <v>570</v>
      </c>
      <c r="E44" s="827">
        <f t="shared" si="3"/>
        <v>42551</v>
      </c>
      <c r="F44" s="1156" t="s">
        <v>1296</v>
      </c>
      <c r="G44" s="930"/>
      <c r="H44" s="71"/>
      <c r="I44" s="409"/>
      <c r="J44" s="409"/>
      <c r="K44" s="400"/>
      <c r="L44" s="409"/>
      <c r="M44" s="829">
        <v>3671167</v>
      </c>
      <c r="N44" s="833" t="s">
        <v>99</v>
      </c>
      <c r="O44" s="833" t="s">
        <v>578</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customHeight="1">
      <c r="A45" s="323" t="str">
        <f>IF(B45&lt;&gt;"",IF(AND(B45='IN-TC'!$S$4,OR(TH!N45="1111",TH!O45="1111")),TH!D45,""),"")</f>
        <v/>
      </c>
      <c r="B45" s="63">
        <f t="shared" si="2"/>
        <v>6</v>
      </c>
      <c r="C45" s="827">
        <v>42551</v>
      </c>
      <c r="D45" s="827" t="s">
        <v>570</v>
      </c>
      <c r="E45" s="827">
        <f t="shared" si="3"/>
        <v>42551</v>
      </c>
      <c r="F45" s="1156" t="s">
        <v>1296</v>
      </c>
      <c r="G45" s="828"/>
      <c r="H45" s="71"/>
      <c r="I45" s="409"/>
      <c r="J45" s="409"/>
      <c r="K45" s="400"/>
      <c r="L45" s="409"/>
      <c r="M45" s="829">
        <f>47128136+2330149</f>
        <v>49458285</v>
      </c>
      <c r="N45" s="833" t="s">
        <v>276</v>
      </c>
      <c r="O45" s="833" t="s">
        <v>578</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customHeight="1">
      <c r="A46" s="323" t="str">
        <f>IF(B46&lt;&gt;"",IF(AND(B46='IN-TC'!$S$4,OR(TH!N46="1111",TH!O46="1111")),TH!D46,""),"")</f>
        <v/>
      </c>
      <c r="B46" s="63">
        <f t="shared" si="2"/>
        <v>7</v>
      </c>
      <c r="C46" s="827">
        <v>42582</v>
      </c>
      <c r="D46" s="827" t="s">
        <v>570</v>
      </c>
      <c r="E46" s="827">
        <f t="shared" si="3"/>
        <v>42582</v>
      </c>
      <c r="F46" s="1156" t="s">
        <v>1295</v>
      </c>
      <c r="G46" s="828"/>
      <c r="H46" s="72"/>
      <c r="I46" s="408"/>
      <c r="J46" s="408"/>
      <c r="K46" s="399"/>
      <c r="L46" s="408"/>
      <c r="M46" s="829">
        <v>10010706</v>
      </c>
      <c r="N46" s="831" t="s">
        <v>276</v>
      </c>
      <c r="O46" s="832" t="s">
        <v>577</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customHeight="1">
      <c r="A47" s="323" t="str">
        <f>IF(B47&lt;&gt;"",IF(AND(B47='IN-TC'!$S$4,OR(TH!N47="1111",TH!O47="1111")),TH!D47,""),"")</f>
        <v/>
      </c>
      <c r="B47" s="63">
        <f t="shared" si="2"/>
        <v>7</v>
      </c>
      <c r="C47" s="827">
        <v>42582</v>
      </c>
      <c r="D47" s="827" t="s">
        <v>570</v>
      </c>
      <c r="E47" s="827">
        <f t="shared" si="3"/>
        <v>42582</v>
      </c>
      <c r="F47" s="1156" t="s">
        <v>1296</v>
      </c>
      <c r="G47" s="930"/>
      <c r="H47" s="71"/>
      <c r="I47" s="409"/>
      <c r="J47" s="409"/>
      <c r="K47" s="400"/>
      <c r="L47" s="409"/>
      <c r="M47" s="829">
        <v>3671167</v>
      </c>
      <c r="N47" s="833" t="s">
        <v>99</v>
      </c>
      <c r="O47" s="833" t="s">
        <v>578</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customHeight="1">
      <c r="A48" s="323" t="str">
        <f>IF(B48&lt;&gt;"",IF(AND(B48='IN-TC'!$S$4,OR(TH!N48="1111",TH!O48="1111")),TH!D48,""),"")</f>
        <v/>
      </c>
      <c r="B48" s="63">
        <f t="shared" si="2"/>
        <v>7</v>
      </c>
      <c r="C48" s="827">
        <v>42582</v>
      </c>
      <c r="D48" s="827" t="s">
        <v>570</v>
      </c>
      <c r="E48" s="827">
        <f t="shared" si="3"/>
        <v>42582</v>
      </c>
      <c r="F48" s="1156" t="s">
        <v>1296</v>
      </c>
      <c r="G48" s="828"/>
      <c r="H48" s="71"/>
      <c r="I48" s="409"/>
      <c r="J48" s="409"/>
      <c r="K48" s="400"/>
      <c r="L48" s="409"/>
      <c r="M48" s="829">
        <f>47128136+2330149</f>
        <v>49458285</v>
      </c>
      <c r="N48" s="833" t="s">
        <v>276</v>
      </c>
      <c r="O48" s="833" t="s">
        <v>578</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customHeight="1">
      <c r="A49" s="323" t="str">
        <f>IF(B49&lt;&gt;"",IF(AND(B49='IN-TC'!$S$4,OR(TH!N49="1111",TH!O49="1111")),TH!D49,""),"")</f>
        <v/>
      </c>
      <c r="B49" s="63">
        <f t="shared" si="2"/>
        <v>8</v>
      </c>
      <c r="C49" s="827">
        <v>42613</v>
      </c>
      <c r="D49" s="827" t="s">
        <v>570</v>
      </c>
      <c r="E49" s="827">
        <f t="shared" si="3"/>
        <v>42613</v>
      </c>
      <c r="F49" s="1156" t="s">
        <v>1295</v>
      </c>
      <c r="G49" s="828"/>
      <c r="H49" s="72"/>
      <c r="I49" s="408"/>
      <c r="J49" s="408"/>
      <c r="K49" s="399"/>
      <c r="L49" s="408"/>
      <c r="M49" s="829">
        <v>10010706</v>
      </c>
      <c r="N49" s="831" t="s">
        <v>276</v>
      </c>
      <c r="O49" s="832" t="s">
        <v>577</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customHeight="1">
      <c r="A50" s="323" t="str">
        <f>IF(B50&lt;&gt;"",IF(AND(B50='IN-TC'!$S$4,OR(TH!N50="1111",TH!O50="1111")),TH!D50,""),"")</f>
        <v/>
      </c>
      <c r="B50" s="63">
        <f t="shared" si="2"/>
        <v>8</v>
      </c>
      <c r="C50" s="827">
        <v>42613</v>
      </c>
      <c r="D50" s="827" t="s">
        <v>570</v>
      </c>
      <c r="E50" s="827">
        <f t="shared" si="3"/>
        <v>42613</v>
      </c>
      <c r="F50" s="1156" t="s">
        <v>1296</v>
      </c>
      <c r="G50" s="930"/>
      <c r="H50" s="71"/>
      <c r="I50" s="409"/>
      <c r="J50" s="409"/>
      <c r="K50" s="400"/>
      <c r="L50" s="409"/>
      <c r="M50" s="829">
        <v>3671167</v>
      </c>
      <c r="N50" s="833" t="s">
        <v>99</v>
      </c>
      <c r="O50" s="833" t="s">
        <v>578</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customHeight="1">
      <c r="A51" s="323" t="str">
        <f>IF(B51&lt;&gt;"",IF(AND(B51='IN-TC'!$S$4,OR(TH!N51="1111",TH!O51="1111")),TH!D51,""),"")</f>
        <v/>
      </c>
      <c r="B51" s="63">
        <f t="shared" si="2"/>
        <v>8</v>
      </c>
      <c r="C51" s="827">
        <v>42613</v>
      </c>
      <c r="D51" s="827" t="s">
        <v>570</v>
      </c>
      <c r="E51" s="827">
        <f t="shared" si="3"/>
        <v>42613</v>
      </c>
      <c r="F51" s="1156" t="s">
        <v>1296</v>
      </c>
      <c r="G51" s="828"/>
      <c r="H51" s="71"/>
      <c r="I51" s="409"/>
      <c r="J51" s="409"/>
      <c r="K51" s="400"/>
      <c r="L51" s="409"/>
      <c r="M51" s="829">
        <f>47128136+2330149</f>
        <v>49458285</v>
      </c>
      <c r="N51" s="833" t="s">
        <v>276</v>
      </c>
      <c r="O51" s="833" t="s">
        <v>578</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customHeight="1">
      <c r="A52" s="323" t="str">
        <f>IF(B52&lt;&gt;"",IF(AND(B52='IN-TC'!$S$4,OR(TH!N52="1111",TH!O52="1111")),TH!D52,""),"")</f>
        <v/>
      </c>
      <c r="B52" s="63">
        <f t="shared" si="2"/>
        <v>9</v>
      </c>
      <c r="C52" s="827">
        <v>42643</v>
      </c>
      <c r="D52" s="827" t="s">
        <v>570</v>
      </c>
      <c r="E52" s="827">
        <f t="shared" si="3"/>
        <v>42643</v>
      </c>
      <c r="F52" s="1156" t="s">
        <v>1295</v>
      </c>
      <c r="G52" s="828"/>
      <c r="H52" s="72"/>
      <c r="I52" s="408"/>
      <c r="J52" s="408"/>
      <c r="K52" s="399"/>
      <c r="L52" s="408"/>
      <c r="M52" s="829">
        <v>10010706</v>
      </c>
      <c r="N52" s="831" t="s">
        <v>276</v>
      </c>
      <c r="O52" s="832" t="s">
        <v>577</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customHeight="1">
      <c r="A53" s="323" t="str">
        <f>IF(B53&lt;&gt;"",IF(AND(B53='IN-TC'!$S$4,OR(TH!N53="1111",TH!O53="1111")),TH!D53,""),"")</f>
        <v/>
      </c>
      <c r="B53" s="63">
        <f t="shared" si="2"/>
        <v>9</v>
      </c>
      <c r="C53" s="827">
        <v>42643</v>
      </c>
      <c r="D53" s="827" t="s">
        <v>570</v>
      </c>
      <c r="E53" s="827">
        <f t="shared" si="3"/>
        <v>42643</v>
      </c>
      <c r="F53" s="1156" t="s">
        <v>1296</v>
      </c>
      <c r="G53" s="930"/>
      <c r="H53" s="71"/>
      <c r="I53" s="409"/>
      <c r="J53" s="409"/>
      <c r="K53" s="400"/>
      <c r="L53" s="409"/>
      <c r="M53" s="829">
        <v>3671167</v>
      </c>
      <c r="N53" s="833" t="s">
        <v>99</v>
      </c>
      <c r="O53" s="833" t="s">
        <v>578</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customHeight="1">
      <c r="A54" s="323" t="str">
        <f>IF(B54&lt;&gt;"",IF(AND(B54='IN-TC'!$S$4,OR(TH!N54="1111",TH!O54="1111")),TH!D54,""),"")</f>
        <v/>
      </c>
      <c r="B54" s="63">
        <f t="shared" si="2"/>
        <v>9</v>
      </c>
      <c r="C54" s="827">
        <v>42643</v>
      </c>
      <c r="D54" s="827" t="s">
        <v>570</v>
      </c>
      <c r="E54" s="827">
        <f t="shared" si="3"/>
        <v>42643</v>
      </c>
      <c r="F54" s="1156" t="s">
        <v>1296</v>
      </c>
      <c r="G54" s="828"/>
      <c r="H54" s="71"/>
      <c r="I54" s="409"/>
      <c r="J54" s="409"/>
      <c r="K54" s="400"/>
      <c r="L54" s="409"/>
      <c r="M54" s="829">
        <f>47128136+2330149</f>
        <v>49458285</v>
      </c>
      <c r="N54" s="833" t="s">
        <v>276</v>
      </c>
      <c r="O54" s="833" t="s">
        <v>578</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customHeight="1">
      <c r="A55" s="323" t="str">
        <f>IF(B55&lt;&gt;"",IF(AND(B55='IN-TC'!$S$4,OR(TH!N55="1111",TH!O55="1111")),TH!D55,""),"")</f>
        <v/>
      </c>
      <c r="B55" s="63">
        <f t="shared" si="2"/>
        <v>10</v>
      </c>
      <c r="C55" s="827">
        <v>42674</v>
      </c>
      <c r="D55" s="827" t="s">
        <v>570</v>
      </c>
      <c r="E55" s="827">
        <f t="shared" si="3"/>
        <v>42674</v>
      </c>
      <c r="F55" s="1156" t="s">
        <v>1295</v>
      </c>
      <c r="G55" s="828"/>
      <c r="H55" s="72"/>
      <c r="I55" s="408"/>
      <c r="J55" s="408"/>
      <c r="K55" s="399"/>
      <c r="L55" s="408"/>
      <c r="M55" s="829">
        <v>10010706</v>
      </c>
      <c r="N55" s="831" t="s">
        <v>276</v>
      </c>
      <c r="O55" s="832" t="s">
        <v>577</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customHeight="1">
      <c r="A56" s="323" t="str">
        <f>IF(B56&lt;&gt;"",IF(AND(B56='IN-TC'!$S$4,OR(TH!N56="1111",TH!O56="1111")),TH!D56,""),"")</f>
        <v/>
      </c>
      <c r="B56" s="63">
        <f t="shared" si="2"/>
        <v>10</v>
      </c>
      <c r="C56" s="827">
        <v>42674</v>
      </c>
      <c r="D56" s="827" t="s">
        <v>570</v>
      </c>
      <c r="E56" s="827">
        <f t="shared" si="3"/>
        <v>42674</v>
      </c>
      <c r="F56" s="1156" t="s">
        <v>1296</v>
      </c>
      <c r="G56" s="930"/>
      <c r="H56" s="71"/>
      <c r="I56" s="409"/>
      <c r="J56" s="409"/>
      <c r="K56" s="400"/>
      <c r="L56" s="409"/>
      <c r="M56" s="829">
        <v>3671167</v>
      </c>
      <c r="N56" s="833" t="s">
        <v>99</v>
      </c>
      <c r="O56" s="833" t="s">
        <v>578</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customHeight="1">
      <c r="A57" s="323" t="str">
        <f>IF(B57&lt;&gt;"",IF(AND(B57='IN-TC'!$S$4,OR(TH!N57="1111",TH!O57="1111")),TH!D57,""),"")</f>
        <v/>
      </c>
      <c r="B57" s="63">
        <f t="shared" si="2"/>
        <v>10</v>
      </c>
      <c r="C57" s="827">
        <v>42674</v>
      </c>
      <c r="D57" s="827" t="s">
        <v>570</v>
      </c>
      <c r="E57" s="827">
        <f t="shared" si="3"/>
        <v>42674</v>
      </c>
      <c r="F57" s="1156" t="s">
        <v>1296</v>
      </c>
      <c r="G57" s="828"/>
      <c r="H57" s="71"/>
      <c r="I57" s="409"/>
      <c r="J57" s="409"/>
      <c r="K57" s="400"/>
      <c r="L57" s="409"/>
      <c r="M57" s="829">
        <f>47128136+2330149</f>
        <v>49458285</v>
      </c>
      <c r="N57" s="833" t="s">
        <v>276</v>
      </c>
      <c r="O57" s="833" t="s">
        <v>578</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customHeight="1">
      <c r="A58" s="323" t="str">
        <f>IF(B58&lt;&gt;"",IF(AND(B58='IN-TC'!$S$4,OR(TH!N58="1111",TH!O58="1111")),TH!D58,""),"")</f>
        <v/>
      </c>
      <c r="B58" s="63">
        <f t="shared" si="2"/>
        <v>11</v>
      </c>
      <c r="C58" s="827">
        <v>42704</v>
      </c>
      <c r="D58" s="827" t="s">
        <v>570</v>
      </c>
      <c r="E58" s="827">
        <f t="shared" si="3"/>
        <v>42704</v>
      </c>
      <c r="F58" s="1156" t="s">
        <v>1295</v>
      </c>
      <c r="G58" s="828"/>
      <c r="H58" s="72"/>
      <c r="I58" s="408"/>
      <c r="J58" s="408"/>
      <c r="K58" s="399"/>
      <c r="L58" s="408"/>
      <c r="M58" s="829">
        <v>10010706</v>
      </c>
      <c r="N58" s="831" t="s">
        <v>276</v>
      </c>
      <c r="O58" s="832" t="s">
        <v>577</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customHeight="1">
      <c r="A59" s="323" t="str">
        <f>IF(B59&lt;&gt;"",IF(AND(B59='IN-TC'!$S$4,OR(TH!N59="1111",TH!O59="1111")),TH!D59,""),"")</f>
        <v/>
      </c>
      <c r="B59" s="63">
        <f t="shared" si="2"/>
        <v>11</v>
      </c>
      <c r="C59" s="827">
        <v>42704</v>
      </c>
      <c r="D59" s="827" t="s">
        <v>570</v>
      </c>
      <c r="E59" s="827">
        <f t="shared" si="3"/>
        <v>42704</v>
      </c>
      <c r="F59" s="1156" t="s">
        <v>1296</v>
      </c>
      <c r="G59" s="930"/>
      <c r="H59" s="71"/>
      <c r="I59" s="409"/>
      <c r="J59" s="409"/>
      <c r="K59" s="400"/>
      <c r="L59" s="409"/>
      <c r="M59" s="829">
        <v>3671167</v>
      </c>
      <c r="N59" s="833" t="s">
        <v>99</v>
      </c>
      <c r="O59" s="833" t="s">
        <v>578</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customHeight="1">
      <c r="A60" s="323" t="str">
        <f>IF(B60&lt;&gt;"",IF(AND(B60='IN-TC'!$S$4,OR(TH!N60="1111",TH!O60="1111")),TH!D60,""),"")</f>
        <v/>
      </c>
      <c r="B60" s="63">
        <f t="shared" si="2"/>
        <v>11</v>
      </c>
      <c r="C60" s="827">
        <v>42704</v>
      </c>
      <c r="D60" s="827" t="s">
        <v>570</v>
      </c>
      <c r="E60" s="827">
        <f t="shared" si="3"/>
        <v>42704</v>
      </c>
      <c r="F60" s="1156" t="s">
        <v>1296</v>
      </c>
      <c r="G60" s="828"/>
      <c r="H60" s="71"/>
      <c r="I60" s="409"/>
      <c r="J60" s="409"/>
      <c r="K60" s="400"/>
      <c r="L60" s="409"/>
      <c r="M60" s="829">
        <f>47128136+2330149</f>
        <v>49458285</v>
      </c>
      <c r="N60" s="833" t="s">
        <v>276</v>
      </c>
      <c r="O60" s="833" t="s">
        <v>578</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customHeight="1">
      <c r="A61" s="323" t="str">
        <f>IF(B61&lt;&gt;"",IF(AND(B61='IN-TC'!$S$4,OR(TH!N61="1111",TH!O61="1111")),TH!D61,""),"")</f>
        <v/>
      </c>
      <c r="B61" s="63">
        <f t="shared" si="2"/>
        <v>12</v>
      </c>
      <c r="C61" s="827">
        <v>42735</v>
      </c>
      <c r="D61" s="827" t="s">
        <v>570</v>
      </c>
      <c r="E61" s="827">
        <f t="shared" si="3"/>
        <v>42735</v>
      </c>
      <c r="F61" s="1156" t="s">
        <v>1295</v>
      </c>
      <c r="G61" s="828"/>
      <c r="H61" s="72"/>
      <c r="I61" s="408"/>
      <c r="J61" s="408"/>
      <c r="K61" s="399"/>
      <c r="L61" s="408"/>
      <c r="M61" s="829">
        <v>10010712</v>
      </c>
      <c r="N61" s="831" t="s">
        <v>276</v>
      </c>
      <c r="O61" s="832" t="s">
        <v>577</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customHeight="1">
      <c r="A62" s="323" t="str">
        <f>IF(B62&lt;&gt;"",IF(AND(B62='IN-TC'!$S$4,OR(TH!N62="1111",TH!O62="1111")),TH!D62,""),"")</f>
        <v/>
      </c>
      <c r="B62" s="63">
        <f t="shared" si="2"/>
        <v>12</v>
      </c>
      <c r="C62" s="827">
        <v>42735</v>
      </c>
      <c r="D62" s="827" t="s">
        <v>570</v>
      </c>
      <c r="E62" s="827">
        <f t="shared" si="3"/>
        <v>42735</v>
      </c>
      <c r="F62" s="1156" t="s">
        <v>1296</v>
      </c>
      <c r="G62" s="930"/>
      <c r="H62" s="71"/>
      <c r="I62" s="409"/>
      <c r="J62" s="409"/>
      <c r="K62" s="400"/>
      <c r="L62" s="409"/>
      <c r="M62" s="829">
        <v>3671167</v>
      </c>
      <c r="N62" s="833" t="s">
        <v>99</v>
      </c>
      <c r="O62" s="833" t="s">
        <v>578</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customHeight="1">
      <c r="A63" s="323" t="str">
        <f>IF(B63&lt;&gt;"",IF(AND(B63='IN-TC'!$S$4,OR(TH!N63="1111",TH!O63="1111")),TH!D63,""),"")</f>
        <v/>
      </c>
      <c r="B63" s="63">
        <f t="shared" si="2"/>
        <v>12</v>
      </c>
      <c r="C63" s="827">
        <v>42735</v>
      </c>
      <c r="D63" s="827" t="s">
        <v>570</v>
      </c>
      <c r="E63" s="827">
        <f t="shared" si="3"/>
        <v>42735</v>
      </c>
      <c r="F63" s="1156" t="s">
        <v>1296</v>
      </c>
      <c r="G63" s="828"/>
      <c r="H63" s="71"/>
      <c r="I63" s="409"/>
      <c r="J63" s="409"/>
      <c r="K63" s="400"/>
      <c r="L63" s="409"/>
      <c r="M63" s="829">
        <f>47128136+2330150-3</f>
        <v>49458283</v>
      </c>
      <c r="N63" s="833" t="s">
        <v>276</v>
      </c>
      <c r="O63" s="833" t="s">
        <v>578</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customHeight="1">
      <c r="A64" s="323" t="str">
        <f>IF(B64&lt;&gt;"",IF(AND(B64='IN-TC'!$S$4,OR(TH!N64="1111",TH!O64="1111")),TH!D64,""),"")</f>
        <v/>
      </c>
      <c r="B64" s="63">
        <f t="shared" si="2"/>
        <v>1</v>
      </c>
      <c r="C64" s="830">
        <v>42400</v>
      </c>
      <c r="D64" s="830" t="s">
        <v>570</v>
      </c>
      <c r="E64" s="830">
        <f t="shared" si="3"/>
        <v>42400</v>
      </c>
      <c r="F64" s="1157" t="s">
        <v>1308</v>
      </c>
      <c r="G64" s="264">
        <v>37369000</v>
      </c>
      <c r="H64" s="308"/>
      <c r="I64" s="408"/>
      <c r="J64" s="408"/>
      <c r="K64" s="399"/>
      <c r="L64" s="408"/>
      <c r="M64" s="834">
        <v>36456640</v>
      </c>
      <c r="N64" s="835" t="s">
        <v>579</v>
      </c>
      <c r="O64" s="835" t="s">
        <v>580</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customHeight="1">
      <c r="A65" s="323" t="str">
        <f>IF(B65&lt;&gt;"",IF(AND(B65='IN-TC'!$S$4,OR(TH!N65="1111",TH!O65="1111")),TH!D65,""),"")</f>
        <v/>
      </c>
      <c r="B65" s="63">
        <f t="shared" si="2"/>
        <v>1</v>
      </c>
      <c r="C65" s="830">
        <v>42400</v>
      </c>
      <c r="D65" s="830" t="s">
        <v>570</v>
      </c>
      <c r="E65" s="830">
        <f t="shared" si="3"/>
        <v>42400</v>
      </c>
      <c r="F65" s="1157" t="s">
        <v>1309</v>
      </c>
      <c r="G65" s="264">
        <v>111683000</v>
      </c>
      <c r="H65" s="308"/>
      <c r="I65" s="408"/>
      <c r="J65" s="408"/>
      <c r="K65" s="399"/>
      <c r="L65" s="408"/>
      <c r="M65" s="834">
        <v>119802600</v>
      </c>
      <c r="N65" s="835" t="s">
        <v>276</v>
      </c>
      <c r="O65" s="835" t="s">
        <v>580</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customHeight="1">
      <c r="A66" s="323" t="str">
        <f>IF(B66&lt;&gt;"",IF(AND(B66='IN-TC'!$S$4,OR(TH!N66="1111",TH!O66="1111")),TH!D66,""),"")</f>
        <v/>
      </c>
      <c r="B66" s="63">
        <f t="shared" si="2"/>
        <v>1</v>
      </c>
      <c r="C66" s="830">
        <v>42400</v>
      </c>
      <c r="D66" s="830" t="s">
        <v>570</v>
      </c>
      <c r="E66" s="830">
        <f t="shared" si="3"/>
        <v>42400</v>
      </c>
      <c r="F66" s="1157" t="s">
        <v>1310</v>
      </c>
      <c r="G66" s="926" t="s">
        <v>571</v>
      </c>
      <c r="H66" s="308"/>
      <c r="I66" s="408"/>
      <c r="J66" s="408"/>
      <c r="K66" s="399"/>
      <c r="L66" s="408"/>
      <c r="M66" s="834">
        <f>ROUND(G64*$G66,0)</f>
        <v>2989520</v>
      </c>
      <c r="N66" s="835" t="s">
        <v>580</v>
      </c>
      <c r="O66" s="835" t="s">
        <v>581</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customHeight="1">
      <c r="A67" s="323" t="str">
        <f>IF(B67&lt;&gt;"",IF(AND(B67='IN-TC'!$S$4,OR(TH!N67="1111",TH!O67="1111")),TH!D67,""),"")</f>
        <v/>
      </c>
      <c r="B67" s="63">
        <f t="shared" si="2"/>
        <v>1</v>
      </c>
      <c r="C67" s="830">
        <v>42400</v>
      </c>
      <c r="D67" s="830" t="s">
        <v>570</v>
      </c>
      <c r="E67" s="830">
        <f t="shared" si="3"/>
        <v>42400</v>
      </c>
      <c r="F67" s="1157" t="s">
        <v>1311</v>
      </c>
      <c r="G67" s="264"/>
      <c r="H67" s="308"/>
      <c r="I67" s="408"/>
      <c r="J67" s="408"/>
      <c r="K67" s="399"/>
      <c r="L67" s="408"/>
      <c r="M67" s="834">
        <f>ROUND(G65*$G66,0)</f>
        <v>8934640</v>
      </c>
      <c r="N67" s="836" t="s">
        <v>580</v>
      </c>
      <c r="O67" s="837" t="s">
        <v>581</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customHeight="1">
      <c r="A68" s="323" t="str">
        <f>IF(B68&lt;&gt;"",IF(AND(B68='IN-TC'!$S$4,OR(TH!N68="1111",TH!O68="1111")),TH!D68,""),"")</f>
        <v/>
      </c>
      <c r="B68" s="63">
        <f t="shared" si="2"/>
        <v>1</v>
      </c>
      <c r="C68" s="830">
        <v>42400</v>
      </c>
      <c r="D68" s="830" t="s">
        <v>570</v>
      </c>
      <c r="E68" s="830">
        <f t="shared" si="3"/>
        <v>42400</v>
      </c>
      <c r="F68" s="1157" t="s">
        <v>1312</v>
      </c>
      <c r="G68" s="926" t="s">
        <v>572</v>
      </c>
      <c r="H68" s="308"/>
      <c r="I68" s="408"/>
      <c r="J68" s="408"/>
      <c r="K68" s="399"/>
      <c r="L68" s="408"/>
      <c r="M68" s="834">
        <f>ROUND(G64*$G68,0)</f>
        <v>6726420</v>
      </c>
      <c r="N68" s="835" t="s">
        <v>579</v>
      </c>
      <c r="O68" s="835" t="s">
        <v>581</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customHeight="1">
      <c r="A69" s="323" t="str">
        <f>IF(B69&lt;&gt;"",IF(AND(B69='IN-TC'!$S$4,OR(TH!N69="1111",TH!O69="1111")),TH!D69,""),"")</f>
        <v/>
      </c>
      <c r="B69" s="63">
        <f t="shared" si="2"/>
        <v>1</v>
      </c>
      <c r="C69" s="830">
        <v>42400</v>
      </c>
      <c r="D69" s="830" t="s">
        <v>570</v>
      </c>
      <c r="E69" s="830">
        <f t="shared" si="3"/>
        <v>42400</v>
      </c>
      <c r="F69" s="1157" t="s">
        <v>1313</v>
      </c>
      <c r="G69" s="264"/>
      <c r="H69" s="308"/>
      <c r="I69" s="408"/>
      <c r="J69" s="408"/>
      <c r="K69" s="399"/>
      <c r="L69" s="408"/>
      <c r="M69" s="834">
        <f>G65*$G68</f>
        <v>20102940</v>
      </c>
      <c r="N69" s="835" t="s">
        <v>276</v>
      </c>
      <c r="O69" s="835" t="s">
        <v>581</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customHeight="1">
      <c r="A70" s="323" t="str">
        <f>IF(B70&lt;&gt;"",IF(AND(B70='IN-TC'!$S$4,OR(TH!N70="1111",TH!O70="1111")),TH!D70,""),"")</f>
        <v/>
      </c>
      <c r="B70" s="63">
        <f t="shared" si="2"/>
        <v>1</v>
      </c>
      <c r="C70" s="830">
        <v>42400</v>
      </c>
      <c r="D70" s="830" t="s">
        <v>570</v>
      </c>
      <c r="E70" s="830">
        <f t="shared" si="3"/>
        <v>42400</v>
      </c>
      <c r="F70" s="1157" t="s">
        <v>1314</v>
      </c>
      <c r="G70" s="926" t="s">
        <v>573</v>
      </c>
      <c r="H70" s="310"/>
      <c r="I70" s="406"/>
      <c r="J70" s="406"/>
      <c r="K70" s="397"/>
      <c r="L70" s="406"/>
      <c r="M70" s="834">
        <f>ROUND(G64*$G70,0)</f>
        <v>560535</v>
      </c>
      <c r="N70" s="835" t="s">
        <v>580</v>
      </c>
      <c r="O70" s="835" t="s">
        <v>582</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customHeight="1">
      <c r="A71" s="323" t="str">
        <f>IF(B71&lt;&gt;"",IF(AND(B71='IN-TC'!$S$4,OR(TH!N71="1111",TH!O71="1111")),TH!D71,""),"")</f>
        <v/>
      </c>
      <c r="B71" s="63">
        <f t="shared" si="2"/>
        <v>1</v>
      </c>
      <c r="C71" s="830">
        <v>42400</v>
      </c>
      <c r="D71" s="830" t="s">
        <v>570</v>
      </c>
      <c r="E71" s="830">
        <f t="shared" si="3"/>
        <v>42400</v>
      </c>
      <c r="F71" s="1157" t="s">
        <v>1315</v>
      </c>
      <c r="G71" s="264"/>
      <c r="H71" s="310"/>
      <c r="I71" s="406"/>
      <c r="J71" s="406"/>
      <c r="K71" s="397"/>
      <c r="L71" s="406"/>
      <c r="M71" s="834">
        <f>ROUND(G65*$G70,0)</f>
        <v>1675245</v>
      </c>
      <c r="N71" s="835" t="s">
        <v>580</v>
      </c>
      <c r="O71" s="835" t="s">
        <v>582</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customHeight="1">
      <c r="A72" s="323" t="str">
        <f>IF(B72&lt;&gt;"",IF(AND(B72='IN-TC'!$S$4,OR(TH!N72="1111",TH!O72="1111")),TH!D72,""),"")</f>
        <v/>
      </c>
      <c r="B72" s="63">
        <f t="shared" si="2"/>
        <v>1</v>
      </c>
      <c r="C72" s="830">
        <v>42400</v>
      </c>
      <c r="D72" s="830" t="s">
        <v>570</v>
      </c>
      <c r="E72" s="830">
        <f t="shared" si="3"/>
        <v>42400</v>
      </c>
      <c r="F72" s="1157" t="s">
        <v>1316</v>
      </c>
      <c r="G72" s="926" t="s">
        <v>574</v>
      </c>
      <c r="H72" s="308"/>
      <c r="I72" s="408"/>
      <c r="J72" s="408"/>
      <c r="K72" s="399"/>
      <c r="L72" s="408"/>
      <c r="M72" s="834">
        <f>ROUND(G64*$G72,0)</f>
        <v>1121070</v>
      </c>
      <c r="N72" s="835" t="s">
        <v>579</v>
      </c>
      <c r="O72" s="835" t="s">
        <v>582</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customHeight="1">
      <c r="A73" s="323" t="str">
        <f>IF(B73&lt;&gt;"",IF(AND(B73='IN-TC'!$S$4,OR(TH!N73="1111",TH!O73="1111")),TH!D73,""),"")</f>
        <v/>
      </c>
      <c r="B73" s="63">
        <f t="shared" si="2"/>
        <v>1</v>
      </c>
      <c r="C73" s="830">
        <v>42400</v>
      </c>
      <c r="D73" s="830" t="s">
        <v>570</v>
      </c>
      <c r="E73" s="830">
        <f t="shared" si="3"/>
        <v>42400</v>
      </c>
      <c r="F73" s="1157" t="s">
        <v>1317</v>
      </c>
      <c r="G73" s="264"/>
      <c r="H73" s="308"/>
      <c r="I73" s="408"/>
      <c r="J73" s="408"/>
      <c r="K73" s="399"/>
      <c r="L73" s="408"/>
      <c r="M73" s="834">
        <f>ROUND(G65*$G72,0)</f>
        <v>3350490</v>
      </c>
      <c r="N73" s="835" t="s">
        <v>276</v>
      </c>
      <c r="O73" s="835" t="s">
        <v>582</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customHeight="1">
      <c r="A74" s="323" t="str">
        <f>IF(B74&lt;&gt;"",IF(AND(B74='IN-TC'!$S$4,OR(TH!N74="1111",TH!O74="1111")),TH!D74,""),"")</f>
        <v/>
      </c>
      <c r="B74" s="63">
        <f t="shared" si="2"/>
        <v>1</v>
      </c>
      <c r="C74" s="830">
        <v>42400</v>
      </c>
      <c r="D74" s="830" t="s">
        <v>570</v>
      </c>
      <c r="E74" s="830">
        <f t="shared" si="3"/>
        <v>42400</v>
      </c>
      <c r="F74" s="1157" t="s">
        <v>1318</v>
      </c>
      <c r="G74" s="926" t="s">
        <v>575</v>
      </c>
      <c r="H74" s="308"/>
      <c r="I74" s="408"/>
      <c r="J74" s="408"/>
      <c r="K74" s="399"/>
      <c r="L74" s="408"/>
      <c r="M74" s="834">
        <f>ROUND(G64*$G74,0)</f>
        <v>373690</v>
      </c>
      <c r="N74" s="835" t="s">
        <v>580</v>
      </c>
      <c r="O74" s="835" t="s">
        <v>583</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customHeight="1">
      <c r="A75" s="323" t="str">
        <f>IF(B75&lt;&gt;"",IF(AND(B75='IN-TC'!$S$4,OR(TH!N75="1111",TH!O75="1111")),TH!D75,""),"")</f>
        <v/>
      </c>
      <c r="B75" s="63">
        <f t="shared" si="2"/>
        <v>1</v>
      </c>
      <c r="C75" s="830">
        <v>42400</v>
      </c>
      <c r="D75" s="830" t="s">
        <v>570</v>
      </c>
      <c r="E75" s="830">
        <f t="shared" si="3"/>
        <v>42400</v>
      </c>
      <c r="F75" s="1157" t="s">
        <v>1319</v>
      </c>
      <c r="G75" s="264"/>
      <c r="H75" s="308"/>
      <c r="I75" s="408"/>
      <c r="J75" s="408"/>
      <c r="K75" s="399"/>
      <c r="L75" s="408"/>
      <c r="M75" s="834">
        <f>ROUND(G65*$G74,0)</f>
        <v>1116830</v>
      </c>
      <c r="N75" s="835" t="s">
        <v>580</v>
      </c>
      <c r="O75" s="835" t="s">
        <v>583</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customHeight="1">
      <c r="A76" s="323" t="str">
        <f>IF(B76&lt;&gt;"",IF(AND(B76='IN-TC'!$S$4,OR(TH!N76="1111",TH!O76="1111")),TH!D76,""),"")</f>
        <v/>
      </c>
      <c r="B76" s="63">
        <f t="shared" si="2"/>
        <v>1</v>
      </c>
      <c r="C76" s="830">
        <v>42400</v>
      </c>
      <c r="D76" s="830" t="s">
        <v>570</v>
      </c>
      <c r="E76" s="830">
        <f t="shared" si="3"/>
        <v>42400</v>
      </c>
      <c r="F76" s="1157" t="s">
        <v>1320</v>
      </c>
      <c r="G76" s="926" t="s">
        <v>575</v>
      </c>
      <c r="H76" s="1072"/>
      <c r="I76" s="409"/>
      <c r="J76" s="409"/>
      <c r="K76" s="400"/>
      <c r="L76" s="409"/>
      <c r="M76" s="834">
        <f>M74</f>
        <v>373690</v>
      </c>
      <c r="N76" s="835" t="s">
        <v>579</v>
      </c>
      <c r="O76" s="835" t="s">
        <v>583</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customHeight="1">
      <c r="A77" s="323" t="str">
        <f>IF(B77&lt;&gt;"",IF(AND(B77='IN-TC'!$S$4,OR(TH!N77="1111",TH!O77="1111")),TH!D77,""),"")</f>
        <v/>
      </c>
      <c r="B77" s="63">
        <f t="shared" si="2"/>
        <v>1</v>
      </c>
      <c r="C77" s="830">
        <v>42400</v>
      </c>
      <c r="D77" s="830" t="s">
        <v>570</v>
      </c>
      <c r="E77" s="830">
        <f t="shared" si="3"/>
        <v>42400</v>
      </c>
      <c r="F77" s="1157" t="s">
        <v>1321</v>
      </c>
      <c r="G77" s="264"/>
      <c r="H77" s="308"/>
      <c r="I77" s="408"/>
      <c r="J77" s="408"/>
      <c r="K77" s="399"/>
      <c r="L77" s="408"/>
      <c r="M77" s="834">
        <f>M75</f>
        <v>1116830</v>
      </c>
      <c r="N77" s="835" t="s">
        <v>276</v>
      </c>
      <c r="O77" s="835" t="s">
        <v>583</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customHeight="1">
      <c r="A78" s="323" t="str">
        <f>IF(B78&lt;&gt;"",IF(AND(B78='IN-TC'!$S$4,OR(TH!N78="1111",TH!O78="1111")),TH!D78,""),"")</f>
        <v/>
      </c>
      <c r="B78" s="63">
        <f t="shared" si="2"/>
        <v>1</v>
      </c>
      <c r="C78" s="830">
        <v>42400</v>
      </c>
      <c r="D78" s="830" t="s">
        <v>570</v>
      </c>
      <c r="E78" s="830">
        <f t="shared" si="3"/>
        <v>42400</v>
      </c>
      <c r="F78" s="1157" t="s">
        <v>2915</v>
      </c>
      <c r="G78" s="264"/>
      <c r="H78" s="308"/>
      <c r="I78" s="408"/>
      <c r="J78" s="408"/>
      <c r="K78" s="399"/>
      <c r="L78" s="408"/>
      <c r="M78" s="834">
        <v>3376</v>
      </c>
      <c r="N78" s="835" t="s">
        <v>103</v>
      </c>
      <c r="O78" s="835" t="s">
        <v>581</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customHeight="1">
      <c r="A79" s="323" t="str">
        <f>IF(B79&lt;&gt;"",IF(AND(B79='IN-TC'!$S$4,OR(TH!N79="1111",TH!O79="1111")),TH!D79,""),"")</f>
        <v/>
      </c>
      <c r="B79" s="63">
        <f t="shared" si="2"/>
        <v>2</v>
      </c>
      <c r="C79" s="830">
        <v>42429</v>
      </c>
      <c r="D79" s="830" t="s">
        <v>570</v>
      </c>
      <c r="E79" s="830">
        <f t="shared" si="3"/>
        <v>42429</v>
      </c>
      <c r="F79" s="1157" t="s">
        <v>1308</v>
      </c>
      <c r="G79" s="264">
        <v>37369000</v>
      </c>
      <c r="H79" s="308"/>
      <c r="I79" s="408"/>
      <c r="J79" s="408"/>
      <c r="K79" s="399"/>
      <c r="L79" s="408"/>
      <c r="M79" s="834">
        <v>31803952</v>
      </c>
      <c r="N79" s="835" t="s">
        <v>579</v>
      </c>
      <c r="O79" s="835" t="s">
        <v>580</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customHeight="1">
      <c r="A80" s="323" t="str">
        <f>IF(B80&lt;&gt;"",IF(AND(B80='IN-TC'!$S$4,OR(TH!N80="1111",TH!O80="1111")),TH!D80,""),"")</f>
        <v/>
      </c>
      <c r="B80" s="63">
        <f t="shared" si="2"/>
        <v>2</v>
      </c>
      <c r="C80" s="830">
        <v>42429</v>
      </c>
      <c r="D80" s="830" t="s">
        <v>570</v>
      </c>
      <c r="E80" s="830">
        <f t="shared" si="3"/>
        <v>42429</v>
      </c>
      <c r="F80" s="1157" t="s">
        <v>1309</v>
      </c>
      <c r="G80" s="264">
        <v>108366000</v>
      </c>
      <c r="H80" s="308"/>
      <c r="I80" s="408"/>
      <c r="J80" s="408"/>
      <c r="K80" s="399"/>
      <c r="L80" s="408"/>
      <c r="M80" s="834">
        <v>97552760</v>
      </c>
      <c r="N80" s="835" t="s">
        <v>276</v>
      </c>
      <c r="O80" s="835" t="s">
        <v>580</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customHeight="1">
      <c r="A81" s="323" t="str">
        <f>IF(B81&lt;&gt;"",IF(AND(B81='IN-TC'!$S$4,OR(TH!N81="1111",TH!O81="1111")),TH!D81,""),"")</f>
        <v/>
      </c>
      <c r="B81" s="63">
        <f t="shared" si="2"/>
        <v>2</v>
      </c>
      <c r="C81" s="830">
        <v>42429</v>
      </c>
      <c r="D81" s="830" t="s">
        <v>570</v>
      </c>
      <c r="E81" s="830">
        <f t="shared" si="3"/>
        <v>42429</v>
      </c>
      <c r="F81" s="1157" t="s">
        <v>1310</v>
      </c>
      <c r="G81" s="926" t="s">
        <v>571</v>
      </c>
      <c r="H81" s="308"/>
      <c r="I81" s="408"/>
      <c r="J81" s="408"/>
      <c r="K81" s="399"/>
      <c r="L81" s="408"/>
      <c r="M81" s="834">
        <f>ROUND(G79*$G81,0)</f>
        <v>2989520</v>
      </c>
      <c r="N81" s="835" t="s">
        <v>580</v>
      </c>
      <c r="O81" s="835" t="s">
        <v>581</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customHeight="1">
      <c r="A82" s="323" t="str">
        <f>IF(B82&lt;&gt;"",IF(AND(B82='IN-TC'!$S$4,OR(TH!N82="1111",TH!O82="1111")),TH!D82,""),"")</f>
        <v/>
      </c>
      <c r="B82" s="63">
        <f t="shared" si="2"/>
        <v>2</v>
      </c>
      <c r="C82" s="830">
        <v>42429</v>
      </c>
      <c r="D82" s="830" t="s">
        <v>570</v>
      </c>
      <c r="E82" s="830">
        <f t="shared" si="3"/>
        <v>42429</v>
      </c>
      <c r="F82" s="1157" t="s">
        <v>1311</v>
      </c>
      <c r="G82" s="264"/>
      <c r="H82" s="308"/>
      <c r="I82" s="408"/>
      <c r="J82" s="408"/>
      <c r="K82" s="399"/>
      <c r="L82" s="408"/>
      <c r="M82" s="834">
        <f>ROUND(G80*$G81,0)</f>
        <v>8669280</v>
      </c>
      <c r="N82" s="836" t="s">
        <v>580</v>
      </c>
      <c r="O82" s="837" t="s">
        <v>581</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customHeight="1">
      <c r="A83" s="323" t="str">
        <f>IF(B83&lt;&gt;"",IF(AND(B83='IN-TC'!$S$4,OR(TH!N83="1111",TH!O83="1111")),TH!D83,""),"")</f>
        <v/>
      </c>
      <c r="B83" s="63">
        <f t="shared" si="2"/>
        <v>2</v>
      </c>
      <c r="C83" s="830">
        <v>42429</v>
      </c>
      <c r="D83" s="830" t="s">
        <v>570</v>
      </c>
      <c r="E83" s="830">
        <f t="shared" si="3"/>
        <v>42429</v>
      </c>
      <c r="F83" s="1157" t="s">
        <v>1312</v>
      </c>
      <c r="G83" s="926" t="s">
        <v>572</v>
      </c>
      <c r="H83" s="308"/>
      <c r="I83" s="408"/>
      <c r="J83" s="408"/>
      <c r="K83" s="399"/>
      <c r="L83" s="408"/>
      <c r="M83" s="834">
        <f>ROUND(G79*$G83,0)</f>
        <v>6726420</v>
      </c>
      <c r="N83" s="835" t="s">
        <v>579</v>
      </c>
      <c r="O83" s="835" t="s">
        <v>581</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customHeight="1">
      <c r="A84" s="323" t="str">
        <f>IF(B84&lt;&gt;"",IF(AND(B84='IN-TC'!$S$4,OR(TH!N84="1111",TH!O84="1111")),TH!D84,""),"")</f>
        <v/>
      </c>
      <c r="B84" s="63">
        <f t="shared" si="2"/>
        <v>2</v>
      </c>
      <c r="C84" s="830">
        <v>42429</v>
      </c>
      <c r="D84" s="830" t="s">
        <v>570</v>
      </c>
      <c r="E84" s="830">
        <f t="shared" si="3"/>
        <v>42429</v>
      </c>
      <c r="F84" s="1157" t="s">
        <v>1313</v>
      </c>
      <c r="G84" s="264"/>
      <c r="H84" s="308"/>
      <c r="I84" s="408"/>
      <c r="J84" s="408"/>
      <c r="K84" s="399"/>
      <c r="L84" s="408"/>
      <c r="M84" s="834">
        <f>ROUND(G80*$G83,0)</f>
        <v>19505880</v>
      </c>
      <c r="N84" s="835" t="s">
        <v>276</v>
      </c>
      <c r="O84" s="835" t="s">
        <v>581</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customHeight="1">
      <c r="A85" s="323" t="str">
        <f>IF(B85&lt;&gt;"",IF(AND(B85='IN-TC'!$S$4,OR(TH!N85="1111",TH!O85="1111")),TH!D85,""),"")</f>
        <v/>
      </c>
      <c r="B85" s="63">
        <f t="shared" si="2"/>
        <v>2</v>
      </c>
      <c r="C85" s="830">
        <v>42429</v>
      </c>
      <c r="D85" s="830" t="s">
        <v>570</v>
      </c>
      <c r="E85" s="830">
        <f t="shared" si="3"/>
        <v>42429</v>
      </c>
      <c r="F85" s="1157" t="s">
        <v>1314</v>
      </c>
      <c r="G85" s="926" t="s">
        <v>573</v>
      </c>
      <c r="H85" s="310"/>
      <c r="I85" s="406"/>
      <c r="J85" s="406"/>
      <c r="K85" s="397"/>
      <c r="L85" s="406"/>
      <c r="M85" s="834">
        <f>ROUND(G79*$G85,0)</f>
        <v>560535</v>
      </c>
      <c r="N85" s="835" t="s">
        <v>580</v>
      </c>
      <c r="O85" s="835" t="s">
        <v>582</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customHeight="1">
      <c r="A86" s="323" t="str">
        <f>IF(B86&lt;&gt;"",IF(AND(B86='IN-TC'!$S$4,OR(TH!N86="1111",TH!O86="1111")),TH!D86,""),"")</f>
        <v/>
      </c>
      <c r="B86" s="63">
        <f t="shared" si="2"/>
        <v>2</v>
      </c>
      <c r="C86" s="830">
        <v>42429</v>
      </c>
      <c r="D86" s="830" t="s">
        <v>570</v>
      </c>
      <c r="E86" s="830">
        <f t="shared" si="3"/>
        <v>42429</v>
      </c>
      <c r="F86" s="1157" t="s">
        <v>1315</v>
      </c>
      <c r="G86" s="264"/>
      <c r="H86" s="310"/>
      <c r="I86" s="406"/>
      <c r="J86" s="406"/>
      <c r="K86" s="397"/>
      <c r="L86" s="406"/>
      <c r="M86" s="834">
        <f>G80*$G85</f>
        <v>1625490</v>
      </c>
      <c r="N86" s="835" t="s">
        <v>580</v>
      </c>
      <c r="O86" s="835" t="s">
        <v>582</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customHeight="1">
      <c r="A87" s="323" t="str">
        <f>IF(B87&lt;&gt;"",IF(AND(B87='IN-TC'!$S$4,OR(TH!N87="1111",TH!O87="1111")),TH!D87,""),"")</f>
        <v/>
      </c>
      <c r="B87" s="63">
        <f t="shared" si="2"/>
        <v>2</v>
      </c>
      <c r="C87" s="830">
        <v>42429</v>
      </c>
      <c r="D87" s="830" t="s">
        <v>570</v>
      </c>
      <c r="E87" s="830">
        <f t="shared" si="3"/>
        <v>42429</v>
      </c>
      <c r="F87" s="1157" t="s">
        <v>1316</v>
      </c>
      <c r="G87" s="926" t="s">
        <v>574</v>
      </c>
      <c r="H87" s="308"/>
      <c r="I87" s="408"/>
      <c r="J87" s="408"/>
      <c r="K87" s="399"/>
      <c r="L87" s="408"/>
      <c r="M87" s="834">
        <f>G79*$G87</f>
        <v>1121070</v>
      </c>
      <c r="N87" s="835" t="s">
        <v>579</v>
      </c>
      <c r="O87" s="835" t="s">
        <v>582</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customHeight="1">
      <c r="A88" s="323" t="str">
        <f>IF(B88&lt;&gt;"",IF(AND(B88='IN-TC'!$S$4,OR(TH!N88="1111",TH!O88="1111")),TH!D88,""),"")</f>
        <v/>
      </c>
      <c r="B88" s="63">
        <f t="shared" si="2"/>
        <v>2</v>
      </c>
      <c r="C88" s="830">
        <v>42429</v>
      </c>
      <c r="D88" s="830" t="s">
        <v>570</v>
      </c>
      <c r="E88" s="830">
        <f t="shared" si="3"/>
        <v>42429</v>
      </c>
      <c r="F88" s="1157" t="s">
        <v>1317</v>
      </c>
      <c r="G88" s="264"/>
      <c r="H88" s="308"/>
      <c r="I88" s="408"/>
      <c r="J88" s="408"/>
      <c r="K88" s="399"/>
      <c r="L88" s="408"/>
      <c r="M88" s="834">
        <f>G80*$G87</f>
        <v>3250980</v>
      </c>
      <c r="N88" s="835" t="s">
        <v>276</v>
      </c>
      <c r="O88" s="835" t="s">
        <v>582</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customHeight="1">
      <c r="A89" s="323" t="str">
        <f>IF(B89&lt;&gt;"",IF(AND(B89='IN-TC'!$S$4,OR(TH!N89="1111",TH!O89="1111")),TH!D89,""),"")</f>
        <v/>
      </c>
      <c r="B89" s="63">
        <f t="shared" si="2"/>
        <v>2</v>
      </c>
      <c r="C89" s="830">
        <v>42429</v>
      </c>
      <c r="D89" s="830" t="s">
        <v>570</v>
      </c>
      <c r="E89" s="830">
        <f t="shared" si="3"/>
        <v>42429</v>
      </c>
      <c r="F89" s="1157" t="s">
        <v>1318</v>
      </c>
      <c r="G89" s="926" t="s">
        <v>575</v>
      </c>
      <c r="H89" s="308"/>
      <c r="I89" s="408"/>
      <c r="J89" s="408"/>
      <c r="K89" s="399"/>
      <c r="L89" s="408"/>
      <c r="M89" s="834">
        <f>G79*$G89</f>
        <v>373690</v>
      </c>
      <c r="N89" s="835" t="s">
        <v>580</v>
      </c>
      <c r="O89" s="835" t="s">
        <v>583</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customHeight="1">
      <c r="A90" s="323" t="str">
        <f>IF(B90&lt;&gt;"",IF(AND(B90='IN-TC'!$S$4,OR(TH!N90="1111",TH!O90="1111")),TH!D90,""),"")</f>
        <v/>
      </c>
      <c r="B90" s="63">
        <f t="shared" ref="B90:B153" si="4">IF(C90&lt;&gt;"",MONTH(C90),"")</f>
        <v>2</v>
      </c>
      <c r="C90" s="830">
        <v>42429</v>
      </c>
      <c r="D90" s="830" t="s">
        <v>570</v>
      </c>
      <c r="E90" s="830">
        <f t="shared" si="3"/>
        <v>42429</v>
      </c>
      <c r="F90" s="1157" t="s">
        <v>1319</v>
      </c>
      <c r="G90" s="264"/>
      <c r="H90" s="308"/>
      <c r="I90" s="408"/>
      <c r="J90" s="408"/>
      <c r="K90" s="399"/>
      <c r="L90" s="408"/>
      <c r="M90" s="834">
        <f>G80*$G89</f>
        <v>1083660</v>
      </c>
      <c r="N90" s="835" t="s">
        <v>580</v>
      </c>
      <c r="O90" s="835" t="s">
        <v>583</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customHeight="1">
      <c r="A91" s="323" t="str">
        <f>IF(B91&lt;&gt;"",IF(AND(B91='IN-TC'!$S$4,OR(TH!N91="1111",TH!O91="1111")),TH!D91,""),"")</f>
        <v/>
      </c>
      <c r="B91" s="63">
        <f t="shared" si="4"/>
        <v>2</v>
      </c>
      <c r="C91" s="830">
        <v>42429</v>
      </c>
      <c r="D91" s="830" t="s">
        <v>570</v>
      </c>
      <c r="E91" s="830">
        <f t="shared" si="3"/>
        <v>42429</v>
      </c>
      <c r="F91" s="1157" t="s">
        <v>1320</v>
      </c>
      <c r="G91" s="926" t="s">
        <v>575</v>
      </c>
      <c r="H91" s="1072"/>
      <c r="I91" s="409"/>
      <c r="J91" s="409"/>
      <c r="K91" s="400"/>
      <c r="L91" s="409"/>
      <c r="M91" s="834">
        <f>M89</f>
        <v>373690</v>
      </c>
      <c r="N91" s="835" t="s">
        <v>579</v>
      </c>
      <c r="O91" s="835" t="s">
        <v>583</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customHeight="1">
      <c r="A92" s="323" t="str">
        <f>IF(B92&lt;&gt;"",IF(AND(B92='IN-TC'!$S$4,OR(TH!N92="1111",TH!O92="1111")),TH!D92,""),"")</f>
        <v/>
      </c>
      <c r="B92" s="63">
        <f t="shared" si="4"/>
        <v>2</v>
      </c>
      <c r="C92" s="830">
        <v>42429</v>
      </c>
      <c r="D92" s="830" t="s">
        <v>570</v>
      </c>
      <c r="E92" s="830">
        <f t="shared" ref="E92:E155" si="5">C92</f>
        <v>42429</v>
      </c>
      <c r="F92" s="1157" t="s">
        <v>1321</v>
      </c>
      <c r="G92" s="264"/>
      <c r="H92" s="308"/>
      <c r="I92" s="408"/>
      <c r="J92" s="408"/>
      <c r="K92" s="399"/>
      <c r="L92" s="408"/>
      <c r="M92" s="834">
        <f>M90</f>
        <v>1083660</v>
      </c>
      <c r="N92" s="835" t="s">
        <v>276</v>
      </c>
      <c r="O92" s="835" t="s">
        <v>583</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customHeight="1">
      <c r="A93" s="323" t="str">
        <f>IF(B93&lt;&gt;"",IF(AND(B93='IN-TC'!$S$4,OR(TH!N93="1111",TH!O93="1111")),TH!D93,""),"")</f>
        <v/>
      </c>
      <c r="B93" s="63">
        <f t="shared" si="4"/>
        <v>2</v>
      </c>
      <c r="C93" s="830">
        <v>42429</v>
      </c>
      <c r="D93" s="830" t="s">
        <v>570</v>
      </c>
      <c r="E93" s="830">
        <f t="shared" si="5"/>
        <v>42429</v>
      </c>
      <c r="F93" s="1157" t="s">
        <v>2915</v>
      </c>
      <c r="G93" s="264"/>
      <c r="H93" s="308"/>
      <c r="I93" s="408"/>
      <c r="J93" s="408"/>
      <c r="K93" s="399"/>
      <c r="L93" s="408"/>
      <c r="M93" s="834">
        <v>266597</v>
      </c>
      <c r="N93" s="835" t="s">
        <v>103</v>
      </c>
      <c r="O93" s="835" t="s">
        <v>581</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customHeight="1">
      <c r="A94" s="323" t="str">
        <f>IF(B94&lt;&gt;"",IF(AND(B94='IN-TC'!$S$4,OR(TH!N94="1111",TH!O94="1111")),TH!D94,""),"")</f>
        <v/>
      </c>
      <c r="B94" s="63">
        <f t="shared" si="4"/>
        <v>3</v>
      </c>
      <c r="C94" s="830">
        <v>42460</v>
      </c>
      <c r="D94" s="830" t="s">
        <v>570</v>
      </c>
      <c r="E94" s="830">
        <f t="shared" si="5"/>
        <v>42460</v>
      </c>
      <c r="F94" s="1157" t="s">
        <v>1308</v>
      </c>
      <c r="G94" s="264">
        <v>37369000</v>
      </c>
      <c r="H94" s="308"/>
      <c r="I94" s="408"/>
      <c r="J94" s="408"/>
      <c r="K94" s="399"/>
      <c r="L94" s="408"/>
      <c r="M94" s="834">
        <v>37691667</v>
      </c>
      <c r="N94" s="835" t="s">
        <v>579</v>
      </c>
      <c r="O94" s="835" t="s">
        <v>580</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customHeight="1">
      <c r="A95" s="323" t="str">
        <f>IF(B95&lt;&gt;"",IF(AND(B95='IN-TC'!$S$4,OR(TH!N95="1111",TH!O95="1111")),TH!D95,""),"")</f>
        <v/>
      </c>
      <c r="B95" s="63">
        <f t="shared" si="4"/>
        <v>3</v>
      </c>
      <c r="C95" s="830">
        <v>42460</v>
      </c>
      <c r="D95" s="830" t="s">
        <v>570</v>
      </c>
      <c r="E95" s="830">
        <f t="shared" si="5"/>
        <v>42460</v>
      </c>
      <c r="F95" s="1157" t="s">
        <v>1309</v>
      </c>
      <c r="G95" s="264">
        <v>108366000</v>
      </c>
      <c r="H95" s="308"/>
      <c r="I95" s="408"/>
      <c r="J95" s="408"/>
      <c r="K95" s="399"/>
      <c r="L95" s="408"/>
      <c r="M95" s="834">
        <v>118338627</v>
      </c>
      <c r="N95" s="835" t="s">
        <v>276</v>
      </c>
      <c r="O95" s="835" t="s">
        <v>580</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customHeight="1">
      <c r="A96" s="323" t="str">
        <f>IF(B96&lt;&gt;"",IF(AND(B96='IN-TC'!$S$4,OR(TH!N96="1111",TH!O96="1111")),TH!D96,""),"")</f>
        <v/>
      </c>
      <c r="B96" s="63">
        <f t="shared" si="4"/>
        <v>3</v>
      </c>
      <c r="C96" s="830">
        <v>42460</v>
      </c>
      <c r="D96" s="830" t="s">
        <v>570</v>
      </c>
      <c r="E96" s="830">
        <f t="shared" si="5"/>
        <v>42460</v>
      </c>
      <c r="F96" s="1157" t="s">
        <v>1310</v>
      </c>
      <c r="G96" s="926" t="s">
        <v>571</v>
      </c>
      <c r="H96" s="308"/>
      <c r="I96" s="408"/>
      <c r="J96" s="408"/>
      <c r="K96" s="399"/>
      <c r="L96" s="408"/>
      <c r="M96" s="834">
        <f>G94*$G96</f>
        <v>2989520</v>
      </c>
      <c r="N96" s="835" t="s">
        <v>580</v>
      </c>
      <c r="O96" s="835" t="s">
        <v>581</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customHeight="1">
      <c r="A97" s="323" t="str">
        <f>IF(B97&lt;&gt;"",IF(AND(B97='IN-TC'!$S$4,OR(TH!N97="1111",TH!O97="1111")),TH!D97,""),"")</f>
        <v/>
      </c>
      <c r="B97" s="63">
        <f t="shared" si="4"/>
        <v>3</v>
      </c>
      <c r="C97" s="830">
        <v>42460</v>
      </c>
      <c r="D97" s="830" t="s">
        <v>570</v>
      </c>
      <c r="E97" s="830">
        <f t="shared" si="5"/>
        <v>42460</v>
      </c>
      <c r="F97" s="1157" t="s">
        <v>1311</v>
      </c>
      <c r="G97" s="264"/>
      <c r="H97" s="308"/>
      <c r="I97" s="408"/>
      <c r="J97" s="408"/>
      <c r="K97" s="399"/>
      <c r="L97" s="408"/>
      <c r="M97" s="834">
        <f>G95*$G96</f>
        <v>8669280</v>
      </c>
      <c r="N97" s="836" t="s">
        <v>580</v>
      </c>
      <c r="O97" s="837" t="s">
        <v>581</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customHeight="1">
      <c r="A98" s="323" t="str">
        <f>IF(B98&lt;&gt;"",IF(AND(B98='IN-TC'!$S$4,OR(TH!N98="1111",TH!O98="1111")),TH!D98,""),"")</f>
        <v/>
      </c>
      <c r="B98" s="63">
        <f t="shared" si="4"/>
        <v>3</v>
      </c>
      <c r="C98" s="830">
        <v>42460</v>
      </c>
      <c r="D98" s="830" t="s">
        <v>570</v>
      </c>
      <c r="E98" s="830">
        <f t="shared" si="5"/>
        <v>42460</v>
      </c>
      <c r="F98" s="1157" t="s">
        <v>1312</v>
      </c>
      <c r="G98" s="926" t="s">
        <v>572</v>
      </c>
      <c r="H98" s="308"/>
      <c r="I98" s="408"/>
      <c r="J98" s="408"/>
      <c r="K98" s="399"/>
      <c r="L98" s="408"/>
      <c r="M98" s="834">
        <f>G94*$G98</f>
        <v>6726420</v>
      </c>
      <c r="N98" s="835" t="s">
        <v>579</v>
      </c>
      <c r="O98" s="835" t="s">
        <v>581</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customHeight="1">
      <c r="A99" s="323" t="str">
        <f>IF(B99&lt;&gt;"",IF(AND(B99='IN-TC'!$S$4,OR(TH!N99="1111",TH!O99="1111")),TH!D99,""),"")</f>
        <v/>
      </c>
      <c r="B99" s="63">
        <f t="shared" si="4"/>
        <v>3</v>
      </c>
      <c r="C99" s="830">
        <v>42460</v>
      </c>
      <c r="D99" s="830" t="s">
        <v>570</v>
      </c>
      <c r="E99" s="830">
        <f t="shared" si="5"/>
        <v>42460</v>
      </c>
      <c r="F99" s="1157" t="s">
        <v>1313</v>
      </c>
      <c r="G99" s="264"/>
      <c r="H99" s="308"/>
      <c r="I99" s="408"/>
      <c r="J99" s="408"/>
      <c r="K99" s="399"/>
      <c r="L99" s="408"/>
      <c r="M99" s="834">
        <f>G95*$G98</f>
        <v>19505880</v>
      </c>
      <c r="N99" s="835" t="s">
        <v>276</v>
      </c>
      <c r="O99" s="835" t="s">
        <v>581</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customHeight="1">
      <c r="A100" s="323" t="str">
        <f>IF(B100&lt;&gt;"",IF(AND(B100='IN-TC'!$S$4,OR(TH!N100="1111",TH!O100="1111")),TH!D100,""),"")</f>
        <v/>
      </c>
      <c r="B100" s="63">
        <f t="shared" si="4"/>
        <v>3</v>
      </c>
      <c r="C100" s="830">
        <v>42460</v>
      </c>
      <c r="D100" s="830" t="s">
        <v>570</v>
      </c>
      <c r="E100" s="830">
        <f t="shared" si="5"/>
        <v>42460</v>
      </c>
      <c r="F100" s="1157" t="s">
        <v>1314</v>
      </c>
      <c r="G100" s="926" t="s">
        <v>573</v>
      </c>
      <c r="H100" s="310"/>
      <c r="I100" s="406"/>
      <c r="J100" s="406"/>
      <c r="K100" s="397"/>
      <c r="L100" s="406"/>
      <c r="M100" s="834">
        <f>ROUND(G94*$G100,0)</f>
        <v>560535</v>
      </c>
      <c r="N100" s="835" t="s">
        <v>580</v>
      </c>
      <c r="O100" s="835" t="s">
        <v>582</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customHeight="1">
      <c r="A101" s="323" t="str">
        <f>IF(B101&lt;&gt;"",IF(AND(B101='IN-TC'!$S$4,OR(TH!N101="1111",TH!O101="1111")),TH!D101,""),"")</f>
        <v/>
      </c>
      <c r="B101" s="63">
        <f t="shared" si="4"/>
        <v>3</v>
      </c>
      <c r="C101" s="830">
        <v>42460</v>
      </c>
      <c r="D101" s="830" t="s">
        <v>570</v>
      </c>
      <c r="E101" s="830">
        <f t="shared" si="5"/>
        <v>42460</v>
      </c>
      <c r="F101" s="1157" t="s">
        <v>1315</v>
      </c>
      <c r="G101" s="264"/>
      <c r="H101" s="310"/>
      <c r="I101" s="406"/>
      <c r="J101" s="406"/>
      <c r="K101" s="397"/>
      <c r="L101" s="406"/>
      <c r="M101" s="834">
        <f>G95*$G100</f>
        <v>1625490</v>
      </c>
      <c r="N101" s="835" t="s">
        <v>580</v>
      </c>
      <c r="O101" s="835" t="s">
        <v>582</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customHeight="1">
      <c r="A102" s="323" t="str">
        <f>IF(B102&lt;&gt;"",IF(AND(B102='IN-TC'!$S$4,OR(TH!N102="1111",TH!O102="1111")),TH!D102,""),"")</f>
        <v/>
      </c>
      <c r="B102" s="63">
        <f t="shared" si="4"/>
        <v>3</v>
      </c>
      <c r="C102" s="830">
        <v>42460</v>
      </c>
      <c r="D102" s="830" t="s">
        <v>570</v>
      </c>
      <c r="E102" s="830">
        <f t="shared" si="5"/>
        <v>42460</v>
      </c>
      <c r="F102" s="1157" t="s">
        <v>1316</v>
      </c>
      <c r="G102" s="926" t="s">
        <v>574</v>
      </c>
      <c r="H102" s="308"/>
      <c r="I102" s="408"/>
      <c r="J102" s="408"/>
      <c r="K102" s="399"/>
      <c r="L102" s="408"/>
      <c r="M102" s="834">
        <f>G94*$G102</f>
        <v>1121070</v>
      </c>
      <c r="N102" s="835" t="s">
        <v>579</v>
      </c>
      <c r="O102" s="835" t="s">
        <v>582</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customHeight="1">
      <c r="A103" s="323" t="str">
        <f>IF(B103&lt;&gt;"",IF(AND(B103='IN-TC'!$S$4,OR(TH!N103="1111",TH!O103="1111")),TH!D103,""),"")</f>
        <v/>
      </c>
      <c r="B103" s="63">
        <f t="shared" si="4"/>
        <v>3</v>
      </c>
      <c r="C103" s="830">
        <v>42460</v>
      </c>
      <c r="D103" s="830" t="s">
        <v>570</v>
      </c>
      <c r="E103" s="830">
        <f t="shared" si="5"/>
        <v>42460</v>
      </c>
      <c r="F103" s="1157" t="s">
        <v>1317</v>
      </c>
      <c r="G103" s="264"/>
      <c r="H103" s="308"/>
      <c r="I103" s="408"/>
      <c r="J103" s="408"/>
      <c r="K103" s="399"/>
      <c r="L103" s="408"/>
      <c r="M103" s="834">
        <f>G95*$G102</f>
        <v>3250980</v>
      </c>
      <c r="N103" s="835" t="s">
        <v>276</v>
      </c>
      <c r="O103" s="835" t="s">
        <v>582</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customHeight="1">
      <c r="A104" s="323" t="str">
        <f>IF(B104&lt;&gt;"",IF(AND(B104='IN-TC'!$S$4,OR(TH!N104="1111",TH!O104="1111")),TH!D104,""),"")</f>
        <v/>
      </c>
      <c r="B104" s="63">
        <f t="shared" si="4"/>
        <v>3</v>
      </c>
      <c r="C104" s="830">
        <v>42460</v>
      </c>
      <c r="D104" s="830" t="s">
        <v>570</v>
      </c>
      <c r="E104" s="830">
        <f t="shared" si="5"/>
        <v>42460</v>
      </c>
      <c r="F104" s="1157" t="s">
        <v>1318</v>
      </c>
      <c r="G104" s="926" t="s">
        <v>575</v>
      </c>
      <c r="H104" s="308"/>
      <c r="I104" s="408"/>
      <c r="J104" s="408"/>
      <c r="K104" s="399"/>
      <c r="L104" s="408"/>
      <c r="M104" s="834">
        <f>G94*$G104</f>
        <v>373690</v>
      </c>
      <c r="N104" s="835" t="s">
        <v>580</v>
      </c>
      <c r="O104" s="835" t="s">
        <v>583</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customHeight="1">
      <c r="A105" s="323" t="str">
        <f>IF(B105&lt;&gt;"",IF(AND(B105='IN-TC'!$S$4,OR(TH!N105="1111",TH!O105="1111")),TH!D105,""),"")</f>
        <v/>
      </c>
      <c r="B105" s="63">
        <f t="shared" si="4"/>
        <v>3</v>
      </c>
      <c r="C105" s="830">
        <v>42460</v>
      </c>
      <c r="D105" s="830" t="s">
        <v>570</v>
      </c>
      <c r="E105" s="830">
        <f t="shared" si="5"/>
        <v>42460</v>
      </c>
      <c r="F105" s="1157" t="s">
        <v>1319</v>
      </c>
      <c r="G105" s="264"/>
      <c r="H105" s="308"/>
      <c r="I105" s="408"/>
      <c r="J105" s="408"/>
      <c r="K105" s="399"/>
      <c r="L105" s="408"/>
      <c r="M105" s="834">
        <f>G95*$G104</f>
        <v>1083660</v>
      </c>
      <c r="N105" s="835" t="s">
        <v>580</v>
      </c>
      <c r="O105" s="835" t="s">
        <v>583</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customHeight="1">
      <c r="A106" s="323" t="str">
        <f>IF(B106&lt;&gt;"",IF(AND(B106='IN-TC'!$S$4,OR(TH!N106="1111",TH!O106="1111")),TH!D106,""),"")</f>
        <v/>
      </c>
      <c r="B106" s="63">
        <f t="shared" si="4"/>
        <v>3</v>
      </c>
      <c r="C106" s="830">
        <v>42460</v>
      </c>
      <c r="D106" s="830" t="s">
        <v>570</v>
      </c>
      <c r="E106" s="830">
        <f t="shared" si="5"/>
        <v>42460</v>
      </c>
      <c r="F106" s="1157" t="s">
        <v>1320</v>
      </c>
      <c r="G106" s="926" t="s">
        <v>575</v>
      </c>
      <c r="H106" s="1072"/>
      <c r="I106" s="409"/>
      <c r="J106" s="409"/>
      <c r="K106" s="400"/>
      <c r="L106" s="409"/>
      <c r="M106" s="834">
        <f>M104</f>
        <v>373690</v>
      </c>
      <c r="N106" s="835" t="s">
        <v>579</v>
      </c>
      <c r="O106" s="835" t="s">
        <v>583</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customHeight="1">
      <c r="A107" s="323" t="str">
        <f>IF(B107&lt;&gt;"",IF(AND(B107='IN-TC'!$S$4,OR(TH!N107="1111",TH!O107="1111")),TH!D107,""),"")</f>
        <v/>
      </c>
      <c r="B107" s="63">
        <f t="shared" si="4"/>
        <v>3</v>
      </c>
      <c r="C107" s="830">
        <v>42460</v>
      </c>
      <c r="D107" s="830" t="s">
        <v>570</v>
      </c>
      <c r="E107" s="830">
        <f t="shared" si="5"/>
        <v>42460</v>
      </c>
      <c r="F107" s="1157" t="s">
        <v>1321</v>
      </c>
      <c r="G107" s="264"/>
      <c r="H107" s="308"/>
      <c r="I107" s="408"/>
      <c r="J107" s="408"/>
      <c r="K107" s="399"/>
      <c r="L107" s="408"/>
      <c r="M107" s="834">
        <f>M105</f>
        <v>1083660</v>
      </c>
      <c r="N107" s="835" t="s">
        <v>276</v>
      </c>
      <c r="O107" s="835" t="s">
        <v>583</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customHeight="1">
      <c r="A108" s="323" t="str">
        <f>IF(B108&lt;&gt;"",IF(AND(B108='IN-TC'!$S$4,OR(TH!N108="1111",TH!O108="1111")),TH!D108,""),"")</f>
        <v/>
      </c>
      <c r="B108" s="63">
        <f t="shared" si="4"/>
        <v>3</v>
      </c>
      <c r="C108" s="830">
        <v>42460</v>
      </c>
      <c r="D108" s="830" t="s">
        <v>570</v>
      </c>
      <c r="E108" s="830">
        <f t="shared" si="5"/>
        <v>42460</v>
      </c>
      <c r="F108" s="1157" t="s">
        <v>2915</v>
      </c>
      <c r="G108" s="264"/>
      <c r="H108" s="308"/>
      <c r="I108" s="408"/>
      <c r="J108" s="408"/>
      <c r="K108" s="399"/>
      <c r="L108" s="408"/>
      <c r="M108" s="834">
        <v>1006558</v>
      </c>
      <c r="N108" s="835" t="s">
        <v>103</v>
      </c>
      <c r="O108" s="835" t="s">
        <v>581</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customHeight="1">
      <c r="A109" s="323" t="str">
        <f>IF(B109&lt;&gt;"",IF(AND(B109='IN-TC'!$S$4,OR(TH!N109="1111",TH!O109="1111")),TH!D109,""),"")</f>
        <v/>
      </c>
      <c r="B109" s="63">
        <f t="shared" si="4"/>
        <v>4</v>
      </c>
      <c r="C109" s="830">
        <v>42489</v>
      </c>
      <c r="D109" s="830" t="s">
        <v>570</v>
      </c>
      <c r="E109" s="830">
        <f t="shared" si="5"/>
        <v>42489</v>
      </c>
      <c r="F109" s="1157" t="s">
        <v>1308</v>
      </c>
      <c r="G109" s="264">
        <v>37369000</v>
      </c>
      <c r="H109" s="308"/>
      <c r="I109" s="408"/>
      <c r="J109" s="408"/>
      <c r="K109" s="399"/>
      <c r="L109" s="408"/>
      <c r="M109" s="834">
        <v>37292708</v>
      </c>
      <c r="N109" s="835" t="s">
        <v>579</v>
      </c>
      <c r="O109" s="835" t="s">
        <v>580</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customHeight="1">
      <c r="A110" s="323" t="str">
        <f>IF(B110&lt;&gt;"",IF(AND(B110='IN-TC'!$S$4,OR(TH!N110="1111",TH!O110="1111")),TH!D110,""),"")</f>
        <v/>
      </c>
      <c r="B110" s="63">
        <f t="shared" si="4"/>
        <v>4</v>
      </c>
      <c r="C110" s="830">
        <v>42489</v>
      </c>
      <c r="D110" s="830" t="s">
        <v>570</v>
      </c>
      <c r="E110" s="830">
        <f t="shared" si="5"/>
        <v>42489</v>
      </c>
      <c r="F110" s="1157" t="s">
        <v>1309</v>
      </c>
      <c r="G110" s="264">
        <v>105049000</v>
      </c>
      <c r="H110" s="308"/>
      <c r="I110" s="408"/>
      <c r="J110" s="408"/>
      <c r="K110" s="399"/>
      <c r="L110" s="408"/>
      <c r="M110" s="834">
        <v>111366967</v>
      </c>
      <c r="N110" s="835" t="s">
        <v>276</v>
      </c>
      <c r="O110" s="835" t="s">
        <v>580</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customHeight="1">
      <c r="A111" s="323" t="str">
        <f>IF(B111&lt;&gt;"",IF(AND(B111='IN-TC'!$S$4,OR(TH!N111="1111",TH!O111="1111")),TH!D111,""),"")</f>
        <v/>
      </c>
      <c r="B111" s="63">
        <f t="shared" si="4"/>
        <v>4</v>
      </c>
      <c r="C111" s="830">
        <v>42489</v>
      </c>
      <c r="D111" s="830" t="s">
        <v>570</v>
      </c>
      <c r="E111" s="830">
        <f t="shared" si="5"/>
        <v>42489</v>
      </c>
      <c r="F111" s="1157" t="s">
        <v>1310</v>
      </c>
      <c r="G111" s="926" t="s">
        <v>571</v>
      </c>
      <c r="H111" s="308"/>
      <c r="I111" s="408"/>
      <c r="J111" s="408"/>
      <c r="K111" s="399"/>
      <c r="L111" s="408"/>
      <c r="M111" s="834">
        <f>G109*$G111</f>
        <v>2989520</v>
      </c>
      <c r="N111" s="835" t="s">
        <v>580</v>
      </c>
      <c r="O111" s="835" t="s">
        <v>581</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customHeight="1">
      <c r="A112" s="323" t="str">
        <f>IF(B112&lt;&gt;"",IF(AND(B112='IN-TC'!$S$4,OR(TH!N112="1111",TH!O112="1111")),TH!D112,""),"")</f>
        <v/>
      </c>
      <c r="B112" s="63">
        <f t="shared" si="4"/>
        <v>4</v>
      </c>
      <c r="C112" s="830">
        <v>42489</v>
      </c>
      <c r="D112" s="830" t="s">
        <v>570</v>
      </c>
      <c r="E112" s="830">
        <f t="shared" si="5"/>
        <v>42489</v>
      </c>
      <c r="F112" s="1157" t="s">
        <v>1311</v>
      </c>
      <c r="G112" s="264"/>
      <c r="H112" s="308"/>
      <c r="I112" s="408"/>
      <c r="J112" s="408"/>
      <c r="K112" s="399"/>
      <c r="L112" s="408"/>
      <c r="M112" s="834">
        <f>G110*$G111</f>
        <v>8403920</v>
      </c>
      <c r="N112" s="836" t="s">
        <v>580</v>
      </c>
      <c r="O112" s="837" t="s">
        <v>581</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customHeight="1">
      <c r="A113" s="323" t="str">
        <f>IF(B113&lt;&gt;"",IF(AND(B113='IN-TC'!$S$4,OR(TH!N113="1111",TH!O113="1111")),TH!D113,""),"")</f>
        <v/>
      </c>
      <c r="B113" s="63">
        <f t="shared" si="4"/>
        <v>4</v>
      </c>
      <c r="C113" s="830">
        <v>42489</v>
      </c>
      <c r="D113" s="830" t="s">
        <v>570</v>
      </c>
      <c r="E113" s="830">
        <f t="shared" si="5"/>
        <v>42489</v>
      </c>
      <c r="F113" s="1157" t="s">
        <v>1312</v>
      </c>
      <c r="G113" s="926" t="s">
        <v>572</v>
      </c>
      <c r="H113" s="308"/>
      <c r="I113" s="408"/>
      <c r="J113" s="408"/>
      <c r="K113" s="399"/>
      <c r="L113" s="408"/>
      <c r="M113" s="834">
        <f>G109*$G113</f>
        <v>6726420</v>
      </c>
      <c r="N113" s="835" t="s">
        <v>579</v>
      </c>
      <c r="O113" s="835" t="s">
        <v>581</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customHeight="1">
      <c r="A114" s="323" t="str">
        <f>IF(B114&lt;&gt;"",IF(AND(B114='IN-TC'!$S$4,OR(TH!N114="1111",TH!O114="1111")),TH!D114,""),"")</f>
        <v/>
      </c>
      <c r="B114" s="63">
        <f t="shared" si="4"/>
        <v>4</v>
      </c>
      <c r="C114" s="830">
        <v>42489</v>
      </c>
      <c r="D114" s="830" t="s">
        <v>570</v>
      </c>
      <c r="E114" s="830">
        <f t="shared" si="5"/>
        <v>42489</v>
      </c>
      <c r="F114" s="1157" t="s">
        <v>1313</v>
      </c>
      <c r="G114" s="264"/>
      <c r="H114" s="308"/>
      <c r="I114" s="408"/>
      <c r="J114" s="408"/>
      <c r="K114" s="399"/>
      <c r="L114" s="408"/>
      <c r="M114" s="834">
        <f>G110*$G113</f>
        <v>18908820</v>
      </c>
      <c r="N114" s="835" t="s">
        <v>276</v>
      </c>
      <c r="O114" s="835" t="s">
        <v>581</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customHeight="1">
      <c r="A115" s="323" t="str">
        <f>IF(B115&lt;&gt;"",IF(AND(B115='IN-TC'!$S$4,OR(TH!N115="1111",TH!O115="1111")),TH!D115,""),"")</f>
        <v/>
      </c>
      <c r="B115" s="63">
        <f t="shared" si="4"/>
        <v>4</v>
      </c>
      <c r="C115" s="830">
        <v>42489</v>
      </c>
      <c r="D115" s="830" t="s">
        <v>570</v>
      </c>
      <c r="E115" s="830">
        <f t="shared" si="5"/>
        <v>42489</v>
      </c>
      <c r="F115" s="1157" t="s">
        <v>1314</v>
      </c>
      <c r="G115" s="926" t="s">
        <v>573</v>
      </c>
      <c r="H115" s="310"/>
      <c r="I115" s="406"/>
      <c r="J115" s="406"/>
      <c r="K115" s="397"/>
      <c r="L115" s="406"/>
      <c r="M115" s="834">
        <f>ROUND(G109*$G115,0)</f>
        <v>560535</v>
      </c>
      <c r="N115" s="835" t="s">
        <v>580</v>
      </c>
      <c r="O115" s="835" t="s">
        <v>582</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customHeight="1">
      <c r="A116" s="323" t="str">
        <f>IF(B116&lt;&gt;"",IF(AND(B116='IN-TC'!$S$4,OR(TH!N116="1111",TH!O116="1111")),TH!D116,""),"")</f>
        <v/>
      </c>
      <c r="B116" s="63">
        <f t="shared" si="4"/>
        <v>4</v>
      </c>
      <c r="C116" s="830">
        <v>42489</v>
      </c>
      <c r="D116" s="830" t="s">
        <v>570</v>
      </c>
      <c r="E116" s="830">
        <f t="shared" si="5"/>
        <v>42489</v>
      </c>
      <c r="F116" s="1157" t="s">
        <v>1315</v>
      </c>
      <c r="G116" s="264"/>
      <c r="H116" s="310"/>
      <c r="I116" s="406"/>
      <c r="J116" s="406"/>
      <c r="K116" s="397"/>
      <c r="L116" s="406"/>
      <c r="M116" s="834">
        <f>ROUND(G110*$G115,0)</f>
        <v>1575735</v>
      </c>
      <c r="N116" s="835" t="s">
        <v>580</v>
      </c>
      <c r="O116" s="835" t="s">
        <v>582</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customHeight="1">
      <c r="A117" s="323" t="str">
        <f>IF(B117&lt;&gt;"",IF(AND(B117='IN-TC'!$S$4,OR(TH!N117="1111",TH!O117="1111")),TH!D117,""),"")</f>
        <v/>
      </c>
      <c r="B117" s="63">
        <f t="shared" si="4"/>
        <v>4</v>
      </c>
      <c r="C117" s="830">
        <v>42489</v>
      </c>
      <c r="D117" s="830" t="s">
        <v>570</v>
      </c>
      <c r="E117" s="830">
        <f t="shared" si="5"/>
        <v>42489</v>
      </c>
      <c r="F117" s="1157" t="s">
        <v>1316</v>
      </c>
      <c r="G117" s="926" t="s">
        <v>574</v>
      </c>
      <c r="H117" s="308"/>
      <c r="I117" s="408"/>
      <c r="J117" s="408"/>
      <c r="K117" s="399"/>
      <c r="L117" s="408"/>
      <c r="M117" s="834">
        <f>G109*$G117</f>
        <v>1121070</v>
      </c>
      <c r="N117" s="835" t="s">
        <v>579</v>
      </c>
      <c r="O117" s="835" t="s">
        <v>582</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customHeight="1">
      <c r="A118" s="323" t="str">
        <f>IF(B118&lt;&gt;"",IF(AND(B118='IN-TC'!$S$4,OR(TH!N118="1111",TH!O118="1111")),TH!D118,""),"")</f>
        <v/>
      </c>
      <c r="B118" s="63">
        <f t="shared" si="4"/>
        <v>4</v>
      </c>
      <c r="C118" s="830">
        <v>42489</v>
      </c>
      <c r="D118" s="830" t="s">
        <v>570</v>
      </c>
      <c r="E118" s="830">
        <f t="shared" si="5"/>
        <v>42489</v>
      </c>
      <c r="F118" s="1157" t="s">
        <v>1317</v>
      </c>
      <c r="G118" s="264"/>
      <c r="H118" s="308"/>
      <c r="I118" s="408"/>
      <c r="J118" s="408"/>
      <c r="K118" s="399"/>
      <c r="L118" s="408"/>
      <c r="M118" s="834">
        <f>G110*$G117</f>
        <v>3151470</v>
      </c>
      <c r="N118" s="835" t="s">
        <v>276</v>
      </c>
      <c r="O118" s="835" t="s">
        <v>582</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customHeight="1">
      <c r="A119" s="323" t="str">
        <f>IF(B119&lt;&gt;"",IF(AND(B119='IN-TC'!$S$4,OR(TH!N119="1111",TH!O119="1111")),TH!D119,""),"")</f>
        <v/>
      </c>
      <c r="B119" s="63">
        <f t="shared" si="4"/>
        <v>4</v>
      </c>
      <c r="C119" s="830">
        <v>42489</v>
      </c>
      <c r="D119" s="830" t="s">
        <v>570</v>
      </c>
      <c r="E119" s="830">
        <f t="shared" si="5"/>
        <v>42489</v>
      </c>
      <c r="F119" s="1157" t="s">
        <v>1318</v>
      </c>
      <c r="G119" s="926" t="s">
        <v>575</v>
      </c>
      <c r="H119" s="308"/>
      <c r="I119" s="408"/>
      <c r="J119" s="408"/>
      <c r="K119" s="399"/>
      <c r="L119" s="408"/>
      <c r="M119" s="834">
        <f>G109*$G119</f>
        <v>373690</v>
      </c>
      <c r="N119" s="835" t="s">
        <v>580</v>
      </c>
      <c r="O119" s="835" t="s">
        <v>583</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customHeight="1">
      <c r="A120" s="323" t="str">
        <f>IF(B120&lt;&gt;"",IF(AND(B120='IN-TC'!$S$4,OR(TH!N120="1111",TH!O120="1111")),TH!D120,""),"")</f>
        <v/>
      </c>
      <c r="B120" s="63">
        <f t="shared" si="4"/>
        <v>4</v>
      </c>
      <c r="C120" s="830">
        <v>42489</v>
      </c>
      <c r="D120" s="830" t="s">
        <v>570</v>
      </c>
      <c r="E120" s="830">
        <f t="shared" si="5"/>
        <v>42489</v>
      </c>
      <c r="F120" s="1157" t="s">
        <v>1319</v>
      </c>
      <c r="G120" s="264"/>
      <c r="H120" s="308"/>
      <c r="I120" s="408"/>
      <c r="J120" s="408"/>
      <c r="K120" s="399"/>
      <c r="L120" s="408"/>
      <c r="M120" s="834">
        <f>G110*$G119</f>
        <v>1050490</v>
      </c>
      <c r="N120" s="835" t="s">
        <v>580</v>
      </c>
      <c r="O120" s="835" t="s">
        <v>583</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customHeight="1">
      <c r="A121" s="323" t="str">
        <f>IF(B121&lt;&gt;"",IF(AND(B121='IN-TC'!$S$4,OR(TH!N121="1111",TH!O121="1111")),TH!D121,""),"")</f>
        <v/>
      </c>
      <c r="B121" s="63">
        <f t="shared" si="4"/>
        <v>4</v>
      </c>
      <c r="C121" s="830">
        <v>42489</v>
      </c>
      <c r="D121" s="830" t="s">
        <v>570</v>
      </c>
      <c r="E121" s="830">
        <f t="shared" si="5"/>
        <v>42489</v>
      </c>
      <c r="F121" s="1157" t="s">
        <v>1320</v>
      </c>
      <c r="G121" s="926" t="s">
        <v>575</v>
      </c>
      <c r="H121" s="1072"/>
      <c r="I121" s="409"/>
      <c r="J121" s="409"/>
      <c r="K121" s="400"/>
      <c r="L121" s="409"/>
      <c r="M121" s="834">
        <f>M119</f>
        <v>373690</v>
      </c>
      <c r="N121" s="835" t="s">
        <v>579</v>
      </c>
      <c r="O121" s="835" t="s">
        <v>583</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customHeight="1">
      <c r="A122" s="323" t="str">
        <f>IF(B122&lt;&gt;"",IF(AND(B122='IN-TC'!$S$4,OR(TH!N122="1111",TH!O122="1111")),TH!D122,""),"")</f>
        <v/>
      </c>
      <c r="B122" s="63">
        <f t="shared" si="4"/>
        <v>4</v>
      </c>
      <c r="C122" s="830">
        <v>42489</v>
      </c>
      <c r="D122" s="830" t="s">
        <v>570</v>
      </c>
      <c r="E122" s="830">
        <f t="shared" si="5"/>
        <v>42489</v>
      </c>
      <c r="F122" s="1157" t="s">
        <v>1321</v>
      </c>
      <c r="G122" s="264"/>
      <c r="H122" s="308"/>
      <c r="I122" s="408"/>
      <c r="J122" s="408"/>
      <c r="K122" s="399"/>
      <c r="L122" s="408"/>
      <c r="M122" s="834">
        <f>M120</f>
        <v>1050490</v>
      </c>
      <c r="N122" s="835" t="s">
        <v>276</v>
      </c>
      <c r="O122" s="835" t="s">
        <v>583</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customHeight="1">
      <c r="A123" s="323" t="str">
        <f>IF(B123&lt;&gt;"",IF(AND(B123='IN-TC'!$S$4,OR(TH!N123="1111",TH!O123="1111")),TH!D123,""),"")</f>
        <v/>
      </c>
      <c r="B123" s="63">
        <f t="shared" si="4"/>
        <v>4</v>
      </c>
      <c r="C123" s="830">
        <v>42489</v>
      </c>
      <c r="D123" s="830" t="s">
        <v>570</v>
      </c>
      <c r="E123" s="830">
        <f t="shared" si="5"/>
        <v>42489</v>
      </c>
      <c r="F123" s="1157" t="s">
        <v>2915</v>
      </c>
      <c r="G123" s="264"/>
      <c r="H123" s="308"/>
      <c r="I123" s="408"/>
      <c r="J123" s="408"/>
      <c r="K123" s="399"/>
      <c r="L123" s="408"/>
      <c r="M123" s="834">
        <v>712037</v>
      </c>
      <c r="N123" s="835" t="s">
        <v>103</v>
      </c>
      <c r="O123" s="835" t="s">
        <v>581</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customHeight="1">
      <c r="A124" s="323" t="str">
        <f>IF(B124&lt;&gt;"",IF(AND(B124='IN-TC'!$S$4,OR(TH!N124="1111",TH!O124="1111")),TH!D124,""),"")</f>
        <v/>
      </c>
      <c r="B124" s="63">
        <f t="shared" si="4"/>
        <v>5</v>
      </c>
      <c r="C124" s="830">
        <v>42521</v>
      </c>
      <c r="D124" s="830" t="s">
        <v>570</v>
      </c>
      <c r="E124" s="830">
        <f t="shared" si="5"/>
        <v>42521</v>
      </c>
      <c r="F124" s="1157" t="s">
        <v>1308</v>
      </c>
      <c r="G124" s="264">
        <v>40937000</v>
      </c>
      <c r="H124" s="308"/>
      <c r="I124" s="408"/>
      <c r="J124" s="408"/>
      <c r="K124" s="399"/>
      <c r="L124" s="408"/>
      <c r="M124" s="834">
        <v>41691800</v>
      </c>
      <c r="N124" s="835" t="s">
        <v>579</v>
      </c>
      <c r="O124" s="835" t="s">
        <v>580</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customHeight="1">
      <c r="A125" s="323" t="str">
        <f>IF(B125&lt;&gt;"",IF(AND(B125='IN-TC'!$S$4,OR(TH!N125="1111",TH!O125="1111")),TH!D125,""),"")</f>
        <v/>
      </c>
      <c r="B125" s="63">
        <f t="shared" si="4"/>
        <v>5</v>
      </c>
      <c r="C125" s="830">
        <v>42521</v>
      </c>
      <c r="D125" s="830" t="s">
        <v>570</v>
      </c>
      <c r="E125" s="830">
        <f t="shared" si="5"/>
        <v>42521</v>
      </c>
      <c r="F125" s="1157" t="s">
        <v>1309</v>
      </c>
      <c r="G125" s="264">
        <v>95098000</v>
      </c>
      <c r="H125" s="308"/>
      <c r="I125" s="408"/>
      <c r="J125" s="408"/>
      <c r="K125" s="399"/>
      <c r="L125" s="408"/>
      <c r="M125" s="834">
        <v>105598000</v>
      </c>
      <c r="N125" s="835" t="s">
        <v>276</v>
      </c>
      <c r="O125" s="835" t="s">
        <v>580</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customHeight="1">
      <c r="A126" s="323" t="str">
        <f>IF(B126&lt;&gt;"",IF(AND(B126='IN-TC'!$S$4,OR(TH!N126="1111",TH!O126="1111")),TH!D126,""),"")</f>
        <v/>
      </c>
      <c r="B126" s="63">
        <f t="shared" si="4"/>
        <v>5</v>
      </c>
      <c r="C126" s="830">
        <v>42521</v>
      </c>
      <c r="D126" s="830" t="s">
        <v>570</v>
      </c>
      <c r="E126" s="830">
        <f t="shared" si="5"/>
        <v>42521</v>
      </c>
      <c r="F126" s="1157" t="s">
        <v>1310</v>
      </c>
      <c r="G126" s="926" t="s">
        <v>571</v>
      </c>
      <c r="H126" s="308"/>
      <c r="I126" s="408"/>
      <c r="J126" s="408"/>
      <c r="K126" s="399"/>
      <c r="L126" s="408"/>
      <c r="M126" s="834">
        <f>G124*$G126</f>
        <v>3274960</v>
      </c>
      <c r="N126" s="835" t="s">
        <v>580</v>
      </c>
      <c r="O126" s="835" t="s">
        <v>581</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customHeight="1">
      <c r="A127" s="323" t="str">
        <f>IF(B127&lt;&gt;"",IF(AND(B127='IN-TC'!$S$4,OR(TH!N127="1111",TH!O127="1111")),TH!D127,""),"")</f>
        <v/>
      </c>
      <c r="B127" s="63">
        <f t="shared" si="4"/>
        <v>5</v>
      </c>
      <c r="C127" s="830">
        <v>42521</v>
      </c>
      <c r="D127" s="830" t="s">
        <v>570</v>
      </c>
      <c r="E127" s="830">
        <f t="shared" si="5"/>
        <v>42521</v>
      </c>
      <c r="F127" s="1157" t="s">
        <v>1311</v>
      </c>
      <c r="G127" s="264"/>
      <c r="H127" s="308"/>
      <c r="I127" s="408"/>
      <c r="J127" s="408"/>
      <c r="K127" s="399"/>
      <c r="L127" s="408"/>
      <c r="M127" s="834">
        <f>G125*$G126</f>
        <v>7607840</v>
      </c>
      <c r="N127" s="836" t="s">
        <v>580</v>
      </c>
      <c r="O127" s="837" t="s">
        <v>581</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customHeight="1">
      <c r="A128" s="323" t="str">
        <f>IF(B128&lt;&gt;"",IF(AND(B128='IN-TC'!$S$4,OR(TH!N128="1111",TH!O128="1111")),TH!D128,""),"")</f>
        <v/>
      </c>
      <c r="B128" s="63">
        <f t="shared" si="4"/>
        <v>5</v>
      </c>
      <c r="C128" s="830">
        <v>42521</v>
      </c>
      <c r="D128" s="830" t="s">
        <v>570</v>
      </c>
      <c r="E128" s="830">
        <f t="shared" si="5"/>
        <v>42521</v>
      </c>
      <c r="F128" s="1157" t="s">
        <v>1312</v>
      </c>
      <c r="G128" s="926" t="s">
        <v>572</v>
      </c>
      <c r="H128" s="308"/>
      <c r="I128" s="408"/>
      <c r="J128" s="408"/>
      <c r="K128" s="399"/>
      <c r="L128" s="408"/>
      <c r="M128" s="834">
        <f>G124*$G128</f>
        <v>7368660</v>
      </c>
      <c r="N128" s="835" t="s">
        <v>579</v>
      </c>
      <c r="O128" s="835" t="s">
        <v>581</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customHeight="1">
      <c r="A129" s="323" t="str">
        <f>IF(B129&lt;&gt;"",IF(AND(B129='IN-TC'!$S$4,OR(TH!N129="1111",TH!O129="1111")),TH!D129,""),"")</f>
        <v/>
      </c>
      <c r="B129" s="63">
        <f t="shared" si="4"/>
        <v>5</v>
      </c>
      <c r="C129" s="830">
        <v>42521</v>
      </c>
      <c r="D129" s="830" t="s">
        <v>570</v>
      </c>
      <c r="E129" s="830">
        <f t="shared" si="5"/>
        <v>42521</v>
      </c>
      <c r="F129" s="1157" t="s">
        <v>1313</v>
      </c>
      <c r="G129" s="264"/>
      <c r="H129" s="308"/>
      <c r="I129" s="408"/>
      <c r="J129" s="408"/>
      <c r="K129" s="399"/>
      <c r="L129" s="408"/>
      <c r="M129" s="834">
        <f>G125*$G128</f>
        <v>17117640</v>
      </c>
      <c r="N129" s="835" t="s">
        <v>276</v>
      </c>
      <c r="O129" s="835" t="s">
        <v>581</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customHeight="1">
      <c r="A130" s="323" t="str">
        <f>IF(B130&lt;&gt;"",IF(AND(B130='IN-TC'!$S$4,OR(TH!N130="1111",TH!O130="1111")),TH!D130,""),"")</f>
        <v/>
      </c>
      <c r="B130" s="63">
        <f t="shared" si="4"/>
        <v>5</v>
      </c>
      <c r="C130" s="830">
        <v>42521</v>
      </c>
      <c r="D130" s="830" t="s">
        <v>570</v>
      </c>
      <c r="E130" s="830">
        <f t="shared" si="5"/>
        <v>42521</v>
      </c>
      <c r="F130" s="1157" t="s">
        <v>1314</v>
      </c>
      <c r="G130" s="926" t="s">
        <v>573</v>
      </c>
      <c r="H130" s="310"/>
      <c r="I130" s="406"/>
      <c r="J130" s="406"/>
      <c r="K130" s="397"/>
      <c r="L130" s="406"/>
      <c r="M130" s="834">
        <f>ROUND(G124*$G130,0)</f>
        <v>614055</v>
      </c>
      <c r="N130" s="835" t="s">
        <v>580</v>
      </c>
      <c r="O130" s="835" t="s">
        <v>582</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customHeight="1">
      <c r="A131" s="323" t="str">
        <f>IF(B131&lt;&gt;"",IF(AND(B131='IN-TC'!$S$4,OR(TH!N131="1111",TH!O131="1111")),TH!D131,""),"")</f>
        <v/>
      </c>
      <c r="B131" s="63">
        <f t="shared" si="4"/>
        <v>5</v>
      </c>
      <c r="C131" s="830">
        <v>42521</v>
      </c>
      <c r="D131" s="830" t="s">
        <v>570</v>
      </c>
      <c r="E131" s="830">
        <f t="shared" si="5"/>
        <v>42521</v>
      </c>
      <c r="F131" s="1157" t="s">
        <v>1315</v>
      </c>
      <c r="G131" s="264"/>
      <c r="H131" s="310"/>
      <c r="I131" s="406"/>
      <c r="J131" s="406"/>
      <c r="K131" s="397"/>
      <c r="L131" s="406"/>
      <c r="M131" s="834">
        <f>G125*$G130</f>
        <v>1426470</v>
      </c>
      <c r="N131" s="835" t="s">
        <v>580</v>
      </c>
      <c r="O131" s="835" t="s">
        <v>582</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customHeight="1">
      <c r="A132" s="323" t="str">
        <f>IF(B132&lt;&gt;"",IF(AND(B132='IN-TC'!$S$4,OR(TH!N132="1111",TH!O132="1111")),TH!D132,""),"")</f>
        <v/>
      </c>
      <c r="B132" s="63">
        <f t="shared" si="4"/>
        <v>5</v>
      </c>
      <c r="C132" s="830">
        <v>42521</v>
      </c>
      <c r="D132" s="830" t="s">
        <v>570</v>
      </c>
      <c r="E132" s="830">
        <f t="shared" si="5"/>
        <v>42521</v>
      </c>
      <c r="F132" s="1157" t="s">
        <v>1316</v>
      </c>
      <c r="G132" s="926" t="s">
        <v>574</v>
      </c>
      <c r="H132" s="308"/>
      <c r="I132" s="408"/>
      <c r="J132" s="408"/>
      <c r="K132" s="399"/>
      <c r="L132" s="408"/>
      <c r="M132" s="834">
        <f>G124*$G132</f>
        <v>1228110</v>
      </c>
      <c r="N132" s="835" t="s">
        <v>579</v>
      </c>
      <c r="O132" s="835" t="s">
        <v>582</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customHeight="1">
      <c r="A133" s="323" t="str">
        <f>IF(B133&lt;&gt;"",IF(AND(B133='IN-TC'!$S$4,OR(TH!N133="1111",TH!O133="1111")),TH!D133,""),"")</f>
        <v/>
      </c>
      <c r="B133" s="63">
        <f t="shared" si="4"/>
        <v>5</v>
      </c>
      <c r="C133" s="830">
        <v>42521</v>
      </c>
      <c r="D133" s="830" t="s">
        <v>570</v>
      </c>
      <c r="E133" s="830">
        <f t="shared" si="5"/>
        <v>42521</v>
      </c>
      <c r="F133" s="1157" t="s">
        <v>1317</v>
      </c>
      <c r="G133" s="264"/>
      <c r="H133" s="308"/>
      <c r="I133" s="408"/>
      <c r="J133" s="408"/>
      <c r="K133" s="399"/>
      <c r="L133" s="408"/>
      <c r="M133" s="834">
        <f>G125*$G132</f>
        <v>2852940</v>
      </c>
      <c r="N133" s="835" t="s">
        <v>276</v>
      </c>
      <c r="O133" s="835" t="s">
        <v>582</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customHeight="1">
      <c r="A134" s="323" t="str">
        <f>IF(B134&lt;&gt;"",IF(AND(B134='IN-TC'!$S$4,OR(TH!N134="1111",TH!O134="1111")),TH!D134,""),"")</f>
        <v/>
      </c>
      <c r="B134" s="63">
        <f t="shared" si="4"/>
        <v>5</v>
      </c>
      <c r="C134" s="830">
        <v>42521</v>
      </c>
      <c r="D134" s="830" t="s">
        <v>570</v>
      </c>
      <c r="E134" s="830">
        <f t="shared" si="5"/>
        <v>42521</v>
      </c>
      <c r="F134" s="1157" t="s">
        <v>1318</v>
      </c>
      <c r="G134" s="926" t="s">
        <v>575</v>
      </c>
      <c r="H134" s="308"/>
      <c r="I134" s="408"/>
      <c r="J134" s="408"/>
      <c r="K134" s="399"/>
      <c r="L134" s="408"/>
      <c r="M134" s="834">
        <f>G124*$G134</f>
        <v>409370</v>
      </c>
      <c r="N134" s="835" t="s">
        <v>580</v>
      </c>
      <c r="O134" s="835" t="s">
        <v>583</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customHeight="1">
      <c r="A135" s="323" t="str">
        <f>IF(B135&lt;&gt;"",IF(AND(B135='IN-TC'!$S$4,OR(TH!N135="1111",TH!O135="1111")),TH!D135,""),"")</f>
        <v/>
      </c>
      <c r="B135" s="63">
        <f t="shared" si="4"/>
        <v>5</v>
      </c>
      <c r="C135" s="830">
        <v>42521</v>
      </c>
      <c r="D135" s="830" t="s">
        <v>570</v>
      </c>
      <c r="E135" s="830">
        <f t="shared" si="5"/>
        <v>42521</v>
      </c>
      <c r="F135" s="1157" t="s">
        <v>1319</v>
      </c>
      <c r="G135" s="264"/>
      <c r="H135" s="308"/>
      <c r="I135" s="408"/>
      <c r="J135" s="408"/>
      <c r="K135" s="399"/>
      <c r="L135" s="408"/>
      <c r="M135" s="834">
        <f>G125*$G134</f>
        <v>950980</v>
      </c>
      <c r="N135" s="835" t="s">
        <v>580</v>
      </c>
      <c r="O135" s="835" t="s">
        <v>583</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customHeight="1">
      <c r="A136" s="323" t="str">
        <f>IF(B136&lt;&gt;"",IF(AND(B136='IN-TC'!$S$4,OR(TH!N136="1111",TH!O136="1111")),TH!D136,""),"")</f>
        <v/>
      </c>
      <c r="B136" s="63">
        <f t="shared" si="4"/>
        <v>5</v>
      </c>
      <c r="C136" s="830">
        <v>42521</v>
      </c>
      <c r="D136" s="830" t="s">
        <v>570</v>
      </c>
      <c r="E136" s="830">
        <f t="shared" si="5"/>
        <v>42521</v>
      </c>
      <c r="F136" s="1157" t="s">
        <v>1320</v>
      </c>
      <c r="G136" s="926" t="s">
        <v>575</v>
      </c>
      <c r="H136" s="1072"/>
      <c r="I136" s="409"/>
      <c r="J136" s="409"/>
      <c r="K136" s="400"/>
      <c r="L136" s="409"/>
      <c r="M136" s="834">
        <f>M134</f>
        <v>409370</v>
      </c>
      <c r="N136" s="835" t="s">
        <v>579</v>
      </c>
      <c r="O136" s="835" t="s">
        <v>583</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customHeight="1">
      <c r="A137" s="323" t="str">
        <f>IF(B137&lt;&gt;"",IF(AND(B137='IN-TC'!$S$4,OR(TH!N137="1111",TH!O137="1111")),TH!D137,""),"")</f>
        <v/>
      </c>
      <c r="B137" s="63">
        <f t="shared" si="4"/>
        <v>5</v>
      </c>
      <c r="C137" s="830">
        <v>42521</v>
      </c>
      <c r="D137" s="830" t="s">
        <v>570</v>
      </c>
      <c r="E137" s="830">
        <f t="shared" si="5"/>
        <v>42521</v>
      </c>
      <c r="F137" s="1157" t="s">
        <v>1321</v>
      </c>
      <c r="G137" s="264"/>
      <c r="H137" s="308"/>
      <c r="I137" s="408"/>
      <c r="J137" s="408"/>
      <c r="K137" s="399"/>
      <c r="L137" s="408"/>
      <c r="M137" s="834">
        <f>M135</f>
        <v>950980</v>
      </c>
      <c r="N137" s="835" t="s">
        <v>276</v>
      </c>
      <c r="O137" s="835" t="s">
        <v>583</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customHeight="1">
      <c r="A138" s="323" t="str">
        <f>IF(B138&lt;&gt;"",IF(AND(B138='IN-TC'!$S$4,OR(TH!N138="1111",TH!O138="1111")),TH!D138,""),"")</f>
        <v/>
      </c>
      <c r="B138" s="63">
        <f t="shared" si="4"/>
        <v>5</v>
      </c>
      <c r="C138" s="830">
        <v>42521</v>
      </c>
      <c r="D138" s="830" t="s">
        <v>570</v>
      </c>
      <c r="E138" s="830">
        <f t="shared" si="5"/>
        <v>42521</v>
      </c>
      <c r="F138" s="1157" t="s">
        <v>2915</v>
      </c>
      <c r="G138" s="264"/>
      <c r="H138" s="308"/>
      <c r="I138" s="408"/>
      <c r="J138" s="408"/>
      <c r="K138" s="399"/>
      <c r="L138" s="408"/>
      <c r="M138" s="834">
        <v>895213</v>
      </c>
      <c r="N138" s="835" t="s">
        <v>103</v>
      </c>
      <c r="O138" s="835" t="s">
        <v>581</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customHeight="1">
      <c r="A139" s="323" t="str">
        <f>IF(B139&lt;&gt;"",IF(AND(B139='IN-TC'!$S$4,OR(TH!N139="1111",TH!O139="1111")),TH!D139,""),"")</f>
        <v/>
      </c>
      <c r="B139" s="63">
        <f t="shared" si="4"/>
        <v>6</v>
      </c>
      <c r="C139" s="830">
        <v>42551</v>
      </c>
      <c r="D139" s="830" t="s">
        <v>570</v>
      </c>
      <c r="E139" s="830">
        <f t="shared" si="5"/>
        <v>42551</v>
      </c>
      <c r="F139" s="1157" t="s">
        <v>1308</v>
      </c>
      <c r="G139" s="264">
        <v>40937000</v>
      </c>
      <c r="H139" s="308"/>
      <c r="I139" s="408"/>
      <c r="J139" s="408"/>
      <c r="K139" s="399"/>
      <c r="L139" s="408"/>
      <c r="M139" s="834">
        <v>42327615</v>
      </c>
      <c r="N139" s="835" t="s">
        <v>579</v>
      </c>
      <c r="O139" s="835" t="s">
        <v>580</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customHeight="1">
      <c r="A140" s="323" t="str">
        <f>IF(B140&lt;&gt;"",IF(AND(B140='IN-TC'!$S$4,OR(TH!N140="1111",TH!O140="1111")),TH!D140,""),"")</f>
        <v/>
      </c>
      <c r="B140" s="63">
        <f t="shared" si="4"/>
        <v>6</v>
      </c>
      <c r="C140" s="830">
        <v>42551</v>
      </c>
      <c r="D140" s="830" t="s">
        <v>570</v>
      </c>
      <c r="E140" s="830">
        <f t="shared" si="5"/>
        <v>42551</v>
      </c>
      <c r="F140" s="1157" t="s">
        <v>1309</v>
      </c>
      <c r="G140" s="264">
        <v>78513000</v>
      </c>
      <c r="H140" s="308"/>
      <c r="I140" s="408"/>
      <c r="J140" s="408"/>
      <c r="K140" s="399"/>
      <c r="L140" s="408"/>
      <c r="M140" s="834">
        <v>87483000</v>
      </c>
      <c r="N140" s="835" t="s">
        <v>276</v>
      </c>
      <c r="O140" s="835" t="s">
        <v>580</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customHeight="1">
      <c r="A141" s="323" t="str">
        <f>IF(B141&lt;&gt;"",IF(AND(B141='IN-TC'!$S$4,OR(TH!N141="1111",TH!O141="1111")),TH!D141,""),"")</f>
        <v/>
      </c>
      <c r="B141" s="63">
        <f t="shared" si="4"/>
        <v>6</v>
      </c>
      <c r="C141" s="830">
        <v>42551</v>
      </c>
      <c r="D141" s="830" t="s">
        <v>570</v>
      </c>
      <c r="E141" s="830">
        <f t="shared" si="5"/>
        <v>42551</v>
      </c>
      <c r="F141" s="1157" t="s">
        <v>1310</v>
      </c>
      <c r="G141" s="926" t="s">
        <v>571</v>
      </c>
      <c r="H141" s="308"/>
      <c r="I141" s="408"/>
      <c r="J141" s="408"/>
      <c r="K141" s="399"/>
      <c r="L141" s="408"/>
      <c r="M141" s="834">
        <f>G139*$G141</f>
        <v>3274960</v>
      </c>
      <c r="N141" s="835" t="s">
        <v>580</v>
      </c>
      <c r="O141" s="835" t="s">
        <v>581</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customHeight="1">
      <c r="A142" s="323" t="str">
        <f>IF(B142&lt;&gt;"",IF(AND(B142='IN-TC'!$S$4,OR(TH!N142="1111",TH!O142="1111")),TH!D142,""),"")</f>
        <v/>
      </c>
      <c r="B142" s="63">
        <f t="shared" si="4"/>
        <v>6</v>
      </c>
      <c r="C142" s="830">
        <v>42551</v>
      </c>
      <c r="D142" s="830" t="s">
        <v>570</v>
      </c>
      <c r="E142" s="830">
        <f t="shared" si="5"/>
        <v>42551</v>
      </c>
      <c r="F142" s="1157" t="s">
        <v>1311</v>
      </c>
      <c r="G142" s="264"/>
      <c r="H142" s="308"/>
      <c r="I142" s="408"/>
      <c r="J142" s="408"/>
      <c r="K142" s="399"/>
      <c r="L142" s="408"/>
      <c r="M142" s="834">
        <f>G140*$G141</f>
        <v>6281040</v>
      </c>
      <c r="N142" s="836" t="s">
        <v>580</v>
      </c>
      <c r="O142" s="837" t="s">
        <v>581</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customHeight="1">
      <c r="A143" s="323" t="str">
        <f>IF(B143&lt;&gt;"",IF(AND(B143='IN-TC'!$S$4,OR(TH!N143="1111",TH!O143="1111")),TH!D143,""),"")</f>
        <v/>
      </c>
      <c r="B143" s="63">
        <f t="shared" si="4"/>
        <v>6</v>
      </c>
      <c r="C143" s="830">
        <v>42551</v>
      </c>
      <c r="D143" s="830" t="s">
        <v>570</v>
      </c>
      <c r="E143" s="830">
        <f t="shared" si="5"/>
        <v>42551</v>
      </c>
      <c r="F143" s="1157" t="s">
        <v>1312</v>
      </c>
      <c r="G143" s="926" t="s">
        <v>572</v>
      </c>
      <c r="H143" s="308"/>
      <c r="I143" s="408"/>
      <c r="J143" s="408"/>
      <c r="K143" s="399"/>
      <c r="L143" s="408"/>
      <c r="M143" s="834">
        <f>G139*$G143</f>
        <v>7368660</v>
      </c>
      <c r="N143" s="835" t="s">
        <v>579</v>
      </c>
      <c r="O143" s="835" t="s">
        <v>581</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customHeight="1">
      <c r="A144" s="323" t="str">
        <f>IF(B144&lt;&gt;"",IF(AND(B144='IN-TC'!$S$4,OR(TH!N144="1111",TH!O144="1111")),TH!D144,""),"")</f>
        <v/>
      </c>
      <c r="B144" s="63">
        <f t="shared" si="4"/>
        <v>6</v>
      </c>
      <c r="C144" s="830">
        <v>42551</v>
      </c>
      <c r="D144" s="830" t="s">
        <v>570</v>
      </c>
      <c r="E144" s="830">
        <f t="shared" si="5"/>
        <v>42551</v>
      </c>
      <c r="F144" s="1157" t="s">
        <v>1313</v>
      </c>
      <c r="G144" s="264"/>
      <c r="H144" s="308"/>
      <c r="I144" s="408"/>
      <c r="J144" s="408"/>
      <c r="K144" s="399"/>
      <c r="L144" s="408"/>
      <c r="M144" s="834">
        <f>G140*$G143</f>
        <v>14132340</v>
      </c>
      <c r="N144" s="835" t="s">
        <v>276</v>
      </c>
      <c r="O144" s="835" t="s">
        <v>581</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customHeight="1">
      <c r="A145" s="323" t="str">
        <f>IF(B145&lt;&gt;"",IF(AND(B145='IN-TC'!$S$4,OR(TH!N145="1111",TH!O145="1111")),TH!D145,""),"")</f>
        <v/>
      </c>
      <c r="B145" s="63">
        <f t="shared" si="4"/>
        <v>6</v>
      </c>
      <c r="C145" s="830">
        <v>42551</v>
      </c>
      <c r="D145" s="830" t="s">
        <v>570</v>
      </c>
      <c r="E145" s="830">
        <f t="shared" si="5"/>
        <v>42551</v>
      </c>
      <c r="F145" s="1157" t="s">
        <v>1314</v>
      </c>
      <c r="G145" s="926" t="s">
        <v>573</v>
      </c>
      <c r="H145" s="310"/>
      <c r="I145" s="406"/>
      <c r="J145" s="406"/>
      <c r="K145" s="397"/>
      <c r="L145" s="406"/>
      <c r="M145" s="834">
        <f>ROUND(G139*$G145,0)</f>
        <v>614055</v>
      </c>
      <c r="N145" s="835" t="s">
        <v>580</v>
      </c>
      <c r="O145" s="835" t="s">
        <v>582</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customHeight="1">
      <c r="A146" s="323" t="str">
        <f>IF(B146&lt;&gt;"",IF(AND(B146='IN-TC'!$S$4,OR(TH!N146="1111",TH!O146="1111")),TH!D146,""),"")</f>
        <v/>
      </c>
      <c r="B146" s="63">
        <f t="shared" si="4"/>
        <v>6</v>
      </c>
      <c r="C146" s="830">
        <v>42551</v>
      </c>
      <c r="D146" s="830" t="s">
        <v>570</v>
      </c>
      <c r="E146" s="830">
        <f t="shared" si="5"/>
        <v>42551</v>
      </c>
      <c r="F146" s="1157" t="s">
        <v>1315</v>
      </c>
      <c r="G146" s="264"/>
      <c r="H146" s="310"/>
      <c r="I146" s="406"/>
      <c r="J146" s="406"/>
      <c r="K146" s="397"/>
      <c r="L146" s="406"/>
      <c r="M146" s="834">
        <f>ROUND(G140*$G145,0)</f>
        <v>1177695</v>
      </c>
      <c r="N146" s="835" t="s">
        <v>580</v>
      </c>
      <c r="O146" s="835" t="s">
        <v>582</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customHeight="1">
      <c r="A147" s="323" t="str">
        <f>IF(B147&lt;&gt;"",IF(AND(B147='IN-TC'!$S$4,OR(TH!N147="1111",TH!O147="1111")),TH!D147,""),"")</f>
        <v/>
      </c>
      <c r="B147" s="63">
        <f t="shared" si="4"/>
        <v>6</v>
      </c>
      <c r="C147" s="830">
        <v>42551</v>
      </c>
      <c r="D147" s="830" t="s">
        <v>570</v>
      </c>
      <c r="E147" s="830">
        <f t="shared" si="5"/>
        <v>42551</v>
      </c>
      <c r="F147" s="1157" t="s">
        <v>1316</v>
      </c>
      <c r="G147" s="926" t="s">
        <v>574</v>
      </c>
      <c r="H147" s="308"/>
      <c r="I147" s="408"/>
      <c r="J147" s="408"/>
      <c r="K147" s="399"/>
      <c r="L147" s="408"/>
      <c r="M147" s="834">
        <f>G139*$G147</f>
        <v>1228110</v>
      </c>
      <c r="N147" s="835" t="s">
        <v>579</v>
      </c>
      <c r="O147" s="835" t="s">
        <v>582</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customHeight="1">
      <c r="A148" s="323" t="str">
        <f>IF(B148&lt;&gt;"",IF(AND(B148='IN-TC'!$S$4,OR(TH!N148="1111",TH!O148="1111")),TH!D148,""),"")</f>
        <v/>
      </c>
      <c r="B148" s="63">
        <f t="shared" si="4"/>
        <v>6</v>
      </c>
      <c r="C148" s="830">
        <v>42551</v>
      </c>
      <c r="D148" s="830" t="s">
        <v>570</v>
      </c>
      <c r="E148" s="830">
        <f t="shared" si="5"/>
        <v>42551</v>
      </c>
      <c r="F148" s="1157" t="s">
        <v>1317</v>
      </c>
      <c r="G148" s="264"/>
      <c r="H148" s="308"/>
      <c r="I148" s="408"/>
      <c r="J148" s="408"/>
      <c r="K148" s="399"/>
      <c r="L148" s="408"/>
      <c r="M148" s="834">
        <f>G140*$G147</f>
        <v>2355390</v>
      </c>
      <c r="N148" s="835" t="s">
        <v>276</v>
      </c>
      <c r="O148" s="835" t="s">
        <v>582</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customHeight="1">
      <c r="A149" s="323" t="str">
        <f>IF(B149&lt;&gt;"",IF(AND(B149='IN-TC'!$S$4,OR(TH!N149="1111",TH!O149="1111")),TH!D149,""),"")</f>
        <v/>
      </c>
      <c r="B149" s="63">
        <f t="shared" si="4"/>
        <v>6</v>
      </c>
      <c r="C149" s="830">
        <v>42551</v>
      </c>
      <c r="D149" s="830" t="s">
        <v>570</v>
      </c>
      <c r="E149" s="830">
        <f t="shared" si="5"/>
        <v>42551</v>
      </c>
      <c r="F149" s="1157" t="s">
        <v>1318</v>
      </c>
      <c r="G149" s="926" t="s">
        <v>575</v>
      </c>
      <c r="H149" s="308"/>
      <c r="I149" s="408"/>
      <c r="J149" s="408"/>
      <c r="K149" s="399"/>
      <c r="L149" s="408"/>
      <c r="M149" s="834">
        <f>G139*$G149</f>
        <v>409370</v>
      </c>
      <c r="N149" s="835" t="s">
        <v>580</v>
      </c>
      <c r="O149" s="835" t="s">
        <v>583</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customHeight="1">
      <c r="A150" s="323" t="str">
        <f>IF(B150&lt;&gt;"",IF(AND(B150='IN-TC'!$S$4,OR(TH!N150="1111",TH!O150="1111")),TH!D150,""),"")</f>
        <v/>
      </c>
      <c r="B150" s="63">
        <f t="shared" si="4"/>
        <v>6</v>
      </c>
      <c r="C150" s="830">
        <v>42551</v>
      </c>
      <c r="D150" s="830" t="s">
        <v>570</v>
      </c>
      <c r="E150" s="830">
        <f t="shared" si="5"/>
        <v>42551</v>
      </c>
      <c r="F150" s="1157" t="s">
        <v>1319</v>
      </c>
      <c r="G150" s="264"/>
      <c r="H150" s="308"/>
      <c r="I150" s="408"/>
      <c r="J150" s="408"/>
      <c r="K150" s="399"/>
      <c r="L150" s="408"/>
      <c r="M150" s="834">
        <f>G140*$G149</f>
        <v>785130</v>
      </c>
      <c r="N150" s="835" t="s">
        <v>580</v>
      </c>
      <c r="O150" s="835" t="s">
        <v>583</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customHeight="1">
      <c r="A151" s="323" t="str">
        <f>IF(B151&lt;&gt;"",IF(AND(B151='IN-TC'!$S$4,OR(TH!N151="1111",TH!O151="1111")),TH!D151,""),"")</f>
        <v/>
      </c>
      <c r="B151" s="63">
        <f t="shared" si="4"/>
        <v>6</v>
      </c>
      <c r="C151" s="830">
        <v>42551</v>
      </c>
      <c r="D151" s="830" t="s">
        <v>570</v>
      </c>
      <c r="E151" s="830">
        <f t="shared" si="5"/>
        <v>42551</v>
      </c>
      <c r="F151" s="1157" t="s">
        <v>1320</v>
      </c>
      <c r="G151" s="926" t="s">
        <v>575</v>
      </c>
      <c r="H151" s="1072"/>
      <c r="I151" s="409"/>
      <c r="J151" s="409"/>
      <c r="K151" s="400"/>
      <c r="L151" s="409"/>
      <c r="M151" s="834">
        <f>M149</f>
        <v>409370</v>
      </c>
      <c r="N151" s="835" t="s">
        <v>579</v>
      </c>
      <c r="O151" s="835" t="s">
        <v>583</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customHeight="1">
      <c r="A152" s="323" t="str">
        <f>IF(B152&lt;&gt;"",IF(AND(B152='IN-TC'!$S$4,OR(TH!N152="1111",TH!O152="1111")),TH!D152,""),"")</f>
        <v/>
      </c>
      <c r="B152" s="63">
        <f t="shared" si="4"/>
        <v>6</v>
      </c>
      <c r="C152" s="830">
        <v>42551</v>
      </c>
      <c r="D152" s="830" t="s">
        <v>570</v>
      </c>
      <c r="E152" s="830">
        <f t="shared" si="5"/>
        <v>42551</v>
      </c>
      <c r="F152" s="1157" t="s">
        <v>1321</v>
      </c>
      <c r="G152" s="264"/>
      <c r="H152" s="308"/>
      <c r="I152" s="408"/>
      <c r="J152" s="408"/>
      <c r="K152" s="399"/>
      <c r="L152" s="408"/>
      <c r="M152" s="834">
        <f>M150</f>
        <v>785130</v>
      </c>
      <c r="N152" s="835" t="s">
        <v>276</v>
      </c>
      <c r="O152" s="835" t="s">
        <v>583</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customHeight="1">
      <c r="A153" s="323" t="str">
        <f>IF(B153&lt;&gt;"",IF(AND(B153='IN-TC'!$S$4,OR(TH!N153="1111",TH!O153="1111")),TH!D153,""),"")</f>
        <v/>
      </c>
      <c r="B153" s="63">
        <f t="shared" si="4"/>
        <v>6</v>
      </c>
      <c r="C153" s="830">
        <v>42551</v>
      </c>
      <c r="D153" s="830" t="s">
        <v>570</v>
      </c>
      <c r="E153" s="830">
        <f t="shared" si="5"/>
        <v>42551</v>
      </c>
      <c r="F153" s="1157" t="s">
        <v>2915</v>
      </c>
      <c r="G153" s="264"/>
      <c r="H153" s="308"/>
      <c r="I153" s="408"/>
      <c r="J153" s="408"/>
      <c r="K153" s="399"/>
      <c r="L153" s="408"/>
      <c r="M153" s="834">
        <v>1537832</v>
      </c>
      <c r="N153" s="835" t="s">
        <v>103</v>
      </c>
      <c r="O153" s="835" t="s">
        <v>581</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customHeight="1">
      <c r="A154" s="323" t="str">
        <f>IF(B154&lt;&gt;"",IF(AND(B154='IN-TC'!$S$4,OR(TH!N154="1111",TH!O154="1111")),TH!D154,""),"")</f>
        <v/>
      </c>
      <c r="B154" s="63">
        <f t="shared" ref="B154:B217" si="6">IF(C154&lt;&gt;"",MONTH(C154),"")</f>
        <v>7</v>
      </c>
      <c r="C154" s="830">
        <v>42582</v>
      </c>
      <c r="D154" s="830" t="s">
        <v>570</v>
      </c>
      <c r="E154" s="830">
        <f t="shared" si="5"/>
        <v>42582</v>
      </c>
      <c r="F154" s="1157" t="s">
        <v>1308</v>
      </c>
      <c r="G154" s="264">
        <v>40937000</v>
      </c>
      <c r="H154" s="308"/>
      <c r="I154" s="408"/>
      <c r="J154" s="408"/>
      <c r="K154" s="399"/>
      <c r="L154" s="408"/>
      <c r="M154" s="834">
        <v>42327615</v>
      </c>
      <c r="N154" s="835" t="s">
        <v>579</v>
      </c>
      <c r="O154" s="835" t="s">
        <v>580</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customHeight="1">
      <c r="A155" s="323" t="str">
        <f>IF(B155&lt;&gt;"",IF(AND(B155='IN-TC'!$S$4,OR(TH!N155="1111",TH!O155="1111")),TH!D155,""),"")</f>
        <v/>
      </c>
      <c r="B155" s="63">
        <f t="shared" si="6"/>
        <v>7</v>
      </c>
      <c r="C155" s="830">
        <v>42582</v>
      </c>
      <c r="D155" s="830" t="s">
        <v>570</v>
      </c>
      <c r="E155" s="830">
        <f t="shared" si="5"/>
        <v>42582</v>
      </c>
      <c r="F155" s="1157" t="s">
        <v>1309</v>
      </c>
      <c r="G155" s="264">
        <v>68330000</v>
      </c>
      <c r="H155" s="308"/>
      <c r="I155" s="408"/>
      <c r="J155" s="408"/>
      <c r="K155" s="399"/>
      <c r="L155" s="408"/>
      <c r="M155" s="834">
        <v>76130000</v>
      </c>
      <c r="N155" s="835" t="s">
        <v>276</v>
      </c>
      <c r="O155" s="835" t="s">
        <v>580</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customHeight="1">
      <c r="A156" s="323" t="str">
        <f>IF(B156&lt;&gt;"",IF(AND(B156='IN-TC'!$S$4,OR(TH!N156="1111",TH!O156="1111")),TH!D156,""),"")</f>
        <v/>
      </c>
      <c r="B156" s="63">
        <f t="shared" si="6"/>
        <v>7</v>
      </c>
      <c r="C156" s="830">
        <v>42582</v>
      </c>
      <c r="D156" s="830" t="s">
        <v>570</v>
      </c>
      <c r="E156" s="830">
        <f t="shared" ref="E156:E219" si="7">C156</f>
        <v>42582</v>
      </c>
      <c r="F156" s="1157" t="s">
        <v>1310</v>
      </c>
      <c r="G156" s="926" t="s">
        <v>571</v>
      </c>
      <c r="H156" s="308"/>
      <c r="I156" s="408"/>
      <c r="J156" s="408"/>
      <c r="K156" s="399"/>
      <c r="L156" s="408"/>
      <c r="M156" s="834">
        <f>G154*$G156</f>
        <v>3274960</v>
      </c>
      <c r="N156" s="835" t="s">
        <v>580</v>
      </c>
      <c r="O156" s="835" t="s">
        <v>581</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customHeight="1">
      <c r="A157" s="323" t="str">
        <f>IF(B157&lt;&gt;"",IF(AND(B157='IN-TC'!$S$4,OR(TH!N157="1111",TH!O157="1111")),TH!D157,""),"")</f>
        <v/>
      </c>
      <c r="B157" s="63">
        <f t="shared" si="6"/>
        <v>7</v>
      </c>
      <c r="C157" s="830">
        <v>42582</v>
      </c>
      <c r="D157" s="830" t="s">
        <v>570</v>
      </c>
      <c r="E157" s="830">
        <f t="shared" si="7"/>
        <v>42582</v>
      </c>
      <c r="F157" s="1157" t="s">
        <v>1311</v>
      </c>
      <c r="G157" s="264"/>
      <c r="H157" s="308"/>
      <c r="I157" s="408"/>
      <c r="J157" s="408"/>
      <c r="K157" s="399"/>
      <c r="L157" s="408"/>
      <c r="M157" s="834">
        <f>G155*$G156</f>
        <v>5466400</v>
      </c>
      <c r="N157" s="836" t="s">
        <v>580</v>
      </c>
      <c r="O157" s="837" t="s">
        <v>581</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customHeight="1">
      <c r="A158" s="323" t="str">
        <f>IF(B158&lt;&gt;"",IF(AND(B158='IN-TC'!$S$4,OR(TH!N158="1111",TH!O158="1111")),TH!D158,""),"")</f>
        <v/>
      </c>
      <c r="B158" s="63">
        <f t="shared" si="6"/>
        <v>7</v>
      </c>
      <c r="C158" s="830">
        <v>42582</v>
      </c>
      <c r="D158" s="830" t="s">
        <v>570</v>
      </c>
      <c r="E158" s="830">
        <f t="shared" si="7"/>
        <v>42582</v>
      </c>
      <c r="F158" s="1157" t="s">
        <v>1312</v>
      </c>
      <c r="G158" s="926" t="s">
        <v>572</v>
      </c>
      <c r="H158" s="308"/>
      <c r="I158" s="408"/>
      <c r="J158" s="408"/>
      <c r="K158" s="399"/>
      <c r="L158" s="408"/>
      <c r="M158" s="834">
        <f>G154*$G158</f>
        <v>7368660</v>
      </c>
      <c r="N158" s="835" t="s">
        <v>579</v>
      </c>
      <c r="O158" s="835" t="s">
        <v>581</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customHeight="1">
      <c r="A159" s="323" t="str">
        <f>IF(B159&lt;&gt;"",IF(AND(B159='IN-TC'!$S$4,OR(TH!N159="1111",TH!O159="1111")),TH!D159,""),"")</f>
        <v/>
      </c>
      <c r="B159" s="63">
        <f t="shared" si="6"/>
        <v>7</v>
      </c>
      <c r="C159" s="830">
        <v>42582</v>
      </c>
      <c r="D159" s="830" t="s">
        <v>570</v>
      </c>
      <c r="E159" s="830">
        <f t="shared" si="7"/>
        <v>42582</v>
      </c>
      <c r="F159" s="1157" t="s">
        <v>1313</v>
      </c>
      <c r="G159" s="264"/>
      <c r="H159" s="308"/>
      <c r="I159" s="408"/>
      <c r="J159" s="408"/>
      <c r="K159" s="399"/>
      <c r="L159" s="408"/>
      <c r="M159" s="834">
        <f>G155*$G158</f>
        <v>12299400</v>
      </c>
      <c r="N159" s="835" t="s">
        <v>276</v>
      </c>
      <c r="O159" s="835" t="s">
        <v>581</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customHeight="1">
      <c r="A160" s="323" t="str">
        <f>IF(B160&lt;&gt;"",IF(AND(B160='IN-TC'!$S$4,OR(TH!N160="1111",TH!O160="1111")),TH!D160,""),"")</f>
        <v/>
      </c>
      <c r="B160" s="63">
        <f t="shared" si="6"/>
        <v>7</v>
      </c>
      <c r="C160" s="830">
        <v>42582</v>
      </c>
      <c r="D160" s="830" t="s">
        <v>570</v>
      </c>
      <c r="E160" s="830">
        <f t="shared" si="7"/>
        <v>42582</v>
      </c>
      <c r="F160" s="1157" t="s">
        <v>1314</v>
      </c>
      <c r="G160" s="926" t="s">
        <v>573</v>
      </c>
      <c r="H160" s="310"/>
      <c r="I160" s="406"/>
      <c r="J160" s="406"/>
      <c r="K160" s="397"/>
      <c r="L160" s="406"/>
      <c r="M160" s="834">
        <f>ROUND(G154*$G160,0)</f>
        <v>614055</v>
      </c>
      <c r="N160" s="835" t="s">
        <v>580</v>
      </c>
      <c r="O160" s="835" t="s">
        <v>582</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customHeight="1">
      <c r="A161" s="323" t="str">
        <f>IF(B161&lt;&gt;"",IF(AND(B161='IN-TC'!$S$4,OR(TH!N161="1111",TH!O161="1111")),TH!D161,""),"")</f>
        <v/>
      </c>
      <c r="B161" s="63">
        <f t="shared" si="6"/>
        <v>7</v>
      </c>
      <c r="C161" s="830">
        <v>42582</v>
      </c>
      <c r="D161" s="830" t="s">
        <v>570</v>
      </c>
      <c r="E161" s="830">
        <f t="shared" si="7"/>
        <v>42582</v>
      </c>
      <c r="F161" s="1157" t="s">
        <v>1315</v>
      </c>
      <c r="G161" s="264"/>
      <c r="H161" s="310"/>
      <c r="I161" s="406"/>
      <c r="J161" s="406"/>
      <c r="K161" s="397"/>
      <c r="L161" s="406"/>
      <c r="M161" s="834">
        <f>ROUND(G155*$G160,0)</f>
        <v>1024950</v>
      </c>
      <c r="N161" s="835" t="s">
        <v>580</v>
      </c>
      <c r="O161" s="835" t="s">
        <v>582</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customHeight="1">
      <c r="A162" s="323" t="str">
        <f>IF(B162&lt;&gt;"",IF(AND(B162='IN-TC'!$S$4,OR(TH!N162="1111",TH!O162="1111")),TH!D162,""),"")</f>
        <v/>
      </c>
      <c r="B162" s="63">
        <f t="shared" si="6"/>
        <v>7</v>
      </c>
      <c r="C162" s="830">
        <v>42582</v>
      </c>
      <c r="D162" s="830" t="s">
        <v>570</v>
      </c>
      <c r="E162" s="830">
        <f t="shared" si="7"/>
        <v>42582</v>
      </c>
      <c r="F162" s="1157" t="s">
        <v>1316</v>
      </c>
      <c r="G162" s="926" t="s">
        <v>574</v>
      </c>
      <c r="H162" s="308"/>
      <c r="I162" s="408"/>
      <c r="J162" s="408"/>
      <c r="K162" s="399"/>
      <c r="L162" s="408"/>
      <c r="M162" s="834">
        <f>G154*$G162</f>
        <v>1228110</v>
      </c>
      <c r="N162" s="835" t="s">
        <v>579</v>
      </c>
      <c r="O162" s="835" t="s">
        <v>582</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customHeight="1">
      <c r="A163" s="323" t="str">
        <f>IF(B163&lt;&gt;"",IF(AND(B163='IN-TC'!$S$4,OR(TH!N163="1111",TH!O163="1111")),TH!D163,""),"")</f>
        <v/>
      </c>
      <c r="B163" s="63">
        <f t="shared" si="6"/>
        <v>7</v>
      </c>
      <c r="C163" s="830">
        <v>42582</v>
      </c>
      <c r="D163" s="830" t="s">
        <v>570</v>
      </c>
      <c r="E163" s="830">
        <f t="shared" si="7"/>
        <v>42582</v>
      </c>
      <c r="F163" s="1157" t="s">
        <v>1317</v>
      </c>
      <c r="G163" s="264"/>
      <c r="H163" s="308"/>
      <c r="I163" s="408"/>
      <c r="J163" s="408"/>
      <c r="K163" s="399"/>
      <c r="L163" s="408"/>
      <c r="M163" s="834">
        <f>G155*$G162</f>
        <v>2049900</v>
      </c>
      <c r="N163" s="835" t="s">
        <v>276</v>
      </c>
      <c r="O163" s="835" t="s">
        <v>582</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customHeight="1">
      <c r="A164" s="323" t="str">
        <f>IF(B164&lt;&gt;"",IF(AND(B164='IN-TC'!$S$4,OR(TH!N164="1111",TH!O164="1111")),TH!D164,""),"")</f>
        <v/>
      </c>
      <c r="B164" s="63">
        <f t="shared" si="6"/>
        <v>7</v>
      </c>
      <c r="C164" s="830">
        <v>42582</v>
      </c>
      <c r="D164" s="830" t="s">
        <v>570</v>
      </c>
      <c r="E164" s="830">
        <f t="shared" si="7"/>
        <v>42582</v>
      </c>
      <c r="F164" s="1157" t="s">
        <v>1318</v>
      </c>
      <c r="G164" s="926" t="s">
        <v>575</v>
      </c>
      <c r="H164" s="308"/>
      <c r="I164" s="408"/>
      <c r="J164" s="408"/>
      <c r="K164" s="399"/>
      <c r="L164" s="408"/>
      <c r="M164" s="834">
        <f>G154*$G164</f>
        <v>409370</v>
      </c>
      <c r="N164" s="835" t="s">
        <v>580</v>
      </c>
      <c r="O164" s="835" t="s">
        <v>583</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customHeight="1">
      <c r="A165" s="323" t="str">
        <f>IF(B165&lt;&gt;"",IF(AND(B165='IN-TC'!$S$4,OR(TH!N165="1111",TH!O165="1111")),TH!D165,""),"")</f>
        <v/>
      </c>
      <c r="B165" s="63">
        <f t="shared" si="6"/>
        <v>7</v>
      </c>
      <c r="C165" s="830">
        <v>42582</v>
      </c>
      <c r="D165" s="830" t="s">
        <v>570</v>
      </c>
      <c r="E165" s="830">
        <f t="shared" si="7"/>
        <v>42582</v>
      </c>
      <c r="F165" s="1157" t="s">
        <v>1319</v>
      </c>
      <c r="G165" s="264"/>
      <c r="H165" s="308"/>
      <c r="I165" s="408"/>
      <c r="J165" s="408"/>
      <c r="K165" s="399"/>
      <c r="L165" s="408"/>
      <c r="M165" s="834">
        <f>G155*$G164</f>
        <v>683300</v>
      </c>
      <c r="N165" s="835" t="s">
        <v>580</v>
      </c>
      <c r="O165" s="835" t="s">
        <v>583</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customHeight="1">
      <c r="A166" s="323" t="str">
        <f>IF(B166&lt;&gt;"",IF(AND(B166='IN-TC'!$S$4,OR(TH!N166="1111",TH!O166="1111")),TH!D166,""),"")</f>
        <v/>
      </c>
      <c r="B166" s="63">
        <f t="shared" si="6"/>
        <v>7</v>
      </c>
      <c r="C166" s="830">
        <v>42582</v>
      </c>
      <c r="D166" s="830" t="s">
        <v>570</v>
      </c>
      <c r="E166" s="830">
        <f t="shared" si="7"/>
        <v>42582</v>
      </c>
      <c r="F166" s="1157" t="s">
        <v>1320</v>
      </c>
      <c r="G166" s="926" t="s">
        <v>575</v>
      </c>
      <c r="H166" s="1072"/>
      <c r="I166" s="409"/>
      <c r="J166" s="409"/>
      <c r="K166" s="400"/>
      <c r="L166" s="409"/>
      <c r="M166" s="834">
        <f>M164</f>
        <v>409370</v>
      </c>
      <c r="N166" s="835" t="s">
        <v>579</v>
      </c>
      <c r="O166" s="835" t="s">
        <v>583</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customHeight="1">
      <c r="A167" s="323" t="str">
        <f>IF(B167&lt;&gt;"",IF(AND(B167='IN-TC'!$S$4,OR(TH!N167="1111",TH!O167="1111")),TH!D167,""),"")</f>
        <v/>
      </c>
      <c r="B167" s="63">
        <f t="shared" si="6"/>
        <v>7</v>
      </c>
      <c r="C167" s="830">
        <v>42582</v>
      </c>
      <c r="D167" s="830" t="s">
        <v>570</v>
      </c>
      <c r="E167" s="830">
        <f t="shared" si="7"/>
        <v>42582</v>
      </c>
      <c r="F167" s="1157" t="s">
        <v>1321</v>
      </c>
      <c r="G167" s="264"/>
      <c r="H167" s="308"/>
      <c r="I167" s="408"/>
      <c r="J167" s="408"/>
      <c r="K167" s="399"/>
      <c r="L167" s="408"/>
      <c r="M167" s="834">
        <f>M165</f>
        <v>683300</v>
      </c>
      <c r="N167" s="835" t="s">
        <v>276</v>
      </c>
      <c r="O167" s="835" t="s">
        <v>583</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customHeight="1">
      <c r="A168" s="323" t="str">
        <f>IF(B168&lt;&gt;"",IF(AND(B168='IN-TC'!$S$4,OR(TH!N168="1111",TH!O168="1111")),TH!D168,""),"")</f>
        <v/>
      </c>
      <c r="B168" s="63">
        <f t="shared" si="6"/>
        <v>7</v>
      </c>
      <c r="C168" s="830">
        <v>42582</v>
      </c>
      <c r="D168" s="830" t="s">
        <v>570</v>
      </c>
      <c r="E168" s="830">
        <f t="shared" si="7"/>
        <v>42582</v>
      </c>
      <c r="F168" s="1157" t="s">
        <v>2915</v>
      </c>
      <c r="G168" s="264"/>
      <c r="H168" s="308"/>
      <c r="I168" s="408"/>
      <c r="J168" s="408"/>
      <c r="K168" s="399"/>
      <c r="L168" s="408"/>
      <c r="M168" s="834">
        <v>1087427</v>
      </c>
      <c r="N168" s="835" t="s">
        <v>103</v>
      </c>
      <c r="O168" s="835" t="s">
        <v>581</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customHeight="1">
      <c r="A169" s="323" t="str">
        <f>IF(B169&lt;&gt;"",IF(AND(B169='IN-TC'!$S$4,OR(TH!N169="1111",TH!O169="1111")),TH!D169,""),"")</f>
        <v/>
      </c>
      <c r="B169" s="63">
        <f t="shared" si="6"/>
        <v>8</v>
      </c>
      <c r="C169" s="830">
        <v>42613</v>
      </c>
      <c r="D169" s="830" t="s">
        <v>570</v>
      </c>
      <c r="E169" s="830">
        <f t="shared" si="7"/>
        <v>42613</v>
      </c>
      <c r="F169" s="1157" t="s">
        <v>1308</v>
      </c>
      <c r="G169" s="264">
        <v>40937000</v>
      </c>
      <c r="H169" s="308"/>
      <c r="I169" s="408"/>
      <c r="J169" s="408"/>
      <c r="K169" s="399"/>
      <c r="L169" s="408"/>
      <c r="M169" s="834">
        <v>42509444</v>
      </c>
      <c r="N169" s="835" t="s">
        <v>579</v>
      </c>
      <c r="O169" s="835" t="s">
        <v>580</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customHeight="1">
      <c r="A170" s="323" t="str">
        <f>IF(B170&lt;&gt;"",IF(AND(B170='IN-TC'!$S$4,OR(TH!N170="1111",TH!O170="1111")),TH!D170,""),"")</f>
        <v/>
      </c>
      <c r="B170" s="63">
        <f t="shared" si="6"/>
        <v>8</v>
      </c>
      <c r="C170" s="830">
        <v>42613</v>
      </c>
      <c r="D170" s="830" t="s">
        <v>570</v>
      </c>
      <c r="E170" s="830">
        <f t="shared" si="7"/>
        <v>42613</v>
      </c>
      <c r="F170" s="1157" t="s">
        <v>1309</v>
      </c>
      <c r="G170" s="264">
        <v>65013000</v>
      </c>
      <c r="H170" s="308"/>
      <c r="I170" s="408"/>
      <c r="J170" s="408"/>
      <c r="K170" s="399"/>
      <c r="L170" s="408"/>
      <c r="M170" s="834">
        <v>72708000</v>
      </c>
      <c r="N170" s="835" t="s">
        <v>276</v>
      </c>
      <c r="O170" s="835" t="s">
        <v>580</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customHeight="1">
      <c r="A171" s="323" t="str">
        <f>IF(B171&lt;&gt;"",IF(AND(B171='IN-TC'!$S$4,OR(TH!N171="1111",TH!O171="1111")),TH!D171,""),"")</f>
        <v/>
      </c>
      <c r="B171" s="63">
        <f t="shared" si="6"/>
        <v>8</v>
      </c>
      <c r="C171" s="830">
        <v>42613</v>
      </c>
      <c r="D171" s="830" t="s">
        <v>570</v>
      </c>
      <c r="E171" s="830">
        <f t="shared" si="7"/>
        <v>42613</v>
      </c>
      <c r="F171" s="1157" t="s">
        <v>1310</v>
      </c>
      <c r="G171" s="926" t="s">
        <v>571</v>
      </c>
      <c r="H171" s="308"/>
      <c r="I171" s="408"/>
      <c r="J171" s="408"/>
      <c r="K171" s="399"/>
      <c r="L171" s="408"/>
      <c r="M171" s="834">
        <f>G169*$G171</f>
        <v>3274960</v>
      </c>
      <c r="N171" s="835" t="s">
        <v>580</v>
      </c>
      <c r="O171" s="835" t="s">
        <v>581</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customHeight="1">
      <c r="A172" s="323" t="str">
        <f>IF(B172&lt;&gt;"",IF(AND(B172='IN-TC'!$S$4,OR(TH!N172="1111",TH!O172="1111")),TH!D172,""),"")</f>
        <v/>
      </c>
      <c r="B172" s="63">
        <f t="shared" si="6"/>
        <v>8</v>
      </c>
      <c r="C172" s="830">
        <v>42613</v>
      </c>
      <c r="D172" s="830" t="s">
        <v>570</v>
      </c>
      <c r="E172" s="830">
        <f t="shared" si="7"/>
        <v>42613</v>
      </c>
      <c r="F172" s="1157" t="s">
        <v>1311</v>
      </c>
      <c r="G172" s="264"/>
      <c r="H172" s="308"/>
      <c r="I172" s="408"/>
      <c r="J172" s="408"/>
      <c r="K172" s="399"/>
      <c r="L172" s="408"/>
      <c r="M172" s="834">
        <f>G170*$G171</f>
        <v>5201040</v>
      </c>
      <c r="N172" s="836" t="s">
        <v>580</v>
      </c>
      <c r="O172" s="837" t="s">
        <v>581</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customHeight="1">
      <c r="A173" s="323" t="str">
        <f>IF(B173&lt;&gt;"",IF(AND(B173='IN-TC'!$S$4,OR(TH!N173="1111",TH!O173="1111")),TH!D173,""),"")</f>
        <v/>
      </c>
      <c r="B173" s="63">
        <f t="shared" si="6"/>
        <v>8</v>
      </c>
      <c r="C173" s="830">
        <v>42613</v>
      </c>
      <c r="D173" s="830" t="s">
        <v>570</v>
      </c>
      <c r="E173" s="830">
        <f t="shared" si="7"/>
        <v>42613</v>
      </c>
      <c r="F173" s="1157" t="s">
        <v>1312</v>
      </c>
      <c r="G173" s="926" t="s">
        <v>572</v>
      </c>
      <c r="H173" s="308"/>
      <c r="I173" s="408"/>
      <c r="J173" s="408"/>
      <c r="K173" s="399"/>
      <c r="L173" s="408"/>
      <c r="M173" s="834">
        <f>G169*$G173</f>
        <v>7368660</v>
      </c>
      <c r="N173" s="835" t="s">
        <v>579</v>
      </c>
      <c r="O173" s="835" t="s">
        <v>581</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customHeight="1">
      <c r="A174" s="323" t="str">
        <f>IF(B174&lt;&gt;"",IF(AND(B174='IN-TC'!$S$4,OR(TH!N174="1111",TH!O174="1111")),TH!D174,""),"")</f>
        <v/>
      </c>
      <c r="B174" s="63">
        <f t="shared" si="6"/>
        <v>8</v>
      </c>
      <c r="C174" s="830">
        <v>42613</v>
      </c>
      <c r="D174" s="830" t="s">
        <v>570</v>
      </c>
      <c r="E174" s="830">
        <f t="shared" si="7"/>
        <v>42613</v>
      </c>
      <c r="F174" s="1157" t="s">
        <v>1313</v>
      </c>
      <c r="G174" s="264"/>
      <c r="H174" s="308"/>
      <c r="I174" s="408"/>
      <c r="J174" s="408"/>
      <c r="K174" s="399"/>
      <c r="L174" s="408"/>
      <c r="M174" s="834">
        <f>G170*$G173</f>
        <v>11702340</v>
      </c>
      <c r="N174" s="835" t="s">
        <v>276</v>
      </c>
      <c r="O174" s="835" t="s">
        <v>581</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customHeight="1">
      <c r="A175" s="323" t="str">
        <f>IF(B175&lt;&gt;"",IF(AND(B175='IN-TC'!$S$4,OR(TH!N175="1111",TH!O175="1111")),TH!D175,""),"")</f>
        <v/>
      </c>
      <c r="B175" s="63">
        <f t="shared" si="6"/>
        <v>8</v>
      </c>
      <c r="C175" s="830">
        <v>42613</v>
      </c>
      <c r="D175" s="830" t="s">
        <v>570</v>
      </c>
      <c r="E175" s="830">
        <f t="shared" si="7"/>
        <v>42613</v>
      </c>
      <c r="F175" s="1157" t="s">
        <v>1314</v>
      </c>
      <c r="G175" s="926" t="s">
        <v>573</v>
      </c>
      <c r="H175" s="310"/>
      <c r="I175" s="406"/>
      <c r="J175" s="406"/>
      <c r="K175" s="397"/>
      <c r="L175" s="406"/>
      <c r="M175" s="834">
        <f>ROUND(G169*$G175,0)</f>
        <v>614055</v>
      </c>
      <c r="N175" s="835" t="s">
        <v>580</v>
      </c>
      <c r="O175" s="835" t="s">
        <v>582</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customHeight="1">
      <c r="A176" s="323" t="str">
        <f>IF(B176&lt;&gt;"",IF(AND(B176='IN-TC'!$S$4,OR(TH!N176="1111",TH!O176="1111")),TH!D176,""),"")</f>
        <v/>
      </c>
      <c r="B176" s="63">
        <f t="shared" si="6"/>
        <v>8</v>
      </c>
      <c r="C176" s="830">
        <v>42613</v>
      </c>
      <c r="D176" s="830" t="s">
        <v>570</v>
      </c>
      <c r="E176" s="830">
        <f t="shared" si="7"/>
        <v>42613</v>
      </c>
      <c r="F176" s="1157" t="s">
        <v>1315</v>
      </c>
      <c r="G176" s="264"/>
      <c r="H176" s="310"/>
      <c r="I176" s="406"/>
      <c r="J176" s="406"/>
      <c r="K176" s="397"/>
      <c r="L176" s="406"/>
      <c r="M176" s="834">
        <f>ROUND(G170*$G175,0)</f>
        <v>975195</v>
      </c>
      <c r="N176" s="835" t="s">
        <v>580</v>
      </c>
      <c r="O176" s="835" t="s">
        <v>582</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customHeight="1">
      <c r="A177" s="323" t="str">
        <f>IF(B177&lt;&gt;"",IF(AND(B177='IN-TC'!$S$4,OR(TH!N177="1111",TH!O177="1111")),TH!D177,""),"")</f>
        <v/>
      </c>
      <c r="B177" s="63">
        <f t="shared" si="6"/>
        <v>8</v>
      </c>
      <c r="C177" s="830">
        <v>42613</v>
      </c>
      <c r="D177" s="830" t="s">
        <v>570</v>
      </c>
      <c r="E177" s="830">
        <f t="shared" si="7"/>
        <v>42613</v>
      </c>
      <c r="F177" s="1157" t="s">
        <v>1316</v>
      </c>
      <c r="G177" s="926" t="s">
        <v>574</v>
      </c>
      <c r="H177" s="308"/>
      <c r="I177" s="408"/>
      <c r="J177" s="408"/>
      <c r="K177" s="399"/>
      <c r="L177" s="408"/>
      <c r="M177" s="834">
        <f>G169*$G177</f>
        <v>1228110</v>
      </c>
      <c r="N177" s="835" t="s">
        <v>579</v>
      </c>
      <c r="O177" s="835" t="s">
        <v>582</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customHeight="1">
      <c r="A178" s="323" t="str">
        <f>IF(B178&lt;&gt;"",IF(AND(B178='IN-TC'!$S$4,OR(TH!N178="1111",TH!O178="1111")),TH!D178,""),"")</f>
        <v/>
      </c>
      <c r="B178" s="63">
        <f t="shared" si="6"/>
        <v>8</v>
      </c>
      <c r="C178" s="830">
        <v>42613</v>
      </c>
      <c r="D178" s="830" t="s">
        <v>570</v>
      </c>
      <c r="E178" s="830">
        <f t="shared" si="7"/>
        <v>42613</v>
      </c>
      <c r="F178" s="1157" t="s">
        <v>1317</v>
      </c>
      <c r="G178" s="264"/>
      <c r="H178" s="308"/>
      <c r="I178" s="408"/>
      <c r="J178" s="408"/>
      <c r="K178" s="399"/>
      <c r="L178" s="408"/>
      <c r="M178" s="834">
        <f>G170*$G177</f>
        <v>1950390</v>
      </c>
      <c r="N178" s="835" t="s">
        <v>276</v>
      </c>
      <c r="O178" s="835" t="s">
        <v>582</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customHeight="1">
      <c r="A179" s="323" t="str">
        <f>IF(B179&lt;&gt;"",IF(AND(B179='IN-TC'!$S$4,OR(TH!N179="1111",TH!O179="1111")),TH!D179,""),"")</f>
        <v/>
      </c>
      <c r="B179" s="63">
        <f t="shared" si="6"/>
        <v>8</v>
      </c>
      <c r="C179" s="830">
        <v>42613</v>
      </c>
      <c r="D179" s="830" t="s">
        <v>570</v>
      </c>
      <c r="E179" s="830">
        <f t="shared" si="7"/>
        <v>42613</v>
      </c>
      <c r="F179" s="1157" t="s">
        <v>1318</v>
      </c>
      <c r="G179" s="926" t="s">
        <v>575</v>
      </c>
      <c r="H179" s="308"/>
      <c r="I179" s="408"/>
      <c r="J179" s="408"/>
      <c r="K179" s="399"/>
      <c r="L179" s="408"/>
      <c r="M179" s="834">
        <f>G169*$G179</f>
        <v>409370</v>
      </c>
      <c r="N179" s="835" t="s">
        <v>580</v>
      </c>
      <c r="O179" s="835" t="s">
        <v>583</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customHeight="1">
      <c r="A180" s="323" t="str">
        <f>IF(B180&lt;&gt;"",IF(AND(B180='IN-TC'!$S$4,OR(TH!N180="1111",TH!O180="1111")),TH!D180,""),"")</f>
        <v/>
      </c>
      <c r="B180" s="63">
        <f t="shared" si="6"/>
        <v>8</v>
      </c>
      <c r="C180" s="830">
        <v>42613</v>
      </c>
      <c r="D180" s="830" t="s">
        <v>570</v>
      </c>
      <c r="E180" s="830">
        <f t="shared" si="7"/>
        <v>42613</v>
      </c>
      <c r="F180" s="1157" t="s">
        <v>1319</v>
      </c>
      <c r="G180" s="264"/>
      <c r="H180" s="308"/>
      <c r="I180" s="408"/>
      <c r="J180" s="408"/>
      <c r="K180" s="399"/>
      <c r="L180" s="408"/>
      <c r="M180" s="834">
        <f>G170*$G179</f>
        <v>650130</v>
      </c>
      <c r="N180" s="835" t="s">
        <v>580</v>
      </c>
      <c r="O180" s="835" t="s">
        <v>583</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customHeight="1">
      <c r="A181" s="323" t="str">
        <f>IF(B181&lt;&gt;"",IF(AND(B181='IN-TC'!$S$4,OR(TH!N181="1111",TH!O181="1111")),TH!D181,""),"")</f>
        <v/>
      </c>
      <c r="B181" s="63">
        <f t="shared" si="6"/>
        <v>8</v>
      </c>
      <c r="C181" s="830">
        <v>42613</v>
      </c>
      <c r="D181" s="830" t="s">
        <v>570</v>
      </c>
      <c r="E181" s="830">
        <f t="shared" si="7"/>
        <v>42613</v>
      </c>
      <c r="F181" s="1157" t="s">
        <v>1320</v>
      </c>
      <c r="G181" s="926" t="s">
        <v>575</v>
      </c>
      <c r="H181" s="1072"/>
      <c r="I181" s="409"/>
      <c r="J181" s="409"/>
      <c r="K181" s="400"/>
      <c r="L181" s="409"/>
      <c r="M181" s="834">
        <f>M179</f>
        <v>409370</v>
      </c>
      <c r="N181" s="835" t="s">
        <v>579</v>
      </c>
      <c r="O181" s="835" t="s">
        <v>583</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customHeight="1">
      <c r="A182" s="323" t="str">
        <f>IF(B182&lt;&gt;"",IF(AND(B182='IN-TC'!$S$4,OR(TH!N182="1111",TH!O182="1111")),TH!D182,""),"")</f>
        <v/>
      </c>
      <c r="B182" s="63">
        <f t="shared" si="6"/>
        <v>8</v>
      </c>
      <c r="C182" s="830">
        <v>42613</v>
      </c>
      <c r="D182" s="830" t="s">
        <v>570</v>
      </c>
      <c r="E182" s="830">
        <f t="shared" si="7"/>
        <v>42613</v>
      </c>
      <c r="F182" s="1157" t="s">
        <v>1321</v>
      </c>
      <c r="G182" s="264"/>
      <c r="H182" s="308"/>
      <c r="I182" s="408"/>
      <c r="J182" s="408"/>
      <c r="K182" s="399"/>
      <c r="L182" s="408"/>
      <c r="M182" s="834">
        <f>M180</f>
        <v>650130</v>
      </c>
      <c r="N182" s="835" t="s">
        <v>276</v>
      </c>
      <c r="O182" s="835" t="s">
        <v>583</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customHeight="1">
      <c r="A183" s="323" t="str">
        <f>IF(B183&lt;&gt;"",IF(AND(B183='IN-TC'!$S$4,OR(TH!N183="1111",TH!O183="1111")),TH!D183,""),"")</f>
        <v/>
      </c>
      <c r="B183" s="63">
        <f t="shared" si="6"/>
        <v>8</v>
      </c>
      <c r="C183" s="830">
        <v>42613</v>
      </c>
      <c r="D183" s="830" t="s">
        <v>570</v>
      </c>
      <c r="E183" s="830">
        <f t="shared" si="7"/>
        <v>42613</v>
      </c>
      <c r="F183" s="1157" t="s">
        <v>2915</v>
      </c>
      <c r="G183" s="264"/>
      <c r="H183" s="308"/>
      <c r="I183" s="408"/>
      <c r="J183" s="408"/>
      <c r="K183" s="399"/>
      <c r="L183" s="408"/>
      <c r="M183" s="834">
        <v>670098</v>
      </c>
      <c r="N183" s="835" t="s">
        <v>103</v>
      </c>
      <c r="O183" s="835" t="s">
        <v>581</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customHeight="1">
      <c r="A184" s="323" t="str">
        <f>IF(B184&lt;&gt;"",IF(AND(B184='IN-TC'!$S$4,OR(TH!N184="1111",TH!O184="1111")),TH!D184,""),"")</f>
        <v/>
      </c>
      <c r="B184" s="63">
        <f t="shared" si="6"/>
        <v>9</v>
      </c>
      <c r="C184" s="830">
        <v>42643</v>
      </c>
      <c r="D184" s="830" t="s">
        <v>570</v>
      </c>
      <c r="E184" s="830">
        <f t="shared" si="7"/>
        <v>42643</v>
      </c>
      <c r="F184" s="1157" t="s">
        <v>1308</v>
      </c>
      <c r="G184" s="264">
        <v>40937000</v>
      </c>
      <c r="H184" s="308"/>
      <c r="I184" s="408"/>
      <c r="J184" s="408"/>
      <c r="K184" s="399"/>
      <c r="L184" s="408"/>
      <c r="M184" s="834">
        <v>42415625</v>
      </c>
      <c r="N184" s="835" t="s">
        <v>579</v>
      </c>
      <c r="O184" s="835" t="s">
        <v>580</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customHeight="1">
      <c r="A185" s="323" t="str">
        <f>IF(B185&lt;&gt;"",IF(AND(B185='IN-TC'!$S$4,OR(TH!N185="1111",TH!O185="1111")),TH!D185,""),"")</f>
        <v/>
      </c>
      <c r="B185" s="63">
        <f t="shared" si="6"/>
        <v>9</v>
      </c>
      <c r="C185" s="830">
        <v>42643</v>
      </c>
      <c r="D185" s="830" t="s">
        <v>570</v>
      </c>
      <c r="E185" s="830">
        <f t="shared" si="7"/>
        <v>42643</v>
      </c>
      <c r="F185" s="1157" t="s">
        <v>1309</v>
      </c>
      <c r="G185" s="264">
        <v>65013000</v>
      </c>
      <c r="H185" s="308"/>
      <c r="I185" s="408"/>
      <c r="J185" s="408"/>
      <c r="K185" s="399"/>
      <c r="L185" s="408"/>
      <c r="M185" s="834">
        <v>71853000</v>
      </c>
      <c r="N185" s="835" t="s">
        <v>276</v>
      </c>
      <c r="O185" s="835" t="s">
        <v>580</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customHeight="1">
      <c r="A186" s="323" t="str">
        <f>IF(B186&lt;&gt;"",IF(AND(B186='IN-TC'!$S$4,OR(TH!N186="1111",TH!O186="1111")),TH!D186,""),"")</f>
        <v/>
      </c>
      <c r="B186" s="63">
        <f t="shared" si="6"/>
        <v>9</v>
      </c>
      <c r="C186" s="830">
        <v>42643</v>
      </c>
      <c r="D186" s="830" t="s">
        <v>570</v>
      </c>
      <c r="E186" s="830">
        <f t="shared" si="7"/>
        <v>42643</v>
      </c>
      <c r="F186" s="1157" t="s">
        <v>1310</v>
      </c>
      <c r="G186" s="926" t="s">
        <v>571</v>
      </c>
      <c r="H186" s="308"/>
      <c r="I186" s="408"/>
      <c r="J186" s="408"/>
      <c r="K186" s="399"/>
      <c r="L186" s="408"/>
      <c r="M186" s="834">
        <f>G184*$G186</f>
        <v>3274960</v>
      </c>
      <c r="N186" s="835" t="s">
        <v>580</v>
      </c>
      <c r="O186" s="835" t="s">
        <v>581</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customHeight="1">
      <c r="A187" s="323" t="str">
        <f>IF(B187&lt;&gt;"",IF(AND(B187='IN-TC'!$S$4,OR(TH!N187="1111",TH!O187="1111")),TH!D187,""),"")</f>
        <v/>
      </c>
      <c r="B187" s="63">
        <f t="shared" si="6"/>
        <v>9</v>
      </c>
      <c r="C187" s="830">
        <v>42643</v>
      </c>
      <c r="D187" s="830" t="s">
        <v>570</v>
      </c>
      <c r="E187" s="830">
        <f t="shared" si="7"/>
        <v>42643</v>
      </c>
      <c r="F187" s="1157" t="s">
        <v>1311</v>
      </c>
      <c r="G187" s="264"/>
      <c r="H187" s="308"/>
      <c r="I187" s="408"/>
      <c r="J187" s="408"/>
      <c r="K187" s="399"/>
      <c r="L187" s="408"/>
      <c r="M187" s="834">
        <f>G185*$G186</f>
        <v>5201040</v>
      </c>
      <c r="N187" s="836" t="s">
        <v>580</v>
      </c>
      <c r="O187" s="837" t="s">
        <v>581</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customHeight="1">
      <c r="A188" s="323" t="str">
        <f>IF(B188&lt;&gt;"",IF(AND(B188='IN-TC'!$S$4,OR(TH!N188="1111",TH!O188="1111")),TH!D188,""),"")</f>
        <v/>
      </c>
      <c r="B188" s="63">
        <f t="shared" si="6"/>
        <v>9</v>
      </c>
      <c r="C188" s="830">
        <v>42643</v>
      </c>
      <c r="D188" s="830" t="s">
        <v>570</v>
      </c>
      <c r="E188" s="830">
        <f t="shared" si="7"/>
        <v>42643</v>
      </c>
      <c r="F188" s="1157" t="s">
        <v>1312</v>
      </c>
      <c r="G188" s="926" t="s">
        <v>572</v>
      </c>
      <c r="H188" s="308"/>
      <c r="I188" s="408"/>
      <c r="J188" s="408"/>
      <c r="K188" s="399"/>
      <c r="L188" s="408"/>
      <c r="M188" s="834">
        <f>G184*$G188</f>
        <v>7368660</v>
      </c>
      <c r="N188" s="835" t="s">
        <v>579</v>
      </c>
      <c r="O188" s="835" t="s">
        <v>581</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customHeight="1">
      <c r="A189" s="323" t="str">
        <f>IF(B189&lt;&gt;"",IF(AND(B189='IN-TC'!$S$4,OR(TH!N189="1111",TH!O189="1111")),TH!D189,""),"")</f>
        <v/>
      </c>
      <c r="B189" s="63">
        <f t="shared" si="6"/>
        <v>9</v>
      </c>
      <c r="C189" s="830">
        <v>42643</v>
      </c>
      <c r="D189" s="830" t="s">
        <v>570</v>
      </c>
      <c r="E189" s="830">
        <f t="shared" si="7"/>
        <v>42643</v>
      </c>
      <c r="F189" s="1157" t="s">
        <v>1313</v>
      </c>
      <c r="G189" s="264"/>
      <c r="H189" s="308"/>
      <c r="I189" s="408"/>
      <c r="J189" s="408"/>
      <c r="K189" s="399"/>
      <c r="L189" s="408"/>
      <c r="M189" s="834">
        <f>G185*$G188</f>
        <v>11702340</v>
      </c>
      <c r="N189" s="835" t="s">
        <v>276</v>
      </c>
      <c r="O189" s="835" t="s">
        <v>581</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customHeight="1">
      <c r="A190" s="323" t="str">
        <f>IF(B190&lt;&gt;"",IF(AND(B190='IN-TC'!$S$4,OR(TH!N190="1111",TH!O190="1111")),TH!D190,""),"")</f>
        <v/>
      </c>
      <c r="B190" s="63">
        <f t="shared" si="6"/>
        <v>9</v>
      </c>
      <c r="C190" s="830">
        <v>42643</v>
      </c>
      <c r="D190" s="830" t="s">
        <v>570</v>
      </c>
      <c r="E190" s="830">
        <f t="shared" si="7"/>
        <v>42643</v>
      </c>
      <c r="F190" s="1157" t="s">
        <v>1314</v>
      </c>
      <c r="G190" s="926" t="s">
        <v>573</v>
      </c>
      <c r="H190" s="310"/>
      <c r="I190" s="406"/>
      <c r="J190" s="406"/>
      <c r="K190" s="397"/>
      <c r="L190" s="406"/>
      <c r="M190" s="834">
        <f>ROUND(G184*$G190,0)</f>
        <v>614055</v>
      </c>
      <c r="N190" s="835" t="s">
        <v>580</v>
      </c>
      <c r="O190" s="835" t="s">
        <v>582</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customHeight="1">
      <c r="A191" s="323" t="str">
        <f>IF(B191&lt;&gt;"",IF(AND(B191='IN-TC'!$S$4,OR(TH!N191="1111",TH!O191="1111")),TH!D191,""),"")</f>
        <v/>
      </c>
      <c r="B191" s="63">
        <f t="shared" si="6"/>
        <v>9</v>
      </c>
      <c r="C191" s="830">
        <v>42643</v>
      </c>
      <c r="D191" s="830" t="s">
        <v>570</v>
      </c>
      <c r="E191" s="830">
        <f t="shared" si="7"/>
        <v>42643</v>
      </c>
      <c r="F191" s="1157" t="s">
        <v>1315</v>
      </c>
      <c r="G191" s="264"/>
      <c r="H191" s="310"/>
      <c r="I191" s="406"/>
      <c r="J191" s="406"/>
      <c r="K191" s="397"/>
      <c r="L191" s="406"/>
      <c r="M191" s="834">
        <f>ROUND(G185*$G190,0)</f>
        <v>975195</v>
      </c>
      <c r="N191" s="835" t="s">
        <v>580</v>
      </c>
      <c r="O191" s="835" t="s">
        <v>582</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customHeight="1">
      <c r="A192" s="323" t="str">
        <f>IF(B192&lt;&gt;"",IF(AND(B192='IN-TC'!$S$4,OR(TH!N192="1111",TH!O192="1111")),TH!D192,""),"")</f>
        <v/>
      </c>
      <c r="B192" s="63">
        <f t="shared" si="6"/>
        <v>9</v>
      </c>
      <c r="C192" s="830">
        <v>42643</v>
      </c>
      <c r="D192" s="830" t="s">
        <v>570</v>
      </c>
      <c r="E192" s="830">
        <f t="shared" si="7"/>
        <v>42643</v>
      </c>
      <c r="F192" s="1157" t="s">
        <v>1316</v>
      </c>
      <c r="G192" s="926" t="s">
        <v>574</v>
      </c>
      <c r="H192" s="308"/>
      <c r="I192" s="408"/>
      <c r="J192" s="408"/>
      <c r="K192" s="399"/>
      <c r="L192" s="408"/>
      <c r="M192" s="834">
        <f>G184*$G192</f>
        <v>1228110</v>
      </c>
      <c r="N192" s="835" t="s">
        <v>579</v>
      </c>
      <c r="O192" s="835" t="s">
        <v>582</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customHeight="1">
      <c r="A193" s="323" t="str">
        <f>IF(B193&lt;&gt;"",IF(AND(B193='IN-TC'!$S$4,OR(TH!N193="1111",TH!O193="1111")),TH!D193,""),"")</f>
        <v/>
      </c>
      <c r="B193" s="63">
        <f t="shared" si="6"/>
        <v>9</v>
      </c>
      <c r="C193" s="830">
        <v>42643</v>
      </c>
      <c r="D193" s="830" t="s">
        <v>570</v>
      </c>
      <c r="E193" s="830">
        <f t="shared" si="7"/>
        <v>42643</v>
      </c>
      <c r="F193" s="1157" t="s">
        <v>1317</v>
      </c>
      <c r="G193" s="264"/>
      <c r="H193" s="308"/>
      <c r="I193" s="408"/>
      <c r="J193" s="408"/>
      <c r="K193" s="399"/>
      <c r="L193" s="408"/>
      <c r="M193" s="834">
        <f>G185*$G192</f>
        <v>1950390</v>
      </c>
      <c r="N193" s="835" t="s">
        <v>276</v>
      </c>
      <c r="O193" s="835" t="s">
        <v>582</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customHeight="1">
      <c r="A194" s="323" t="str">
        <f>IF(B194&lt;&gt;"",IF(AND(B194='IN-TC'!$S$4,OR(TH!N194="1111",TH!O194="1111")),TH!D194,""),"")</f>
        <v/>
      </c>
      <c r="B194" s="63">
        <f t="shared" si="6"/>
        <v>9</v>
      </c>
      <c r="C194" s="830">
        <v>42643</v>
      </c>
      <c r="D194" s="830" t="s">
        <v>570</v>
      </c>
      <c r="E194" s="830">
        <f t="shared" si="7"/>
        <v>42643</v>
      </c>
      <c r="F194" s="1157" t="s">
        <v>1318</v>
      </c>
      <c r="G194" s="926" t="s">
        <v>575</v>
      </c>
      <c r="H194" s="308"/>
      <c r="I194" s="408"/>
      <c r="J194" s="408"/>
      <c r="K194" s="399"/>
      <c r="L194" s="408"/>
      <c r="M194" s="834">
        <f>G184*$G194</f>
        <v>409370</v>
      </c>
      <c r="N194" s="835" t="s">
        <v>580</v>
      </c>
      <c r="O194" s="835" t="s">
        <v>583</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customHeight="1">
      <c r="A195" s="323" t="str">
        <f>IF(B195&lt;&gt;"",IF(AND(B195='IN-TC'!$S$4,OR(TH!N195="1111",TH!O195="1111")),TH!D195,""),"")</f>
        <v/>
      </c>
      <c r="B195" s="63">
        <f t="shared" si="6"/>
        <v>9</v>
      </c>
      <c r="C195" s="830">
        <v>42643</v>
      </c>
      <c r="D195" s="830" t="s">
        <v>570</v>
      </c>
      <c r="E195" s="830">
        <f t="shared" si="7"/>
        <v>42643</v>
      </c>
      <c r="F195" s="1157" t="s">
        <v>1319</v>
      </c>
      <c r="G195" s="264"/>
      <c r="H195" s="308"/>
      <c r="I195" s="408"/>
      <c r="J195" s="408"/>
      <c r="K195" s="399"/>
      <c r="L195" s="408"/>
      <c r="M195" s="834">
        <f>G185*$G194</f>
        <v>650130</v>
      </c>
      <c r="N195" s="835" t="s">
        <v>580</v>
      </c>
      <c r="O195" s="835" t="s">
        <v>583</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customHeight="1">
      <c r="A196" s="323" t="str">
        <f>IF(B196&lt;&gt;"",IF(AND(B196='IN-TC'!$S$4,OR(TH!N196="1111",TH!O196="1111")),TH!D196,""),"")</f>
        <v/>
      </c>
      <c r="B196" s="63">
        <f t="shared" si="6"/>
        <v>9</v>
      </c>
      <c r="C196" s="830">
        <v>42643</v>
      </c>
      <c r="D196" s="830" t="s">
        <v>570</v>
      </c>
      <c r="E196" s="830">
        <f t="shared" si="7"/>
        <v>42643</v>
      </c>
      <c r="F196" s="1157" t="s">
        <v>1320</v>
      </c>
      <c r="G196" s="926" t="s">
        <v>575</v>
      </c>
      <c r="H196" s="1072"/>
      <c r="I196" s="409"/>
      <c r="J196" s="409"/>
      <c r="K196" s="400"/>
      <c r="L196" s="409"/>
      <c r="M196" s="834">
        <f>M194</f>
        <v>409370</v>
      </c>
      <c r="N196" s="835" t="s">
        <v>579</v>
      </c>
      <c r="O196" s="835" t="s">
        <v>583</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customHeight="1">
      <c r="A197" s="323" t="str">
        <f>IF(B197&lt;&gt;"",IF(AND(B197='IN-TC'!$S$4,OR(TH!N197="1111",TH!O197="1111")),TH!D197,""),"")</f>
        <v/>
      </c>
      <c r="B197" s="63">
        <f t="shared" si="6"/>
        <v>9</v>
      </c>
      <c r="C197" s="830">
        <v>42643</v>
      </c>
      <c r="D197" s="830" t="s">
        <v>570</v>
      </c>
      <c r="E197" s="830">
        <f t="shared" si="7"/>
        <v>42643</v>
      </c>
      <c r="F197" s="1157" t="s">
        <v>1321</v>
      </c>
      <c r="G197" s="264"/>
      <c r="H197" s="308"/>
      <c r="I197" s="408"/>
      <c r="J197" s="408"/>
      <c r="K197" s="399"/>
      <c r="L197" s="408"/>
      <c r="M197" s="834">
        <f>M195</f>
        <v>650130</v>
      </c>
      <c r="N197" s="835" t="s">
        <v>276</v>
      </c>
      <c r="O197" s="835" t="s">
        <v>583</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customHeight="1">
      <c r="A198" s="323" t="str">
        <f>IF(B198&lt;&gt;"",IF(AND(B198='IN-TC'!$S$4,OR(TH!N198="1111",TH!O198="1111")),TH!D198,""),"")</f>
        <v/>
      </c>
      <c r="B198" s="63">
        <f t="shared" si="6"/>
        <v>9</v>
      </c>
      <c r="C198" s="830">
        <v>42643</v>
      </c>
      <c r="D198" s="830" t="s">
        <v>570</v>
      </c>
      <c r="E198" s="830">
        <f t="shared" si="7"/>
        <v>42643</v>
      </c>
      <c r="F198" s="1157" t="s">
        <v>2915</v>
      </c>
      <c r="G198" s="264"/>
      <c r="H198" s="308"/>
      <c r="I198" s="408"/>
      <c r="J198" s="408"/>
      <c r="K198" s="399"/>
      <c r="L198" s="408"/>
      <c r="M198" s="834">
        <v>971130</v>
      </c>
      <c r="N198" s="835" t="s">
        <v>103</v>
      </c>
      <c r="O198" s="835" t="s">
        <v>581</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customHeight="1">
      <c r="A199" s="323" t="str">
        <f>IF(B199&lt;&gt;"",IF(AND(B199='IN-TC'!$S$4,OR(TH!N199="1111",TH!O199="1111")),TH!D199,""),"")</f>
        <v/>
      </c>
      <c r="B199" s="63">
        <f t="shared" si="6"/>
        <v>10</v>
      </c>
      <c r="C199" s="830">
        <v>42674</v>
      </c>
      <c r="D199" s="830" t="s">
        <v>570</v>
      </c>
      <c r="E199" s="830">
        <f t="shared" si="7"/>
        <v>42674</v>
      </c>
      <c r="F199" s="1157" t="s">
        <v>1308</v>
      </c>
      <c r="G199" s="264">
        <v>40937000</v>
      </c>
      <c r="H199" s="308"/>
      <c r="I199" s="408"/>
      <c r="J199" s="408"/>
      <c r="K199" s="399"/>
      <c r="L199" s="408"/>
      <c r="M199" s="834">
        <v>42759962</v>
      </c>
      <c r="N199" s="835" t="s">
        <v>579</v>
      </c>
      <c r="O199" s="835" t="s">
        <v>580</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customHeight="1">
      <c r="A200" s="323" t="str">
        <f>IF(B200&lt;&gt;"",IF(AND(B200='IN-TC'!$S$4,OR(TH!N200="1111",TH!O200="1111")),TH!D200,""),"")</f>
        <v/>
      </c>
      <c r="B200" s="63">
        <f t="shared" si="6"/>
        <v>10</v>
      </c>
      <c r="C200" s="830">
        <v>42674</v>
      </c>
      <c r="D200" s="830" t="s">
        <v>570</v>
      </c>
      <c r="E200" s="830">
        <f t="shared" si="7"/>
        <v>42674</v>
      </c>
      <c r="F200" s="1157" t="s">
        <v>1309</v>
      </c>
      <c r="G200" s="264">
        <v>65013000</v>
      </c>
      <c r="H200" s="308"/>
      <c r="I200" s="408"/>
      <c r="J200" s="408"/>
      <c r="K200" s="399"/>
      <c r="L200" s="408"/>
      <c r="M200" s="834">
        <v>72423000</v>
      </c>
      <c r="N200" s="835" t="s">
        <v>276</v>
      </c>
      <c r="O200" s="835" t="s">
        <v>580</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customHeight="1">
      <c r="A201" s="323" t="str">
        <f>IF(B201&lt;&gt;"",IF(AND(B201='IN-TC'!$S$4,OR(TH!N201="1111",TH!O201="1111")),TH!D201,""),"")</f>
        <v/>
      </c>
      <c r="B201" s="63">
        <f t="shared" si="6"/>
        <v>10</v>
      </c>
      <c r="C201" s="830">
        <v>42674</v>
      </c>
      <c r="D201" s="830" t="s">
        <v>570</v>
      </c>
      <c r="E201" s="830">
        <f t="shared" si="7"/>
        <v>42674</v>
      </c>
      <c r="F201" s="1157" t="s">
        <v>1310</v>
      </c>
      <c r="G201" s="926" t="s">
        <v>571</v>
      </c>
      <c r="H201" s="308"/>
      <c r="I201" s="408"/>
      <c r="J201" s="408"/>
      <c r="K201" s="399"/>
      <c r="L201" s="408"/>
      <c r="M201" s="834">
        <f>ROUND(G199*$G201,0)</f>
        <v>3274960</v>
      </c>
      <c r="N201" s="835" t="s">
        <v>580</v>
      </c>
      <c r="O201" s="835" t="s">
        <v>581</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customHeight="1">
      <c r="A202" s="323" t="str">
        <f>IF(B202&lt;&gt;"",IF(AND(B202='IN-TC'!$S$4,OR(TH!N202="1111",TH!O202="1111")),TH!D202,""),"")</f>
        <v/>
      </c>
      <c r="B202" s="63">
        <f t="shared" si="6"/>
        <v>10</v>
      </c>
      <c r="C202" s="830">
        <v>42674</v>
      </c>
      <c r="D202" s="830" t="s">
        <v>570</v>
      </c>
      <c r="E202" s="830">
        <f t="shared" si="7"/>
        <v>42674</v>
      </c>
      <c r="F202" s="1157" t="s">
        <v>1311</v>
      </c>
      <c r="G202" s="264"/>
      <c r="H202" s="308"/>
      <c r="I202" s="408"/>
      <c r="J202" s="408"/>
      <c r="K202" s="399"/>
      <c r="L202" s="408"/>
      <c r="M202" s="834">
        <f>ROUND(G200*$G201,0)</f>
        <v>5201040</v>
      </c>
      <c r="N202" s="836" t="s">
        <v>580</v>
      </c>
      <c r="O202" s="837" t="s">
        <v>581</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customHeight="1">
      <c r="A203" s="323" t="str">
        <f>IF(B203&lt;&gt;"",IF(AND(B203='IN-TC'!$S$4,OR(TH!N203="1111",TH!O203="1111")),TH!D203,""),"")</f>
        <v/>
      </c>
      <c r="B203" s="63">
        <f t="shared" si="6"/>
        <v>10</v>
      </c>
      <c r="C203" s="830">
        <v>42674</v>
      </c>
      <c r="D203" s="830" t="s">
        <v>570</v>
      </c>
      <c r="E203" s="830">
        <f t="shared" si="7"/>
        <v>42674</v>
      </c>
      <c r="F203" s="1157" t="s">
        <v>1312</v>
      </c>
      <c r="G203" s="926" t="s">
        <v>572</v>
      </c>
      <c r="H203" s="308"/>
      <c r="I203" s="408"/>
      <c r="J203" s="408"/>
      <c r="K203" s="399"/>
      <c r="L203" s="408"/>
      <c r="M203" s="834">
        <f>ROUND(G199*$G203,0)</f>
        <v>7368660</v>
      </c>
      <c r="N203" s="835" t="s">
        <v>579</v>
      </c>
      <c r="O203" s="835" t="s">
        <v>581</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customHeight="1">
      <c r="A204" s="323" t="str">
        <f>IF(B204&lt;&gt;"",IF(AND(B204='IN-TC'!$S$4,OR(TH!N204="1111",TH!O204="1111")),TH!D204,""),"")</f>
        <v/>
      </c>
      <c r="B204" s="63">
        <f t="shared" si="6"/>
        <v>10</v>
      </c>
      <c r="C204" s="830">
        <v>42674</v>
      </c>
      <c r="D204" s="830" t="s">
        <v>570</v>
      </c>
      <c r="E204" s="830">
        <f t="shared" si="7"/>
        <v>42674</v>
      </c>
      <c r="F204" s="1157" t="s">
        <v>1313</v>
      </c>
      <c r="G204" s="264"/>
      <c r="H204" s="308"/>
      <c r="I204" s="408"/>
      <c r="J204" s="408"/>
      <c r="K204" s="399"/>
      <c r="L204" s="408"/>
      <c r="M204" s="834">
        <f>G200*$G203</f>
        <v>11702340</v>
      </c>
      <c r="N204" s="835" t="s">
        <v>276</v>
      </c>
      <c r="O204" s="835" t="s">
        <v>581</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customHeight="1">
      <c r="A205" s="323" t="str">
        <f>IF(B205&lt;&gt;"",IF(AND(B205='IN-TC'!$S$4,OR(TH!N205="1111",TH!O205="1111")),TH!D205,""),"")</f>
        <v/>
      </c>
      <c r="B205" s="63">
        <f t="shared" si="6"/>
        <v>10</v>
      </c>
      <c r="C205" s="830">
        <v>42674</v>
      </c>
      <c r="D205" s="830" t="s">
        <v>570</v>
      </c>
      <c r="E205" s="830">
        <f t="shared" si="7"/>
        <v>42674</v>
      </c>
      <c r="F205" s="1157" t="s">
        <v>1314</v>
      </c>
      <c r="G205" s="926" t="s">
        <v>573</v>
      </c>
      <c r="H205" s="310"/>
      <c r="I205" s="406"/>
      <c r="J205" s="406"/>
      <c r="K205" s="397"/>
      <c r="L205" s="406"/>
      <c r="M205" s="834">
        <f>ROUND(G199*$G205,0)</f>
        <v>614055</v>
      </c>
      <c r="N205" s="835" t="s">
        <v>580</v>
      </c>
      <c r="O205" s="835" t="s">
        <v>582</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customHeight="1">
      <c r="A206" s="323" t="str">
        <f>IF(B206&lt;&gt;"",IF(AND(B206='IN-TC'!$S$4,OR(TH!N206="1111",TH!O206="1111")),TH!D206,""),"")</f>
        <v/>
      </c>
      <c r="B206" s="63">
        <f t="shared" si="6"/>
        <v>10</v>
      </c>
      <c r="C206" s="830">
        <v>42674</v>
      </c>
      <c r="D206" s="830" t="s">
        <v>570</v>
      </c>
      <c r="E206" s="830">
        <f t="shared" si="7"/>
        <v>42674</v>
      </c>
      <c r="F206" s="1157" t="s">
        <v>1315</v>
      </c>
      <c r="G206" s="264"/>
      <c r="H206" s="310"/>
      <c r="I206" s="406"/>
      <c r="J206" s="406"/>
      <c r="K206" s="397"/>
      <c r="L206" s="406"/>
      <c r="M206" s="834">
        <f>ROUND(G200*$G205,0)</f>
        <v>975195</v>
      </c>
      <c r="N206" s="835" t="s">
        <v>580</v>
      </c>
      <c r="O206" s="835" t="s">
        <v>582</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customHeight="1">
      <c r="A207" s="323" t="str">
        <f>IF(B207&lt;&gt;"",IF(AND(B207='IN-TC'!$S$4,OR(TH!N207="1111",TH!O207="1111")),TH!D207,""),"")</f>
        <v/>
      </c>
      <c r="B207" s="63">
        <f t="shared" si="6"/>
        <v>10</v>
      </c>
      <c r="C207" s="830">
        <v>42674</v>
      </c>
      <c r="D207" s="830" t="s">
        <v>570</v>
      </c>
      <c r="E207" s="830">
        <f t="shared" si="7"/>
        <v>42674</v>
      </c>
      <c r="F207" s="1157" t="s">
        <v>1316</v>
      </c>
      <c r="G207" s="926" t="s">
        <v>574</v>
      </c>
      <c r="H207" s="308"/>
      <c r="I207" s="408"/>
      <c r="J207" s="408"/>
      <c r="K207" s="399"/>
      <c r="L207" s="408"/>
      <c r="M207" s="834">
        <f>G199*$G207</f>
        <v>1228110</v>
      </c>
      <c r="N207" s="835" t="s">
        <v>579</v>
      </c>
      <c r="O207" s="835" t="s">
        <v>582</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customHeight="1">
      <c r="A208" s="323" t="str">
        <f>IF(B208&lt;&gt;"",IF(AND(B208='IN-TC'!$S$4,OR(TH!N208="1111",TH!O208="1111")),TH!D208,""),"")</f>
        <v/>
      </c>
      <c r="B208" s="63">
        <f t="shared" si="6"/>
        <v>10</v>
      </c>
      <c r="C208" s="830">
        <v>42674</v>
      </c>
      <c r="D208" s="830" t="s">
        <v>570</v>
      </c>
      <c r="E208" s="830">
        <f t="shared" si="7"/>
        <v>42674</v>
      </c>
      <c r="F208" s="1157" t="s">
        <v>1317</v>
      </c>
      <c r="G208" s="264"/>
      <c r="H208" s="308"/>
      <c r="I208" s="408"/>
      <c r="J208" s="408"/>
      <c r="K208" s="399"/>
      <c r="L208" s="408"/>
      <c r="M208" s="834">
        <f>G200*$G207</f>
        <v>1950390</v>
      </c>
      <c r="N208" s="835" t="s">
        <v>276</v>
      </c>
      <c r="O208" s="835" t="s">
        <v>582</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customHeight="1">
      <c r="A209" s="323" t="str">
        <f>IF(B209&lt;&gt;"",IF(AND(B209='IN-TC'!$S$4,OR(TH!N209="1111",TH!O209="1111")),TH!D209,""),"")</f>
        <v/>
      </c>
      <c r="B209" s="63">
        <f t="shared" si="6"/>
        <v>10</v>
      </c>
      <c r="C209" s="830">
        <v>42674</v>
      </c>
      <c r="D209" s="830" t="s">
        <v>570</v>
      </c>
      <c r="E209" s="830">
        <f t="shared" si="7"/>
        <v>42674</v>
      </c>
      <c r="F209" s="1157" t="s">
        <v>1318</v>
      </c>
      <c r="G209" s="926" t="s">
        <v>575</v>
      </c>
      <c r="H209" s="308"/>
      <c r="I209" s="408"/>
      <c r="J209" s="408"/>
      <c r="K209" s="399"/>
      <c r="L209" s="408"/>
      <c r="M209" s="834">
        <f>G199*$G209</f>
        <v>409370</v>
      </c>
      <c r="N209" s="835" t="s">
        <v>580</v>
      </c>
      <c r="O209" s="835" t="s">
        <v>583</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customHeight="1">
      <c r="A210" s="323" t="str">
        <f>IF(B210&lt;&gt;"",IF(AND(B210='IN-TC'!$S$4,OR(TH!N210="1111",TH!O210="1111")),TH!D210,""),"")</f>
        <v/>
      </c>
      <c r="B210" s="63">
        <f t="shared" si="6"/>
        <v>10</v>
      </c>
      <c r="C210" s="830">
        <v>42674</v>
      </c>
      <c r="D210" s="830" t="s">
        <v>570</v>
      </c>
      <c r="E210" s="830">
        <f t="shared" si="7"/>
        <v>42674</v>
      </c>
      <c r="F210" s="1157" t="s">
        <v>1319</v>
      </c>
      <c r="G210" s="264"/>
      <c r="H210" s="308"/>
      <c r="I210" s="408"/>
      <c r="J210" s="408"/>
      <c r="K210" s="399"/>
      <c r="L210" s="408"/>
      <c r="M210" s="834">
        <f>G200*$G209</f>
        <v>650130</v>
      </c>
      <c r="N210" s="835" t="s">
        <v>580</v>
      </c>
      <c r="O210" s="835" t="s">
        <v>583</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customHeight="1">
      <c r="A211" s="323" t="str">
        <f>IF(B211&lt;&gt;"",IF(AND(B211='IN-TC'!$S$4,OR(TH!N211="1111",TH!O211="1111")),TH!D211,""),"")</f>
        <v/>
      </c>
      <c r="B211" s="63">
        <f t="shared" si="6"/>
        <v>10</v>
      </c>
      <c r="C211" s="830">
        <v>42674</v>
      </c>
      <c r="D211" s="830" t="s">
        <v>570</v>
      </c>
      <c r="E211" s="830">
        <f t="shared" si="7"/>
        <v>42674</v>
      </c>
      <c r="F211" s="1157" t="s">
        <v>1320</v>
      </c>
      <c r="G211" s="926" t="s">
        <v>575</v>
      </c>
      <c r="H211" s="1072"/>
      <c r="I211" s="409"/>
      <c r="J211" s="409"/>
      <c r="K211" s="400"/>
      <c r="L211" s="409"/>
      <c r="M211" s="834">
        <f>M209</f>
        <v>409370</v>
      </c>
      <c r="N211" s="835" t="s">
        <v>579</v>
      </c>
      <c r="O211" s="835" t="s">
        <v>583</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customHeight="1">
      <c r="A212" s="323" t="str">
        <f>IF(B212&lt;&gt;"",IF(AND(B212='IN-TC'!$S$4,OR(TH!N212="1111",TH!O212="1111")),TH!D212,""),"")</f>
        <v/>
      </c>
      <c r="B212" s="63">
        <f t="shared" si="6"/>
        <v>10</v>
      </c>
      <c r="C212" s="830">
        <v>42674</v>
      </c>
      <c r="D212" s="830" t="s">
        <v>570</v>
      </c>
      <c r="E212" s="830">
        <f t="shared" si="7"/>
        <v>42674</v>
      </c>
      <c r="F212" s="1157" t="s">
        <v>1321</v>
      </c>
      <c r="G212" s="264"/>
      <c r="H212" s="308"/>
      <c r="I212" s="408"/>
      <c r="J212" s="408"/>
      <c r="K212" s="399"/>
      <c r="L212" s="408"/>
      <c r="M212" s="834">
        <f>M210</f>
        <v>650130</v>
      </c>
      <c r="N212" s="835" t="s">
        <v>276</v>
      </c>
      <c r="O212" s="835" t="s">
        <v>583</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customHeight="1">
      <c r="A213" s="323" t="str">
        <f>IF(B213&lt;&gt;"",IF(AND(B213='IN-TC'!$S$4,OR(TH!N213="1111",TH!O213="1111")),TH!D213,""),"")</f>
        <v/>
      </c>
      <c r="B213" s="63">
        <f t="shared" si="6"/>
        <v>10</v>
      </c>
      <c r="C213" s="830">
        <v>42674</v>
      </c>
      <c r="D213" s="830" t="s">
        <v>570</v>
      </c>
      <c r="E213" s="830">
        <f t="shared" si="7"/>
        <v>42674</v>
      </c>
      <c r="F213" s="1157" t="s">
        <v>2915</v>
      </c>
      <c r="G213" s="264"/>
      <c r="H213" s="308"/>
      <c r="I213" s="408"/>
      <c r="J213" s="408"/>
      <c r="K213" s="399"/>
      <c r="L213" s="408"/>
      <c r="M213" s="834">
        <v>1338707</v>
      </c>
      <c r="N213" s="835" t="s">
        <v>103</v>
      </c>
      <c r="O213" s="835" t="s">
        <v>581</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customHeight="1">
      <c r="A214" s="323" t="str">
        <f>IF(B214&lt;&gt;"",IF(AND(B214='IN-TC'!$S$4,OR(TH!N214="1111",TH!O214="1111")),TH!D214,""),"")</f>
        <v/>
      </c>
      <c r="B214" s="63">
        <f t="shared" si="6"/>
        <v>11</v>
      </c>
      <c r="C214" s="830">
        <v>42704</v>
      </c>
      <c r="D214" s="830" t="s">
        <v>570</v>
      </c>
      <c r="E214" s="830">
        <f t="shared" si="7"/>
        <v>42704</v>
      </c>
      <c r="F214" s="1157" t="s">
        <v>1308</v>
      </c>
      <c r="G214" s="264">
        <v>40937000</v>
      </c>
      <c r="H214" s="308"/>
      <c r="I214" s="408"/>
      <c r="J214" s="408"/>
      <c r="K214" s="399"/>
      <c r="L214" s="408"/>
      <c r="M214" s="834">
        <v>41497808</v>
      </c>
      <c r="N214" s="835" t="s">
        <v>579</v>
      </c>
      <c r="O214" s="835" t="s">
        <v>580</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customHeight="1">
      <c r="A215" s="323" t="str">
        <f>IF(B215&lt;&gt;"",IF(AND(B215='IN-TC'!$S$4,OR(TH!N215="1111",TH!O215="1111")),TH!D215,""),"")</f>
        <v/>
      </c>
      <c r="B215" s="63">
        <f t="shared" si="6"/>
        <v>11</v>
      </c>
      <c r="C215" s="830">
        <v>42704</v>
      </c>
      <c r="D215" s="830" t="s">
        <v>570</v>
      </c>
      <c r="E215" s="830">
        <f t="shared" si="7"/>
        <v>42704</v>
      </c>
      <c r="F215" s="1157" t="s">
        <v>1309</v>
      </c>
      <c r="G215" s="264">
        <v>58379000</v>
      </c>
      <c r="H215" s="308"/>
      <c r="I215" s="408"/>
      <c r="J215" s="408"/>
      <c r="K215" s="399"/>
      <c r="L215" s="408"/>
      <c r="M215" s="834">
        <v>65009000</v>
      </c>
      <c r="N215" s="835" t="s">
        <v>276</v>
      </c>
      <c r="O215" s="835" t="s">
        <v>580</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268"/>
    </row>
    <row r="216" spans="1:32" ht="15.75" customHeight="1">
      <c r="A216" s="323" t="str">
        <f>IF(B216&lt;&gt;"",IF(AND(B216='IN-TC'!$S$4,OR(TH!N216="1111",TH!O216="1111")),TH!D216,""),"")</f>
        <v/>
      </c>
      <c r="B216" s="63">
        <f t="shared" si="6"/>
        <v>11</v>
      </c>
      <c r="C216" s="830">
        <v>42704</v>
      </c>
      <c r="D216" s="830" t="s">
        <v>570</v>
      </c>
      <c r="E216" s="830">
        <f t="shared" si="7"/>
        <v>42704</v>
      </c>
      <c r="F216" s="1157" t="s">
        <v>1310</v>
      </c>
      <c r="G216" s="926" t="s">
        <v>571</v>
      </c>
      <c r="H216" s="308"/>
      <c r="I216" s="408"/>
      <c r="J216" s="408"/>
      <c r="K216" s="399"/>
      <c r="L216" s="408"/>
      <c r="M216" s="834">
        <f>G214*$G216</f>
        <v>3274960</v>
      </c>
      <c r="N216" s="835" t="s">
        <v>580</v>
      </c>
      <c r="O216" s="835" t="s">
        <v>581</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268"/>
    </row>
    <row r="217" spans="1:32" ht="15.75" customHeight="1">
      <c r="A217" s="323" t="str">
        <f>IF(B217&lt;&gt;"",IF(AND(B217='IN-TC'!$S$4,OR(TH!N217="1111",TH!O217="1111")),TH!D217,""),"")</f>
        <v/>
      </c>
      <c r="B217" s="63">
        <f t="shared" si="6"/>
        <v>11</v>
      </c>
      <c r="C217" s="830">
        <v>42704</v>
      </c>
      <c r="D217" s="830" t="s">
        <v>570</v>
      </c>
      <c r="E217" s="830">
        <f t="shared" si="7"/>
        <v>42704</v>
      </c>
      <c r="F217" s="1157" t="s">
        <v>1311</v>
      </c>
      <c r="G217" s="264"/>
      <c r="H217" s="308"/>
      <c r="I217" s="408"/>
      <c r="J217" s="408"/>
      <c r="K217" s="399"/>
      <c r="L217" s="408"/>
      <c r="M217" s="834">
        <f>G215*$G216</f>
        <v>4670320</v>
      </c>
      <c r="N217" s="836" t="s">
        <v>580</v>
      </c>
      <c r="O217" s="837" t="s">
        <v>581</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customHeight="1">
      <c r="A218" s="323" t="str">
        <f>IF(B218&lt;&gt;"",IF(AND(B218='IN-TC'!$S$4,OR(TH!N218="1111",TH!O218="1111")),TH!D218,""),"")</f>
        <v/>
      </c>
      <c r="B218" s="63">
        <f t="shared" ref="B218:B281" si="8">IF(C218&lt;&gt;"",MONTH(C218),"")</f>
        <v>11</v>
      </c>
      <c r="C218" s="830">
        <v>42704</v>
      </c>
      <c r="D218" s="830" t="s">
        <v>570</v>
      </c>
      <c r="E218" s="830">
        <f t="shared" si="7"/>
        <v>42704</v>
      </c>
      <c r="F218" s="1157" t="s">
        <v>1312</v>
      </c>
      <c r="G218" s="926" t="s">
        <v>572</v>
      </c>
      <c r="H218" s="308"/>
      <c r="I218" s="408"/>
      <c r="J218" s="408"/>
      <c r="K218" s="399"/>
      <c r="L218" s="408"/>
      <c r="M218" s="834">
        <f>G214*$G218</f>
        <v>7368660</v>
      </c>
      <c r="N218" s="835" t="s">
        <v>579</v>
      </c>
      <c r="O218" s="835" t="s">
        <v>581</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customHeight="1">
      <c r="A219" s="323" t="str">
        <f>IF(B219&lt;&gt;"",IF(AND(B219='IN-TC'!$S$4,OR(TH!N219="1111",TH!O219="1111")),TH!D219,""),"")</f>
        <v/>
      </c>
      <c r="B219" s="63">
        <f t="shared" si="8"/>
        <v>11</v>
      </c>
      <c r="C219" s="830">
        <v>42704</v>
      </c>
      <c r="D219" s="830" t="s">
        <v>570</v>
      </c>
      <c r="E219" s="830">
        <f t="shared" si="7"/>
        <v>42704</v>
      </c>
      <c r="F219" s="1157" t="s">
        <v>1313</v>
      </c>
      <c r="G219" s="264"/>
      <c r="H219" s="308"/>
      <c r="I219" s="408"/>
      <c r="J219" s="408"/>
      <c r="K219" s="399"/>
      <c r="L219" s="408"/>
      <c r="M219" s="834">
        <f>G215*$G218</f>
        <v>10508220</v>
      </c>
      <c r="N219" s="835" t="s">
        <v>276</v>
      </c>
      <c r="O219" s="835" t="s">
        <v>581</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customHeight="1">
      <c r="A220" s="323" t="str">
        <f>IF(B220&lt;&gt;"",IF(AND(B220='IN-TC'!$S$4,OR(TH!N220="1111",TH!O220="1111")),TH!D220,""),"")</f>
        <v/>
      </c>
      <c r="B220" s="63">
        <f t="shared" si="8"/>
        <v>11</v>
      </c>
      <c r="C220" s="830">
        <v>42704</v>
      </c>
      <c r="D220" s="830" t="s">
        <v>570</v>
      </c>
      <c r="E220" s="830">
        <f t="shared" ref="E220:E248" si="9">C220</f>
        <v>42704</v>
      </c>
      <c r="F220" s="1157" t="s">
        <v>1314</v>
      </c>
      <c r="G220" s="926" t="s">
        <v>573</v>
      </c>
      <c r="H220" s="310"/>
      <c r="I220" s="406"/>
      <c r="J220" s="406"/>
      <c r="K220" s="397"/>
      <c r="L220" s="406"/>
      <c r="M220" s="834">
        <f>ROUND(G214*$G220,0)</f>
        <v>614055</v>
      </c>
      <c r="N220" s="835" t="s">
        <v>580</v>
      </c>
      <c r="O220" s="835" t="s">
        <v>582</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customHeight="1">
      <c r="A221" s="323" t="str">
        <f>IF(B221&lt;&gt;"",IF(AND(B221='IN-TC'!$S$4,OR(TH!N221="1111",TH!O221="1111")),TH!D221,""),"")</f>
        <v/>
      </c>
      <c r="B221" s="63">
        <f t="shared" si="8"/>
        <v>11</v>
      </c>
      <c r="C221" s="830">
        <v>42704</v>
      </c>
      <c r="D221" s="830" t="s">
        <v>570</v>
      </c>
      <c r="E221" s="830">
        <f t="shared" si="9"/>
        <v>42704</v>
      </c>
      <c r="F221" s="1157" t="s">
        <v>1315</v>
      </c>
      <c r="G221" s="264"/>
      <c r="H221" s="310"/>
      <c r="I221" s="406"/>
      <c r="J221" s="406"/>
      <c r="K221" s="397"/>
      <c r="L221" s="406"/>
      <c r="M221" s="834">
        <f>ROUND(G215*$G220,0)</f>
        <v>875685</v>
      </c>
      <c r="N221" s="835" t="s">
        <v>580</v>
      </c>
      <c r="O221" s="835" t="s">
        <v>582</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customHeight="1">
      <c r="A222" s="323" t="str">
        <f>IF(B222&lt;&gt;"",IF(AND(B222='IN-TC'!$S$4,OR(TH!N222="1111",TH!O222="1111")),TH!D222,""),"")</f>
        <v/>
      </c>
      <c r="B222" s="63">
        <f t="shared" si="8"/>
        <v>11</v>
      </c>
      <c r="C222" s="830">
        <v>42704</v>
      </c>
      <c r="D222" s="830" t="s">
        <v>570</v>
      </c>
      <c r="E222" s="830">
        <f t="shared" si="9"/>
        <v>42704</v>
      </c>
      <c r="F222" s="1157" t="s">
        <v>1316</v>
      </c>
      <c r="G222" s="926" t="s">
        <v>574</v>
      </c>
      <c r="H222" s="308"/>
      <c r="I222" s="408"/>
      <c r="J222" s="408"/>
      <c r="K222" s="399"/>
      <c r="L222" s="408"/>
      <c r="M222" s="834">
        <f>G214*$G222</f>
        <v>1228110</v>
      </c>
      <c r="N222" s="835" t="s">
        <v>579</v>
      </c>
      <c r="O222" s="835" t="s">
        <v>582</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customHeight="1">
      <c r="A223" s="323" t="str">
        <f>IF(B223&lt;&gt;"",IF(AND(B223='IN-TC'!$S$4,OR(TH!N223="1111",TH!O223="1111")),TH!D223,""),"")</f>
        <v/>
      </c>
      <c r="B223" s="63">
        <f t="shared" si="8"/>
        <v>11</v>
      </c>
      <c r="C223" s="830">
        <v>42704</v>
      </c>
      <c r="D223" s="830" t="s">
        <v>570</v>
      </c>
      <c r="E223" s="830">
        <f t="shared" si="9"/>
        <v>42704</v>
      </c>
      <c r="F223" s="1157" t="s">
        <v>1317</v>
      </c>
      <c r="G223" s="264"/>
      <c r="H223" s="308"/>
      <c r="I223" s="408"/>
      <c r="J223" s="408"/>
      <c r="K223" s="399"/>
      <c r="L223" s="408"/>
      <c r="M223" s="834">
        <f>G215*$G222</f>
        <v>1751370</v>
      </c>
      <c r="N223" s="835" t="s">
        <v>276</v>
      </c>
      <c r="O223" s="835" t="s">
        <v>582</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customHeight="1">
      <c r="A224" s="323" t="str">
        <f>IF(B224&lt;&gt;"",IF(AND(B224='IN-TC'!$S$4,OR(TH!N224="1111",TH!O224="1111")),TH!D224,""),"")</f>
        <v/>
      </c>
      <c r="B224" s="63">
        <f t="shared" si="8"/>
        <v>11</v>
      </c>
      <c r="C224" s="830">
        <v>42704</v>
      </c>
      <c r="D224" s="830" t="s">
        <v>570</v>
      </c>
      <c r="E224" s="830">
        <f t="shared" si="9"/>
        <v>42704</v>
      </c>
      <c r="F224" s="1157" t="s">
        <v>1318</v>
      </c>
      <c r="G224" s="926" t="s">
        <v>575</v>
      </c>
      <c r="H224" s="308"/>
      <c r="I224" s="408"/>
      <c r="J224" s="408"/>
      <c r="K224" s="399"/>
      <c r="L224" s="408"/>
      <c r="M224" s="834">
        <f>G214*$G224</f>
        <v>409370</v>
      </c>
      <c r="N224" s="835" t="s">
        <v>580</v>
      </c>
      <c r="O224" s="835" t="s">
        <v>583</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customHeight="1">
      <c r="A225" s="323" t="str">
        <f>IF(B225&lt;&gt;"",IF(AND(B225='IN-TC'!$S$4,OR(TH!N225="1111",TH!O225="1111")),TH!D225,""),"")</f>
        <v/>
      </c>
      <c r="B225" s="63">
        <f t="shared" si="8"/>
        <v>11</v>
      </c>
      <c r="C225" s="830">
        <v>42704</v>
      </c>
      <c r="D225" s="830" t="s">
        <v>570</v>
      </c>
      <c r="E225" s="830">
        <f t="shared" si="9"/>
        <v>42704</v>
      </c>
      <c r="F225" s="1157" t="s">
        <v>1319</v>
      </c>
      <c r="G225" s="264"/>
      <c r="H225" s="308"/>
      <c r="I225" s="408"/>
      <c r="J225" s="408"/>
      <c r="K225" s="399"/>
      <c r="L225" s="408"/>
      <c r="M225" s="834">
        <f>G215*$G224</f>
        <v>583790</v>
      </c>
      <c r="N225" s="835" t="s">
        <v>580</v>
      </c>
      <c r="O225" s="835" t="s">
        <v>583</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customHeight="1">
      <c r="A226" s="323" t="str">
        <f>IF(B226&lt;&gt;"",IF(AND(B226='IN-TC'!$S$4,OR(TH!N226="1111",TH!O226="1111")),TH!D226,""),"")</f>
        <v/>
      </c>
      <c r="B226" s="63">
        <f t="shared" si="8"/>
        <v>11</v>
      </c>
      <c r="C226" s="830">
        <v>42704</v>
      </c>
      <c r="D226" s="830" t="s">
        <v>570</v>
      </c>
      <c r="E226" s="830">
        <f t="shared" si="9"/>
        <v>42704</v>
      </c>
      <c r="F226" s="1157" t="s">
        <v>1320</v>
      </c>
      <c r="G226" s="926" t="s">
        <v>575</v>
      </c>
      <c r="H226" s="1072"/>
      <c r="I226" s="409"/>
      <c r="J226" s="409"/>
      <c r="K226" s="400"/>
      <c r="L226" s="409"/>
      <c r="M226" s="834">
        <f>M224</f>
        <v>409370</v>
      </c>
      <c r="N226" s="835" t="s">
        <v>579</v>
      </c>
      <c r="O226" s="835" t="s">
        <v>583</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customHeight="1">
      <c r="A227" s="323" t="str">
        <f>IF(B227&lt;&gt;"",IF(AND(B227='IN-TC'!$S$4,OR(TH!N227="1111",TH!O227="1111")),TH!D227,""),"")</f>
        <v/>
      </c>
      <c r="B227" s="63">
        <f t="shared" si="8"/>
        <v>11</v>
      </c>
      <c r="C227" s="830">
        <v>42704</v>
      </c>
      <c r="D227" s="830" t="s">
        <v>570</v>
      </c>
      <c r="E227" s="830">
        <f t="shared" si="9"/>
        <v>42704</v>
      </c>
      <c r="F227" s="1157" t="s">
        <v>1321</v>
      </c>
      <c r="G227" s="264"/>
      <c r="H227" s="308"/>
      <c r="I227" s="408"/>
      <c r="J227" s="408"/>
      <c r="K227" s="399"/>
      <c r="L227" s="408"/>
      <c r="M227" s="834">
        <f>M225</f>
        <v>583790</v>
      </c>
      <c r="N227" s="835" t="s">
        <v>276</v>
      </c>
      <c r="O227" s="835" t="s">
        <v>583</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customHeight="1">
      <c r="A228" s="323" t="str">
        <f>IF(B228&lt;&gt;"",IF(AND(B228='IN-TC'!$S$4,OR(TH!N228="1111",TH!O228="1111")),TH!D228,""),"")</f>
        <v/>
      </c>
      <c r="B228" s="63">
        <f t="shared" si="8"/>
        <v>11</v>
      </c>
      <c r="C228" s="830">
        <v>42704</v>
      </c>
      <c r="D228" s="830" t="s">
        <v>570</v>
      </c>
      <c r="E228" s="830">
        <f t="shared" si="9"/>
        <v>42704</v>
      </c>
      <c r="F228" s="1157" t="s">
        <v>2915</v>
      </c>
      <c r="G228" s="264"/>
      <c r="H228" s="308"/>
      <c r="I228" s="408"/>
      <c r="J228" s="408"/>
      <c r="K228" s="399"/>
      <c r="L228" s="408"/>
      <c r="M228" s="834">
        <v>1706285</v>
      </c>
      <c r="N228" s="835" t="s">
        <v>103</v>
      </c>
      <c r="O228" s="835" t="s">
        <v>581</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customHeight="1">
      <c r="A229" s="323" t="str">
        <f>IF(B229&lt;&gt;"",IF(AND(B229='IN-TC'!$S$4,OR(TH!N229="1111",TH!O229="1111")),TH!D229,""),"")</f>
        <v/>
      </c>
      <c r="B229" s="63">
        <f t="shared" si="8"/>
        <v>12</v>
      </c>
      <c r="C229" s="830">
        <v>42735</v>
      </c>
      <c r="D229" s="830" t="s">
        <v>570</v>
      </c>
      <c r="E229" s="830">
        <f t="shared" si="9"/>
        <v>42735</v>
      </c>
      <c r="F229" s="1157" t="s">
        <v>1308</v>
      </c>
      <c r="G229" s="264">
        <v>40937000</v>
      </c>
      <c r="H229" s="308"/>
      <c r="I229" s="408"/>
      <c r="J229" s="408"/>
      <c r="K229" s="399"/>
      <c r="L229" s="408"/>
      <c r="M229" s="834">
        <v>42509444</v>
      </c>
      <c r="N229" s="835" t="s">
        <v>579</v>
      </c>
      <c r="O229" s="835" t="s">
        <v>580</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customHeight="1">
      <c r="A230" s="323" t="str">
        <f>IF(B230&lt;&gt;"",IF(AND(B230='IN-TC'!$S$4,OR(TH!N230="1111",TH!O230="1111")),TH!D230,""),"")</f>
        <v/>
      </c>
      <c r="B230" s="63">
        <f t="shared" si="8"/>
        <v>12</v>
      </c>
      <c r="C230" s="830">
        <v>42735</v>
      </c>
      <c r="D230" s="830" t="s">
        <v>570</v>
      </c>
      <c r="E230" s="830">
        <f t="shared" si="9"/>
        <v>42735</v>
      </c>
      <c r="F230" s="1157" t="s">
        <v>1309</v>
      </c>
      <c r="G230" s="264">
        <v>58379000</v>
      </c>
      <c r="H230" s="308"/>
      <c r="I230" s="408"/>
      <c r="J230" s="408"/>
      <c r="K230" s="399"/>
      <c r="L230" s="408"/>
      <c r="M230" s="834">
        <v>65264000</v>
      </c>
      <c r="N230" s="835" t="s">
        <v>276</v>
      </c>
      <c r="O230" s="835" t="s">
        <v>580</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customHeight="1">
      <c r="A231" s="323" t="str">
        <f>IF(B231&lt;&gt;"",IF(AND(B231='IN-TC'!$S$4,OR(TH!N231="1111",TH!O231="1111")),TH!D231,""),"")</f>
        <v/>
      </c>
      <c r="B231" s="63">
        <f t="shared" si="8"/>
        <v>12</v>
      </c>
      <c r="C231" s="830">
        <v>42735</v>
      </c>
      <c r="D231" s="830" t="s">
        <v>570</v>
      </c>
      <c r="E231" s="830">
        <f t="shared" si="9"/>
        <v>42735</v>
      </c>
      <c r="F231" s="1157" t="s">
        <v>1310</v>
      </c>
      <c r="G231" s="926" t="s">
        <v>571</v>
      </c>
      <c r="H231" s="308"/>
      <c r="I231" s="408"/>
      <c r="J231" s="408"/>
      <c r="K231" s="399"/>
      <c r="L231" s="408"/>
      <c r="M231" s="834">
        <f>G229*$G231</f>
        <v>3274960</v>
      </c>
      <c r="N231" s="835" t="s">
        <v>580</v>
      </c>
      <c r="O231" s="835" t="s">
        <v>581</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customHeight="1">
      <c r="A232" s="323" t="str">
        <f>IF(B232&lt;&gt;"",IF(AND(B232='IN-TC'!$S$4,OR(TH!N232="1111",TH!O232="1111")),TH!D232,""),"")</f>
        <v/>
      </c>
      <c r="B232" s="63">
        <f t="shared" si="8"/>
        <v>12</v>
      </c>
      <c r="C232" s="830">
        <v>42735</v>
      </c>
      <c r="D232" s="830" t="s">
        <v>570</v>
      </c>
      <c r="E232" s="830">
        <f t="shared" si="9"/>
        <v>42735</v>
      </c>
      <c r="F232" s="1157" t="s">
        <v>1311</v>
      </c>
      <c r="G232" s="264"/>
      <c r="H232" s="308"/>
      <c r="I232" s="408"/>
      <c r="J232" s="408"/>
      <c r="K232" s="399"/>
      <c r="L232" s="408"/>
      <c r="M232" s="834">
        <f>G230*$G231</f>
        <v>4670320</v>
      </c>
      <c r="N232" s="836" t="s">
        <v>580</v>
      </c>
      <c r="O232" s="837" t="s">
        <v>581</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customHeight="1">
      <c r="A233" s="323" t="str">
        <f>IF(B233&lt;&gt;"",IF(AND(B233='IN-TC'!$S$4,OR(TH!N233="1111",TH!O233="1111")),TH!D233,""),"")</f>
        <v/>
      </c>
      <c r="B233" s="63">
        <f t="shared" si="8"/>
        <v>12</v>
      </c>
      <c r="C233" s="830">
        <v>42735</v>
      </c>
      <c r="D233" s="830" t="s">
        <v>570</v>
      </c>
      <c r="E233" s="830">
        <f t="shared" si="9"/>
        <v>42735</v>
      </c>
      <c r="F233" s="1157" t="s">
        <v>1312</v>
      </c>
      <c r="G233" s="926" t="s">
        <v>572</v>
      </c>
      <c r="H233" s="308"/>
      <c r="I233" s="408"/>
      <c r="J233" s="408"/>
      <c r="K233" s="399"/>
      <c r="L233" s="408"/>
      <c r="M233" s="834">
        <f>G229*$G233</f>
        <v>7368660</v>
      </c>
      <c r="N233" s="835" t="s">
        <v>579</v>
      </c>
      <c r="O233" s="835" t="s">
        <v>581</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customHeight="1">
      <c r="A234" s="323" t="str">
        <f>IF(B234&lt;&gt;"",IF(AND(B234='IN-TC'!$S$4,OR(TH!N234="1111",TH!O234="1111")),TH!D234,""),"")</f>
        <v/>
      </c>
      <c r="B234" s="63">
        <f t="shared" si="8"/>
        <v>12</v>
      </c>
      <c r="C234" s="830">
        <v>42735</v>
      </c>
      <c r="D234" s="830" t="s">
        <v>570</v>
      </c>
      <c r="E234" s="830">
        <f t="shared" si="9"/>
        <v>42735</v>
      </c>
      <c r="F234" s="1157" t="s">
        <v>1313</v>
      </c>
      <c r="G234" s="264"/>
      <c r="H234" s="308"/>
      <c r="I234" s="408"/>
      <c r="J234" s="408"/>
      <c r="K234" s="399"/>
      <c r="L234" s="408"/>
      <c r="M234" s="834">
        <f>G230*$G233</f>
        <v>10508220</v>
      </c>
      <c r="N234" s="835" t="s">
        <v>276</v>
      </c>
      <c r="O234" s="835" t="s">
        <v>581</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customHeight="1">
      <c r="A235" s="323" t="str">
        <f>IF(B235&lt;&gt;"",IF(AND(B235='IN-TC'!$S$4,OR(TH!N235="1111",TH!O235="1111")),TH!D235,""),"")</f>
        <v/>
      </c>
      <c r="B235" s="63">
        <f t="shared" si="8"/>
        <v>12</v>
      </c>
      <c r="C235" s="830">
        <v>42735</v>
      </c>
      <c r="D235" s="830" t="s">
        <v>570</v>
      </c>
      <c r="E235" s="830">
        <f t="shared" si="9"/>
        <v>42735</v>
      </c>
      <c r="F235" s="1157" t="s">
        <v>1314</v>
      </c>
      <c r="G235" s="926" t="s">
        <v>573</v>
      </c>
      <c r="H235" s="310"/>
      <c r="I235" s="406"/>
      <c r="J235" s="406"/>
      <c r="K235" s="397"/>
      <c r="L235" s="406"/>
      <c r="M235" s="834">
        <f>ROUND(G229*$G235,0)</f>
        <v>614055</v>
      </c>
      <c r="N235" s="835" t="s">
        <v>580</v>
      </c>
      <c r="O235" s="835" t="s">
        <v>582</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customHeight="1">
      <c r="A236" s="323" t="str">
        <f>IF(B236&lt;&gt;"",IF(AND(B236='IN-TC'!$S$4,OR(TH!N236="1111",TH!O236="1111")),TH!D236,""),"")</f>
        <v/>
      </c>
      <c r="B236" s="63">
        <f t="shared" si="8"/>
        <v>12</v>
      </c>
      <c r="C236" s="830">
        <v>42735</v>
      </c>
      <c r="D236" s="830" t="s">
        <v>570</v>
      </c>
      <c r="E236" s="830">
        <f t="shared" si="9"/>
        <v>42735</v>
      </c>
      <c r="F236" s="1157" t="s">
        <v>1315</v>
      </c>
      <c r="G236" s="264"/>
      <c r="H236" s="310"/>
      <c r="I236" s="406"/>
      <c r="J236" s="406"/>
      <c r="K236" s="397"/>
      <c r="L236" s="406"/>
      <c r="M236" s="834">
        <f>ROUND(G230*$G235,0)</f>
        <v>875685</v>
      </c>
      <c r="N236" s="835" t="s">
        <v>580</v>
      </c>
      <c r="O236" s="835" t="s">
        <v>582</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customHeight="1">
      <c r="A237" s="323" t="str">
        <f>IF(B237&lt;&gt;"",IF(AND(B237='IN-TC'!$S$4,OR(TH!N237="1111",TH!O237="1111")),TH!D237,""),"")</f>
        <v/>
      </c>
      <c r="B237" s="63">
        <f t="shared" si="8"/>
        <v>12</v>
      </c>
      <c r="C237" s="830">
        <v>42735</v>
      </c>
      <c r="D237" s="830" t="s">
        <v>570</v>
      </c>
      <c r="E237" s="830">
        <f t="shared" si="9"/>
        <v>42735</v>
      </c>
      <c r="F237" s="1157" t="s">
        <v>1316</v>
      </c>
      <c r="G237" s="926" t="s">
        <v>574</v>
      </c>
      <c r="H237" s="308"/>
      <c r="I237" s="408"/>
      <c r="J237" s="408"/>
      <c r="K237" s="399"/>
      <c r="L237" s="408"/>
      <c r="M237" s="834">
        <f>G229*$G237</f>
        <v>1228110</v>
      </c>
      <c r="N237" s="835" t="s">
        <v>579</v>
      </c>
      <c r="O237" s="835" t="s">
        <v>582</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customHeight="1">
      <c r="A238" s="323" t="str">
        <f>IF(B238&lt;&gt;"",IF(AND(B238='IN-TC'!$S$4,OR(TH!N238="1111",TH!O238="1111")),TH!D238,""),"")</f>
        <v/>
      </c>
      <c r="B238" s="63">
        <f t="shared" si="8"/>
        <v>12</v>
      </c>
      <c r="C238" s="830">
        <v>42735</v>
      </c>
      <c r="D238" s="830" t="s">
        <v>570</v>
      </c>
      <c r="E238" s="830">
        <f t="shared" si="9"/>
        <v>42735</v>
      </c>
      <c r="F238" s="1157" t="s">
        <v>1317</v>
      </c>
      <c r="G238" s="264"/>
      <c r="H238" s="308"/>
      <c r="I238" s="408"/>
      <c r="J238" s="408"/>
      <c r="K238" s="399"/>
      <c r="L238" s="408"/>
      <c r="M238" s="834">
        <f>G230*$G237</f>
        <v>1751370</v>
      </c>
      <c r="N238" s="835" t="s">
        <v>276</v>
      </c>
      <c r="O238" s="835" t="s">
        <v>582</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customHeight="1">
      <c r="A239" s="323" t="str">
        <f>IF(B239&lt;&gt;"",IF(AND(B239='IN-TC'!$S$4,OR(TH!N239="1111",TH!O239="1111")),TH!D239,""),"")</f>
        <v/>
      </c>
      <c r="B239" s="63">
        <f t="shared" si="8"/>
        <v>12</v>
      </c>
      <c r="C239" s="830">
        <v>42735</v>
      </c>
      <c r="D239" s="830" t="s">
        <v>570</v>
      </c>
      <c r="E239" s="830">
        <f t="shared" si="9"/>
        <v>42735</v>
      </c>
      <c r="F239" s="1157" t="s">
        <v>1318</v>
      </c>
      <c r="G239" s="926" t="s">
        <v>575</v>
      </c>
      <c r="H239" s="308"/>
      <c r="I239" s="408"/>
      <c r="J239" s="408"/>
      <c r="K239" s="399"/>
      <c r="L239" s="408"/>
      <c r="M239" s="834">
        <f>G229*$G239</f>
        <v>409370</v>
      </c>
      <c r="N239" s="835" t="s">
        <v>580</v>
      </c>
      <c r="O239" s="835" t="s">
        <v>583</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customHeight="1">
      <c r="A240" s="323" t="str">
        <f>IF(B240&lt;&gt;"",IF(AND(B240='IN-TC'!$S$4,OR(TH!N240="1111",TH!O240="1111")),TH!D240,""),"")</f>
        <v/>
      </c>
      <c r="B240" s="63">
        <f t="shared" si="8"/>
        <v>12</v>
      </c>
      <c r="C240" s="830">
        <v>42735</v>
      </c>
      <c r="D240" s="830" t="s">
        <v>570</v>
      </c>
      <c r="E240" s="830">
        <f t="shared" si="9"/>
        <v>42735</v>
      </c>
      <c r="F240" s="1157" t="s">
        <v>1319</v>
      </c>
      <c r="G240" s="264"/>
      <c r="H240" s="308"/>
      <c r="I240" s="408"/>
      <c r="J240" s="408"/>
      <c r="K240" s="399"/>
      <c r="L240" s="408"/>
      <c r="M240" s="834">
        <f>G230*$G239</f>
        <v>583790</v>
      </c>
      <c r="N240" s="835" t="s">
        <v>580</v>
      </c>
      <c r="O240" s="835" t="s">
        <v>583</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customHeight="1">
      <c r="A241" s="323" t="str">
        <f>IF(B241&lt;&gt;"",IF(AND(B241='IN-TC'!$S$4,OR(TH!N241="1111",TH!O241="1111")),TH!D241,""),"")</f>
        <v/>
      </c>
      <c r="B241" s="63">
        <f t="shared" si="8"/>
        <v>12</v>
      </c>
      <c r="C241" s="830">
        <v>42735</v>
      </c>
      <c r="D241" s="830" t="s">
        <v>570</v>
      </c>
      <c r="E241" s="830">
        <f t="shared" si="9"/>
        <v>42735</v>
      </c>
      <c r="F241" s="1157" t="s">
        <v>1320</v>
      </c>
      <c r="G241" s="926" t="s">
        <v>575</v>
      </c>
      <c r="H241" s="1072"/>
      <c r="I241" s="409"/>
      <c r="J241" s="409"/>
      <c r="K241" s="400"/>
      <c r="L241" s="409"/>
      <c r="M241" s="834">
        <f>M239</f>
        <v>409370</v>
      </c>
      <c r="N241" s="835" t="s">
        <v>579</v>
      </c>
      <c r="O241" s="835" t="s">
        <v>583</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customHeight="1">
      <c r="A242" s="323" t="str">
        <f>IF(B242&lt;&gt;"",IF(AND(B242='IN-TC'!$S$4,OR(TH!N242="1111",TH!O242="1111")),TH!D242,""),"")</f>
        <v/>
      </c>
      <c r="B242" s="63">
        <f t="shared" si="8"/>
        <v>12</v>
      </c>
      <c r="C242" s="830">
        <v>42735</v>
      </c>
      <c r="D242" s="830" t="s">
        <v>570</v>
      </c>
      <c r="E242" s="830">
        <f t="shared" si="9"/>
        <v>42735</v>
      </c>
      <c r="F242" s="1157" t="s">
        <v>1321</v>
      </c>
      <c r="G242" s="264"/>
      <c r="H242" s="308"/>
      <c r="I242" s="408"/>
      <c r="J242" s="408"/>
      <c r="K242" s="399"/>
      <c r="L242" s="408"/>
      <c r="M242" s="834">
        <f>M240</f>
        <v>583790</v>
      </c>
      <c r="N242" s="835" t="s">
        <v>276</v>
      </c>
      <c r="O242" s="835" t="s">
        <v>583</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customHeight="1">
      <c r="A243" s="323" t="str">
        <f>IF(B243&lt;&gt;"",IF(AND(B243='IN-TC'!$S$4,OR(TH!N243="1111",TH!O243="1111")),TH!D243,""),"")</f>
        <v/>
      </c>
      <c r="B243" s="63">
        <f t="shared" si="8"/>
        <v>12</v>
      </c>
      <c r="C243" s="830">
        <v>42735</v>
      </c>
      <c r="D243" s="830" t="s">
        <v>570</v>
      </c>
      <c r="E243" s="830">
        <f t="shared" si="9"/>
        <v>42735</v>
      </c>
      <c r="F243" s="1157" t="s">
        <v>2915</v>
      </c>
      <c r="G243" s="264"/>
      <c r="H243" s="308"/>
      <c r="I243" s="408"/>
      <c r="J243" s="408"/>
      <c r="K243" s="399"/>
      <c r="L243" s="408"/>
      <c r="M243" s="834">
        <v>1244910</v>
      </c>
      <c r="N243" s="835" t="s">
        <v>103</v>
      </c>
      <c r="O243" s="835" t="s">
        <v>581</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customHeight="1">
      <c r="A244" s="323" t="str">
        <f>IF(B244&lt;&gt;"",IF(AND(B244='IN-TC'!$S$4,OR(TH!N244="1111",TH!O244="1111")),TH!D244,""),"")</f>
        <v/>
      </c>
      <c r="B244" s="63">
        <f t="shared" si="8"/>
        <v>12</v>
      </c>
      <c r="C244" s="830">
        <v>42735</v>
      </c>
      <c r="D244" s="830" t="s">
        <v>570</v>
      </c>
      <c r="E244" s="830">
        <f t="shared" si="9"/>
        <v>42735</v>
      </c>
      <c r="F244" s="1157" t="s">
        <v>2916</v>
      </c>
      <c r="G244" s="264"/>
      <c r="H244" s="308"/>
      <c r="I244" s="408"/>
      <c r="J244" s="408"/>
      <c r="K244" s="399"/>
      <c r="L244" s="408"/>
      <c r="M244" s="834">
        <v>1020860</v>
      </c>
      <c r="N244" s="835" t="s">
        <v>99</v>
      </c>
      <c r="O244" s="835" t="s">
        <v>581</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customHeight="1">
      <c r="A245" s="323" t="str">
        <f>IF(B245&lt;&gt;"",IF(AND(B245='IN-TC'!$S$4,OR(TH!N245="1111",TH!O245="1111")),TH!D245,""),"")</f>
        <v/>
      </c>
      <c r="B245" s="63">
        <f t="shared" si="8"/>
        <v>12</v>
      </c>
      <c r="C245" s="830">
        <v>42735</v>
      </c>
      <c r="D245" s="830" t="s">
        <v>570</v>
      </c>
      <c r="E245" s="830">
        <f t="shared" si="9"/>
        <v>42735</v>
      </c>
      <c r="F245" s="1157" t="s">
        <v>2917</v>
      </c>
      <c r="G245" s="264"/>
      <c r="H245" s="308"/>
      <c r="I245" s="408"/>
      <c r="J245" s="408"/>
      <c r="K245" s="399"/>
      <c r="L245" s="408"/>
      <c r="M245" s="834">
        <v>5273278</v>
      </c>
      <c r="N245" s="835" t="s">
        <v>99</v>
      </c>
      <c r="O245" s="835" t="s">
        <v>582</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customHeight="1">
      <c r="A246" s="323" t="str">
        <f>IF(B246&lt;&gt;"",IF(AND(B246='IN-TC'!$S$4,OR(TH!N246="1111",TH!O246="1111")),TH!D246,""),"")</f>
        <v/>
      </c>
      <c r="B246" s="63">
        <f t="shared" si="8"/>
        <v>12</v>
      </c>
      <c r="C246" s="830">
        <v>42735</v>
      </c>
      <c r="D246" s="830" t="s">
        <v>570</v>
      </c>
      <c r="E246" s="830">
        <f t="shared" si="9"/>
        <v>42735</v>
      </c>
      <c r="F246" s="1157" t="s">
        <v>2918</v>
      </c>
      <c r="G246" s="264"/>
      <c r="H246" s="308"/>
      <c r="I246" s="408"/>
      <c r="J246" s="408"/>
      <c r="K246" s="399"/>
      <c r="L246" s="408"/>
      <c r="M246" s="834">
        <v>56407</v>
      </c>
      <c r="N246" s="835" t="s">
        <v>99</v>
      </c>
      <c r="O246" s="835" t="s">
        <v>583</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customHeight="1">
      <c r="A247" s="323" t="str">
        <f>IF(B247&lt;&gt;"",IF(AND(B247='IN-TC'!$S$4,OR(TH!N247="1111",TH!O247="1111")),TH!D247,""),"")</f>
        <v/>
      </c>
      <c r="B247" s="63">
        <f t="shared" si="8"/>
        <v>1</v>
      </c>
      <c r="C247" s="1087">
        <v>42395</v>
      </c>
      <c r="D247" s="1087" t="s">
        <v>584</v>
      </c>
      <c r="E247" s="1087">
        <f t="shared" si="9"/>
        <v>42395</v>
      </c>
      <c r="F247" s="1155" t="s">
        <v>441</v>
      </c>
      <c r="G247" s="1131" t="s">
        <v>602</v>
      </c>
      <c r="H247" s="92" t="s">
        <v>589</v>
      </c>
      <c r="I247" s="414">
        <v>7100</v>
      </c>
      <c r="J247" s="1132">
        <v>11.2</v>
      </c>
      <c r="K247" s="405">
        <v>79520</v>
      </c>
      <c r="L247" s="414">
        <v>22365</v>
      </c>
      <c r="M247" s="1133">
        <f t="shared" ref="M247:M259" si="10">ROUND(K247*L247,0)</f>
        <v>1778464800</v>
      </c>
      <c r="N247" s="1134" t="s">
        <v>576</v>
      </c>
      <c r="O247" s="1134" t="s">
        <v>292</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customHeight="1">
      <c r="A248" s="323" t="str">
        <f>IF(B248&lt;&gt;"",IF(AND(B248='IN-TC'!$S$4,OR(TH!N248="1111",TH!O248="1111")),TH!D248,""),"")</f>
        <v/>
      </c>
      <c r="B248" s="63">
        <f t="shared" si="8"/>
        <v>1</v>
      </c>
      <c r="C248" s="1087">
        <v>42395</v>
      </c>
      <c r="D248" s="1087" t="s">
        <v>585</v>
      </c>
      <c r="E248" s="1087">
        <f t="shared" si="9"/>
        <v>42395</v>
      </c>
      <c r="F248" s="1155" t="s">
        <v>443</v>
      </c>
      <c r="G248" s="1131" t="s">
        <v>603</v>
      </c>
      <c r="H248" s="92" t="s">
        <v>586</v>
      </c>
      <c r="I248" s="414">
        <v>4800</v>
      </c>
      <c r="J248" s="1132">
        <v>8.6999999999999993</v>
      </c>
      <c r="K248" s="405">
        <v>41760</v>
      </c>
      <c r="L248" s="414">
        <v>22365</v>
      </c>
      <c r="M248" s="1133">
        <f t="shared" si="10"/>
        <v>933962400</v>
      </c>
      <c r="N248" s="1134" t="s">
        <v>576</v>
      </c>
      <c r="O248" s="1134" t="s">
        <v>292</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customHeight="1">
      <c r="A249" s="323" t="str">
        <f>IF(B249&lt;&gt;"",IF(AND(B249='IN-TC'!$S$4,OR(TH!N2393="1111",TH!O2393="1111")),TH!D2393,""),"")</f>
        <v/>
      </c>
      <c r="B249" s="63">
        <f t="shared" si="8"/>
        <v>1</v>
      </c>
      <c r="C249" s="64">
        <v>42377</v>
      </c>
      <c r="D249" s="64" t="s">
        <v>687</v>
      </c>
      <c r="E249" s="64">
        <v>42377</v>
      </c>
      <c r="F249" s="67" t="s">
        <v>694</v>
      </c>
      <c r="G249" s="67" t="s">
        <v>901</v>
      </c>
      <c r="H249" s="329" t="s">
        <v>587</v>
      </c>
      <c r="I249" s="408"/>
      <c r="J249" s="408"/>
      <c r="K249" s="399">
        <v>4819.12</v>
      </c>
      <c r="L249" s="408">
        <v>22490</v>
      </c>
      <c r="M249" s="81">
        <f t="shared" si="10"/>
        <v>108382009</v>
      </c>
      <c r="N249" s="66" t="s">
        <v>260</v>
      </c>
      <c r="O249" s="66" t="s">
        <v>576</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customHeight="1">
      <c r="A250" s="323" t="str">
        <f>IF(B250&lt;&gt;"",IF(AND(B250='IN-TC'!$S$4,OR(TH!N2394="1111",TH!O2394="1111")),TH!D2394,""),"")</f>
        <v/>
      </c>
      <c r="B250" s="63">
        <f t="shared" si="8"/>
        <v>1</v>
      </c>
      <c r="C250" s="64">
        <v>42377</v>
      </c>
      <c r="D250" s="64" t="s">
        <v>570</v>
      </c>
      <c r="E250" s="64">
        <v>42377</v>
      </c>
      <c r="F250" s="67" t="s">
        <v>1054</v>
      </c>
      <c r="G250" s="67" t="s">
        <v>901</v>
      </c>
      <c r="H250" s="329" t="s">
        <v>587</v>
      </c>
      <c r="I250" s="408"/>
      <c r="J250" s="408"/>
      <c r="K250" s="399">
        <v>169.88</v>
      </c>
      <c r="L250" s="408">
        <v>22490</v>
      </c>
      <c r="M250" s="65">
        <f t="shared" si="10"/>
        <v>3820601</v>
      </c>
      <c r="N250" s="66" t="s">
        <v>99</v>
      </c>
      <c r="O250" s="66" t="s">
        <v>576</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customHeight="1">
      <c r="A251" s="323" t="str">
        <f>IF(B251&lt;&gt;"",IF(AND(B251='IN-TC'!$S$4,OR(TH!N251="1111",TH!O251="1111")),TH!D251,""),"")</f>
        <v/>
      </c>
      <c r="B251" s="63">
        <f t="shared" si="8"/>
        <v>4</v>
      </c>
      <c r="C251" s="1087">
        <v>42473</v>
      </c>
      <c r="D251" s="1087" t="s">
        <v>585</v>
      </c>
      <c r="E251" s="1087">
        <f>C251</f>
        <v>42473</v>
      </c>
      <c r="F251" s="1155" t="s">
        <v>443</v>
      </c>
      <c r="G251" s="1131" t="s">
        <v>1349</v>
      </c>
      <c r="H251" s="92" t="s">
        <v>1350</v>
      </c>
      <c r="I251" s="414">
        <v>8800</v>
      </c>
      <c r="J251" s="1132">
        <v>8.6999999999999993</v>
      </c>
      <c r="K251" s="405">
        <f>I251*J251</f>
        <v>76560</v>
      </c>
      <c r="L251" s="414">
        <v>22250</v>
      </c>
      <c r="M251" s="1133">
        <f t="shared" si="10"/>
        <v>1703460000</v>
      </c>
      <c r="N251" s="1134" t="s">
        <v>576</v>
      </c>
      <c r="O251" s="1134" t="s">
        <v>292</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customHeight="1">
      <c r="A252" s="323" t="str">
        <f>IF(B252&lt;&gt;"",IF(AND(B252='IN-TC'!$S$4,OR(TH!N2480="1111",TH!O2480="1111")),TH!D2480,""),"")</f>
        <v/>
      </c>
      <c r="B252" s="63">
        <f t="shared" si="8"/>
        <v>1</v>
      </c>
      <c r="C252" s="64">
        <v>42397</v>
      </c>
      <c r="D252" s="64" t="s">
        <v>687</v>
      </c>
      <c r="E252" s="64">
        <v>42397</v>
      </c>
      <c r="F252" s="482" t="s">
        <v>693</v>
      </c>
      <c r="G252" s="67" t="s">
        <v>902</v>
      </c>
      <c r="H252" s="72" t="s">
        <v>589</v>
      </c>
      <c r="I252" s="408"/>
      <c r="J252" s="408"/>
      <c r="K252" s="399">
        <v>71518.62</v>
      </c>
      <c r="L252" s="408">
        <v>22300</v>
      </c>
      <c r="M252" s="81">
        <f t="shared" si="10"/>
        <v>1594865226</v>
      </c>
      <c r="N252" s="66" t="s">
        <v>260</v>
      </c>
      <c r="O252" s="66" t="s">
        <v>576</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customHeight="1">
      <c r="A253" s="323" t="str">
        <f>IF(B253&lt;&gt;"",IF(AND(B253='IN-TC'!$S$4,OR(TH!N2481="1111",TH!O2481="1111")),TH!D2481,""),"")</f>
        <v/>
      </c>
      <c r="B253" s="63">
        <f t="shared" si="8"/>
        <v>1</v>
      </c>
      <c r="C253" s="64">
        <f>E253</f>
        <v>42397</v>
      </c>
      <c r="D253" s="64" t="s">
        <v>570</v>
      </c>
      <c r="E253" s="64">
        <v>42397</v>
      </c>
      <c r="F253" s="482" t="s">
        <v>599</v>
      </c>
      <c r="G253" s="67" t="s">
        <v>902</v>
      </c>
      <c r="H253" s="72" t="s">
        <v>589</v>
      </c>
      <c r="I253" s="408"/>
      <c r="J253" s="408"/>
      <c r="K253" s="399">
        <v>11</v>
      </c>
      <c r="L253" s="408">
        <v>22310</v>
      </c>
      <c r="M253" s="65">
        <f t="shared" si="10"/>
        <v>245410</v>
      </c>
      <c r="N253" s="66" t="s">
        <v>99</v>
      </c>
      <c r="O253" s="66" t="s">
        <v>576</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customHeight="1">
      <c r="A254" s="323" t="str">
        <f>IF(B254&lt;&gt;"",IF(AND(B254='IN-TC'!$S$4,OR(TH!N2482="1111",TH!O2482="1111")),TH!D2482,""),"")</f>
        <v/>
      </c>
      <c r="B254" s="63">
        <f t="shared" si="8"/>
        <v>1</v>
      </c>
      <c r="C254" s="64">
        <f>E254</f>
        <v>42397</v>
      </c>
      <c r="D254" s="64" t="s">
        <v>570</v>
      </c>
      <c r="E254" s="64">
        <v>42397</v>
      </c>
      <c r="F254" s="482" t="s">
        <v>600</v>
      </c>
      <c r="G254" s="67" t="s">
        <v>902</v>
      </c>
      <c r="H254" s="72" t="s">
        <v>589</v>
      </c>
      <c r="I254" s="408"/>
      <c r="J254" s="408"/>
      <c r="K254" s="399">
        <v>30.38</v>
      </c>
      <c r="L254" s="408">
        <v>22310</v>
      </c>
      <c r="M254" s="65">
        <f t="shared" si="10"/>
        <v>677778</v>
      </c>
      <c r="N254" s="66" t="s">
        <v>99</v>
      </c>
      <c r="O254" s="66" t="s">
        <v>576</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customHeight="1">
      <c r="A255" s="323" t="str">
        <f>IF(B255&lt;&gt;"",IF(AND(B255='IN-TC'!$S$4,OR(TH!N2554="1111",TH!O2554="1111")),TH!D2554,""),"")</f>
        <v/>
      </c>
      <c r="B255" s="63">
        <f t="shared" si="8"/>
        <v>2</v>
      </c>
      <c r="C255" s="64">
        <v>42405</v>
      </c>
      <c r="D255" s="64" t="s">
        <v>687</v>
      </c>
      <c r="E255" s="64">
        <v>42405</v>
      </c>
      <c r="F255" s="482" t="s">
        <v>1033</v>
      </c>
      <c r="G255" s="67" t="s">
        <v>902</v>
      </c>
      <c r="H255" s="72" t="s">
        <v>589</v>
      </c>
      <c r="I255" s="408"/>
      <c r="J255" s="408"/>
      <c r="K255" s="399">
        <v>7743.32</v>
      </c>
      <c r="L255" s="408">
        <v>22270</v>
      </c>
      <c r="M255" s="65">
        <f t="shared" si="10"/>
        <v>172443736</v>
      </c>
      <c r="N255" s="66" t="s">
        <v>260</v>
      </c>
      <c r="O255" s="66" t="s">
        <v>576</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customHeight="1">
      <c r="A256" s="323" t="str">
        <f>IF(B256&lt;&gt;"",IF(AND(B256='IN-TC'!$S$4,OR(TH!N2470="1111",TH!O2470="1111")),TH!D2470,""),"")</f>
        <v/>
      </c>
      <c r="B256" s="63">
        <f t="shared" si="8"/>
        <v>1</v>
      </c>
      <c r="C256" s="64">
        <v>42396</v>
      </c>
      <c r="D256" s="64" t="s">
        <v>687</v>
      </c>
      <c r="E256" s="64">
        <v>42396</v>
      </c>
      <c r="F256" s="482" t="s">
        <v>692</v>
      </c>
      <c r="G256" s="67" t="s">
        <v>902</v>
      </c>
      <c r="H256" s="72" t="s">
        <v>586</v>
      </c>
      <c r="I256" s="408"/>
      <c r="J256" s="408"/>
      <c r="K256" s="399">
        <v>39553.120000000003</v>
      </c>
      <c r="L256" s="408">
        <v>22310</v>
      </c>
      <c r="M256" s="81">
        <f t="shared" si="10"/>
        <v>882430107</v>
      </c>
      <c r="N256" s="66" t="s">
        <v>260</v>
      </c>
      <c r="O256" s="66" t="s">
        <v>576</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customHeight="1">
      <c r="A257" s="323" t="str">
        <f>IF(B257&lt;&gt;"",IF(AND(B257='IN-TC'!$S$4,OR(TH!N257="1111",TH!O257="1111")),TH!D257,""),"")</f>
        <v/>
      </c>
      <c r="B257" s="63">
        <f t="shared" si="8"/>
        <v>6</v>
      </c>
      <c r="C257" s="1087">
        <v>42527</v>
      </c>
      <c r="D257" s="1087" t="s">
        <v>584</v>
      </c>
      <c r="E257" s="1087">
        <f>C257</f>
        <v>42527</v>
      </c>
      <c r="F257" s="1155" t="s">
        <v>441</v>
      </c>
      <c r="G257" s="1131" t="s">
        <v>1537</v>
      </c>
      <c r="H257" s="92" t="s">
        <v>1538</v>
      </c>
      <c r="I257" s="414">
        <v>10000</v>
      </c>
      <c r="J257" s="1132">
        <v>8.4499999999999993</v>
      </c>
      <c r="K257" s="405">
        <f>I257*J257</f>
        <v>84500</v>
      </c>
      <c r="L257" s="414">
        <v>22405</v>
      </c>
      <c r="M257" s="1133">
        <f t="shared" si="10"/>
        <v>1893222500</v>
      </c>
      <c r="N257" s="1134" t="s">
        <v>576</v>
      </c>
      <c r="O257" s="1134" t="s">
        <v>292</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customHeight="1">
      <c r="A258" s="323" t="str">
        <f>IF(B258&lt;&gt;"",IF(AND(B258='IN-TC'!$S$4,OR(TH!N2555="1111",TH!O2555="1111")),TH!D2555,""),"")</f>
        <v/>
      </c>
      <c r="B258" s="63">
        <f t="shared" si="8"/>
        <v>2</v>
      </c>
      <c r="C258" s="64">
        <f>E258</f>
        <v>42405</v>
      </c>
      <c r="D258" s="64" t="s">
        <v>570</v>
      </c>
      <c r="E258" s="64">
        <v>42405</v>
      </c>
      <c r="F258" s="482" t="s">
        <v>1045</v>
      </c>
      <c r="G258" s="67" t="s">
        <v>902</v>
      </c>
      <c r="H258" s="72" t="s">
        <v>589</v>
      </c>
      <c r="I258" s="408"/>
      <c r="J258" s="408"/>
      <c r="K258" s="399">
        <v>107.34</v>
      </c>
      <c r="L258" s="408">
        <v>22270</v>
      </c>
      <c r="M258" s="65">
        <f t="shared" si="10"/>
        <v>2390462</v>
      </c>
      <c r="N258" s="66" t="s">
        <v>99</v>
      </c>
      <c r="O258" s="66" t="s">
        <v>576</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customHeight="1">
      <c r="A259" s="323" t="str">
        <f>IF(B259&lt;&gt;"",IF(AND(B259='IN-TC'!$S$4,OR(TH!N2556="1111",TH!O2556="1111")),TH!D2556,""),"")</f>
        <v/>
      </c>
      <c r="B259" s="63">
        <f t="shared" si="8"/>
        <v>2</v>
      </c>
      <c r="C259" s="64">
        <f>E259</f>
        <v>42405</v>
      </c>
      <c r="D259" s="64" t="s">
        <v>570</v>
      </c>
      <c r="E259" s="64">
        <v>42405</v>
      </c>
      <c r="F259" s="482" t="s">
        <v>1046</v>
      </c>
      <c r="G259" s="67" t="s">
        <v>902</v>
      </c>
      <c r="H259" s="72" t="s">
        <v>589</v>
      </c>
      <c r="I259" s="408"/>
      <c r="J259" s="408"/>
      <c r="K259" s="399">
        <v>10.73</v>
      </c>
      <c r="L259" s="408">
        <v>22270</v>
      </c>
      <c r="M259" s="65">
        <f t="shared" si="10"/>
        <v>238957</v>
      </c>
      <c r="N259" s="66" t="s">
        <v>9</v>
      </c>
      <c r="O259" s="66" t="s">
        <v>576</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x</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customHeight="1">
      <c r="A260" s="323" t="str">
        <f>IF(B260&lt;&gt;"",IF(AND(B260='IN-TC'!$S$4,OR(TH!N1193="1111",TH!O1193="1111")),TH!D1193,""),"")</f>
        <v/>
      </c>
      <c r="B260" s="63">
        <f t="shared" si="8"/>
        <v>2</v>
      </c>
      <c r="C260" s="78">
        <f>E260</f>
        <v>42426</v>
      </c>
      <c r="D260" s="78" t="s">
        <v>941</v>
      </c>
      <c r="E260" s="78">
        <v>42426</v>
      </c>
      <c r="F260" s="79" t="s">
        <v>1937</v>
      </c>
      <c r="G260" s="934" t="s">
        <v>1939</v>
      </c>
      <c r="H260" s="80" t="s">
        <v>1525</v>
      </c>
      <c r="I260" s="406">
        <v>16100</v>
      </c>
      <c r="J260" s="407">
        <v>11165</v>
      </c>
      <c r="K260" s="397">
        <f>M260/L260</f>
        <v>8050</v>
      </c>
      <c r="L260" s="406">
        <v>22330</v>
      </c>
      <c r="M260" s="81">
        <f>ROUND(I260*J260,0)</f>
        <v>179756500</v>
      </c>
      <c r="N260" s="82" t="s">
        <v>268</v>
      </c>
      <c r="O260" s="82" t="s">
        <v>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customHeight="1">
      <c r="A261" s="323" t="str">
        <f>IF(B261&lt;&gt;"",IF(AND(B261='IN-TC'!$S$4,OR(TH!N260="1111",TH!O260="1111")),TH!D260,""),"")</f>
        <v/>
      </c>
      <c r="B261" s="63">
        <f t="shared" si="8"/>
        <v>6</v>
      </c>
      <c r="C261" s="1087">
        <v>42535</v>
      </c>
      <c r="D261" s="1087" t="s">
        <v>1657</v>
      </c>
      <c r="E261" s="1087">
        <f t="shared" ref="E261:E271" si="11">C261</f>
        <v>42535</v>
      </c>
      <c r="F261" s="1155" t="s">
        <v>1658</v>
      </c>
      <c r="G261" s="1131" t="s">
        <v>1660</v>
      </c>
      <c r="H261" s="92" t="s">
        <v>1525</v>
      </c>
      <c r="I261" s="414">
        <v>1750</v>
      </c>
      <c r="J261" s="1132">
        <v>1</v>
      </c>
      <c r="K261" s="405">
        <f t="shared" ref="K261:K271" si="12">I261*J261</f>
        <v>1750</v>
      </c>
      <c r="L261" s="414">
        <v>22300</v>
      </c>
      <c r="M261" s="1133">
        <f t="shared" ref="M261:M272" si="13">ROUND(K261*L261,0)</f>
        <v>39025000</v>
      </c>
      <c r="N261" s="1134" t="s">
        <v>576</v>
      </c>
      <c r="O261" s="1134" t="s">
        <v>292</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customHeight="1">
      <c r="A262" s="323" t="str">
        <f>IF(B262&lt;&gt;"",IF(AND(B262='IN-TC'!$S$4,OR(TH!N262="1111",TH!O262="1111")),TH!D262,""),"")</f>
        <v/>
      </c>
      <c r="B262" s="63">
        <f t="shared" si="8"/>
        <v>6</v>
      </c>
      <c r="C262" s="1087">
        <v>42536</v>
      </c>
      <c r="D262" s="1087" t="s">
        <v>1891</v>
      </c>
      <c r="E262" s="1087">
        <f t="shared" si="11"/>
        <v>42536</v>
      </c>
      <c r="F262" s="1155" t="s">
        <v>1661</v>
      </c>
      <c r="G262" s="1131" t="s">
        <v>1671</v>
      </c>
      <c r="H262" s="92" t="s">
        <v>1672</v>
      </c>
      <c r="I262" s="414">
        <v>690</v>
      </c>
      <c r="J262" s="1132">
        <v>29.1</v>
      </c>
      <c r="K262" s="405">
        <f t="shared" si="12"/>
        <v>20079</v>
      </c>
      <c r="L262" s="414">
        <v>22300</v>
      </c>
      <c r="M262" s="1133">
        <f t="shared" si="13"/>
        <v>447761700</v>
      </c>
      <c r="N262" s="1134" t="s">
        <v>576</v>
      </c>
      <c r="O262" s="1134" t="s">
        <v>292</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customHeight="1">
      <c r="A263" s="323" t="str">
        <f>IF(B263&lt;&gt;"",IF(AND(B263='IN-TC'!$S$4,OR(TH!N263="1111",TH!O263="1111")),TH!D263,""),"")</f>
        <v/>
      </c>
      <c r="B263" s="63">
        <f t="shared" si="8"/>
        <v>6</v>
      </c>
      <c r="C263" s="1087">
        <v>42536</v>
      </c>
      <c r="D263" s="1087" t="s">
        <v>1891</v>
      </c>
      <c r="E263" s="1087">
        <f t="shared" si="11"/>
        <v>42536</v>
      </c>
      <c r="F263" s="1155" t="s">
        <v>1662</v>
      </c>
      <c r="G263" s="1131" t="s">
        <v>1671</v>
      </c>
      <c r="H263" s="92" t="s">
        <v>1672</v>
      </c>
      <c r="I263" s="414">
        <v>500</v>
      </c>
      <c r="J263" s="1132">
        <v>29.6</v>
      </c>
      <c r="K263" s="405">
        <f t="shared" si="12"/>
        <v>14800</v>
      </c>
      <c r="L263" s="414">
        <v>22300</v>
      </c>
      <c r="M263" s="1133">
        <f t="shared" si="13"/>
        <v>330040000</v>
      </c>
      <c r="N263" s="1134" t="s">
        <v>576</v>
      </c>
      <c r="O263" s="1134" t="s">
        <v>292</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customHeight="1">
      <c r="A264" s="323" t="str">
        <f>IF(B264&lt;&gt;"",IF(AND(B264='IN-TC'!$S$4,OR(TH!N264="1111",TH!O264="1111")),TH!D264,""),"")</f>
        <v/>
      </c>
      <c r="B264" s="63">
        <f t="shared" si="8"/>
        <v>6</v>
      </c>
      <c r="C264" s="1087">
        <v>42536</v>
      </c>
      <c r="D264" s="1087" t="s">
        <v>1891</v>
      </c>
      <c r="E264" s="1087">
        <f t="shared" si="11"/>
        <v>42536</v>
      </c>
      <c r="F264" s="1155" t="s">
        <v>1663</v>
      </c>
      <c r="G264" s="1131" t="s">
        <v>1671</v>
      </c>
      <c r="H264" s="92" t="s">
        <v>1672</v>
      </c>
      <c r="I264" s="414">
        <v>560</v>
      </c>
      <c r="J264" s="1132">
        <v>29.6</v>
      </c>
      <c r="K264" s="405">
        <f t="shared" si="12"/>
        <v>16576</v>
      </c>
      <c r="L264" s="414">
        <v>22300</v>
      </c>
      <c r="M264" s="1133">
        <f t="shared" si="13"/>
        <v>369644800</v>
      </c>
      <c r="N264" s="1134" t="s">
        <v>576</v>
      </c>
      <c r="O264" s="1134" t="s">
        <v>292</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customHeight="1">
      <c r="A265" s="323" t="str">
        <f>IF(B265&lt;&gt;"",IF(AND(B265='IN-TC'!$S$4,OR(TH!N265="1111",TH!O265="1111")),TH!D265,""),"")</f>
        <v/>
      </c>
      <c r="B265" s="63">
        <f t="shared" si="8"/>
        <v>6</v>
      </c>
      <c r="C265" s="1087">
        <v>42536</v>
      </c>
      <c r="D265" s="1087" t="s">
        <v>1891</v>
      </c>
      <c r="E265" s="1087">
        <f t="shared" si="11"/>
        <v>42536</v>
      </c>
      <c r="F265" s="1155" t="s">
        <v>1664</v>
      </c>
      <c r="G265" s="1131" t="s">
        <v>1671</v>
      </c>
      <c r="H265" s="92" t="s">
        <v>1672</v>
      </c>
      <c r="I265" s="414">
        <v>580</v>
      </c>
      <c r="J265" s="1132">
        <v>28.3</v>
      </c>
      <c r="K265" s="405">
        <f t="shared" si="12"/>
        <v>16414</v>
      </c>
      <c r="L265" s="414">
        <v>22300</v>
      </c>
      <c r="M265" s="1133">
        <f t="shared" si="13"/>
        <v>366032200</v>
      </c>
      <c r="N265" s="1134" t="s">
        <v>576</v>
      </c>
      <c r="O265" s="1134" t="s">
        <v>292</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customHeight="1">
      <c r="A266" s="323" t="str">
        <f>IF(B266&lt;&gt;"",IF(AND(B266='IN-TC'!$S$4,OR(TH!N266="1111",TH!O266="1111")),TH!D266,""),"")</f>
        <v/>
      </c>
      <c r="B266" s="63">
        <f t="shared" si="8"/>
        <v>6</v>
      </c>
      <c r="C266" s="1087">
        <v>42536</v>
      </c>
      <c r="D266" s="1087" t="s">
        <v>1891</v>
      </c>
      <c r="E266" s="1087">
        <f t="shared" si="11"/>
        <v>42536</v>
      </c>
      <c r="F266" s="1155" t="s">
        <v>1665</v>
      </c>
      <c r="G266" s="1131" t="s">
        <v>1671</v>
      </c>
      <c r="H266" s="92" t="s">
        <v>1672</v>
      </c>
      <c r="I266" s="414">
        <v>870</v>
      </c>
      <c r="J266" s="1132">
        <v>24.7</v>
      </c>
      <c r="K266" s="405">
        <f t="shared" si="12"/>
        <v>21489</v>
      </c>
      <c r="L266" s="414">
        <v>22300</v>
      </c>
      <c r="M266" s="1133">
        <f t="shared" si="13"/>
        <v>479204700</v>
      </c>
      <c r="N266" s="1134" t="s">
        <v>576</v>
      </c>
      <c r="O266" s="1134" t="s">
        <v>292</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customHeight="1">
      <c r="A267" s="323" t="str">
        <f>IF(B267&lt;&gt;"",IF(AND(B267='IN-TC'!$S$4,OR(TH!N267="1111",TH!O267="1111")),TH!D267,""),"")</f>
        <v/>
      </c>
      <c r="B267" s="63">
        <f t="shared" si="8"/>
        <v>6</v>
      </c>
      <c r="C267" s="1087">
        <v>42536</v>
      </c>
      <c r="D267" s="1087" t="s">
        <v>1891</v>
      </c>
      <c r="E267" s="1087">
        <f t="shared" si="11"/>
        <v>42536</v>
      </c>
      <c r="F267" s="1155" t="s">
        <v>1666</v>
      </c>
      <c r="G267" s="1131" t="s">
        <v>1671</v>
      </c>
      <c r="H267" s="92" t="s">
        <v>1672</v>
      </c>
      <c r="I267" s="414">
        <v>130</v>
      </c>
      <c r="J267" s="1132">
        <v>26.1</v>
      </c>
      <c r="K267" s="405">
        <f t="shared" si="12"/>
        <v>3393</v>
      </c>
      <c r="L267" s="414">
        <v>22300</v>
      </c>
      <c r="M267" s="1133">
        <f t="shared" si="13"/>
        <v>75663900</v>
      </c>
      <c r="N267" s="1134" t="s">
        <v>576</v>
      </c>
      <c r="O267" s="1134" t="s">
        <v>292</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customHeight="1">
      <c r="A268" s="323" t="str">
        <f>IF(B268&lt;&gt;"",IF(AND(B268='IN-TC'!$S$4,OR(TH!N268="1111",TH!O268="1111")),TH!D268,""),"")</f>
        <v/>
      </c>
      <c r="B268" s="63">
        <f t="shared" si="8"/>
        <v>6</v>
      </c>
      <c r="C268" s="1087">
        <v>42536</v>
      </c>
      <c r="D268" s="1087" t="s">
        <v>1891</v>
      </c>
      <c r="E268" s="1087">
        <f t="shared" si="11"/>
        <v>42536</v>
      </c>
      <c r="F268" s="1155" t="s">
        <v>1667</v>
      </c>
      <c r="G268" s="1131" t="s">
        <v>1671</v>
      </c>
      <c r="H268" s="92" t="s">
        <v>1672</v>
      </c>
      <c r="I268" s="414">
        <v>250</v>
      </c>
      <c r="J268" s="1132">
        <v>26.7</v>
      </c>
      <c r="K268" s="405">
        <f t="shared" si="12"/>
        <v>6675</v>
      </c>
      <c r="L268" s="414">
        <v>22300</v>
      </c>
      <c r="M268" s="1133">
        <f t="shared" si="13"/>
        <v>148852500</v>
      </c>
      <c r="N268" s="1134" t="s">
        <v>576</v>
      </c>
      <c r="O268" s="1134" t="s">
        <v>292</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customHeight="1">
      <c r="A269" s="323" t="str">
        <f>IF(B269&lt;&gt;"",IF(AND(B269='IN-TC'!$S$4,OR(TH!N269="1111",TH!O269="1111")),TH!D269,""),"")</f>
        <v/>
      </c>
      <c r="B269" s="63">
        <f t="shared" si="8"/>
        <v>6</v>
      </c>
      <c r="C269" s="1087">
        <v>42536</v>
      </c>
      <c r="D269" s="1087" t="s">
        <v>1891</v>
      </c>
      <c r="E269" s="1087">
        <f t="shared" si="11"/>
        <v>42536</v>
      </c>
      <c r="F269" s="1155" t="s">
        <v>1668</v>
      </c>
      <c r="G269" s="1131" t="s">
        <v>1671</v>
      </c>
      <c r="H269" s="92" t="s">
        <v>1672</v>
      </c>
      <c r="I269" s="414">
        <v>660</v>
      </c>
      <c r="J269" s="1132">
        <v>25.3</v>
      </c>
      <c r="K269" s="405">
        <f t="shared" si="12"/>
        <v>16698</v>
      </c>
      <c r="L269" s="414">
        <v>22300</v>
      </c>
      <c r="M269" s="1133">
        <f t="shared" si="13"/>
        <v>372365400</v>
      </c>
      <c r="N269" s="1134" t="s">
        <v>576</v>
      </c>
      <c r="O269" s="1134" t="s">
        <v>292</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customHeight="1">
      <c r="A270" s="323" t="str">
        <f>IF(B270&lt;&gt;"",IF(AND(B270='IN-TC'!$S$4,OR(TH!N270="1111",TH!O270="1111")),TH!D270,""),"")</f>
        <v/>
      </c>
      <c r="B270" s="63">
        <f t="shared" si="8"/>
        <v>6</v>
      </c>
      <c r="C270" s="1087">
        <v>42536</v>
      </c>
      <c r="D270" s="1087" t="s">
        <v>1891</v>
      </c>
      <c r="E270" s="1087">
        <f t="shared" si="11"/>
        <v>42536</v>
      </c>
      <c r="F270" s="1155" t="s">
        <v>1669</v>
      </c>
      <c r="G270" s="1131" t="s">
        <v>1671</v>
      </c>
      <c r="H270" s="92" t="s">
        <v>1672</v>
      </c>
      <c r="I270" s="414">
        <v>320</v>
      </c>
      <c r="J270" s="1132">
        <v>21.8</v>
      </c>
      <c r="K270" s="405">
        <f t="shared" si="12"/>
        <v>6976</v>
      </c>
      <c r="L270" s="414">
        <v>22300</v>
      </c>
      <c r="M270" s="1133">
        <f t="shared" si="13"/>
        <v>155564800</v>
      </c>
      <c r="N270" s="1134" t="s">
        <v>576</v>
      </c>
      <c r="O270" s="1134" t="s">
        <v>292</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customHeight="1">
      <c r="A271" s="323" t="str">
        <f>IF(B271&lt;&gt;"",IF(AND(B271='IN-TC'!$S$4,OR(TH!N271="1111",TH!O271="1111")),TH!D271,""),"")</f>
        <v/>
      </c>
      <c r="B271" s="63">
        <f t="shared" si="8"/>
        <v>6</v>
      </c>
      <c r="C271" s="1087">
        <v>42536</v>
      </c>
      <c r="D271" s="1087" t="s">
        <v>1891</v>
      </c>
      <c r="E271" s="1087">
        <f t="shared" si="11"/>
        <v>42536</v>
      </c>
      <c r="F271" s="1155" t="s">
        <v>1670</v>
      </c>
      <c r="G271" s="1131" t="s">
        <v>1671</v>
      </c>
      <c r="H271" s="92" t="s">
        <v>1672</v>
      </c>
      <c r="I271" s="414">
        <v>2000</v>
      </c>
      <c r="J271" s="1132">
        <v>25.9</v>
      </c>
      <c r="K271" s="405">
        <f t="shared" si="12"/>
        <v>51800</v>
      </c>
      <c r="L271" s="414">
        <v>22300</v>
      </c>
      <c r="M271" s="1133">
        <f t="shared" si="13"/>
        <v>1155140000</v>
      </c>
      <c r="N271" s="1134" t="s">
        <v>576</v>
      </c>
      <c r="O271" s="1134" t="s">
        <v>292</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customHeight="1">
      <c r="A272" s="323" t="str">
        <f>IF(B272&lt;&gt;"",IF(AND(B272='IN-TC'!$S$4,OR(TH!N2471="1111",TH!O2471="1111")),TH!D2471,""),"")</f>
        <v/>
      </c>
      <c r="B272" s="63">
        <f t="shared" si="8"/>
        <v>1</v>
      </c>
      <c r="C272" s="64">
        <f>E272</f>
        <v>42396</v>
      </c>
      <c r="D272" s="64" t="s">
        <v>570</v>
      </c>
      <c r="E272" s="64">
        <v>42396</v>
      </c>
      <c r="F272" s="482" t="s">
        <v>599</v>
      </c>
      <c r="G272" s="67" t="s">
        <v>902</v>
      </c>
      <c r="H272" s="72" t="s">
        <v>586</v>
      </c>
      <c r="I272" s="408"/>
      <c r="J272" s="408"/>
      <c r="K272" s="399">
        <v>11</v>
      </c>
      <c r="L272" s="408">
        <v>22310</v>
      </c>
      <c r="M272" s="65">
        <f t="shared" si="13"/>
        <v>245410</v>
      </c>
      <c r="N272" s="66" t="s">
        <v>99</v>
      </c>
      <c r="O272" s="66" t="s">
        <v>576</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customHeight="1">
      <c r="A273" s="323" t="str">
        <f>IF(B273&lt;&gt;"",IF(AND(B273='IN-TC'!$S$4,OR(TH!N3385="1111",TH!O3385="1111")),TH!D3385,""),"")</f>
        <v/>
      </c>
      <c r="B273" s="63">
        <f t="shared" si="8"/>
        <v>7</v>
      </c>
      <c r="C273" s="64">
        <v>42555</v>
      </c>
      <c r="D273" s="64" t="s">
        <v>687</v>
      </c>
      <c r="E273" s="64">
        <f>C273</f>
        <v>42555</v>
      </c>
      <c r="F273" s="72" t="s">
        <v>1436</v>
      </c>
      <c r="G273" s="67" t="s">
        <v>902</v>
      </c>
      <c r="H273" s="72" t="s">
        <v>1751</v>
      </c>
      <c r="I273" s="408"/>
      <c r="J273" s="408"/>
      <c r="K273" s="399"/>
      <c r="L273" s="408"/>
      <c r="M273" s="65">
        <v>300000000</v>
      </c>
      <c r="N273" s="66" t="s">
        <v>25</v>
      </c>
      <c r="O273" s="66" t="s">
        <v>576</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customHeight="1">
      <c r="A274" s="323" t="str">
        <f>IF(B274&lt;&gt;"",IF(AND(B274='IN-TC'!$S$4,OR(TH!N273="1111",TH!O273="1111")),TH!D273,""),"")</f>
        <v/>
      </c>
      <c r="B274" s="63">
        <f t="shared" si="8"/>
        <v>7</v>
      </c>
      <c r="C274" s="1087">
        <v>42563</v>
      </c>
      <c r="D274" s="1087" t="s">
        <v>585</v>
      </c>
      <c r="E274" s="1087">
        <f>C274</f>
        <v>42563</v>
      </c>
      <c r="F274" s="1155" t="s">
        <v>1771</v>
      </c>
      <c r="G274" s="1131" t="s">
        <v>1773</v>
      </c>
      <c r="H274" s="92" t="s">
        <v>1751</v>
      </c>
      <c r="I274" s="414">
        <v>2270</v>
      </c>
      <c r="J274" s="414">
        <v>252103</v>
      </c>
      <c r="K274" s="405"/>
      <c r="L274" s="414"/>
      <c r="M274" s="1133">
        <f>ROUND(I274*J274,0)</f>
        <v>572273810</v>
      </c>
      <c r="N274" s="1134" t="s">
        <v>576</v>
      </c>
      <c r="O274" s="1134" t="s">
        <v>290</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customHeight="1">
      <c r="A275" s="323" t="str">
        <f>IF(B275&lt;&gt;"",IF(AND(B275='IN-TC'!$S$4,OR(TH!N261="1111",TH!O261="1111")),TH!D261,""),"")</f>
        <v/>
      </c>
      <c r="B275" s="63">
        <f t="shared" si="8"/>
        <v>6</v>
      </c>
      <c r="C275" s="1087">
        <v>42535</v>
      </c>
      <c r="D275" s="1087" t="s">
        <v>1657</v>
      </c>
      <c r="E275" s="1087">
        <f>C275</f>
        <v>42535</v>
      </c>
      <c r="F275" s="1155" t="s">
        <v>1659</v>
      </c>
      <c r="G275" s="1131" t="s">
        <v>1660</v>
      </c>
      <c r="H275" s="92" t="s">
        <v>1525</v>
      </c>
      <c r="I275" s="414">
        <v>5390</v>
      </c>
      <c r="J275" s="1132">
        <v>0.75</v>
      </c>
      <c r="K275" s="405">
        <f>I275*J275</f>
        <v>4042.5</v>
      </c>
      <c r="L275" s="414">
        <v>22300</v>
      </c>
      <c r="M275" s="1133">
        <f>ROUND(K275*L275,0)</f>
        <v>90147750</v>
      </c>
      <c r="N275" s="1134" t="s">
        <v>576</v>
      </c>
      <c r="O275" s="1134" t="s">
        <v>292</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customHeight="1">
      <c r="A276" s="323" t="str">
        <f>IF(B276&lt;&gt;"",IF(AND(B276='IN-TC'!$S$4,OR(TH!N2557="1111",TH!O2557="1111")),TH!D2557,""),"")</f>
        <v/>
      </c>
      <c r="B276" s="63">
        <f t="shared" si="8"/>
        <v>2</v>
      </c>
      <c r="C276" s="64">
        <f>E276</f>
        <v>42405</v>
      </c>
      <c r="D276" s="64" t="s">
        <v>570</v>
      </c>
      <c r="E276" s="64">
        <v>42405</v>
      </c>
      <c r="F276" s="482" t="s">
        <v>1047</v>
      </c>
      <c r="G276" s="67" t="s">
        <v>902</v>
      </c>
      <c r="H276" s="72" t="s">
        <v>589</v>
      </c>
      <c r="I276" s="408"/>
      <c r="J276" s="408"/>
      <c r="K276" s="399">
        <v>63.61</v>
      </c>
      <c r="L276" s="408">
        <v>22270</v>
      </c>
      <c r="M276" s="65">
        <f>ROUND(K276*L276,0)</f>
        <v>1416595</v>
      </c>
      <c r="N276" s="66" t="s">
        <v>97</v>
      </c>
      <c r="O276" s="66" t="s">
        <v>576</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customHeight="1">
      <c r="A277" s="323" t="str">
        <f>IF(B277&lt;&gt;"",IF(AND(B277='IN-TC'!$S$4,OR(TH!N2558="1111",TH!O2558="1111")),TH!D2558,""),"")</f>
        <v/>
      </c>
      <c r="B277" s="63">
        <f t="shared" si="8"/>
        <v>2</v>
      </c>
      <c r="C277" s="64">
        <f>E277</f>
        <v>42405</v>
      </c>
      <c r="D277" s="64" t="s">
        <v>570</v>
      </c>
      <c r="E277" s="64">
        <v>42405</v>
      </c>
      <c r="F277" s="482" t="s">
        <v>1048</v>
      </c>
      <c r="G277" s="67" t="s">
        <v>902</v>
      </c>
      <c r="H277" s="72" t="s">
        <v>589</v>
      </c>
      <c r="I277" s="408"/>
      <c r="J277" s="408"/>
      <c r="K277" s="399">
        <v>35</v>
      </c>
      <c r="L277" s="408">
        <v>22270</v>
      </c>
      <c r="M277" s="65">
        <f>ROUND(K277*L277,0)</f>
        <v>779450</v>
      </c>
      <c r="N277" s="66" t="s">
        <v>99</v>
      </c>
      <c r="O277" s="66" t="s">
        <v>576</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customHeight="1">
      <c r="A278" s="323" t="str">
        <f>IF(B278&lt;&gt;"",IF(AND(B278='IN-TC'!$S$4,OR(TH!N2559="1111",TH!O2559="1111")),TH!D2559,""),"")</f>
        <v/>
      </c>
      <c r="B278" s="63">
        <f t="shared" si="8"/>
        <v>2</v>
      </c>
      <c r="C278" s="64">
        <f>E278</f>
        <v>42405</v>
      </c>
      <c r="D278" s="64" t="s">
        <v>570</v>
      </c>
      <c r="E278" s="64">
        <v>42405</v>
      </c>
      <c r="F278" s="482" t="s">
        <v>1049</v>
      </c>
      <c r="G278" s="67"/>
      <c r="H278" s="72" t="s">
        <v>589</v>
      </c>
      <c r="I278" s="408"/>
      <c r="J278" s="408"/>
      <c r="K278" s="399"/>
      <c r="L278" s="408"/>
      <c r="M278" s="65">
        <v>5407186</v>
      </c>
      <c r="N278" s="66" t="s">
        <v>97</v>
      </c>
      <c r="O278" s="66" t="s">
        <v>576</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customHeight="1">
      <c r="A279" s="323" t="str">
        <f>IF(B279&lt;&gt;"",IF(AND(B279='IN-TC'!$S$4,OR(TH!N252="1111",TH!O252="1111")),TH!D252,""),"")</f>
        <v/>
      </c>
      <c r="B279" s="63">
        <f t="shared" si="8"/>
        <v>5</v>
      </c>
      <c r="C279" s="1087">
        <f>E279</f>
        <v>42496</v>
      </c>
      <c r="D279" s="1087" t="s">
        <v>584</v>
      </c>
      <c r="E279" s="1087">
        <v>42496</v>
      </c>
      <c r="F279" s="1155" t="s">
        <v>441</v>
      </c>
      <c r="G279" s="1131" t="s">
        <v>1500</v>
      </c>
      <c r="H279" s="92" t="s">
        <v>589</v>
      </c>
      <c r="I279" s="414">
        <v>4140</v>
      </c>
      <c r="J279" s="1132">
        <v>11.5</v>
      </c>
      <c r="K279" s="405">
        <f>I279*J279</f>
        <v>47610</v>
      </c>
      <c r="L279" s="414">
        <v>22255</v>
      </c>
      <c r="M279" s="1133">
        <f>ROUND(K279*L279,0)</f>
        <v>1059560550</v>
      </c>
      <c r="N279" s="1134" t="s">
        <v>576</v>
      </c>
      <c r="O279" s="1134" t="s">
        <v>292</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customHeight="1">
      <c r="A280" s="323" t="str">
        <f>IF(B280&lt;&gt;"",IF(AND(B280='IN-TC'!$S$4,OR(TH!N280="1111",TH!O280="1111")),TH!D280,""),"")</f>
        <v/>
      </c>
      <c r="B280" s="63">
        <f t="shared" si="8"/>
        <v>8</v>
      </c>
      <c r="C280" s="1087">
        <v>42587</v>
      </c>
      <c r="D280" s="1087" t="s">
        <v>585</v>
      </c>
      <c r="E280" s="1087">
        <f>C280</f>
        <v>42587</v>
      </c>
      <c r="F280" s="1155" t="s">
        <v>2370</v>
      </c>
      <c r="G280" s="1131" t="s">
        <v>1886</v>
      </c>
      <c r="H280" s="92" t="s">
        <v>1887</v>
      </c>
      <c r="I280" s="414">
        <v>52000</v>
      </c>
      <c r="J280" s="1132">
        <v>2.85</v>
      </c>
      <c r="K280" s="405">
        <f>I280*J280</f>
        <v>148200</v>
      </c>
      <c r="L280" s="414">
        <v>22260</v>
      </c>
      <c r="M280" s="1133">
        <f>ROUND(K280*L280,0)</f>
        <v>3298932000</v>
      </c>
      <c r="N280" s="1134" t="s">
        <v>576</v>
      </c>
      <c r="O280" s="1134" t="s">
        <v>292</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customHeight="1">
      <c r="A281" s="323" t="str">
        <f>IF(B281&lt;&gt;"",IF(AND(B281='IN-TC'!$S$4,OR(TH!N281="1111",TH!O281="1111")),TH!D281,""),"")</f>
        <v/>
      </c>
      <c r="B281" s="63">
        <f t="shared" si="8"/>
        <v>8</v>
      </c>
      <c r="C281" s="1087">
        <v>42594</v>
      </c>
      <c r="D281" s="1087" t="s">
        <v>1656</v>
      </c>
      <c r="E281" s="1087">
        <f>C281</f>
        <v>42594</v>
      </c>
      <c r="F281" s="1155" t="s">
        <v>2370</v>
      </c>
      <c r="G281" s="1131" t="s">
        <v>1888</v>
      </c>
      <c r="H281" s="92" t="s">
        <v>1887</v>
      </c>
      <c r="I281" s="414">
        <v>52000</v>
      </c>
      <c r="J281" s="1132">
        <v>2.85</v>
      </c>
      <c r="K281" s="405">
        <f>I281*J281</f>
        <v>148200</v>
      </c>
      <c r="L281" s="414">
        <v>22260</v>
      </c>
      <c r="M281" s="1133">
        <f>ROUND(K281*L281,0)</f>
        <v>3298932000</v>
      </c>
      <c r="N281" s="1134" t="s">
        <v>576</v>
      </c>
      <c r="O281" s="1134" t="s">
        <v>292</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customHeight="1">
      <c r="A282" s="323" t="str">
        <f>IF(B282&lt;&gt;"",IF(AND(B282='IN-TC'!$S$4,OR(TH!N3114="1111",TH!O3114="1111")),TH!D3114,""),"")</f>
        <v/>
      </c>
      <c r="B282" s="63">
        <f t="shared" ref="B282:B345" si="14">IF(C282&lt;&gt;"",MONTH(C282),"")</f>
        <v>6</v>
      </c>
      <c r="C282" s="64">
        <v>42528</v>
      </c>
      <c r="D282" s="64" t="s">
        <v>690</v>
      </c>
      <c r="E282" s="64">
        <f>C282</f>
        <v>42528</v>
      </c>
      <c r="F282" s="72" t="s">
        <v>599</v>
      </c>
      <c r="G282" s="67" t="s">
        <v>902</v>
      </c>
      <c r="H282" s="329" t="s">
        <v>1538</v>
      </c>
      <c r="I282" s="408"/>
      <c r="J282" s="408"/>
      <c r="K282" s="399">
        <v>10</v>
      </c>
      <c r="L282" s="408">
        <v>22380</v>
      </c>
      <c r="M282" s="65">
        <f>ROUND(K282*L282,0)</f>
        <v>223800</v>
      </c>
      <c r="N282" s="66" t="s">
        <v>99</v>
      </c>
      <c r="O282" s="66" t="s">
        <v>260</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customHeight="1">
      <c r="A283" s="323" t="str">
        <f>IF(B283&lt;&gt;"",IF(AND(B283='IN-TC'!$S$4,OR(TH!N275="1111",TH!O275="1111")),TH!D275,""),"")</f>
        <v/>
      </c>
      <c r="B283" s="63">
        <f t="shared" si="14"/>
        <v>7</v>
      </c>
      <c r="C283" s="1087">
        <v>42577</v>
      </c>
      <c r="D283" s="1087" t="s">
        <v>1656</v>
      </c>
      <c r="E283" s="1087">
        <f>C283</f>
        <v>42577</v>
      </c>
      <c r="F283" s="1155" t="s">
        <v>1658</v>
      </c>
      <c r="G283" s="1131" t="s">
        <v>1774</v>
      </c>
      <c r="H283" s="92" t="s">
        <v>1525</v>
      </c>
      <c r="I283" s="414">
        <v>900</v>
      </c>
      <c r="J283" s="1132">
        <v>1</v>
      </c>
      <c r="K283" s="405">
        <f>I283*J283</f>
        <v>900</v>
      </c>
      <c r="L283" s="414">
        <v>22265</v>
      </c>
      <c r="M283" s="1133">
        <f>ROUND(K283*L283,0)</f>
        <v>20038500</v>
      </c>
      <c r="N283" s="1134" t="s">
        <v>576</v>
      </c>
      <c r="O283" s="1134" t="s">
        <v>292</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customHeight="1">
      <c r="A284" s="323" t="str">
        <f>IF(B284&lt;&gt;"",IF(AND(B284='IN-TC'!$S$4,OR(TH!N1361="1111",TH!O1361="1111")),TH!D1361,""),"")</f>
        <v/>
      </c>
      <c r="B284" s="63">
        <f t="shared" si="14"/>
        <v>8</v>
      </c>
      <c r="C284" s="90">
        <f>E284</f>
        <v>42592</v>
      </c>
      <c r="D284" s="90" t="s">
        <v>928</v>
      </c>
      <c r="E284" s="90">
        <v>42592</v>
      </c>
      <c r="F284" s="91" t="s">
        <v>1938</v>
      </c>
      <c r="G284" s="92" t="s">
        <v>2914</v>
      </c>
      <c r="H284" s="92" t="s">
        <v>1525</v>
      </c>
      <c r="I284" s="1109">
        <v>2310</v>
      </c>
      <c r="J284" s="1108">
        <v>11165</v>
      </c>
      <c r="K284" s="1110">
        <f>M284/L284</f>
        <v>1155</v>
      </c>
      <c r="L284" s="1109">
        <v>22330</v>
      </c>
      <c r="M284" s="93">
        <f>ROUND(I284*J284,0)</f>
        <v>25791150</v>
      </c>
      <c r="N284" s="83" t="s">
        <v>576</v>
      </c>
      <c r="O284" s="83" t="s">
        <v>268</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customHeight="1">
      <c r="A285" s="323" t="str">
        <f>IF(B285&lt;&gt;"",IF(AND(B285='IN-TC'!$S$4,OR(TH!N285="1111",TH!O285="1111")),TH!D285,""),"")</f>
        <v/>
      </c>
      <c r="B285" s="63">
        <f t="shared" si="14"/>
        <v>8</v>
      </c>
      <c r="C285" s="1087">
        <v>42608</v>
      </c>
      <c r="D285" s="1087" t="s">
        <v>1895</v>
      </c>
      <c r="E285" s="1087">
        <f>C285</f>
        <v>42608</v>
      </c>
      <c r="F285" s="1155" t="s">
        <v>1896</v>
      </c>
      <c r="G285" s="1131" t="s">
        <v>1897</v>
      </c>
      <c r="H285" s="92" t="s">
        <v>1862</v>
      </c>
      <c r="I285" s="414">
        <v>500</v>
      </c>
      <c r="J285" s="1132">
        <v>12</v>
      </c>
      <c r="K285" s="405">
        <f>I285*J285</f>
        <v>6000</v>
      </c>
      <c r="L285" s="414">
        <v>22260</v>
      </c>
      <c r="M285" s="1133">
        <f t="shared" ref="M285:M294" si="15">ROUND(K285*L285,0)</f>
        <v>133560000</v>
      </c>
      <c r="N285" s="1134" t="s">
        <v>576</v>
      </c>
      <c r="O285" s="1134" t="s">
        <v>292</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customHeight="1">
      <c r="A286" s="323" t="str">
        <f>IF(B286&lt;&gt;"",IF(AND(B286='IN-TC'!$S$4,OR(TH!N3595="1111",TH!O3595="1111")),TH!D3595,""),"")</f>
        <v/>
      </c>
      <c r="B286" s="63">
        <f t="shared" si="14"/>
        <v>8</v>
      </c>
      <c r="C286" s="64">
        <v>42600</v>
      </c>
      <c r="D286" s="64" t="s">
        <v>687</v>
      </c>
      <c r="E286" s="64">
        <f>C286</f>
        <v>42600</v>
      </c>
      <c r="F286" s="72" t="s">
        <v>1436</v>
      </c>
      <c r="G286" s="67" t="s">
        <v>1544</v>
      </c>
      <c r="H286" s="72" t="s">
        <v>1875</v>
      </c>
      <c r="I286" s="408"/>
      <c r="J286" s="408"/>
      <c r="K286" s="399">
        <v>83392.5</v>
      </c>
      <c r="L286" s="408">
        <v>22270</v>
      </c>
      <c r="M286" s="65">
        <f t="shared" si="15"/>
        <v>1857150975</v>
      </c>
      <c r="N286" s="66" t="s">
        <v>260</v>
      </c>
      <c r="O286" s="66" t="s">
        <v>576</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customHeight="1">
      <c r="A287" s="323" t="str">
        <f>IF(B287&lt;&gt;"",IF(AND(B287='IN-TC'!$S$4,OR(TH!N3736="1111",TH!O3736="1111")),TH!D3736,""),"")</f>
        <v/>
      </c>
      <c r="B287" s="63">
        <f t="shared" si="14"/>
        <v>9</v>
      </c>
      <c r="C287" s="64">
        <v>42621</v>
      </c>
      <c r="D287" s="64" t="s">
        <v>687</v>
      </c>
      <c r="E287" s="64">
        <f>C287</f>
        <v>42621</v>
      </c>
      <c r="F287" s="72" t="s">
        <v>1436</v>
      </c>
      <c r="G287" s="67" t="s">
        <v>1544</v>
      </c>
      <c r="H287" s="72" t="s">
        <v>1875</v>
      </c>
      <c r="I287" s="408"/>
      <c r="J287" s="408"/>
      <c r="K287" s="399">
        <v>80718</v>
      </c>
      <c r="L287" s="408">
        <v>22270</v>
      </c>
      <c r="M287" s="65">
        <f t="shared" si="15"/>
        <v>1797589860</v>
      </c>
      <c r="N287" s="66" t="s">
        <v>260</v>
      </c>
      <c r="O287" s="66" t="s">
        <v>576</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customHeight="1">
      <c r="A288" s="323" t="str">
        <f>IF(B288&lt;&gt;"",IF(AND(B288='IN-TC'!$S$4,OR(TH!N253="1111",TH!O253="1111")),TH!D253,""),"")</f>
        <v/>
      </c>
      <c r="B288" s="63">
        <f t="shared" si="14"/>
        <v>5</v>
      </c>
      <c r="C288" s="1087">
        <f>E288</f>
        <v>42496</v>
      </c>
      <c r="D288" s="1087" t="s">
        <v>584</v>
      </c>
      <c r="E288" s="1087">
        <v>42496</v>
      </c>
      <c r="F288" s="1155" t="s">
        <v>1501</v>
      </c>
      <c r="G288" s="1131" t="s">
        <v>1500</v>
      </c>
      <c r="H288" s="92" t="s">
        <v>589</v>
      </c>
      <c r="I288" s="414">
        <v>880</v>
      </c>
      <c r="J288" s="1132">
        <v>8.4</v>
      </c>
      <c r="K288" s="405">
        <f>I288*J288</f>
        <v>7392</v>
      </c>
      <c r="L288" s="414">
        <v>22255</v>
      </c>
      <c r="M288" s="1133">
        <f t="shared" si="15"/>
        <v>164508960</v>
      </c>
      <c r="N288" s="1134" t="s">
        <v>576</v>
      </c>
      <c r="O288" s="1134" t="s">
        <v>292</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0" ht="15.75" customHeight="1">
      <c r="A289" s="323" t="str">
        <f>IF(B289&lt;&gt;"",IF(AND(B289='IN-TC'!$S$4,OR(TH!N254="1111",TH!O254="1111")),TH!D254,""),"")</f>
        <v/>
      </c>
      <c r="B289" s="63">
        <f t="shared" si="14"/>
        <v>5</v>
      </c>
      <c r="C289" s="1087">
        <f>E289</f>
        <v>42496</v>
      </c>
      <c r="D289" s="1087" t="s">
        <v>584</v>
      </c>
      <c r="E289" s="1087">
        <v>42496</v>
      </c>
      <c r="F289" s="1155" t="s">
        <v>1502</v>
      </c>
      <c r="G289" s="1131" t="s">
        <v>1500</v>
      </c>
      <c r="H289" s="92" t="s">
        <v>589</v>
      </c>
      <c r="I289" s="414">
        <v>600</v>
      </c>
      <c r="J289" s="1132">
        <v>12</v>
      </c>
      <c r="K289" s="405">
        <f>I289*J289</f>
        <v>7200</v>
      </c>
      <c r="L289" s="414">
        <v>22255</v>
      </c>
      <c r="M289" s="1133">
        <f t="shared" si="15"/>
        <v>160236000</v>
      </c>
      <c r="N289" s="1134" t="s">
        <v>576</v>
      </c>
      <c r="O289" s="1134" t="s">
        <v>292</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0" ht="15.75" customHeight="1">
      <c r="A290" s="323" t="str">
        <f>IF(B290&lt;&gt;"",IF(AND(B290='IN-TC'!$S$4,OR(TH!N255="1111",TH!O255="1111")),TH!D255,""),"")</f>
        <v/>
      </c>
      <c r="B290" s="63">
        <f t="shared" si="14"/>
        <v>5</v>
      </c>
      <c r="C290" s="1087">
        <f>E290</f>
        <v>42496</v>
      </c>
      <c r="D290" s="1087" t="s">
        <v>584</v>
      </c>
      <c r="E290" s="1087">
        <v>42496</v>
      </c>
      <c r="F290" s="1155" t="s">
        <v>1503</v>
      </c>
      <c r="G290" s="1131" t="s">
        <v>1500</v>
      </c>
      <c r="H290" s="92" t="s">
        <v>589</v>
      </c>
      <c r="I290" s="414">
        <v>1000</v>
      </c>
      <c r="J290" s="1132">
        <v>8.6</v>
      </c>
      <c r="K290" s="405">
        <f>I290*J290</f>
        <v>8600</v>
      </c>
      <c r="L290" s="414">
        <v>22255</v>
      </c>
      <c r="M290" s="1133">
        <f t="shared" si="15"/>
        <v>191393000</v>
      </c>
      <c r="N290" s="1134" t="s">
        <v>576</v>
      </c>
      <c r="O290" s="1134" t="s">
        <v>292</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row>
    <row r="291" spans="1:30" ht="15.75" customHeight="1">
      <c r="A291" s="323" t="str">
        <f>IF(B291&lt;&gt;"",IF(AND(B291='IN-TC'!$S$4,OR(TH!N3006="1111",TH!O3006="1111")),TH!D3006,""),"")</f>
        <v/>
      </c>
      <c r="B291" s="63">
        <f t="shared" si="14"/>
        <v>5</v>
      </c>
      <c r="C291" s="64">
        <f>E291</f>
        <v>42508</v>
      </c>
      <c r="D291" s="64" t="s">
        <v>687</v>
      </c>
      <c r="E291" s="64">
        <v>42508</v>
      </c>
      <c r="F291" s="72" t="s">
        <v>1436</v>
      </c>
      <c r="G291" s="931" t="s">
        <v>902</v>
      </c>
      <c r="H291" s="329" t="s">
        <v>589</v>
      </c>
      <c r="I291" s="408"/>
      <c r="J291" s="408"/>
      <c r="K291" s="399">
        <v>70606.179999999993</v>
      </c>
      <c r="L291" s="408">
        <v>22270</v>
      </c>
      <c r="M291" s="65">
        <f t="shared" si="15"/>
        <v>1572399629</v>
      </c>
      <c r="N291" s="66" t="s">
        <v>260</v>
      </c>
      <c r="O291" s="66" t="s">
        <v>576</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0" ht="15.75" customHeight="1">
      <c r="A292" s="323" t="str">
        <f>IF(B292&lt;&gt;"",IF(AND(B292='IN-TC'!$S$4,OR(TH!N286="1111",TH!O286="1111")),TH!D286,""),"")</f>
        <v/>
      </c>
      <c r="B292" s="63">
        <f t="shared" si="14"/>
        <v>9</v>
      </c>
      <c r="C292" s="1087">
        <v>42635</v>
      </c>
      <c r="D292" s="1087" t="s">
        <v>584</v>
      </c>
      <c r="E292" s="1087">
        <f>C292</f>
        <v>42635</v>
      </c>
      <c r="F292" s="1155" t="s">
        <v>435</v>
      </c>
      <c r="G292" s="1131" t="s">
        <v>2012</v>
      </c>
      <c r="H292" s="92" t="s">
        <v>1875</v>
      </c>
      <c r="I292" s="414">
        <v>23500</v>
      </c>
      <c r="J292" s="1132">
        <v>7.25</v>
      </c>
      <c r="K292" s="405">
        <f>I292*J292</f>
        <v>170375</v>
      </c>
      <c r="L292" s="414">
        <v>22270</v>
      </c>
      <c r="M292" s="1133">
        <f t="shared" si="15"/>
        <v>3794251250</v>
      </c>
      <c r="N292" s="1134" t="s">
        <v>576</v>
      </c>
      <c r="O292" s="1134" t="s">
        <v>292</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0" ht="15.75" customHeight="1">
      <c r="A293" s="323" t="str">
        <f>IF(B293&lt;&gt;"",IF(AND(B293='IN-TC'!$S$4,OR(TH!N287="1111",TH!O287="1111")),TH!D287,""),"")</f>
        <v/>
      </c>
      <c r="B293" s="63">
        <f t="shared" si="14"/>
        <v>9</v>
      </c>
      <c r="C293" s="1087">
        <v>42636</v>
      </c>
      <c r="D293" s="1087" t="s">
        <v>585</v>
      </c>
      <c r="E293" s="1087">
        <f>C293</f>
        <v>42636</v>
      </c>
      <c r="F293" s="1155" t="s">
        <v>431</v>
      </c>
      <c r="G293" s="1131" t="s">
        <v>2011</v>
      </c>
      <c r="H293" s="92" t="s">
        <v>1875</v>
      </c>
      <c r="I293" s="414">
        <v>23400</v>
      </c>
      <c r="J293" s="1132">
        <v>4.5999999999999996</v>
      </c>
      <c r="K293" s="405">
        <f>I293*J293</f>
        <v>107639.99999999999</v>
      </c>
      <c r="L293" s="414">
        <v>22270</v>
      </c>
      <c r="M293" s="1133">
        <f t="shared" si="15"/>
        <v>2397142800</v>
      </c>
      <c r="N293" s="1134" t="s">
        <v>576</v>
      </c>
      <c r="O293" s="1134" t="s">
        <v>292</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0" ht="15.75" customHeight="1">
      <c r="A294" s="323" t="str">
        <f>IF(B294&lt;&gt;"",IF(AND(B294='IN-TC'!$S$4,OR(TH!N3734="1111",TH!O3734="1111")),TH!D3734,""),"")</f>
        <v/>
      </c>
      <c r="B294" s="63">
        <f t="shared" si="14"/>
        <v>9</v>
      </c>
      <c r="C294" s="78">
        <v>42626</v>
      </c>
      <c r="D294" s="78" t="s">
        <v>687</v>
      </c>
      <c r="E294" s="78">
        <f>C294</f>
        <v>42626</v>
      </c>
      <c r="F294" s="72" t="s">
        <v>1436</v>
      </c>
      <c r="G294" s="79" t="s">
        <v>1544</v>
      </c>
      <c r="H294" s="80" t="s">
        <v>1887</v>
      </c>
      <c r="I294" s="406"/>
      <c r="J294" s="406"/>
      <c r="K294" s="397">
        <v>148188</v>
      </c>
      <c r="L294" s="406">
        <v>22260</v>
      </c>
      <c r="M294" s="81">
        <f t="shared" si="15"/>
        <v>3298664880</v>
      </c>
      <c r="N294" s="82" t="s">
        <v>260</v>
      </c>
      <c r="O294" s="82" t="s">
        <v>576</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0" ht="15.75" customHeight="1">
      <c r="A295" s="323" t="str">
        <f>IF(B295&lt;&gt;"",IF(AND(B295='IN-TC'!$S$4,OR(TH!N2950="1111",TH!O2950="1111")),TH!D2950,""),"")</f>
        <v/>
      </c>
      <c r="B295" s="63">
        <f t="shared" si="14"/>
        <v>4</v>
      </c>
      <c r="C295" s="64">
        <f>E295</f>
        <v>42489</v>
      </c>
      <c r="D295" s="64" t="s">
        <v>690</v>
      </c>
      <c r="E295" s="64">
        <v>42489</v>
      </c>
      <c r="F295" s="72" t="s">
        <v>1436</v>
      </c>
      <c r="G295" s="931" t="s">
        <v>902</v>
      </c>
      <c r="H295" s="1103" t="s">
        <v>1350</v>
      </c>
      <c r="I295" s="408"/>
      <c r="J295" s="408"/>
      <c r="K295" s="399">
        <f>M295/L295</f>
        <v>76081.644384546278</v>
      </c>
      <c r="L295" s="408">
        <v>22260</v>
      </c>
      <c r="M295" s="65">
        <v>1693577404</v>
      </c>
      <c r="N295" s="66" t="s">
        <v>25</v>
      </c>
      <c r="O295" s="66" t="s">
        <v>576</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0" ht="15.75" customHeight="1">
      <c r="A296" s="323" t="str">
        <f>IF(B296&lt;&gt;"",IF(AND(B296='IN-TC'!$S$4,OR(TH!N3737="1111",TH!O3737="1111")),TH!D3737,""),"")</f>
        <v/>
      </c>
      <c r="B296" s="63">
        <f t="shared" si="14"/>
        <v>9</v>
      </c>
      <c r="C296" s="78">
        <v>42626</v>
      </c>
      <c r="D296" s="78" t="s">
        <v>570</v>
      </c>
      <c r="E296" s="78">
        <f t="shared" ref="E296:E306" si="16">C296</f>
        <v>42626</v>
      </c>
      <c r="F296" s="72" t="s">
        <v>1968</v>
      </c>
      <c r="G296" s="79" t="s">
        <v>1544</v>
      </c>
      <c r="H296" s="80" t="s">
        <v>1887</v>
      </c>
      <c r="I296" s="406"/>
      <c r="J296" s="406"/>
      <c r="K296" s="397">
        <v>12</v>
      </c>
      <c r="L296" s="406">
        <v>22260</v>
      </c>
      <c r="M296" s="81">
        <f t="shared" ref="M296:M306" si="17">ROUND(K296*L296,0)</f>
        <v>267120</v>
      </c>
      <c r="N296" s="82" t="s">
        <v>99</v>
      </c>
      <c r="O296" s="82" t="s">
        <v>576</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0" ht="15.75" customHeight="1">
      <c r="A297" s="323" t="str">
        <f>IF(B297&lt;&gt;"",IF(AND(B297='IN-TC'!$S$4,OR(TH!N3738="1111",TH!O3738="1111")),TH!D3738,""),"")</f>
        <v/>
      </c>
      <c r="B297" s="63">
        <f t="shared" si="14"/>
        <v>9</v>
      </c>
      <c r="C297" s="78">
        <v>42633</v>
      </c>
      <c r="D297" s="78" t="s">
        <v>687</v>
      </c>
      <c r="E297" s="78">
        <f t="shared" si="16"/>
        <v>42633</v>
      </c>
      <c r="F297" s="72" t="s">
        <v>1436</v>
      </c>
      <c r="G297" s="79" t="s">
        <v>1544</v>
      </c>
      <c r="H297" s="80" t="s">
        <v>1887</v>
      </c>
      <c r="I297" s="406"/>
      <c r="J297" s="406"/>
      <c r="K297" s="397">
        <v>148188</v>
      </c>
      <c r="L297" s="406">
        <v>22260</v>
      </c>
      <c r="M297" s="81">
        <f t="shared" si="17"/>
        <v>3298664880</v>
      </c>
      <c r="N297" s="82" t="s">
        <v>260</v>
      </c>
      <c r="O297" s="82" t="s">
        <v>576</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0" ht="15.75" customHeight="1">
      <c r="A298" s="323" t="str">
        <f>IF(B298&lt;&gt;"",IF(AND(B298='IN-TC'!$S$4,OR(TH!N3739="1111",TH!O3739="1111")),TH!D3739,""),"")</f>
        <v/>
      </c>
      <c r="B298" s="63">
        <f t="shared" si="14"/>
        <v>9</v>
      </c>
      <c r="C298" s="78">
        <v>42633</v>
      </c>
      <c r="D298" s="78" t="s">
        <v>570</v>
      </c>
      <c r="E298" s="78">
        <f t="shared" si="16"/>
        <v>42633</v>
      </c>
      <c r="F298" s="72" t="s">
        <v>1968</v>
      </c>
      <c r="G298" s="79" t="s">
        <v>1544</v>
      </c>
      <c r="H298" s="80" t="s">
        <v>1887</v>
      </c>
      <c r="I298" s="406"/>
      <c r="J298" s="406"/>
      <c r="K298" s="397">
        <v>12</v>
      </c>
      <c r="L298" s="406">
        <v>22260</v>
      </c>
      <c r="M298" s="81">
        <f t="shared" si="17"/>
        <v>267120</v>
      </c>
      <c r="N298" s="82" t="s">
        <v>99</v>
      </c>
      <c r="O298" s="82" t="s">
        <v>576</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0" ht="15.75" customHeight="1">
      <c r="A299" s="323" t="str">
        <f>IF(B299&lt;&gt;"",IF(AND(B299='IN-TC'!$S$4,OR(TH!N294="1111",TH!O294="1111")),TH!D294,""),"")</f>
        <v/>
      </c>
      <c r="B299" s="63">
        <f t="shared" si="14"/>
        <v>10</v>
      </c>
      <c r="C299" s="1087">
        <v>42661</v>
      </c>
      <c r="D299" s="1087" t="s">
        <v>1656</v>
      </c>
      <c r="E299" s="1087">
        <f t="shared" si="16"/>
        <v>42661</v>
      </c>
      <c r="F299" s="1155" t="s">
        <v>455</v>
      </c>
      <c r="G299" s="1131" t="s">
        <v>2119</v>
      </c>
      <c r="H299" s="92" t="s">
        <v>1887</v>
      </c>
      <c r="I299" s="414">
        <v>52000</v>
      </c>
      <c r="J299" s="1132">
        <v>2.8</v>
      </c>
      <c r="K299" s="405">
        <f>I299*J299</f>
        <v>145600</v>
      </c>
      <c r="L299" s="414">
        <v>22270</v>
      </c>
      <c r="M299" s="1133">
        <f t="shared" si="17"/>
        <v>3242512000</v>
      </c>
      <c r="N299" s="1134" t="s">
        <v>576</v>
      </c>
      <c r="O299" s="1134" t="s">
        <v>292</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0" ht="15.75" customHeight="1">
      <c r="A300" s="323" t="str">
        <f>IF(B300&lt;&gt;"",IF(AND(B300='IN-TC'!$S$4,OR(TH!N3116="1111",TH!O3116="1111")),TH!D3116,""),"")</f>
        <v/>
      </c>
      <c r="B300" s="63">
        <f t="shared" si="14"/>
        <v>6</v>
      </c>
      <c r="C300" s="64">
        <v>42528</v>
      </c>
      <c r="D300" s="64" t="s">
        <v>690</v>
      </c>
      <c r="E300" s="64">
        <f t="shared" si="16"/>
        <v>42528</v>
      </c>
      <c r="F300" s="72" t="s">
        <v>600</v>
      </c>
      <c r="G300" s="67" t="s">
        <v>902</v>
      </c>
      <c r="H300" s="329" t="s">
        <v>1538</v>
      </c>
      <c r="I300" s="408"/>
      <c r="J300" s="408"/>
      <c r="K300" s="399">
        <v>27.62</v>
      </c>
      <c r="L300" s="408">
        <v>22380</v>
      </c>
      <c r="M300" s="65">
        <f t="shared" si="17"/>
        <v>618136</v>
      </c>
      <c r="N300" s="66" t="s">
        <v>99</v>
      </c>
      <c r="O300" s="66" t="s">
        <v>260</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0" ht="15.75" customHeight="1">
      <c r="A301" s="323" t="str">
        <f>IF(B301&lt;&gt;"",IF(AND(B301='IN-TC'!$S$4,OR(TH!N296="1111",TH!O296="1111")),TH!D296,""),"")</f>
        <v/>
      </c>
      <c r="B301" s="63">
        <f t="shared" si="14"/>
        <v>10</v>
      </c>
      <c r="C301" s="1087">
        <v>42674</v>
      </c>
      <c r="D301" s="1087" t="s">
        <v>1891</v>
      </c>
      <c r="E301" s="1087">
        <f t="shared" si="16"/>
        <v>42674</v>
      </c>
      <c r="F301" s="1155" t="s">
        <v>455</v>
      </c>
      <c r="G301" s="1131" t="s">
        <v>2121</v>
      </c>
      <c r="H301" s="92" t="s">
        <v>1887</v>
      </c>
      <c r="I301" s="414">
        <v>52000</v>
      </c>
      <c r="J301" s="1132">
        <v>2.8</v>
      </c>
      <c r="K301" s="405">
        <f>I301*J301</f>
        <v>145600</v>
      </c>
      <c r="L301" s="414">
        <v>22295</v>
      </c>
      <c r="M301" s="1133">
        <f t="shared" si="17"/>
        <v>3246152000</v>
      </c>
      <c r="N301" s="1134" t="s">
        <v>576</v>
      </c>
      <c r="O301" s="1134" t="s">
        <v>292</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0" ht="15.75" customHeight="1">
      <c r="A302" s="323" t="str">
        <f>IF(B302&lt;&gt;"",IF(AND(B302='IN-TC'!$S$4,OR(TH!N302="1111",TH!O302="1111")),TH!D302,""),"")</f>
        <v/>
      </c>
      <c r="B302" s="63">
        <f t="shared" si="14"/>
        <v>11</v>
      </c>
      <c r="C302" s="1087">
        <v>42685</v>
      </c>
      <c r="D302" s="1087" t="s">
        <v>1895</v>
      </c>
      <c r="E302" s="1087">
        <f t="shared" si="16"/>
        <v>42685</v>
      </c>
      <c r="F302" s="1152" t="s">
        <v>442</v>
      </c>
      <c r="G302" s="1131" t="s">
        <v>2180</v>
      </c>
      <c r="H302" s="92" t="s">
        <v>2181</v>
      </c>
      <c r="I302" s="414">
        <v>10000</v>
      </c>
      <c r="J302" s="1132">
        <v>8.5</v>
      </c>
      <c r="K302" s="405">
        <f>I302*J302</f>
        <v>85000</v>
      </c>
      <c r="L302" s="414">
        <v>22285</v>
      </c>
      <c r="M302" s="1133">
        <f t="shared" si="17"/>
        <v>1894225000</v>
      </c>
      <c r="N302" s="1134" t="s">
        <v>576</v>
      </c>
      <c r="O302" s="1134" t="s">
        <v>292</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0" ht="15.75" customHeight="1">
      <c r="A303" s="323" t="str">
        <f>IF(B303&lt;&gt;"",IF(AND(B303='IN-TC'!$S$4,OR(TH!N298="1111",TH!O298="1111")),TH!D298,""),"")</f>
        <v/>
      </c>
      <c r="B303" s="63">
        <f t="shared" si="14"/>
        <v>11</v>
      </c>
      <c r="C303" s="1087">
        <v>42678</v>
      </c>
      <c r="D303" s="1087" t="s">
        <v>585</v>
      </c>
      <c r="E303" s="1087">
        <f t="shared" si="16"/>
        <v>42678</v>
      </c>
      <c r="F303" s="1155" t="s">
        <v>455</v>
      </c>
      <c r="G303" s="1131" t="s">
        <v>2176</v>
      </c>
      <c r="H303" s="92" t="s">
        <v>1887</v>
      </c>
      <c r="I303" s="414">
        <v>52000</v>
      </c>
      <c r="J303" s="1132">
        <v>2.8</v>
      </c>
      <c r="K303" s="405">
        <f>I303*J303</f>
        <v>145600</v>
      </c>
      <c r="L303" s="414">
        <v>22295</v>
      </c>
      <c r="M303" s="1133">
        <f t="shared" si="17"/>
        <v>3246152000</v>
      </c>
      <c r="N303" s="1134" t="s">
        <v>576</v>
      </c>
      <c r="O303" s="1134" t="s">
        <v>292</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0" ht="15.75" customHeight="1">
      <c r="A304" s="323" t="str">
        <f>IF(B304&lt;&gt;"",IF(AND(B304='IN-TC'!$S$4,OR(TH!N297="1111",TH!O297="1111")),TH!D297,""),"")</f>
        <v/>
      </c>
      <c r="B304" s="63">
        <f t="shared" si="14"/>
        <v>11</v>
      </c>
      <c r="C304" s="1087">
        <v>42678</v>
      </c>
      <c r="D304" s="1087" t="s">
        <v>584</v>
      </c>
      <c r="E304" s="1087">
        <f t="shared" si="16"/>
        <v>42678</v>
      </c>
      <c r="F304" s="1155" t="s">
        <v>455</v>
      </c>
      <c r="G304" s="1131" t="s">
        <v>2175</v>
      </c>
      <c r="H304" s="92" t="s">
        <v>1887</v>
      </c>
      <c r="I304" s="414">
        <v>52000</v>
      </c>
      <c r="J304" s="1132">
        <v>2.8</v>
      </c>
      <c r="K304" s="405">
        <f>I304*J304</f>
        <v>145600</v>
      </c>
      <c r="L304" s="414">
        <v>22295</v>
      </c>
      <c r="M304" s="1133">
        <f t="shared" si="17"/>
        <v>3246152000</v>
      </c>
      <c r="N304" s="1134" t="s">
        <v>576</v>
      </c>
      <c r="O304" s="1134" t="s">
        <v>292</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customHeight="1">
      <c r="A305" s="323" t="str">
        <f>IF(B305&lt;&gt;"",IF(AND(B305='IN-TC'!$S$4,OR(TH!N299="1111",TH!O299="1111")),TH!D299,""),"")</f>
        <v/>
      </c>
      <c r="B305" s="63">
        <f t="shared" si="14"/>
        <v>11</v>
      </c>
      <c r="C305" s="1087">
        <v>42682</v>
      </c>
      <c r="D305" s="1087" t="s">
        <v>1656</v>
      </c>
      <c r="E305" s="1087">
        <f t="shared" si="16"/>
        <v>42682</v>
      </c>
      <c r="F305" s="1155" t="s">
        <v>455</v>
      </c>
      <c r="G305" s="1131" t="s">
        <v>2177</v>
      </c>
      <c r="H305" s="92" t="s">
        <v>1887</v>
      </c>
      <c r="I305" s="414">
        <v>52000</v>
      </c>
      <c r="J305" s="1132">
        <v>2.8</v>
      </c>
      <c r="K305" s="405">
        <f>I305*J305</f>
        <v>145600</v>
      </c>
      <c r="L305" s="414">
        <v>22285</v>
      </c>
      <c r="M305" s="1133">
        <f t="shared" si="17"/>
        <v>3244696000</v>
      </c>
      <c r="N305" s="1134" t="s">
        <v>576</v>
      </c>
      <c r="O305" s="1134" t="s">
        <v>292</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customHeight="1">
      <c r="A306" s="1160" t="str">
        <f>IF(B306&lt;&gt;"",IF(AND(B306='IN-TC'!$S$4,OR(TH!N4257="1111",TH!O4257="1111")),TH!D4257,""),"")</f>
        <v/>
      </c>
      <c r="B306" s="63">
        <f t="shared" si="14"/>
        <v>11</v>
      </c>
      <c r="C306" s="78">
        <v>42684</v>
      </c>
      <c r="D306" s="78" t="s">
        <v>687</v>
      </c>
      <c r="E306" s="78">
        <f t="shared" si="16"/>
        <v>42684</v>
      </c>
      <c r="F306" s="80" t="s">
        <v>1436</v>
      </c>
      <c r="G306" s="79" t="s">
        <v>1544</v>
      </c>
      <c r="H306" s="80" t="s">
        <v>1887</v>
      </c>
      <c r="I306" s="406"/>
      <c r="J306" s="406"/>
      <c r="K306" s="397">
        <v>145588</v>
      </c>
      <c r="L306" s="406">
        <v>22270</v>
      </c>
      <c r="M306" s="81">
        <f t="shared" si="17"/>
        <v>3242244760</v>
      </c>
      <c r="N306" s="82" t="s">
        <v>260</v>
      </c>
      <c r="O306" s="82" t="s">
        <v>576</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customHeight="1">
      <c r="A307" s="323" t="str">
        <f>IF(B307&lt;&gt;"",IF(AND(B307='IN-TC'!$S$4,OR(TH!N307="1111",TH!O307="1111")),TH!D307,""),"")</f>
        <v/>
      </c>
      <c r="B307" s="63">
        <f t="shared" si="14"/>
        <v>11</v>
      </c>
      <c r="C307" s="90">
        <v>42704</v>
      </c>
      <c r="D307" s="1087" t="s">
        <v>2363</v>
      </c>
      <c r="E307" s="90">
        <v>42704</v>
      </c>
      <c r="F307" s="91" t="s">
        <v>435</v>
      </c>
      <c r="G307" s="91" t="s">
        <v>2365</v>
      </c>
      <c r="H307" s="937" t="s">
        <v>2366</v>
      </c>
      <c r="I307" s="414">
        <v>2997.2</v>
      </c>
      <c r="J307" s="414">
        <v>125000</v>
      </c>
      <c r="K307" s="405"/>
      <c r="L307" s="414"/>
      <c r="M307" s="1133">
        <f>I307*J307</f>
        <v>374650000</v>
      </c>
      <c r="N307" s="1134" t="s">
        <v>576</v>
      </c>
      <c r="O307" s="1134" t="s">
        <v>290</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customHeight="1">
      <c r="A308" s="323" t="str">
        <f>IF(B308&lt;&gt;"",IF(AND(B308='IN-TC'!$S$4,OR(TH!N308="1111",TH!O308="1111")),TH!D308,""),"")</f>
        <v/>
      </c>
      <c r="B308" s="63">
        <f t="shared" si="14"/>
        <v>11</v>
      </c>
      <c r="C308" s="90">
        <v>42704</v>
      </c>
      <c r="D308" s="1087" t="s">
        <v>2363</v>
      </c>
      <c r="E308" s="90">
        <v>42704</v>
      </c>
      <c r="F308" s="91" t="s">
        <v>435</v>
      </c>
      <c r="G308" s="91" t="s">
        <v>2365</v>
      </c>
      <c r="H308" s="937" t="s">
        <v>2366</v>
      </c>
      <c r="I308" s="414">
        <v>10</v>
      </c>
      <c r="J308" s="414">
        <v>104000</v>
      </c>
      <c r="K308" s="405"/>
      <c r="L308" s="414"/>
      <c r="M308" s="1133">
        <f>I308*J308</f>
        <v>1040000</v>
      </c>
      <c r="N308" s="1134" t="s">
        <v>576</v>
      </c>
      <c r="O308" s="1134" t="s">
        <v>290</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customHeight="1">
      <c r="A309" s="323" t="str">
        <f>IF(B309&lt;&gt;"",IF(AND(B309='IN-TC'!$S$4,OR(TH!N309="1111",TH!O309="1111")),TH!D309,""),"")</f>
        <v/>
      </c>
      <c r="B309" s="63">
        <f t="shared" si="14"/>
        <v>11</v>
      </c>
      <c r="C309" s="90">
        <v>42704</v>
      </c>
      <c r="D309" s="1087" t="s">
        <v>2363</v>
      </c>
      <c r="E309" s="90">
        <v>42704</v>
      </c>
      <c r="F309" s="91" t="s">
        <v>2364</v>
      </c>
      <c r="G309" s="91" t="s">
        <v>2365</v>
      </c>
      <c r="H309" s="937" t="s">
        <v>2366</v>
      </c>
      <c r="I309" s="414">
        <v>3000</v>
      </c>
      <c r="J309" s="414">
        <v>104000</v>
      </c>
      <c r="K309" s="405"/>
      <c r="L309" s="414"/>
      <c r="M309" s="1133">
        <f>I309*J309</f>
        <v>312000000</v>
      </c>
      <c r="N309" s="1134" t="s">
        <v>576</v>
      </c>
      <c r="O309" s="1134" t="s">
        <v>290</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customHeight="1">
      <c r="A310" s="323" t="str">
        <f>IF(B310&lt;&gt;"",IF(AND(B310='IN-TC'!$S$4,OR(TH!N310="1111",TH!O310="1111")),TH!D310,""),"")</f>
        <v/>
      </c>
      <c r="B310" s="63">
        <f t="shared" si="14"/>
        <v>11</v>
      </c>
      <c r="C310" s="90">
        <v>42704</v>
      </c>
      <c r="D310" s="1087" t="s">
        <v>2363</v>
      </c>
      <c r="E310" s="90">
        <v>42704</v>
      </c>
      <c r="F310" s="91" t="s">
        <v>2368</v>
      </c>
      <c r="G310" s="91" t="s">
        <v>2365</v>
      </c>
      <c r="H310" s="937" t="s">
        <v>2366</v>
      </c>
      <c r="I310" s="414"/>
      <c r="J310" s="1132"/>
      <c r="K310" s="405"/>
      <c r="L310" s="414"/>
      <c r="M310" s="1133">
        <v>68769000</v>
      </c>
      <c r="N310" s="1134" t="s">
        <v>576</v>
      </c>
      <c r="O310" s="1134" t="s">
        <v>915</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customHeight="1">
      <c r="A311" s="323" t="str">
        <f>IF(B311&lt;&gt;"",IF(AND(B311='IN-TC'!$S$4,OR(TH!N2472="1111",TH!O2472="1111")),TH!D2472,""),"")</f>
        <v/>
      </c>
      <c r="B311" s="63">
        <f t="shared" si="14"/>
        <v>1</v>
      </c>
      <c r="C311" s="64">
        <f>E311</f>
        <v>42396</v>
      </c>
      <c r="D311" s="64" t="s">
        <v>570</v>
      </c>
      <c r="E311" s="64">
        <v>42396</v>
      </c>
      <c r="F311" s="482" t="s">
        <v>600</v>
      </c>
      <c r="G311" s="67" t="s">
        <v>902</v>
      </c>
      <c r="H311" s="72" t="s">
        <v>586</v>
      </c>
      <c r="I311" s="408"/>
      <c r="J311" s="408"/>
      <c r="K311" s="399">
        <v>30.38</v>
      </c>
      <c r="L311" s="408">
        <v>22310</v>
      </c>
      <c r="M311" s="65">
        <f>ROUND(K311*L311,0)</f>
        <v>677778</v>
      </c>
      <c r="N311" s="66" t="s">
        <v>99</v>
      </c>
      <c r="O311" s="66" t="s">
        <v>576</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customHeight="1">
      <c r="A312" s="1170" t="str">
        <f>IF(B312&lt;&gt;"",IF(AND(B312='IN-TC'!$S$4,OR(TH!N312="1111",TH!O312="1111")),TH!D312,""),"")</f>
        <v/>
      </c>
      <c r="B312" s="63">
        <f t="shared" si="14"/>
        <v>12</v>
      </c>
      <c r="C312" s="90">
        <v>42706</v>
      </c>
      <c r="D312" s="1087" t="s">
        <v>584</v>
      </c>
      <c r="E312" s="90">
        <v>42706</v>
      </c>
      <c r="F312" s="91" t="s">
        <v>2364</v>
      </c>
      <c r="G312" s="91" t="s">
        <v>2491</v>
      </c>
      <c r="H312" s="937" t="s">
        <v>2366</v>
      </c>
      <c r="I312" s="405">
        <v>2274.1999999999998</v>
      </c>
      <c r="J312" s="1132">
        <v>103000</v>
      </c>
      <c r="K312" s="405"/>
      <c r="L312" s="414"/>
      <c r="M312" s="1133">
        <f>I312*J312</f>
        <v>234242599.99999997</v>
      </c>
      <c r="N312" s="1134" t="s">
        <v>576</v>
      </c>
      <c r="O312" s="1134" t="s">
        <v>290</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customHeight="1">
      <c r="A313" s="1170" t="str">
        <f>IF(B313&lt;&gt;"",IF(AND(B313='IN-TC'!$S$4,OR(TH!N313="1111",TH!O313="1111")),TH!D313,""),"")</f>
        <v/>
      </c>
      <c r="B313" s="63">
        <f t="shared" si="14"/>
        <v>12</v>
      </c>
      <c r="C313" s="90">
        <v>42706</v>
      </c>
      <c r="D313" s="1087" t="s">
        <v>584</v>
      </c>
      <c r="E313" s="90">
        <v>42706</v>
      </c>
      <c r="F313" s="91" t="s">
        <v>431</v>
      </c>
      <c r="G313" s="91" t="s">
        <v>2491</v>
      </c>
      <c r="H313" s="937" t="s">
        <v>2366</v>
      </c>
      <c r="I313" s="414">
        <v>10</v>
      </c>
      <c r="J313" s="1132">
        <v>90000</v>
      </c>
      <c r="K313" s="405"/>
      <c r="L313" s="414"/>
      <c r="M313" s="1133">
        <f>I313*J313</f>
        <v>900000</v>
      </c>
      <c r="N313" s="1134" t="s">
        <v>576</v>
      </c>
      <c r="O313" s="1134" t="s">
        <v>290</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customHeight="1">
      <c r="A314" s="1170" t="str">
        <f>IF(B314&lt;&gt;"",IF(AND(B314='IN-TC'!$S$4,OR(TH!N314="1111",TH!O314="1111")),TH!D314,""),"")</f>
        <v/>
      </c>
      <c r="B314" s="63">
        <f t="shared" si="14"/>
        <v>12</v>
      </c>
      <c r="C314" s="90">
        <v>42706</v>
      </c>
      <c r="D314" s="1087" t="s">
        <v>584</v>
      </c>
      <c r="E314" s="90">
        <v>42706</v>
      </c>
      <c r="F314" s="91" t="s">
        <v>435</v>
      </c>
      <c r="G314" s="91" t="s">
        <v>2491</v>
      </c>
      <c r="H314" s="937" t="s">
        <v>2366</v>
      </c>
      <c r="I314" s="414">
        <v>3749</v>
      </c>
      <c r="J314" s="1132">
        <v>124000</v>
      </c>
      <c r="K314" s="405"/>
      <c r="L314" s="414"/>
      <c r="M314" s="1133">
        <f>I314*J314</f>
        <v>464876000</v>
      </c>
      <c r="N314" s="1134" t="s">
        <v>576</v>
      </c>
      <c r="O314" s="1134" t="s">
        <v>290</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customHeight="1">
      <c r="A315" s="1160" t="str">
        <f>IF(B315&lt;&gt;"",IF(AND(B315='IN-TC'!$S$4,OR(TH!N4258="1111",TH!O4258="1111")),TH!D4258,""),"")</f>
        <v/>
      </c>
      <c r="B315" s="63">
        <f t="shared" si="14"/>
        <v>11</v>
      </c>
      <c r="C315" s="78">
        <v>42684</v>
      </c>
      <c r="D315" s="78" t="s">
        <v>570</v>
      </c>
      <c r="E315" s="78">
        <f>C315</f>
        <v>42684</v>
      </c>
      <c r="F315" s="80" t="s">
        <v>1968</v>
      </c>
      <c r="G315" s="79" t="s">
        <v>1544</v>
      </c>
      <c r="H315" s="80" t="s">
        <v>1887</v>
      </c>
      <c r="I315" s="406"/>
      <c r="J315" s="406"/>
      <c r="K315" s="397">
        <v>12</v>
      </c>
      <c r="L315" s="406">
        <v>22270</v>
      </c>
      <c r="M315" s="81">
        <f>ROUND(K315*L315,0)</f>
        <v>267240</v>
      </c>
      <c r="N315" s="82" t="s">
        <v>99</v>
      </c>
      <c r="O315" s="82" t="s">
        <v>576</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customHeight="1">
      <c r="A316" s="323" t="str">
        <f>IF(B316&lt;&gt;"",IF(AND(B316='IN-TC'!$S$4,OR(TH!N301="1111",TH!O301="1111")),TH!D301,""),"")</f>
        <v/>
      </c>
      <c r="B316" s="63">
        <f t="shared" si="14"/>
        <v>11</v>
      </c>
      <c r="C316" s="1087">
        <v>42685</v>
      </c>
      <c r="D316" s="1087" t="s">
        <v>1891</v>
      </c>
      <c r="E316" s="1087">
        <f>C316</f>
        <v>42685</v>
      </c>
      <c r="F316" s="1155" t="s">
        <v>455</v>
      </c>
      <c r="G316" s="1131" t="s">
        <v>2179</v>
      </c>
      <c r="H316" s="92" t="s">
        <v>1887</v>
      </c>
      <c r="I316" s="414">
        <v>52000</v>
      </c>
      <c r="J316" s="1132">
        <v>2.8</v>
      </c>
      <c r="K316" s="405">
        <f>I316*J316</f>
        <v>145600</v>
      </c>
      <c r="L316" s="414">
        <v>22285</v>
      </c>
      <c r="M316" s="1133">
        <f>ROUND(K316*L316,0)</f>
        <v>3244696000</v>
      </c>
      <c r="N316" s="1134" t="s">
        <v>576</v>
      </c>
      <c r="O316" s="1134" t="s">
        <v>292</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customHeight="1">
      <c r="A317" s="1160" t="str">
        <f>IF(B317&lt;&gt;"",IF(AND(B317='IN-TC'!$S$4,OR(TH!N317="1111",TH!O317="1111")),TH!D317,""),"")</f>
        <v/>
      </c>
      <c r="B317" s="63">
        <f t="shared" si="14"/>
        <v>12</v>
      </c>
      <c r="C317" s="78">
        <v>42706</v>
      </c>
      <c r="D317" s="1077" t="s">
        <v>1656</v>
      </c>
      <c r="E317" s="78">
        <v>42706</v>
      </c>
      <c r="F317" s="79" t="s">
        <v>2534</v>
      </c>
      <c r="G317" s="79" t="s">
        <v>2542</v>
      </c>
      <c r="H317" s="918" t="s">
        <v>2543</v>
      </c>
      <c r="I317" s="406">
        <v>14</v>
      </c>
      <c r="J317" s="1194">
        <v>220000</v>
      </c>
      <c r="K317" s="397"/>
      <c r="L317" s="406"/>
      <c r="M317" s="1195">
        <f t="shared" ref="M317:M324" si="18">ROUND(I317*J317,0)</f>
        <v>3080000</v>
      </c>
      <c r="N317" s="1073" t="s">
        <v>576</v>
      </c>
      <c r="O317" s="1073" t="s">
        <v>290</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customHeight="1">
      <c r="A318" s="1160" t="str">
        <f>IF(B318&lt;&gt;"",IF(AND(B318='IN-TC'!$S$4,OR(TH!N318="1111",TH!O318="1111")),TH!D318,""),"")</f>
        <v/>
      </c>
      <c r="B318" s="63">
        <f t="shared" si="14"/>
        <v>12</v>
      </c>
      <c r="C318" s="78">
        <v>42706</v>
      </c>
      <c r="D318" s="1077" t="s">
        <v>1656</v>
      </c>
      <c r="E318" s="78">
        <v>42706</v>
      </c>
      <c r="F318" s="79" t="s">
        <v>2536</v>
      </c>
      <c r="G318" s="79" t="s">
        <v>2542</v>
      </c>
      <c r="H318" s="918" t="s">
        <v>2543</v>
      </c>
      <c r="I318" s="406">
        <v>16</v>
      </c>
      <c r="J318" s="1194">
        <v>200000</v>
      </c>
      <c r="K318" s="397"/>
      <c r="L318" s="406"/>
      <c r="M318" s="1195">
        <f t="shared" si="18"/>
        <v>3200000</v>
      </c>
      <c r="N318" s="1073" t="s">
        <v>576</v>
      </c>
      <c r="O318" s="1073" t="s">
        <v>290</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customHeight="1">
      <c r="A319" s="1160" t="str">
        <f>IF(B319&lt;&gt;"",IF(AND(B319='IN-TC'!$S$4,OR(TH!N319="1111",TH!O319="1111")),TH!D319,""),"")</f>
        <v/>
      </c>
      <c r="B319" s="63">
        <f t="shared" si="14"/>
        <v>12</v>
      </c>
      <c r="C319" s="78">
        <v>42706</v>
      </c>
      <c r="D319" s="1077" t="s">
        <v>1656</v>
      </c>
      <c r="E319" s="78">
        <v>42706</v>
      </c>
      <c r="F319" s="79" t="s">
        <v>2535</v>
      </c>
      <c r="G319" s="79" t="s">
        <v>2542</v>
      </c>
      <c r="H319" s="918" t="s">
        <v>2543</v>
      </c>
      <c r="I319" s="406">
        <v>16</v>
      </c>
      <c r="J319" s="1194">
        <v>155000</v>
      </c>
      <c r="K319" s="397"/>
      <c r="L319" s="406"/>
      <c r="M319" s="1195">
        <f t="shared" si="18"/>
        <v>2480000</v>
      </c>
      <c r="N319" s="1073" t="s">
        <v>576</v>
      </c>
      <c r="O319" s="1073" t="s">
        <v>290</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customHeight="1">
      <c r="A320" s="1160" t="str">
        <f>IF(B320&lt;&gt;"",IF(AND(B320='IN-TC'!$S$4,OR(TH!N320="1111",TH!O320="1111")),TH!D320,""),"")</f>
        <v/>
      </c>
      <c r="B320" s="63">
        <f t="shared" si="14"/>
        <v>12</v>
      </c>
      <c r="C320" s="78">
        <v>42706</v>
      </c>
      <c r="D320" s="1077" t="s">
        <v>1656</v>
      </c>
      <c r="E320" s="78">
        <v>42706</v>
      </c>
      <c r="F320" s="79" t="s">
        <v>2537</v>
      </c>
      <c r="G320" s="79" t="s">
        <v>2542</v>
      </c>
      <c r="H320" s="918" t="s">
        <v>2543</v>
      </c>
      <c r="I320" s="406">
        <v>12</v>
      </c>
      <c r="J320" s="1194">
        <v>147000</v>
      </c>
      <c r="K320" s="397"/>
      <c r="L320" s="406"/>
      <c r="M320" s="1195">
        <f t="shared" si="18"/>
        <v>1764000</v>
      </c>
      <c r="N320" s="1073" t="s">
        <v>576</v>
      </c>
      <c r="O320" s="1073" t="s">
        <v>290</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customHeight="1">
      <c r="A321" s="1160" t="str">
        <f>IF(B321&lt;&gt;"",IF(AND(B321='IN-TC'!$S$4,OR(TH!N321="1111",TH!O321="1111")),TH!D321,""),"")</f>
        <v/>
      </c>
      <c r="B321" s="63">
        <f t="shared" si="14"/>
        <v>12</v>
      </c>
      <c r="C321" s="78">
        <v>42706</v>
      </c>
      <c r="D321" s="1077" t="s">
        <v>1656</v>
      </c>
      <c r="E321" s="78">
        <v>42706</v>
      </c>
      <c r="F321" s="79" t="s">
        <v>2538</v>
      </c>
      <c r="G321" s="79" t="s">
        <v>2542</v>
      </c>
      <c r="H321" s="918" t="s">
        <v>2543</v>
      </c>
      <c r="I321" s="406">
        <v>4</v>
      </c>
      <c r="J321" s="1194">
        <v>100000</v>
      </c>
      <c r="K321" s="397"/>
      <c r="L321" s="406"/>
      <c r="M321" s="1195">
        <f t="shared" si="18"/>
        <v>400000</v>
      </c>
      <c r="N321" s="1073" t="s">
        <v>576</v>
      </c>
      <c r="O321" s="1073" t="s">
        <v>290</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customHeight="1">
      <c r="A322" s="1160" t="str">
        <f>IF(B322&lt;&gt;"",IF(AND(B322='IN-TC'!$S$4,OR(TH!N322="1111",TH!O322="1111")),TH!D322,""),"")</f>
        <v/>
      </c>
      <c r="B322" s="63">
        <f t="shared" si="14"/>
        <v>12</v>
      </c>
      <c r="C322" s="78">
        <v>42706</v>
      </c>
      <c r="D322" s="1077" t="s">
        <v>1656</v>
      </c>
      <c r="E322" s="78">
        <v>42706</v>
      </c>
      <c r="F322" s="79" t="s">
        <v>2539</v>
      </c>
      <c r="G322" s="79" t="s">
        <v>2542</v>
      </c>
      <c r="H322" s="918" t="s">
        <v>2543</v>
      </c>
      <c r="I322" s="406">
        <v>8</v>
      </c>
      <c r="J322" s="1194">
        <v>550000</v>
      </c>
      <c r="K322" s="397"/>
      <c r="L322" s="406"/>
      <c r="M322" s="1195">
        <f t="shared" si="18"/>
        <v>4400000</v>
      </c>
      <c r="N322" s="1073" t="s">
        <v>576</v>
      </c>
      <c r="O322" s="1073" t="s">
        <v>290</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customHeight="1">
      <c r="A323" s="1160" t="str">
        <f>IF(B323&lt;&gt;"",IF(AND(B323='IN-TC'!$S$4,OR(TH!N323="1111",TH!O323="1111")),TH!D323,""),"")</f>
        <v/>
      </c>
      <c r="B323" s="63">
        <f t="shared" si="14"/>
        <v>12</v>
      </c>
      <c r="C323" s="78">
        <v>42706</v>
      </c>
      <c r="D323" s="1077" t="s">
        <v>1656</v>
      </c>
      <c r="E323" s="78">
        <v>42706</v>
      </c>
      <c r="F323" s="79" t="s">
        <v>2540</v>
      </c>
      <c r="G323" s="79" t="s">
        <v>2542</v>
      </c>
      <c r="H323" s="918" t="s">
        <v>2543</v>
      </c>
      <c r="I323" s="406">
        <v>1</v>
      </c>
      <c r="J323" s="1194">
        <v>395000</v>
      </c>
      <c r="K323" s="397"/>
      <c r="L323" s="406"/>
      <c r="M323" s="1195">
        <f t="shared" si="18"/>
        <v>395000</v>
      </c>
      <c r="N323" s="1073" t="s">
        <v>576</v>
      </c>
      <c r="O323" s="1073" t="s">
        <v>290</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customHeight="1">
      <c r="A324" s="1160" t="str">
        <f>IF(B324&lt;&gt;"",IF(AND(B324='IN-TC'!$S$4,OR(TH!N324="1111",TH!O324="1111")),TH!D324,""),"")</f>
        <v/>
      </c>
      <c r="B324" s="63">
        <f t="shared" si="14"/>
        <v>12</v>
      </c>
      <c r="C324" s="78">
        <v>42706</v>
      </c>
      <c r="D324" s="1077" t="s">
        <v>1656</v>
      </c>
      <c r="E324" s="78">
        <v>42706</v>
      </c>
      <c r="F324" s="79" t="s">
        <v>2541</v>
      </c>
      <c r="G324" s="79" t="s">
        <v>2542</v>
      </c>
      <c r="H324" s="918" t="s">
        <v>2543</v>
      </c>
      <c r="I324" s="406">
        <v>10</v>
      </c>
      <c r="J324" s="1194">
        <v>160000</v>
      </c>
      <c r="K324" s="397"/>
      <c r="L324" s="406"/>
      <c r="M324" s="1195">
        <f t="shared" si="18"/>
        <v>1600000</v>
      </c>
      <c r="N324" s="1073" t="s">
        <v>576</v>
      </c>
      <c r="O324" s="1073" t="s">
        <v>290</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customHeight="1">
      <c r="A325" s="1160" t="str">
        <f>IF(B325&lt;&gt;"",IF(AND(B325='IN-TC'!$S$4,OR(TH!N325="1111",TH!O325="1111")),TH!D325,""),"")</f>
        <v/>
      </c>
      <c r="B325" s="63">
        <f t="shared" si="14"/>
        <v>12</v>
      </c>
      <c r="C325" s="78">
        <v>42706</v>
      </c>
      <c r="D325" s="1077" t="s">
        <v>1656</v>
      </c>
      <c r="E325" s="78">
        <v>42706</v>
      </c>
      <c r="F325" s="79" t="s">
        <v>2544</v>
      </c>
      <c r="G325" s="79" t="s">
        <v>2542</v>
      </c>
      <c r="H325" s="918" t="s">
        <v>2543</v>
      </c>
      <c r="I325" s="406"/>
      <c r="J325" s="1194"/>
      <c r="K325" s="397"/>
      <c r="L325" s="406"/>
      <c r="M325" s="1195">
        <f>SUM(M317:M324)*10%</f>
        <v>1731900</v>
      </c>
      <c r="N325" s="1073" t="s">
        <v>576</v>
      </c>
      <c r="O325" s="1073" t="s">
        <v>915</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customHeight="1">
      <c r="A326" s="323" t="str">
        <f>IF(B326&lt;&gt;"",IF(AND(B326='IN-TC'!$S$4,OR(TH!N4298="1111",TH!O4298="1111")),TH!D4298,""),"")</f>
        <v/>
      </c>
      <c r="B326" s="63">
        <f t="shared" si="14"/>
        <v>12</v>
      </c>
      <c r="C326" s="64">
        <v>42706</v>
      </c>
      <c r="D326" s="64" t="s">
        <v>857</v>
      </c>
      <c r="E326" s="64">
        <f>C326</f>
        <v>42706</v>
      </c>
      <c r="F326" s="72" t="s">
        <v>1436</v>
      </c>
      <c r="G326" s="67" t="s">
        <v>2542</v>
      </c>
      <c r="H326" s="918" t="s">
        <v>2543</v>
      </c>
      <c r="I326" s="408"/>
      <c r="J326" s="408"/>
      <c r="K326" s="399"/>
      <c r="L326" s="408"/>
      <c r="M326" s="65">
        <v>19050900</v>
      </c>
      <c r="N326" s="66" t="s">
        <v>61</v>
      </c>
      <c r="O326" s="66" t="s">
        <v>576</v>
      </c>
      <c r="P326" s="82" t="str">
        <f>IF(AND('331-CT'!$E$7=TH!H326,OR(N326="331",O326="331")),"x","")</f>
        <v/>
      </c>
      <c r="Q326" s="82" t="str">
        <f>IF(AND(B326='111'!$L$11,OR($N326=$Q$7,$O326=$Q$7)),"x","")</f>
        <v>x</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customHeight="1">
      <c r="A327" s="1170" t="str">
        <f>IF(B327&lt;&gt;"",IF(AND(B327='IN-TC'!$S$4,OR(TH!N326="1111",TH!O326="1111")),TH!D326,""),"")</f>
        <v/>
      </c>
      <c r="B327" s="63">
        <f t="shared" si="14"/>
        <v>12</v>
      </c>
      <c r="C327" s="90">
        <v>42707</v>
      </c>
      <c r="D327" s="1087" t="s">
        <v>1657</v>
      </c>
      <c r="E327" s="90">
        <v>42707</v>
      </c>
      <c r="F327" s="91" t="s">
        <v>2534</v>
      </c>
      <c r="G327" s="91" t="s">
        <v>2545</v>
      </c>
      <c r="H327" s="937" t="s">
        <v>2543</v>
      </c>
      <c r="I327" s="414">
        <v>14</v>
      </c>
      <c r="J327" s="1132">
        <v>220000</v>
      </c>
      <c r="K327" s="405"/>
      <c r="L327" s="414"/>
      <c r="M327" s="1133">
        <f t="shared" ref="M327:M334" si="19">ROUND(I327*J327,0)</f>
        <v>3080000</v>
      </c>
      <c r="N327" s="1134" t="s">
        <v>576</v>
      </c>
      <c r="O327" s="1073" t="s">
        <v>290</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customHeight="1">
      <c r="A328" s="1170" t="str">
        <f>IF(B328&lt;&gt;"",IF(AND(B328='IN-TC'!$S$4,OR(TH!N327="1111",TH!O327="1111")),TH!D327,""),"")</f>
        <v/>
      </c>
      <c r="B328" s="63">
        <f t="shared" si="14"/>
        <v>12</v>
      </c>
      <c r="C328" s="90">
        <v>42707</v>
      </c>
      <c r="D328" s="1087" t="s">
        <v>1657</v>
      </c>
      <c r="E328" s="90">
        <v>42707</v>
      </c>
      <c r="F328" s="91" t="s">
        <v>2536</v>
      </c>
      <c r="G328" s="91" t="s">
        <v>2545</v>
      </c>
      <c r="H328" s="937" t="s">
        <v>2543</v>
      </c>
      <c r="I328" s="414">
        <v>16</v>
      </c>
      <c r="J328" s="1132">
        <v>200000</v>
      </c>
      <c r="K328" s="405"/>
      <c r="L328" s="414"/>
      <c r="M328" s="1133">
        <f t="shared" si="19"/>
        <v>3200000</v>
      </c>
      <c r="N328" s="1134" t="s">
        <v>576</v>
      </c>
      <c r="O328" s="1073" t="s">
        <v>290</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customHeight="1">
      <c r="A329" s="1170" t="str">
        <f>IF(B329&lt;&gt;"",IF(AND(B329='IN-TC'!$S$4,OR(TH!N328="1111",TH!O328="1111")),TH!D328,""),"")</f>
        <v/>
      </c>
      <c r="B329" s="63">
        <f t="shared" si="14"/>
        <v>12</v>
      </c>
      <c r="C329" s="90">
        <v>42707</v>
      </c>
      <c r="D329" s="1087" t="s">
        <v>1657</v>
      </c>
      <c r="E329" s="90">
        <v>42707</v>
      </c>
      <c r="F329" s="91" t="s">
        <v>2535</v>
      </c>
      <c r="G329" s="91" t="s">
        <v>2545</v>
      </c>
      <c r="H329" s="937" t="s">
        <v>2543</v>
      </c>
      <c r="I329" s="414">
        <v>16</v>
      </c>
      <c r="J329" s="1132">
        <v>155000</v>
      </c>
      <c r="K329" s="405"/>
      <c r="L329" s="414"/>
      <c r="M329" s="1133">
        <f t="shared" si="19"/>
        <v>2480000</v>
      </c>
      <c r="N329" s="1134" t="s">
        <v>576</v>
      </c>
      <c r="O329" s="1073" t="s">
        <v>290</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customHeight="1">
      <c r="A330" s="1170" t="str">
        <f>IF(B330&lt;&gt;"",IF(AND(B330='IN-TC'!$S$4,OR(TH!N329="1111",TH!O329="1111")),TH!D329,""),"")</f>
        <v/>
      </c>
      <c r="B330" s="63">
        <f t="shared" si="14"/>
        <v>12</v>
      </c>
      <c r="C330" s="90">
        <v>42707</v>
      </c>
      <c r="D330" s="1087" t="s">
        <v>1657</v>
      </c>
      <c r="E330" s="90">
        <v>42707</v>
      </c>
      <c r="F330" s="91" t="s">
        <v>2537</v>
      </c>
      <c r="G330" s="91" t="s">
        <v>2545</v>
      </c>
      <c r="H330" s="937" t="s">
        <v>2543</v>
      </c>
      <c r="I330" s="414">
        <v>12</v>
      </c>
      <c r="J330" s="1132">
        <v>147000</v>
      </c>
      <c r="K330" s="405"/>
      <c r="L330" s="414"/>
      <c r="M330" s="1133">
        <f t="shared" si="19"/>
        <v>1764000</v>
      </c>
      <c r="N330" s="1134" t="s">
        <v>576</v>
      </c>
      <c r="O330" s="1073" t="s">
        <v>290</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customHeight="1">
      <c r="A331" s="1170" t="str">
        <f>IF(B331&lt;&gt;"",IF(AND(B331='IN-TC'!$S$4,OR(TH!N330="1111",TH!O330="1111")),TH!D330,""),"")</f>
        <v/>
      </c>
      <c r="B331" s="63">
        <f t="shared" si="14"/>
        <v>12</v>
      </c>
      <c r="C331" s="90">
        <v>42707</v>
      </c>
      <c r="D331" s="1087" t="s">
        <v>1657</v>
      </c>
      <c r="E331" s="90">
        <v>42707</v>
      </c>
      <c r="F331" s="91" t="s">
        <v>2538</v>
      </c>
      <c r="G331" s="91" t="s">
        <v>2545</v>
      </c>
      <c r="H331" s="937" t="s">
        <v>2543</v>
      </c>
      <c r="I331" s="414">
        <v>4</v>
      </c>
      <c r="J331" s="1132">
        <v>100000</v>
      </c>
      <c r="K331" s="405"/>
      <c r="L331" s="414"/>
      <c r="M331" s="1133">
        <f t="shared" si="19"/>
        <v>400000</v>
      </c>
      <c r="N331" s="1134" t="s">
        <v>576</v>
      </c>
      <c r="O331" s="1073" t="s">
        <v>290</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customHeight="1">
      <c r="A332" s="1170" t="str">
        <f>IF(B332&lt;&gt;"",IF(AND(B332='IN-TC'!$S$4,OR(TH!N331="1111",TH!O331="1111")),TH!D331,""),"")</f>
        <v/>
      </c>
      <c r="B332" s="63">
        <f t="shared" si="14"/>
        <v>12</v>
      </c>
      <c r="C332" s="90">
        <v>42707</v>
      </c>
      <c r="D332" s="1087" t="s">
        <v>1657</v>
      </c>
      <c r="E332" s="90">
        <v>42707</v>
      </c>
      <c r="F332" s="91" t="s">
        <v>2539</v>
      </c>
      <c r="G332" s="91" t="s">
        <v>2545</v>
      </c>
      <c r="H332" s="937" t="s">
        <v>2543</v>
      </c>
      <c r="I332" s="414">
        <v>8</v>
      </c>
      <c r="J332" s="1132">
        <v>550000</v>
      </c>
      <c r="K332" s="405"/>
      <c r="L332" s="414"/>
      <c r="M332" s="1133">
        <f t="shared" si="19"/>
        <v>4400000</v>
      </c>
      <c r="N332" s="1134" t="s">
        <v>576</v>
      </c>
      <c r="O332" s="1073" t="s">
        <v>290</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customHeight="1">
      <c r="A333" s="1170" t="str">
        <f>IF(B333&lt;&gt;"",IF(AND(B333='IN-TC'!$S$4,OR(TH!N332="1111",TH!O332="1111")),TH!D332,""),"")</f>
        <v/>
      </c>
      <c r="B333" s="63">
        <f t="shared" si="14"/>
        <v>12</v>
      </c>
      <c r="C333" s="90">
        <v>42707</v>
      </c>
      <c r="D333" s="1087" t="s">
        <v>1657</v>
      </c>
      <c r="E333" s="90">
        <v>42707</v>
      </c>
      <c r="F333" s="91" t="s">
        <v>2540</v>
      </c>
      <c r="G333" s="91" t="s">
        <v>2545</v>
      </c>
      <c r="H333" s="937" t="s">
        <v>2543</v>
      </c>
      <c r="I333" s="414">
        <v>1</v>
      </c>
      <c r="J333" s="1132">
        <v>395000</v>
      </c>
      <c r="K333" s="405"/>
      <c r="L333" s="414"/>
      <c r="M333" s="1133">
        <f t="shared" si="19"/>
        <v>395000</v>
      </c>
      <c r="N333" s="1134" t="s">
        <v>576</v>
      </c>
      <c r="O333" s="1073" t="s">
        <v>290</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customHeight="1">
      <c r="A334" s="1170" t="str">
        <f>IF(B334&lt;&gt;"",IF(AND(B334='IN-TC'!$S$4,OR(TH!N333="1111",TH!O333="1111")),TH!D333,""),"")</f>
        <v/>
      </c>
      <c r="B334" s="63">
        <f t="shared" si="14"/>
        <v>12</v>
      </c>
      <c r="C334" s="90">
        <v>42707</v>
      </c>
      <c r="D334" s="1087" t="s">
        <v>1657</v>
      </c>
      <c r="E334" s="90">
        <v>42707</v>
      </c>
      <c r="F334" s="91" t="s">
        <v>2541</v>
      </c>
      <c r="G334" s="91" t="s">
        <v>2545</v>
      </c>
      <c r="H334" s="937" t="s">
        <v>2543</v>
      </c>
      <c r="I334" s="414">
        <v>10</v>
      </c>
      <c r="J334" s="1132">
        <v>160000</v>
      </c>
      <c r="K334" s="405"/>
      <c r="L334" s="414"/>
      <c r="M334" s="1133">
        <f t="shared" si="19"/>
        <v>1600000</v>
      </c>
      <c r="N334" s="1134" t="s">
        <v>576</v>
      </c>
      <c r="O334" s="1073" t="s">
        <v>290</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customHeight="1">
      <c r="A335" s="1170" t="str">
        <f>IF(B335&lt;&gt;"",IF(AND(B335='IN-TC'!$S$4,OR(TH!N334="1111",TH!O334="1111")),TH!D334,""),"")</f>
        <v/>
      </c>
      <c r="B335" s="63">
        <f t="shared" si="14"/>
        <v>12</v>
      </c>
      <c r="C335" s="90">
        <v>42707</v>
      </c>
      <c r="D335" s="1087" t="s">
        <v>1657</v>
      </c>
      <c r="E335" s="90">
        <v>42707</v>
      </c>
      <c r="F335" s="91" t="s">
        <v>2544</v>
      </c>
      <c r="G335" s="91" t="s">
        <v>2545</v>
      </c>
      <c r="H335" s="937" t="s">
        <v>2543</v>
      </c>
      <c r="I335" s="414"/>
      <c r="J335" s="1132"/>
      <c r="K335" s="405"/>
      <c r="L335" s="414"/>
      <c r="M335" s="1133">
        <f>SUM(M327:M334)*10%</f>
        <v>1731900</v>
      </c>
      <c r="N335" s="1134" t="s">
        <v>576</v>
      </c>
      <c r="O335" s="1134" t="s">
        <v>915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customHeight="1">
      <c r="A336" s="323" t="str">
        <f>IF(B336&lt;&gt;"",IF(AND(B336='IN-TC'!$S$4,OR(TH!N4307="1111",TH!O4307="1111")),TH!D4307,""),"")</f>
        <v/>
      </c>
      <c r="B336" s="63">
        <f t="shared" si="14"/>
        <v>12</v>
      </c>
      <c r="C336" s="64">
        <v>42707</v>
      </c>
      <c r="D336" s="64" t="s">
        <v>889</v>
      </c>
      <c r="E336" s="64">
        <f>C336</f>
        <v>42707</v>
      </c>
      <c r="F336" s="72" t="s">
        <v>1436</v>
      </c>
      <c r="G336" s="67" t="s">
        <v>2545</v>
      </c>
      <c r="H336" s="918" t="s">
        <v>2543</v>
      </c>
      <c r="I336" s="408"/>
      <c r="J336" s="408"/>
      <c r="K336" s="399"/>
      <c r="L336" s="408"/>
      <c r="M336" s="65">
        <v>19050900</v>
      </c>
      <c r="N336" s="66" t="s">
        <v>61</v>
      </c>
      <c r="O336" s="66" t="s">
        <v>576</v>
      </c>
      <c r="P336" s="82" t="str">
        <f>IF(AND('331-CT'!$E$7=TH!H336,OR(N336="331",O336="331")),"x","")</f>
        <v/>
      </c>
      <c r="Q336" s="82" t="str">
        <f>IF(AND(B336='111'!$L$11,OR($N336=$Q$7,$O336=$Q$7)),"x","")</f>
        <v>x</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customHeight="1">
      <c r="A337" s="1170" t="str">
        <f>IF(B337&lt;&gt;"",IF(AND(B337='IN-TC'!$S$4,OR(TH!N335="1111",TH!O335="1111")),TH!D335,""),"")</f>
        <v/>
      </c>
      <c r="B337" s="63">
        <f t="shared" si="14"/>
        <v>12</v>
      </c>
      <c r="C337" s="78">
        <v>42709</v>
      </c>
      <c r="D337" s="1077" t="s">
        <v>1891</v>
      </c>
      <c r="E337" s="78">
        <v>42709</v>
      </c>
      <c r="F337" s="79" t="s">
        <v>2534</v>
      </c>
      <c r="G337" s="79" t="s">
        <v>2546</v>
      </c>
      <c r="H337" s="918" t="s">
        <v>2543</v>
      </c>
      <c r="I337" s="406">
        <v>13</v>
      </c>
      <c r="J337" s="1194">
        <v>220000</v>
      </c>
      <c r="K337" s="397"/>
      <c r="L337" s="406"/>
      <c r="M337" s="1195">
        <f t="shared" ref="M337:M344" si="20">ROUND(I337*J337,0)</f>
        <v>2860000</v>
      </c>
      <c r="N337" s="1073" t="s">
        <v>576</v>
      </c>
      <c r="O337" s="1073" t="s">
        <v>290</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customHeight="1">
      <c r="A338" s="1170" t="str">
        <f>IF(B338&lt;&gt;"",IF(AND(B338='IN-TC'!$S$4,OR(TH!N336="1111",TH!O336="1111")),TH!D336,""),"")</f>
        <v/>
      </c>
      <c r="B338" s="63">
        <f t="shared" si="14"/>
        <v>12</v>
      </c>
      <c r="C338" s="78">
        <v>42709</v>
      </c>
      <c r="D338" s="1077" t="s">
        <v>1891</v>
      </c>
      <c r="E338" s="78">
        <v>42709</v>
      </c>
      <c r="F338" s="79" t="s">
        <v>2536</v>
      </c>
      <c r="G338" s="79" t="s">
        <v>2546</v>
      </c>
      <c r="H338" s="918" t="s">
        <v>2543</v>
      </c>
      <c r="I338" s="406">
        <v>17</v>
      </c>
      <c r="J338" s="1194">
        <v>200000</v>
      </c>
      <c r="K338" s="397"/>
      <c r="L338" s="406"/>
      <c r="M338" s="1195">
        <f t="shared" si="20"/>
        <v>3400000</v>
      </c>
      <c r="N338" s="1073" t="s">
        <v>576</v>
      </c>
      <c r="O338" s="1073" t="s">
        <v>290</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customHeight="1">
      <c r="A339" s="1170" t="str">
        <f>IF(B339&lt;&gt;"",IF(AND(B339='IN-TC'!$S$4,OR(TH!N337="1111",TH!O337="1111")),TH!D337,""),"")</f>
        <v/>
      </c>
      <c r="B339" s="63">
        <f t="shared" si="14"/>
        <v>12</v>
      </c>
      <c r="C339" s="78">
        <v>42709</v>
      </c>
      <c r="D339" s="1077" t="s">
        <v>1891</v>
      </c>
      <c r="E339" s="78">
        <v>42709</v>
      </c>
      <c r="F339" s="79" t="s">
        <v>2535</v>
      </c>
      <c r="G339" s="79" t="s">
        <v>2546</v>
      </c>
      <c r="H339" s="918" t="s">
        <v>2543</v>
      </c>
      <c r="I339" s="406">
        <v>17</v>
      </c>
      <c r="J339" s="1194">
        <v>155000</v>
      </c>
      <c r="K339" s="397"/>
      <c r="L339" s="406"/>
      <c r="M339" s="1195">
        <f t="shared" si="20"/>
        <v>2635000</v>
      </c>
      <c r="N339" s="1073" t="s">
        <v>576</v>
      </c>
      <c r="O339" s="1073" t="s">
        <v>290</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customHeight="1">
      <c r="A340" s="1170" t="str">
        <f>IF(B340&lt;&gt;"",IF(AND(B340='IN-TC'!$S$4,OR(TH!N338="1111",TH!O338="1111")),TH!D338,""),"")</f>
        <v/>
      </c>
      <c r="B340" s="63">
        <f t="shared" si="14"/>
        <v>12</v>
      </c>
      <c r="C340" s="78">
        <v>42709</v>
      </c>
      <c r="D340" s="1077" t="s">
        <v>1891</v>
      </c>
      <c r="E340" s="78">
        <v>42709</v>
      </c>
      <c r="F340" s="79" t="s">
        <v>2537</v>
      </c>
      <c r="G340" s="79" t="s">
        <v>2546</v>
      </c>
      <c r="H340" s="918" t="s">
        <v>2543</v>
      </c>
      <c r="I340" s="406">
        <v>12</v>
      </c>
      <c r="J340" s="1194">
        <v>147000</v>
      </c>
      <c r="K340" s="397"/>
      <c r="L340" s="406"/>
      <c r="M340" s="1195">
        <f t="shared" si="20"/>
        <v>1764000</v>
      </c>
      <c r="N340" s="1073" t="s">
        <v>576</v>
      </c>
      <c r="O340" s="1073" t="s">
        <v>290</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customHeight="1">
      <c r="A341" s="1170" t="str">
        <f>IF(B341&lt;&gt;"",IF(AND(B341='IN-TC'!$S$4,OR(TH!N339="1111",TH!O339="1111")),TH!D339,""),"")</f>
        <v/>
      </c>
      <c r="B341" s="63">
        <f t="shared" si="14"/>
        <v>12</v>
      </c>
      <c r="C341" s="78">
        <v>42709</v>
      </c>
      <c r="D341" s="1077" t="s">
        <v>1891</v>
      </c>
      <c r="E341" s="78">
        <v>42709</v>
      </c>
      <c r="F341" s="79" t="s">
        <v>2538</v>
      </c>
      <c r="G341" s="79" t="s">
        <v>2546</v>
      </c>
      <c r="H341" s="918" t="s">
        <v>2543</v>
      </c>
      <c r="I341" s="406">
        <v>3</v>
      </c>
      <c r="J341" s="1194">
        <v>100000</v>
      </c>
      <c r="K341" s="397"/>
      <c r="L341" s="406"/>
      <c r="M341" s="1195">
        <f t="shared" si="20"/>
        <v>300000</v>
      </c>
      <c r="N341" s="1073" t="s">
        <v>576</v>
      </c>
      <c r="O341" s="1073" t="s">
        <v>290</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customHeight="1">
      <c r="A342" s="1170" t="str">
        <f>IF(B342&lt;&gt;"",IF(AND(B342='IN-TC'!$S$4,OR(TH!N340="1111",TH!O340="1111")),TH!D340,""),"")</f>
        <v/>
      </c>
      <c r="B342" s="63">
        <f t="shared" si="14"/>
        <v>12</v>
      </c>
      <c r="C342" s="78">
        <v>42709</v>
      </c>
      <c r="D342" s="1077" t="s">
        <v>1891</v>
      </c>
      <c r="E342" s="78">
        <v>42709</v>
      </c>
      <c r="F342" s="79" t="s">
        <v>2539</v>
      </c>
      <c r="G342" s="79" t="s">
        <v>2546</v>
      </c>
      <c r="H342" s="918" t="s">
        <v>2543</v>
      </c>
      <c r="I342" s="406">
        <v>8</v>
      </c>
      <c r="J342" s="1194">
        <v>550000</v>
      </c>
      <c r="K342" s="397"/>
      <c r="L342" s="406"/>
      <c r="M342" s="1195">
        <f t="shared" si="20"/>
        <v>4400000</v>
      </c>
      <c r="N342" s="1073" t="s">
        <v>576</v>
      </c>
      <c r="O342" s="1073" t="s">
        <v>290</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customHeight="1">
      <c r="A343" s="1170" t="str">
        <f>IF(B343&lt;&gt;"",IF(AND(B343='IN-TC'!$S$4,OR(TH!N341="1111",TH!O341="1111")),TH!D341,""),"")</f>
        <v/>
      </c>
      <c r="B343" s="63">
        <f t="shared" si="14"/>
        <v>12</v>
      </c>
      <c r="C343" s="78">
        <v>42709</v>
      </c>
      <c r="D343" s="1077" t="s">
        <v>1891</v>
      </c>
      <c r="E343" s="78">
        <v>42709</v>
      </c>
      <c r="F343" s="79" t="s">
        <v>2540</v>
      </c>
      <c r="G343" s="79" t="s">
        <v>2546</v>
      </c>
      <c r="H343" s="918" t="s">
        <v>2543</v>
      </c>
      <c r="I343" s="406">
        <v>1</v>
      </c>
      <c r="J343" s="1194">
        <v>395000</v>
      </c>
      <c r="K343" s="397"/>
      <c r="L343" s="406"/>
      <c r="M343" s="1195">
        <f t="shared" si="20"/>
        <v>395000</v>
      </c>
      <c r="N343" s="1073" t="s">
        <v>576</v>
      </c>
      <c r="O343" s="1073" t="s">
        <v>290</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customHeight="1">
      <c r="A344" s="1170" t="str">
        <f>IF(B344&lt;&gt;"",IF(AND(B344='IN-TC'!$S$4,OR(TH!N342="1111",TH!O342="1111")),TH!D342,""),"")</f>
        <v/>
      </c>
      <c r="B344" s="63">
        <f t="shared" si="14"/>
        <v>12</v>
      </c>
      <c r="C344" s="78">
        <v>42709</v>
      </c>
      <c r="D344" s="1077" t="s">
        <v>1891</v>
      </c>
      <c r="E344" s="78">
        <v>42709</v>
      </c>
      <c r="F344" s="79" t="s">
        <v>2541</v>
      </c>
      <c r="G344" s="79" t="s">
        <v>2546</v>
      </c>
      <c r="H344" s="918" t="s">
        <v>2543</v>
      </c>
      <c r="I344" s="406">
        <v>10</v>
      </c>
      <c r="J344" s="1194">
        <v>160000</v>
      </c>
      <c r="K344" s="397"/>
      <c r="L344" s="406"/>
      <c r="M344" s="1195">
        <f t="shared" si="20"/>
        <v>1600000</v>
      </c>
      <c r="N344" s="1073" t="s">
        <v>576</v>
      </c>
      <c r="O344" s="1073" t="s">
        <v>290</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customHeight="1">
      <c r="A345" s="1170" t="str">
        <f>IF(B345&lt;&gt;"",IF(AND(B345='IN-TC'!$S$4,OR(TH!N343="1111",TH!O343="1111")),TH!D343,""),"")</f>
        <v/>
      </c>
      <c r="B345" s="63">
        <f t="shared" si="14"/>
        <v>12</v>
      </c>
      <c r="C345" s="78">
        <v>42709</v>
      </c>
      <c r="D345" s="1077" t="s">
        <v>1891</v>
      </c>
      <c r="E345" s="78">
        <v>42709</v>
      </c>
      <c r="F345" s="79" t="s">
        <v>2544</v>
      </c>
      <c r="G345" s="79" t="s">
        <v>2546</v>
      </c>
      <c r="H345" s="918" t="s">
        <v>2543</v>
      </c>
      <c r="I345" s="406"/>
      <c r="J345" s="1194"/>
      <c r="K345" s="397"/>
      <c r="L345" s="406"/>
      <c r="M345" s="1195">
        <f>SUM(M337:M344)*10%</f>
        <v>1735400</v>
      </c>
      <c r="N345" s="1073" t="s">
        <v>576</v>
      </c>
      <c r="O345" s="1073" t="s">
        <v>915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customHeight="1">
      <c r="A346" s="323" t="str">
        <f>IF(B346&lt;&gt;"",IF(AND(B346='IN-TC'!$S$4,OR(TH!N4309="1111",TH!O4309="1111")),TH!D4309,""),"")</f>
        <v/>
      </c>
      <c r="B346" s="63">
        <f t="shared" ref="B346:B409" si="21">IF(C346&lt;&gt;"",MONTH(C346),"")</f>
        <v>12</v>
      </c>
      <c r="C346" s="64">
        <v>42709</v>
      </c>
      <c r="D346" s="64" t="s">
        <v>892</v>
      </c>
      <c r="E346" s="64">
        <f>C346</f>
        <v>42709</v>
      </c>
      <c r="F346" s="72" t="s">
        <v>1436</v>
      </c>
      <c r="G346" s="67" t="s">
        <v>2546</v>
      </c>
      <c r="H346" s="918" t="s">
        <v>2543</v>
      </c>
      <c r="I346" s="408"/>
      <c r="J346" s="408"/>
      <c r="K346" s="399"/>
      <c r="L346" s="408"/>
      <c r="M346" s="65">
        <v>19089400</v>
      </c>
      <c r="N346" s="66" t="s">
        <v>61</v>
      </c>
      <c r="O346" s="66" t="s">
        <v>576</v>
      </c>
      <c r="P346" s="82" t="str">
        <f>IF(AND('331-CT'!$E$7=TH!H346,OR(N346="331",O346="331")),"x","")</f>
        <v/>
      </c>
      <c r="Q346" s="82" t="str">
        <f>IF(AND(B346='111'!$L$11,OR($N346=$Q$7,$O346=$Q$7)),"x","")</f>
        <v>x</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customHeight="1">
      <c r="A347" s="1170" t="str">
        <f>IF(B347&lt;&gt;"",IF(AND(B347='IN-TC'!$S$4,OR(TH!N344="1111",TH!O344="1111")),TH!D344,""),"")</f>
        <v/>
      </c>
      <c r="B347" s="63">
        <f t="shared" si="21"/>
        <v>12</v>
      </c>
      <c r="C347" s="90">
        <v>42710</v>
      </c>
      <c r="D347" s="1087" t="s">
        <v>1895</v>
      </c>
      <c r="E347" s="90">
        <v>42710</v>
      </c>
      <c r="F347" s="91" t="s">
        <v>2534</v>
      </c>
      <c r="G347" s="91" t="s">
        <v>2547</v>
      </c>
      <c r="H347" s="937" t="s">
        <v>2543</v>
      </c>
      <c r="I347" s="414">
        <v>13</v>
      </c>
      <c r="J347" s="1132">
        <v>220000</v>
      </c>
      <c r="K347" s="405"/>
      <c r="L347" s="414"/>
      <c r="M347" s="1133">
        <f t="shared" ref="M347:M353" si="22">ROUND(I347*J347,0)</f>
        <v>2860000</v>
      </c>
      <c r="N347" s="1134" t="s">
        <v>576</v>
      </c>
      <c r="O347" s="1073" t="s">
        <v>290</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customHeight="1">
      <c r="A348" s="1170" t="str">
        <f>IF(B348&lt;&gt;"",IF(AND(B348='IN-TC'!$S$4,OR(TH!N345="1111",TH!O345="1111")),TH!D345,""),"")</f>
        <v/>
      </c>
      <c r="B348" s="63">
        <f t="shared" si="21"/>
        <v>12</v>
      </c>
      <c r="C348" s="90">
        <v>42710</v>
      </c>
      <c r="D348" s="1087" t="s">
        <v>1895</v>
      </c>
      <c r="E348" s="90">
        <v>42710</v>
      </c>
      <c r="F348" s="91" t="s">
        <v>2536</v>
      </c>
      <c r="G348" s="91" t="s">
        <v>2547</v>
      </c>
      <c r="H348" s="937" t="s">
        <v>2543</v>
      </c>
      <c r="I348" s="414">
        <v>17</v>
      </c>
      <c r="J348" s="1132">
        <v>200000</v>
      </c>
      <c r="K348" s="405"/>
      <c r="L348" s="414"/>
      <c r="M348" s="1133">
        <f t="shared" si="22"/>
        <v>3400000</v>
      </c>
      <c r="N348" s="1134" t="s">
        <v>576</v>
      </c>
      <c r="O348" s="1073" t="s">
        <v>290</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customHeight="1">
      <c r="A349" s="1170" t="str">
        <f>IF(B349&lt;&gt;"",IF(AND(B349='IN-TC'!$S$4,OR(TH!N346="1111",TH!O346="1111")),TH!D346,""),"")</f>
        <v/>
      </c>
      <c r="B349" s="63">
        <f t="shared" si="21"/>
        <v>12</v>
      </c>
      <c r="C349" s="90">
        <v>42710</v>
      </c>
      <c r="D349" s="1087" t="s">
        <v>1895</v>
      </c>
      <c r="E349" s="90">
        <v>42710</v>
      </c>
      <c r="F349" s="91" t="s">
        <v>2535</v>
      </c>
      <c r="G349" s="91" t="s">
        <v>2547</v>
      </c>
      <c r="H349" s="937" t="s">
        <v>2543</v>
      </c>
      <c r="I349" s="414">
        <v>17</v>
      </c>
      <c r="J349" s="1132">
        <v>155000</v>
      </c>
      <c r="K349" s="405"/>
      <c r="L349" s="414"/>
      <c r="M349" s="1133">
        <f t="shared" si="22"/>
        <v>2635000</v>
      </c>
      <c r="N349" s="1134" t="s">
        <v>576</v>
      </c>
      <c r="O349" s="1073" t="s">
        <v>290</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customHeight="1">
      <c r="A350" s="1170" t="str">
        <f>IF(B350&lt;&gt;"",IF(AND(B350='IN-TC'!$S$4,OR(TH!N347="1111",TH!O347="1111")),TH!D347,""),"")</f>
        <v/>
      </c>
      <c r="B350" s="63">
        <f t="shared" si="21"/>
        <v>12</v>
      </c>
      <c r="C350" s="90">
        <v>42710</v>
      </c>
      <c r="D350" s="1087" t="s">
        <v>1895</v>
      </c>
      <c r="E350" s="90">
        <v>42710</v>
      </c>
      <c r="F350" s="91" t="s">
        <v>2537</v>
      </c>
      <c r="G350" s="91" t="s">
        <v>2547</v>
      </c>
      <c r="H350" s="937" t="s">
        <v>2543</v>
      </c>
      <c r="I350" s="414">
        <v>12</v>
      </c>
      <c r="J350" s="1132">
        <v>147000</v>
      </c>
      <c r="K350" s="405"/>
      <c r="L350" s="414"/>
      <c r="M350" s="1133">
        <f t="shared" si="22"/>
        <v>1764000</v>
      </c>
      <c r="N350" s="1134" t="s">
        <v>576</v>
      </c>
      <c r="O350" s="1073" t="s">
        <v>290</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customHeight="1">
      <c r="A351" s="1170" t="str">
        <f>IF(B351&lt;&gt;"",IF(AND(B351='IN-TC'!$S$4,OR(TH!N348="1111",TH!O348="1111")),TH!D348,""),"")</f>
        <v/>
      </c>
      <c r="B351" s="63">
        <f t="shared" si="21"/>
        <v>12</v>
      </c>
      <c r="C351" s="90">
        <v>42710</v>
      </c>
      <c r="D351" s="1087" t="s">
        <v>1895</v>
      </c>
      <c r="E351" s="90">
        <v>42710</v>
      </c>
      <c r="F351" s="91" t="s">
        <v>2538</v>
      </c>
      <c r="G351" s="91" t="s">
        <v>2547</v>
      </c>
      <c r="H351" s="937" t="s">
        <v>2543</v>
      </c>
      <c r="I351" s="414">
        <v>3</v>
      </c>
      <c r="J351" s="1132">
        <v>100000</v>
      </c>
      <c r="K351" s="405"/>
      <c r="L351" s="414"/>
      <c r="M351" s="1133">
        <f t="shared" si="22"/>
        <v>300000</v>
      </c>
      <c r="N351" s="1134" t="s">
        <v>576</v>
      </c>
      <c r="O351" s="1073" t="s">
        <v>290</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customHeight="1">
      <c r="A352" s="1170" t="str">
        <f>IF(B352&lt;&gt;"",IF(AND(B352='IN-TC'!$S$4,OR(TH!N349="1111",TH!O349="1111")),TH!D349,""),"")</f>
        <v/>
      </c>
      <c r="B352" s="63">
        <f t="shared" si="21"/>
        <v>12</v>
      </c>
      <c r="C352" s="90">
        <v>42710</v>
      </c>
      <c r="D352" s="1087" t="s">
        <v>1895</v>
      </c>
      <c r="E352" s="90">
        <v>42710</v>
      </c>
      <c r="F352" s="91" t="s">
        <v>2539</v>
      </c>
      <c r="G352" s="91" t="s">
        <v>2547</v>
      </c>
      <c r="H352" s="937" t="s">
        <v>2543</v>
      </c>
      <c r="I352" s="414">
        <v>8</v>
      </c>
      <c r="J352" s="1132">
        <v>550000</v>
      </c>
      <c r="K352" s="405"/>
      <c r="L352" s="414"/>
      <c r="M352" s="1133">
        <f t="shared" si="22"/>
        <v>4400000</v>
      </c>
      <c r="N352" s="1134" t="s">
        <v>576</v>
      </c>
      <c r="O352" s="1073" t="s">
        <v>290</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customHeight="1">
      <c r="A353" s="1170" t="str">
        <f>IF(B353&lt;&gt;"",IF(AND(B353='IN-TC'!$S$4,OR(TH!N350="1111",TH!O350="1111")),TH!D350,""),"")</f>
        <v/>
      </c>
      <c r="B353" s="63">
        <f t="shared" si="21"/>
        <v>12</v>
      </c>
      <c r="C353" s="90">
        <v>42710</v>
      </c>
      <c r="D353" s="1087" t="s">
        <v>1895</v>
      </c>
      <c r="E353" s="90">
        <v>42710</v>
      </c>
      <c r="F353" s="91" t="s">
        <v>2541</v>
      </c>
      <c r="G353" s="91" t="s">
        <v>2547</v>
      </c>
      <c r="H353" s="937" t="s">
        <v>2543</v>
      </c>
      <c r="I353" s="414">
        <v>10</v>
      </c>
      <c r="J353" s="1132">
        <v>160000</v>
      </c>
      <c r="K353" s="405"/>
      <c r="L353" s="414"/>
      <c r="M353" s="1133">
        <f t="shared" si="22"/>
        <v>1600000</v>
      </c>
      <c r="N353" s="1134" t="s">
        <v>576</v>
      </c>
      <c r="O353" s="1073" t="s">
        <v>290</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customHeight="1">
      <c r="A354" s="1170" t="str">
        <f>IF(B354&lt;&gt;"",IF(AND(B354='IN-TC'!$S$4,OR(TH!N351="1111",TH!O351="1111")),TH!D351,""),"")</f>
        <v/>
      </c>
      <c r="B354" s="63">
        <f t="shared" si="21"/>
        <v>12</v>
      </c>
      <c r="C354" s="90">
        <v>42710</v>
      </c>
      <c r="D354" s="1087" t="s">
        <v>1895</v>
      </c>
      <c r="E354" s="90">
        <v>42710</v>
      </c>
      <c r="F354" s="91" t="s">
        <v>2544</v>
      </c>
      <c r="G354" s="91" t="s">
        <v>2547</v>
      </c>
      <c r="H354" s="937" t="s">
        <v>2543</v>
      </c>
      <c r="I354" s="414"/>
      <c r="J354" s="1132"/>
      <c r="K354" s="405"/>
      <c r="L354" s="414"/>
      <c r="M354" s="1133">
        <f>SUM(M347:M353)*10%</f>
        <v>1695900</v>
      </c>
      <c r="N354" s="1134" t="s">
        <v>576</v>
      </c>
      <c r="O354" s="1134" t="s">
        <v>915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customHeight="1">
      <c r="A355" s="323" t="str">
        <f>IF(B355&lt;&gt;"",IF(AND(B355='IN-TC'!$S$4,OR(TH!N4319="1111",TH!O4319="1111")),TH!D4319,""),"")</f>
        <v/>
      </c>
      <c r="B355" s="63">
        <f t="shared" si="21"/>
        <v>12</v>
      </c>
      <c r="C355" s="64">
        <v>42710</v>
      </c>
      <c r="D355" s="64" t="s">
        <v>900</v>
      </c>
      <c r="E355" s="64">
        <f>C355</f>
        <v>42710</v>
      </c>
      <c r="F355" s="72" t="s">
        <v>1436</v>
      </c>
      <c r="G355" s="67" t="s">
        <v>2547</v>
      </c>
      <c r="H355" s="918" t="s">
        <v>2543</v>
      </c>
      <c r="I355" s="408"/>
      <c r="J355" s="408"/>
      <c r="K355" s="399"/>
      <c r="L355" s="408"/>
      <c r="M355" s="65">
        <v>18654900</v>
      </c>
      <c r="N355" s="66" t="s">
        <v>61</v>
      </c>
      <c r="O355" s="66" t="s">
        <v>576</v>
      </c>
      <c r="P355" s="82" t="str">
        <f>IF(AND('331-CT'!$E$7=TH!H355,OR(N355="331",O355="331")),"x","")</f>
        <v/>
      </c>
      <c r="Q355" s="82" t="str">
        <f>IF(AND(B355='111'!$L$11,OR($N355=$Q$7,$O355=$Q$7)),"x","")</f>
        <v>x</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customHeight="1">
      <c r="A356" s="1160" t="str">
        <f>IF(B356&lt;&gt;"",IF(AND(B356='IN-TC'!$S$4,OR(TH!N352="1111",TH!O352="1111")),TH!D352,""),"")</f>
        <v/>
      </c>
      <c r="B356" s="63">
        <f t="shared" si="21"/>
        <v>12</v>
      </c>
      <c r="C356" s="78">
        <v>42711</v>
      </c>
      <c r="D356" s="1077" t="s">
        <v>2313</v>
      </c>
      <c r="E356" s="78">
        <v>42711</v>
      </c>
      <c r="F356" s="79" t="s">
        <v>2534</v>
      </c>
      <c r="G356" s="79" t="s">
        <v>2548</v>
      </c>
      <c r="H356" s="918" t="s">
        <v>2543</v>
      </c>
      <c r="I356" s="406">
        <v>13</v>
      </c>
      <c r="J356" s="1194">
        <v>220000</v>
      </c>
      <c r="K356" s="397"/>
      <c r="L356" s="406"/>
      <c r="M356" s="1195">
        <f>ROUND(I356*J356,0)</f>
        <v>2860000</v>
      </c>
      <c r="N356" s="1073" t="s">
        <v>576</v>
      </c>
      <c r="O356" s="1073" t="s">
        <v>290</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customHeight="1">
      <c r="A357" s="1160" t="str">
        <f>IF(B357&lt;&gt;"",IF(AND(B357='IN-TC'!$S$4,OR(TH!N353="1111",TH!O353="1111")),TH!D353,""),"")</f>
        <v/>
      </c>
      <c r="B357" s="63">
        <f t="shared" si="21"/>
        <v>12</v>
      </c>
      <c r="C357" s="78">
        <v>42711</v>
      </c>
      <c r="D357" s="1077" t="s">
        <v>2313</v>
      </c>
      <c r="E357" s="78">
        <v>42711</v>
      </c>
      <c r="F357" s="79" t="s">
        <v>2536</v>
      </c>
      <c r="G357" s="79" t="s">
        <v>2548</v>
      </c>
      <c r="H357" s="918" t="s">
        <v>2543</v>
      </c>
      <c r="I357" s="406">
        <v>17</v>
      </c>
      <c r="J357" s="1194">
        <v>200000</v>
      </c>
      <c r="K357" s="397"/>
      <c r="L357" s="406"/>
      <c r="M357" s="1195">
        <f>ROUND(I357*J357,0)</f>
        <v>3400000</v>
      </c>
      <c r="N357" s="1073" t="s">
        <v>576</v>
      </c>
      <c r="O357" s="1073" t="s">
        <v>290</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customHeight="1">
      <c r="A358" s="1160" t="str">
        <f>IF(B358&lt;&gt;"",IF(AND(B358='IN-TC'!$S$4,OR(TH!N354="1111",TH!O354="1111")),TH!D354,""),"")</f>
        <v/>
      </c>
      <c r="B358" s="63">
        <f t="shared" si="21"/>
        <v>12</v>
      </c>
      <c r="C358" s="78">
        <v>42711</v>
      </c>
      <c r="D358" s="1077" t="s">
        <v>2313</v>
      </c>
      <c r="E358" s="78">
        <v>42711</v>
      </c>
      <c r="F358" s="79" t="s">
        <v>2535</v>
      </c>
      <c r="G358" s="79" t="s">
        <v>2548</v>
      </c>
      <c r="H358" s="918" t="s">
        <v>2543</v>
      </c>
      <c r="I358" s="406">
        <v>17</v>
      </c>
      <c r="J358" s="1194">
        <v>155000</v>
      </c>
      <c r="K358" s="397"/>
      <c r="L358" s="406"/>
      <c r="M358" s="1195">
        <f>ROUND(I358*J358,0)</f>
        <v>2635000</v>
      </c>
      <c r="N358" s="1073" t="s">
        <v>576</v>
      </c>
      <c r="O358" s="1073" t="s">
        <v>290</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customHeight="1">
      <c r="A359" s="1160" t="str">
        <f>IF(B359&lt;&gt;"",IF(AND(B359='IN-TC'!$S$4,OR(TH!N355="1111",TH!O355="1111")),TH!D355,""),"")</f>
        <v/>
      </c>
      <c r="B359" s="63">
        <f t="shared" si="21"/>
        <v>12</v>
      </c>
      <c r="C359" s="78">
        <v>42711</v>
      </c>
      <c r="D359" s="1077" t="s">
        <v>2313</v>
      </c>
      <c r="E359" s="78">
        <v>42711</v>
      </c>
      <c r="F359" s="79" t="s">
        <v>2537</v>
      </c>
      <c r="G359" s="79" t="s">
        <v>2548</v>
      </c>
      <c r="H359" s="918" t="s">
        <v>2543</v>
      </c>
      <c r="I359" s="406">
        <v>11</v>
      </c>
      <c r="J359" s="1194">
        <v>147000</v>
      </c>
      <c r="K359" s="397"/>
      <c r="L359" s="406"/>
      <c r="M359" s="1195">
        <f>ROUND(I359*J359,0)</f>
        <v>1617000</v>
      </c>
      <c r="N359" s="1073" t="s">
        <v>576</v>
      </c>
      <c r="O359" s="1073" t="s">
        <v>290</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customHeight="1">
      <c r="A360" s="1160" t="str">
        <f>IF(B360&lt;&gt;"",IF(AND(B360='IN-TC'!$S$4,OR(TH!N4259="1111",TH!O4259="1111")),TH!D4259,""),"")</f>
        <v/>
      </c>
      <c r="B360" s="63">
        <f t="shared" si="21"/>
        <v>11</v>
      </c>
      <c r="C360" s="78">
        <v>42689</v>
      </c>
      <c r="D360" s="78" t="s">
        <v>687</v>
      </c>
      <c r="E360" s="78">
        <f>C360</f>
        <v>42689</v>
      </c>
      <c r="F360" s="80" t="s">
        <v>1436</v>
      </c>
      <c r="G360" s="79" t="s">
        <v>1544</v>
      </c>
      <c r="H360" s="80" t="s">
        <v>1887</v>
      </c>
      <c r="I360" s="406"/>
      <c r="J360" s="406"/>
      <c r="K360" s="397">
        <v>145588</v>
      </c>
      <c r="L360" s="406">
        <v>22295</v>
      </c>
      <c r="M360" s="81">
        <f>ROUND(K360*L360,0)</f>
        <v>3245884460</v>
      </c>
      <c r="N360" s="82" t="s">
        <v>260</v>
      </c>
      <c r="O360" s="82" t="s">
        <v>576</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customHeight="1">
      <c r="A361" s="1160" t="str">
        <f>IF(B361&lt;&gt;"",IF(AND(B361='IN-TC'!$S$4,OR(TH!N356="1111",TH!O356="1111")),TH!D356,""),"")</f>
        <v/>
      </c>
      <c r="B361" s="63">
        <f t="shared" si="21"/>
        <v>12</v>
      </c>
      <c r="C361" s="78">
        <v>42711</v>
      </c>
      <c r="D361" s="1077" t="s">
        <v>2313</v>
      </c>
      <c r="E361" s="78">
        <v>42711</v>
      </c>
      <c r="F361" s="79" t="s">
        <v>2538</v>
      </c>
      <c r="G361" s="79" t="s">
        <v>2548</v>
      </c>
      <c r="H361" s="918" t="s">
        <v>2543</v>
      </c>
      <c r="I361" s="406">
        <v>3</v>
      </c>
      <c r="J361" s="1194">
        <v>100000</v>
      </c>
      <c r="K361" s="397"/>
      <c r="L361" s="406"/>
      <c r="M361" s="1195">
        <f>ROUND(I361*J361,0)</f>
        <v>300000</v>
      </c>
      <c r="N361" s="1073" t="s">
        <v>576</v>
      </c>
      <c r="O361" s="1073" t="s">
        <v>290</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customHeight="1">
      <c r="A362" s="1160" t="str">
        <f>IF(B362&lt;&gt;"",IF(AND(B362='IN-TC'!$S$4,OR(TH!N357="1111",TH!O357="1111")),TH!D357,""),"")</f>
        <v/>
      </c>
      <c r="B362" s="63">
        <f t="shared" si="21"/>
        <v>12</v>
      </c>
      <c r="C362" s="78">
        <v>42711</v>
      </c>
      <c r="D362" s="1077" t="s">
        <v>2313</v>
      </c>
      <c r="E362" s="78">
        <v>42711</v>
      </c>
      <c r="F362" s="79" t="s">
        <v>2539</v>
      </c>
      <c r="G362" s="79" t="s">
        <v>2548</v>
      </c>
      <c r="H362" s="918" t="s">
        <v>2543</v>
      </c>
      <c r="I362" s="406">
        <v>9</v>
      </c>
      <c r="J362" s="1194">
        <v>550000</v>
      </c>
      <c r="K362" s="397"/>
      <c r="L362" s="406"/>
      <c r="M362" s="1195">
        <f>ROUND(I362*J362,0)</f>
        <v>4950000</v>
      </c>
      <c r="N362" s="1073" t="s">
        <v>576</v>
      </c>
      <c r="O362" s="1073" t="s">
        <v>290</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customHeight="1">
      <c r="A363" s="1160" t="str">
        <f>IF(B363&lt;&gt;"",IF(AND(B363='IN-TC'!$S$4,OR(TH!N358="1111",TH!O358="1111")),TH!D358,""),"")</f>
        <v/>
      </c>
      <c r="B363" s="63">
        <f t="shared" si="21"/>
        <v>12</v>
      </c>
      <c r="C363" s="78">
        <v>42711</v>
      </c>
      <c r="D363" s="1077" t="s">
        <v>2313</v>
      </c>
      <c r="E363" s="78">
        <v>42711</v>
      </c>
      <c r="F363" s="79" t="s">
        <v>2541</v>
      </c>
      <c r="G363" s="79" t="s">
        <v>2548</v>
      </c>
      <c r="H363" s="918" t="s">
        <v>2543</v>
      </c>
      <c r="I363" s="406">
        <v>10</v>
      </c>
      <c r="J363" s="1194">
        <v>160000</v>
      </c>
      <c r="K363" s="397"/>
      <c r="L363" s="406"/>
      <c r="M363" s="1195">
        <f>ROUND(I363*J363,0)</f>
        <v>1600000</v>
      </c>
      <c r="N363" s="1073" t="s">
        <v>576</v>
      </c>
      <c r="O363" s="1073" t="s">
        <v>290</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customHeight="1">
      <c r="A364" s="1160" t="str">
        <f>IF(B364&lt;&gt;"",IF(AND(B364='IN-TC'!$S$4,OR(TH!N359="1111",TH!O359="1111")),TH!D359,""),"")</f>
        <v/>
      </c>
      <c r="B364" s="63">
        <f t="shared" si="21"/>
        <v>12</v>
      </c>
      <c r="C364" s="78">
        <v>42711</v>
      </c>
      <c r="D364" s="1077" t="s">
        <v>2313</v>
      </c>
      <c r="E364" s="78">
        <v>42711</v>
      </c>
      <c r="F364" s="79" t="s">
        <v>2544</v>
      </c>
      <c r="G364" s="79" t="s">
        <v>2548</v>
      </c>
      <c r="H364" s="918" t="s">
        <v>2543</v>
      </c>
      <c r="I364" s="406"/>
      <c r="J364" s="1194"/>
      <c r="K364" s="397"/>
      <c r="L364" s="406"/>
      <c r="M364" s="1195">
        <v>1736200</v>
      </c>
      <c r="N364" s="1073" t="s">
        <v>576</v>
      </c>
      <c r="O364" s="1073" t="s">
        <v>915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customHeight="1">
      <c r="A365" s="323" t="str">
        <f>IF(B365&lt;&gt;"",IF(AND(B365='IN-TC'!$S$4,OR(TH!N4325="1111",TH!O4325="1111")),TH!D4325,""),"")</f>
        <v/>
      </c>
      <c r="B365" s="63">
        <f t="shared" si="21"/>
        <v>12</v>
      </c>
      <c r="C365" s="64">
        <v>42711</v>
      </c>
      <c r="D365" s="64" t="s">
        <v>1542</v>
      </c>
      <c r="E365" s="64">
        <f>C365</f>
        <v>42711</v>
      </c>
      <c r="F365" s="72" t="s">
        <v>1436</v>
      </c>
      <c r="G365" s="67" t="s">
        <v>2548</v>
      </c>
      <c r="H365" s="918" t="s">
        <v>2543</v>
      </c>
      <c r="I365" s="408"/>
      <c r="J365" s="408"/>
      <c r="K365" s="399"/>
      <c r="L365" s="408"/>
      <c r="M365" s="65">
        <v>19098200</v>
      </c>
      <c r="N365" s="66" t="s">
        <v>61</v>
      </c>
      <c r="O365" s="66" t="s">
        <v>576</v>
      </c>
      <c r="P365" s="82" t="str">
        <f>IF(AND('331-CT'!$E$7=TH!H365,OR(N365="331",O365="331")),"x","")</f>
        <v/>
      </c>
      <c r="Q365" s="82" t="str">
        <f>IF(AND(B365='111'!$L$11,OR($N365=$Q$7,$O365=$Q$7)),"x","")</f>
        <v>x</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customHeight="1">
      <c r="A366" s="1160" t="str">
        <f>IF(B366&lt;&gt;"",IF(AND(B366='IN-TC'!$S$4,OR(TH!N361="1111",TH!O361="1111")),TH!D361,""),"")</f>
        <v/>
      </c>
      <c r="B366" s="63">
        <f t="shared" si="21"/>
        <v>12</v>
      </c>
      <c r="C366" s="78">
        <v>42712</v>
      </c>
      <c r="D366" s="1077" t="s">
        <v>2317</v>
      </c>
      <c r="E366" s="78">
        <v>42712</v>
      </c>
      <c r="F366" s="79" t="s">
        <v>2534</v>
      </c>
      <c r="G366" s="79" t="s">
        <v>2549</v>
      </c>
      <c r="H366" s="918" t="s">
        <v>2543</v>
      </c>
      <c r="I366" s="406">
        <v>13</v>
      </c>
      <c r="J366" s="1194">
        <v>220000</v>
      </c>
      <c r="K366" s="397"/>
      <c r="L366" s="406"/>
      <c r="M366" s="1195">
        <f>ROUND(I366*J366,0)</f>
        <v>2860000</v>
      </c>
      <c r="N366" s="1073" t="s">
        <v>576</v>
      </c>
      <c r="O366" s="1073" t="s">
        <v>290</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customHeight="1">
      <c r="A367" s="1160" t="str">
        <f>IF(B367&lt;&gt;"",IF(AND(B367='IN-TC'!$S$4,OR(TH!N362="1111",TH!O362="1111")),TH!D362,""),"")</f>
        <v/>
      </c>
      <c r="B367" s="63">
        <f t="shared" si="21"/>
        <v>12</v>
      </c>
      <c r="C367" s="78">
        <v>42712</v>
      </c>
      <c r="D367" s="1077" t="s">
        <v>2317</v>
      </c>
      <c r="E367" s="78">
        <v>42712</v>
      </c>
      <c r="F367" s="79" t="s">
        <v>2536</v>
      </c>
      <c r="G367" s="79" t="s">
        <v>2549</v>
      </c>
      <c r="H367" s="918" t="s">
        <v>2543</v>
      </c>
      <c r="I367" s="406">
        <v>17</v>
      </c>
      <c r="J367" s="1194">
        <v>200000</v>
      </c>
      <c r="K367" s="397"/>
      <c r="L367" s="406"/>
      <c r="M367" s="1195">
        <f>ROUND(I367*J367,0)</f>
        <v>3400000</v>
      </c>
      <c r="N367" s="1073" t="s">
        <v>576</v>
      </c>
      <c r="O367" s="1073" t="s">
        <v>290</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customHeight="1">
      <c r="A368" s="1160" t="str">
        <f>IF(B368&lt;&gt;"",IF(AND(B368='IN-TC'!$S$4,OR(TH!N363="1111",TH!O363="1111")),TH!D363,""),"")</f>
        <v/>
      </c>
      <c r="B368" s="63">
        <f t="shared" si="21"/>
        <v>12</v>
      </c>
      <c r="C368" s="78">
        <v>42712</v>
      </c>
      <c r="D368" s="1077" t="s">
        <v>2317</v>
      </c>
      <c r="E368" s="78">
        <v>42712</v>
      </c>
      <c r="F368" s="79" t="s">
        <v>2535</v>
      </c>
      <c r="G368" s="79" t="s">
        <v>2549</v>
      </c>
      <c r="H368" s="918" t="s">
        <v>2543</v>
      </c>
      <c r="I368" s="406">
        <v>17</v>
      </c>
      <c r="J368" s="1194">
        <v>155000</v>
      </c>
      <c r="K368" s="397"/>
      <c r="L368" s="406"/>
      <c r="M368" s="1195">
        <f>ROUND(I368*J368,0)</f>
        <v>2635000</v>
      </c>
      <c r="N368" s="1073" t="s">
        <v>576</v>
      </c>
      <c r="O368" s="1073" t="s">
        <v>290</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customHeight="1">
      <c r="A369" s="1160" t="str">
        <f>IF(B369&lt;&gt;"",IF(AND(B369='IN-TC'!$S$4,OR(TH!N4260="1111",TH!O4260="1111")),TH!D4260,""),"")</f>
        <v/>
      </c>
      <c r="B369" s="63">
        <f t="shared" si="21"/>
        <v>11</v>
      </c>
      <c r="C369" s="78">
        <v>42689</v>
      </c>
      <c r="D369" s="78" t="s">
        <v>570</v>
      </c>
      <c r="E369" s="78">
        <f>C369</f>
        <v>42689</v>
      </c>
      <c r="F369" s="80" t="s">
        <v>1968</v>
      </c>
      <c r="G369" s="79" t="s">
        <v>1544</v>
      </c>
      <c r="H369" s="80" t="s">
        <v>1887</v>
      </c>
      <c r="I369" s="406"/>
      <c r="J369" s="406"/>
      <c r="K369" s="397">
        <v>12</v>
      </c>
      <c r="L369" s="406">
        <v>22295</v>
      </c>
      <c r="M369" s="81">
        <f>ROUND(K369*L369,0)</f>
        <v>267540</v>
      </c>
      <c r="N369" s="82" t="s">
        <v>99</v>
      </c>
      <c r="O369" s="82" t="s">
        <v>576</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customHeight="1">
      <c r="A370" s="323" t="str">
        <f>IF(B370&lt;&gt;"",IF(AND(B370='IN-TC'!$S$4,OR(TH!N303="1111",TH!O303="1111")),TH!D303,""),"")</f>
        <v/>
      </c>
      <c r="B370" s="63">
        <f t="shared" si="21"/>
        <v>11</v>
      </c>
      <c r="C370" s="1087">
        <v>42690</v>
      </c>
      <c r="D370" s="1087" t="s">
        <v>2313</v>
      </c>
      <c r="E370" s="1087">
        <f>C370</f>
        <v>42690</v>
      </c>
      <c r="F370" s="1155" t="s">
        <v>455</v>
      </c>
      <c r="G370" s="1131" t="s">
        <v>2315</v>
      </c>
      <c r="H370" s="92" t="s">
        <v>1887</v>
      </c>
      <c r="I370" s="414">
        <v>52000</v>
      </c>
      <c r="J370" s="1132">
        <v>2.8</v>
      </c>
      <c r="K370" s="405">
        <f>I370*J370</f>
        <v>145600</v>
      </c>
      <c r="L370" s="414">
        <v>22285</v>
      </c>
      <c r="M370" s="1133">
        <f>ROUND(K370*L370,0)</f>
        <v>3244696000</v>
      </c>
      <c r="N370" s="1134" t="s">
        <v>576</v>
      </c>
      <c r="O370" s="1134" t="s">
        <v>292</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customHeight="1">
      <c r="A371" s="323" t="str">
        <f>IF(B371&lt;&gt;"",IF(AND(B371='IN-TC'!$S$4,OR(TH!N304="1111",TH!O304="1111")),TH!D304,""),"")</f>
        <v/>
      </c>
      <c r="B371" s="63">
        <f t="shared" si="21"/>
        <v>11</v>
      </c>
      <c r="C371" s="1087">
        <v>42691</v>
      </c>
      <c r="D371" s="1087" t="s">
        <v>2314</v>
      </c>
      <c r="E371" s="1087">
        <f>C371</f>
        <v>42691</v>
      </c>
      <c r="F371" s="1155" t="s">
        <v>455</v>
      </c>
      <c r="G371" s="1131" t="s">
        <v>2316</v>
      </c>
      <c r="H371" s="92" t="s">
        <v>1887</v>
      </c>
      <c r="I371" s="414">
        <v>52000</v>
      </c>
      <c r="J371" s="1132">
        <v>2.8</v>
      </c>
      <c r="K371" s="405">
        <f>I371*J371</f>
        <v>145600</v>
      </c>
      <c r="L371" s="414">
        <v>22285</v>
      </c>
      <c r="M371" s="1133">
        <f>ROUND(K371*L371,0)</f>
        <v>3244696000</v>
      </c>
      <c r="N371" s="1134" t="s">
        <v>576</v>
      </c>
      <c r="O371" s="1134" t="s">
        <v>292</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customHeight="1">
      <c r="A372" s="1160" t="str">
        <f>IF(B372&lt;&gt;"",IF(AND(B372='IN-TC'!$S$4,OR(TH!N4268="1111",TH!O4268="1111")),TH!D4268,""),"")</f>
        <v/>
      </c>
      <c r="B372" s="63">
        <f t="shared" si="21"/>
        <v>11</v>
      </c>
      <c r="C372" s="78">
        <v>42696</v>
      </c>
      <c r="D372" s="78" t="s">
        <v>687</v>
      </c>
      <c r="E372" s="78">
        <f>C372</f>
        <v>42696</v>
      </c>
      <c r="F372" s="80" t="s">
        <v>1436</v>
      </c>
      <c r="G372" s="79" t="s">
        <v>1544</v>
      </c>
      <c r="H372" s="80" t="s">
        <v>1887</v>
      </c>
      <c r="I372" s="406"/>
      <c r="J372" s="406"/>
      <c r="K372" s="397">
        <v>291188</v>
      </c>
      <c r="L372" s="406">
        <v>22600</v>
      </c>
      <c r="M372" s="81">
        <f>ROUND(K372*L372,0)</f>
        <v>6580848800</v>
      </c>
      <c r="N372" s="82" t="s">
        <v>260</v>
      </c>
      <c r="O372" s="82" t="s">
        <v>576</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customHeight="1">
      <c r="A373" s="1160" t="str">
        <f>IF(B373&lt;&gt;"",IF(AND(B373='IN-TC'!$S$4,OR(TH!N4269="1111",TH!O4269="1111")),TH!D4269,""),"")</f>
        <v/>
      </c>
      <c r="B373" s="63">
        <f t="shared" si="21"/>
        <v>11</v>
      </c>
      <c r="C373" s="78">
        <v>42696</v>
      </c>
      <c r="D373" s="78" t="s">
        <v>570</v>
      </c>
      <c r="E373" s="78">
        <f>C373</f>
        <v>42696</v>
      </c>
      <c r="F373" s="80" t="s">
        <v>1968</v>
      </c>
      <c r="G373" s="79" t="s">
        <v>1544</v>
      </c>
      <c r="H373" s="80" t="s">
        <v>1887</v>
      </c>
      <c r="I373" s="406"/>
      <c r="J373" s="406"/>
      <c r="K373" s="397">
        <v>12</v>
      </c>
      <c r="L373" s="406">
        <v>22600</v>
      </c>
      <c r="M373" s="81">
        <f>ROUND(K373*L373,0)</f>
        <v>271200</v>
      </c>
      <c r="N373" s="82" t="s">
        <v>99</v>
      </c>
      <c r="O373" s="82" t="s">
        <v>576</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customHeight="1">
      <c r="A374" s="1160" t="str">
        <f>IF(B374&lt;&gt;"",IF(AND(B374='IN-TC'!$S$4,OR(TH!N374="1111",TH!O374="1111")),TH!D374,""),"")</f>
        <v/>
      </c>
      <c r="B374" s="948">
        <f t="shared" si="21"/>
        <v>12</v>
      </c>
      <c r="C374" s="78">
        <v>42725</v>
      </c>
      <c r="D374" s="1077" t="s">
        <v>2674</v>
      </c>
      <c r="E374" s="78">
        <v>42725</v>
      </c>
      <c r="F374" s="79" t="s">
        <v>435</v>
      </c>
      <c r="G374" s="79" t="s">
        <v>2717</v>
      </c>
      <c r="H374" s="918" t="s">
        <v>2718</v>
      </c>
      <c r="I374" s="406">
        <v>2639</v>
      </c>
      <c r="J374" s="1194">
        <v>124000</v>
      </c>
      <c r="K374" s="397"/>
      <c r="L374" s="406"/>
      <c r="M374" s="1195">
        <f>ROUND(I374*J374,0)</f>
        <v>327236000</v>
      </c>
      <c r="N374" s="1073" t="s">
        <v>576</v>
      </c>
      <c r="O374" s="1073" t="s">
        <v>290</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x</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customHeight="1">
      <c r="A375" s="1160" t="str">
        <f>IF(B375&lt;&gt;"",IF(AND(B375='IN-TC'!$S$4,OR(TH!N375="1111",TH!O375="1111")),TH!D375,""),"")</f>
        <v/>
      </c>
      <c r="B375" s="948">
        <f t="shared" si="21"/>
        <v>12</v>
      </c>
      <c r="C375" s="78">
        <v>42725</v>
      </c>
      <c r="D375" s="1077" t="s">
        <v>2674</v>
      </c>
      <c r="E375" s="78">
        <v>42725</v>
      </c>
      <c r="F375" s="79" t="s">
        <v>2364</v>
      </c>
      <c r="G375" s="79" t="s">
        <v>2717</v>
      </c>
      <c r="H375" s="918" t="s">
        <v>2718</v>
      </c>
      <c r="I375" s="406">
        <v>1935</v>
      </c>
      <c r="J375" s="1194">
        <v>100000</v>
      </c>
      <c r="K375" s="397"/>
      <c r="L375" s="406"/>
      <c r="M375" s="1195">
        <f>ROUND(I375*J375,0)</f>
        <v>193500000</v>
      </c>
      <c r="N375" s="1073" t="s">
        <v>576</v>
      </c>
      <c r="O375" s="1073" t="s">
        <v>290</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x</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customHeight="1">
      <c r="A376" s="1160" t="str">
        <f>IF(B376&lt;&gt;"",IF(AND(B376='IN-TC'!$S$4,OR(TH!N376="1111",TH!O376="1111")),TH!D376,""),"")</f>
        <v/>
      </c>
      <c r="B376" s="948">
        <f t="shared" si="21"/>
        <v>12</v>
      </c>
      <c r="C376" s="78">
        <v>42725</v>
      </c>
      <c r="D376" s="1077" t="s">
        <v>2674</v>
      </c>
      <c r="E376" s="78">
        <v>42725</v>
      </c>
      <c r="F376" s="79" t="s">
        <v>2716</v>
      </c>
      <c r="G376" s="79" t="s">
        <v>2717</v>
      </c>
      <c r="H376" s="918" t="s">
        <v>2718</v>
      </c>
      <c r="I376" s="406">
        <v>810</v>
      </c>
      <c r="J376" s="1194">
        <v>97000</v>
      </c>
      <c r="K376" s="397"/>
      <c r="L376" s="406"/>
      <c r="M376" s="1195">
        <f>ROUND(I376*J376,0)</f>
        <v>78570000</v>
      </c>
      <c r="N376" s="1073" t="s">
        <v>576</v>
      </c>
      <c r="O376" s="1073" t="s">
        <v>290</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x</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customHeight="1">
      <c r="A377" s="1160" t="str">
        <f>IF(B377&lt;&gt;"",IF(AND(B377='IN-TC'!$S$4,OR(TH!N4270="1111",TH!O4270="1111")),TH!D4270,""),"")</f>
        <v/>
      </c>
      <c r="B377" s="63">
        <f t="shared" si="21"/>
        <v>11</v>
      </c>
      <c r="C377" s="78">
        <v>42696</v>
      </c>
      <c r="D377" s="78" t="s">
        <v>570</v>
      </c>
      <c r="E377" s="78">
        <f>C377</f>
        <v>42696</v>
      </c>
      <c r="F377" s="80" t="s">
        <v>1049</v>
      </c>
      <c r="G377" s="79" t="s">
        <v>1544</v>
      </c>
      <c r="H377" s="80" t="s">
        <v>1887</v>
      </c>
      <c r="I377" s="406"/>
      <c r="J377" s="406"/>
      <c r="K377" s="397"/>
      <c r="L377" s="406"/>
      <c r="M377" s="81">
        <v>88816000</v>
      </c>
      <c r="N377" s="82" t="s">
        <v>576</v>
      </c>
      <c r="O377" s="82" t="s">
        <v>41</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customHeight="1">
      <c r="A378" s="1160" t="str">
        <f>IF(B378&lt;&gt;"",IF(AND(B378='IN-TC'!$S$4,OR(TH!N4284="1111",TH!O4284="1111")),TH!D4284,""),"")</f>
        <v/>
      </c>
      <c r="B378" s="63">
        <f t="shared" si="21"/>
        <v>11</v>
      </c>
      <c r="C378" s="78">
        <v>42698</v>
      </c>
      <c r="D378" s="78" t="s">
        <v>687</v>
      </c>
      <c r="E378" s="78">
        <f>C378</f>
        <v>42698</v>
      </c>
      <c r="F378" s="80" t="s">
        <v>1436</v>
      </c>
      <c r="G378" s="79" t="s">
        <v>1544</v>
      </c>
      <c r="H378" s="80" t="s">
        <v>1887</v>
      </c>
      <c r="I378" s="406"/>
      <c r="J378" s="406"/>
      <c r="K378" s="397">
        <v>145588</v>
      </c>
      <c r="L378" s="408">
        <v>22600</v>
      </c>
      <c r="M378" s="81">
        <f>ROUND(K378*L378,0)</f>
        <v>3290288800</v>
      </c>
      <c r="N378" s="82" t="s">
        <v>260</v>
      </c>
      <c r="O378" s="82" t="s">
        <v>576</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customHeight="1">
      <c r="A379" s="1160" t="str">
        <f>IF(B379&lt;&gt;"",IF(AND(B379='IN-TC'!$S$4,OR(TH!N364="1111",TH!O364="1111")),TH!D364,""),"")</f>
        <v/>
      </c>
      <c r="B379" s="63">
        <f t="shared" si="21"/>
        <v>12</v>
      </c>
      <c r="C379" s="78">
        <v>42712</v>
      </c>
      <c r="D379" s="1077" t="s">
        <v>2317</v>
      </c>
      <c r="E379" s="78">
        <v>42712</v>
      </c>
      <c r="F379" s="79" t="s">
        <v>2537</v>
      </c>
      <c r="G379" s="79" t="s">
        <v>2549</v>
      </c>
      <c r="H379" s="918" t="s">
        <v>2543</v>
      </c>
      <c r="I379" s="406">
        <v>11</v>
      </c>
      <c r="J379" s="1194">
        <v>147000</v>
      </c>
      <c r="K379" s="397"/>
      <c r="L379" s="406"/>
      <c r="M379" s="1195">
        <f>ROUND(I379*J379,0)</f>
        <v>1617000</v>
      </c>
      <c r="N379" s="1073" t="s">
        <v>576</v>
      </c>
      <c r="O379" s="1073" t="s">
        <v>290</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customHeight="1">
      <c r="A380" s="1160" t="str">
        <f>IF(B380&lt;&gt;"",IF(AND(B380='IN-TC'!$S$4,OR(TH!N365="1111",TH!O365="1111")),TH!D365,""),"")</f>
        <v/>
      </c>
      <c r="B380" s="63">
        <f t="shared" si="21"/>
        <v>12</v>
      </c>
      <c r="C380" s="78">
        <v>42712</v>
      </c>
      <c r="D380" s="1077" t="s">
        <v>2317</v>
      </c>
      <c r="E380" s="78">
        <v>42712</v>
      </c>
      <c r="F380" s="79" t="s">
        <v>2538</v>
      </c>
      <c r="G380" s="79" t="s">
        <v>2549</v>
      </c>
      <c r="H380" s="918" t="s">
        <v>2543</v>
      </c>
      <c r="I380" s="406">
        <v>3</v>
      </c>
      <c r="J380" s="1194">
        <v>100000</v>
      </c>
      <c r="K380" s="397"/>
      <c r="L380" s="406"/>
      <c r="M380" s="1195">
        <f>ROUND(I380*J380,0)</f>
        <v>300000</v>
      </c>
      <c r="N380" s="1073" t="s">
        <v>576</v>
      </c>
      <c r="O380" s="1073" t="s">
        <v>290</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customHeight="1">
      <c r="A381" s="1160" t="str">
        <f>IF(B381&lt;&gt;"",IF(AND(B381='IN-TC'!$S$4,OR(TH!N366="1111",TH!O366="1111")),TH!D366,""),"")</f>
        <v/>
      </c>
      <c r="B381" s="63">
        <f t="shared" si="21"/>
        <v>12</v>
      </c>
      <c r="C381" s="78">
        <v>42712</v>
      </c>
      <c r="D381" s="1077" t="s">
        <v>2317</v>
      </c>
      <c r="E381" s="78">
        <v>42712</v>
      </c>
      <c r="F381" s="79" t="s">
        <v>2539</v>
      </c>
      <c r="G381" s="79" t="s">
        <v>2549</v>
      </c>
      <c r="H381" s="918" t="s">
        <v>2543</v>
      </c>
      <c r="I381" s="406">
        <v>9</v>
      </c>
      <c r="J381" s="1194">
        <v>550000</v>
      </c>
      <c r="K381" s="397"/>
      <c r="L381" s="406"/>
      <c r="M381" s="1195">
        <f>ROUND(I381*J381,0)</f>
        <v>4950000</v>
      </c>
      <c r="N381" s="1073" t="s">
        <v>576</v>
      </c>
      <c r="O381" s="1073" t="s">
        <v>290</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customHeight="1">
      <c r="A382" s="1160" t="str">
        <f>IF(B382&lt;&gt;"",IF(AND(B382='IN-TC'!$S$4,OR(TH!N367="1111",TH!O367="1111")),TH!D367,""),"")</f>
        <v/>
      </c>
      <c r="B382" s="63">
        <f t="shared" si="21"/>
        <v>12</v>
      </c>
      <c r="C382" s="78">
        <v>42712</v>
      </c>
      <c r="D382" s="1077" t="s">
        <v>2317</v>
      </c>
      <c r="E382" s="78">
        <v>42712</v>
      </c>
      <c r="F382" s="79" t="s">
        <v>2541</v>
      </c>
      <c r="G382" s="79" t="s">
        <v>2549</v>
      </c>
      <c r="H382" s="918" t="s">
        <v>2543</v>
      </c>
      <c r="I382" s="397">
        <v>10.7</v>
      </c>
      <c r="J382" s="1194">
        <v>160000</v>
      </c>
      <c r="K382" s="397"/>
      <c r="L382" s="406"/>
      <c r="M382" s="1195">
        <f>ROUND(I382*J382,0)</f>
        <v>1712000</v>
      </c>
      <c r="N382" s="1073" t="s">
        <v>576</v>
      </c>
      <c r="O382" s="1073" t="s">
        <v>290</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customHeight="1">
      <c r="A383" s="1160" t="str">
        <f>IF(B383&lt;&gt;"",IF(AND(B383='IN-TC'!$S$4,OR(TH!N368="1111",TH!O368="1111")),TH!D368,""),"")</f>
        <v/>
      </c>
      <c r="B383" s="63">
        <f t="shared" si="21"/>
        <v>12</v>
      </c>
      <c r="C383" s="78">
        <v>42712</v>
      </c>
      <c r="D383" s="1077" t="s">
        <v>2317</v>
      </c>
      <c r="E383" s="78">
        <v>42712</v>
      </c>
      <c r="F383" s="79" t="s">
        <v>2544</v>
      </c>
      <c r="G383" s="79" t="s">
        <v>2549</v>
      </c>
      <c r="H383" s="918" t="s">
        <v>2543</v>
      </c>
      <c r="I383" s="406"/>
      <c r="J383" s="1194"/>
      <c r="K383" s="397"/>
      <c r="L383" s="406"/>
      <c r="M383" s="1195">
        <v>1747400</v>
      </c>
      <c r="N383" s="1073" t="s">
        <v>576</v>
      </c>
      <c r="O383" s="1073" t="s">
        <v>915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customHeight="1">
      <c r="A384" s="323" t="str">
        <f>IF(B384&lt;&gt;"",IF(AND(B384='IN-TC'!$S$4,OR(TH!N4333="1111",TH!O4333="1111")),TH!D4333,""),"")</f>
        <v/>
      </c>
      <c r="B384" s="63">
        <f t="shared" si="21"/>
        <v>12</v>
      </c>
      <c r="C384" s="64">
        <v>42712</v>
      </c>
      <c r="D384" s="64" t="s">
        <v>2060</v>
      </c>
      <c r="E384" s="64">
        <f>C384</f>
        <v>42712</v>
      </c>
      <c r="F384" s="72" t="s">
        <v>1436</v>
      </c>
      <c r="G384" s="67" t="s">
        <v>2549</v>
      </c>
      <c r="H384" s="918" t="s">
        <v>2543</v>
      </c>
      <c r="I384" s="408"/>
      <c r="J384" s="408"/>
      <c r="K384" s="399"/>
      <c r="L384" s="408"/>
      <c r="M384" s="65">
        <v>19221400</v>
      </c>
      <c r="N384" s="66" t="s">
        <v>61</v>
      </c>
      <c r="O384" s="66" t="s">
        <v>576</v>
      </c>
      <c r="P384" s="82" t="str">
        <f>IF(AND('331-CT'!$E$7=TH!H384,OR(N384="331",O384="331")),"x","")</f>
        <v/>
      </c>
      <c r="Q384" s="82" t="str">
        <f>IF(AND(B384='111'!$L$11,OR($N384=$Q$7,$O384=$Q$7)),"x","")</f>
        <v>x</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customHeight="1">
      <c r="A385" s="323" t="str">
        <f>IF(B385&lt;&gt;"",IF(AND(B385='IN-TC'!$S$4,OR(TH!N274="1111",TH!O274="1111")),TH!D274,""),"")</f>
        <v/>
      </c>
      <c r="B385" s="63">
        <f t="shared" si="21"/>
        <v>7</v>
      </c>
      <c r="C385" s="1087">
        <v>42563</v>
      </c>
      <c r="D385" s="1087" t="s">
        <v>585</v>
      </c>
      <c r="E385" s="1087">
        <f>C385</f>
        <v>42563</v>
      </c>
      <c r="F385" s="1155" t="s">
        <v>1775</v>
      </c>
      <c r="G385" s="1131" t="s">
        <v>1773</v>
      </c>
      <c r="H385" s="92" t="s">
        <v>1751</v>
      </c>
      <c r="I385" s="414"/>
      <c r="J385" s="1132"/>
      <c r="K385" s="405"/>
      <c r="L385" s="414"/>
      <c r="M385" s="1133">
        <v>57227381</v>
      </c>
      <c r="N385" s="1134" t="s">
        <v>576</v>
      </c>
      <c r="O385" s="1134" t="s">
        <v>915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customHeight="1">
      <c r="A386" s="323" t="str">
        <f>IF(B386&lt;&gt;"",IF(AND(B386='IN-TC'!$S$4,OR(TH!N3433="1111",TH!O3433="1111")),TH!D3433,""),"")</f>
        <v/>
      </c>
      <c r="B386" s="63">
        <f t="shared" si="21"/>
        <v>7</v>
      </c>
      <c r="C386" s="64">
        <v>42564</v>
      </c>
      <c r="D386" s="64" t="s">
        <v>687</v>
      </c>
      <c r="E386" s="64">
        <f>C386</f>
        <v>42564</v>
      </c>
      <c r="F386" s="72" t="s">
        <v>1436</v>
      </c>
      <c r="G386" s="67" t="s">
        <v>902</v>
      </c>
      <c r="H386" s="72" t="s">
        <v>1751</v>
      </c>
      <c r="I386" s="408"/>
      <c r="J386" s="408"/>
      <c r="K386" s="399"/>
      <c r="L386" s="408"/>
      <c r="M386" s="65">
        <v>329501191</v>
      </c>
      <c r="N386" s="66" t="s">
        <v>25</v>
      </c>
      <c r="O386" s="66" t="s">
        <v>576</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customHeight="1">
      <c r="A387" s="1160" t="str">
        <f>IF(B387&lt;&gt;"",IF(AND(B387='IN-TC'!$S$4,OR(TH!N4285="1111",TH!O4285="1111")),TH!D4285,""),"")</f>
        <v/>
      </c>
      <c r="B387" s="63">
        <f t="shared" si="21"/>
        <v>11</v>
      </c>
      <c r="C387" s="78">
        <v>42698</v>
      </c>
      <c r="D387" s="78" t="s">
        <v>570</v>
      </c>
      <c r="E387" s="78">
        <f>C387</f>
        <v>42698</v>
      </c>
      <c r="F387" s="80" t="s">
        <v>1968</v>
      </c>
      <c r="G387" s="79" t="s">
        <v>1544</v>
      </c>
      <c r="H387" s="80" t="s">
        <v>1887</v>
      </c>
      <c r="I387" s="406"/>
      <c r="J387" s="406"/>
      <c r="K387" s="397">
        <v>12</v>
      </c>
      <c r="L387" s="408">
        <v>22600</v>
      </c>
      <c r="M387" s="81">
        <f>ROUND(K387*L387,0)</f>
        <v>271200</v>
      </c>
      <c r="N387" s="82" t="s">
        <v>99</v>
      </c>
      <c r="O387" s="82" t="s">
        <v>576</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customHeight="1">
      <c r="A388" s="1160" t="str">
        <f>IF(B388&lt;&gt;"",IF(AND(B388='IN-TC'!$S$4,OR(TH!N4286="1111",TH!O4286="1111")),TH!D4286,""),"")</f>
        <v/>
      </c>
      <c r="B388" s="63">
        <f t="shared" si="21"/>
        <v>11</v>
      </c>
      <c r="C388" s="78">
        <v>42698</v>
      </c>
      <c r="D388" s="78" t="s">
        <v>570</v>
      </c>
      <c r="E388" s="78">
        <f>C388</f>
        <v>42698</v>
      </c>
      <c r="F388" s="80" t="s">
        <v>1049</v>
      </c>
      <c r="G388" s="79" t="s">
        <v>1544</v>
      </c>
      <c r="H388" s="80" t="s">
        <v>1887</v>
      </c>
      <c r="I388" s="406"/>
      <c r="J388" s="406"/>
      <c r="K388" s="397"/>
      <c r="L388" s="408"/>
      <c r="M388" s="81">
        <v>45864000</v>
      </c>
      <c r="N388" s="82" t="s">
        <v>576</v>
      </c>
      <c r="O388" s="82" t="s">
        <v>41</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customHeight="1">
      <c r="A389" s="323" t="str">
        <f>IF(B389&lt;&gt;"",IF(AND(B389='IN-TC'!$S$4,OR(TH!N389="1111",TH!O389="1111")),TH!D389,""),"")</f>
        <v/>
      </c>
      <c r="B389" s="63">
        <f t="shared" si="21"/>
        <v>1</v>
      </c>
      <c r="C389" s="78">
        <f t="shared" ref="C389:C399" si="23">E389</f>
        <v>42389</v>
      </c>
      <c r="D389" s="78" t="s">
        <v>684</v>
      </c>
      <c r="E389" s="78">
        <v>42389</v>
      </c>
      <c r="F389" s="79" t="s">
        <v>441</v>
      </c>
      <c r="G389" s="79"/>
      <c r="H389" s="80" t="s">
        <v>682</v>
      </c>
      <c r="I389" s="406">
        <v>7100</v>
      </c>
      <c r="J389" s="406">
        <v>227439.6076732394</v>
      </c>
      <c r="K389" s="397"/>
      <c r="L389" s="406"/>
      <c r="M389" s="81">
        <f t="shared" ref="M389:M412" si="24">ROUND(I389*J389,0)</f>
        <v>1614821214</v>
      </c>
      <c r="N389" s="82" t="s">
        <v>278</v>
      </c>
      <c r="O389" s="82" t="s">
        <v>276</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customHeight="1">
      <c r="A390" s="323" t="str">
        <f>IF(B390&lt;&gt;"",IF(AND(B390='IN-TC'!$S$4,OR(TH!N390="1111",TH!O390="1111")),TH!D390,""),"")</f>
        <v/>
      </c>
      <c r="B390" s="63">
        <f t="shared" si="21"/>
        <v>1</v>
      </c>
      <c r="C390" s="78">
        <f t="shared" si="23"/>
        <v>42393</v>
      </c>
      <c r="D390" s="78" t="s">
        <v>685</v>
      </c>
      <c r="E390" s="78">
        <v>42393</v>
      </c>
      <c r="F390" s="79" t="s">
        <v>443</v>
      </c>
      <c r="G390" s="79"/>
      <c r="H390" s="80" t="s">
        <v>682</v>
      </c>
      <c r="I390" s="406">
        <v>4800</v>
      </c>
      <c r="J390" s="406">
        <v>167491.75955492959</v>
      </c>
      <c r="K390" s="397"/>
      <c r="L390" s="406"/>
      <c r="M390" s="81">
        <f t="shared" si="24"/>
        <v>803960446</v>
      </c>
      <c r="N390" s="82" t="s">
        <v>278</v>
      </c>
      <c r="O390" s="82" t="s">
        <v>276</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customHeight="1">
      <c r="A391" s="323" t="str">
        <f>IF(B391&lt;&gt;"",IF(AND(B391='IN-TC'!$S$4,OR(TH!N391="1111",TH!O391="1111")),TH!D391,""),"")</f>
        <v/>
      </c>
      <c r="B391" s="63">
        <f t="shared" si="21"/>
        <v>1</v>
      </c>
      <c r="C391" s="78">
        <f t="shared" si="23"/>
        <v>42400</v>
      </c>
      <c r="D391" s="78" t="s">
        <v>686</v>
      </c>
      <c r="E391" s="78">
        <v>42400</v>
      </c>
      <c r="F391" s="79" t="s">
        <v>442</v>
      </c>
      <c r="G391" s="79"/>
      <c r="H391" s="80" t="s">
        <v>682</v>
      </c>
      <c r="I391" s="406">
        <v>12000</v>
      </c>
      <c r="J391" s="406">
        <v>174694.76313802815</v>
      </c>
      <c r="K391" s="397"/>
      <c r="L391" s="406"/>
      <c r="M391" s="81">
        <f t="shared" si="24"/>
        <v>2096337158</v>
      </c>
      <c r="N391" s="82" t="s">
        <v>278</v>
      </c>
      <c r="O391" s="82" t="s">
        <v>276</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customHeight="1">
      <c r="A392" s="323" t="str">
        <f>IF(B392&lt;&gt;"",IF(AND(B392='IN-TC'!$S$4,OR(TH!N392="1111",TH!O392="1111")),TH!D392,""),"")</f>
        <v/>
      </c>
      <c r="B392" s="63">
        <f t="shared" si="21"/>
        <v>1</v>
      </c>
      <c r="C392" s="90">
        <f t="shared" si="23"/>
        <v>42395</v>
      </c>
      <c r="D392" s="90" t="s">
        <v>584</v>
      </c>
      <c r="E392" s="90">
        <v>42395</v>
      </c>
      <c r="F392" s="91" t="s">
        <v>441</v>
      </c>
      <c r="G392" s="91"/>
      <c r="H392" s="92" t="s">
        <v>589</v>
      </c>
      <c r="I392" s="414">
        <v>7100</v>
      </c>
      <c r="J392" s="414">
        <v>227439.6076732394</v>
      </c>
      <c r="K392" s="405"/>
      <c r="L392" s="414"/>
      <c r="M392" s="93">
        <f t="shared" si="24"/>
        <v>1614821214</v>
      </c>
      <c r="N392" s="83" t="s">
        <v>288</v>
      </c>
      <c r="O392" s="83" t="s">
        <v>278</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customHeight="1">
      <c r="A393" s="323" t="str">
        <f>IF(B393&lt;&gt;"",IF(AND(B393='IN-TC'!$S$4,OR(TH!N393="1111",TH!O393="1111")),TH!D393,""),"")</f>
        <v/>
      </c>
      <c r="B393" s="63">
        <f t="shared" si="21"/>
        <v>1</v>
      </c>
      <c r="C393" s="90">
        <f t="shared" si="23"/>
        <v>42395</v>
      </c>
      <c r="D393" s="90" t="s">
        <v>585</v>
      </c>
      <c r="E393" s="90">
        <v>42395</v>
      </c>
      <c r="F393" s="91" t="s">
        <v>443</v>
      </c>
      <c r="G393" s="91"/>
      <c r="H393" s="92" t="s">
        <v>586</v>
      </c>
      <c r="I393" s="414">
        <v>4800</v>
      </c>
      <c r="J393" s="414">
        <v>167491.75955492959</v>
      </c>
      <c r="K393" s="405"/>
      <c r="L393" s="414"/>
      <c r="M393" s="93">
        <f t="shared" si="24"/>
        <v>803960446</v>
      </c>
      <c r="N393" s="83" t="s">
        <v>288</v>
      </c>
      <c r="O393" s="83" t="s">
        <v>278</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customHeight="1">
      <c r="A394" s="323" t="str">
        <f>IF(B394&lt;&gt;"",IF(AND(B394='IN-TC'!$S$4,OR(TH!N394="1111",TH!O394="1111")),TH!D394,""),"")</f>
        <v/>
      </c>
      <c r="B394" s="63">
        <f t="shared" si="21"/>
        <v>2</v>
      </c>
      <c r="C394" s="90">
        <f t="shared" si="23"/>
        <v>42402</v>
      </c>
      <c r="D394" s="90" t="s">
        <v>584</v>
      </c>
      <c r="E394" s="90">
        <v>42402</v>
      </c>
      <c r="F394" s="91" t="s">
        <v>442</v>
      </c>
      <c r="G394" s="91"/>
      <c r="H394" s="937" t="s">
        <v>587</v>
      </c>
      <c r="I394" s="414">
        <v>12000</v>
      </c>
      <c r="J394" s="414">
        <v>174694.76313802815</v>
      </c>
      <c r="K394" s="405"/>
      <c r="L394" s="414"/>
      <c r="M394" s="93">
        <f t="shared" si="24"/>
        <v>2096337158</v>
      </c>
      <c r="N394" s="83" t="s">
        <v>288</v>
      </c>
      <c r="O394" s="83" t="s">
        <v>278</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customHeight="1">
      <c r="A395" s="323" t="str">
        <f>IF(B395&lt;&gt;"",IF(AND(B395='IN-TC'!$S$4,OR(TH!N395="1111",TH!O395="1111")),TH!D395,""),"")</f>
        <v/>
      </c>
      <c r="B395" s="63">
        <f t="shared" si="21"/>
        <v>2</v>
      </c>
      <c r="C395" s="78">
        <f t="shared" si="23"/>
        <v>42429</v>
      </c>
      <c r="D395" s="78" t="s">
        <v>684</v>
      </c>
      <c r="E395" s="78">
        <v>42429</v>
      </c>
      <c r="F395" s="79" t="s">
        <v>442</v>
      </c>
      <c r="G395" s="79"/>
      <c r="H395" s="80" t="s">
        <v>683</v>
      </c>
      <c r="I395" s="406">
        <v>8000</v>
      </c>
      <c r="J395" s="406">
        <v>188920.19132243001</v>
      </c>
      <c r="K395" s="397"/>
      <c r="L395" s="406"/>
      <c r="M395" s="81">
        <f t="shared" si="24"/>
        <v>1511361531</v>
      </c>
      <c r="N395" s="84" t="s">
        <v>278</v>
      </c>
      <c r="O395" s="82" t="s">
        <v>276</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customHeight="1">
      <c r="A396" s="323" t="str">
        <f>IF(B396&lt;&gt;"",IF(AND(B396='IN-TC'!$S$4,OR(TH!N396="1111",TH!O396="1111")),TH!D396,""),"")</f>
        <v/>
      </c>
      <c r="B396" s="63">
        <f t="shared" si="21"/>
        <v>2</v>
      </c>
      <c r="C396" s="78">
        <f t="shared" si="23"/>
        <v>42429</v>
      </c>
      <c r="D396" s="78" t="s">
        <v>684</v>
      </c>
      <c r="E396" s="78">
        <v>42429</v>
      </c>
      <c r="F396" s="79" t="s">
        <v>455</v>
      </c>
      <c r="G396" s="79"/>
      <c r="H396" s="80" t="s">
        <v>682</v>
      </c>
      <c r="I396" s="406">
        <v>26000</v>
      </c>
      <c r="J396" s="406">
        <v>60917.153439252332</v>
      </c>
      <c r="K396" s="397"/>
      <c r="L396" s="406"/>
      <c r="M396" s="81">
        <f t="shared" si="24"/>
        <v>1583845989</v>
      </c>
      <c r="N396" s="84" t="s">
        <v>278</v>
      </c>
      <c r="O396" s="82" t="s">
        <v>276</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customHeight="1">
      <c r="A397" s="323" t="str">
        <f>IF(B397&lt;&gt;"",IF(AND(B397='IN-TC'!$S$4,OR(TH!N397="1111",TH!O397="1111")),TH!D397,""),"")</f>
        <v/>
      </c>
      <c r="B397" s="63">
        <f t="shared" si="21"/>
        <v>3</v>
      </c>
      <c r="C397" s="90">
        <f t="shared" si="23"/>
        <v>42430</v>
      </c>
      <c r="D397" s="90" t="s">
        <v>584</v>
      </c>
      <c r="E397" s="90">
        <v>42430</v>
      </c>
      <c r="F397" s="91" t="s">
        <v>442</v>
      </c>
      <c r="G397" s="91"/>
      <c r="H397" s="92" t="s">
        <v>682</v>
      </c>
      <c r="I397" s="414">
        <v>8000</v>
      </c>
      <c r="J397" s="414">
        <v>188920.19132243001</v>
      </c>
      <c r="K397" s="405"/>
      <c r="L397" s="414"/>
      <c r="M397" s="93">
        <f t="shared" si="24"/>
        <v>1511361531</v>
      </c>
      <c r="N397" s="1111" t="s">
        <v>276</v>
      </c>
      <c r="O397" s="83" t="s">
        <v>278</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customHeight="1">
      <c r="A398" s="323" t="str">
        <f>IF(B398&lt;&gt;"",IF(AND(B398='IN-TC'!$S$4,OR(TH!N398="1111",TH!O398="1111")),TH!D398,""),"")</f>
        <v/>
      </c>
      <c r="B398" s="63">
        <f t="shared" si="21"/>
        <v>3</v>
      </c>
      <c r="C398" s="78">
        <f t="shared" si="23"/>
        <v>42441</v>
      </c>
      <c r="D398" s="78" t="s">
        <v>684</v>
      </c>
      <c r="E398" s="78">
        <v>42441</v>
      </c>
      <c r="F398" s="79" t="s">
        <v>442</v>
      </c>
      <c r="G398" s="79"/>
      <c r="H398" s="80" t="s">
        <v>682</v>
      </c>
      <c r="I398" s="406">
        <v>8000</v>
      </c>
      <c r="J398" s="406">
        <v>190253.454348247</v>
      </c>
      <c r="K398" s="397"/>
      <c r="L398" s="406"/>
      <c r="M398" s="81">
        <f t="shared" si="24"/>
        <v>1522027635</v>
      </c>
      <c r="N398" s="82" t="s">
        <v>278</v>
      </c>
      <c r="O398" s="82" t="s">
        <v>276</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customHeight="1">
      <c r="A399" s="323" t="str">
        <f>IF(B399&lt;&gt;"",IF(AND(B399='IN-TC'!$S$4,OR(TH!N399="1111",TH!O399="1111")),TH!D399,""),"")</f>
        <v/>
      </c>
      <c r="B399" s="63">
        <f t="shared" si="21"/>
        <v>3</v>
      </c>
      <c r="C399" s="78">
        <f t="shared" si="23"/>
        <v>42441</v>
      </c>
      <c r="D399" s="78" t="s">
        <v>684</v>
      </c>
      <c r="E399" s="78">
        <v>42441</v>
      </c>
      <c r="F399" s="79" t="s">
        <v>442</v>
      </c>
      <c r="G399" s="79"/>
      <c r="H399" s="80" t="s">
        <v>682</v>
      </c>
      <c r="I399" s="406">
        <v>4500</v>
      </c>
      <c r="J399" s="406">
        <v>191332.90106964711</v>
      </c>
      <c r="K399" s="397"/>
      <c r="L399" s="406"/>
      <c r="M399" s="81">
        <f t="shared" si="24"/>
        <v>860998055</v>
      </c>
      <c r="N399" s="82" t="s">
        <v>278</v>
      </c>
      <c r="O399" s="82" t="s">
        <v>276</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customHeight="1">
      <c r="A400" s="323" t="str">
        <f>IF(B400&lt;&gt;"",IF(AND(B400='IN-TC'!$S$4,OR(TH!N400="1111",TH!O400="1111")),TH!D400,""),"")</f>
        <v/>
      </c>
      <c r="B400" s="63">
        <f t="shared" si="21"/>
        <v>3</v>
      </c>
      <c r="C400" s="78">
        <v>42459</v>
      </c>
      <c r="D400" s="78" t="s">
        <v>685</v>
      </c>
      <c r="E400" s="78">
        <f>C400</f>
        <v>42459</v>
      </c>
      <c r="F400" s="79" t="s">
        <v>443</v>
      </c>
      <c r="G400" s="79"/>
      <c r="H400" s="80" t="s">
        <v>683</v>
      </c>
      <c r="I400" s="406">
        <v>5000</v>
      </c>
      <c r="J400" s="406">
        <v>164712.01841428879</v>
      </c>
      <c r="K400" s="397"/>
      <c r="L400" s="406"/>
      <c r="M400" s="81">
        <f t="shared" si="24"/>
        <v>823560092</v>
      </c>
      <c r="N400" s="82" t="s">
        <v>278</v>
      </c>
      <c r="O400" s="82" t="s">
        <v>276</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customHeight="1">
      <c r="A401" s="323" t="str">
        <f>IF(B401&lt;&gt;"",IF(AND(B401='IN-TC'!$S$4,OR(TH!N401="1111",TH!O401="1111")),TH!D401,""),"")</f>
        <v/>
      </c>
      <c r="B401" s="63">
        <f t="shared" si="21"/>
        <v>3</v>
      </c>
      <c r="C401" s="78">
        <v>42460</v>
      </c>
      <c r="D401" s="78" t="s">
        <v>686</v>
      </c>
      <c r="E401" s="78">
        <f>C401</f>
        <v>42460</v>
      </c>
      <c r="F401" s="79" t="s">
        <v>455</v>
      </c>
      <c r="G401" s="79"/>
      <c r="H401" s="80" t="s">
        <v>682</v>
      </c>
      <c r="I401" s="406">
        <v>26000</v>
      </c>
      <c r="J401" s="406">
        <v>61720.081765715528</v>
      </c>
      <c r="K401" s="397"/>
      <c r="L401" s="406"/>
      <c r="M401" s="81">
        <f t="shared" si="24"/>
        <v>1604722126</v>
      </c>
      <c r="N401" s="84" t="s">
        <v>278</v>
      </c>
      <c r="O401" s="82" t="s">
        <v>276</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customHeight="1">
      <c r="A402" s="323" t="str">
        <f>IF(B402&lt;&gt;"",IF(AND(B402='IN-TC'!$S$4,OR(TH!N402="1111",TH!O402="1111")),TH!D402,""),"")</f>
        <v/>
      </c>
      <c r="B402" s="63">
        <f t="shared" si="21"/>
        <v>3</v>
      </c>
      <c r="C402" s="90">
        <f>E402</f>
        <v>42443</v>
      </c>
      <c r="D402" s="90" t="s">
        <v>585</v>
      </c>
      <c r="E402" s="90">
        <v>42443</v>
      </c>
      <c r="F402" s="91" t="s">
        <v>442</v>
      </c>
      <c r="G402" s="91"/>
      <c r="H402" s="937" t="s">
        <v>587</v>
      </c>
      <c r="I402" s="414">
        <v>8000</v>
      </c>
      <c r="J402" s="414">
        <v>190253.454348247</v>
      </c>
      <c r="K402" s="405"/>
      <c r="L402" s="414"/>
      <c r="M402" s="93">
        <f t="shared" si="24"/>
        <v>1522027635</v>
      </c>
      <c r="N402" s="83" t="s">
        <v>288</v>
      </c>
      <c r="O402" s="83" t="s">
        <v>278</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customHeight="1">
      <c r="A403" s="323" t="str">
        <f>IF(B403&lt;&gt;"",IF(AND(B403='IN-TC'!$S$4,OR(TH!N403="1111",TH!O403="1111")),TH!D403,""),"")</f>
        <v/>
      </c>
      <c r="B403" s="63">
        <f t="shared" si="21"/>
        <v>3</v>
      </c>
      <c r="C403" s="90">
        <f>E403</f>
        <v>42443</v>
      </c>
      <c r="D403" s="90" t="s">
        <v>585</v>
      </c>
      <c r="E403" s="90">
        <v>42443</v>
      </c>
      <c r="F403" s="91" t="s">
        <v>442</v>
      </c>
      <c r="G403" s="91"/>
      <c r="H403" s="937" t="s">
        <v>587</v>
      </c>
      <c r="I403" s="414">
        <v>4500</v>
      </c>
      <c r="J403" s="406">
        <v>191332.90106964711</v>
      </c>
      <c r="K403" s="405"/>
      <c r="L403" s="414"/>
      <c r="M403" s="93">
        <f t="shared" si="24"/>
        <v>860998055</v>
      </c>
      <c r="N403" s="83" t="s">
        <v>288</v>
      </c>
      <c r="O403" s="83" t="s">
        <v>278</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customHeight="1">
      <c r="A404" s="323" t="str">
        <f>IF(B404&lt;&gt;"",IF(AND(B404='IN-TC'!$S$4,OR(TH!N404="1111",TH!O404="1111")),TH!D404,""),"")</f>
        <v/>
      </c>
      <c r="B404" s="63">
        <f t="shared" si="21"/>
        <v>4</v>
      </c>
      <c r="C404" s="90">
        <v>42465</v>
      </c>
      <c r="D404" s="90" t="s">
        <v>584</v>
      </c>
      <c r="E404" s="90">
        <f>C404</f>
        <v>42465</v>
      </c>
      <c r="F404" s="91" t="s">
        <v>443</v>
      </c>
      <c r="G404" s="91"/>
      <c r="H404" s="92" t="s">
        <v>682</v>
      </c>
      <c r="I404" s="414">
        <v>5000</v>
      </c>
      <c r="J404" s="406">
        <v>164712.01841428879</v>
      </c>
      <c r="K404" s="405"/>
      <c r="L404" s="414"/>
      <c r="M404" s="93">
        <f t="shared" si="24"/>
        <v>823560092</v>
      </c>
      <c r="N404" s="1111" t="s">
        <v>276</v>
      </c>
      <c r="O404" s="83" t="s">
        <v>278</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customHeight="1">
      <c r="A405" s="323" t="str">
        <f>IF(B405&lt;&gt;"",IF(AND(B405='IN-TC'!$S$4,OR(TH!N405="1111",TH!O405="1111")),TH!D405,""),"")</f>
        <v/>
      </c>
      <c r="B405" s="63">
        <f t="shared" si="21"/>
        <v>4</v>
      </c>
      <c r="C405" s="78">
        <v>42473</v>
      </c>
      <c r="D405" s="78" t="s">
        <v>684</v>
      </c>
      <c r="E405" s="78">
        <f>C405</f>
        <v>42473</v>
      </c>
      <c r="F405" s="79" t="s">
        <v>443</v>
      </c>
      <c r="G405" s="79"/>
      <c r="H405" s="80" t="s">
        <v>682</v>
      </c>
      <c r="I405" s="406">
        <v>5000</v>
      </c>
      <c r="J405" s="406">
        <v>175125.38279999999</v>
      </c>
      <c r="K405" s="397"/>
      <c r="L405" s="406"/>
      <c r="M405" s="81">
        <f t="shared" si="24"/>
        <v>875626914</v>
      </c>
      <c r="N405" s="82" t="s">
        <v>278</v>
      </c>
      <c r="O405" s="82" t="s">
        <v>276</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customHeight="1">
      <c r="A406" s="323" t="str">
        <f>IF(B406&lt;&gt;"",IF(AND(B406='IN-TC'!$S$4,OR(TH!N406="1111",TH!O406="1111")),TH!D406,""),"")</f>
        <v/>
      </c>
      <c r="B406" s="63">
        <f t="shared" si="21"/>
        <v>4</v>
      </c>
      <c r="C406" s="78">
        <v>42473</v>
      </c>
      <c r="D406" s="78" t="s">
        <v>684</v>
      </c>
      <c r="E406" s="78">
        <f>C406</f>
        <v>42473</v>
      </c>
      <c r="F406" s="79" t="s">
        <v>443</v>
      </c>
      <c r="G406" s="79"/>
      <c r="H406" s="80" t="s">
        <v>682</v>
      </c>
      <c r="I406" s="406">
        <v>3800</v>
      </c>
      <c r="J406" s="406">
        <v>231064.56368421053</v>
      </c>
      <c r="K406" s="397"/>
      <c r="L406" s="406"/>
      <c r="M406" s="81">
        <f t="shared" si="24"/>
        <v>878045342</v>
      </c>
      <c r="N406" s="82" t="s">
        <v>278</v>
      </c>
      <c r="O406" s="82" t="s">
        <v>276</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customHeight="1">
      <c r="A407" s="323" t="str">
        <f>IF(B407&lt;&gt;"",IF(AND(B407='IN-TC'!$S$4,OR(TH!N407="1111",TH!O407="1111")),TH!D407,""),"")</f>
        <v/>
      </c>
      <c r="B407" s="63">
        <f t="shared" si="21"/>
        <v>4</v>
      </c>
      <c r="C407" s="90">
        <v>42473</v>
      </c>
      <c r="D407" s="90" t="s">
        <v>585</v>
      </c>
      <c r="E407" s="90">
        <f>C407</f>
        <v>42473</v>
      </c>
      <c r="F407" s="91" t="s">
        <v>443</v>
      </c>
      <c r="G407" s="91" t="s">
        <v>1349</v>
      </c>
      <c r="H407" s="937" t="s">
        <v>1350</v>
      </c>
      <c r="I407" s="414">
        <v>5000</v>
      </c>
      <c r="J407" s="414">
        <v>175125.38279999999</v>
      </c>
      <c r="K407" s="405"/>
      <c r="L407" s="414"/>
      <c r="M407" s="93">
        <f t="shared" si="24"/>
        <v>875626914</v>
      </c>
      <c r="N407" s="83" t="s">
        <v>288</v>
      </c>
      <c r="O407" s="83" t="s">
        <v>278</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customHeight="1">
      <c r="A408" s="323" t="str">
        <f>IF(B408&lt;&gt;"",IF(AND(B408='IN-TC'!$S$4,OR(TH!N408="1111",TH!O408="1111")),TH!D408,""),"")</f>
        <v/>
      </c>
      <c r="B408" s="63">
        <f t="shared" si="21"/>
        <v>4</v>
      </c>
      <c r="C408" s="90">
        <v>42473</v>
      </c>
      <c r="D408" s="90" t="s">
        <v>585</v>
      </c>
      <c r="E408" s="90">
        <f>C408</f>
        <v>42473</v>
      </c>
      <c r="F408" s="91" t="s">
        <v>443</v>
      </c>
      <c r="G408" s="91" t="s">
        <v>1349</v>
      </c>
      <c r="H408" s="937" t="s">
        <v>1350</v>
      </c>
      <c r="I408" s="414">
        <v>3800</v>
      </c>
      <c r="J408" s="414">
        <v>231064.56368421053</v>
      </c>
      <c r="K408" s="405"/>
      <c r="L408" s="414"/>
      <c r="M408" s="93">
        <f t="shared" si="24"/>
        <v>878045342</v>
      </c>
      <c r="N408" s="83" t="s">
        <v>288</v>
      </c>
      <c r="O408" s="83" t="s">
        <v>278</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customHeight="1">
      <c r="A409" s="323" t="str">
        <f>IF(B409&lt;&gt;"",IF(AND(B409='IN-TC'!$S$4,OR(TH!N409="1111",TH!O409="1111")),TH!D409,""),"")</f>
        <v/>
      </c>
      <c r="B409" s="63">
        <f t="shared" si="21"/>
        <v>5</v>
      </c>
      <c r="C409" s="78">
        <f t="shared" ref="C409:C418" si="25">E409</f>
        <v>42496</v>
      </c>
      <c r="D409" s="78" t="s">
        <v>684</v>
      </c>
      <c r="E409" s="78">
        <v>42496</v>
      </c>
      <c r="F409" s="79" t="s">
        <v>441</v>
      </c>
      <c r="G409" s="79"/>
      <c r="H409" s="80" t="s">
        <v>682</v>
      </c>
      <c r="I409" s="406">
        <v>4140</v>
      </c>
      <c r="J409" s="406">
        <v>251571.11594202899</v>
      </c>
      <c r="K409" s="397"/>
      <c r="L409" s="406"/>
      <c r="M409" s="81">
        <f t="shared" si="24"/>
        <v>1041504420</v>
      </c>
      <c r="N409" s="84" t="s">
        <v>278</v>
      </c>
      <c r="O409" s="82" t="s">
        <v>276</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customHeight="1">
      <c r="A410" s="323" t="str">
        <f>IF(B410&lt;&gt;"",IF(AND(B410='IN-TC'!$S$4,OR(TH!N410="1111",TH!O410="1111")),TH!D410,""),"")</f>
        <v/>
      </c>
      <c r="B410" s="63">
        <f t="shared" ref="B410:B473" si="26">IF(C410&lt;&gt;"",MONTH(C410),"")</f>
        <v>5</v>
      </c>
      <c r="C410" s="78">
        <f t="shared" si="25"/>
        <v>42496</v>
      </c>
      <c r="D410" s="78" t="s">
        <v>684</v>
      </c>
      <c r="E410" s="78">
        <v>42496</v>
      </c>
      <c r="F410" s="79" t="s">
        <v>1501</v>
      </c>
      <c r="G410" s="79"/>
      <c r="H410" s="80" t="s">
        <v>682</v>
      </c>
      <c r="I410" s="406">
        <v>880</v>
      </c>
      <c r="J410" s="406">
        <v>164164.23977272728</v>
      </c>
      <c r="K410" s="397"/>
      <c r="L410" s="406"/>
      <c r="M410" s="81">
        <f t="shared" si="24"/>
        <v>144464531</v>
      </c>
      <c r="N410" s="84" t="s">
        <v>278</v>
      </c>
      <c r="O410" s="82" t="s">
        <v>276</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customHeight="1">
      <c r="A411" s="323" t="str">
        <f>IF(B411&lt;&gt;"",IF(AND(B411='IN-TC'!$S$4,OR(TH!N411="1111",TH!O411="1111")),TH!D411,""),"")</f>
        <v/>
      </c>
      <c r="B411" s="63">
        <f t="shared" si="26"/>
        <v>5</v>
      </c>
      <c r="C411" s="78">
        <f t="shared" si="25"/>
        <v>42496</v>
      </c>
      <c r="D411" s="78" t="s">
        <v>684</v>
      </c>
      <c r="E411" s="78">
        <v>42496</v>
      </c>
      <c r="F411" s="79" t="s">
        <v>1502</v>
      </c>
      <c r="G411" s="79"/>
      <c r="H411" s="80" t="s">
        <v>682</v>
      </c>
      <c r="I411" s="406">
        <v>600</v>
      </c>
      <c r="J411" s="406">
        <v>156530.29999999999</v>
      </c>
      <c r="K411" s="397"/>
      <c r="L411" s="406"/>
      <c r="M411" s="81">
        <f t="shared" si="24"/>
        <v>93918180</v>
      </c>
      <c r="N411" s="84" t="s">
        <v>278</v>
      </c>
      <c r="O411" s="82" t="s">
        <v>276</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customHeight="1">
      <c r="A412" s="323" t="str">
        <f>IF(B412&lt;&gt;"",IF(AND(B412='IN-TC'!$S$4,OR(TH!N412="1111",TH!O412="1111")),TH!D412,""),"")</f>
        <v/>
      </c>
      <c r="B412" s="63">
        <f t="shared" si="26"/>
        <v>5</v>
      </c>
      <c r="C412" s="78">
        <f t="shared" si="25"/>
        <v>42496</v>
      </c>
      <c r="D412" s="78" t="s">
        <v>684</v>
      </c>
      <c r="E412" s="78">
        <v>42496</v>
      </c>
      <c r="F412" s="79" t="s">
        <v>1503</v>
      </c>
      <c r="G412" s="79"/>
      <c r="H412" s="80" t="s">
        <v>682</v>
      </c>
      <c r="I412" s="406">
        <v>1000</v>
      </c>
      <c r="J412" s="406">
        <v>184747.84400000001</v>
      </c>
      <c r="K412" s="397"/>
      <c r="L412" s="406"/>
      <c r="M412" s="81">
        <f t="shared" si="24"/>
        <v>184747844</v>
      </c>
      <c r="N412" s="84" t="s">
        <v>278</v>
      </c>
      <c r="O412" s="82" t="s">
        <v>276</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customHeight="1">
      <c r="A413" s="323" t="str">
        <f>IF(B413&lt;&gt;"",IF(AND(B413='IN-TC'!$S$4,OR(TH!N413="1111",TH!O413="1111")),TH!D413,""),"")</f>
        <v/>
      </c>
      <c r="B413" s="63">
        <f t="shared" si="26"/>
        <v>5</v>
      </c>
      <c r="C413" s="78">
        <f t="shared" si="25"/>
        <v>42502</v>
      </c>
      <c r="D413" s="78" t="s">
        <v>685</v>
      </c>
      <c r="E413" s="78">
        <v>42502</v>
      </c>
      <c r="F413" s="79" t="s">
        <v>443</v>
      </c>
      <c r="G413" s="79"/>
      <c r="H413" s="80" t="s">
        <v>682</v>
      </c>
      <c r="I413" s="406">
        <v>4800</v>
      </c>
      <c r="J413" s="406">
        <v>180883.31416666668</v>
      </c>
      <c r="K413" s="397"/>
      <c r="L413" s="406"/>
      <c r="M413" s="81">
        <f>ROUND(I413*J413,0)+0.5</f>
        <v>868239908.5</v>
      </c>
      <c r="N413" s="84" t="s">
        <v>278</v>
      </c>
      <c r="O413" s="82" t="s">
        <v>276</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customHeight="1">
      <c r="A414" s="323" t="str">
        <f>IF(B414&lt;&gt;"",IF(AND(B414='IN-TC'!$S$4,OR(TH!N414="1111",TH!O414="1111")),TH!D414,""),"")</f>
        <v/>
      </c>
      <c r="B414" s="63">
        <f t="shared" si="26"/>
        <v>5</v>
      </c>
      <c r="C414" s="90">
        <f t="shared" si="25"/>
        <v>42496</v>
      </c>
      <c r="D414" s="90" t="s">
        <v>584</v>
      </c>
      <c r="E414" s="90">
        <v>42496</v>
      </c>
      <c r="F414" s="91" t="s">
        <v>441</v>
      </c>
      <c r="G414" s="91" t="s">
        <v>1500</v>
      </c>
      <c r="H414" s="937" t="s">
        <v>589</v>
      </c>
      <c r="I414" s="414">
        <v>4140</v>
      </c>
      <c r="J414" s="414">
        <v>251571.11594202899</v>
      </c>
      <c r="K414" s="405"/>
      <c r="L414" s="414"/>
      <c r="M414" s="93">
        <f>ROUND(I414*J414,0)</f>
        <v>1041504420</v>
      </c>
      <c r="N414" s="83" t="s">
        <v>288</v>
      </c>
      <c r="O414" s="83" t="s">
        <v>278</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customHeight="1">
      <c r="A415" s="323" t="str">
        <f>IF(B415&lt;&gt;"",IF(AND(B415='IN-TC'!$S$4,OR(TH!N415="1111",TH!O415="1111")),TH!D415,""),"")</f>
        <v/>
      </c>
      <c r="B415" s="63">
        <f t="shared" si="26"/>
        <v>5</v>
      </c>
      <c r="C415" s="90">
        <f t="shared" si="25"/>
        <v>42496</v>
      </c>
      <c r="D415" s="90" t="s">
        <v>584</v>
      </c>
      <c r="E415" s="90">
        <v>42496</v>
      </c>
      <c r="F415" s="91" t="s">
        <v>1501</v>
      </c>
      <c r="G415" s="91" t="s">
        <v>1500</v>
      </c>
      <c r="H415" s="937" t="s">
        <v>589</v>
      </c>
      <c r="I415" s="414">
        <v>880</v>
      </c>
      <c r="J415" s="414">
        <v>164164.23977272728</v>
      </c>
      <c r="K415" s="405"/>
      <c r="L415" s="414"/>
      <c r="M415" s="93">
        <f>ROUND(I415*J415,0)</f>
        <v>144464531</v>
      </c>
      <c r="N415" s="83" t="s">
        <v>288</v>
      </c>
      <c r="O415" s="83" t="s">
        <v>278</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customHeight="1">
      <c r="A416" s="323" t="str">
        <f>IF(B416&lt;&gt;"",IF(AND(B416='IN-TC'!$S$4,OR(TH!N416="1111",TH!O416="1111")),TH!D416,""),"")</f>
        <v/>
      </c>
      <c r="B416" s="63">
        <f t="shared" si="26"/>
        <v>5</v>
      </c>
      <c r="C416" s="90">
        <f t="shared" si="25"/>
        <v>42496</v>
      </c>
      <c r="D416" s="90" t="s">
        <v>584</v>
      </c>
      <c r="E416" s="90">
        <v>42496</v>
      </c>
      <c r="F416" s="91" t="s">
        <v>1502</v>
      </c>
      <c r="G416" s="91" t="s">
        <v>1500</v>
      </c>
      <c r="H416" s="937" t="s">
        <v>589</v>
      </c>
      <c r="I416" s="414">
        <v>600</v>
      </c>
      <c r="J416" s="414">
        <v>156530.29999999999</v>
      </c>
      <c r="K416" s="405"/>
      <c r="L416" s="414"/>
      <c r="M416" s="93">
        <f>ROUND(I416*J416,0)</f>
        <v>93918180</v>
      </c>
      <c r="N416" s="83" t="s">
        <v>288</v>
      </c>
      <c r="O416" s="83" t="s">
        <v>278</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customHeight="1">
      <c r="A417" s="323" t="str">
        <f>IF(B417&lt;&gt;"",IF(AND(B417='IN-TC'!$S$4,OR(TH!N417="1111",TH!O417="1111")),TH!D417,""),"")</f>
        <v/>
      </c>
      <c r="B417" s="63">
        <f t="shared" si="26"/>
        <v>5</v>
      </c>
      <c r="C417" s="90">
        <f t="shared" si="25"/>
        <v>42496</v>
      </c>
      <c r="D417" s="90" t="s">
        <v>584</v>
      </c>
      <c r="E417" s="90">
        <v>42496</v>
      </c>
      <c r="F417" s="91" t="s">
        <v>1503</v>
      </c>
      <c r="G417" s="91" t="s">
        <v>1500</v>
      </c>
      <c r="H417" s="937" t="s">
        <v>589</v>
      </c>
      <c r="I417" s="414">
        <v>1000</v>
      </c>
      <c r="J417" s="414">
        <v>184747.84400000001</v>
      </c>
      <c r="K417" s="405"/>
      <c r="L417" s="414"/>
      <c r="M417" s="93">
        <f>ROUND(I417*J417,0)</f>
        <v>184747844</v>
      </c>
      <c r="N417" s="83" t="s">
        <v>288</v>
      </c>
      <c r="O417" s="83" t="s">
        <v>278</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customHeight="1">
      <c r="A418" s="323" t="str">
        <f>IF(B418&lt;&gt;"",IF(AND(B418='IN-TC'!$S$4,OR(TH!N418="1111",TH!O418="1111")),TH!D418,""),"")</f>
        <v/>
      </c>
      <c r="B418" s="63">
        <f t="shared" si="26"/>
        <v>5</v>
      </c>
      <c r="C418" s="90">
        <f t="shared" si="25"/>
        <v>42502</v>
      </c>
      <c r="D418" s="90" t="s">
        <v>585</v>
      </c>
      <c r="E418" s="90">
        <v>42502</v>
      </c>
      <c r="F418" s="91" t="s">
        <v>443</v>
      </c>
      <c r="G418" s="91" t="s">
        <v>1504</v>
      </c>
      <c r="H418" s="937" t="s">
        <v>586</v>
      </c>
      <c r="I418" s="414">
        <v>4800</v>
      </c>
      <c r="J418" s="414">
        <v>180883.31416666668</v>
      </c>
      <c r="K418" s="405"/>
      <c r="L418" s="414"/>
      <c r="M418" s="93">
        <f>ROUND(I418*J418,0)+0.5</f>
        <v>868239908.5</v>
      </c>
      <c r="N418" s="83" t="s">
        <v>288</v>
      </c>
      <c r="O418" s="83" t="s">
        <v>278</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customHeight="1">
      <c r="A419" s="323" t="str">
        <f>IF(B419&lt;&gt;"",IF(AND(B419='IN-TC'!$S$4,OR(TH!N419="1111",TH!O419="1111")),TH!D419,""),"")</f>
        <v/>
      </c>
      <c r="B419" s="63">
        <f t="shared" si="26"/>
        <v>6</v>
      </c>
      <c r="C419" s="78">
        <v>42527</v>
      </c>
      <c r="D419" s="78" t="s">
        <v>684</v>
      </c>
      <c r="E419" s="78">
        <f t="shared" ref="E419:E450" si="27">C419</f>
        <v>42527</v>
      </c>
      <c r="F419" s="79" t="s">
        <v>442</v>
      </c>
      <c r="G419" s="79"/>
      <c r="H419" s="80" t="s">
        <v>682</v>
      </c>
      <c r="I419" s="406">
        <v>10000</v>
      </c>
      <c r="J419" s="406">
        <v>191651.98759999999</v>
      </c>
      <c r="K419" s="397"/>
      <c r="L419" s="406"/>
      <c r="M419" s="81">
        <f t="shared" ref="M419:M430" si="28">ROUND(I419*J419,0)</f>
        <v>1916519876</v>
      </c>
      <c r="N419" s="84" t="s">
        <v>278</v>
      </c>
      <c r="O419" s="82" t="s">
        <v>276</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customHeight="1">
      <c r="A420" s="323" t="str">
        <f>IF(B420&lt;&gt;"",IF(AND(B420='IN-TC'!$S$4,OR(TH!N420="1111",TH!O420="1111")),TH!D420,""),"")</f>
        <v/>
      </c>
      <c r="B420" s="63">
        <f t="shared" si="26"/>
        <v>6</v>
      </c>
      <c r="C420" s="78">
        <v>42532</v>
      </c>
      <c r="D420" s="78" t="s">
        <v>685</v>
      </c>
      <c r="E420" s="78">
        <f t="shared" si="27"/>
        <v>42532</v>
      </c>
      <c r="F420" s="79" t="s">
        <v>441</v>
      </c>
      <c r="G420" s="79"/>
      <c r="H420" s="80" t="s">
        <v>682</v>
      </c>
      <c r="I420" s="406">
        <v>1000</v>
      </c>
      <c r="J420" s="406">
        <v>233926.454</v>
      </c>
      <c r="K420" s="397"/>
      <c r="L420" s="406"/>
      <c r="M420" s="81">
        <f t="shared" si="28"/>
        <v>233926454</v>
      </c>
      <c r="N420" s="84" t="s">
        <v>278</v>
      </c>
      <c r="O420" s="82" t="s">
        <v>276</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customHeight="1">
      <c r="A421" s="323" t="str">
        <f>IF(B421&lt;&gt;"",IF(AND(B421='IN-TC'!$S$4,OR(TH!N421="1111",TH!O421="1111")),TH!D421,""),"")</f>
        <v/>
      </c>
      <c r="B421" s="63">
        <f t="shared" si="26"/>
        <v>6</v>
      </c>
      <c r="C421" s="78">
        <v>42532</v>
      </c>
      <c r="D421" s="78" t="s">
        <v>685</v>
      </c>
      <c r="E421" s="78">
        <f t="shared" si="27"/>
        <v>42532</v>
      </c>
      <c r="F421" s="79" t="s">
        <v>1503</v>
      </c>
      <c r="G421" s="79"/>
      <c r="H421" s="80" t="s">
        <v>682</v>
      </c>
      <c r="I421" s="406">
        <v>2640</v>
      </c>
      <c r="J421" s="406">
        <v>174548.8446969697</v>
      </c>
      <c r="K421" s="397"/>
      <c r="L421" s="406"/>
      <c r="M421" s="81">
        <f t="shared" si="28"/>
        <v>460808950</v>
      </c>
      <c r="N421" s="84" t="s">
        <v>278</v>
      </c>
      <c r="O421" s="82" t="s">
        <v>276</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customHeight="1">
      <c r="A422" s="323" t="str">
        <f>IF(B422&lt;&gt;"",IF(AND(B422='IN-TC'!$S$4,OR(TH!N422="1111",TH!O422="1111")),TH!D422,""),"")</f>
        <v/>
      </c>
      <c r="B422" s="63">
        <f t="shared" si="26"/>
        <v>6</v>
      </c>
      <c r="C422" s="78">
        <v>42535</v>
      </c>
      <c r="D422" s="78" t="s">
        <v>686</v>
      </c>
      <c r="E422" s="78">
        <f t="shared" si="27"/>
        <v>42535</v>
      </c>
      <c r="F422" s="79" t="s">
        <v>1658</v>
      </c>
      <c r="G422" s="79"/>
      <c r="H422" s="80" t="s">
        <v>682</v>
      </c>
      <c r="I422" s="406">
        <v>1750</v>
      </c>
      <c r="J422" s="406">
        <v>13272.885714285714</v>
      </c>
      <c r="K422" s="397"/>
      <c r="L422" s="406"/>
      <c r="M422" s="81">
        <f t="shared" si="28"/>
        <v>23227550</v>
      </c>
      <c r="N422" s="84" t="s">
        <v>278</v>
      </c>
      <c r="O422" s="82" t="s">
        <v>276</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customHeight="1">
      <c r="A423" s="323" t="str">
        <f>IF(B423&lt;&gt;"",IF(AND(B423='IN-TC'!$S$4,OR(TH!N423="1111",TH!O423="1111")),TH!D423,""),"")</f>
        <v/>
      </c>
      <c r="B423" s="63">
        <f t="shared" si="26"/>
        <v>6</v>
      </c>
      <c r="C423" s="78">
        <v>42535</v>
      </c>
      <c r="D423" s="78" t="s">
        <v>686</v>
      </c>
      <c r="E423" s="78">
        <f t="shared" si="27"/>
        <v>42535</v>
      </c>
      <c r="F423" s="79" t="s">
        <v>1659</v>
      </c>
      <c r="G423" s="79"/>
      <c r="H423" s="80" t="s">
        <v>682</v>
      </c>
      <c r="I423" s="406">
        <v>5390</v>
      </c>
      <c r="J423" s="406">
        <v>13271.772356215213</v>
      </c>
      <c r="K423" s="397"/>
      <c r="L423" s="406"/>
      <c r="M423" s="81">
        <f t="shared" si="28"/>
        <v>71534853</v>
      </c>
      <c r="N423" s="84" t="s">
        <v>278</v>
      </c>
      <c r="O423" s="82" t="s">
        <v>276</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customHeight="1">
      <c r="A424" s="323" t="str">
        <f>IF(B424&lt;&gt;"",IF(AND(B424='IN-TC'!$S$4,OR(TH!N424="1111",TH!O424="1111")),TH!D424,""),"")</f>
        <v/>
      </c>
      <c r="B424" s="63">
        <f t="shared" si="26"/>
        <v>6</v>
      </c>
      <c r="C424" s="90">
        <v>42527</v>
      </c>
      <c r="D424" s="90" t="s">
        <v>584</v>
      </c>
      <c r="E424" s="90">
        <f t="shared" si="27"/>
        <v>42527</v>
      </c>
      <c r="F424" s="91" t="s">
        <v>442</v>
      </c>
      <c r="G424" s="91" t="s">
        <v>1537</v>
      </c>
      <c r="H424" s="937" t="s">
        <v>1538</v>
      </c>
      <c r="I424" s="414">
        <v>10000</v>
      </c>
      <c r="J424" s="414">
        <v>191651.98759999999</v>
      </c>
      <c r="K424" s="405"/>
      <c r="L424" s="414"/>
      <c r="M424" s="93">
        <f t="shared" si="28"/>
        <v>1916519876</v>
      </c>
      <c r="N424" s="83" t="s">
        <v>288</v>
      </c>
      <c r="O424" s="83" t="s">
        <v>278</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customHeight="1">
      <c r="A425" s="323" t="str">
        <f>IF(B425&lt;&gt;"",IF(AND(B425='IN-TC'!$S$4,OR(TH!N425="1111",TH!O425="1111")),TH!D425,""),"")</f>
        <v/>
      </c>
      <c r="B425" s="63">
        <f t="shared" si="26"/>
        <v>6</v>
      </c>
      <c r="C425" s="90">
        <v>42532</v>
      </c>
      <c r="D425" s="90" t="s">
        <v>585</v>
      </c>
      <c r="E425" s="90">
        <f t="shared" si="27"/>
        <v>42532</v>
      </c>
      <c r="F425" s="91" t="s">
        <v>441</v>
      </c>
      <c r="G425" s="91" t="s">
        <v>1536</v>
      </c>
      <c r="H425" s="937" t="s">
        <v>589</v>
      </c>
      <c r="I425" s="414">
        <v>1000</v>
      </c>
      <c r="J425" s="414">
        <v>233926.454</v>
      </c>
      <c r="K425" s="405"/>
      <c r="L425" s="414"/>
      <c r="M425" s="93">
        <f t="shared" si="28"/>
        <v>233926454</v>
      </c>
      <c r="N425" s="83" t="s">
        <v>288</v>
      </c>
      <c r="O425" s="83" t="s">
        <v>278</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customHeight="1">
      <c r="A426" s="323" t="str">
        <f>IF(B426&lt;&gt;"",IF(AND(B426='IN-TC'!$S$4,OR(TH!N426="1111",TH!O426="1111")),TH!D426,""),"")</f>
        <v/>
      </c>
      <c r="B426" s="63">
        <f t="shared" si="26"/>
        <v>6</v>
      </c>
      <c r="C426" s="90">
        <v>42532</v>
      </c>
      <c r="D426" s="90" t="s">
        <v>585</v>
      </c>
      <c r="E426" s="90">
        <f t="shared" si="27"/>
        <v>42532</v>
      </c>
      <c r="F426" s="91" t="s">
        <v>1503</v>
      </c>
      <c r="G426" s="91" t="s">
        <v>1536</v>
      </c>
      <c r="H426" s="937" t="s">
        <v>589</v>
      </c>
      <c r="I426" s="414">
        <v>2640</v>
      </c>
      <c r="J426" s="414">
        <v>174548.8446969697</v>
      </c>
      <c r="K426" s="405"/>
      <c r="L426" s="414"/>
      <c r="M426" s="93">
        <f t="shared" si="28"/>
        <v>460808950</v>
      </c>
      <c r="N426" s="83" t="s">
        <v>288</v>
      </c>
      <c r="O426" s="83" t="s">
        <v>278</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customHeight="1">
      <c r="A427" s="323" t="str">
        <f>IF(B427&lt;&gt;"",IF(AND(B427='IN-TC'!$S$4,OR(TH!N427="1111",TH!O427="1111")),TH!D427,""),"")</f>
        <v/>
      </c>
      <c r="B427" s="63">
        <f t="shared" si="26"/>
        <v>6</v>
      </c>
      <c r="C427" s="90">
        <v>42535</v>
      </c>
      <c r="D427" s="90" t="s">
        <v>1657</v>
      </c>
      <c r="E427" s="90">
        <f t="shared" si="27"/>
        <v>42535</v>
      </c>
      <c r="F427" s="91" t="s">
        <v>1658</v>
      </c>
      <c r="G427" s="91" t="s">
        <v>1660</v>
      </c>
      <c r="H427" s="937" t="s">
        <v>1525</v>
      </c>
      <c r="I427" s="414">
        <v>1750</v>
      </c>
      <c r="J427" s="414">
        <v>13272.885714285714</v>
      </c>
      <c r="K427" s="405"/>
      <c r="L427" s="414"/>
      <c r="M427" s="93">
        <f t="shared" si="28"/>
        <v>23227550</v>
      </c>
      <c r="N427" s="83" t="s">
        <v>288</v>
      </c>
      <c r="O427" s="83" t="s">
        <v>278</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customHeight="1">
      <c r="A428" s="323" t="str">
        <f>IF(B428&lt;&gt;"",IF(AND(B428='IN-TC'!$S$4,OR(TH!N428="1111",TH!O428="1111")),TH!D428,""),"")</f>
        <v/>
      </c>
      <c r="B428" s="63">
        <f t="shared" si="26"/>
        <v>6</v>
      </c>
      <c r="C428" s="90">
        <v>42535</v>
      </c>
      <c r="D428" s="90" t="s">
        <v>1657</v>
      </c>
      <c r="E428" s="90">
        <f t="shared" si="27"/>
        <v>42535</v>
      </c>
      <c r="F428" s="91" t="s">
        <v>1659</v>
      </c>
      <c r="G428" s="91" t="s">
        <v>1660</v>
      </c>
      <c r="H428" s="937" t="s">
        <v>1525</v>
      </c>
      <c r="I428" s="414">
        <v>5390</v>
      </c>
      <c r="J428" s="414">
        <v>13271.772356215213</v>
      </c>
      <c r="K428" s="405"/>
      <c r="L428" s="414"/>
      <c r="M428" s="93">
        <f t="shared" si="28"/>
        <v>71534853</v>
      </c>
      <c r="N428" s="83" t="s">
        <v>288</v>
      </c>
      <c r="O428" s="83" t="s">
        <v>278</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customHeight="1">
      <c r="A429" s="323" t="str">
        <f>IF(B429&lt;&gt;"",IF(AND(B429='IN-TC'!$S$4,OR(TH!N429="1111",TH!O429="1111")),TH!D429,""),"")</f>
        <v/>
      </c>
      <c r="B429" s="63">
        <f t="shared" si="26"/>
        <v>6</v>
      </c>
      <c r="C429" s="90">
        <v>42531</v>
      </c>
      <c r="D429" s="90" t="s">
        <v>1656</v>
      </c>
      <c r="E429" s="90">
        <f t="shared" si="27"/>
        <v>42531</v>
      </c>
      <c r="F429" s="91" t="s">
        <v>440</v>
      </c>
      <c r="G429" s="91"/>
      <c r="H429" s="92" t="s">
        <v>682</v>
      </c>
      <c r="I429" s="414">
        <v>16075</v>
      </c>
      <c r="J429" s="414">
        <v>68876.211819595643</v>
      </c>
      <c r="K429" s="405"/>
      <c r="L429" s="414"/>
      <c r="M429" s="93">
        <f t="shared" si="28"/>
        <v>1107185105</v>
      </c>
      <c r="N429" s="1111" t="s">
        <v>276</v>
      </c>
      <c r="O429" s="83" t="s">
        <v>278</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customHeight="1">
      <c r="A430" s="323" t="str">
        <f>IF(B430&lt;&gt;"",IF(AND(B430='IN-TC'!$S$4,OR(TH!N430="1111",TH!O430="1111")),TH!D430,""),"")</f>
        <v/>
      </c>
      <c r="B430" s="63">
        <f t="shared" si="26"/>
        <v>6</v>
      </c>
      <c r="C430" s="78">
        <v>42536</v>
      </c>
      <c r="D430" s="78" t="s">
        <v>1926</v>
      </c>
      <c r="E430" s="78">
        <f t="shared" si="27"/>
        <v>42536</v>
      </c>
      <c r="F430" s="79" t="s">
        <v>1661</v>
      </c>
      <c r="G430" s="79"/>
      <c r="H430" s="80" t="s">
        <v>682</v>
      </c>
      <c r="I430" s="406">
        <v>690</v>
      </c>
      <c r="J430" s="406">
        <v>589054.13768115896</v>
      </c>
      <c r="K430" s="397"/>
      <c r="L430" s="406"/>
      <c r="M430" s="81">
        <f t="shared" si="28"/>
        <v>406447355</v>
      </c>
      <c r="N430" s="84" t="s">
        <v>278</v>
      </c>
      <c r="O430" s="82" t="s">
        <v>276</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customHeight="1">
      <c r="A431" s="323" t="str">
        <f>IF(B431&lt;&gt;"",IF(AND(B431='IN-TC'!$S$4,OR(TH!N431="1111",TH!O431="1111")),TH!D431,""),"")</f>
        <v/>
      </c>
      <c r="B431" s="63">
        <f t="shared" si="26"/>
        <v>6</v>
      </c>
      <c r="C431" s="78">
        <v>42536</v>
      </c>
      <c r="D431" s="78" t="s">
        <v>1926</v>
      </c>
      <c r="E431" s="78">
        <f t="shared" si="27"/>
        <v>42536</v>
      </c>
      <c r="F431" s="79" t="s">
        <v>1662</v>
      </c>
      <c r="G431" s="79"/>
      <c r="H431" s="80" t="s">
        <v>682</v>
      </c>
      <c r="I431" s="406">
        <v>500</v>
      </c>
      <c r="J431" s="406">
        <v>589054.13768115896</v>
      </c>
      <c r="K431" s="397"/>
      <c r="L431" s="406"/>
      <c r="M431" s="81">
        <f>ROUND(I431*J431,0)-1</f>
        <v>294527068</v>
      </c>
      <c r="N431" s="84" t="s">
        <v>278</v>
      </c>
      <c r="O431" s="82" t="s">
        <v>276</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customHeight="1">
      <c r="A432" s="323" t="str">
        <f>IF(B432&lt;&gt;"",IF(AND(B432='IN-TC'!$S$4,OR(TH!N432="1111",TH!O432="1111")),TH!D432,""),"")</f>
        <v/>
      </c>
      <c r="B432" s="63">
        <f t="shared" si="26"/>
        <v>6</v>
      </c>
      <c r="C432" s="78">
        <v>42536</v>
      </c>
      <c r="D432" s="78" t="s">
        <v>1926</v>
      </c>
      <c r="E432" s="78">
        <f t="shared" si="27"/>
        <v>42536</v>
      </c>
      <c r="F432" s="79" t="s">
        <v>1663</v>
      </c>
      <c r="G432" s="79"/>
      <c r="H432" s="80" t="s">
        <v>682</v>
      </c>
      <c r="I432" s="406">
        <v>560</v>
      </c>
      <c r="J432" s="406">
        <v>589054.13768115896</v>
      </c>
      <c r="K432" s="397"/>
      <c r="L432" s="406"/>
      <c r="M432" s="81">
        <f>ROUND(I432*J432,0)</f>
        <v>329870317</v>
      </c>
      <c r="N432" s="84" t="s">
        <v>278</v>
      </c>
      <c r="O432" s="82" t="s">
        <v>276</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customHeight="1">
      <c r="A433" s="323" t="str">
        <f>IF(B433&lt;&gt;"",IF(AND(B433='IN-TC'!$S$4,OR(TH!N433="1111",TH!O433="1111")),TH!D433,""),"")</f>
        <v/>
      </c>
      <c r="B433" s="63">
        <f t="shared" si="26"/>
        <v>6</v>
      </c>
      <c r="C433" s="78">
        <v>42536</v>
      </c>
      <c r="D433" s="78" t="s">
        <v>1926</v>
      </c>
      <c r="E433" s="78">
        <f t="shared" si="27"/>
        <v>42536</v>
      </c>
      <c r="F433" s="79" t="s">
        <v>1664</v>
      </c>
      <c r="G433" s="79"/>
      <c r="H433" s="80" t="s">
        <v>682</v>
      </c>
      <c r="I433" s="406">
        <v>580</v>
      </c>
      <c r="J433" s="406">
        <v>589054.13768115896</v>
      </c>
      <c r="K433" s="397"/>
      <c r="L433" s="406"/>
      <c r="M433" s="81">
        <f>ROUND(I433*J433,0)</f>
        <v>341651400</v>
      </c>
      <c r="N433" s="84" t="s">
        <v>278</v>
      </c>
      <c r="O433" s="82" t="s">
        <v>276</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customHeight="1">
      <c r="A434" s="323" t="str">
        <f>IF(B434&lt;&gt;"",IF(AND(B434='IN-TC'!$S$4,OR(TH!N434="1111",TH!O434="1111")),TH!D434,""),"")</f>
        <v/>
      </c>
      <c r="B434" s="63">
        <f t="shared" si="26"/>
        <v>6</v>
      </c>
      <c r="C434" s="78">
        <v>42536</v>
      </c>
      <c r="D434" s="78" t="s">
        <v>1926</v>
      </c>
      <c r="E434" s="78">
        <f t="shared" si="27"/>
        <v>42536</v>
      </c>
      <c r="F434" s="79" t="s">
        <v>1665</v>
      </c>
      <c r="G434" s="79"/>
      <c r="H434" s="80" t="s">
        <v>682</v>
      </c>
      <c r="I434" s="406">
        <v>870</v>
      </c>
      <c r="J434" s="406">
        <v>589054.13768115896</v>
      </c>
      <c r="K434" s="397"/>
      <c r="L434" s="406"/>
      <c r="M434" s="81">
        <f>ROUND(I434*J434,0)</f>
        <v>512477100</v>
      </c>
      <c r="N434" s="84" t="s">
        <v>278</v>
      </c>
      <c r="O434" s="82" t="s">
        <v>276</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customHeight="1">
      <c r="A435" s="323" t="str">
        <f>IF(B435&lt;&gt;"",IF(AND(B435='IN-TC'!$S$4,OR(TH!N435="1111",TH!O435="1111")),TH!D435,""),"")</f>
        <v/>
      </c>
      <c r="B435" s="63">
        <f t="shared" si="26"/>
        <v>6</v>
      </c>
      <c r="C435" s="78">
        <v>42536</v>
      </c>
      <c r="D435" s="78" t="s">
        <v>1926</v>
      </c>
      <c r="E435" s="78">
        <f t="shared" si="27"/>
        <v>42536</v>
      </c>
      <c r="F435" s="79" t="s">
        <v>1666</v>
      </c>
      <c r="G435" s="79"/>
      <c r="H435" s="80" t="s">
        <v>682</v>
      </c>
      <c r="I435" s="406">
        <v>130</v>
      </c>
      <c r="J435" s="406">
        <v>589054.13768115896</v>
      </c>
      <c r="K435" s="397"/>
      <c r="L435" s="406"/>
      <c r="M435" s="81">
        <f>ROUND(I435*J435,0)</f>
        <v>76577038</v>
      </c>
      <c r="N435" s="84" t="s">
        <v>278</v>
      </c>
      <c r="O435" s="82" t="s">
        <v>276</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customHeight="1">
      <c r="A436" s="323" t="str">
        <f>IF(B436&lt;&gt;"",IF(AND(B436='IN-TC'!$S$4,OR(TH!N436="1111",TH!O436="1111")),TH!D436,""),"")</f>
        <v/>
      </c>
      <c r="B436" s="63">
        <f t="shared" si="26"/>
        <v>6</v>
      </c>
      <c r="C436" s="78">
        <v>42536</v>
      </c>
      <c r="D436" s="78" t="s">
        <v>1926</v>
      </c>
      <c r="E436" s="78">
        <f t="shared" si="27"/>
        <v>42536</v>
      </c>
      <c r="F436" s="79" t="s">
        <v>1667</v>
      </c>
      <c r="G436" s="79"/>
      <c r="H436" s="80" t="s">
        <v>682</v>
      </c>
      <c r="I436" s="406">
        <v>250</v>
      </c>
      <c r="J436" s="406">
        <v>589054.13768115896</v>
      </c>
      <c r="K436" s="397"/>
      <c r="L436" s="406"/>
      <c r="M436" s="81">
        <f>ROUND(I436*J436,0)</f>
        <v>147263534</v>
      </c>
      <c r="N436" s="84" t="s">
        <v>278</v>
      </c>
      <c r="O436" s="82" t="s">
        <v>276</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customHeight="1">
      <c r="A437" s="323" t="str">
        <f>IF(B437&lt;&gt;"",IF(AND(B437='IN-TC'!$S$4,OR(TH!N437="1111",TH!O437="1111")),TH!D437,""),"")</f>
        <v/>
      </c>
      <c r="B437" s="63">
        <f t="shared" si="26"/>
        <v>6</v>
      </c>
      <c r="C437" s="78">
        <v>42536</v>
      </c>
      <c r="D437" s="78" t="s">
        <v>1926</v>
      </c>
      <c r="E437" s="78">
        <f t="shared" si="27"/>
        <v>42536</v>
      </c>
      <c r="F437" s="79" t="s">
        <v>1668</v>
      </c>
      <c r="G437" s="79"/>
      <c r="H437" s="80" t="s">
        <v>682</v>
      </c>
      <c r="I437" s="406">
        <v>660</v>
      </c>
      <c r="J437" s="406">
        <v>589054.13768115896</v>
      </c>
      <c r="K437" s="397"/>
      <c r="L437" s="406"/>
      <c r="M437" s="81">
        <f>ROUND(I437*J437,0)-1</f>
        <v>388775730</v>
      </c>
      <c r="N437" s="84" t="s">
        <v>278</v>
      </c>
      <c r="O437" s="82" t="s">
        <v>276</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customHeight="1">
      <c r="A438" s="323" t="str">
        <f>IF(B438&lt;&gt;"",IF(AND(B438='IN-TC'!$S$4,OR(TH!N438="1111",TH!O438="1111")),TH!D438,""),"")</f>
        <v/>
      </c>
      <c r="B438" s="63">
        <f t="shared" si="26"/>
        <v>6</v>
      </c>
      <c r="C438" s="78">
        <v>42536</v>
      </c>
      <c r="D438" s="78" t="s">
        <v>1926</v>
      </c>
      <c r="E438" s="78">
        <f t="shared" si="27"/>
        <v>42536</v>
      </c>
      <c r="F438" s="79" t="s">
        <v>1669</v>
      </c>
      <c r="G438" s="79"/>
      <c r="H438" s="80" t="s">
        <v>682</v>
      </c>
      <c r="I438" s="406">
        <v>320</v>
      </c>
      <c r="J438" s="406">
        <v>589054.13768115896</v>
      </c>
      <c r="K438" s="397"/>
      <c r="L438" s="406"/>
      <c r="M438" s="81">
        <f>ROUND(I438*J438,0)</f>
        <v>188497324</v>
      </c>
      <c r="N438" s="84" t="s">
        <v>278</v>
      </c>
      <c r="O438" s="82" t="s">
        <v>276</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customHeight="1">
      <c r="A439" s="323" t="str">
        <f>IF(B439&lt;&gt;"",IF(AND(B439='IN-TC'!$S$4,OR(TH!N439="1111",TH!O439="1111")),TH!D439,""),"")</f>
        <v/>
      </c>
      <c r="B439" s="63">
        <f t="shared" si="26"/>
        <v>6</v>
      </c>
      <c r="C439" s="78">
        <v>42536</v>
      </c>
      <c r="D439" s="78" t="s">
        <v>1926</v>
      </c>
      <c r="E439" s="78">
        <f t="shared" si="27"/>
        <v>42536</v>
      </c>
      <c r="F439" s="79" t="s">
        <v>1670</v>
      </c>
      <c r="G439" s="79"/>
      <c r="H439" s="80" t="s">
        <v>682</v>
      </c>
      <c r="I439" s="406">
        <v>2000</v>
      </c>
      <c r="J439" s="406">
        <v>590822.02650000004</v>
      </c>
      <c r="K439" s="397"/>
      <c r="L439" s="406"/>
      <c r="M439" s="81">
        <f>ROUND(I439*J439,0)-2</f>
        <v>1181644051</v>
      </c>
      <c r="N439" s="84" t="s">
        <v>278</v>
      </c>
      <c r="O439" s="82" t="s">
        <v>276</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customHeight="1">
      <c r="A440" s="323" t="str">
        <f>IF(B440&lt;&gt;"",IF(AND(B440='IN-TC'!$S$4,OR(TH!N440="1111",TH!O440="1111")),TH!D440,""),"")</f>
        <v/>
      </c>
      <c r="B440" s="63">
        <f t="shared" si="26"/>
        <v>6</v>
      </c>
      <c r="C440" s="90">
        <v>42536</v>
      </c>
      <c r="D440" s="90" t="s">
        <v>1891</v>
      </c>
      <c r="E440" s="90">
        <f t="shared" si="27"/>
        <v>42536</v>
      </c>
      <c r="F440" s="91" t="s">
        <v>1661</v>
      </c>
      <c r="G440" s="91" t="s">
        <v>1671</v>
      </c>
      <c r="H440" s="937" t="s">
        <v>1672</v>
      </c>
      <c r="I440" s="414">
        <v>690</v>
      </c>
      <c r="J440" s="414">
        <v>589054.13768115896</v>
      </c>
      <c r="K440" s="405"/>
      <c r="L440" s="414"/>
      <c r="M440" s="93">
        <f>ROUND(I440*J440,0)</f>
        <v>406447355</v>
      </c>
      <c r="N440" s="83" t="s">
        <v>288</v>
      </c>
      <c r="O440" s="83" t="s">
        <v>278</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customHeight="1">
      <c r="A441" s="323" t="str">
        <f>IF(B441&lt;&gt;"",IF(AND(B441='IN-TC'!$S$4,OR(TH!N441="1111",TH!O441="1111")),TH!D441,""),"")</f>
        <v/>
      </c>
      <c r="B441" s="63">
        <f t="shared" si="26"/>
        <v>6</v>
      </c>
      <c r="C441" s="90">
        <v>42536</v>
      </c>
      <c r="D441" s="90" t="s">
        <v>1891</v>
      </c>
      <c r="E441" s="90">
        <f t="shared" si="27"/>
        <v>42536</v>
      </c>
      <c r="F441" s="91" t="s">
        <v>1662</v>
      </c>
      <c r="G441" s="91" t="s">
        <v>1671</v>
      </c>
      <c r="H441" s="937" t="s">
        <v>1672</v>
      </c>
      <c r="I441" s="414">
        <v>500</v>
      </c>
      <c r="J441" s="414">
        <v>589054.13768115896</v>
      </c>
      <c r="K441" s="405"/>
      <c r="L441" s="414"/>
      <c r="M441" s="93">
        <f>ROUND(I441*J441,0)-1</f>
        <v>294527068</v>
      </c>
      <c r="N441" s="83" t="s">
        <v>288</v>
      </c>
      <c r="O441" s="83" t="s">
        <v>278</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customHeight="1">
      <c r="A442" s="323" t="str">
        <f>IF(B442&lt;&gt;"",IF(AND(B442='IN-TC'!$S$4,OR(TH!N442="1111",TH!O442="1111")),TH!D442,""),"")</f>
        <v/>
      </c>
      <c r="B442" s="63">
        <f t="shared" si="26"/>
        <v>6</v>
      </c>
      <c r="C442" s="90">
        <v>42536</v>
      </c>
      <c r="D442" s="90" t="s">
        <v>1891</v>
      </c>
      <c r="E442" s="90">
        <f t="shared" si="27"/>
        <v>42536</v>
      </c>
      <c r="F442" s="91" t="s">
        <v>1663</v>
      </c>
      <c r="G442" s="91" t="s">
        <v>1671</v>
      </c>
      <c r="H442" s="937" t="s">
        <v>1672</v>
      </c>
      <c r="I442" s="414">
        <v>560</v>
      </c>
      <c r="J442" s="414">
        <v>589054.13768115896</v>
      </c>
      <c r="K442" s="405"/>
      <c r="L442" s="414"/>
      <c r="M442" s="93">
        <f>ROUND(I442*J442,0)</f>
        <v>329870317</v>
      </c>
      <c r="N442" s="83" t="s">
        <v>288</v>
      </c>
      <c r="O442" s="83" t="s">
        <v>278</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customHeight="1">
      <c r="A443" s="323" t="str">
        <f>IF(B443&lt;&gt;"",IF(AND(B443='IN-TC'!$S$4,OR(TH!N443="1111",TH!O443="1111")),TH!D443,""),"")</f>
        <v/>
      </c>
      <c r="B443" s="63">
        <f t="shared" si="26"/>
        <v>6</v>
      </c>
      <c r="C443" s="90">
        <v>42536</v>
      </c>
      <c r="D443" s="90" t="s">
        <v>1891</v>
      </c>
      <c r="E443" s="90">
        <f t="shared" si="27"/>
        <v>42536</v>
      </c>
      <c r="F443" s="91" t="s">
        <v>1664</v>
      </c>
      <c r="G443" s="91" t="s">
        <v>1671</v>
      </c>
      <c r="H443" s="937" t="s">
        <v>1672</v>
      </c>
      <c r="I443" s="414">
        <v>580</v>
      </c>
      <c r="J443" s="414">
        <v>589054.13768115896</v>
      </c>
      <c r="K443" s="405"/>
      <c r="L443" s="414"/>
      <c r="M443" s="93">
        <f>ROUND(I443*J443,0)</f>
        <v>341651400</v>
      </c>
      <c r="N443" s="83" t="s">
        <v>288</v>
      </c>
      <c r="O443" s="83" t="s">
        <v>278</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customHeight="1">
      <c r="A444" s="323" t="str">
        <f>IF(B444&lt;&gt;"",IF(AND(B444='IN-TC'!$S$4,OR(TH!N444="1111",TH!O444="1111")),TH!D444,""),"")</f>
        <v/>
      </c>
      <c r="B444" s="63">
        <f t="shared" si="26"/>
        <v>6</v>
      </c>
      <c r="C444" s="90">
        <v>42536</v>
      </c>
      <c r="D444" s="90" t="s">
        <v>1891</v>
      </c>
      <c r="E444" s="90">
        <f t="shared" si="27"/>
        <v>42536</v>
      </c>
      <c r="F444" s="91" t="s">
        <v>1665</v>
      </c>
      <c r="G444" s="91" t="s">
        <v>1671</v>
      </c>
      <c r="H444" s="937" t="s">
        <v>1672</v>
      </c>
      <c r="I444" s="414">
        <v>870</v>
      </c>
      <c r="J444" s="414">
        <v>589054.13768115896</v>
      </c>
      <c r="K444" s="405"/>
      <c r="L444" s="414"/>
      <c r="M444" s="93">
        <f>ROUND(I444*J444,0)</f>
        <v>512477100</v>
      </c>
      <c r="N444" s="83" t="s">
        <v>288</v>
      </c>
      <c r="O444" s="83" t="s">
        <v>278</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customHeight="1">
      <c r="A445" s="323" t="str">
        <f>IF(B445&lt;&gt;"",IF(AND(B445='IN-TC'!$S$4,OR(TH!N445="1111",TH!O445="1111")),TH!D445,""),"")</f>
        <v/>
      </c>
      <c r="B445" s="63">
        <f t="shared" si="26"/>
        <v>6</v>
      </c>
      <c r="C445" s="90">
        <v>42536</v>
      </c>
      <c r="D445" s="90" t="s">
        <v>1891</v>
      </c>
      <c r="E445" s="90">
        <f t="shared" si="27"/>
        <v>42536</v>
      </c>
      <c r="F445" s="91" t="s">
        <v>1666</v>
      </c>
      <c r="G445" s="91" t="s">
        <v>1671</v>
      </c>
      <c r="H445" s="937" t="s">
        <v>1672</v>
      </c>
      <c r="I445" s="414">
        <v>130</v>
      </c>
      <c r="J445" s="414">
        <v>589054.13768115896</v>
      </c>
      <c r="K445" s="405"/>
      <c r="L445" s="414"/>
      <c r="M445" s="93">
        <f>ROUND(I445*J445,0)</f>
        <v>76577038</v>
      </c>
      <c r="N445" s="83" t="s">
        <v>288</v>
      </c>
      <c r="O445" s="83" t="s">
        <v>278</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customHeight="1">
      <c r="A446" s="323" t="str">
        <f>IF(B446&lt;&gt;"",IF(AND(B446='IN-TC'!$S$4,OR(TH!N446="1111",TH!O446="1111")),TH!D446,""),"")</f>
        <v/>
      </c>
      <c r="B446" s="63">
        <f t="shared" si="26"/>
        <v>6</v>
      </c>
      <c r="C446" s="90">
        <v>42536</v>
      </c>
      <c r="D446" s="90" t="s">
        <v>1891</v>
      </c>
      <c r="E446" s="90">
        <f t="shared" si="27"/>
        <v>42536</v>
      </c>
      <c r="F446" s="91" t="s">
        <v>1667</v>
      </c>
      <c r="G446" s="91" t="s">
        <v>1671</v>
      </c>
      <c r="H446" s="937" t="s">
        <v>1672</v>
      </c>
      <c r="I446" s="414">
        <v>250</v>
      </c>
      <c r="J446" s="414">
        <v>589054.13768115896</v>
      </c>
      <c r="K446" s="405"/>
      <c r="L446" s="414"/>
      <c r="M446" s="93">
        <f>ROUND(I446*J446,0)</f>
        <v>147263534</v>
      </c>
      <c r="N446" s="83" t="s">
        <v>288</v>
      </c>
      <c r="O446" s="83" t="s">
        <v>278</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customHeight="1">
      <c r="A447" s="323" t="str">
        <f>IF(B447&lt;&gt;"",IF(AND(B447='IN-TC'!$S$4,OR(TH!N447="1111",TH!O447="1111")),TH!D447,""),"")</f>
        <v/>
      </c>
      <c r="B447" s="63">
        <f t="shared" si="26"/>
        <v>6</v>
      </c>
      <c r="C447" s="90">
        <v>42536</v>
      </c>
      <c r="D447" s="90" t="s">
        <v>1891</v>
      </c>
      <c r="E447" s="90">
        <f t="shared" si="27"/>
        <v>42536</v>
      </c>
      <c r="F447" s="91" t="s">
        <v>1668</v>
      </c>
      <c r="G447" s="91" t="s">
        <v>1671</v>
      </c>
      <c r="H447" s="937" t="s">
        <v>1672</v>
      </c>
      <c r="I447" s="414">
        <v>660</v>
      </c>
      <c r="J447" s="414">
        <v>589054.13768115896</v>
      </c>
      <c r="K447" s="405"/>
      <c r="L447" s="414"/>
      <c r="M447" s="93">
        <f>ROUND(I447*J447,0)-1</f>
        <v>388775730</v>
      </c>
      <c r="N447" s="83" t="s">
        <v>288</v>
      </c>
      <c r="O447" s="83" t="s">
        <v>278</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customHeight="1">
      <c r="A448" s="323" t="str">
        <f>IF(B448&lt;&gt;"",IF(AND(B448='IN-TC'!$S$4,OR(TH!N448="1111",TH!O448="1111")),TH!D448,""),"")</f>
        <v/>
      </c>
      <c r="B448" s="63">
        <f t="shared" si="26"/>
        <v>6</v>
      </c>
      <c r="C448" s="90">
        <v>42536</v>
      </c>
      <c r="D448" s="90" t="s">
        <v>1891</v>
      </c>
      <c r="E448" s="90">
        <f t="shared" si="27"/>
        <v>42536</v>
      </c>
      <c r="F448" s="91" t="s">
        <v>1669</v>
      </c>
      <c r="G448" s="91" t="s">
        <v>1671</v>
      </c>
      <c r="H448" s="937" t="s">
        <v>1672</v>
      </c>
      <c r="I448" s="414">
        <v>320</v>
      </c>
      <c r="J448" s="414">
        <v>589054.13768115896</v>
      </c>
      <c r="K448" s="405"/>
      <c r="L448" s="414"/>
      <c r="M448" s="93">
        <f>ROUND(I448*J448,0)</f>
        <v>188497324</v>
      </c>
      <c r="N448" s="83" t="s">
        <v>288</v>
      </c>
      <c r="O448" s="83" t="s">
        <v>278</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customHeight="1">
      <c r="A449" s="323" t="str">
        <f>IF(B449&lt;&gt;"",IF(AND(B449='IN-TC'!$S$4,OR(TH!N449="1111",TH!O449="1111")),TH!D449,""),"")</f>
        <v/>
      </c>
      <c r="B449" s="63">
        <f t="shared" si="26"/>
        <v>6</v>
      </c>
      <c r="C449" s="90">
        <v>42536</v>
      </c>
      <c r="D449" s="90" t="s">
        <v>1891</v>
      </c>
      <c r="E449" s="90">
        <f t="shared" si="27"/>
        <v>42536</v>
      </c>
      <c r="F449" s="91" t="s">
        <v>1670</v>
      </c>
      <c r="G449" s="91" t="s">
        <v>1671</v>
      </c>
      <c r="H449" s="937" t="s">
        <v>1672</v>
      </c>
      <c r="I449" s="414">
        <v>2000</v>
      </c>
      <c r="J449" s="414">
        <v>590822.02650000004</v>
      </c>
      <c r="K449" s="405"/>
      <c r="L449" s="414"/>
      <c r="M449" s="93">
        <f>ROUND(I449*J449,0)-2</f>
        <v>1181644051</v>
      </c>
      <c r="N449" s="83" t="s">
        <v>288</v>
      </c>
      <c r="O449" s="83" t="s">
        <v>278</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customHeight="1">
      <c r="A450" s="323" t="str">
        <f>IF(B450&lt;&gt;"",IF(AND(B450='IN-TC'!$S$4,OR(TH!N450="1111",TH!O450="1111")),TH!D450,""),"")</f>
        <v/>
      </c>
      <c r="B450" s="63">
        <f t="shared" si="26"/>
        <v>7</v>
      </c>
      <c r="C450" s="78">
        <v>42557</v>
      </c>
      <c r="D450" s="78" t="s">
        <v>684</v>
      </c>
      <c r="E450" s="78">
        <f t="shared" si="27"/>
        <v>42557</v>
      </c>
      <c r="F450" s="79" t="s">
        <v>443</v>
      </c>
      <c r="G450" s="79"/>
      <c r="H450" s="80" t="s">
        <v>682</v>
      </c>
      <c r="I450" s="406">
        <v>4800</v>
      </c>
      <c r="J450" s="406">
        <v>165541.63520833335</v>
      </c>
      <c r="K450" s="397"/>
      <c r="L450" s="406"/>
      <c r="M450" s="81">
        <f>ROUND(I450*J450,0)</f>
        <v>794599849</v>
      </c>
      <c r="N450" s="84" t="s">
        <v>278</v>
      </c>
      <c r="O450" s="82" t="s">
        <v>276</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customHeight="1">
      <c r="A451" s="323" t="str">
        <f>IF(B451&lt;&gt;"",IF(AND(B451='IN-TC'!$S$4,OR(TH!N451="1111",TH!O451="1111")),TH!D451,""),"")</f>
        <v/>
      </c>
      <c r="B451" s="63">
        <f t="shared" si="26"/>
        <v>7</v>
      </c>
      <c r="C451" s="78">
        <v>42563</v>
      </c>
      <c r="D451" s="78" t="s">
        <v>685</v>
      </c>
      <c r="E451" s="78">
        <f t="shared" ref="E451:E482" si="29">C451</f>
        <v>42563</v>
      </c>
      <c r="F451" s="79" t="s">
        <v>1771</v>
      </c>
      <c r="G451" s="79"/>
      <c r="H451" s="80" t="s">
        <v>682</v>
      </c>
      <c r="I451" s="406">
        <v>2270</v>
      </c>
      <c r="J451" s="406">
        <v>237741.99603524228</v>
      </c>
      <c r="K451" s="397"/>
      <c r="L451" s="406"/>
      <c r="M451" s="81">
        <f>ROUND(I451*J451,0)-1</f>
        <v>539674330</v>
      </c>
      <c r="N451" s="84" t="s">
        <v>278</v>
      </c>
      <c r="O451" s="82" t="s">
        <v>276</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customHeight="1">
      <c r="A452" s="323" t="str">
        <f>IF(B452&lt;&gt;"",IF(AND(B452='IN-TC'!$S$4,OR(TH!N452="1111",TH!O452="1111")),TH!D452,""),"")</f>
        <v/>
      </c>
      <c r="B452" s="63">
        <f t="shared" si="26"/>
        <v>7</v>
      </c>
      <c r="C452" s="78">
        <v>42577</v>
      </c>
      <c r="D452" s="78" t="s">
        <v>686</v>
      </c>
      <c r="E452" s="78">
        <f t="shared" si="29"/>
        <v>42577</v>
      </c>
      <c r="F452" s="79" t="s">
        <v>1658</v>
      </c>
      <c r="G452" s="79"/>
      <c r="H452" s="80" t="s">
        <v>682</v>
      </c>
      <c r="I452" s="406">
        <v>900</v>
      </c>
      <c r="J452" s="406">
        <v>12727.444444444445</v>
      </c>
      <c r="K452" s="397"/>
      <c r="L452" s="406"/>
      <c r="M452" s="81">
        <f t="shared" ref="M452:M458" si="30">ROUND(I452*J452,0)</f>
        <v>11454700</v>
      </c>
      <c r="N452" s="84" t="s">
        <v>278</v>
      </c>
      <c r="O452" s="82" t="s">
        <v>276</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customHeight="1">
      <c r="A453" s="323" t="str">
        <f>IF(B453&lt;&gt;"",IF(AND(B453='IN-TC'!$S$4,OR(TH!N453="1111",TH!O453="1111")),TH!D453,""),"")</f>
        <v/>
      </c>
      <c r="B453" s="63">
        <f t="shared" si="26"/>
        <v>7</v>
      </c>
      <c r="C453" s="78">
        <v>42582</v>
      </c>
      <c r="D453" s="78" t="s">
        <v>1926</v>
      </c>
      <c r="E453" s="78">
        <f t="shared" si="29"/>
        <v>42582</v>
      </c>
      <c r="F453" s="79" t="s">
        <v>1503</v>
      </c>
      <c r="G453" s="79"/>
      <c r="H453" s="80" t="s">
        <v>682</v>
      </c>
      <c r="I453" s="406">
        <v>1760</v>
      </c>
      <c r="J453" s="406">
        <v>170479.25852272726</v>
      </c>
      <c r="K453" s="397"/>
      <c r="L453" s="406"/>
      <c r="M453" s="81">
        <f t="shared" si="30"/>
        <v>300043495</v>
      </c>
      <c r="N453" s="84" t="s">
        <v>278</v>
      </c>
      <c r="O453" s="82" t="s">
        <v>276</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customHeight="1">
      <c r="A454" s="323" t="str">
        <f>IF(B454&lt;&gt;"",IF(AND(B454='IN-TC'!$S$4,OR(TH!N454="1111",TH!O454="1111")),TH!D454,""),"")</f>
        <v/>
      </c>
      <c r="B454" s="63">
        <f t="shared" si="26"/>
        <v>7</v>
      </c>
      <c r="C454" s="78">
        <v>42582</v>
      </c>
      <c r="D454" s="78" t="s">
        <v>1926</v>
      </c>
      <c r="E454" s="78">
        <f t="shared" si="29"/>
        <v>42582</v>
      </c>
      <c r="F454" s="79" t="s">
        <v>441</v>
      </c>
      <c r="G454" s="79"/>
      <c r="H454" s="80" t="s">
        <v>682</v>
      </c>
      <c r="I454" s="406">
        <v>1700</v>
      </c>
      <c r="J454" s="406">
        <v>234117.7</v>
      </c>
      <c r="K454" s="397"/>
      <c r="L454" s="406"/>
      <c r="M454" s="81">
        <f t="shared" si="30"/>
        <v>398000090</v>
      </c>
      <c r="N454" s="84" t="s">
        <v>278</v>
      </c>
      <c r="O454" s="82" t="s">
        <v>276</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customHeight="1">
      <c r="A455" s="323" t="str">
        <f>IF(B455&lt;&gt;"",IF(AND(B455='IN-TC'!$S$4,OR(TH!N455="1111",TH!O455="1111")),TH!D455,""),"")</f>
        <v/>
      </c>
      <c r="B455" s="63">
        <f t="shared" si="26"/>
        <v>7</v>
      </c>
      <c r="C455" s="78">
        <v>42582</v>
      </c>
      <c r="D455" s="78" t="s">
        <v>1926</v>
      </c>
      <c r="E455" s="78">
        <f t="shared" si="29"/>
        <v>42582</v>
      </c>
      <c r="F455" s="79" t="s">
        <v>1501</v>
      </c>
      <c r="G455" s="79"/>
      <c r="H455" s="80" t="s">
        <v>682</v>
      </c>
      <c r="I455" s="406">
        <v>1090</v>
      </c>
      <c r="J455" s="406">
        <v>138924.45229357798</v>
      </c>
      <c r="K455" s="397"/>
      <c r="L455" s="406"/>
      <c r="M455" s="81">
        <f t="shared" si="30"/>
        <v>151427653</v>
      </c>
      <c r="N455" s="84" t="s">
        <v>278</v>
      </c>
      <c r="O455" s="82" t="s">
        <v>276</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customHeight="1">
      <c r="A456" s="323" t="str">
        <f>IF(B456&lt;&gt;"",IF(AND(B456='IN-TC'!$S$4,OR(TH!N456="1111",TH!O456="1111")),TH!D456,""),"")</f>
        <v/>
      </c>
      <c r="B456" s="63">
        <f t="shared" si="26"/>
        <v>7</v>
      </c>
      <c r="C456" s="78">
        <v>42582</v>
      </c>
      <c r="D456" s="78" t="s">
        <v>1926</v>
      </c>
      <c r="E456" s="78">
        <f t="shared" si="29"/>
        <v>42582</v>
      </c>
      <c r="F456" s="79" t="s">
        <v>1930</v>
      </c>
      <c r="G456" s="79"/>
      <c r="H456" s="80" t="s">
        <v>682</v>
      </c>
      <c r="I456" s="406">
        <v>390</v>
      </c>
      <c r="J456" s="406">
        <v>180312.22051282052</v>
      </c>
      <c r="K456" s="397"/>
      <c r="L456" s="406"/>
      <c r="M456" s="81">
        <f t="shared" si="30"/>
        <v>70321766</v>
      </c>
      <c r="N456" s="84" t="s">
        <v>278</v>
      </c>
      <c r="O456" s="82" t="s">
        <v>276</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customHeight="1">
      <c r="A457" s="323" t="str">
        <f>IF(B457&lt;&gt;"",IF(AND(B457='IN-TC'!$S$4,OR(TH!N457="1111",TH!O457="1111")),TH!D457,""),"")</f>
        <v/>
      </c>
      <c r="B457" s="63">
        <f t="shared" si="26"/>
        <v>7</v>
      </c>
      <c r="C457" s="78">
        <v>42582</v>
      </c>
      <c r="D457" s="78" t="s">
        <v>1927</v>
      </c>
      <c r="E457" s="78">
        <f t="shared" si="29"/>
        <v>42582</v>
      </c>
      <c r="F457" s="79" t="s">
        <v>455</v>
      </c>
      <c r="G457" s="79"/>
      <c r="H457" s="80" t="s">
        <v>682</v>
      </c>
      <c r="I457" s="406">
        <v>26000</v>
      </c>
      <c r="J457" s="406">
        <v>62498.39507692308</v>
      </c>
      <c r="K457" s="397"/>
      <c r="L457" s="406"/>
      <c r="M457" s="81">
        <f t="shared" si="30"/>
        <v>1624958272</v>
      </c>
      <c r="N457" s="84" t="s">
        <v>278</v>
      </c>
      <c r="O457" s="82" t="s">
        <v>276</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customHeight="1">
      <c r="A458" s="323" t="str">
        <f>IF(B458&lt;&gt;"",IF(AND(B458='IN-TC'!$S$4,OR(TH!N458="1111",TH!O458="1111")),TH!D458,""),"")</f>
        <v/>
      </c>
      <c r="B458" s="63">
        <f t="shared" si="26"/>
        <v>7</v>
      </c>
      <c r="C458" s="90">
        <v>42557</v>
      </c>
      <c r="D458" s="90" t="s">
        <v>584</v>
      </c>
      <c r="E458" s="90">
        <f t="shared" si="29"/>
        <v>42557</v>
      </c>
      <c r="F458" s="91" t="s">
        <v>443</v>
      </c>
      <c r="G458" s="91" t="s">
        <v>1772</v>
      </c>
      <c r="H458" s="937" t="s">
        <v>586</v>
      </c>
      <c r="I458" s="414">
        <v>4800</v>
      </c>
      <c r="J458" s="414">
        <v>165541.63520833335</v>
      </c>
      <c r="K458" s="405"/>
      <c r="L458" s="414"/>
      <c r="M458" s="93">
        <f t="shared" si="30"/>
        <v>794599849</v>
      </c>
      <c r="N458" s="83" t="s">
        <v>288</v>
      </c>
      <c r="O458" s="83" t="s">
        <v>278</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customHeight="1">
      <c r="A459" s="323" t="str">
        <f>IF(B459&lt;&gt;"",IF(AND(B459='IN-TC'!$S$4,OR(TH!N459="1111",TH!O459="1111")),TH!D459,""),"")</f>
        <v/>
      </c>
      <c r="B459" s="63">
        <f t="shared" si="26"/>
        <v>7</v>
      </c>
      <c r="C459" s="90">
        <v>42563</v>
      </c>
      <c r="D459" s="90" t="s">
        <v>585</v>
      </c>
      <c r="E459" s="90">
        <f t="shared" si="29"/>
        <v>42563</v>
      </c>
      <c r="F459" s="91" t="s">
        <v>1771</v>
      </c>
      <c r="G459" s="91" t="s">
        <v>1773</v>
      </c>
      <c r="H459" s="937" t="s">
        <v>1751</v>
      </c>
      <c r="I459" s="414">
        <v>2270</v>
      </c>
      <c r="J459" s="414">
        <v>237741.99603524228</v>
      </c>
      <c r="K459" s="405"/>
      <c r="L459" s="414"/>
      <c r="M459" s="93">
        <f>ROUND(I459*J459,0)-1</f>
        <v>539674330</v>
      </c>
      <c r="N459" s="83" t="s">
        <v>288</v>
      </c>
      <c r="O459" s="83" t="s">
        <v>278</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customHeight="1">
      <c r="A460" s="323" t="str">
        <f>IF(B460&lt;&gt;"",IF(AND(B460='IN-TC'!$S$4,OR(TH!N460="1111",TH!O460="1111")),TH!D460,""),"")</f>
        <v/>
      </c>
      <c r="B460" s="63">
        <f t="shared" si="26"/>
        <v>7</v>
      </c>
      <c r="C460" s="90">
        <v>42577</v>
      </c>
      <c r="D460" s="90" t="s">
        <v>1656</v>
      </c>
      <c r="E460" s="90">
        <f t="shared" si="29"/>
        <v>42577</v>
      </c>
      <c r="F460" s="91" t="s">
        <v>1658</v>
      </c>
      <c r="G460" s="91" t="s">
        <v>1774</v>
      </c>
      <c r="H460" s="937" t="s">
        <v>1525</v>
      </c>
      <c r="I460" s="414">
        <v>900</v>
      </c>
      <c r="J460" s="414">
        <v>12727.444444444445</v>
      </c>
      <c r="K460" s="405"/>
      <c r="L460" s="414"/>
      <c r="M460" s="93">
        <f t="shared" ref="M460:M482" si="31">ROUND(I460*J460,0)</f>
        <v>11454700</v>
      </c>
      <c r="N460" s="83" t="s">
        <v>288</v>
      </c>
      <c r="O460" s="83" t="s">
        <v>278</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customHeight="1">
      <c r="A461" s="323" t="str">
        <f>IF(B461&lt;&gt;"",IF(AND(B461='IN-TC'!$S$4,OR(TH!N461="1111",TH!O461="1111")),TH!D461,""),"")</f>
        <v/>
      </c>
      <c r="B461" s="63">
        <f t="shared" si="26"/>
        <v>8</v>
      </c>
      <c r="C461" s="78">
        <v>42594</v>
      </c>
      <c r="D461" s="78" t="s">
        <v>684</v>
      </c>
      <c r="E461" s="78">
        <f t="shared" si="29"/>
        <v>42594</v>
      </c>
      <c r="F461" s="79" t="s">
        <v>455</v>
      </c>
      <c r="G461" s="79"/>
      <c r="H461" s="80" t="s">
        <v>682</v>
      </c>
      <c r="I461" s="406">
        <v>26000</v>
      </c>
      <c r="J461" s="1271">
        <v>64413.201500000003</v>
      </c>
      <c r="K461" s="397"/>
      <c r="L461" s="406"/>
      <c r="M461" s="81">
        <f t="shared" si="31"/>
        <v>1674743239</v>
      </c>
      <c r="N461" s="84" t="s">
        <v>278</v>
      </c>
      <c r="O461" s="82" t="s">
        <v>276</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customHeight="1">
      <c r="A462" s="323" t="str">
        <f>IF(B462&lt;&gt;"",IF(AND(B462='IN-TC'!$S$4,OR(TH!N462="1111",TH!O462="1111")),TH!D462,""),"")</f>
        <v/>
      </c>
      <c r="B462" s="63">
        <f t="shared" si="26"/>
        <v>8</v>
      </c>
      <c r="C462" s="78">
        <v>42599</v>
      </c>
      <c r="D462" s="78" t="s">
        <v>685</v>
      </c>
      <c r="E462" s="78">
        <f t="shared" si="29"/>
        <v>42599</v>
      </c>
      <c r="F462" s="79" t="s">
        <v>1889</v>
      </c>
      <c r="G462" s="79"/>
      <c r="H462" s="80" t="s">
        <v>682</v>
      </c>
      <c r="I462" s="406">
        <v>10000</v>
      </c>
      <c r="J462" s="406">
        <v>147305.9137</v>
      </c>
      <c r="K462" s="397"/>
      <c r="L462" s="406"/>
      <c r="M462" s="81">
        <f t="shared" si="31"/>
        <v>1473059137</v>
      </c>
      <c r="N462" s="84" t="s">
        <v>278</v>
      </c>
      <c r="O462" s="82" t="s">
        <v>276</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customHeight="1">
      <c r="A463" s="323" t="str">
        <f>IF(B463&lt;&gt;"",IF(AND(B463='IN-TC'!$S$4,OR(TH!N463="1111",TH!O463="1111")),TH!D463,""),"")</f>
        <v/>
      </c>
      <c r="B463" s="63">
        <f t="shared" si="26"/>
        <v>8</v>
      </c>
      <c r="C463" s="78">
        <v>42606</v>
      </c>
      <c r="D463" s="78" t="s">
        <v>686</v>
      </c>
      <c r="E463" s="78">
        <f t="shared" si="29"/>
        <v>42606</v>
      </c>
      <c r="F463" s="79" t="s">
        <v>1892</v>
      </c>
      <c r="G463" s="79"/>
      <c r="H463" s="80" t="s">
        <v>682</v>
      </c>
      <c r="I463" s="406">
        <v>8100</v>
      </c>
      <c r="J463" s="406">
        <v>13325.820987654321</v>
      </c>
      <c r="K463" s="397"/>
      <c r="L463" s="406"/>
      <c r="M463" s="81">
        <f t="shared" si="31"/>
        <v>107939150</v>
      </c>
      <c r="N463" s="84" t="s">
        <v>278</v>
      </c>
      <c r="O463" s="82" t="s">
        <v>276</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customHeight="1">
      <c r="A464" s="323" t="str">
        <f>IF(B464&lt;&gt;"",IF(AND(B464='IN-TC'!$S$4,OR(TH!N464="1111",TH!O464="1111")),TH!D464,""),"")</f>
        <v/>
      </c>
      <c r="B464" s="63">
        <f t="shared" si="26"/>
        <v>8</v>
      </c>
      <c r="C464" s="78">
        <v>42606</v>
      </c>
      <c r="D464" s="78" t="s">
        <v>686</v>
      </c>
      <c r="E464" s="78">
        <f t="shared" si="29"/>
        <v>42606</v>
      </c>
      <c r="F464" s="79" t="s">
        <v>1893</v>
      </c>
      <c r="G464" s="79"/>
      <c r="H464" s="80" t="s">
        <v>682</v>
      </c>
      <c r="I464" s="406">
        <v>3150</v>
      </c>
      <c r="J464" s="1271">
        <v>13024.233650793651</v>
      </c>
      <c r="K464" s="397"/>
      <c r="L464" s="406"/>
      <c r="M464" s="81">
        <f t="shared" si="31"/>
        <v>41026336</v>
      </c>
      <c r="N464" s="84" t="s">
        <v>278</v>
      </c>
      <c r="O464" s="82" t="s">
        <v>276</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customHeight="1">
      <c r="A465" s="323" t="str">
        <f>IF(B465&lt;&gt;"",IF(AND(B465='IN-TC'!$S$4,OR(TH!N465="1111",TH!O465="1111")),TH!D465,""),"")</f>
        <v/>
      </c>
      <c r="B465" s="63">
        <f t="shared" si="26"/>
        <v>8</v>
      </c>
      <c r="C465" s="78">
        <v>42608</v>
      </c>
      <c r="D465" s="78" t="s">
        <v>1926</v>
      </c>
      <c r="E465" s="78">
        <f t="shared" si="29"/>
        <v>42608</v>
      </c>
      <c r="F465" s="79" t="s">
        <v>1896</v>
      </c>
      <c r="G465" s="79"/>
      <c r="H465" s="80" t="s">
        <v>682</v>
      </c>
      <c r="I465" s="406">
        <v>500</v>
      </c>
      <c r="J465" s="406">
        <v>241777.43799999999</v>
      </c>
      <c r="K465" s="397"/>
      <c r="L465" s="406"/>
      <c r="M465" s="81">
        <f t="shared" si="31"/>
        <v>120888719</v>
      </c>
      <c r="N465" s="84" t="s">
        <v>278</v>
      </c>
      <c r="O465" s="82" t="s">
        <v>276</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customHeight="1">
      <c r="A466" s="323" t="str">
        <f>IF(B466&lt;&gt;"",IF(AND(B466='IN-TC'!$S$4,OR(TH!N466="1111",TH!O466="1111")),TH!D466,""),"")</f>
        <v/>
      </c>
      <c r="B466" s="63">
        <f t="shared" si="26"/>
        <v>8</v>
      </c>
      <c r="C466" s="90">
        <v>42583</v>
      </c>
      <c r="D466" s="90" t="s">
        <v>584</v>
      </c>
      <c r="E466" s="90">
        <f t="shared" si="29"/>
        <v>42583</v>
      </c>
      <c r="F466" s="91" t="s">
        <v>1503</v>
      </c>
      <c r="G466" s="91" t="s">
        <v>1882</v>
      </c>
      <c r="H466" s="937" t="s">
        <v>589</v>
      </c>
      <c r="I466" s="414">
        <v>1760</v>
      </c>
      <c r="J466" s="414">
        <v>170479.25852272726</v>
      </c>
      <c r="K466" s="405"/>
      <c r="L466" s="414"/>
      <c r="M466" s="93">
        <f t="shared" si="31"/>
        <v>300043495</v>
      </c>
      <c r="N466" s="83" t="s">
        <v>288</v>
      </c>
      <c r="O466" s="83" t="s">
        <v>278</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customHeight="1">
      <c r="A467" s="323" t="str">
        <f>IF(B467&lt;&gt;"",IF(AND(B467='IN-TC'!$S$4,OR(TH!N467="1111",TH!O467="1111")),TH!D467,""),"")</f>
        <v/>
      </c>
      <c r="B467" s="63">
        <f t="shared" si="26"/>
        <v>8</v>
      </c>
      <c r="C467" s="90">
        <v>42583</v>
      </c>
      <c r="D467" s="90" t="s">
        <v>584</v>
      </c>
      <c r="E467" s="90">
        <f t="shared" si="29"/>
        <v>42583</v>
      </c>
      <c r="F467" s="91" t="s">
        <v>441</v>
      </c>
      <c r="G467" s="91" t="s">
        <v>1882</v>
      </c>
      <c r="H467" s="937" t="s">
        <v>589</v>
      </c>
      <c r="I467" s="414">
        <v>1700</v>
      </c>
      <c r="J467" s="414">
        <v>234117.7</v>
      </c>
      <c r="K467" s="405"/>
      <c r="L467" s="414"/>
      <c r="M467" s="93">
        <f t="shared" si="31"/>
        <v>398000090</v>
      </c>
      <c r="N467" s="83" t="s">
        <v>288</v>
      </c>
      <c r="O467" s="83" t="s">
        <v>278</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customHeight="1">
      <c r="A468" s="323" t="str">
        <f>IF(B468&lt;&gt;"",IF(AND(B468='IN-TC'!$S$4,OR(TH!N468="1111",TH!O468="1111")),TH!D468,""),"")</f>
        <v/>
      </c>
      <c r="B468" s="63">
        <f t="shared" si="26"/>
        <v>8</v>
      </c>
      <c r="C468" s="90">
        <v>42583</v>
      </c>
      <c r="D468" s="90" t="s">
        <v>584</v>
      </c>
      <c r="E468" s="90">
        <f t="shared" si="29"/>
        <v>42583</v>
      </c>
      <c r="F468" s="91" t="s">
        <v>1501</v>
      </c>
      <c r="G468" s="91" t="s">
        <v>1882</v>
      </c>
      <c r="H468" s="937" t="s">
        <v>589</v>
      </c>
      <c r="I468" s="414">
        <v>1090</v>
      </c>
      <c r="J468" s="414">
        <v>138924.45229357798</v>
      </c>
      <c r="K468" s="405"/>
      <c r="L468" s="414"/>
      <c r="M468" s="93">
        <f t="shared" si="31"/>
        <v>151427653</v>
      </c>
      <c r="N468" s="83" t="s">
        <v>288</v>
      </c>
      <c r="O468" s="83" t="s">
        <v>278</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customHeight="1">
      <c r="A469" s="323" t="str">
        <f>IF(B469&lt;&gt;"",IF(AND(B469='IN-TC'!$S$4,OR(TH!N469="1111",TH!O469="1111")),TH!D469,""),"")</f>
        <v/>
      </c>
      <c r="B469" s="63">
        <f t="shared" si="26"/>
        <v>8</v>
      </c>
      <c r="C469" s="90">
        <v>42583</v>
      </c>
      <c r="D469" s="90" t="s">
        <v>584</v>
      </c>
      <c r="E469" s="90">
        <f t="shared" si="29"/>
        <v>42583</v>
      </c>
      <c r="F469" s="91" t="s">
        <v>1930</v>
      </c>
      <c r="G469" s="91" t="s">
        <v>1882</v>
      </c>
      <c r="H469" s="937" t="s">
        <v>589</v>
      </c>
      <c r="I469" s="414">
        <v>390</v>
      </c>
      <c r="J469" s="414">
        <v>180312.22051282052</v>
      </c>
      <c r="K469" s="405"/>
      <c r="L469" s="414"/>
      <c r="M469" s="93">
        <f t="shared" si="31"/>
        <v>70321766</v>
      </c>
      <c r="N469" s="83" t="s">
        <v>288</v>
      </c>
      <c r="O469" s="83" t="s">
        <v>278</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customHeight="1">
      <c r="A470" s="323" t="str">
        <f>IF(B470&lt;&gt;"",IF(AND(B470='IN-TC'!$S$4,OR(TH!N470="1111",TH!O470="1111")),TH!D470,""),"")</f>
        <v/>
      </c>
      <c r="B470" s="63">
        <f t="shared" si="26"/>
        <v>8</v>
      </c>
      <c r="C470" s="90">
        <v>42587</v>
      </c>
      <c r="D470" s="90" t="s">
        <v>585</v>
      </c>
      <c r="E470" s="90">
        <f t="shared" si="29"/>
        <v>42587</v>
      </c>
      <c r="F470" s="91" t="s">
        <v>455</v>
      </c>
      <c r="G470" s="91" t="s">
        <v>1886</v>
      </c>
      <c r="H470" s="937" t="s">
        <v>1887</v>
      </c>
      <c r="I470" s="414">
        <v>26000</v>
      </c>
      <c r="J470" s="414">
        <v>60917.153439252332</v>
      </c>
      <c r="K470" s="405"/>
      <c r="L470" s="414"/>
      <c r="M470" s="93">
        <f t="shared" si="31"/>
        <v>1583845989</v>
      </c>
      <c r="N470" s="83" t="s">
        <v>288</v>
      </c>
      <c r="O470" s="83" t="s">
        <v>278</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customHeight="1">
      <c r="A471" s="323" t="str">
        <f>IF(B471&lt;&gt;"",IF(AND(B471='IN-TC'!$S$4,OR(TH!N471="1111",TH!O471="1111")),TH!D471,""),"")</f>
        <v/>
      </c>
      <c r="B471" s="63">
        <f t="shared" si="26"/>
        <v>8</v>
      </c>
      <c r="C471" s="90">
        <v>42587</v>
      </c>
      <c r="D471" s="90" t="s">
        <v>585</v>
      </c>
      <c r="E471" s="90">
        <f t="shared" si="29"/>
        <v>42587</v>
      </c>
      <c r="F471" s="91" t="s">
        <v>455</v>
      </c>
      <c r="G471" s="91" t="s">
        <v>1886</v>
      </c>
      <c r="H471" s="937" t="s">
        <v>1887</v>
      </c>
      <c r="I471" s="414">
        <v>26000</v>
      </c>
      <c r="J471" s="414">
        <v>61720.081765715528</v>
      </c>
      <c r="K471" s="405"/>
      <c r="L471" s="414"/>
      <c r="M471" s="93">
        <f t="shared" si="31"/>
        <v>1604722126</v>
      </c>
      <c r="N471" s="83" t="s">
        <v>288</v>
      </c>
      <c r="O471" s="83" t="s">
        <v>278</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customHeight="1">
      <c r="A472" s="323" t="str">
        <f>IF(B472&lt;&gt;"",IF(AND(B472='IN-TC'!$S$4,OR(TH!N472="1111",TH!O472="1111")),TH!D472,""),"")</f>
        <v/>
      </c>
      <c r="B472" s="63">
        <f t="shared" si="26"/>
        <v>8</v>
      </c>
      <c r="C472" s="90">
        <v>42594</v>
      </c>
      <c r="D472" s="90" t="s">
        <v>1656</v>
      </c>
      <c r="E472" s="90">
        <f t="shared" si="29"/>
        <v>42594</v>
      </c>
      <c r="F472" s="91" t="s">
        <v>455</v>
      </c>
      <c r="G472" s="91" t="s">
        <v>1888</v>
      </c>
      <c r="H472" s="937" t="s">
        <v>1887</v>
      </c>
      <c r="I472" s="414">
        <v>26000</v>
      </c>
      <c r="J472" s="414">
        <v>62498.39507692308</v>
      </c>
      <c r="K472" s="405"/>
      <c r="L472" s="414"/>
      <c r="M472" s="93">
        <f t="shared" si="31"/>
        <v>1624958272</v>
      </c>
      <c r="N472" s="83" t="s">
        <v>288</v>
      </c>
      <c r="O472" s="83" t="s">
        <v>278</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customHeight="1">
      <c r="A473" s="323" t="str">
        <f>IF(B473&lt;&gt;"",IF(AND(B473='IN-TC'!$S$4,OR(TH!N473="1111",TH!O473="1111")),TH!D473,""),"")</f>
        <v/>
      </c>
      <c r="B473" s="63">
        <f t="shared" si="26"/>
        <v>8</v>
      </c>
      <c r="C473" s="90">
        <v>42594</v>
      </c>
      <c r="D473" s="90" t="s">
        <v>1656</v>
      </c>
      <c r="E473" s="90">
        <f t="shared" si="29"/>
        <v>42594</v>
      </c>
      <c r="F473" s="91" t="s">
        <v>455</v>
      </c>
      <c r="G473" s="91" t="s">
        <v>1888</v>
      </c>
      <c r="H473" s="937" t="s">
        <v>1887</v>
      </c>
      <c r="I473" s="414">
        <v>26000</v>
      </c>
      <c r="J473" s="1253">
        <v>64413.201500000003</v>
      </c>
      <c r="K473" s="405"/>
      <c r="L473" s="414"/>
      <c r="M473" s="93">
        <f t="shared" si="31"/>
        <v>1674743239</v>
      </c>
      <c r="N473" s="83" t="s">
        <v>288</v>
      </c>
      <c r="O473" s="83" t="s">
        <v>278</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customHeight="1">
      <c r="A474" s="323" t="str">
        <f>IF(B474&lt;&gt;"",IF(AND(B474='IN-TC'!$S$4,OR(TH!N474="1111",TH!O474="1111")),TH!D474,""),"")</f>
        <v/>
      </c>
      <c r="B474" s="63">
        <f t="shared" ref="B474:B493" si="32">IF(C474&lt;&gt;"",MONTH(C474),"")</f>
        <v>8</v>
      </c>
      <c r="C474" s="90">
        <v>42599</v>
      </c>
      <c r="D474" s="90" t="s">
        <v>1657</v>
      </c>
      <c r="E474" s="90">
        <f t="shared" si="29"/>
        <v>42599</v>
      </c>
      <c r="F474" s="91" t="s">
        <v>1889</v>
      </c>
      <c r="G474" s="91" t="s">
        <v>1890</v>
      </c>
      <c r="H474" s="937" t="s">
        <v>1538</v>
      </c>
      <c r="I474" s="414">
        <v>10000</v>
      </c>
      <c r="J474" s="414">
        <v>147305.9137</v>
      </c>
      <c r="K474" s="405"/>
      <c r="L474" s="414"/>
      <c r="M474" s="93">
        <f t="shared" si="31"/>
        <v>1473059137</v>
      </c>
      <c r="N474" s="83" t="s">
        <v>288</v>
      </c>
      <c r="O474" s="83" t="s">
        <v>278</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customHeight="1">
      <c r="A475" s="323" t="str">
        <f>IF(B475&lt;&gt;"",IF(AND(B475='IN-TC'!$S$4,OR(TH!N475="1111",TH!O475="1111")),TH!D475,""),"")</f>
        <v/>
      </c>
      <c r="B475" s="63">
        <f t="shared" si="32"/>
        <v>8</v>
      </c>
      <c r="C475" s="90">
        <v>42606</v>
      </c>
      <c r="D475" s="90" t="s">
        <v>1891</v>
      </c>
      <c r="E475" s="90">
        <f t="shared" si="29"/>
        <v>42606</v>
      </c>
      <c r="F475" s="91" t="s">
        <v>1892</v>
      </c>
      <c r="G475" s="91" t="s">
        <v>1894</v>
      </c>
      <c r="H475" s="937" t="s">
        <v>1525</v>
      </c>
      <c r="I475" s="414">
        <v>8100</v>
      </c>
      <c r="J475" s="414">
        <v>13325.820987654321</v>
      </c>
      <c r="K475" s="405"/>
      <c r="L475" s="414"/>
      <c r="M475" s="93">
        <f t="shared" si="31"/>
        <v>107939150</v>
      </c>
      <c r="N475" s="83" t="s">
        <v>288</v>
      </c>
      <c r="O475" s="83" t="s">
        <v>278</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customHeight="1">
      <c r="A476" s="323" t="str">
        <f>IF(B476&lt;&gt;"",IF(AND(B476='IN-TC'!$S$4,OR(TH!N476="1111",TH!O476="1111")),TH!D476,""),"")</f>
        <v/>
      </c>
      <c r="B476" s="63">
        <f t="shared" si="32"/>
        <v>8</v>
      </c>
      <c r="C476" s="90">
        <v>42606</v>
      </c>
      <c r="D476" s="90" t="s">
        <v>1891</v>
      </c>
      <c r="E476" s="90">
        <f t="shared" si="29"/>
        <v>42606</v>
      </c>
      <c r="F476" s="91" t="s">
        <v>1893</v>
      </c>
      <c r="G476" s="91" t="s">
        <v>1894</v>
      </c>
      <c r="H476" s="937" t="s">
        <v>1525</v>
      </c>
      <c r="I476" s="414">
        <v>3150</v>
      </c>
      <c r="J476" s="1253">
        <v>13024.233650793651</v>
      </c>
      <c r="K476" s="405"/>
      <c r="L476" s="414"/>
      <c r="M476" s="93">
        <f t="shared" si="31"/>
        <v>41026336</v>
      </c>
      <c r="N476" s="83" t="s">
        <v>288</v>
      </c>
      <c r="O476" s="83" t="s">
        <v>278</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customHeight="1">
      <c r="A477" s="323" t="str">
        <f>IF(B477&lt;&gt;"",IF(AND(B477='IN-TC'!$S$4,OR(TH!N477="1111",TH!O477="1111")),TH!D477,""),"")</f>
        <v/>
      </c>
      <c r="B477" s="63">
        <f t="shared" si="32"/>
        <v>8</v>
      </c>
      <c r="C477" s="90">
        <v>42608</v>
      </c>
      <c r="D477" s="90" t="s">
        <v>1895</v>
      </c>
      <c r="E477" s="90">
        <f t="shared" si="29"/>
        <v>42608</v>
      </c>
      <c r="F477" s="91" t="s">
        <v>1896</v>
      </c>
      <c r="G477" s="91" t="s">
        <v>1897</v>
      </c>
      <c r="H477" s="937" t="s">
        <v>1862</v>
      </c>
      <c r="I477" s="414">
        <v>500</v>
      </c>
      <c r="J477" s="414">
        <v>241777.43799999999</v>
      </c>
      <c r="K477" s="405"/>
      <c r="L477" s="414"/>
      <c r="M477" s="93">
        <f t="shared" si="31"/>
        <v>120888719</v>
      </c>
      <c r="N477" s="83" t="s">
        <v>288</v>
      </c>
      <c r="O477" s="83" t="s">
        <v>278</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customHeight="1">
      <c r="A478" s="323" t="str">
        <f>IF(B478&lt;&gt;"",IF(AND(B478='IN-TC'!$S$4,OR(TH!N478="1111",TH!O478="1111")),TH!D478,""),"")</f>
        <v/>
      </c>
      <c r="B478" s="63">
        <f t="shared" si="32"/>
        <v>9</v>
      </c>
      <c r="C478" s="78">
        <v>42635</v>
      </c>
      <c r="D478" s="78" t="s">
        <v>684</v>
      </c>
      <c r="E478" s="78">
        <f t="shared" si="29"/>
        <v>42635</v>
      </c>
      <c r="F478" s="79" t="s">
        <v>435</v>
      </c>
      <c r="G478" s="79"/>
      <c r="H478" s="80" t="s">
        <v>682</v>
      </c>
      <c r="I478" s="406">
        <v>2513</v>
      </c>
      <c r="J478" s="406">
        <v>164305.63350577001</v>
      </c>
      <c r="K478" s="397"/>
      <c r="L478" s="406"/>
      <c r="M478" s="81">
        <f t="shared" si="31"/>
        <v>412900057</v>
      </c>
      <c r="N478" s="84" t="s">
        <v>278</v>
      </c>
      <c r="O478" s="82" t="s">
        <v>276</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customHeight="1">
      <c r="A479" s="323" t="str">
        <f>IF(B479&lt;&gt;"",IF(AND(B479='IN-TC'!$S$4,OR(TH!N479="1111",TH!O479="1111")),TH!D479,""),"")</f>
        <v/>
      </c>
      <c r="B479" s="63">
        <f t="shared" si="32"/>
        <v>9</v>
      </c>
      <c r="C479" s="78">
        <v>42636</v>
      </c>
      <c r="D479" s="78" t="s">
        <v>685</v>
      </c>
      <c r="E479" s="78">
        <f t="shared" si="29"/>
        <v>42636</v>
      </c>
      <c r="F479" s="79" t="s">
        <v>431</v>
      </c>
      <c r="G479" s="79"/>
      <c r="H479" s="80" t="s">
        <v>682</v>
      </c>
      <c r="I479" s="406">
        <v>18675</v>
      </c>
      <c r="J479" s="406">
        <v>92862.229290495321</v>
      </c>
      <c r="K479" s="397"/>
      <c r="L479" s="406"/>
      <c r="M479" s="81">
        <f t="shared" si="31"/>
        <v>1734202132</v>
      </c>
      <c r="N479" s="84" t="s">
        <v>278</v>
      </c>
      <c r="O479" s="82" t="s">
        <v>276</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customHeight="1">
      <c r="A480" s="323" t="str">
        <f>IF(B480&lt;&gt;"",IF(AND(B480='IN-TC'!$S$4,OR(TH!N480="1111",TH!O480="1111")),TH!D480,""),"")</f>
        <v/>
      </c>
      <c r="B480" s="63">
        <f t="shared" si="32"/>
        <v>9</v>
      </c>
      <c r="C480" s="78">
        <v>42641</v>
      </c>
      <c r="D480" s="78" t="s">
        <v>686</v>
      </c>
      <c r="E480" s="78">
        <f t="shared" si="29"/>
        <v>42641</v>
      </c>
      <c r="F480" s="79" t="s">
        <v>1501</v>
      </c>
      <c r="G480" s="79"/>
      <c r="H480" s="80" t="s">
        <v>682</v>
      </c>
      <c r="I480" s="406">
        <v>1450</v>
      </c>
      <c r="J480" s="406">
        <v>146186.64896551723</v>
      </c>
      <c r="K480" s="397"/>
      <c r="L480" s="406"/>
      <c r="M480" s="81">
        <f t="shared" si="31"/>
        <v>211970641</v>
      </c>
      <c r="N480" s="84" t="s">
        <v>278</v>
      </c>
      <c r="O480" s="82" t="s">
        <v>276</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customHeight="1">
      <c r="A481" s="323" t="str">
        <f>IF(B481&lt;&gt;"",IF(AND(B481='IN-TC'!$S$4,OR(TH!N481="1111",TH!O481="1111")),TH!D481,""),"")</f>
        <v/>
      </c>
      <c r="B481" s="63">
        <f t="shared" si="32"/>
        <v>9</v>
      </c>
      <c r="C481" s="78">
        <v>42641</v>
      </c>
      <c r="D481" s="78" t="s">
        <v>686</v>
      </c>
      <c r="E481" s="78">
        <f t="shared" si="29"/>
        <v>42641</v>
      </c>
      <c r="F481" s="79" t="s">
        <v>1503</v>
      </c>
      <c r="G481" s="79"/>
      <c r="H481" s="80" t="s">
        <v>682</v>
      </c>
      <c r="I481" s="406">
        <v>2000</v>
      </c>
      <c r="J481" s="406">
        <v>168800.09599999999</v>
      </c>
      <c r="K481" s="397"/>
      <c r="L481" s="406"/>
      <c r="M481" s="81">
        <f t="shared" si="31"/>
        <v>337600192</v>
      </c>
      <c r="N481" s="84" t="s">
        <v>278</v>
      </c>
      <c r="O481" s="82" t="s">
        <v>276</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customHeight="1">
      <c r="A482" s="323" t="str">
        <f>IF(B482&lt;&gt;"",IF(AND(B482='IN-TC'!$S$4,OR(TH!N482="1111",TH!O482="1111")),TH!D482,""),"")</f>
        <v/>
      </c>
      <c r="B482" s="63">
        <f t="shared" si="32"/>
        <v>9</v>
      </c>
      <c r="C482" s="78">
        <v>42641</v>
      </c>
      <c r="D482" s="78" t="s">
        <v>1926</v>
      </c>
      <c r="E482" s="78">
        <f t="shared" si="29"/>
        <v>42641</v>
      </c>
      <c r="F482" s="79" t="s">
        <v>441</v>
      </c>
      <c r="G482" s="79"/>
      <c r="H482" s="80" t="s">
        <v>682</v>
      </c>
      <c r="I482" s="406">
        <v>940</v>
      </c>
      <c r="J482" s="406">
        <v>230108.72553191488</v>
      </c>
      <c r="K482" s="397"/>
      <c r="L482" s="406"/>
      <c r="M482" s="81">
        <f t="shared" si="31"/>
        <v>216302202</v>
      </c>
      <c r="N482" s="84" t="s">
        <v>278</v>
      </c>
      <c r="O482" s="82" t="s">
        <v>276</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customHeight="1">
      <c r="A483" s="323" t="str">
        <f>IF(B483&lt;&gt;"",IF(AND(B483='IN-TC'!$S$4,OR(TH!N483="1111",TH!O483="1111")),TH!D483,""),"")</f>
        <v/>
      </c>
      <c r="B483" s="63">
        <f t="shared" si="32"/>
        <v>9</v>
      </c>
      <c r="C483" s="78">
        <v>42641</v>
      </c>
      <c r="D483" s="78" t="s">
        <v>1926</v>
      </c>
      <c r="E483" s="78">
        <f t="shared" ref="E483:E493" si="33">C483</f>
        <v>42641</v>
      </c>
      <c r="F483" s="79" t="s">
        <v>1930</v>
      </c>
      <c r="G483" s="79"/>
      <c r="H483" s="80" t="s">
        <v>682</v>
      </c>
      <c r="I483" s="406">
        <v>940</v>
      </c>
      <c r="J483" s="406">
        <v>181241.6085106383</v>
      </c>
      <c r="K483" s="397"/>
      <c r="L483" s="406"/>
      <c r="M483" s="81">
        <f>ROUND(I483*J483,0)+1</f>
        <v>170367113</v>
      </c>
      <c r="N483" s="84" t="s">
        <v>278</v>
      </c>
      <c r="O483" s="82" t="s">
        <v>276</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customHeight="1">
      <c r="A484" s="323" t="str">
        <f>IF(B484&lt;&gt;"",IF(AND(B484='IN-TC'!$S$4,OR(TH!N484="1111",TH!O484="1111")),TH!D484,""),"")</f>
        <v/>
      </c>
      <c r="B484" s="63">
        <f t="shared" si="32"/>
        <v>9</v>
      </c>
      <c r="C484" s="78">
        <v>42643</v>
      </c>
      <c r="D484" s="78" t="s">
        <v>1927</v>
      </c>
      <c r="E484" s="78">
        <f t="shared" si="33"/>
        <v>42643</v>
      </c>
      <c r="F484" s="79" t="s">
        <v>435</v>
      </c>
      <c r="G484" s="79"/>
      <c r="H484" s="80" t="s">
        <v>682</v>
      </c>
      <c r="I484" s="406">
        <v>23400</v>
      </c>
      <c r="J484" s="406">
        <v>148644.34269230769</v>
      </c>
      <c r="K484" s="397"/>
      <c r="L484" s="406"/>
      <c r="M484" s="81">
        <f t="shared" ref="M484:M491" si="34">ROUND(I484*J484,0)</f>
        <v>3478277619</v>
      </c>
      <c r="N484" s="84" t="s">
        <v>278</v>
      </c>
      <c r="O484" s="82" t="s">
        <v>276</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customHeight="1">
      <c r="A485" s="323" t="str">
        <f>IF(B485&lt;&gt;"",IF(AND(B485='IN-TC'!$S$4,OR(TH!N485="1111",TH!O485="1111")),TH!D485,""),"")</f>
        <v/>
      </c>
      <c r="B485" s="63">
        <f t="shared" si="32"/>
        <v>9</v>
      </c>
      <c r="C485" s="90">
        <v>42635</v>
      </c>
      <c r="D485" s="90" t="s">
        <v>584</v>
      </c>
      <c r="E485" s="90">
        <f t="shared" si="33"/>
        <v>42635</v>
      </c>
      <c r="F485" s="91" t="s">
        <v>435</v>
      </c>
      <c r="G485" s="91" t="s">
        <v>2012</v>
      </c>
      <c r="H485" s="937" t="s">
        <v>1875</v>
      </c>
      <c r="I485" s="414">
        <v>20987</v>
      </c>
      <c r="J485" s="414">
        <v>151095.42635917471</v>
      </c>
      <c r="K485" s="405"/>
      <c r="L485" s="414"/>
      <c r="M485" s="93">
        <f t="shared" si="34"/>
        <v>3171039713</v>
      </c>
      <c r="N485" s="83" t="s">
        <v>288</v>
      </c>
      <c r="O485" s="83" t="s">
        <v>278</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customHeight="1">
      <c r="A486" s="323" t="str">
        <f>IF(B486&lt;&gt;"",IF(AND(B486='IN-TC'!$S$4,OR(TH!N486="1111",TH!O486="1111")),TH!D486,""),"")</f>
        <v/>
      </c>
      <c r="B486" s="63">
        <f t="shared" si="32"/>
        <v>9</v>
      </c>
      <c r="C486" s="90">
        <v>42636</v>
      </c>
      <c r="D486" s="90" t="s">
        <v>585</v>
      </c>
      <c r="E486" s="90">
        <f t="shared" si="33"/>
        <v>42636</v>
      </c>
      <c r="F486" s="91" t="s">
        <v>431</v>
      </c>
      <c r="G486" s="91" t="s">
        <v>2011</v>
      </c>
      <c r="H486" s="937" t="s">
        <v>1875</v>
      </c>
      <c r="I486" s="414">
        <v>4725</v>
      </c>
      <c r="J486" s="414">
        <v>127082.22962962963</v>
      </c>
      <c r="K486" s="405"/>
      <c r="L486" s="414"/>
      <c r="M486" s="93">
        <f t="shared" si="34"/>
        <v>600463535</v>
      </c>
      <c r="N486" s="83" t="s">
        <v>288</v>
      </c>
      <c r="O486" s="83" t="s">
        <v>278</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customHeight="1">
      <c r="A487" s="323" t="str">
        <f>IF(B487&lt;&gt;"",IF(AND(B487='IN-TC'!$S$4,OR(TH!N487="1111",TH!O487="1111")),TH!D487,""),"")</f>
        <v/>
      </c>
      <c r="B487" s="63">
        <f t="shared" si="32"/>
        <v>9</v>
      </c>
      <c r="C487" s="90">
        <v>42635</v>
      </c>
      <c r="D487" s="90" t="s">
        <v>584</v>
      </c>
      <c r="E487" s="90">
        <f t="shared" si="33"/>
        <v>42635</v>
      </c>
      <c r="F487" s="91" t="s">
        <v>435</v>
      </c>
      <c r="G487" s="91" t="s">
        <v>2012</v>
      </c>
      <c r="H487" s="937" t="s">
        <v>1875</v>
      </c>
      <c r="I487" s="414">
        <v>2513</v>
      </c>
      <c r="J487" s="414">
        <v>164305.63350577001</v>
      </c>
      <c r="K487" s="405"/>
      <c r="L487" s="414"/>
      <c r="M487" s="93">
        <f t="shared" si="34"/>
        <v>412900057</v>
      </c>
      <c r="N487" s="83" t="s">
        <v>288</v>
      </c>
      <c r="O487" s="83" t="s">
        <v>278</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customHeight="1">
      <c r="A488" s="323" t="str">
        <f>IF(B488&lt;&gt;"",IF(AND(B488='IN-TC'!$S$4,OR(TH!N488="1111",TH!O488="1111")),TH!D488,""),"")</f>
        <v/>
      </c>
      <c r="B488" s="63">
        <f t="shared" si="32"/>
        <v>9</v>
      </c>
      <c r="C488" s="90">
        <v>42636</v>
      </c>
      <c r="D488" s="90" t="s">
        <v>585</v>
      </c>
      <c r="E488" s="90">
        <f t="shared" si="33"/>
        <v>42636</v>
      </c>
      <c r="F488" s="91" t="s">
        <v>431</v>
      </c>
      <c r="G488" s="91" t="s">
        <v>2011</v>
      </c>
      <c r="H488" s="937" t="s">
        <v>1875</v>
      </c>
      <c r="I488" s="414">
        <v>18675</v>
      </c>
      <c r="J488" s="414">
        <v>92862.229290495321</v>
      </c>
      <c r="K488" s="405"/>
      <c r="L488" s="414"/>
      <c r="M488" s="93">
        <f t="shared" si="34"/>
        <v>1734202132</v>
      </c>
      <c r="N488" s="83" t="s">
        <v>288</v>
      </c>
      <c r="O488" s="83" t="s">
        <v>278</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customHeight="1">
      <c r="A489" s="323" t="str">
        <f>IF(B489&lt;&gt;"",IF(AND(B489='IN-TC'!$S$4,OR(TH!N489="1111",TH!O489="1111")),TH!D489,""),"")</f>
        <v/>
      </c>
      <c r="B489" s="63">
        <f t="shared" si="32"/>
        <v>9</v>
      </c>
      <c r="C489" s="90">
        <v>42641</v>
      </c>
      <c r="D489" s="90" t="s">
        <v>1656</v>
      </c>
      <c r="E489" s="90">
        <f t="shared" si="33"/>
        <v>42641</v>
      </c>
      <c r="F489" s="91" t="s">
        <v>1501</v>
      </c>
      <c r="G489" s="91" t="s">
        <v>2013</v>
      </c>
      <c r="H489" s="937" t="s">
        <v>589</v>
      </c>
      <c r="I489" s="414">
        <v>1450</v>
      </c>
      <c r="J489" s="414">
        <v>146186.64896551723</v>
      </c>
      <c r="K489" s="405"/>
      <c r="L489" s="414"/>
      <c r="M489" s="93">
        <f t="shared" si="34"/>
        <v>211970641</v>
      </c>
      <c r="N489" s="83" t="s">
        <v>288</v>
      </c>
      <c r="O489" s="83" t="s">
        <v>278</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customHeight="1">
      <c r="A490" s="323" t="str">
        <f>IF(B490&lt;&gt;"",IF(AND(B490='IN-TC'!$S$4,OR(TH!N490="1111",TH!O490="1111")),TH!D490,""),"")</f>
        <v/>
      </c>
      <c r="B490" s="63">
        <f t="shared" si="32"/>
        <v>9</v>
      </c>
      <c r="C490" s="90">
        <v>42641</v>
      </c>
      <c r="D490" s="90" t="s">
        <v>1656</v>
      </c>
      <c r="E490" s="90">
        <f t="shared" si="33"/>
        <v>42641</v>
      </c>
      <c r="F490" s="91" t="s">
        <v>1503</v>
      </c>
      <c r="G490" s="91" t="s">
        <v>2013</v>
      </c>
      <c r="H490" s="937" t="s">
        <v>589</v>
      </c>
      <c r="I490" s="414">
        <v>2000</v>
      </c>
      <c r="J490" s="414">
        <v>168800.09599999999</v>
      </c>
      <c r="K490" s="405"/>
      <c r="L490" s="414"/>
      <c r="M490" s="93">
        <f t="shared" si="34"/>
        <v>337600192</v>
      </c>
      <c r="N490" s="83" t="s">
        <v>288</v>
      </c>
      <c r="O490" s="83" t="s">
        <v>278</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customHeight="1">
      <c r="A491" s="323" t="str">
        <f>IF(B491&lt;&gt;"",IF(AND(B491='IN-TC'!$S$4,OR(TH!N491="1111",TH!O491="1111")),TH!D491,""),"")</f>
        <v/>
      </c>
      <c r="B491" s="63">
        <f t="shared" si="32"/>
        <v>9</v>
      </c>
      <c r="C491" s="90">
        <v>42641</v>
      </c>
      <c r="D491" s="90" t="s">
        <v>1656</v>
      </c>
      <c r="E491" s="90">
        <f t="shared" si="33"/>
        <v>42641</v>
      </c>
      <c r="F491" s="91" t="s">
        <v>441</v>
      </c>
      <c r="G491" s="91" t="s">
        <v>2013</v>
      </c>
      <c r="H491" s="937" t="s">
        <v>589</v>
      </c>
      <c r="I491" s="414">
        <v>940</v>
      </c>
      <c r="J491" s="414">
        <v>230108.72553191488</v>
      </c>
      <c r="K491" s="405"/>
      <c r="L491" s="414"/>
      <c r="M491" s="93">
        <f t="shared" si="34"/>
        <v>216302202</v>
      </c>
      <c r="N491" s="83" t="s">
        <v>288</v>
      </c>
      <c r="O491" s="83" t="s">
        <v>278</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customHeight="1">
      <c r="A492" s="323" t="str">
        <f>IF(B492&lt;&gt;"",IF(AND(B492='IN-TC'!$S$4,OR(TH!N492="1111",TH!O492="1111")),TH!D492,""),"")</f>
        <v/>
      </c>
      <c r="B492" s="63">
        <f t="shared" si="32"/>
        <v>9</v>
      </c>
      <c r="C492" s="90">
        <v>42641</v>
      </c>
      <c r="D492" s="90" t="s">
        <v>1656</v>
      </c>
      <c r="E492" s="90">
        <f t="shared" si="33"/>
        <v>42641</v>
      </c>
      <c r="F492" s="91" t="s">
        <v>1930</v>
      </c>
      <c r="G492" s="91" t="s">
        <v>2013</v>
      </c>
      <c r="H492" s="937" t="s">
        <v>589</v>
      </c>
      <c r="I492" s="414">
        <v>940</v>
      </c>
      <c r="J492" s="414">
        <v>181241.6085106383</v>
      </c>
      <c r="K492" s="405"/>
      <c r="L492" s="414"/>
      <c r="M492" s="93">
        <f>ROUND(I492*J492,0)+1</f>
        <v>170367113</v>
      </c>
      <c r="N492" s="83" t="s">
        <v>288</v>
      </c>
      <c r="O492" s="83" t="s">
        <v>278</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customHeight="1">
      <c r="A493" s="323" t="str">
        <f>IF(B493&lt;&gt;"",IF(AND(B493='IN-TC'!$S$4,OR(TH!N493="1111",TH!O493="1111")),TH!D493,""),"")</f>
        <v/>
      </c>
      <c r="B493" s="63">
        <f t="shared" si="32"/>
        <v>10</v>
      </c>
      <c r="C493" s="78">
        <v>42656</v>
      </c>
      <c r="D493" s="78" t="s">
        <v>684</v>
      </c>
      <c r="E493" s="78">
        <f t="shared" si="33"/>
        <v>42656</v>
      </c>
      <c r="F493" s="79" t="s">
        <v>431</v>
      </c>
      <c r="G493" s="79"/>
      <c r="H493" s="80" t="s">
        <v>682</v>
      </c>
      <c r="I493" s="406">
        <v>23400</v>
      </c>
      <c r="J493" s="406">
        <v>94814.861153846156</v>
      </c>
      <c r="K493" s="397"/>
      <c r="L493" s="406"/>
      <c r="M493" s="81">
        <f>ROUND(I493*J493,0)</f>
        <v>2218667751</v>
      </c>
      <c r="N493" s="84" t="s">
        <v>278</v>
      </c>
      <c r="O493" s="82" t="s">
        <v>276</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customHeight="1">
      <c r="A494" s="323" t="str">
        <f>IF(B494&lt;&gt;"",IF(AND(B494='IN-TC'!$S$4,OR(TH!N2508="1111",TH!O2508="1111")),TH!D2508,""),"")</f>
        <v/>
      </c>
      <c r="B494" s="63">
        <f t="shared" ref="B494:B557" si="35">IF(C494&lt;&gt;"",MONTH(C494),"")</f>
        <v>1</v>
      </c>
      <c r="C494" s="90">
        <v>42400</v>
      </c>
      <c r="D494" s="90" t="s">
        <v>1542</v>
      </c>
      <c r="E494" s="90">
        <v>42400</v>
      </c>
      <c r="F494" s="72" t="s">
        <v>1876</v>
      </c>
      <c r="G494" s="1089"/>
      <c r="H494" s="92" t="s">
        <v>1198</v>
      </c>
      <c r="I494" s="414"/>
      <c r="J494" s="414"/>
      <c r="K494" s="405"/>
      <c r="L494" s="414"/>
      <c r="M494" s="93">
        <v>1500000000</v>
      </c>
      <c r="N494" s="83" t="s">
        <v>61</v>
      </c>
      <c r="O494" s="83" t="s">
        <v>70</v>
      </c>
      <c r="P494" s="82" t="str">
        <f>IF(AND('331-CT'!$E$7=TH!H494,OR(N494="331",O494="331")),"x","")</f>
        <v/>
      </c>
      <c r="Q494" s="82" t="str">
        <f>IF(AND(B494='111'!$L$11,OR($N494=$Q$7,$O494=$Q$7)),"x","")</f>
        <v/>
      </c>
      <c r="R494" s="82" t="str">
        <f>IF(AND($N494=$Q$7,$B494&lt;'111'!$L$11),"x","")</f>
        <v>x</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customHeight="1">
      <c r="A495" s="323" t="str">
        <f>IF(B495&lt;&gt;"",IF(AND(B495='IN-TC'!$S$4,OR(TH!N495="1111",TH!O495="1111")),TH!D495,""),"")</f>
        <v/>
      </c>
      <c r="B495" s="63">
        <f t="shared" si="35"/>
        <v>10</v>
      </c>
      <c r="C495" s="78">
        <v>42661</v>
      </c>
      <c r="D495" s="78" t="s">
        <v>686</v>
      </c>
      <c r="E495" s="78">
        <f>C495</f>
        <v>42661</v>
      </c>
      <c r="F495" s="79" t="s">
        <v>455</v>
      </c>
      <c r="G495" s="79"/>
      <c r="H495" s="80" t="s">
        <v>682</v>
      </c>
      <c r="I495" s="406">
        <v>26000</v>
      </c>
      <c r="J495" s="406">
        <v>63328.671557692309</v>
      </c>
      <c r="K495" s="397"/>
      <c r="L495" s="406"/>
      <c r="M495" s="81">
        <f>ROUND(I495*J495,0)</f>
        <v>1646545461</v>
      </c>
      <c r="N495" s="84" t="s">
        <v>278</v>
      </c>
      <c r="O495" s="82" t="s">
        <v>276</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customHeight="1">
      <c r="A496" s="323" t="str">
        <f>IF(B496&lt;&gt;"",IF(AND(B496='IN-TC'!$S$4,OR(TH!N496="1111",TH!O496="1111")),TH!D496,""),"")</f>
        <v/>
      </c>
      <c r="B496" s="63">
        <f t="shared" si="35"/>
        <v>10</v>
      </c>
      <c r="C496" s="78">
        <v>42663</v>
      </c>
      <c r="D496" s="78" t="s">
        <v>1926</v>
      </c>
      <c r="E496" s="78">
        <f>C496</f>
        <v>42663</v>
      </c>
      <c r="F496" s="79" t="s">
        <v>443</v>
      </c>
      <c r="G496" s="79"/>
      <c r="H496" s="80" t="s">
        <v>682</v>
      </c>
      <c r="I496" s="406">
        <v>4800</v>
      </c>
      <c r="J496" s="406">
        <v>157737.94375000001</v>
      </c>
      <c r="K496" s="397"/>
      <c r="L496" s="406"/>
      <c r="M496" s="81">
        <f>ROUND(I496*J496,0)-1</f>
        <v>757142129</v>
      </c>
      <c r="N496" s="84" t="s">
        <v>278</v>
      </c>
      <c r="O496" s="82" t="s">
        <v>276</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customHeight="1">
      <c r="A497" s="323" t="str">
        <f>IF(B497&lt;&gt;"",IF(AND(B497='IN-TC'!$S$4,OR(TH!N2536="1111",TH!O2536="1111")),TH!D2536,""),"")</f>
        <v/>
      </c>
      <c r="B497" s="63">
        <f t="shared" si="35"/>
        <v>2</v>
      </c>
      <c r="C497" s="64">
        <v>42403</v>
      </c>
      <c r="D497" s="64" t="s">
        <v>687</v>
      </c>
      <c r="E497" s="64">
        <v>42403</v>
      </c>
      <c r="F497" s="72" t="s">
        <v>1876</v>
      </c>
      <c r="G497" s="67" t="s">
        <v>902</v>
      </c>
      <c r="H497" s="72" t="s">
        <v>1198</v>
      </c>
      <c r="I497" s="408"/>
      <c r="J497" s="408"/>
      <c r="K497" s="399"/>
      <c r="L497" s="408"/>
      <c r="M497" s="65">
        <v>110000000</v>
      </c>
      <c r="N497" s="66" t="s">
        <v>25</v>
      </c>
      <c r="O497" s="66" t="s">
        <v>70</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customHeight="1">
      <c r="A498" s="323" t="str">
        <f>IF(B498&lt;&gt;"",IF(AND(B498='IN-TC'!$S$4,OR(TH!N498="1111",TH!O498="1111")),TH!D498,""),"")</f>
        <v/>
      </c>
      <c r="B498" s="63">
        <f t="shared" si="35"/>
        <v>10</v>
      </c>
      <c r="C498" s="78">
        <v>42674</v>
      </c>
      <c r="D498" s="78" t="s">
        <v>2326</v>
      </c>
      <c r="E498" s="78">
        <f t="shared" ref="E498:E505" si="36">C498</f>
        <v>42674</v>
      </c>
      <c r="F498" s="79" t="s">
        <v>455</v>
      </c>
      <c r="G498" s="79"/>
      <c r="H498" s="80" t="s">
        <v>682</v>
      </c>
      <c r="I498" s="406">
        <v>26000</v>
      </c>
      <c r="J498" s="406">
        <v>63328.671557692309</v>
      </c>
      <c r="K498" s="397"/>
      <c r="L498" s="406"/>
      <c r="M498" s="81">
        <f>ROUND(I498*J498,0)</f>
        <v>1646545461</v>
      </c>
      <c r="N498" s="84" t="s">
        <v>278</v>
      </c>
      <c r="O498" s="82" t="s">
        <v>276</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customHeight="1">
      <c r="A499" s="323" t="str">
        <f>IF(B499&lt;&gt;"",IF(AND(B499='IN-TC'!$S$4,OR(TH!N499="1111",TH!O499="1111")),TH!D499,""),"")</f>
        <v/>
      </c>
      <c r="B499" s="63">
        <f t="shared" si="35"/>
        <v>10</v>
      </c>
      <c r="C499" s="90">
        <v>42656</v>
      </c>
      <c r="D499" s="90" t="s">
        <v>584</v>
      </c>
      <c r="E499" s="90">
        <f t="shared" si="36"/>
        <v>42656</v>
      </c>
      <c r="F499" s="91" t="s">
        <v>431</v>
      </c>
      <c r="G499" s="91" t="s">
        <v>2117</v>
      </c>
      <c r="H499" s="937" t="s">
        <v>1875</v>
      </c>
      <c r="I499" s="414">
        <v>23400</v>
      </c>
      <c r="J499" s="414">
        <v>94814.861153846156</v>
      </c>
      <c r="K499" s="405"/>
      <c r="L499" s="414"/>
      <c r="M499" s="93">
        <f>ROUND(I499*J499,0)</f>
        <v>2218667751</v>
      </c>
      <c r="N499" s="83" t="s">
        <v>288</v>
      </c>
      <c r="O499" s="83" t="s">
        <v>278</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customHeight="1">
      <c r="A500" s="323" t="str">
        <f>IF(B500&lt;&gt;"",IF(AND(B500='IN-TC'!$S$4,OR(TH!N500="1111",TH!O500="1111")),TH!D500,""),"")</f>
        <v/>
      </c>
      <c r="B500" s="63">
        <f t="shared" si="35"/>
        <v>10</v>
      </c>
      <c r="C500" s="90">
        <v>42656</v>
      </c>
      <c r="D500" s="90" t="s">
        <v>585</v>
      </c>
      <c r="E500" s="90">
        <f t="shared" si="36"/>
        <v>42656</v>
      </c>
      <c r="F500" s="91" t="s">
        <v>435</v>
      </c>
      <c r="G500" s="91" t="s">
        <v>2118</v>
      </c>
      <c r="H500" s="937" t="s">
        <v>1875</v>
      </c>
      <c r="I500" s="414">
        <v>23400</v>
      </c>
      <c r="J500" s="414">
        <v>148644.34269230769</v>
      </c>
      <c r="K500" s="405"/>
      <c r="L500" s="414"/>
      <c r="M500" s="93">
        <f>ROUND(I500*J500,0)</f>
        <v>3478277619</v>
      </c>
      <c r="N500" s="83" t="s">
        <v>288</v>
      </c>
      <c r="O500" s="83" t="s">
        <v>278</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customHeight="1">
      <c r="A501" s="323" t="str">
        <f>IF(B501&lt;&gt;"",IF(AND(B501='IN-TC'!$S$4,OR(TH!N501="1111",TH!O501="1111")),TH!D501,""),"")</f>
        <v/>
      </c>
      <c r="B501" s="63">
        <f t="shared" si="35"/>
        <v>10</v>
      </c>
      <c r="C501" s="90">
        <v>42661</v>
      </c>
      <c r="D501" s="90" t="s">
        <v>1656</v>
      </c>
      <c r="E501" s="90">
        <f t="shared" si="36"/>
        <v>42661</v>
      </c>
      <c r="F501" s="91" t="s">
        <v>455</v>
      </c>
      <c r="G501" s="91" t="s">
        <v>2119</v>
      </c>
      <c r="H501" s="937" t="s">
        <v>1887</v>
      </c>
      <c r="I501" s="414">
        <v>26000</v>
      </c>
      <c r="J501" s="414">
        <v>55000</v>
      </c>
      <c r="K501" s="405"/>
      <c r="L501" s="414"/>
      <c r="M501" s="93">
        <f>ROUND(I501*J501,0)</f>
        <v>1430000000</v>
      </c>
      <c r="N501" s="83" t="s">
        <v>288</v>
      </c>
      <c r="O501" s="83" t="s">
        <v>278</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customHeight="1">
      <c r="A502" s="323" t="str">
        <f>IF(B502&lt;&gt;"",IF(AND(B502='IN-TC'!$S$4,OR(TH!N502="1111",TH!O502="1111")),TH!D502,""),"")</f>
        <v/>
      </c>
      <c r="B502" s="63">
        <f t="shared" si="35"/>
        <v>10</v>
      </c>
      <c r="C502" s="90">
        <v>42661</v>
      </c>
      <c r="D502" s="90" t="s">
        <v>1656</v>
      </c>
      <c r="E502" s="90">
        <f t="shared" si="36"/>
        <v>42661</v>
      </c>
      <c r="F502" s="91" t="s">
        <v>455</v>
      </c>
      <c r="G502" s="91" t="s">
        <v>2119</v>
      </c>
      <c r="H502" s="937" t="s">
        <v>1887</v>
      </c>
      <c r="I502" s="414">
        <v>26000</v>
      </c>
      <c r="J502" s="414">
        <v>63328.671557692309</v>
      </c>
      <c r="K502" s="405"/>
      <c r="L502" s="414"/>
      <c r="M502" s="93">
        <f>ROUND(I502*J502,0)</f>
        <v>1646545461</v>
      </c>
      <c r="N502" s="83" t="s">
        <v>288</v>
      </c>
      <c r="O502" s="83" t="s">
        <v>278</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customHeight="1">
      <c r="A503" s="323" t="str">
        <f>IF(B503&lt;&gt;"",IF(AND(B503='IN-TC'!$S$4,OR(TH!N503="1111",TH!O503="1111")),TH!D503,""),"")</f>
        <v/>
      </c>
      <c r="B503" s="63">
        <f t="shared" si="35"/>
        <v>10</v>
      </c>
      <c r="C503" s="90">
        <v>42663</v>
      </c>
      <c r="D503" s="90" t="s">
        <v>1657</v>
      </c>
      <c r="E503" s="90">
        <f t="shared" si="36"/>
        <v>42663</v>
      </c>
      <c r="F503" s="91" t="s">
        <v>443</v>
      </c>
      <c r="G503" s="91" t="s">
        <v>2120</v>
      </c>
      <c r="H503" s="937" t="s">
        <v>1350</v>
      </c>
      <c r="I503" s="414">
        <v>4800</v>
      </c>
      <c r="J503" s="414">
        <v>157737.94375000001</v>
      </c>
      <c r="K503" s="405"/>
      <c r="L503" s="414"/>
      <c r="M503" s="93">
        <f>ROUND(I503*J503,0)-1</f>
        <v>757142129</v>
      </c>
      <c r="N503" s="83" t="s">
        <v>288</v>
      </c>
      <c r="O503" s="83" t="s">
        <v>278</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customHeight="1">
      <c r="A504" s="323" t="str">
        <f>IF(B504&lt;&gt;"",IF(AND(B504='IN-TC'!$S$4,OR(TH!N504="1111",TH!O504="1111")),TH!D504,""),"")</f>
        <v/>
      </c>
      <c r="B504" s="63">
        <f t="shared" si="35"/>
        <v>10</v>
      </c>
      <c r="C504" s="90">
        <v>42674</v>
      </c>
      <c r="D504" s="90" t="s">
        <v>1891</v>
      </c>
      <c r="E504" s="90">
        <f t="shared" si="36"/>
        <v>42674</v>
      </c>
      <c r="F504" s="91" t="s">
        <v>455</v>
      </c>
      <c r="G504" s="91" t="s">
        <v>2121</v>
      </c>
      <c r="H504" s="937" t="s">
        <v>1887</v>
      </c>
      <c r="I504" s="414">
        <v>26000</v>
      </c>
      <c r="J504" s="414">
        <v>55000</v>
      </c>
      <c r="K504" s="405"/>
      <c r="L504" s="414"/>
      <c r="M504" s="93">
        <f>ROUND(I504*J504,0)</f>
        <v>1430000000</v>
      </c>
      <c r="N504" s="83" t="s">
        <v>288</v>
      </c>
      <c r="O504" s="83" t="s">
        <v>278</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customHeight="1">
      <c r="A505" s="323" t="str">
        <f>IF(B505&lt;&gt;"",IF(AND(B505='IN-TC'!$S$4,OR(TH!N505="1111",TH!O505="1111")),TH!D505,""),"")</f>
        <v/>
      </c>
      <c r="B505" s="63">
        <f t="shared" si="35"/>
        <v>10</v>
      </c>
      <c r="C505" s="90">
        <v>42674</v>
      </c>
      <c r="D505" s="90" t="s">
        <v>1891</v>
      </c>
      <c r="E505" s="90">
        <f t="shared" si="36"/>
        <v>42674</v>
      </c>
      <c r="F505" s="91" t="s">
        <v>455</v>
      </c>
      <c r="G505" s="91" t="s">
        <v>2121</v>
      </c>
      <c r="H505" s="937" t="s">
        <v>1887</v>
      </c>
      <c r="I505" s="414">
        <v>26000</v>
      </c>
      <c r="J505" s="414">
        <v>63328.671557692309</v>
      </c>
      <c r="K505" s="405"/>
      <c r="L505" s="414"/>
      <c r="M505" s="93">
        <f>ROUND(I505*J505,0)</f>
        <v>1646545461</v>
      </c>
      <c r="N505" s="83" t="s">
        <v>288</v>
      </c>
      <c r="O505" s="83" t="s">
        <v>278</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customHeight="1">
      <c r="A506" s="323" t="str">
        <f>IF(B506&lt;&gt;"",IF(AND(B506='IN-TC'!$S$4,OR(TH!N2620="1111",TH!O2620="1111")),TH!D2620,""),"")</f>
        <v/>
      </c>
      <c r="B506" s="63">
        <f t="shared" si="35"/>
        <v>2</v>
      </c>
      <c r="C506" s="64">
        <v>42425</v>
      </c>
      <c r="D506" s="64" t="s">
        <v>690</v>
      </c>
      <c r="E506" s="64">
        <v>42425</v>
      </c>
      <c r="F506" s="72" t="s">
        <v>1429</v>
      </c>
      <c r="G506" s="67" t="s">
        <v>902</v>
      </c>
      <c r="H506" s="72" t="s">
        <v>1198</v>
      </c>
      <c r="I506" s="408"/>
      <c r="J506" s="408"/>
      <c r="K506" s="399"/>
      <c r="L506" s="408"/>
      <c r="M506" s="65">
        <v>5000000</v>
      </c>
      <c r="N506" s="66" t="s">
        <v>70</v>
      </c>
      <c r="O506" s="66" t="s">
        <v>25</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customHeight="1">
      <c r="A507" s="323" t="str">
        <f>IF(B507&lt;&gt;"",IF(AND(B507='IN-TC'!$S$4,OR(TH!N507="1111",TH!O507="1111")),TH!D507,""),"")</f>
        <v/>
      </c>
      <c r="B507" s="63">
        <f t="shared" si="35"/>
        <v>11</v>
      </c>
      <c r="C507" s="78">
        <v>42677</v>
      </c>
      <c r="D507" s="78" t="s">
        <v>685</v>
      </c>
      <c r="E507" s="78">
        <f>C507</f>
        <v>42677</v>
      </c>
      <c r="F507" s="79" t="s">
        <v>455</v>
      </c>
      <c r="G507" s="934"/>
      <c r="H507" s="80" t="s">
        <v>2312</v>
      </c>
      <c r="I507" s="406">
        <v>52000</v>
      </c>
      <c r="J507" s="406">
        <v>67946.1538461538</v>
      </c>
      <c r="K507" s="397"/>
      <c r="L507" s="406"/>
      <c r="M507" s="81">
        <f>ROUND(I507*J507,0)</f>
        <v>3533200000</v>
      </c>
      <c r="N507" s="84" t="s">
        <v>278</v>
      </c>
      <c r="O507" s="82" t="s">
        <v>276</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customHeight="1">
      <c r="A508" s="323" t="str">
        <f>IF(B508&lt;&gt;"",IF(AND(B508='IN-TC'!$S$4,OR(TH!N508="1111",TH!O508="1111")),TH!D508,""),"")</f>
        <v/>
      </c>
      <c r="B508" s="63">
        <f t="shared" si="35"/>
        <v>11</v>
      </c>
      <c r="C508" s="78">
        <f>E508</f>
        <v>42678</v>
      </c>
      <c r="D508" s="78" t="s">
        <v>686</v>
      </c>
      <c r="E508" s="78">
        <v>42678</v>
      </c>
      <c r="F508" s="79" t="s">
        <v>455</v>
      </c>
      <c r="G508" s="79"/>
      <c r="H508" s="80" t="s">
        <v>682</v>
      </c>
      <c r="I508" s="406">
        <v>26000</v>
      </c>
      <c r="J508" s="406">
        <v>64690.276368518797</v>
      </c>
      <c r="K508" s="397"/>
      <c r="L508" s="406"/>
      <c r="M508" s="81">
        <f>ROUND(I508*J508,0)</f>
        <v>1681947186</v>
      </c>
      <c r="N508" s="84" t="s">
        <v>278</v>
      </c>
      <c r="O508" s="82" t="s">
        <v>276</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customHeight="1">
      <c r="A509" s="323" t="str">
        <f>IF(B509&lt;&gt;"",IF(AND(B509='IN-TC'!$S$4,OR(TH!N509="1111",TH!O509="1111")),TH!D509,""),"")</f>
        <v/>
      </c>
      <c r="B509" s="63">
        <f t="shared" si="35"/>
        <v>11</v>
      </c>
      <c r="C509" s="78">
        <v>42681</v>
      </c>
      <c r="D509" s="78" t="s">
        <v>1926</v>
      </c>
      <c r="E509" s="78">
        <f>C509</f>
        <v>42681</v>
      </c>
      <c r="F509" s="79" t="s">
        <v>455</v>
      </c>
      <c r="G509" s="934"/>
      <c r="H509" s="80" t="s">
        <v>2312</v>
      </c>
      <c r="I509" s="406">
        <v>26000</v>
      </c>
      <c r="J509" s="406">
        <v>67946.1538461538</v>
      </c>
      <c r="K509" s="397"/>
      <c r="L509" s="406"/>
      <c r="M509" s="81">
        <f>ROUND(I509*J509,0)</f>
        <v>1766600000</v>
      </c>
      <c r="N509" s="84" t="s">
        <v>278</v>
      </c>
      <c r="O509" s="82" t="s">
        <v>276</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customHeight="1">
      <c r="A510" s="323" t="str">
        <f>IF(B510&lt;&gt;"",IF(AND(B510='IN-TC'!$S$4,OR(TH!N510="1111",TH!O510="1111")),TH!D510,""),"")</f>
        <v/>
      </c>
      <c r="B510" s="63">
        <f t="shared" si="35"/>
        <v>11</v>
      </c>
      <c r="C510" s="78">
        <f>E510</f>
        <v>42682</v>
      </c>
      <c r="D510" s="78" t="s">
        <v>1927</v>
      </c>
      <c r="E510" s="78">
        <v>42682</v>
      </c>
      <c r="F510" s="79" t="s">
        <v>455</v>
      </c>
      <c r="G510" s="79"/>
      <c r="H510" s="80" t="s">
        <v>682</v>
      </c>
      <c r="I510" s="406">
        <v>26000</v>
      </c>
      <c r="J510" s="406">
        <v>64690.276368518797</v>
      </c>
      <c r="K510" s="397"/>
      <c r="L510" s="406"/>
      <c r="M510" s="81">
        <f>ROUND(I510*J510,0)</f>
        <v>1681947186</v>
      </c>
      <c r="N510" s="84" t="s">
        <v>278</v>
      </c>
      <c r="O510" s="82" t="s">
        <v>276</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customHeight="1">
      <c r="A511" s="323" t="str">
        <f>IF(B511&lt;&gt;"",IF(AND(B511='IN-TC'!$S$4,OR(TH!N511="1111",TH!O511="1111")),TH!D511,""),"")</f>
        <v/>
      </c>
      <c r="B511" s="63">
        <f t="shared" si="35"/>
        <v>11</v>
      </c>
      <c r="C511" s="78">
        <f>E511</f>
        <v>42684</v>
      </c>
      <c r="D511" s="78" t="s">
        <v>2327</v>
      </c>
      <c r="E511" s="78">
        <v>42684</v>
      </c>
      <c r="F511" s="79" t="s">
        <v>1889</v>
      </c>
      <c r="G511" s="79"/>
      <c r="H511" s="80" t="s">
        <v>682</v>
      </c>
      <c r="I511" s="406">
        <v>10000</v>
      </c>
      <c r="J511" s="406">
        <v>156783.2095</v>
      </c>
      <c r="K511" s="397"/>
      <c r="L511" s="406"/>
      <c r="M511" s="81">
        <f>ROUND(I511*J511,0)</f>
        <v>1567832095</v>
      </c>
      <c r="N511" s="84" t="s">
        <v>278</v>
      </c>
      <c r="O511" s="82" t="s">
        <v>276</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customHeight="1">
      <c r="A512" s="323" t="str">
        <f>IF(B512&lt;&gt;"",IF(AND(B512='IN-TC'!$S$4,OR(TH!N2774="1111",TH!O2774="1111")),TH!D2774,""),"")</f>
        <v/>
      </c>
      <c r="B512" s="63">
        <f t="shared" si="35"/>
        <v>3</v>
      </c>
      <c r="C512" s="306">
        <v>42450</v>
      </c>
      <c r="D512" s="306" t="s">
        <v>687</v>
      </c>
      <c r="E512" s="306">
        <v>42450</v>
      </c>
      <c r="F512" s="72" t="s">
        <v>1876</v>
      </c>
      <c r="G512" s="935" t="s">
        <v>902</v>
      </c>
      <c r="H512" s="308" t="s">
        <v>1198</v>
      </c>
      <c r="I512" s="408"/>
      <c r="J512" s="408"/>
      <c r="K512" s="399"/>
      <c r="L512" s="408"/>
      <c r="M512" s="65">
        <v>50000000</v>
      </c>
      <c r="N512" s="66" t="s">
        <v>25</v>
      </c>
      <c r="O512" s="66" t="s">
        <v>70</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customHeight="1">
      <c r="A513" s="323" t="str">
        <f>IF(B513&lt;&gt;"",IF(AND(B513='IN-TC'!$S$4,OR(TH!N514="1111",TH!O514="1111")),TH!D514,""),"")</f>
        <v/>
      </c>
      <c r="B513" s="63">
        <f t="shared" si="35"/>
        <v>11</v>
      </c>
      <c r="C513" s="78">
        <f>E513</f>
        <v>42684</v>
      </c>
      <c r="D513" s="78" t="s">
        <v>2331</v>
      </c>
      <c r="E513" s="78">
        <v>42684</v>
      </c>
      <c r="F513" s="79" t="s">
        <v>455</v>
      </c>
      <c r="G513" s="79"/>
      <c r="H513" s="80" t="s">
        <v>682</v>
      </c>
      <c r="I513" s="406">
        <v>26000</v>
      </c>
      <c r="J513" s="406">
        <v>64690.276368518797</v>
      </c>
      <c r="K513" s="397"/>
      <c r="L513" s="406"/>
      <c r="M513" s="81">
        <f t="shared" ref="M513:M523" si="37">ROUND(I513*J513,0)</f>
        <v>1681947186</v>
      </c>
      <c r="N513" s="84" t="s">
        <v>278</v>
      </c>
      <c r="O513" s="82" t="s">
        <v>276</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customHeight="1">
      <c r="A514" s="323" t="str">
        <f>IF(B514&lt;&gt;"",IF(AND(B514='IN-TC'!$S$4,OR(TH!N513="1111",TH!O513="1111")),TH!D513,""),"")</f>
        <v/>
      </c>
      <c r="B514" s="63">
        <f t="shared" si="35"/>
        <v>11</v>
      </c>
      <c r="C514" s="78">
        <f>E514</f>
        <v>42685</v>
      </c>
      <c r="D514" s="78" t="s">
        <v>2332</v>
      </c>
      <c r="E514" s="78">
        <v>42685</v>
      </c>
      <c r="F514" s="79" t="s">
        <v>442</v>
      </c>
      <c r="G514" s="79"/>
      <c r="H514" s="80" t="s">
        <v>682</v>
      </c>
      <c r="I514" s="406">
        <v>10000</v>
      </c>
      <c r="J514" s="406">
        <v>187499.0943</v>
      </c>
      <c r="K514" s="397"/>
      <c r="L514" s="406"/>
      <c r="M514" s="81">
        <f t="shared" si="37"/>
        <v>1874990943</v>
      </c>
      <c r="N514" s="84" t="s">
        <v>278</v>
      </c>
      <c r="O514" s="82" t="s">
        <v>276</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customHeight="1">
      <c r="A515" s="323" t="str">
        <f>IF(B515&lt;&gt;"",IF(AND(B515='IN-TC'!$S$4,OR(TH!N520="1111",TH!O520="1111")),TH!D520,""),"")</f>
        <v/>
      </c>
      <c r="B515" s="63">
        <f t="shared" si="35"/>
        <v>11</v>
      </c>
      <c r="C515" s="78">
        <v>42689</v>
      </c>
      <c r="D515" s="78" t="s">
        <v>2333</v>
      </c>
      <c r="E515" s="78">
        <f>C515</f>
        <v>42689</v>
      </c>
      <c r="F515" s="79" t="s">
        <v>455</v>
      </c>
      <c r="G515" s="934"/>
      <c r="H515" s="80" t="s">
        <v>2312</v>
      </c>
      <c r="I515" s="406">
        <v>26000</v>
      </c>
      <c r="J515" s="406">
        <v>67946.1538461538</v>
      </c>
      <c r="K515" s="397"/>
      <c r="L515" s="406"/>
      <c r="M515" s="81">
        <f t="shared" si="37"/>
        <v>1766600000</v>
      </c>
      <c r="N515" s="84" t="s">
        <v>278</v>
      </c>
      <c r="O515" s="82" t="s">
        <v>276</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customHeight="1">
      <c r="A516" s="323" t="str">
        <f>IF(B516&lt;&gt;"",IF(AND(B516='IN-TC'!$S$4,OR(TH!N522="1111",TH!O522="1111")),TH!D522,""),"")</f>
        <v/>
      </c>
      <c r="B516" s="63">
        <f t="shared" si="35"/>
        <v>11</v>
      </c>
      <c r="C516" s="78">
        <v>42690</v>
      </c>
      <c r="D516" s="78" t="s">
        <v>2334</v>
      </c>
      <c r="E516" s="78">
        <f>C516</f>
        <v>42690</v>
      </c>
      <c r="F516" s="79" t="s">
        <v>455</v>
      </c>
      <c r="G516" s="934" t="s">
        <v>2223</v>
      </c>
      <c r="H516" s="80" t="s">
        <v>2224</v>
      </c>
      <c r="I516" s="406">
        <v>53300</v>
      </c>
      <c r="J516" s="406">
        <v>55000</v>
      </c>
      <c r="K516" s="397"/>
      <c r="L516" s="406"/>
      <c r="M516" s="81">
        <f t="shared" si="37"/>
        <v>2931500000</v>
      </c>
      <c r="N516" s="82" t="s">
        <v>278</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customHeight="1">
      <c r="A517" s="323" t="str">
        <f>IF(B517&lt;&gt;"",IF(AND(B517='IN-TC'!$S$4,OR(TH!N515="1111",TH!O515="1111")),TH!D515,""),"")</f>
        <v/>
      </c>
      <c r="B517" s="63">
        <f t="shared" si="35"/>
        <v>11</v>
      </c>
      <c r="C517" s="78">
        <f>E517</f>
        <v>42691</v>
      </c>
      <c r="D517" s="78" t="s">
        <v>2335</v>
      </c>
      <c r="E517" s="78">
        <v>42691</v>
      </c>
      <c r="F517" s="79" t="s">
        <v>455</v>
      </c>
      <c r="G517" s="79"/>
      <c r="H517" s="80" t="s">
        <v>682</v>
      </c>
      <c r="I517" s="406">
        <v>24700</v>
      </c>
      <c r="J517" s="406">
        <v>64690.276368518797</v>
      </c>
      <c r="K517" s="397"/>
      <c r="L517" s="406"/>
      <c r="M517" s="81">
        <f t="shared" si="37"/>
        <v>1597849826</v>
      </c>
      <c r="N517" s="84" t="s">
        <v>278</v>
      </c>
      <c r="O517" s="82" t="s">
        <v>276</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customHeight="1">
      <c r="A518" s="323" t="str">
        <f>IF(B518&lt;&gt;"",IF(AND(B518='IN-TC'!$S$4,OR(TH!N523="1111",TH!O523="1111")),TH!D523,""),"")</f>
        <v/>
      </c>
      <c r="B518" s="63">
        <f t="shared" si="35"/>
        <v>11</v>
      </c>
      <c r="C518" s="78">
        <v>42695</v>
      </c>
      <c r="D518" s="78" t="s">
        <v>2336</v>
      </c>
      <c r="E518" s="78">
        <f>C518</f>
        <v>42695</v>
      </c>
      <c r="F518" s="79" t="s">
        <v>455</v>
      </c>
      <c r="G518" s="934" t="s">
        <v>2321</v>
      </c>
      <c r="H518" s="80" t="s">
        <v>2224</v>
      </c>
      <c r="I518" s="406">
        <v>26000</v>
      </c>
      <c r="J518" s="406">
        <v>56250</v>
      </c>
      <c r="K518" s="397"/>
      <c r="L518" s="406"/>
      <c r="M518" s="81">
        <f t="shared" si="37"/>
        <v>1462500000</v>
      </c>
      <c r="N518" s="82" t="s">
        <v>278</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customHeight="1">
      <c r="A519" s="323" t="str">
        <f>IF(B519&lt;&gt;"",IF(AND(B519='IN-TC'!$S$4,OR(TH!N521="1111",TH!O521="1111")),TH!D521,""),"")</f>
        <v/>
      </c>
      <c r="B519" s="63">
        <f t="shared" si="35"/>
        <v>11</v>
      </c>
      <c r="C519" s="78">
        <v>42696</v>
      </c>
      <c r="D519" s="78" t="s">
        <v>2337</v>
      </c>
      <c r="E519" s="78">
        <f>C519</f>
        <v>42696</v>
      </c>
      <c r="F519" s="79" t="s">
        <v>455</v>
      </c>
      <c r="G519" s="934" t="s">
        <v>2324</v>
      </c>
      <c r="H519" s="80" t="s">
        <v>2323</v>
      </c>
      <c r="I519" s="406">
        <v>22711</v>
      </c>
      <c r="J519" s="406">
        <v>57000</v>
      </c>
      <c r="K519" s="397"/>
      <c r="L519" s="406"/>
      <c r="M519" s="81">
        <f t="shared" si="37"/>
        <v>1294527000</v>
      </c>
      <c r="N519" s="82" t="s">
        <v>278</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customHeight="1">
      <c r="A520" s="323" t="str">
        <f>IF(B520&lt;&gt;"",IF(AND(B520='IN-TC'!$S$4,OR(TH!N524="1111",TH!O524="1111")),TH!D524,""),"")</f>
        <v/>
      </c>
      <c r="B520" s="63">
        <f t="shared" si="35"/>
        <v>11</v>
      </c>
      <c r="C520" s="78">
        <v>42698</v>
      </c>
      <c r="D520" s="78" t="s">
        <v>2338</v>
      </c>
      <c r="E520" s="78">
        <f>C520</f>
        <v>42698</v>
      </c>
      <c r="F520" s="79" t="s">
        <v>455</v>
      </c>
      <c r="G520" s="934" t="s">
        <v>2373</v>
      </c>
      <c r="H520" s="80" t="s">
        <v>2374</v>
      </c>
      <c r="I520" s="406">
        <v>9100</v>
      </c>
      <c r="J520" s="406">
        <v>59500</v>
      </c>
      <c r="K520" s="397"/>
      <c r="L520" s="406"/>
      <c r="M520" s="81">
        <f t="shared" si="37"/>
        <v>541450000</v>
      </c>
      <c r="N520" s="82" t="s">
        <v>278</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customHeight="1">
      <c r="A521" s="323" t="str">
        <f>IF(B521&lt;&gt;"",IF(AND(B521='IN-TC'!$S$4,OR(TH!N525="1111",TH!O525="1111")),TH!D525,""),"")</f>
        <v/>
      </c>
      <c r="B521" s="63">
        <f t="shared" si="35"/>
        <v>11</v>
      </c>
      <c r="C521" s="78">
        <v>42699</v>
      </c>
      <c r="D521" s="78" t="s">
        <v>2378</v>
      </c>
      <c r="E521" s="78">
        <f>C521</f>
        <v>42699</v>
      </c>
      <c r="F521" s="79" t="s">
        <v>455</v>
      </c>
      <c r="G521" s="934" t="s">
        <v>2325</v>
      </c>
      <c r="H521" s="80" t="s">
        <v>2323</v>
      </c>
      <c r="I521" s="406">
        <v>2600</v>
      </c>
      <c r="J521" s="406">
        <v>56400</v>
      </c>
      <c r="K521" s="397"/>
      <c r="L521" s="406"/>
      <c r="M521" s="81">
        <f t="shared" si="37"/>
        <v>146640000</v>
      </c>
      <c r="N521" s="82" t="s">
        <v>278</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customHeight="1">
      <c r="A522" s="323" t="str">
        <f>IF(B522&lt;&gt;"",IF(AND(B522='IN-TC'!$S$4,OR(TH!N516="1111",TH!O516="1111")),TH!D516,""),"")</f>
        <v/>
      </c>
      <c r="B522" s="63">
        <f t="shared" si="35"/>
        <v>11</v>
      </c>
      <c r="C522" s="78">
        <v>42698</v>
      </c>
      <c r="D522" s="78" t="s">
        <v>2339</v>
      </c>
      <c r="E522" s="78">
        <v>42699</v>
      </c>
      <c r="F522" s="79" t="s">
        <v>455</v>
      </c>
      <c r="G522" s="79"/>
      <c r="H522" s="80" t="s">
        <v>2312</v>
      </c>
      <c r="I522" s="406">
        <v>26000</v>
      </c>
      <c r="J522" s="406">
        <v>67946.1538461538</v>
      </c>
      <c r="K522" s="397"/>
      <c r="L522" s="406"/>
      <c r="M522" s="81">
        <f t="shared" si="37"/>
        <v>1766600000</v>
      </c>
      <c r="N522" s="84" t="s">
        <v>278</v>
      </c>
      <c r="O522" s="82" t="s">
        <v>276</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customHeight="1">
      <c r="A523" s="323" t="str">
        <f>IF(B523&lt;&gt;"",IF(AND(B523='IN-TC'!$S$4,OR(TH!N517="1111",TH!O517="1111")),TH!D517,""),"")</f>
        <v/>
      </c>
      <c r="B523" s="63">
        <f t="shared" si="35"/>
        <v>11</v>
      </c>
      <c r="C523" s="78">
        <f>E523</f>
        <v>42699</v>
      </c>
      <c r="D523" s="78" t="s">
        <v>2340</v>
      </c>
      <c r="E523" s="78">
        <v>42699</v>
      </c>
      <c r="F523" s="79" t="s">
        <v>455</v>
      </c>
      <c r="G523" s="79"/>
      <c r="H523" s="80" t="s">
        <v>682</v>
      </c>
      <c r="I523" s="406">
        <f>43589-I522</f>
        <v>17589</v>
      </c>
      <c r="J523" s="406">
        <v>64690.276368518797</v>
      </c>
      <c r="K523" s="397"/>
      <c r="L523" s="406"/>
      <c r="M523" s="81">
        <f t="shared" si="37"/>
        <v>1137837271</v>
      </c>
      <c r="N523" s="84" t="s">
        <v>278</v>
      </c>
      <c r="O523" s="82" t="s">
        <v>276</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customHeight="1">
      <c r="A524" s="323" t="str">
        <f>IF(B524&lt;&gt;"",IF(AND(B524='IN-TC'!$S$4,OR(TH!N4218="1111",TH!O4218="1111")),TH!D4218,""),"")</f>
        <v/>
      </c>
      <c r="B524" s="63">
        <f t="shared" si="35"/>
        <v>11</v>
      </c>
      <c r="C524" s="64">
        <v>42697</v>
      </c>
      <c r="D524" s="64" t="s">
        <v>690</v>
      </c>
      <c r="E524" s="64">
        <f>C524</f>
        <v>42697</v>
      </c>
      <c r="F524" s="72" t="s">
        <v>1532</v>
      </c>
      <c r="G524" s="67" t="s">
        <v>1544</v>
      </c>
      <c r="H524" s="72" t="s">
        <v>2224</v>
      </c>
      <c r="I524" s="408"/>
      <c r="J524" s="408"/>
      <c r="K524" s="399"/>
      <c r="L524" s="408"/>
      <c r="M524" s="65">
        <v>4394000000</v>
      </c>
      <c r="N524" s="66" t="s">
        <v>8</v>
      </c>
      <c r="O524" s="66" t="s">
        <v>25</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x</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customHeight="1">
      <c r="A525" s="323" t="str">
        <f>IF(B525&lt;&gt;"",IF(AND(B525='IN-TC'!$S$4,OR(TH!N518="1111",TH!O518="1111")),TH!D518,""),"")</f>
        <v/>
      </c>
      <c r="B525" s="63">
        <f t="shared" si="35"/>
        <v>11</v>
      </c>
      <c r="C525" s="78">
        <f>E525</f>
        <v>42702</v>
      </c>
      <c r="D525" s="78" t="s">
        <v>2379</v>
      </c>
      <c r="E525" s="78">
        <v>42702</v>
      </c>
      <c r="F525" s="79" t="s">
        <v>455</v>
      </c>
      <c r="G525" s="79"/>
      <c r="H525" s="80" t="s">
        <v>2312</v>
      </c>
      <c r="I525" s="406">
        <v>52000</v>
      </c>
      <c r="J525" s="406">
        <v>67946.1538461538</v>
      </c>
      <c r="K525" s="397"/>
      <c r="L525" s="406"/>
      <c r="M525" s="81">
        <f>ROUND(I525*J525,0)</f>
        <v>3533200000</v>
      </c>
      <c r="N525" s="84" t="s">
        <v>278</v>
      </c>
      <c r="O525" s="82" t="s">
        <v>276</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customHeight="1">
      <c r="A526" s="323" t="str">
        <f>IF(B526&lt;&gt;"",IF(AND(B526='IN-TC'!$S$4,OR(TH!N519="1111",TH!O519="1111")),TH!D519,""),"")</f>
        <v/>
      </c>
      <c r="B526" s="63">
        <f t="shared" si="35"/>
        <v>11</v>
      </c>
      <c r="C526" s="78">
        <f>E526</f>
        <v>42702</v>
      </c>
      <c r="D526" s="78" t="s">
        <v>2453</v>
      </c>
      <c r="E526" s="78">
        <v>42702</v>
      </c>
      <c r="F526" s="79" t="s">
        <v>455</v>
      </c>
      <c r="G526" s="79"/>
      <c r="H526" s="80" t="s">
        <v>682</v>
      </c>
      <c r="I526" s="406">
        <f>74100-I525</f>
        <v>22100</v>
      </c>
      <c r="J526" s="406">
        <v>64690.276368518797</v>
      </c>
      <c r="K526" s="397"/>
      <c r="L526" s="406"/>
      <c r="M526" s="81">
        <f>ROUND(I526*J526,0)</f>
        <v>1429655108</v>
      </c>
      <c r="N526" s="84" t="s">
        <v>278</v>
      </c>
      <c r="O526" s="82" t="s">
        <v>276</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customHeight="1">
      <c r="A527" s="323" t="str">
        <f>IF(B527&lt;&gt;"",IF(AND(B527='IN-TC'!$S$4,OR(TH!N527="1111",TH!O527="1111")),TH!D527,""),"")</f>
        <v/>
      </c>
      <c r="B527" s="63">
        <f t="shared" si="35"/>
        <v>11</v>
      </c>
      <c r="C527" s="78">
        <f>E527</f>
        <v>42704</v>
      </c>
      <c r="D527" s="78" t="s">
        <v>2467</v>
      </c>
      <c r="E527" s="78">
        <v>42704</v>
      </c>
      <c r="F527" s="79" t="s">
        <v>443</v>
      </c>
      <c r="G527" s="79"/>
      <c r="H527" s="80" t="s">
        <v>682</v>
      </c>
      <c r="I527" s="406">
        <v>4800</v>
      </c>
      <c r="J527" s="406">
        <v>156847.57604166667</v>
      </c>
      <c r="K527" s="397"/>
      <c r="L527" s="406"/>
      <c r="M527" s="81">
        <f>ROUND(I527*J527,0)</f>
        <v>752868365</v>
      </c>
      <c r="N527" s="84" t="s">
        <v>278</v>
      </c>
      <c r="O527" s="82" t="s">
        <v>276</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customHeight="1">
      <c r="A528" s="323" t="str">
        <f>IF(B528&lt;&gt;"",IF(AND(B528='IN-TC'!$S$4,OR(TH!N528="1111",TH!O528="1111")),TH!D528,""),"")</f>
        <v/>
      </c>
      <c r="B528" s="63">
        <f t="shared" si="35"/>
        <v>11</v>
      </c>
      <c r="C528" s="78">
        <f>E528</f>
        <v>42704</v>
      </c>
      <c r="D528" s="78" t="s">
        <v>2466</v>
      </c>
      <c r="E528" s="78">
        <v>42704</v>
      </c>
      <c r="F528" s="79" t="s">
        <v>435</v>
      </c>
      <c r="G528" s="79"/>
      <c r="H528" s="80" t="s">
        <v>682</v>
      </c>
      <c r="I528" s="406">
        <v>6756</v>
      </c>
      <c r="J528" s="406">
        <v>132649.1764357608</v>
      </c>
      <c r="K528" s="397"/>
      <c r="L528" s="406"/>
      <c r="M528" s="81">
        <f>ROUND(I528*J528,0)</f>
        <v>896177836</v>
      </c>
      <c r="N528" s="84" t="s">
        <v>278</v>
      </c>
      <c r="O528" s="82" t="s">
        <v>276</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customHeight="1">
      <c r="A529" s="323" t="str">
        <f>IF(B529&lt;&gt;"",IF(AND(B529='IN-TC'!$S$4,OR(TH!N4230="1111",TH!O4230="1111")),TH!D4230,""),"")</f>
        <v/>
      </c>
      <c r="B529" s="63">
        <f t="shared" si="35"/>
        <v>11</v>
      </c>
      <c r="C529" s="64">
        <v>42699</v>
      </c>
      <c r="D529" s="64" t="s">
        <v>690</v>
      </c>
      <c r="E529" s="64">
        <f>C529</f>
        <v>42699</v>
      </c>
      <c r="F529" s="72" t="s">
        <v>1532</v>
      </c>
      <c r="G529" s="67" t="s">
        <v>1544</v>
      </c>
      <c r="H529" s="72" t="s">
        <v>2323</v>
      </c>
      <c r="I529" s="408"/>
      <c r="J529" s="408"/>
      <c r="K529" s="399"/>
      <c r="L529" s="408"/>
      <c r="M529" s="65">
        <v>1441167000</v>
      </c>
      <c r="N529" s="66" t="s">
        <v>8</v>
      </c>
      <c r="O529" s="66" t="s">
        <v>25</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x</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customHeight="1">
      <c r="A530" s="323" t="str">
        <f>IF(B530&lt;&gt;"",IF(AND(B530='IN-TC'!$S$4,OR(TH!N526="1111",TH!O526="1111")),TH!D526,""),"")</f>
        <v/>
      </c>
      <c r="B530" s="63">
        <f t="shared" si="35"/>
        <v>11</v>
      </c>
      <c r="C530" s="78">
        <v>42700</v>
      </c>
      <c r="D530" s="78" t="s">
        <v>2372</v>
      </c>
      <c r="E530" s="78">
        <f>C530</f>
        <v>42700</v>
      </c>
      <c r="F530" s="79" t="s">
        <v>455</v>
      </c>
      <c r="G530" s="934" t="s">
        <v>2380</v>
      </c>
      <c r="H530" s="80" t="s">
        <v>2224</v>
      </c>
      <c r="I530" s="406">
        <v>29900</v>
      </c>
      <c r="J530" s="406">
        <v>56000</v>
      </c>
      <c r="K530" s="397"/>
      <c r="L530" s="406"/>
      <c r="M530" s="81">
        <f>ROUND(I530*J530,0)</f>
        <v>1674400000</v>
      </c>
      <c r="N530" s="82" t="s">
        <v>278</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customHeight="1">
      <c r="A531" s="1160" t="str">
        <f>IF(B531&lt;&gt;"",IF(AND(B531='IN-TC'!$S$4,OR(TH!N531="1111",TH!O531="1111")),TH!D531,""),"")</f>
        <v/>
      </c>
      <c r="B531" s="948">
        <f t="shared" si="35"/>
        <v>11</v>
      </c>
      <c r="C531" s="78">
        <v>42704</v>
      </c>
      <c r="D531" s="78" t="s">
        <v>2655</v>
      </c>
      <c r="E531" s="78">
        <v>42704</v>
      </c>
      <c r="F531" s="79" t="s">
        <v>455</v>
      </c>
      <c r="G531" s="79"/>
      <c r="H531" s="80" t="s">
        <v>682</v>
      </c>
      <c r="I531" s="406">
        <v>52000</v>
      </c>
      <c r="J531" s="406">
        <v>64690.276368518797</v>
      </c>
      <c r="K531" s="397"/>
      <c r="L531" s="406"/>
      <c r="M531" s="81">
        <f>ROUND(I531*J531,0)-1</f>
        <v>3363894370</v>
      </c>
      <c r="N531" s="84" t="s">
        <v>278</v>
      </c>
      <c r="O531" s="82" t="s">
        <v>276</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customHeight="1">
      <c r="A532" s="323" t="str">
        <f>IF(B532&lt;&gt;"",IF(AND(B532='IN-TC'!$S$4,OR(TH!N532="1111",TH!O532="1111")),TH!D532,""),"")</f>
        <v/>
      </c>
      <c r="B532" s="63">
        <f t="shared" si="35"/>
        <v>11</v>
      </c>
      <c r="C532" s="90">
        <f t="shared" ref="C532:C553" si="38">E532</f>
        <v>42678</v>
      </c>
      <c r="D532" s="90" t="s">
        <v>585</v>
      </c>
      <c r="E532" s="90">
        <v>42678</v>
      </c>
      <c r="F532" s="91" t="s">
        <v>455</v>
      </c>
      <c r="G532" s="91" t="s">
        <v>2176</v>
      </c>
      <c r="H532" s="937" t="s">
        <v>1887</v>
      </c>
      <c r="I532" s="414">
        <v>26000</v>
      </c>
      <c r="J532" s="414">
        <v>55000</v>
      </c>
      <c r="K532" s="405"/>
      <c r="L532" s="414"/>
      <c r="M532" s="93">
        <f t="shared" ref="M532:M567" si="39">ROUND(I532*J532,0)</f>
        <v>1430000000</v>
      </c>
      <c r="N532" s="83" t="s">
        <v>288</v>
      </c>
      <c r="O532" s="83" t="s">
        <v>278</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customHeight="1">
      <c r="A533" s="323" t="str">
        <f>IF(B533&lt;&gt;"",IF(AND(B533='IN-TC'!$S$4,OR(TH!N533="1111",TH!O533="1111")),TH!D533,""),"")</f>
        <v/>
      </c>
      <c r="B533" s="63">
        <f t="shared" si="35"/>
        <v>11</v>
      </c>
      <c r="C533" s="90">
        <f t="shared" si="38"/>
        <v>42678</v>
      </c>
      <c r="D533" s="90" t="s">
        <v>584</v>
      </c>
      <c r="E533" s="90">
        <v>42678</v>
      </c>
      <c r="F533" s="91" t="s">
        <v>455</v>
      </c>
      <c r="G533" s="91" t="s">
        <v>2175</v>
      </c>
      <c r="H533" s="937" t="s">
        <v>1887</v>
      </c>
      <c r="I533" s="414">
        <v>52000</v>
      </c>
      <c r="J533" s="414">
        <v>67946.1538461538</v>
      </c>
      <c r="K533" s="405"/>
      <c r="L533" s="414"/>
      <c r="M533" s="93">
        <f t="shared" si="39"/>
        <v>3533200000</v>
      </c>
      <c r="N533" s="83" t="s">
        <v>288</v>
      </c>
      <c r="O533" s="83" t="s">
        <v>278</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customHeight="1">
      <c r="A534" s="323" t="str">
        <f>IF(B534&lt;&gt;"",IF(AND(B534='IN-TC'!$S$4,OR(TH!N534="1111",TH!O534="1111")),TH!D534,""),"")</f>
        <v/>
      </c>
      <c r="B534" s="63">
        <f t="shared" si="35"/>
        <v>11</v>
      </c>
      <c r="C534" s="90">
        <f t="shared" si="38"/>
        <v>42678</v>
      </c>
      <c r="D534" s="90" t="s">
        <v>585</v>
      </c>
      <c r="E534" s="90">
        <v>42678</v>
      </c>
      <c r="F534" s="91" t="s">
        <v>455</v>
      </c>
      <c r="G534" s="91" t="s">
        <v>2176</v>
      </c>
      <c r="H534" s="937" t="s">
        <v>1887</v>
      </c>
      <c r="I534" s="414">
        <v>26000</v>
      </c>
      <c r="J534" s="414">
        <v>64690.276368518797</v>
      </c>
      <c r="K534" s="405"/>
      <c r="L534" s="414"/>
      <c r="M534" s="93">
        <f t="shared" si="39"/>
        <v>1681947186</v>
      </c>
      <c r="N534" s="83" t="s">
        <v>288</v>
      </c>
      <c r="O534" s="83" t="s">
        <v>278</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customHeight="1">
      <c r="A535" s="323" t="str">
        <f>IF(B535&lt;&gt;"",IF(AND(B535='IN-TC'!$S$4,OR(TH!N535="1111",TH!O535="1111")),TH!D535,""),"")</f>
        <v/>
      </c>
      <c r="B535" s="63">
        <f t="shared" si="35"/>
        <v>11</v>
      </c>
      <c r="C535" s="90">
        <f t="shared" si="38"/>
        <v>42682</v>
      </c>
      <c r="D535" s="90" t="s">
        <v>1656</v>
      </c>
      <c r="E535" s="90">
        <v>42682</v>
      </c>
      <c r="F535" s="91" t="s">
        <v>455</v>
      </c>
      <c r="G535" s="91" t="s">
        <v>2177</v>
      </c>
      <c r="H535" s="937" t="s">
        <v>1887</v>
      </c>
      <c r="I535" s="414">
        <v>26000</v>
      </c>
      <c r="J535" s="414">
        <v>67946.1538461538</v>
      </c>
      <c r="K535" s="405"/>
      <c r="L535" s="414"/>
      <c r="M535" s="93">
        <f t="shared" si="39"/>
        <v>1766600000</v>
      </c>
      <c r="N535" s="83" t="s">
        <v>288</v>
      </c>
      <c r="O535" s="83" t="s">
        <v>278</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customHeight="1">
      <c r="A536" s="323" t="str">
        <f>IF(B536&lt;&gt;"",IF(AND(B536='IN-TC'!$S$4,OR(TH!N536="1111",TH!O536="1111")),TH!D536,""),"")</f>
        <v/>
      </c>
      <c r="B536" s="63">
        <f t="shared" si="35"/>
        <v>11</v>
      </c>
      <c r="C536" s="90">
        <f t="shared" si="38"/>
        <v>42682</v>
      </c>
      <c r="D536" s="90" t="s">
        <v>1656</v>
      </c>
      <c r="E536" s="90">
        <v>42682</v>
      </c>
      <c r="F536" s="91" t="s">
        <v>455</v>
      </c>
      <c r="G536" s="91" t="s">
        <v>2177</v>
      </c>
      <c r="H536" s="937" t="s">
        <v>1887</v>
      </c>
      <c r="I536" s="414">
        <v>26000</v>
      </c>
      <c r="J536" s="414">
        <v>64690.276368518797</v>
      </c>
      <c r="K536" s="405"/>
      <c r="L536" s="414"/>
      <c r="M536" s="93">
        <f t="shared" si="39"/>
        <v>1681947186</v>
      </c>
      <c r="N536" s="83" t="s">
        <v>288</v>
      </c>
      <c r="O536" s="83" t="s">
        <v>278</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customHeight="1">
      <c r="A537" s="323" t="str">
        <f>IF(B537&lt;&gt;"",IF(AND(B537='IN-TC'!$S$4,OR(TH!N537="1111",TH!O537="1111")),TH!D537,""),"")</f>
        <v/>
      </c>
      <c r="B537" s="63">
        <f t="shared" si="35"/>
        <v>11</v>
      </c>
      <c r="C537" s="90">
        <f t="shared" si="38"/>
        <v>42684</v>
      </c>
      <c r="D537" s="90" t="s">
        <v>1657</v>
      </c>
      <c r="E537" s="90">
        <v>42684</v>
      </c>
      <c r="F537" s="91" t="s">
        <v>1889</v>
      </c>
      <c r="G537" s="91" t="s">
        <v>2178</v>
      </c>
      <c r="H537" s="937" t="s">
        <v>1538</v>
      </c>
      <c r="I537" s="414">
        <v>10000</v>
      </c>
      <c r="J537" s="414">
        <v>156783.2095</v>
      </c>
      <c r="K537" s="405"/>
      <c r="L537" s="414"/>
      <c r="M537" s="93">
        <f t="shared" si="39"/>
        <v>1567832095</v>
      </c>
      <c r="N537" s="83" t="s">
        <v>288</v>
      </c>
      <c r="O537" s="83" t="s">
        <v>278</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customHeight="1">
      <c r="A538" s="323" t="str">
        <f>IF(B538&lt;&gt;"",IF(AND(B538='IN-TC'!$S$4,OR(TH!N538="1111",TH!O538="1111")),TH!D538,""),"")</f>
        <v/>
      </c>
      <c r="B538" s="63">
        <f t="shared" si="35"/>
        <v>11</v>
      </c>
      <c r="C538" s="90">
        <f t="shared" si="38"/>
        <v>42685</v>
      </c>
      <c r="D538" s="90" t="s">
        <v>1891</v>
      </c>
      <c r="E538" s="90">
        <v>42685</v>
      </c>
      <c r="F538" s="91" t="s">
        <v>455</v>
      </c>
      <c r="G538" s="91" t="s">
        <v>2179</v>
      </c>
      <c r="H538" s="937" t="s">
        <v>1887</v>
      </c>
      <c r="I538" s="414">
        <v>26000</v>
      </c>
      <c r="J538" s="414">
        <v>55000</v>
      </c>
      <c r="K538" s="405"/>
      <c r="L538" s="414"/>
      <c r="M538" s="93">
        <f t="shared" si="39"/>
        <v>1430000000</v>
      </c>
      <c r="N538" s="83" t="s">
        <v>288</v>
      </c>
      <c r="O538" s="83" t="s">
        <v>278</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customHeight="1">
      <c r="A539" s="323" t="str">
        <f>IF(B539&lt;&gt;"",IF(AND(B539='IN-TC'!$S$4,OR(TH!N539="1111",TH!O539="1111")),TH!D539,""),"")</f>
        <v/>
      </c>
      <c r="B539" s="63">
        <f t="shared" si="35"/>
        <v>11</v>
      </c>
      <c r="C539" s="90">
        <f t="shared" si="38"/>
        <v>42685</v>
      </c>
      <c r="D539" s="90" t="s">
        <v>1891</v>
      </c>
      <c r="E539" s="90">
        <v>42685</v>
      </c>
      <c r="F539" s="91" t="s">
        <v>455</v>
      </c>
      <c r="G539" s="91" t="s">
        <v>2179</v>
      </c>
      <c r="H539" s="937" t="s">
        <v>1887</v>
      </c>
      <c r="I539" s="414">
        <v>26000</v>
      </c>
      <c r="J539" s="414">
        <v>64690.276368518797</v>
      </c>
      <c r="K539" s="405"/>
      <c r="L539" s="414"/>
      <c r="M539" s="93">
        <f t="shared" si="39"/>
        <v>1681947186</v>
      </c>
      <c r="N539" s="83" t="s">
        <v>288</v>
      </c>
      <c r="O539" s="83" t="s">
        <v>278</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customHeight="1">
      <c r="A540" s="323" t="str">
        <f>IF(B540&lt;&gt;"",IF(AND(B540='IN-TC'!$S$4,OR(TH!N540="1111",TH!O540="1111")),TH!D540,""),"")</f>
        <v/>
      </c>
      <c r="B540" s="63">
        <f t="shared" si="35"/>
        <v>11</v>
      </c>
      <c r="C540" s="90">
        <f t="shared" si="38"/>
        <v>42685</v>
      </c>
      <c r="D540" s="90" t="s">
        <v>1895</v>
      </c>
      <c r="E540" s="90">
        <v>42685</v>
      </c>
      <c r="F540" s="1152" t="s">
        <v>442</v>
      </c>
      <c r="G540" s="91" t="s">
        <v>2180</v>
      </c>
      <c r="H540" s="937" t="s">
        <v>2181</v>
      </c>
      <c r="I540" s="414">
        <v>10000</v>
      </c>
      <c r="J540" s="414">
        <v>187499.0943</v>
      </c>
      <c r="K540" s="405"/>
      <c r="L540" s="414"/>
      <c r="M540" s="93">
        <f t="shared" si="39"/>
        <v>1874990943</v>
      </c>
      <c r="N540" s="83" t="s">
        <v>288</v>
      </c>
      <c r="O540" s="83" t="s">
        <v>278</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customHeight="1">
      <c r="A541" s="323" t="str">
        <f>IF(B541&lt;&gt;"",IF(AND(B541='IN-TC'!$S$4,OR(TH!N541="1111",TH!O541="1111")),TH!D541,""),"")</f>
        <v/>
      </c>
      <c r="B541" s="63">
        <f t="shared" si="35"/>
        <v>11</v>
      </c>
      <c r="C541" s="90">
        <f t="shared" si="38"/>
        <v>42690</v>
      </c>
      <c r="D541" s="90" t="s">
        <v>2313</v>
      </c>
      <c r="E541" s="90">
        <v>42690</v>
      </c>
      <c r="F541" s="91" t="s">
        <v>455</v>
      </c>
      <c r="G541" s="91" t="s">
        <v>2315</v>
      </c>
      <c r="H541" s="937" t="s">
        <v>1887</v>
      </c>
      <c r="I541" s="414">
        <v>26000</v>
      </c>
      <c r="J541" s="414">
        <v>67946.1538461538</v>
      </c>
      <c r="K541" s="405"/>
      <c r="L541" s="414"/>
      <c r="M541" s="93">
        <f t="shared" si="39"/>
        <v>1766600000</v>
      </c>
      <c r="N541" s="83" t="s">
        <v>288</v>
      </c>
      <c r="O541" s="83" t="s">
        <v>278</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customHeight="1">
      <c r="A542" s="323" t="str">
        <f>IF(B542&lt;&gt;"",IF(AND(B542='IN-TC'!$S$4,OR(TH!N542="1111",TH!O542="1111")),TH!D542,""),"")</f>
        <v/>
      </c>
      <c r="B542" s="63">
        <f t="shared" si="35"/>
        <v>11</v>
      </c>
      <c r="C542" s="90">
        <f t="shared" si="38"/>
        <v>42690</v>
      </c>
      <c r="D542" s="90" t="s">
        <v>2313</v>
      </c>
      <c r="E542" s="90">
        <v>42690</v>
      </c>
      <c r="F542" s="91" t="s">
        <v>455</v>
      </c>
      <c r="G542" s="91" t="s">
        <v>2315</v>
      </c>
      <c r="H542" s="937" t="s">
        <v>1887</v>
      </c>
      <c r="I542" s="414">
        <v>26000</v>
      </c>
      <c r="J542" s="414">
        <v>55000</v>
      </c>
      <c r="K542" s="405"/>
      <c r="L542" s="414"/>
      <c r="M542" s="93">
        <f t="shared" si="39"/>
        <v>1430000000</v>
      </c>
      <c r="N542" s="83" t="s">
        <v>288</v>
      </c>
      <c r="O542" s="83" t="s">
        <v>278</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customHeight="1">
      <c r="A543" s="323" t="str">
        <f>IF(B543&lt;&gt;"",IF(AND(B543='IN-TC'!$S$4,OR(TH!N543="1111",TH!O543="1111")),TH!D543,""),"")</f>
        <v/>
      </c>
      <c r="B543" s="63">
        <f t="shared" si="35"/>
        <v>11</v>
      </c>
      <c r="C543" s="90">
        <f t="shared" si="38"/>
        <v>42691</v>
      </c>
      <c r="D543" s="90" t="s">
        <v>2314</v>
      </c>
      <c r="E543" s="90">
        <v>42691</v>
      </c>
      <c r="F543" s="91" t="s">
        <v>455</v>
      </c>
      <c r="G543" s="91" t="s">
        <v>2316</v>
      </c>
      <c r="H543" s="937" t="s">
        <v>1887</v>
      </c>
      <c r="I543" s="414">
        <v>27300</v>
      </c>
      <c r="J543" s="414">
        <v>55000</v>
      </c>
      <c r="K543" s="405"/>
      <c r="L543" s="414"/>
      <c r="M543" s="93">
        <f t="shared" si="39"/>
        <v>1501500000</v>
      </c>
      <c r="N543" s="83" t="s">
        <v>288</v>
      </c>
      <c r="O543" s="83" t="s">
        <v>278</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customHeight="1">
      <c r="A544" s="323" t="str">
        <f>IF(B544&lt;&gt;"",IF(AND(B544='IN-TC'!$S$4,OR(TH!N544="1111",TH!O544="1111")),TH!D544,""),"")</f>
        <v/>
      </c>
      <c r="B544" s="63">
        <f t="shared" si="35"/>
        <v>11</v>
      </c>
      <c r="C544" s="90">
        <f t="shared" si="38"/>
        <v>42691</v>
      </c>
      <c r="D544" s="90" t="s">
        <v>2314</v>
      </c>
      <c r="E544" s="90">
        <v>42691</v>
      </c>
      <c r="F544" s="91" t="s">
        <v>455</v>
      </c>
      <c r="G544" s="91" t="s">
        <v>2316</v>
      </c>
      <c r="H544" s="937" t="s">
        <v>1887</v>
      </c>
      <c r="I544" s="414">
        <v>24700</v>
      </c>
      <c r="J544" s="414">
        <v>64690.276368518797</v>
      </c>
      <c r="K544" s="405"/>
      <c r="L544" s="414"/>
      <c r="M544" s="93">
        <f t="shared" si="39"/>
        <v>1597849826</v>
      </c>
      <c r="N544" s="83" t="s">
        <v>288</v>
      </c>
      <c r="O544" s="83" t="s">
        <v>278</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customHeight="1">
      <c r="A545" s="323" t="str">
        <f>IF(B545&lt;&gt;"",IF(AND(B545='IN-TC'!$S$4,OR(TH!N545="1111",TH!O545="1111")),TH!D545,""),"")</f>
        <v/>
      </c>
      <c r="B545" s="63">
        <f t="shared" si="35"/>
        <v>11</v>
      </c>
      <c r="C545" s="90">
        <f t="shared" si="38"/>
        <v>42699</v>
      </c>
      <c r="D545" s="90" t="s">
        <v>2317</v>
      </c>
      <c r="E545" s="90">
        <v>42699</v>
      </c>
      <c r="F545" s="91" t="s">
        <v>455</v>
      </c>
      <c r="G545" s="91" t="s">
        <v>2318</v>
      </c>
      <c r="H545" s="937" t="s">
        <v>1887</v>
      </c>
      <c r="I545" s="414">
        <v>26000</v>
      </c>
      <c r="J545" s="414">
        <v>56250</v>
      </c>
      <c r="K545" s="405"/>
      <c r="L545" s="414"/>
      <c r="M545" s="93">
        <f t="shared" si="39"/>
        <v>1462500000</v>
      </c>
      <c r="N545" s="83" t="s">
        <v>288</v>
      </c>
      <c r="O545" s="83" t="s">
        <v>278</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customHeight="1">
      <c r="A546" s="323" t="str">
        <f>IF(B546&lt;&gt;"",IF(AND(B546='IN-TC'!$S$4,OR(TH!N546="1111",TH!O546="1111")),TH!D546,""),"")</f>
        <v/>
      </c>
      <c r="B546" s="63">
        <f t="shared" si="35"/>
        <v>11</v>
      </c>
      <c r="C546" s="90">
        <f t="shared" si="38"/>
        <v>42699</v>
      </c>
      <c r="D546" s="90" t="s">
        <v>2317</v>
      </c>
      <c r="E546" s="90">
        <v>42699</v>
      </c>
      <c r="F546" s="91" t="s">
        <v>455</v>
      </c>
      <c r="G546" s="91" t="s">
        <v>2318</v>
      </c>
      <c r="H546" s="937" t="s">
        <v>1887</v>
      </c>
      <c r="I546" s="414">
        <v>22711</v>
      </c>
      <c r="J546" s="414">
        <v>57000</v>
      </c>
      <c r="K546" s="405"/>
      <c r="L546" s="414"/>
      <c r="M546" s="93">
        <f t="shared" si="39"/>
        <v>1294527000</v>
      </c>
      <c r="N546" s="83" t="s">
        <v>288</v>
      </c>
      <c r="O546" s="83" t="s">
        <v>278</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customHeight="1">
      <c r="A547" s="323" t="str">
        <f>IF(B547&lt;&gt;"",IF(AND(B547='IN-TC'!$S$4,OR(TH!N547="1111",TH!O547="1111")),TH!D547,""),"")</f>
        <v/>
      </c>
      <c r="B547" s="63">
        <f t="shared" si="35"/>
        <v>11</v>
      </c>
      <c r="C547" s="90">
        <f t="shared" si="38"/>
        <v>42699</v>
      </c>
      <c r="D547" s="90" t="s">
        <v>2317</v>
      </c>
      <c r="E547" s="90">
        <v>42699</v>
      </c>
      <c r="F547" s="91" t="s">
        <v>455</v>
      </c>
      <c r="G547" s="91" t="s">
        <v>2318</v>
      </c>
      <c r="H547" s="937" t="s">
        <v>1887</v>
      </c>
      <c r="I547" s="414">
        <v>9100</v>
      </c>
      <c r="J547" s="414">
        <v>59500</v>
      </c>
      <c r="K547" s="405"/>
      <c r="L547" s="414"/>
      <c r="M547" s="93">
        <f t="shared" si="39"/>
        <v>541450000</v>
      </c>
      <c r="N547" s="83" t="s">
        <v>288</v>
      </c>
      <c r="O547" s="83" t="s">
        <v>278</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customHeight="1">
      <c r="A548" s="323" t="str">
        <f>IF(B548&lt;&gt;"",IF(AND(B548='IN-TC'!$S$4,OR(TH!N548="1111",TH!O548="1111")),TH!D548,""),"")</f>
        <v/>
      </c>
      <c r="B548" s="63">
        <f t="shared" si="35"/>
        <v>11</v>
      </c>
      <c r="C548" s="90">
        <f t="shared" si="38"/>
        <v>42699</v>
      </c>
      <c r="D548" s="90" t="s">
        <v>2317</v>
      </c>
      <c r="E548" s="90">
        <v>42699</v>
      </c>
      <c r="F548" s="91" t="s">
        <v>455</v>
      </c>
      <c r="G548" s="91" t="s">
        <v>2318</v>
      </c>
      <c r="H548" s="937" t="s">
        <v>1887</v>
      </c>
      <c r="I548" s="414">
        <v>2600</v>
      </c>
      <c r="J548" s="414">
        <v>56400</v>
      </c>
      <c r="K548" s="405"/>
      <c r="L548" s="414"/>
      <c r="M548" s="93">
        <f t="shared" si="39"/>
        <v>146640000</v>
      </c>
      <c r="N548" s="83" t="s">
        <v>288</v>
      </c>
      <c r="O548" s="83" t="s">
        <v>278</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customHeight="1">
      <c r="A549" s="323" t="str">
        <f>IF(B549&lt;&gt;"",IF(AND(B549='IN-TC'!$S$4,OR(TH!N549="1111",TH!O549="1111")),TH!D549,""),"")</f>
        <v/>
      </c>
      <c r="B549" s="63">
        <f t="shared" si="35"/>
        <v>11</v>
      </c>
      <c r="C549" s="90">
        <f t="shared" si="38"/>
        <v>42699</v>
      </c>
      <c r="D549" s="90" t="s">
        <v>2317</v>
      </c>
      <c r="E549" s="90">
        <v>42699</v>
      </c>
      <c r="F549" s="91" t="s">
        <v>455</v>
      </c>
      <c r="G549" s="91" t="s">
        <v>2318</v>
      </c>
      <c r="H549" s="937" t="s">
        <v>1887</v>
      </c>
      <c r="I549" s="414">
        <v>26000</v>
      </c>
      <c r="J549" s="414">
        <v>67946.1538461538</v>
      </c>
      <c r="K549" s="405"/>
      <c r="L549" s="414"/>
      <c r="M549" s="93">
        <f t="shared" si="39"/>
        <v>1766600000</v>
      </c>
      <c r="N549" s="83" t="s">
        <v>288</v>
      </c>
      <c r="O549" s="83" t="s">
        <v>278</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customHeight="1">
      <c r="A550" s="323" t="str">
        <f>IF(B550&lt;&gt;"",IF(AND(B550='IN-TC'!$S$4,OR(TH!N550="1111",TH!O550="1111")),TH!D550,""),"")</f>
        <v/>
      </c>
      <c r="B550" s="63">
        <f t="shared" si="35"/>
        <v>11</v>
      </c>
      <c r="C550" s="90">
        <f t="shared" si="38"/>
        <v>42699</v>
      </c>
      <c r="D550" s="90" t="s">
        <v>2317</v>
      </c>
      <c r="E550" s="90">
        <v>42699</v>
      </c>
      <c r="F550" s="91" t="s">
        <v>455</v>
      </c>
      <c r="G550" s="91" t="s">
        <v>2318</v>
      </c>
      <c r="H550" s="937" t="s">
        <v>1887</v>
      </c>
      <c r="I550" s="414">
        <v>17589</v>
      </c>
      <c r="J550" s="414">
        <v>64690.276368518797</v>
      </c>
      <c r="K550" s="405"/>
      <c r="L550" s="414"/>
      <c r="M550" s="93">
        <f t="shared" si="39"/>
        <v>1137837271</v>
      </c>
      <c r="N550" s="83" t="s">
        <v>288</v>
      </c>
      <c r="O550" s="83" t="s">
        <v>278</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customHeight="1">
      <c r="A551" s="323" t="str">
        <f>IF(B551&lt;&gt;"",IF(AND(B551='IN-TC'!$S$4,OR(TH!N551="1111",TH!O551="1111")),TH!D551,""),"")</f>
        <v/>
      </c>
      <c r="B551" s="63">
        <f t="shared" si="35"/>
        <v>11</v>
      </c>
      <c r="C551" s="90">
        <f t="shared" si="38"/>
        <v>42702</v>
      </c>
      <c r="D551" s="90" t="s">
        <v>2328</v>
      </c>
      <c r="E551" s="90">
        <v>42702</v>
      </c>
      <c r="F551" s="91" t="s">
        <v>455</v>
      </c>
      <c r="G551" s="91" t="s">
        <v>2329</v>
      </c>
      <c r="H551" s="937" t="s">
        <v>1887</v>
      </c>
      <c r="I551" s="414">
        <v>29900</v>
      </c>
      <c r="J551" s="414">
        <v>56000</v>
      </c>
      <c r="K551" s="405"/>
      <c r="L551" s="414"/>
      <c r="M551" s="93">
        <f t="shared" si="39"/>
        <v>1674400000</v>
      </c>
      <c r="N551" s="83" t="s">
        <v>288</v>
      </c>
      <c r="O551" s="83" t="s">
        <v>278</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customHeight="1">
      <c r="A552" s="323" t="str">
        <f>IF(B552&lt;&gt;"",IF(AND(B552='IN-TC'!$S$4,OR(TH!N552="1111",TH!O552="1111")),TH!D552,""),"")</f>
        <v/>
      </c>
      <c r="B552" s="63">
        <f t="shared" si="35"/>
        <v>11</v>
      </c>
      <c r="C552" s="90">
        <f t="shared" si="38"/>
        <v>42702</v>
      </c>
      <c r="D552" s="90" t="s">
        <v>2328</v>
      </c>
      <c r="E552" s="90">
        <v>42702</v>
      </c>
      <c r="F552" s="91" t="s">
        <v>455</v>
      </c>
      <c r="G552" s="91" t="s">
        <v>2329</v>
      </c>
      <c r="H552" s="937" t="s">
        <v>1887</v>
      </c>
      <c r="I552" s="414">
        <v>52000</v>
      </c>
      <c r="J552" s="414">
        <v>67946.1538461538</v>
      </c>
      <c r="K552" s="405"/>
      <c r="L552" s="414"/>
      <c r="M552" s="93">
        <f t="shared" si="39"/>
        <v>3533200000</v>
      </c>
      <c r="N552" s="83" t="s">
        <v>288</v>
      </c>
      <c r="O552" s="83" t="s">
        <v>278</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customHeight="1">
      <c r="A553" s="323" t="str">
        <f>IF(B553&lt;&gt;"",IF(AND(B553='IN-TC'!$S$4,OR(TH!N553="1111",TH!O553="1111")),TH!D553,""),"")</f>
        <v/>
      </c>
      <c r="B553" s="63">
        <f t="shared" si="35"/>
        <v>11</v>
      </c>
      <c r="C553" s="90">
        <f t="shared" si="38"/>
        <v>42702</v>
      </c>
      <c r="D553" s="90" t="s">
        <v>2328</v>
      </c>
      <c r="E553" s="90">
        <v>42702</v>
      </c>
      <c r="F553" s="91" t="s">
        <v>455</v>
      </c>
      <c r="G553" s="91" t="s">
        <v>2329</v>
      </c>
      <c r="H553" s="937" t="s">
        <v>1887</v>
      </c>
      <c r="I553" s="414">
        <v>22100</v>
      </c>
      <c r="J553" s="414">
        <v>64690.276368518797</v>
      </c>
      <c r="K553" s="405"/>
      <c r="L553" s="414"/>
      <c r="M553" s="93">
        <f t="shared" si="39"/>
        <v>1429655108</v>
      </c>
      <c r="N553" s="83" t="s">
        <v>288</v>
      </c>
      <c r="O553" s="83" t="s">
        <v>278</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customHeight="1">
      <c r="A554" s="323" t="str">
        <f>IF(B554&lt;&gt;"",IF(AND(B554='IN-TC'!$S$4,OR(TH!N554="1111",TH!O554="1111")),TH!D554,""),"")</f>
        <v/>
      </c>
      <c r="B554" s="63">
        <f t="shared" si="35"/>
        <v>11</v>
      </c>
      <c r="C554" s="90">
        <v>42704</v>
      </c>
      <c r="D554" s="90" t="s">
        <v>2367</v>
      </c>
      <c r="E554" s="90">
        <v>42704</v>
      </c>
      <c r="F554" s="91" t="s">
        <v>443</v>
      </c>
      <c r="G554" s="91" t="s">
        <v>2329</v>
      </c>
      <c r="H554" s="937" t="s">
        <v>586</v>
      </c>
      <c r="I554" s="414">
        <v>4800</v>
      </c>
      <c r="J554" s="414">
        <v>156847.57604166667</v>
      </c>
      <c r="K554" s="405"/>
      <c r="L554" s="414"/>
      <c r="M554" s="93">
        <f t="shared" si="39"/>
        <v>752868365</v>
      </c>
      <c r="N554" s="83" t="s">
        <v>288</v>
      </c>
      <c r="O554" s="83" t="s">
        <v>278</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customHeight="1">
      <c r="A555" s="323" t="str">
        <f>IF(B555&lt;&gt;"",IF(AND(B555='IN-TC'!$S$4,OR(TH!N555="1111",TH!O555="1111")),TH!D555,""),"")</f>
        <v/>
      </c>
      <c r="B555" s="63">
        <f t="shared" si="35"/>
        <v>11</v>
      </c>
      <c r="C555" s="90">
        <v>42704</v>
      </c>
      <c r="D555" s="90" t="s">
        <v>2363</v>
      </c>
      <c r="E555" s="90">
        <v>42704</v>
      </c>
      <c r="F555" s="91" t="s">
        <v>435</v>
      </c>
      <c r="G555" s="91"/>
      <c r="H555" s="937" t="s">
        <v>2366</v>
      </c>
      <c r="I555" s="414">
        <v>3007</v>
      </c>
      <c r="J555" s="414">
        <v>132649.17643576101</v>
      </c>
      <c r="K555" s="405"/>
      <c r="L555" s="414"/>
      <c r="M555" s="93">
        <f t="shared" si="39"/>
        <v>398876074</v>
      </c>
      <c r="N555" s="83" t="s">
        <v>288</v>
      </c>
      <c r="O555" s="83" t="s">
        <v>278</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customHeight="1">
      <c r="A556" s="323" t="str">
        <f>IF(B556&lt;&gt;"",IF(AND(B556='IN-TC'!$S$4,OR(TH!N556="1111",TH!O556="1111")),TH!D556,""),"")</f>
        <v/>
      </c>
      <c r="B556" s="63">
        <f t="shared" si="35"/>
        <v>11</v>
      </c>
      <c r="C556" s="90">
        <v>42704</v>
      </c>
      <c r="D556" s="90" t="s">
        <v>2363</v>
      </c>
      <c r="E556" s="90">
        <v>42704</v>
      </c>
      <c r="F556" s="91" t="s">
        <v>2364</v>
      </c>
      <c r="G556" s="91"/>
      <c r="H556" s="937" t="s">
        <v>2366</v>
      </c>
      <c r="I556" s="414">
        <v>3000</v>
      </c>
      <c r="J556" s="414">
        <v>141769.70705603788</v>
      </c>
      <c r="K556" s="405"/>
      <c r="L556" s="414"/>
      <c r="M556" s="93">
        <f t="shared" si="39"/>
        <v>425309121</v>
      </c>
      <c r="N556" s="83" t="s">
        <v>288</v>
      </c>
      <c r="O556" s="83" t="s">
        <v>278</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customHeight="1">
      <c r="A557" s="323" t="str">
        <f>IF(B557&lt;&gt;"",IF(AND(B557='IN-TC'!$S$4,OR(TH!N557="1111",TH!O557="1111")),TH!D557,""),"")</f>
        <v/>
      </c>
      <c r="B557" s="63">
        <f t="shared" si="35"/>
        <v>12</v>
      </c>
      <c r="C557" s="78">
        <v>42706</v>
      </c>
      <c r="D557" s="78" t="s">
        <v>684</v>
      </c>
      <c r="E557" s="78">
        <f t="shared" ref="E557:E575" si="40">C557</f>
        <v>42706</v>
      </c>
      <c r="F557" s="79" t="s">
        <v>431</v>
      </c>
      <c r="G557" s="79"/>
      <c r="H557" s="80" t="s">
        <v>682</v>
      </c>
      <c r="I557" s="406">
        <v>10</v>
      </c>
      <c r="J557" s="1237">
        <v>83131.3</v>
      </c>
      <c r="K557" s="397"/>
      <c r="L557" s="406"/>
      <c r="M557" s="81">
        <f t="shared" si="39"/>
        <v>831313</v>
      </c>
      <c r="N557" s="84" t="s">
        <v>278</v>
      </c>
      <c r="O557" s="82" t="s">
        <v>276</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customHeight="1">
      <c r="A558" s="323" t="str">
        <f>IF(B558&lt;&gt;"",IF(AND(B558='IN-TC'!$S$4,OR(TH!N558="1111",TH!O558="1111")),TH!D558,""),"")</f>
        <v/>
      </c>
      <c r="B558" s="63">
        <f t="shared" ref="B558:B621" si="41">IF(C558&lt;&gt;"",MONTH(C558),"")</f>
        <v>12</v>
      </c>
      <c r="C558" s="78">
        <v>42706</v>
      </c>
      <c r="D558" s="78" t="s">
        <v>685</v>
      </c>
      <c r="E558" s="78">
        <f t="shared" si="40"/>
        <v>42706</v>
      </c>
      <c r="F558" s="79" t="s">
        <v>2534</v>
      </c>
      <c r="G558" s="79"/>
      <c r="H558" s="80" t="s">
        <v>682</v>
      </c>
      <c r="I558" s="1196">
        <v>110</v>
      </c>
      <c r="J558" s="406">
        <v>212498.363636364</v>
      </c>
      <c r="K558" s="397"/>
      <c r="L558" s="406"/>
      <c r="M558" s="81">
        <f t="shared" si="39"/>
        <v>23374820</v>
      </c>
      <c r="N558" s="84" t="s">
        <v>278</v>
      </c>
      <c r="O558" s="82" t="s">
        <v>276</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customHeight="1">
      <c r="A559" s="323" t="str">
        <f>IF(B559&lt;&gt;"",IF(AND(B559='IN-TC'!$S$4,OR(TH!N559="1111",TH!O559="1111")),TH!D559,""),"")</f>
        <v/>
      </c>
      <c r="B559" s="63">
        <f t="shared" si="41"/>
        <v>12</v>
      </c>
      <c r="C559" s="78">
        <v>42706</v>
      </c>
      <c r="D559" s="78" t="s">
        <v>685</v>
      </c>
      <c r="E559" s="78">
        <f t="shared" si="40"/>
        <v>42706</v>
      </c>
      <c r="F559" s="79" t="s">
        <v>2536</v>
      </c>
      <c r="G559" s="79"/>
      <c r="H559" s="80" t="s">
        <v>682</v>
      </c>
      <c r="I559" s="1196">
        <v>100</v>
      </c>
      <c r="J559" s="406">
        <v>194498.36</v>
      </c>
      <c r="K559" s="397"/>
      <c r="L559" s="406"/>
      <c r="M559" s="81">
        <f t="shared" si="39"/>
        <v>19449836</v>
      </c>
      <c r="N559" s="84" t="s">
        <v>278</v>
      </c>
      <c r="O559" s="82" t="s">
        <v>276</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customHeight="1">
      <c r="A560" s="323" t="str">
        <f>IF(B560&lt;&gt;"",IF(AND(B560='IN-TC'!$S$4,OR(TH!N560="1111",TH!O560="1111")),TH!D560,""),"")</f>
        <v/>
      </c>
      <c r="B560" s="63">
        <f t="shared" si="41"/>
        <v>12</v>
      </c>
      <c r="C560" s="78">
        <v>42706</v>
      </c>
      <c r="D560" s="78" t="s">
        <v>685</v>
      </c>
      <c r="E560" s="78">
        <f t="shared" si="40"/>
        <v>42706</v>
      </c>
      <c r="F560" s="79" t="s">
        <v>2535</v>
      </c>
      <c r="G560" s="79"/>
      <c r="H560" s="80" t="s">
        <v>682</v>
      </c>
      <c r="I560" s="1196">
        <v>100</v>
      </c>
      <c r="J560" s="406">
        <v>132253.64000000001</v>
      </c>
      <c r="K560" s="397"/>
      <c r="L560" s="406"/>
      <c r="M560" s="81">
        <f t="shared" si="39"/>
        <v>13225364</v>
      </c>
      <c r="N560" s="84" t="s">
        <v>278</v>
      </c>
      <c r="O560" s="82" t="s">
        <v>276</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customHeight="1">
      <c r="A561" s="323" t="str">
        <f>IF(B561&lt;&gt;"",IF(AND(B561='IN-TC'!$S$4,OR(TH!N561="1111",TH!O561="1111")),TH!D561,""),"")</f>
        <v/>
      </c>
      <c r="B561" s="63">
        <f t="shared" si="41"/>
        <v>12</v>
      </c>
      <c r="C561" s="78">
        <v>42706</v>
      </c>
      <c r="D561" s="78" t="s">
        <v>685</v>
      </c>
      <c r="E561" s="78">
        <f t="shared" si="40"/>
        <v>42706</v>
      </c>
      <c r="F561" s="79" t="s">
        <v>2537</v>
      </c>
      <c r="G561" s="79"/>
      <c r="H561" s="80" t="s">
        <v>682</v>
      </c>
      <c r="I561" s="1196">
        <v>70</v>
      </c>
      <c r="J561" s="406">
        <v>132253.64285714299</v>
      </c>
      <c r="K561" s="397"/>
      <c r="L561" s="406"/>
      <c r="M561" s="81">
        <f t="shared" si="39"/>
        <v>9257755</v>
      </c>
      <c r="N561" s="84" t="s">
        <v>278</v>
      </c>
      <c r="O561" s="82" t="s">
        <v>276</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customHeight="1">
      <c r="A562" s="323" t="str">
        <f>IF(B562&lt;&gt;"",IF(AND(B562='IN-TC'!$S$4,OR(TH!N562="1111",TH!O562="1111")),TH!D562,""),"")</f>
        <v/>
      </c>
      <c r="B562" s="63">
        <f t="shared" si="41"/>
        <v>12</v>
      </c>
      <c r="C562" s="78">
        <v>42706</v>
      </c>
      <c r="D562" s="78" t="s">
        <v>685</v>
      </c>
      <c r="E562" s="78">
        <f t="shared" si="40"/>
        <v>42706</v>
      </c>
      <c r="F562" s="79" t="s">
        <v>2538</v>
      </c>
      <c r="G562" s="79"/>
      <c r="H562" s="80" t="s">
        <v>682</v>
      </c>
      <c r="I562" s="1196">
        <v>30</v>
      </c>
      <c r="J562" s="406">
        <v>93477.266666666706</v>
      </c>
      <c r="K562" s="397"/>
      <c r="L562" s="406"/>
      <c r="M562" s="81">
        <f t="shared" si="39"/>
        <v>2804318</v>
      </c>
      <c r="N562" s="84" t="s">
        <v>278</v>
      </c>
      <c r="O562" s="82" t="s">
        <v>276</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customHeight="1">
      <c r="A563" s="323" t="str">
        <f>IF(B563&lt;&gt;"",IF(AND(B563='IN-TC'!$S$4,OR(TH!N563="1111",TH!O563="1111")),TH!D563,""),"")</f>
        <v/>
      </c>
      <c r="B563" s="63">
        <f t="shared" si="41"/>
        <v>12</v>
      </c>
      <c r="C563" s="78">
        <v>42706</v>
      </c>
      <c r="D563" s="78" t="s">
        <v>685</v>
      </c>
      <c r="E563" s="78">
        <f t="shared" si="40"/>
        <v>42706</v>
      </c>
      <c r="F563" s="79" t="s">
        <v>2539</v>
      </c>
      <c r="G563" s="79"/>
      <c r="H563" s="80" t="s">
        <v>682</v>
      </c>
      <c r="I563" s="1196">
        <v>50</v>
      </c>
      <c r="J563" s="406">
        <v>530386.54</v>
      </c>
      <c r="K563" s="397"/>
      <c r="L563" s="406"/>
      <c r="M563" s="81">
        <f t="shared" si="39"/>
        <v>26519327</v>
      </c>
      <c r="N563" s="84" t="s">
        <v>278</v>
      </c>
      <c r="O563" s="82" t="s">
        <v>276</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customHeight="1">
      <c r="A564" s="323" t="str">
        <f>IF(B564&lt;&gt;"",IF(AND(B564='IN-TC'!$S$4,OR(TH!N564="1111",TH!O564="1111")),TH!D564,""),"")</f>
        <v/>
      </c>
      <c r="B564" s="63">
        <f t="shared" si="41"/>
        <v>12</v>
      </c>
      <c r="C564" s="78">
        <v>42706</v>
      </c>
      <c r="D564" s="78" t="s">
        <v>685</v>
      </c>
      <c r="E564" s="78">
        <f t="shared" si="40"/>
        <v>42706</v>
      </c>
      <c r="F564" s="79" t="s">
        <v>2540</v>
      </c>
      <c r="G564" s="79"/>
      <c r="H564" s="80" t="s">
        <v>682</v>
      </c>
      <c r="I564" s="1196">
        <v>3</v>
      </c>
      <c r="J564" s="406">
        <v>389330.66666666698</v>
      </c>
      <c r="K564" s="397"/>
      <c r="L564" s="406"/>
      <c r="M564" s="81">
        <f t="shared" si="39"/>
        <v>1167992</v>
      </c>
      <c r="N564" s="84" t="s">
        <v>278</v>
      </c>
      <c r="O564" s="82" t="s">
        <v>276</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customHeight="1">
      <c r="A565" s="323" t="str">
        <f>IF(B565&lt;&gt;"",IF(AND(B565='IN-TC'!$S$4,OR(TH!N565="1111",TH!O565="1111")),TH!D565,""),"")</f>
        <v/>
      </c>
      <c r="B565" s="63">
        <f t="shared" si="41"/>
        <v>12</v>
      </c>
      <c r="C565" s="78">
        <v>42706</v>
      </c>
      <c r="D565" s="78" t="s">
        <v>685</v>
      </c>
      <c r="E565" s="78">
        <f t="shared" si="40"/>
        <v>42706</v>
      </c>
      <c r="F565" s="79" t="s">
        <v>2541</v>
      </c>
      <c r="G565" s="79"/>
      <c r="H565" s="80" t="s">
        <v>682</v>
      </c>
      <c r="I565" s="1196">
        <v>223</v>
      </c>
      <c r="J565" s="406">
        <v>132239.78026905801</v>
      </c>
      <c r="K565" s="397"/>
      <c r="L565" s="406"/>
      <c r="M565" s="81">
        <f t="shared" si="39"/>
        <v>29489471</v>
      </c>
      <c r="N565" s="84" t="s">
        <v>278</v>
      </c>
      <c r="O565" s="82" t="s">
        <v>276</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customHeight="1">
      <c r="A566" s="323"/>
      <c r="B566" s="63">
        <f t="shared" si="41"/>
        <v>12</v>
      </c>
      <c r="C566" s="78">
        <v>42706</v>
      </c>
      <c r="D566" s="78" t="s">
        <v>685</v>
      </c>
      <c r="E566" s="78">
        <f t="shared" si="40"/>
        <v>42706</v>
      </c>
      <c r="F566" s="79" t="s">
        <v>2905</v>
      </c>
      <c r="G566" s="79"/>
      <c r="H566" s="80" t="s">
        <v>682</v>
      </c>
      <c r="I566" s="1196">
        <v>55</v>
      </c>
      <c r="J566" s="406">
        <v>132226.29203539799</v>
      </c>
      <c r="K566" s="397"/>
      <c r="L566" s="406"/>
      <c r="M566" s="81">
        <f t="shared" si="39"/>
        <v>7272446</v>
      </c>
      <c r="N566" s="84" t="s">
        <v>278</v>
      </c>
      <c r="O566" s="82" t="s">
        <v>276</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0" ht="15.75" customHeight="1">
      <c r="A567" s="323"/>
      <c r="B567" s="63">
        <f t="shared" si="41"/>
        <v>12</v>
      </c>
      <c r="C567" s="78">
        <v>42706</v>
      </c>
      <c r="D567" s="78" t="s">
        <v>685</v>
      </c>
      <c r="E567" s="78">
        <f t="shared" si="40"/>
        <v>42706</v>
      </c>
      <c r="F567" s="79" t="s">
        <v>2905</v>
      </c>
      <c r="G567" s="79"/>
      <c r="H567" s="80" t="s">
        <v>682</v>
      </c>
      <c r="I567" s="1196">
        <v>58</v>
      </c>
      <c r="J567" s="406">
        <v>132226.29203539799</v>
      </c>
      <c r="K567" s="397"/>
      <c r="L567" s="406"/>
      <c r="M567" s="81">
        <f t="shared" si="39"/>
        <v>7669125</v>
      </c>
      <c r="N567" s="84" t="s">
        <v>278</v>
      </c>
      <c r="O567" s="82" t="s">
        <v>276</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0" ht="15.75" customHeight="1">
      <c r="A568" s="323" t="str">
        <f>IF(B568&lt;&gt;"",IF(AND(B568='IN-TC'!$S$4,OR(TH!N4245="1111",TH!O4245="1111")),TH!D4245,""),"")</f>
        <v/>
      </c>
      <c r="B568" s="63">
        <f t="shared" si="41"/>
        <v>11</v>
      </c>
      <c r="C568" s="64">
        <v>42703</v>
      </c>
      <c r="D568" s="64" t="s">
        <v>690</v>
      </c>
      <c r="E568" s="64">
        <f t="shared" si="40"/>
        <v>42703</v>
      </c>
      <c r="F568" s="72" t="s">
        <v>1532</v>
      </c>
      <c r="G568" s="67" t="s">
        <v>1544</v>
      </c>
      <c r="H568" s="72" t="s">
        <v>2224</v>
      </c>
      <c r="I568" s="408"/>
      <c r="J568" s="408"/>
      <c r="K568" s="399"/>
      <c r="L568" s="408"/>
      <c r="M568" s="65">
        <v>1674100000</v>
      </c>
      <c r="N568" s="66" t="s">
        <v>8</v>
      </c>
      <c r="O568" s="66" t="s">
        <v>25</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x</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customHeight="1">
      <c r="A569" s="323" t="str">
        <f>IF(B569&lt;&gt;"",IF(AND(B569='IN-TC'!$S$4,OR(TH!N529="1111",TH!O529="1111")),TH!D529,""),"")</f>
        <v/>
      </c>
      <c r="B569" s="63">
        <f t="shared" si="41"/>
        <v>11</v>
      </c>
      <c r="C569" s="78">
        <v>42703</v>
      </c>
      <c r="D569" s="78" t="s">
        <v>2464</v>
      </c>
      <c r="E569" s="78">
        <f t="shared" si="40"/>
        <v>42703</v>
      </c>
      <c r="F569" s="79" t="s">
        <v>455</v>
      </c>
      <c r="G569" s="934" t="s">
        <v>2322</v>
      </c>
      <c r="H569" s="80" t="s">
        <v>2323</v>
      </c>
      <c r="I569" s="406">
        <v>26000</v>
      </c>
      <c r="J569" s="406">
        <v>58000</v>
      </c>
      <c r="K569" s="397"/>
      <c r="L569" s="406"/>
      <c r="M569" s="81">
        <f>ROUND(I569*J569,0)</f>
        <v>1508000000</v>
      </c>
      <c r="N569" s="82" t="s">
        <v>278</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customHeight="1">
      <c r="A570" s="323" t="str">
        <f>IF(B570&lt;&gt;"",IF(AND(B570='IN-TC'!$S$4,OR(TH!N4233="1111",TH!O4233="1111")),TH!D4233,""),"")</f>
        <v/>
      </c>
      <c r="B570" s="63">
        <f t="shared" si="41"/>
        <v>11</v>
      </c>
      <c r="C570" s="64">
        <v>42699</v>
      </c>
      <c r="D570" s="64" t="s">
        <v>690</v>
      </c>
      <c r="E570" s="64">
        <f t="shared" si="40"/>
        <v>42699</v>
      </c>
      <c r="F570" s="72" t="s">
        <v>1532</v>
      </c>
      <c r="G570" s="67" t="s">
        <v>1544</v>
      </c>
      <c r="H570" s="72" t="s">
        <v>2374</v>
      </c>
      <c r="I570" s="408"/>
      <c r="J570" s="408"/>
      <c r="K570" s="399"/>
      <c r="L570" s="408"/>
      <c r="M570" s="65">
        <v>541450000</v>
      </c>
      <c r="N570" s="66" t="s">
        <v>8</v>
      </c>
      <c r="O570" s="66" t="s">
        <v>25</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x</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customHeight="1">
      <c r="A571" s="1227" t="str">
        <f>IF(B571&lt;&gt;"",IF(AND(B571='IN-TC'!$S$4,OR(TH!N611="1111",TH!O611="1111")),TH!D611,""),"")</f>
        <v/>
      </c>
      <c r="B571" s="1228">
        <f t="shared" si="41"/>
        <v>12</v>
      </c>
      <c r="C571" s="1229">
        <v>42710</v>
      </c>
      <c r="D571" s="1229" t="s">
        <v>2977</v>
      </c>
      <c r="E571" s="1229">
        <f t="shared" si="40"/>
        <v>42710</v>
      </c>
      <c r="F571" s="1230" t="s">
        <v>455</v>
      </c>
      <c r="G571" s="1231" t="s">
        <v>2522</v>
      </c>
      <c r="H571" s="1232" t="s">
        <v>2374</v>
      </c>
      <c r="I571" s="1233">
        <v>9200</v>
      </c>
      <c r="J571" s="1233">
        <v>60000</v>
      </c>
      <c r="K571" s="1234"/>
      <c r="L571" s="1233"/>
      <c r="M571" s="1235">
        <f t="shared" ref="M571:M576" si="42">ROUND(I571*J571,0)</f>
        <v>552000000</v>
      </c>
      <c r="N571" s="1236" t="s">
        <v>276</v>
      </c>
      <c r="O571" s="1236" t="s">
        <v>278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customHeight="1">
      <c r="A572" s="323" t="str">
        <f>IF(B572&lt;&gt;"",IF(AND(B572='IN-TC'!$S$4,OR(TH!N572="1111",TH!O572="1111")),TH!D572,""),"")</f>
        <v/>
      </c>
      <c r="B572" s="63">
        <f t="shared" si="41"/>
        <v>12</v>
      </c>
      <c r="C572" s="78">
        <v>42710</v>
      </c>
      <c r="D572" s="78" t="s">
        <v>2326</v>
      </c>
      <c r="E572" s="78">
        <f t="shared" si="40"/>
        <v>42710</v>
      </c>
      <c r="F572" s="79" t="s">
        <v>455</v>
      </c>
      <c r="G572" s="934"/>
      <c r="H572" s="80" t="s">
        <v>2312</v>
      </c>
      <c r="I572" s="406">
        <v>26000</v>
      </c>
      <c r="J572" s="1237">
        <v>66416.300584615397</v>
      </c>
      <c r="K572" s="397"/>
      <c r="L572" s="406"/>
      <c r="M572" s="81">
        <f t="shared" si="42"/>
        <v>1726823815</v>
      </c>
      <c r="N572" s="82" t="s">
        <v>278</v>
      </c>
      <c r="O572" s="82" t="s">
        <v>276</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customHeight="1">
      <c r="A573" s="323" t="str">
        <f>IF(B573&lt;&gt;"",IF(AND(B573='IN-TC'!$S$4,OR(TH!N573="1111",TH!O573="1111")),TH!D573,""),"")</f>
        <v/>
      </c>
      <c r="B573" s="63">
        <f t="shared" si="41"/>
        <v>12</v>
      </c>
      <c r="C573" s="78">
        <v>42710</v>
      </c>
      <c r="D573" s="78" t="s">
        <v>2327</v>
      </c>
      <c r="E573" s="78">
        <f t="shared" si="40"/>
        <v>42710</v>
      </c>
      <c r="F573" s="79" t="s">
        <v>455</v>
      </c>
      <c r="G573" s="934"/>
      <c r="H573" s="80" t="s">
        <v>682</v>
      </c>
      <c r="I573" s="406">
        <v>17490</v>
      </c>
      <c r="J573" s="406">
        <v>62704.859704859999</v>
      </c>
      <c r="K573" s="397"/>
      <c r="L573" s="406"/>
      <c r="M573" s="81">
        <f t="shared" si="42"/>
        <v>1096707996</v>
      </c>
      <c r="N573" s="82" t="s">
        <v>278</v>
      </c>
      <c r="O573" s="82" t="s">
        <v>276</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customHeight="1">
      <c r="A574" s="1160" t="str">
        <f>IF(B574&lt;&gt;"",IF(AND(B574='IN-TC'!$S$4,OR(TH!N574="1111",TH!O574="1111")),TH!D574,""),"")</f>
        <v/>
      </c>
      <c r="B574" s="948">
        <f t="shared" si="41"/>
        <v>12</v>
      </c>
      <c r="C574" s="78">
        <v>42711</v>
      </c>
      <c r="D574" s="78" t="s">
        <v>2331</v>
      </c>
      <c r="E574" s="78">
        <f t="shared" si="40"/>
        <v>42711</v>
      </c>
      <c r="F574" s="79" t="s">
        <v>455</v>
      </c>
      <c r="G574" s="934"/>
      <c r="H574" s="918" t="s">
        <v>682</v>
      </c>
      <c r="I574" s="1196">
        <v>61914</v>
      </c>
      <c r="J574" s="406">
        <v>59617.829576304597</v>
      </c>
      <c r="K574" s="397"/>
      <c r="L574" s="406"/>
      <c r="M574" s="81">
        <f t="shared" si="42"/>
        <v>3691178300</v>
      </c>
      <c r="N574" s="82" t="s">
        <v>278</v>
      </c>
      <c r="O574" s="82" t="s">
        <v>276</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customHeight="1">
      <c r="A575" s="323" t="str">
        <f>IF(B575&lt;&gt;"",IF(AND(B575='IN-TC'!$S$4,OR(TH!N575="1111",TH!O575="1111")),TH!D575,""),"")</f>
        <v/>
      </c>
      <c r="B575" s="63">
        <f t="shared" si="41"/>
        <v>12</v>
      </c>
      <c r="C575" s="78">
        <v>42713</v>
      </c>
      <c r="D575" s="78" t="s">
        <v>2332</v>
      </c>
      <c r="E575" s="78">
        <f t="shared" si="40"/>
        <v>42713</v>
      </c>
      <c r="F575" s="79" t="s">
        <v>455</v>
      </c>
      <c r="G575" s="934"/>
      <c r="H575" s="80" t="s">
        <v>682</v>
      </c>
      <c r="I575" s="406">
        <v>156351</v>
      </c>
      <c r="J575" s="406">
        <v>62704.859704859999</v>
      </c>
      <c r="K575" s="397"/>
      <c r="L575" s="406"/>
      <c r="M575" s="81">
        <f t="shared" si="42"/>
        <v>9803967520</v>
      </c>
      <c r="N575" s="82" t="s">
        <v>278</v>
      </c>
      <c r="O575" s="82" t="s">
        <v>276</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customHeight="1">
      <c r="A576" s="323" t="str">
        <f>IF(B576&lt;&gt;"",IF(AND(B576='IN-TC'!$S$4,OR(TH!N530="1111",TH!O530="1111")),TH!D530,""),"")</f>
        <v/>
      </c>
      <c r="B576" s="63">
        <f t="shared" si="41"/>
        <v>11</v>
      </c>
      <c r="C576" s="78">
        <f>E576</f>
        <v>42704</v>
      </c>
      <c r="D576" s="78" t="s">
        <v>2465</v>
      </c>
      <c r="E576" s="78">
        <v>42704</v>
      </c>
      <c r="F576" s="79" t="s">
        <v>455</v>
      </c>
      <c r="G576" s="934" t="s">
        <v>2454</v>
      </c>
      <c r="H576" s="80" t="s">
        <v>2224</v>
      </c>
      <c r="I576" s="406">
        <v>26000</v>
      </c>
      <c r="J576" s="406">
        <v>56000</v>
      </c>
      <c r="K576" s="397"/>
      <c r="L576" s="406"/>
      <c r="M576" s="81">
        <f t="shared" si="42"/>
        <v>1456000000</v>
      </c>
      <c r="N576" s="82" t="s">
        <v>278</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customHeight="1">
      <c r="A577" s="323" t="str">
        <f>IF(B577&lt;&gt;"",IF(AND(B577='IN-TC'!$S$4,OR(TH!N2927="1111",TH!O2927="1111")),TH!D2927,""),"")</f>
        <v/>
      </c>
      <c r="B577" s="63">
        <f t="shared" si="41"/>
        <v>4</v>
      </c>
      <c r="C577" s="64">
        <f>E577</f>
        <v>42481</v>
      </c>
      <c r="D577" s="64" t="s">
        <v>690</v>
      </c>
      <c r="E577" s="64">
        <v>42481</v>
      </c>
      <c r="F577" s="72" t="s">
        <v>1429</v>
      </c>
      <c r="G577" s="931" t="s">
        <v>902</v>
      </c>
      <c r="H577" s="329" t="s">
        <v>1198</v>
      </c>
      <c r="I577" s="410"/>
      <c r="J577" s="410"/>
      <c r="K577" s="401"/>
      <c r="L577" s="410"/>
      <c r="M577" s="65">
        <v>40000000</v>
      </c>
      <c r="N577" s="66" t="s">
        <v>70</v>
      </c>
      <c r="O577" s="66" t="s">
        <v>25</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customHeight="1">
      <c r="A578" s="323" t="str">
        <f>IF(B578&lt;&gt;"",IF(AND(B578='IN-TC'!$S$4,OR(TH!N578="1111",TH!O578="1111")),TH!D578,""),"")</f>
        <v/>
      </c>
      <c r="B578" s="63">
        <f t="shared" si="41"/>
        <v>12</v>
      </c>
      <c r="C578" s="78">
        <v>42715</v>
      </c>
      <c r="D578" s="78" t="s">
        <v>2335</v>
      </c>
      <c r="E578" s="78">
        <f>C578</f>
        <v>42715</v>
      </c>
      <c r="F578" s="79" t="s">
        <v>455</v>
      </c>
      <c r="G578" s="934"/>
      <c r="H578" s="80" t="s">
        <v>2312</v>
      </c>
      <c r="I578" s="406">
        <v>26000</v>
      </c>
      <c r="J578" s="406">
        <v>66416.300584615397</v>
      </c>
      <c r="K578" s="397"/>
      <c r="L578" s="406"/>
      <c r="M578" s="81">
        <f>ROUND(I578*J578,0)</f>
        <v>1726823815</v>
      </c>
      <c r="N578" s="82" t="s">
        <v>278</v>
      </c>
      <c r="O578" s="82" t="s">
        <v>276</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customHeight="1">
      <c r="A579" s="323" t="str">
        <f>IF(B579&lt;&gt;"",IF(AND(B579='IN-TC'!$S$4,OR(TH!N579="1111",TH!O579="1111")),TH!D579,""),"")</f>
        <v/>
      </c>
      <c r="B579" s="63">
        <f t="shared" si="41"/>
        <v>12</v>
      </c>
      <c r="C579" s="78">
        <v>42715</v>
      </c>
      <c r="D579" s="78" t="s">
        <v>2336</v>
      </c>
      <c r="E579" s="78">
        <f>C579</f>
        <v>42715</v>
      </c>
      <c r="F579" s="79" t="s">
        <v>455</v>
      </c>
      <c r="G579" s="934"/>
      <c r="H579" s="80" t="s">
        <v>682</v>
      </c>
      <c r="I579" s="406">
        <v>26000</v>
      </c>
      <c r="J579" s="406">
        <v>62704.859704859999</v>
      </c>
      <c r="K579" s="397"/>
      <c r="L579" s="406"/>
      <c r="M579" s="81">
        <f>ROUND(I579*J579,0)</f>
        <v>1630326352</v>
      </c>
      <c r="N579" s="82" t="s">
        <v>278</v>
      </c>
      <c r="O579" s="82" t="s">
        <v>276</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customHeight="1">
      <c r="A580" s="1160" t="str">
        <f>IF(B580&lt;&gt;"",IF(AND(B580='IN-TC'!$S$4,OR(TH!N580="1111",TH!O580="1111")),TH!D580,""),"")</f>
        <v/>
      </c>
      <c r="B580" s="948">
        <f t="shared" si="41"/>
        <v>12</v>
      </c>
      <c r="C580" s="78">
        <v>42716</v>
      </c>
      <c r="D580" s="78" t="s">
        <v>2337</v>
      </c>
      <c r="E580" s="78">
        <f>C580</f>
        <v>42716</v>
      </c>
      <c r="F580" s="79" t="s">
        <v>455</v>
      </c>
      <c r="G580" s="934"/>
      <c r="H580" s="918" t="s">
        <v>682</v>
      </c>
      <c r="I580" s="1196">
        <v>52000</v>
      </c>
      <c r="J580" s="406">
        <v>59617.829576304597</v>
      </c>
      <c r="K580" s="397"/>
      <c r="L580" s="406"/>
      <c r="M580" s="81">
        <f>ROUND(I580*J580,0)</f>
        <v>3100127138</v>
      </c>
      <c r="N580" s="82" t="s">
        <v>278</v>
      </c>
      <c r="O580" s="82" t="s">
        <v>276</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customHeight="1">
      <c r="A581" s="323" t="str">
        <f>IF(B581&lt;&gt;"",IF(AND(B581='IN-TC'!$S$4,OR(TH!N3036="1111",TH!O3036="1111")),TH!D3036,""),"")</f>
        <v/>
      </c>
      <c r="B581" s="63">
        <f t="shared" si="41"/>
        <v>5</v>
      </c>
      <c r="C581" s="64">
        <f>E581</f>
        <v>42494</v>
      </c>
      <c r="D581" s="306" t="s">
        <v>690</v>
      </c>
      <c r="E581" s="64">
        <v>42494</v>
      </c>
      <c r="F581" s="72" t="s">
        <v>1429</v>
      </c>
      <c r="G581" s="931" t="s">
        <v>902</v>
      </c>
      <c r="H581" s="72" t="s">
        <v>1198</v>
      </c>
      <c r="I581" s="408"/>
      <c r="J581" s="408"/>
      <c r="K581" s="399"/>
      <c r="L581" s="408"/>
      <c r="M581" s="65">
        <v>95000000</v>
      </c>
      <c r="N581" s="66" t="s">
        <v>70</v>
      </c>
      <c r="O581" s="66" t="s">
        <v>25</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customHeight="1">
      <c r="A582" s="323" t="str">
        <f>IF(B582&lt;&gt;"",IF(AND(B582='IN-TC'!$S$4,OR(TH!N582="1111",TH!O582="1111")),TH!D582,""),"")</f>
        <v/>
      </c>
      <c r="B582" s="63">
        <f t="shared" si="41"/>
        <v>12</v>
      </c>
      <c r="C582" s="78">
        <v>42719</v>
      </c>
      <c r="D582" s="78" t="s">
        <v>2339</v>
      </c>
      <c r="E582" s="78">
        <f t="shared" ref="E582:E587" si="43">C582</f>
        <v>42719</v>
      </c>
      <c r="F582" s="79" t="s">
        <v>455</v>
      </c>
      <c r="G582" s="934"/>
      <c r="H582" s="80" t="s">
        <v>2312</v>
      </c>
      <c r="I582" s="406">
        <v>52000</v>
      </c>
      <c r="J582" s="406">
        <v>66416.300584615397</v>
      </c>
      <c r="K582" s="397"/>
      <c r="L582" s="406"/>
      <c r="M582" s="81">
        <f>ROUND(I582*J582,0)</f>
        <v>3453647630</v>
      </c>
      <c r="N582" s="82" t="s">
        <v>278</v>
      </c>
      <c r="O582" s="82" t="s">
        <v>276</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customHeight="1">
      <c r="A583" s="323" t="str">
        <f>IF(B583&lt;&gt;"",IF(AND(B583='IN-TC'!$S$4,OR(TH!N583="1111",TH!O583="1111")),TH!D583,""),"")</f>
        <v/>
      </c>
      <c r="B583" s="63">
        <f t="shared" si="41"/>
        <v>12</v>
      </c>
      <c r="C583" s="78">
        <v>42719</v>
      </c>
      <c r="D583" s="78" t="s">
        <v>2340</v>
      </c>
      <c r="E583" s="78">
        <f t="shared" si="43"/>
        <v>42719</v>
      </c>
      <c r="F583" s="79" t="s">
        <v>455</v>
      </c>
      <c r="G583" s="934"/>
      <c r="H583" s="80" t="s">
        <v>682</v>
      </c>
      <c r="I583" s="1196">
        <v>30597.5</v>
      </c>
      <c r="J583" s="406">
        <v>62704.859704859999</v>
      </c>
      <c r="K583" s="397"/>
      <c r="L583" s="406"/>
      <c r="M583" s="81">
        <f>ROUND(I583*J583,0)</f>
        <v>1918611945</v>
      </c>
      <c r="N583" s="82" t="s">
        <v>278</v>
      </c>
      <c r="O583" s="82" t="s">
        <v>276</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customHeight="1">
      <c r="A584" s="323" t="str">
        <f>IF(B584&lt;&gt;"",IF(AND(B584='IN-TC'!$S$4,OR(TH!N4248="1111",TH!O4248="1111")),TH!D4248,""),"")</f>
        <v/>
      </c>
      <c r="B584" s="63">
        <f t="shared" si="41"/>
        <v>11</v>
      </c>
      <c r="C584" s="64">
        <v>42703</v>
      </c>
      <c r="D584" s="64" t="s">
        <v>690</v>
      </c>
      <c r="E584" s="64">
        <f t="shared" si="43"/>
        <v>42703</v>
      </c>
      <c r="F584" s="72" t="s">
        <v>1532</v>
      </c>
      <c r="G584" s="67" t="s">
        <v>1544</v>
      </c>
      <c r="H584" s="72" t="s">
        <v>2323</v>
      </c>
      <c r="I584" s="408"/>
      <c r="J584" s="408"/>
      <c r="K584" s="399"/>
      <c r="L584" s="408"/>
      <c r="M584" s="65">
        <v>1508000000</v>
      </c>
      <c r="N584" s="66" t="s">
        <v>8</v>
      </c>
      <c r="O584" s="66" t="s">
        <v>25</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x</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customHeight="1">
      <c r="A585" s="1227" t="str">
        <f>IF(B585&lt;&gt;"",IF(AND(B585='IN-TC'!$S$4,OR(TH!N610="1111",TH!O610="1111")),TH!D610,""),"")</f>
        <v/>
      </c>
      <c r="B585" s="1228">
        <f t="shared" si="41"/>
        <v>12</v>
      </c>
      <c r="C585" s="1229">
        <v>42709</v>
      </c>
      <c r="D585" s="1229" t="s">
        <v>2976</v>
      </c>
      <c r="E585" s="1229">
        <f t="shared" si="43"/>
        <v>42709</v>
      </c>
      <c r="F585" s="1230" t="s">
        <v>455</v>
      </c>
      <c r="G585" s="1231" t="s">
        <v>2494</v>
      </c>
      <c r="H585" s="1232" t="s">
        <v>2323</v>
      </c>
      <c r="I585" s="1233">
        <v>26351</v>
      </c>
      <c r="J585" s="1233">
        <v>57500</v>
      </c>
      <c r="K585" s="1234"/>
      <c r="L585" s="1233"/>
      <c r="M585" s="1235">
        <f>ROUND(I585*J585,0)</f>
        <v>1515182500</v>
      </c>
      <c r="N585" s="1236" t="s">
        <v>276</v>
      </c>
      <c r="O585" s="1236" t="s">
        <v>278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customHeight="1">
      <c r="A586" s="1160" t="str">
        <f>IF(B586&lt;&gt;"",IF(AND(B586='IN-TC'!$S$4,OR(TH!N586="1111",TH!O586="1111")),TH!D586,""),"")</f>
        <v/>
      </c>
      <c r="B586" s="948">
        <f t="shared" si="41"/>
        <v>12</v>
      </c>
      <c r="C586" s="78">
        <v>42720</v>
      </c>
      <c r="D586" s="78" t="s">
        <v>2379</v>
      </c>
      <c r="E586" s="78">
        <f t="shared" si="43"/>
        <v>42720</v>
      </c>
      <c r="F586" s="79" t="s">
        <v>455</v>
      </c>
      <c r="G586" s="934"/>
      <c r="H586" s="918" t="s">
        <v>682</v>
      </c>
      <c r="I586" s="1196">
        <v>73402.5</v>
      </c>
      <c r="J586" s="406">
        <v>59617.829576304597</v>
      </c>
      <c r="K586" s="397"/>
      <c r="L586" s="406"/>
      <c r="M586" s="81">
        <f>ROUND(I586*J586,0)</f>
        <v>4376097735</v>
      </c>
      <c r="N586" s="82" t="s">
        <v>278</v>
      </c>
      <c r="O586" s="82" t="s">
        <v>276</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customHeight="1">
      <c r="A587" s="1227" t="str">
        <f>IF(B587&lt;&gt;"",IF(AND(B587='IN-TC'!$S$4,OR(TH!N609="1111",TH!O609="1111")),TH!D609,""),"")</f>
        <v/>
      </c>
      <c r="B587" s="1228">
        <f t="shared" si="41"/>
        <v>12</v>
      </c>
      <c r="C587" s="1229">
        <v>42709</v>
      </c>
      <c r="D587" s="1229" t="s">
        <v>2976</v>
      </c>
      <c r="E587" s="1229">
        <f t="shared" si="43"/>
        <v>42709</v>
      </c>
      <c r="F587" s="1230" t="s">
        <v>455</v>
      </c>
      <c r="G587" s="1231" t="s">
        <v>2455</v>
      </c>
      <c r="H587" s="1232" t="s">
        <v>2224</v>
      </c>
      <c r="I587" s="1233">
        <v>26351</v>
      </c>
      <c r="J587" s="1233">
        <v>55500</v>
      </c>
      <c r="K587" s="1234"/>
      <c r="L587" s="1233"/>
      <c r="M587" s="1235">
        <f>ROUND(I587*J587,0)</f>
        <v>1462480500</v>
      </c>
      <c r="N587" s="1236" t="s">
        <v>276</v>
      </c>
      <c r="O587" s="1236" t="s">
        <v>278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customHeight="1">
      <c r="A588" s="323" t="str">
        <f>IF(B588&lt;&gt;"",IF(AND(B588='IN-TC'!$S$4,OR(TH!N3065="1111",TH!O3065="1111")),TH!D3065,""),"")</f>
        <v/>
      </c>
      <c r="B588" s="63">
        <f t="shared" si="41"/>
        <v>5</v>
      </c>
      <c r="C588" s="64">
        <f>E588</f>
        <v>42509</v>
      </c>
      <c r="D588" s="306" t="s">
        <v>690</v>
      </c>
      <c r="E588" s="64">
        <v>42509</v>
      </c>
      <c r="F588" s="72" t="s">
        <v>1429</v>
      </c>
      <c r="G588" s="931" t="s">
        <v>902</v>
      </c>
      <c r="H588" s="72" t="s">
        <v>1198</v>
      </c>
      <c r="I588" s="408"/>
      <c r="J588" s="408"/>
      <c r="K588" s="399"/>
      <c r="L588" s="408"/>
      <c r="M588" s="65">
        <v>14000000</v>
      </c>
      <c r="N588" s="66" t="s">
        <v>70</v>
      </c>
      <c r="O588" s="66" t="s">
        <v>25</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customHeight="1">
      <c r="A589" s="323" t="str">
        <f>IF(B589&lt;&gt;"",IF(AND(B589='IN-TC'!$S$4,OR(TH!N589="1111",TH!O589="1111")),TH!D589,""),"")</f>
        <v/>
      </c>
      <c r="B589" s="63">
        <f t="shared" si="41"/>
        <v>12</v>
      </c>
      <c r="C589" s="78">
        <v>42722</v>
      </c>
      <c r="D589" s="78" t="s">
        <v>2465</v>
      </c>
      <c r="E589" s="78">
        <f>C589</f>
        <v>42722</v>
      </c>
      <c r="F589" s="79" t="s">
        <v>455</v>
      </c>
      <c r="G589" s="934"/>
      <c r="H589" s="80" t="s">
        <v>2312</v>
      </c>
      <c r="I589" s="406">
        <v>26000</v>
      </c>
      <c r="J589" s="406">
        <v>66416.300584615397</v>
      </c>
      <c r="K589" s="397"/>
      <c r="L589" s="406"/>
      <c r="M589" s="81">
        <f>ROUND(I589*J589,0)</f>
        <v>1726823815</v>
      </c>
      <c r="N589" s="82" t="s">
        <v>278</v>
      </c>
      <c r="O589" s="82" t="s">
        <v>276</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customHeight="1">
      <c r="A590" s="323" t="str">
        <f>IF(B590&lt;&gt;"",IF(AND(B590='IN-TC'!$S$4,OR(TH!N590="1111",TH!O590="1111")),TH!D590,""),"")</f>
        <v/>
      </c>
      <c r="B590" s="63">
        <f t="shared" si="41"/>
        <v>12</v>
      </c>
      <c r="C590" s="78">
        <v>42722</v>
      </c>
      <c r="D590" s="78" t="s">
        <v>2466</v>
      </c>
      <c r="E590" s="78">
        <f>C590</f>
        <v>42722</v>
      </c>
      <c r="F590" s="79" t="s">
        <v>455</v>
      </c>
      <c r="G590" s="934"/>
      <c r="H590" s="80" t="s">
        <v>682</v>
      </c>
      <c r="I590" s="1196">
        <v>61581</v>
      </c>
      <c r="J590" s="406">
        <v>62704.859704859999</v>
      </c>
      <c r="K590" s="397"/>
      <c r="L590" s="406"/>
      <c r="M590" s="81">
        <f>ROUND(I590*J590,0)</f>
        <v>3861427965</v>
      </c>
      <c r="N590" s="82" t="s">
        <v>278</v>
      </c>
      <c r="O590" s="82" t="s">
        <v>276</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customHeight="1">
      <c r="A591" s="1160" t="str">
        <f>IF(B591&lt;&gt;"",IF(AND(B591='IN-TC'!$S$4,OR(TH!N591="1111",TH!O591="1111")),TH!D591,""),"")</f>
        <v/>
      </c>
      <c r="B591" s="948">
        <f t="shared" si="41"/>
        <v>12</v>
      </c>
      <c r="C591" s="78">
        <v>42723</v>
      </c>
      <c r="D591" s="78" t="s">
        <v>2467</v>
      </c>
      <c r="E591" s="78">
        <f>C591</f>
        <v>42723</v>
      </c>
      <c r="F591" s="79" t="s">
        <v>455</v>
      </c>
      <c r="G591" s="934"/>
      <c r="H591" s="918" t="s">
        <v>682</v>
      </c>
      <c r="I591" s="1196">
        <v>70759</v>
      </c>
      <c r="J591" s="406">
        <v>59617.829576304597</v>
      </c>
      <c r="K591" s="397"/>
      <c r="L591" s="406"/>
      <c r="M591" s="81">
        <f>ROUND(I591*J591,0)</f>
        <v>4218498003</v>
      </c>
      <c r="N591" s="82" t="s">
        <v>278</v>
      </c>
      <c r="O591" s="82" t="s">
        <v>276</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customHeight="1">
      <c r="A592" s="323" t="str">
        <f>IF(B592&lt;&gt;"",IF(AND(B592='IN-TC'!$S$4,OR(TH!N3069="1111",TH!O3069="1111")),TH!D3069,""),"")</f>
        <v/>
      </c>
      <c r="B592" s="63">
        <f t="shared" si="41"/>
        <v>5</v>
      </c>
      <c r="C592" s="64">
        <f>E592</f>
        <v>42515</v>
      </c>
      <c r="D592" s="306" t="s">
        <v>690</v>
      </c>
      <c r="E592" s="64">
        <v>42515</v>
      </c>
      <c r="F592" s="72" t="s">
        <v>1429</v>
      </c>
      <c r="G592" s="931" t="s">
        <v>902</v>
      </c>
      <c r="H592" s="72" t="s">
        <v>1198</v>
      </c>
      <c r="I592" s="408"/>
      <c r="J592" s="408"/>
      <c r="K592" s="399"/>
      <c r="L592" s="408"/>
      <c r="M592" s="65">
        <v>85000000</v>
      </c>
      <c r="N592" s="66" t="s">
        <v>70</v>
      </c>
      <c r="O592" s="66" t="s">
        <v>25</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customHeight="1">
      <c r="A593" s="1160" t="str">
        <f>IF(B593&lt;&gt;"",IF(AND(B593='IN-TC'!$S$4,OR(TH!N593="1111",TH!O593="1111")),TH!D593,""),"")</f>
        <v/>
      </c>
      <c r="B593" s="948">
        <f t="shared" si="41"/>
        <v>12</v>
      </c>
      <c r="C593" s="78">
        <v>42725</v>
      </c>
      <c r="D593" s="78" t="s">
        <v>2656</v>
      </c>
      <c r="E593" s="78">
        <f>C593</f>
        <v>42725</v>
      </c>
      <c r="F593" s="79" t="s">
        <v>435</v>
      </c>
      <c r="G593" s="79"/>
      <c r="H593" s="918" t="s">
        <v>682</v>
      </c>
      <c r="I593" s="406">
        <v>2639</v>
      </c>
      <c r="J593" s="406">
        <v>127254.02728306199</v>
      </c>
      <c r="K593" s="397"/>
      <c r="L593" s="406"/>
      <c r="M593" s="1195">
        <f>ROUND(I593*J593,0)</f>
        <v>335823378</v>
      </c>
      <c r="N593" s="1073" t="s">
        <v>278</v>
      </c>
      <c r="O593" s="1073" t="s">
        <v>276</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customHeight="1">
      <c r="A594" s="1160" t="str">
        <f>IF(B594&lt;&gt;"",IF(AND(B594='IN-TC'!$S$4,OR(TH!N594="1111",TH!O594="1111")),TH!D594,""),"")</f>
        <v/>
      </c>
      <c r="B594" s="948">
        <f t="shared" si="41"/>
        <v>12</v>
      </c>
      <c r="C594" s="78">
        <v>42725</v>
      </c>
      <c r="D594" s="78" t="s">
        <v>2657</v>
      </c>
      <c r="E594" s="78">
        <f>C594</f>
        <v>42725</v>
      </c>
      <c r="F594" s="79" t="s">
        <v>2716</v>
      </c>
      <c r="G594" s="79"/>
      <c r="H594" s="918" t="s">
        <v>682</v>
      </c>
      <c r="I594" s="406">
        <v>688</v>
      </c>
      <c r="J594" s="1237">
        <v>89771.601744186002</v>
      </c>
      <c r="K594" s="397"/>
      <c r="L594" s="406"/>
      <c r="M594" s="1195">
        <f>ROUND(I594*J594,0)</f>
        <v>61762862</v>
      </c>
      <c r="N594" s="1073" t="s">
        <v>278</v>
      </c>
      <c r="O594" s="1073" t="s">
        <v>276</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customHeight="1">
      <c r="A595" s="323" t="str">
        <f>IF(B595&lt;&gt;"",IF(AND(B595='IN-TC'!$S$4,OR(TH!N569="1111",TH!O569="1111")),TH!D569,""),"")</f>
        <v/>
      </c>
      <c r="B595" s="63">
        <f t="shared" si="41"/>
        <v>12</v>
      </c>
      <c r="C595" s="78">
        <v>42709</v>
      </c>
      <c r="D595" s="78" t="s">
        <v>1926</v>
      </c>
      <c r="E595" s="78">
        <f>C595</f>
        <v>42709</v>
      </c>
      <c r="F595" s="79" t="s">
        <v>455</v>
      </c>
      <c r="G595" s="934" t="s">
        <v>2494</v>
      </c>
      <c r="H595" s="80" t="s">
        <v>2323</v>
      </c>
      <c r="I595" s="406">
        <v>26351</v>
      </c>
      <c r="J595" s="406">
        <v>57500</v>
      </c>
      <c r="K595" s="397"/>
      <c r="L595" s="406"/>
      <c r="M595" s="81">
        <f>ROUND(I595*J595,0)</f>
        <v>1515182500</v>
      </c>
      <c r="N595" s="82" t="s">
        <v>278</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customHeight="1">
      <c r="A596" s="323" t="str">
        <f>IF(B596&lt;&gt;"",IF(AND(B596='IN-TC'!$S$4,OR(TH!N568="1111",TH!O568="1111")),TH!D568,""),"")</f>
        <v/>
      </c>
      <c r="B596" s="63">
        <f t="shared" si="41"/>
        <v>12</v>
      </c>
      <c r="C596" s="78">
        <v>42709</v>
      </c>
      <c r="D596" s="78" t="s">
        <v>686</v>
      </c>
      <c r="E596" s="78">
        <f>C596</f>
        <v>42709</v>
      </c>
      <c r="F596" s="79" t="s">
        <v>455</v>
      </c>
      <c r="G596" s="934" t="s">
        <v>2455</v>
      </c>
      <c r="H596" s="80" t="s">
        <v>2224</v>
      </c>
      <c r="I596" s="406">
        <v>26351</v>
      </c>
      <c r="J596" s="406">
        <v>55500</v>
      </c>
      <c r="K596" s="397"/>
      <c r="L596" s="406"/>
      <c r="M596" s="81">
        <f>ROUND(I596*J596,0)</f>
        <v>1462480500</v>
      </c>
      <c r="N596" s="82" t="s">
        <v>278</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customHeight="1">
      <c r="A597" s="323" t="str">
        <f>IF(B597&lt;&gt;"",IF(AND(B597='IN-TC'!$S$4,OR(TH!N2990="1111",TH!O2990="1111")),TH!D2990,""),"")</f>
        <v/>
      </c>
      <c r="B597" s="63">
        <f t="shared" si="41"/>
        <v>5</v>
      </c>
      <c r="C597" s="90">
        <v>42519</v>
      </c>
      <c r="D597" s="1087" t="s">
        <v>900</v>
      </c>
      <c r="E597" s="90">
        <v>42519</v>
      </c>
      <c r="F597" s="72" t="s">
        <v>1876</v>
      </c>
      <c r="G597" s="1089"/>
      <c r="H597" s="92" t="s">
        <v>1198</v>
      </c>
      <c r="I597" s="414"/>
      <c r="J597" s="414"/>
      <c r="K597" s="405"/>
      <c r="L597" s="414"/>
      <c r="M597" s="93">
        <v>79000000</v>
      </c>
      <c r="N597" s="83" t="s">
        <v>61</v>
      </c>
      <c r="O597" s="83" t="s">
        <v>70</v>
      </c>
      <c r="P597" s="82" t="str">
        <f>IF(AND('331-CT'!$E$7=TH!H597,OR(N597="331",O597="331")),"x","")</f>
        <v/>
      </c>
      <c r="Q597" s="82" t="str">
        <f>IF(AND(B597='111'!$L$11,OR($N597=$Q$7,$O597=$Q$7)),"x","")</f>
        <v/>
      </c>
      <c r="R597" s="82" t="str">
        <f>IF(AND($N597=$Q$7,$B597&lt;'111'!$L$11),"x","")</f>
        <v>x</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customHeight="1">
      <c r="A598" s="323" t="str">
        <f>IF(B598&lt;&gt;"",IF(AND(B598='IN-TC'!$S$4,OR(TH!N4567="1111",TH!O4567="1111")),TH!D4567,""),"")</f>
        <v/>
      </c>
      <c r="B598" s="63">
        <f t="shared" si="41"/>
        <v>12</v>
      </c>
      <c r="C598" s="64">
        <v>42711</v>
      </c>
      <c r="D598" s="64" t="s">
        <v>690</v>
      </c>
      <c r="E598" s="64">
        <f t="shared" ref="E598:E629" si="44">C598</f>
        <v>42711</v>
      </c>
      <c r="F598" s="72" t="s">
        <v>1532</v>
      </c>
      <c r="G598" s="67" t="s">
        <v>1544</v>
      </c>
      <c r="H598" s="72" t="s">
        <v>2224</v>
      </c>
      <c r="I598" s="408"/>
      <c r="J598" s="408"/>
      <c r="K598" s="399"/>
      <c r="L598" s="408"/>
      <c r="M598" s="65">
        <v>2918780500</v>
      </c>
      <c r="N598" s="66" t="s">
        <v>8</v>
      </c>
      <c r="O598" s="66" t="s">
        <v>25</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x</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customHeight="1">
      <c r="A599" s="323" t="str">
        <f>IF(B599&lt;&gt;"",IF(AND(B599='IN-TC'!$S$4,OR(TH!N599="1111",TH!O599="1111")),TH!D599,""),"")</f>
        <v/>
      </c>
      <c r="B599" s="63">
        <f t="shared" si="41"/>
        <v>12</v>
      </c>
      <c r="C599" s="78">
        <v>42727</v>
      </c>
      <c r="D599" s="78" t="s">
        <v>2710</v>
      </c>
      <c r="E599" s="78">
        <f t="shared" si="44"/>
        <v>42727</v>
      </c>
      <c r="F599" s="79" t="s">
        <v>455</v>
      </c>
      <c r="G599" s="934"/>
      <c r="H599" s="80" t="s">
        <v>682</v>
      </c>
      <c r="I599" s="406">
        <v>60504</v>
      </c>
      <c r="J599" s="406">
        <v>62704.859704859999</v>
      </c>
      <c r="K599" s="397"/>
      <c r="L599" s="406"/>
      <c r="M599" s="81">
        <f>ROUND(I599*J599,0)</f>
        <v>3793894832</v>
      </c>
      <c r="N599" s="82" t="s">
        <v>278</v>
      </c>
      <c r="O599" s="82" t="s">
        <v>276</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customHeight="1">
      <c r="A600" s="1160" t="str">
        <f>IF(B600&lt;&gt;"",IF(AND(B600='IN-TC'!$S$4,OR(TH!N600="1111",TH!O600="1111")),TH!D600,""),"")</f>
        <v/>
      </c>
      <c r="B600" s="948">
        <f t="shared" si="41"/>
        <v>12</v>
      </c>
      <c r="C600" s="78">
        <v>42727</v>
      </c>
      <c r="D600" s="78" t="s">
        <v>2711</v>
      </c>
      <c r="E600" s="78">
        <f t="shared" si="44"/>
        <v>42727</v>
      </c>
      <c r="F600" s="79" t="s">
        <v>455</v>
      </c>
      <c r="G600" s="934"/>
      <c r="H600" s="918" t="s">
        <v>682</v>
      </c>
      <c r="I600" s="1196">
        <v>98592</v>
      </c>
      <c r="J600" s="406">
        <v>59617.829576304597</v>
      </c>
      <c r="K600" s="397"/>
      <c r="L600" s="406"/>
      <c r="M600" s="81">
        <f>ROUND(I600*J600,0)</f>
        <v>5877841054</v>
      </c>
      <c r="N600" s="82" t="s">
        <v>278</v>
      </c>
      <c r="O600" s="82" t="s">
        <v>276</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customHeight="1">
      <c r="A601" s="323" t="str">
        <f>IF(B601&lt;&gt;"",IF(AND(B601='IN-TC'!$S$4,OR(TH!N3208="1111",TH!O3208="1111")),TH!D3208,""),"")</f>
        <v/>
      </c>
      <c r="B601" s="63">
        <f t="shared" si="41"/>
        <v>6</v>
      </c>
      <c r="C601" s="64">
        <v>42538</v>
      </c>
      <c r="D601" s="64" t="s">
        <v>690</v>
      </c>
      <c r="E601" s="64">
        <f t="shared" si="44"/>
        <v>42538</v>
      </c>
      <c r="F601" s="72" t="s">
        <v>2216</v>
      </c>
      <c r="G601" s="67" t="s">
        <v>902</v>
      </c>
      <c r="H601" s="72" t="s">
        <v>1198</v>
      </c>
      <c r="I601" s="408"/>
      <c r="J601" s="408"/>
      <c r="K601" s="399"/>
      <c r="L601" s="408"/>
      <c r="M601" s="65">
        <v>1975000000</v>
      </c>
      <c r="N601" s="66" t="s">
        <v>8</v>
      </c>
      <c r="O601" s="66" t="s">
        <v>25</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customHeight="1">
      <c r="A602" s="323" t="str">
        <f>IF(B602&lt;&gt;"",IF(AND(B602='IN-TC'!$S$4,OR(TH!N602="1111",TH!O602="1111")),TH!D602,""),"")</f>
        <v/>
      </c>
      <c r="B602" s="63">
        <f t="shared" si="41"/>
        <v>12</v>
      </c>
      <c r="C602" s="78">
        <v>42730</v>
      </c>
      <c r="D602" s="78" t="s">
        <v>2990</v>
      </c>
      <c r="E602" s="78">
        <f t="shared" si="44"/>
        <v>42730</v>
      </c>
      <c r="F602" s="79" t="s">
        <v>1771</v>
      </c>
      <c r="G602" s="934"/>
      <c r="H602" s="80" t="s">
        <v>682</v>
      </c>
      <c r="I602" s="406">
        <v>2500</v>
      </c>
      <c r="J602" s="406">
        <v>226987.81959999999</v>
      </c>
      <c r="K602" s="397"/>
      <c r="L602" s="406"/>
      <c r="M602" s="81">
        <f>ROUND(I602*J602,0)</f>
        <v>567469549</v>
      </c>
      <c r="N602" s="82" t="s">
        <v>278</v>
      </c>
      <c r="O602" s="82" t="s">
        <v>276</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customHeight="1">
      <c r="A603" s="323" t="str">
        <f>IF(B603&lt;&gt;"",IF(AND(B603='IN-TC'!$S$4,OR(TH!N3251="1111",TH!O3251="1111")),TH!D3251,""),"")</f>
        <v/>
      </c>
      <c r="B603" s="63">
        <f t="shared" si="41"/>
        <v>6</v>
      </c>
      <c r="C603" s="64">
        <v>42543</v>
      </c>
      <c r="D603" s="64" t="s">
        <v>690</v>
      </c>
      <c r="E603" s="64">
        <f t="shared" si="44"/>
        <v>42543</v>
      </c>
      <c r="F603" s="72" t="s">
        <v>1876</v>
      </c>
      <c r="G603" s="67" t="s">
        <v>901</v>
      </c>
      <c r="H603" s="72" t="s">
        <v>1198</v>
      </c>
      <c r="I603" s="408"/>
      <c r="J603" s="408"/>
      <c r="K603" s="399"/>
      <c r="L603" s="408"/>
      <c r="M603" s="65">
        <v>8000000</v>
      </c>
      <c r="N603" s="66" t="s">
        <v>25</v>
      </c>
      <c r="O603" s="66" t="s">
        <v>70</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customHeight="1">
      <c r="A604" s="323" t="str">
        <f>IF(B604&lt;&gt;"",IF(AND(B604='IN-TC'!$S$4,OR(TH!N604="1111",TH!O604="1111")),TH!D604,""),"")</f>
        <v/>
      </c>
      <c r="B604" s="63">
        <f t="shared" si="41"/>
        <v>12</v>
      </c>
      <c r="C604" s="78">
        <v>42731</v>
      </c>
      <c r="D604" s="78" t="s">
        <v>2792</v>
      </c>
      <c r="E604" s="78">
        <f t="shared" si="44"/>
        <v>42731</v>
      </c>
      <c r="F604" s="79" t="s">
        <v>455</v>
      </c>
      <c r="G604" s="934"/>
      <c r="H604" s="80" t="s">
        <v>682</v>
      </c>
      <c r="I604" s="406">
        <v>79170</v>
      </c>
      <c r="J604" s="406">
        <v>62704.859704859999</v>
      </c>
      <c r="K604" s="397"/>
      <c r="L604" s="406"/>
      <c r="M604" s="81">
        <f>ROUND(I604*J604,0)+1</f>
        <v>4964343744</v>
      </c>
      <c r="N604" s="82" t="s">
        <v>278</v>
      </c>
      <c r="O604" s="82" t="s">
        <v>276</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customHeight="1">
      <c r="A605" s="1160" t="str">
        <f>IF(B605&lt;&gt;"",IF(AND(B605='IN-TC'!$S$4,OR(TH!N605="1111",TH!O605="1111")),TH!D605,""),"")</f>
        <v/>
      </c>
      <c r="B605" s="948">
        <f t="shared" si="41"/>
        <v>12</v>
      </c>
      <c r="C605" s="78">
        <v>42731</v>
      </c>
      <c r="D605" s="78" t="s">
        <v>3005</v>
      </c>
      <c r="E605" s="78">
        <f t="shared" si="44"/>
        <v>42731</v>
      </c>
      <c r="F605" s="79" t="s">
        <v>455</v>
      </c>
      <c r="G605" s="934"/>
      <c r="H605" s="918" t="s">
        <v>682</v>
      </c>
      <c r="I605" s="1196">
        <v>79170</v>
      </c>
      <c r="J605" s="406">
        <v>59617.829576304597</v>
      </c>
      <c r="K605" s="397"/>
      <c r="L605" s="406"/>
      <c r="M605" s="81">
        <f>ROUND(I605*J605,0)</f>
        <v>4719943568</v>
      </c>
      <c r="N605" s="82" t="s">
        <v>278</v>
      </c>
      <c r="O605" s="82" t="s">
        <v>276</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customHeight="1">
      <c r="A606" s="1227" t="str">
        <f>IF(B606&lt;&gt;"",IF(AND(B606='IN-TC'!$S$4,OR(TH!N613="1111",TH!O613="1111")),TH!D613,""),"")</f>
        <v/>
      </c>
      <c r="B606" s="1228">
        <f t="shared" si="41"/>
        <v>12</v>
      </c>
      <c r="C606" s="1229">
        <v>42715</v>
      </c>
      <c r="D606" s="1229" t="s">
        <v>2978</v>
      </c>
      <c r="E606" s="1229">
        <f t="shared" si="44"/>
        <v>42715</v>
      </c>
      <c r="F606" s="1230" t="s">
        <v>455</v>
      </c>
      <c r="G606" s="1231" t="s">
        <v>2490</v>
      </c>
      <c r="H606" s="1232" t="s">
        <v>2224</v>
      </c>
      <c r="I606" s="1233">
        <v>26000</v>
      </c>
      <c r="J606" s="1233">
        <v>55500</v>
      </c>
      <c r="K606" s="1234"/>
      <c r="L606" s="1233"/>
      <c r="M606" s="1235">
        <f>ROUND(I606*J606,0)</f>
        <v>1443000000</v>
      </c>
      <c r="N606" s="1236" t="s">
        <v>276</v>
      </c>
      <c r="O606" s="1236" t="s">
        <v>278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customHeight="1">
      <c r="A607" s="323" t="str">
        <f>IF(B607&lt;&gt;"",IF(AND(B607='IN-TC'!$S$4,OR(TH!N3255="1111",TH!O3255="1111")),TH!D3255,""),"")</f>
        <v/>
      </c>
      <c r="B607" s="63">
        <f t="shared" si="41"/>
        <v>6</v>
      </c>
      <c r="C607" s="64">
        <v>42543</v>
      </c>
      <c r="D607" s="64" t="s">
        <v>687</v>
      </c>
      <c r="E607" s="64">
        <f t="shared" si="44"/>
        <v>42543</v>
      </c>
      <c r="F607" s="72" t="s">
        <v>1876</v>
      </c>
      <c r="G607" s="67" t="s">
        <v>902</v>
      </c>
      <c r="H607" s="72" t="s">
        <v>1198</v>
      </c>
      <c r="I607" s="408"/>
      <c r="J607" s="408"/>
      <c r="K607" s="399"/>
      <c r="L607" s="408"/>
      <c r="M607" s="65">
        <v>7000000</v>
      </c>
      <c r="N607" s="66" t="s">
        <v>25</v>
      </c>
      <c r="O607" s="66" t="s">
        <v>70</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customHeight="1">
      <c r="A608" s="1160" t="str">
        <f>IF(B608&lt;&gt;"",IF(AND(B608='IN-TC'!$S$4,OR(TH!N608="1111",TH!O608="1111")),TH!D608,""),"")</f>
        <v/>
      </c>
      <c r="B608" s="948">
        <f t="shared" si="41"/>
        <v>12</v>
      </c>
      <c r="C608" s="78">
        <v>42733</v>
      </c>
      <c r="D608" s="78" t="s">
        <v>3006</v>
      </c>
      <c r="E608" s="78">
        <f t="shared" si="44"/>
        <v>42733</v>
      </c>
      <c r="F608" s="79" t="s">
        <v>455</v>
      </c>
      <c r="G608" s="934"/>
      <c r="H608" s="918" t="s">
        <v>682</v>
      </c>
      <c r="I608" s="1196">
        <v>52780</v>
      </c>
      <c r="J608" s="406">
        <v>59617.829576304597</v>
      </c>
      <c r="K608" s="397"/>
      <c r="L608" s="406"/>
      <c r="M608" s="81">
        <f>ROUND(I608*J608,0)</f>
        <v>3146629045</v>
      </c>
      <c r="N608" s="82" t="s">
        <v>278</v>
      </c>
      <c r="O608" s="82" t="s">
        <v>276</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customHeight="1">
      <c r="A609" s="323" t="str">
        <f>IF(B609&lt;&gt;"",IF(AND(B609='IN-TC'!$S$4,OR(TH!N576="1111",TH!O576="1111")),TH!D576,""),"")</f>
        <v/>
      </c>
      <c r="B609" s="63">
        <f t="shared" si="41"/>
        <v>12</v>
      </c>
      <c r="C609" s="78">
        <v>42715</v>
      </c>
      <c r="D609" s="78" t="s">
        <v>2333</v>
      </c>
      <c r="E609" s="78">
        <f t="shared" si="44"/>
        <v>42715</v>
      </c>
      <c r="F609" s="79" t="s">
        <v>455</v>
      </c>
      <c r="G609" s="934" t="s">
        <v>2490</v>
      </c>
      <c r="H609" s="80" t="s">
        <v>2224</v>
      </c>
      <c r="I609" s="406">
        <v>26000</v>
      </c>
      <c r="J609" s="406">
        <v>55500</v>
      </c>
      <c r="K609" s="397"/>
      <c r="L609" s="406"/>
      <c r="M609" s="81">
        <f>ROUND(I609*J609,0)</f>
        <v>1443000000</v>
      </c>
      <c r="N609" s="82" t="s">
        <v>278</v>
      </c>
      <c r="O609" s="82" t="s">
        <v>8</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customHeight="1">
      <c r="A610" s="323" t="str">
        <f>IF(B610&lt;&gt;"",IF(AND(B610='IN-TC'!$S$4,OR(TH!N4564="1111",TH!O4564="1111")),TH!D4564,""),"")</f>
        <v/>
      </c>
      <c r="B610" s="63">
        <f t="shared" si="41"/>
        <v>12</v>
      </c>
      <c r="C610" s="64">
        <v>42711</v>
      </c>
      <c r="D610" s="64" t="s">
        <v>690</v>
      </c>
      <c r="E610" s="64">
        <f t="shared" si="44"/>
        <v>42711</v>
      </c>
      <c r="F610" s="72" t="s">
        <v>1532</v>
      </c>
      <c r="G610" s="67" t="s">
        <v>1544</v>
      </c>
      <c r="H610" s="72" t="s">
        <v>2323</v>
      </c>
      <c r="I610" s="408"/>
      <c r="J610" s="408"/>
      <c r="K610" s="399"/>
      <c r="L610" s="408"/>
      <c r="M610" s="65">
        <v>1824920500</v>
      </c>
      <c r="N610" s="66" t="s">
        <v>8</v>
      </c>
      <c r="O610" s="66" t="s">
        <v>25</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x</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customHeight="1">
      <c r="A611" s="1227" t="str">
        <f>IF(B611&lt;&gt;"",IF(AND(B611='IN-TC'!$S$4,OR(TH!N612="1111",TH!O612="1111")),TH!D612,""),"")</f>
        <v/>
      </c>
      <c r="B611" s="1228">
        <f t="shared" si="41"/>
        <v>12</v>
      </c>
      <c r="C611" s="1229">
        <v>42710</v>
      </c>
      <c r="D611" s="1229" t="s">
        <v>2977</v>
      </c>
      <c r="E611" s="1229">
        <f t="shared" si="44"/>
        <v>42710</v>
      </c>
      <c r="F611" s="1230" t="s">
        <v>455</v>
      </c>
      <c r="G611" s="1231" t="s">
        <v>2522</v>
      </c>
      <c r="H611" s="1232" t="s">
        <v>2374</v>
      </c>
      <c r="I611" s="1233">
        <v>12</v>
      </c>
      <c r="J611" s="1233">
        <v>55750</v>
      </c>
      <c r="K611" s="1234"/>
      <c r="L611" s="1233"/>
      <c r="M611" s="1235">
        <f>ROUND(I611*J611,0)</f>
        <v>669000</v>
      </c>
      <c r="N611" s="1236" t="s">
        <v>276</v>
      </c>
      <c r="O611" s="1236" t="s">
        <v>278</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customHeight="1">
      <c r="A612" s="323" t="str">
        <f>IF(B612&lt;&gt;"",IF(AND(B612='IN-TC'!$S$4,OR(TH!N570="1111",TH!O570="1111")),TH!D570,""),"")</f>
        <v/>
      </c>
      <c r="B612" s="63">
        <f t="shared" si="41"/>
        <v>12</v>
      </c>
      <c r="C612" s="78">
        <v>42710</v>
      </c>
      <c r="D612" s="78" t="s">
        <v>1927</v>
      </c>
      <c r="E612" s="78">
        <f t="shared" si="44"/>
        <v>42710</v>
      </c>
      <c r="F612" s="79" t="s">
        <v>455</v>
      </c>
      <c r="G612" s="934" t="s">
        <v>2522</v>
      </c>
      <c r="H612" s="80" t="s">
        <v>2374</v>
      </c>
      <c r="I612" s="406">
        <v>9200</v>
      </c>
      <c r="J612" s="406">
        <v>60000</v>
      </c>
      <c r="K612" s="397"/>
      <c r="L612" s="406"/>
      <c r="M612" s="81">
        <f>ROUND(I612*J612,0)</f>
        <v>552000000</v>
      </c>
      <c r="N612" s="82" t="s">
        <v>278</v>
      </c>
      <c r="O612" s="82" t="s">
        <v>8</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customHeight="1">
      <c r="A613" s="323" t="str">
        <f>IF(B613&lt;&gt;"",IF(AND(B613='IN-TC'!$S$4,OR(TH!N4580="1111",TH!O4580="1111")),TH!D4580,""),"")</f>
        <v/>
      </c>
      <c r="B613" s="63">
        <f t="shared" si="41"/>
        <v>12</v>
      </c>
      <c r="C613" s="64">
        <v>42718</v>
      </c>
      <c r="D613" s="64" t="s">
        <v>690</v>
      </c>
      <c r="E613" s="64">
        <f t="shared" si="44"/>
        <v>42718</v>
      </c>
      <c r="F613" s="72" t="s">
        <v>1532</v>
      </c>
      <c r="G613" s="67" t="s">
        <v>1544</v>
      </c>
      <c r="H613" s="72" t="s">
        <v>2224</v>
      </c>
      <c r="I613" s="408"/>
      <c r="J613" s="408"/>
      <c r="K613" s="399"/>
      <c r="L613" s="408"/>
      <c r="M613" s="65">
        <v>1443000000</v>
      </c>
      <c r="N613" s="66" t="s">
        <v>8</v>
      </c>
      <c r="O613" s="66" t="s">
        <v>25</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x</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customHeight="1">
      <c r="A614" s="323" t="str">
        <f>IF(B614&lt;&gt;"",IF(AND(B614='IN-TC'!$S$4,OR(TH!N3332="1111",TH!O3332="1111")),TH!D3332,""),"")</f>
        <v/>
      </c>
      <c r="B614" s="63">
        <f t="shared" si="41"/>
        <v>6</v>
      </c>
      <c r="C614" s="64">
        <v>42549</v>
      </c>
      <c r="D614" s="64" t="s">
        <v>690</v>
      </c>
      <c r="E614" s="64">
        <f t="shared" si="44"/>
        <v>42549</v>
      </c>
      <c r="F614" s="72" t="s">
        <v>1429</v>
      </c>
      <c r="G614" s="67" t="s">
        <v>902</v>
      </c>
      <c r="H614" s="329" t="s">
        <v>1198</v>
      </c>
      <c r="I614" s="408"/>
      <c r="J614" s="408"/>
      <c r="K614" s="399"/>
      <c r="L614" s="408"/>
      <c r="M614" s="65">
        <v>31000000</v>
      </c>
      <c r="N614" s="66" t="s">
        <v>70</v>
      </c>
      <c r="O614" s="66" t="s">
        <v>25</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customHeight="1">
      <c r="A615" s="323" t="str">
        <f>IF(B615&lt;&gt;"",IF(AND(B615='IN-TC'!$S$4,OR(TH!N3349="1111",TH!O3349="1111")),TH!D3349,""),"")</f>
        <v/>
      </c>
      <c r="B615" s="63">
        <f t="shared" si="41"/>
        <v>6</v>
      </c>
      <c r="C615" s="90">
        <v>42551</v>
      </c>
      <c r="D615" s="90" t="s">
        <v>1543</v>
      </c>
      <c r="E615" s="90">
        <f t="shared" si="44"/>
        <v>42551</v>
      </c>
      <c r="F615" s="72" t="s">
        <v>1876</v>
      </c>
      <c r="G615" s="91"/>
      <c r="H615" s="92" t="s">
        <v>1198</v>
      </c>
      <c r="I615" s="414"/>
      <c r="J615" s="414"/>
      <c r="K615" s="405"/>
      <c r="L615" s="414"/>
      <c r="M615" s="93">
        <v>16000000</v>
      </c>
      <c r="N615" s="83" t="s">
        <v>61</v>
      </c>
      <c r="O615" s="83" t="s">
        <v>70</v>
      </c>
      <c r="P615" s="82" t="str">
        <f>IF(AND('331-CT'!$E$7=TH!H615,OR(N615="331",O615="331")),"x","")</f>
        <v/>
      </c>
      <c r="Q615" s="82" t="str">
        <f>IF(AND(B615='111'!$L$11,OR($N615=$Q$7,$O615=$Q$7)),"x","")</f>
        <v/>
      </c>
      <c r="R615" s="82" t="str">
        <f>IF(AND($N615=$Q$7,$B615&lt;'111'!$L$11),"x","")</f>
        <v>x</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customHeight="1">
      <c r="A616" s="323" t="str">
        <f>IF(B616&lt;&gt;"",IF(AND(B616='IN-TC'!$S$4,OR(TH!N4586="1111",TH!O4586="1111")),TH!D4586,""),"")</f>
        <v/>
      </c>
      <c r="B616" s="63">
        <f t="shared" si="41"/>
        <v>12</v>
      </c>
      <c r="C616" s="64">
        <v>42718</v>
      </c>
      <c r="D616" s="64" t="s">
        <v>690</v>
      </c>
      <c r="E616" s="64">
        <f t="shared" si="44"/>
        <v>42718</v>
      </c>
      <c r="F616" s="72" t="s">
        <v>1532</v>
      </c>
      <c r="G616" s="67" t="s">
        <v>1544</v>
      </c>
      <c r="H616" s="72" t="s">
        <v>2323</v>
      </c>
      <c r="I616" s="408"/>
      <c r="J616" s="408"/>
      <c r="K616" s="399"/>
      <c r="L616" s="408"/>
      <c r="M616" s="65">
        <v>974415000</v>
      </c>
      <c r="N616" s="66" t="s">
        <v>8</v>
      </c>
      <c r="O616" s="66" t="s">
        <v>25</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x</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customHeight="1">
      <c r="A617" s="1227" t="str">
        <f>IF(B617&lt;&gt;"",IF(AND(B617='IN-TC'!$S$4,OR(TH!N616="1111",TH!O616="1111")),TH!D616,""),"")</f>
        <v/>
      </c>
      <c r="B617" s="1228">
        <f t="shared" si="41"/>
        <v>12</v>
      </c>
      <c r="C617" s="1229">
        <v>42720</v>
      </c>
      <c r="D617" s="1229" t="s">
        <v>2981</v>
      </c>
      <c r="E617" s="1229">
        <f t="shared" si="44"/>
        <v>42720</v>
      </c>
      <c r="F617" s="1230" t="s">
        <v>455</v>
      </c>
      <c r="G617" s="1231" t="s">
        <v>2660</v>
      </c>
      <c r="H617" s="1232" t="s">
        <v>2323</v>
      </c>
      <c r="I617" s="1233">
        <v>21400</v>
      </c>
      <c r="J617" s="1233">
        <v>60000</v>
      </c>
      <c r="K617" s="1234"/>
      <c r="L617" s="1233"/>
      <c r="M617" s="1235">
        <f>ROUND(I617*J617,0)</f>
        <v>1284000000</v>
      </c>
      <c r="N617" s="1236" t="s">
        <v>276</v>
      </c>
      <c r="O617" s="1236" t="s">
        <v>278</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customHeight="1">
      <c r="A618" s="1227" t="str">
        <f>IF(B618&lt;&gt;"",IF(AND(B618='IN-TC'!$S$4,OR(TH!N618="1111",TH!O618="1111")),TH!D618,""),"")</f>
        <v/>
      </c>
      <c r="B618" s="1228">
        <f t="shared" si="41"/>
        <v>12</v>
      </c>
      <c r="C618" s="1229">
        <v>42722</v>
      </c>
      <c r="D618" s="1229" t="s">
        <v>2980</v>
      </c>
      <c r="E618" s="1229">
        <f t="shared" si="44"/>
        <v>42722</v>
      </c>
      <c r="F618" s="1230" t="s">
        <v>455</v>
      </c>
      <c r="G618" s="1231" t="s">
        <v>2524</v>
      </c>
      <c r="H618" s="1232" t="s">
        <v>2224</v>
      </c>
      <c r="I618" s="1233">
        <v>18759</v>
      </c>
      <c r="J618" s="1233">
        <v>56000</v>
      </c>
      <c r="K618" s="1234"/>
      <c r="L618" s="1233"/>
      <c r="M618" s="1235">
        <f>ROUND(I618*J618,0)</f>
        <v>1050504000</v>
      </c>
      <c r="N618" s="1236" t="s">
        <v>276</v>
      </c>
      <c r="O618" s="1236" t="s">
        <v>278</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customHeight="1">
      <c r="A619" s="323" t="str">
        <f>IF(B619&lt;&gt;"",IF(AND(B619='IN-TC'!$S$4,OR(TH!N3439="1111",TH!O3439="1111")),TH!D3439,""),"")</f>
        <v/>
      </c>
      <c r="B619" s="63">
        <f t="shared" si="41"/>
        <v>7</v>
      </c>
      <c r="C619" s="64">
        <v>42566</v>
      </c>
      <c r="D619" s="64" t="s">
        <v>690</v>
      </c>
      <c r="E619" s="64">
        <f t="shared" si="44"/>
        <v>42566</v>
      </c>
      <c r="F619" s="72" t="s">
        <v>1429</v>
      </c>
      <c r="G619" s="67" t="s">
        <v>902</v>
      </c>
      <c r="H619" s="72" t="s">
        <v>1198</v>
      </c>
      <c r="I619" s="408"/>
      <c r="J619" s="408"/>
      <c r="K619" s="399"/>
      <c r="L619" s="408"/>
      <c r="M619" s="65">
        <v>29000000</v>
      </c>
      <c r="N619" s="66" t="s">
        <v>70</v>
      </c>
      <c r="O619" s="66" t="s">
        <v>25</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customHeight="1">
      <c r="A620" s="323" t="str">
        <f>IF(B620&lt;&gt;"",IF(AND(B620='IN-TC'!$S$4,OR(TH!N3437="1111",TH!O3437="1111")),TH!D3437,""),"")</f>
        <v/>
      </c>
      <c r="B620" s="63">
        <f t="shared" si="41"/>
        <v>7</v>
      </c>
      <c r="C620" s="90">
        <v>42573</v>
      </c>
      <c r="D620" s="90" t="s">
        <v>900</v>
      </c>
      <c r="E620" s="90">
        <f t="shared" si="44"/>
        <v>42573</v>
      </c>
      <c r="F620" s="72" t="s">
        <v>1876</v>
      </c>
      <c r="G620" s="91"/>
      <c r="H620" s="92" t="s">
        <v>1198</v>
      </c>
      <c r="I620" s="414"/>
      <c r="J620" s="414"/>
      <c r="K620" s="405"/>
      <c r="L620" s="414"/>
      <c r="M620" s="93">
        <v>29000000</v>
      </c>
      <c r="N620" s="83" t="s">
        <v>61</v>
      </c>
      <c r="O620" s="83" t="s">
        <v>70</v>
      </c>
      <c r="P620" s="82" t="str">
        <f>IF(AND('331-CT'!$E$7=TH!H620,OR(N620="331",O620="331")),"x","")</f>
        <v/>
      </c>
      <c r="Q620" s="82" t="str">
        <f>IF(AND(B620='111'!$L$11,OR($N620=$Q$7,$O620=$Q$7)),"x","")</f>
        <v/>
      </c>
      <c r="R620" s="82" t="str">
        <f>IF(AND($N620=$Q$7,$B620&lt;'111'!$L$11),"x","")</f>
        <v>x</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customHeight="1">
      <c r="A621" s="1227" t="str">
        <f>IF(B621&lt;&gt;"",IF(AND(B621='IN-TC'!$S$4,OR(TH!N617="1111",TH!O617="1111")),TH!D617,""),"")</f>
        <v/>
      </c>
      <c r="B621" s="1228">
        <f t="shared" si="41"/>
        <v>12</v>
      </c>
      <c r="C621" s="1229">
        <v>42720</v>
      </c>
      <c r="D621" s="1229" t="s">
        <v>2981</v>
      </c>
      <c r="E621" s="1229">
        <f t="shared" si="44"/>
        <v>42720</v>
      </c>
      <c r="F621" s="1230" t="s">
        <v>455</v>
      </c>
      <c r="G621" s="1231" t="s">
        <v>2660</v>
      </c>
      <c r="H621" s="1232" t="s">
        <v>2323</v>
      </c>
      <c r="I621" s="1234">
        <v>2.5</v>
      </c>
      <c r="J621" s="1233">
        <v>61200</v>
      </c>
      <c r="K621" s="1234"/>
      <c r="L621" s="1233"/>
      <c r="M621" s="1235">
        <f>ROUND(I621*J621,0)</f>
        <v>153000</v>
      </c>
      <c r="N621" s="1236" t="s">
        <v>276</v>
      </c>
      <c r="O621" s="1236" t="s">
        <v>278</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customHeight="1">
      <c r="A622" s="323" t="str">
        <f>IF(B622&lt;&gt;"",IF(AND(B622='IN-TC'!$S$4,OR(TH!N587="1111",TH!O587="1111")),TH!D587,""),"")</f>
        <v/>
      </c>
      <c r="B622" s="63">
        <f t="shared" ref="B622:B685" si="45">IF(C622&lt;&gt;"",MONTH(C622),"")</f>
        <v>12</v>
      </c>
      <c r="C622" s="78">
        <v>42722</v>
      </c>
      <c r="D622" s="78" t="s">
        <v>2453</v>
      </c>
      <c r="E622" s="78">
        <f t="shared" si="44"/>
        <v>42722</v>
      </c>
      <c r="F622" s="79" t="s">
        <v>455</v>
      </c>
      <c r="G622" s="934" t="s">
        <v>2524</v>
      </c>
      <c r="H622" s="80" t="s">
        <v>2224</v>
      </c>
      <c r="I622" s="406">
        <v>18759</v>
      </c>
      <c r="J622" s="406">
        <v>56000</v>
      </c>
      <c r="K622" s="397"/>
      <c r="L622" s="406"/>
      <c r="M622" s="81">
        <f>ROUND(I622*J622,0)</f>
        <v>1050504000</v>
      </c>
      <c r="N622" s="82" t="s">
        <v>278</v>
      </c>
      <c r="O622" s="82" t="s">
        <v>8</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customHeight="1">
      <c r="A623" s="323" t="str">
        <f>IF(B623&lt;&gt;"",IF(AND(B623='IN-TC'!$S$4,OR(TH!N3476="1111",TH!O3476="1111")),TH!D3476,""),"")</f>
        <v/>
      </c>
      <c r="B623" s="63">
        <f t="shared" si="45"/>
        <v>7</v>
      </c>
      <c r="C623" s="64">
        <v>42573</v>
      </c>
      <c r="D623" s="64" t="s">
        <v>690</v>
      </c>
      <c r="E623" s="64">
        <f t="shared" si="44"/>
        <v>42573</v>
      </c>
      <c r="F623" s="72" t="s">
        <v>1429</v>
      </c>
      <c r="G623" s="67" t="s">
        <v>902</v>
      </c>
      <c r="H623" s="72" t="s">
        <v>1198</v>
      </c>
      <c r="I623" s="408"/>
      <c r="J623" s="408"/>
      <c r="K623" s="399"/>
      <c r="L623" s="408"/>
      <c r="M623" s="65">
        <v>160000000</v>
      </c>
      <c r="N623" s="66" t="s">
        <v>70</v>
      </c>
      <c r="O623" s="66" t="s">
        <v>25</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customHeight="1">
      <c r="A624" s="323" t="str">
        <f>IF(B624&lt;&gt;"",IF(AND(B624='IN-TC'!$S$4,OR(TH!N4477="1111",TH!O4477="1111")),TH!D4477,""),"")</f>
        <v/>
      </c>
      <c r="B624" s="63">
        <f t="shared" si="45"/>
        <v>12</v>
      </c>
      <c r="C624" s="64">
        <v>42723</v>
      </c>
      <c r="D624" s="64" t="s">
        <v>690</v>
      </c>
      <c r="E624" s="64">
        <f t="shared" si="44"/>
        <v>42723</v>
      </c>
      <c r="F624" s="72" t="s">
        <v>1532</v>
      </c>
      <c r="G624" s="67" t="s">
        <v>901</v>
      </c>
      <c r="H624" s="72" t="s">
        <v>2224</v>
      </c>
      <c r="I624" s="408"/>
      <c r="J624" s="408"/>
      <c r="K624" s="399"/>
      <c r="L624" s="408"/>
      <c r="M624" s="65">
        <v>1050504000</v>
      </c>
      <c r="N624" s="66" t="s">
        <v>8</v>
      </c>
      <c r="O624" s="66" t="s">
        <v>25</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customHeight="1">
      <c r="A625" s="323" t="str">
        <f>IF(B625&lt;&gt;"",IF(AND(B625='IN-TC'!$S$4,OR(TH!N3542="1111",TH!O3542="1111")),TH!D3542,""),"")</f>
        <v/>
      </c>
      <c r="B625" s="63">
        <f t="shared" si="45"/>
        <v>8</v>
      </c>
      <c r="C625" s="64">
        <v>42586</v>
      </c>
      <c r="D625" s="64" t="s">
        <v>690</v>
      </c>
      <c r="E625" s="64">
        <f t="shared" si="44"/>
        <v>42586</v>
      </c>
      <c r="F625" s="72" t="s">
        <v>1429</v>
      </c>
      <c r="G625" s="67" t="s">
        <v>902</v>
      </c>
      <c r="H625" s="72" t="s">
        <v>1198</v>
      </c>
      <c r="I625" s="408"/>
      <c r="J625" s="408"/>
      <c r="K625" s="399"/>
      <c r="L625" s="408"/>
      <c r="M625" s="65">
        <v>61000000</v>
      </c>
      <c r="N625" s="66" t="s">
        <v>70</v>
      </c>
      <c r="O625" s="66" t="s">
        <v>25</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customHeight="1">
      <c r="A626" s="323" t="str">
        <f>IF(B626&lt;&gt;"",IF(AND(B626='IN-TC'!$S$4,OR(TH!N3572="1111",TH!O3572="1111")),TH!D3572,""),"")</f>
        <v/>
      </c>
      <c r="B626" s="63">
        <f t="shared" si="45"/>
        <v>8</v>
      </c>
      <c r="C626" s="64">
        <v>42594</v>
      </c>
      <c r="D626" s="64" t="s">
        <v>687</v>
      </c>
      <c r="E626" s="64">
        <f t="shared" si="44"/>
        <v>42594</v>
      </c>
      <c r="F626" s="72" t="s">
        <v>1876</v>
      </c>
      <c r="G626" s="67" t="s">
        <v>902</v>
      </c>
      <c r="H626" s="72" t="s">
        <v>1198</v>
      </c>
      <c r="I626" s="408"/>
      <c r="J626" s="408"/>
      <c r="K626" s="399"/>
      <c r="L626" s="408"/>
      <c r="M626" s="65">
        <v>18000000</v>
      </c>
      <c r="N626" s="66" t="s">
        <v>25</v>
      </c>
      <c r="O626" s="66" t="s">
        <v>70</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customHeight="1">
      <c r="A627" s="1227" t="str">
        <f>IF(B627&lt;&gt;"",IF(AND(B627='IN-TC'!$S$4,OR(TH!N622="1111",TH!O622="1111")),TH!D622,""),"")</f>
        <v/>
      </c>
      <c r="B627" s="1228">
        <f t="shared" si="45"/>
        <v>12</v>
      </c>
      <c r="C627" s="1229">
        <v>42725</v>
      </c>
      <c r="D627" s="1229" t="s">
        <v>2983</v>
      </c>
      <c r="E627" s="1229">
        <f t="shared" si="44"/>
        <v>42725</v>
      </c>
      <c r="F627" s="1230" t="s">
        <v>455</v>
      </c>
      <c r="G627" s="1231" t="s">
        <v>2632</v>
      </c>
      <c r="H627" s="1232" t="s">
        <v>2224</v>
      </c>
      <c r="I627" s="1233">
        <v>26390</v>
      </c>
      <c r="J627" s="1233">
        <v>56000</v>
      </c>
      <c r="K627" s="1234"/>
      <c r="L627" s="1233"/>
      <c r="M627" s="1235">
        <f>ROUND(I627*J627,0)</f>
        <v>1477840000</v>
      </c>
      <c r="N627" s="1236" t="s">
        <v>276</v>
      </c>
      <c r="O627" s="1236" t="s">
        <v>278</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customHeight="1">
      <c r="A628" s="323" t="str">
        <f>IF(B628&lt;&gt;"",IF(AND(B628='IN-TC'!$S$4,OR(TH!N3605="1111",TH!O3605="1111")),TH!D3605,""),"")</f>
        <v/>
      </c>
      <c r="B628" s="63">
        <f t="shared" si="45"/>
        <v>8</v>
      </c>
      <c r="C628" s="64">
        <v>42601</v>
      </c>
      <c r="D628" s="64" t="s">
        <v>690</v>
      </c>
      <c r="E628" s="64">
        <f t="shared" si="44"/>
        <v>42601</v>
      </c>
      <c r="F628" s="72" t="s">
        <v>1429</v>
      </c>
      <c r="G628" s="67" t="s">
        <v>1544</v>
      </c>
      <c r="H628" s="72" t="s">
        <v>1198</v>
      </c>
      <c r="I628" s="408"/>
      <c r="J628" s="408"/>
      <c r="K628" s="399"/>
      <c r="L628" s="408"/>
      <c r="M628" s="65">
        <v>20000000</v>
      </c>
      <c r="N628" s="66" t="s">
        <v>70</v>
      </c>
      <c r="O628" s="66" t="s">
        <v>25</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x</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customHeight="1">
      <c r="A629" s="323" t="str">
        <f>IF(B629&lt;&gt;"",IF(AND(B629='IN-TC'!$S$4,OR(TH!N629="1111",TH!O629="1111")),TH!D629,""),"")</f>
        <v/>
      </c>
      <c r="B629" s="63">
        <f t="shared" si="45"/>
        <v>12</v>
      </c>
      <c r="C629" s="90">
        <v>42706</v>
      </c>
      <c r="D629" s="90" t="s">
        <v>584</v>
      </c>
      <c r="E629" s="90">
        <f t="shared" si="44"/>
        <v>42706</v>
      </c>
      <c r="F629" s="91" t="s">
        <v>2364</v>
      </c>
      <c r="G629" s="91"/>
      <c r="H629" s="937" t="s">
        <v>2366</v>
      </c>
      <c r="I629" s="414">
        <v>2274.1999999999998</v>
      </c>
      <c r="J629" s="414">
        <v>141769.70705603788</v>
      </c>
      <c r="K629" s="405"/>
      <c r="L629" s="414"/>
      <c r="M629" s="93">
        <f>ROUND(I629*J629,0)</f>
        <v>322412668</v>
      </c>
      <c r="N629" s="83" t="s">
        <v>288</v>
      </c>
      <c r="O629" s="83" t="s">
        <v>278</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customHeight="1">
      <c r="A630" s="323" t="str">
        <f>IF(B630&lt;&gt;"",IF(AND(B630='IN-TC'!$S$4,OR(TH!N630="1111",TH!O630="1111")),TH!D630,""),"")</f>
        <v/>
      </c>
      <c r="B630" s="63">
        <f t="shared" si="45"/>
        <v>12</v>
      </c>
      <c r="C630" s="90">
        <v>42706</v>
      </c>
      <c r="D630" s="90" t="s">
        <v>584</v>
      </c>
      <c r="E630" s="90">
        <f t="shared" ref="E630:E661" si="46">C630</f>
        <v>42706</v>
      </c>
      <c r="F630" s="91" t="s">
        <v>431</v>
      </c>
      <c r="G630" s="91"/>
      <c r="H630" s="937" t="s">
        <v>2366</v>
      </c>
      <c r="I630" s="414">
        <v>10</v>
      </c>
      <c r="J630" s="1256">
        <v>83131.3</v>
      </c>
      <c r="K630" s="405"/>
      <c r="L630" s="414"/>
      <c r="M630" s="93">
        <f>ROUND(I630*J630,0)</f>
        <v>831313</v>
      </c>
      <c r="N630" s="83" t="s">
        <v>288</v>
      </c>
      <c r="O630" s="83" t="s">
        <v>278</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customHeight="1">
      <c r="A631" s="323" t="str">
        <f>IF(B631&lt;&gt;"",IF(AND(B631='IN-TC'!$S$4,OR(TH!N631="1111",TH!O631="1111")),TH!D631,""),"")</f>
        <v/>
      </c>
      <c r="B631" s="63">
        <f t="shared" si="45"/>
        <v>12</v>
      </c>
      <c r="C631" s="90">
        <v>42706</v>
      </c>
      <c r="D631" s="90" t="s">
        <v>584</v>
      </c>
      <c r="E631" s="90">
        <f t="shared" si="46"/>
        <v>42706</v>
      </c>
      <c r="F631" s="91" t="s">
        <v>435</v>
      </c>
      <c r="G631" s="91"/>
      <c r="H631" s="937" t="s">
        <v>2366</v>
      </c>
      <c r="I631" s="414">
        <v>3749</v>
      </c>
      <c r="J631" s="414">
        <v>132649.17643576101</v>
      </c>
      <c r="K631" s="405"/>
      <c r="L631" s="414"/>
      <c r="M631" s="93">
        <f>ROUND(I631*J631,0)</f>
        <v>497301762</v>
      </c>
      <c r="N631" s="83" t="s">
        <v>288</v>
      </c>
      <c r="O631" s="83" t="s">
        <v>278</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customHeight="1">
      <c r="A632" s="323" t="str">
        <f>IF(B632&lt;&gt;"",IF(AND(B632='IN-TC'!$S$4,OR(TH!N632="1111",TH!O632="1111")),TH!D632,""),"")</f>
        <v/>
      </c>
      <c r="B632" s="63">
        <f t="shared" si="45"/>
        <v>12</v>
      </c>
      <c r="C632" s="90">
        <v>42706</v>
      </c>
      <c r="D632" s="90" t="s">
        <v>585</v>
      </c>
      <c r="E632" s="90">
        <f t="shared" si="46"/>
        <v>42706</v>
      </c>
      <c r="F632" s="91" t="s">
        <v>455</v>
      </c>
      <c r="G632" s="91" t="s">
        <v>2318</v>
      </c>
      <c r="H632" s="937" t="s">
        <v>1887</v>
      </c>
      <c r="I632" s="414">
        <v>26000</v>
      </c>
      <c r="J632" s="414">
        <v>58000</v>
      </c>
      <c r="K632" s="405"/>
      <c r="L632" s="414"/>
      <c r="M632" s="93">
        <f>ROUND(I632*J632,0)</f>
        <v>1508000000</v>
      </c>
      <c r="N632" s="83" t="s">
        <v>288</v>
      </c>
      <c r="O632" s="83" t="s">
        <v>278</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customHeight="1">
      <c r="A633" s="323" t="str">
        <f>IF(B633&lt;&gt;"",IF(AND(B633='IN-TC'!$S$4,OR(TH!N633="1111",TH!O633="1111")),TH!D633,""),"")</f>
        <v/>
      </c>
      <c r="B633" s="63">
        <f t="shared" si="45"/>
        <v>12</v>
      </c>
      <c r="C633" s="90">
        <v>42706</v>
      </c>
      <c r="D633" s="90" t="s">
        <v>585</v>
      </c>
      <c r="E633" s="90">
        <f t="shared" si="46"/>
        <v>42706</v>
      </c>
      <c r="F633" s="91" t="s">
        <v>455</v>
      </c>
      <c r="G633" s="91" t="s">
        <v>2318</v>
      </c>
      <c r="H633" s="937" t="s">
        <v>1887</v>
      </c>
      <c r="I633" s="414">
        <v>26000</v>
      </c>
      <c r="J633" s="414">
        <v>56000</v>
      </c>
      <c r="K633" s="405"/>
      <c r="L633" s="414"/>
      <c r="M633" s="93">
        <f>ROUND(I633*J633,0)</f>
        <v>1456000000</v>
      </c>
      <c r="N633" s="83" t="s">
        <v>288</v>
      </c>
      <c r="O633" s="83" t="s">
        <v>278</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customHeight="1">
      <c r="A634" s="323" t="str">
        <f>IF(B634&lt;&gt;"",IF(AND(B634='IN-TC'!$S$4,OR(TH!N634="1111",TH!O634="1111")),TH!D634,""),"")</f>
        <v/>
      </c>
      <c r="B634" s="63">
        <f t="shared" si="45"/>
        <v>12</v>
      </c>
      <c r="C634" s="90">
        <v>42706</v>
      </c>
      <c r="D634" s="90" t="s">
        <v>585</v>
      </c>
      <c r="E634" s="90">
        <f t="shared" si="46"/>
        <v>42706</v>
      </c>
      <c r="F634" s="91" t="s">
        <v>455</v>
      </c>
      <c r="G634" s="91" t="s">
        <v>2318</v>
      </c>
      <c r="H634" s="937" t="s">
        <v>1887</v>
      </c>
      <c r="I634" s="414">
        <v>52000</v>
      </c>
      <c r="J634" s="414">
        <v>64690.276368518797</v>
      </c>
      <c r="K634" s="405"/>
      <c r="L634" s="414"/>
      <c r="M634" s="93">
        <f>ROUND(I634*J634,0)-1</f>
        <v>3363894370</v>
      </c>
      <c r="N634" s="83" t="s">
        <v>288</v>
      </c>
      <c r="O634" s="83" t="s">
        <v>278</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customHeight="1">
      <c r="A635" s="323" t="str">
        <f>IF(B635&lt;&gt;"",IF(AND(B635='IN-TC'!$S$4,OR(TH!N635="1111",TH!O635="1111")),TH!D635,""),"")</f>
        <v/>
      </c>
      <c r="B635" s="63">
        <f t="shared" si="45"/>
        <v>12</v>
      </c>
      <c r="C635" s="90">
        <v>42706</v>
      </c>
      <c r="D635" s="90" t="s">
        <v>1656</v>
      </c>
      <c r="E635" s="90">
        <f t="shared" si="46"/>
        <v>42706</v>
      </c>
      <c r="F635" s="91" t="s">
        <v>2534</v>
      </c>
      <c r="G635" s="91" t="s">
        <v>2542</v>
      </c>
      <c r="H635" s="937" t="s">
        <v>2543</v>
      </c>
      <c r="I635" s="414">
        <v>14</v>
      </c>
      <c r="J635" s="414">
        <v>212498.363636364</v>
      </c>
      <c r="K635" s="405"/>
      <c r="L635" s="414"/>
      <c r="M635" s="93">
        <f t="shared" ref="M635:M656" si="47">ROUND(I635*J635,0)</f>
        <v>2974977</v>
      </c>
      <c r="N635" s="83" t="s">
        <v>288</v>
      </c>
      <c r="O635" s="83" t="s">
        <v>278</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customHeight="1">
      <c r="A636" s="323" t="str">
        <f>IF(B636&lt;&gt;"",IF(AND(B636='IN-TC'!$S$4,OR(TH!N636="1111",TH!O636="1111")),TH!D636,""),"")</f>
        <v/>
      </c>
      <c r="B636" s="63">
        <f t="shared" si="45"/>
        <v>12</v>
      </c>
      <c r="C636" s="90">
        <v>42706</v>
      </c>
      <c r="D636" s="90" t="s">
        <v>1656</v>
      </c>
      <c r="E636" s="90">
        <f t="shared" si="46"/>
        <v>42706</v>
      </c>
      <c r="F636" s="91" t="s">
        <v>2536</v>
      </c>
      <c r="G636" s="91" t="s">
        <v>2542</v>
      </c>
      <c r="H636" s="937" t="s">
        <v>2543</v>
      </c>
      <c r="I636" s="414">
        <v>16</v>
      </c>
      <c r="J636" s="414">
        <v>194498.36</v>
      </c>
      <c r="K636" s="405"/>
      <c r="L636" s="414"/>
      <c r="M636" s="93">
        <f t="shared" si="47"/>
        <v>3111974</v>
      </c>
      <c r="N636" s="83" t="s">
        <v>288</v>
      </c>
      <c r="O636" s="83" t="s">
        <v>278</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customHeight="1">
      <c r="A637" s="323" t="str">
        <f>IF(B637&lt;&gt;"",IF(AND(B637='IN-TC'!$S$4,OR(TH!N637="1111",TH!O637="1111")),TH!D637,""),"")</f>
        <v/>
      </c>
      <c r="B637" s="63">
        <f t="shared" si="45"/>
        <v>12</v>
      </c>
      <c r="C637" s="90">
        <v>42706</v>
      </c>
      <c r="D637" s="90" t="s">
        <v>1656</v>
      </c>
      <c r="E637" s="90">
        <f t="shared" si="46"/>
        <v>42706</v>
      </c>
      <c r="F637" s="91" t="s">
        <v>2535</v>
      </c>
      <c r="G637" s="91" t="s">
        <v>2542</v>
      </c>
      <c r="H637" s="937" t="s">
        <v>2543</v>
      </c>
      <c r="I637" s="414">
        <v>16</v>
      </c>
      <c r="J637" s="414">
        <v>132253.64000000001</v>
      </c>
      <c r="K637" s="405"/>
      <c r="L637" s="414"/>
      <c r="M637" s="93">
        <f t="shared" si="47"/>
        <v>2116058</v>
      </c>
      <c r="N637" s="83" t="s">
        <v>288</v>
      </c>
      <c r="O637" s="83" t="s">
        <v>278</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customHeight="1">
      <c r="A638" s="323" t="str">
        <f>IF(B638&lt;&gt;"",IF(AND(B638='IN-TC'!$S$4,OR(TH!N638="1111",TH!O638="1111")),TH!D638,""),"")</f>
        <v/>
      </c>
      <c r="B638" s="63">
        <f t="shared" si="45"/>
        <v>12</v>
      </c>
      <c r="C638" s="90">
        <v>42706</v>
      </c>
      <c r="D638" s="90" t="s">
        <v>1656</v>
      </c>
      <c r="E638" s="90">
        <f t="shared" si="46"/>
        <v>42706</v>
      </c>
      <c r="F638" s="91" t="s">
        <v>2537</v>
      </c>
      <c r="G638" s="1089" t="s">
        <v>2542</v>
      </c>
      <c r="H638" s="937" t="s">
        <v>2543</v>
      </c>
      <c r="I638" s="414">
        <v>12</v>
      </c>
      <c r="J638" s="414">
        <v>132253.64285714299</v>
      </c>
      <c r="K638" s="405"/>
      <c r="L638" s="414"/>
      <c r="M638" s="93">
        <f t="shared" si="47"/>
        <v>1587044</v>
      </c>
      <c r="N638" s="83" t="s">
        <v>288</v>
      </c>
      <c r="O638" s="83" t="s">
        <v>278</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customHeight="1">
      <c r="A639" s="323" t="str">
        <f>IF(B639&lt;&gt;"",IF(AND(B639='IN-TC'!$S$4,OR(TH!N639="1111",TH!O639="1111")),TH!D639,""),"")</f>
        <v/>
      </c>
      <c r="B639" s="63">
        <f t="shared" si="45"/>
        <v>12</v>
      </c>
      <c r="C639" s="90">
        <v>42706</v>
      </c>
      <c r="D639" s="90" t="s">
        <v>1656</v>
      </c>
      <c r="E639" s="90">
        <f t="shared" si="46"/>
        <v>42706</v>
      </c>
      <c r="F639" s="91" t="s">
        <v>2538</v>
      </c>
      <c r="G639" s="1089" t="s">
        <v>2542</v>
      </c>
      <c r="H639" s="937" t="s">
        <v>2543</v>
      </c>
      <c r="I639" s="414">
        <v>4</v>
      </c>
      <c r="J639" s="414">
        <v>93477.266666666706</v>
      </c>
      <c r="K639" s="405"/>
      <c r="L639" s="414"/>
      <c r="M639" s="93">
        <f t="shared" si="47"/>
        <v>373909</v>
      </c>
      <c r="N639" s="83" t="s">
        <v>288</v>
      </c>
      <c r="O639" s="83" t="s">
        <v>278</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customHeight="1">
      <c r="A640" s="323" t="str">
        <f>IF(B640&lt;&gt;"",IF(AND(B640='IN-TC'!$S$4,OR(TH!N640="1111",TH!O640="1111")),TH!D640,""),"")</f>
        <v/>
      </c>
      <c r="B640" s="63">
        <f t="shared" si="45"/>
        <v>12</v>
      </c>
      <c r="C640" s="90">
        <v>42706</v>
      </c>
      <c r="D640" s="90" t="s">
        <v>1656</v>
      </c>
      <c r="E640" s="90">
        <f t="shared" si="46"/>
        <v>42706</v>
      </c>
      <c r="F640" s="91" t="s">
        <v>2539</v>
      </c>
      <c r="G640" s="1089" t="s">
        <v>2542</v>
      </c>
      <c r="H640" s="937" t="s">
        <v>2543</v>
      </c>
      <c r="I640" s="414">
        <v>8</v>
      </c>
      <c r="J640" s="414">
        <v>530386.54</v>
      </c>
      <c r="K640" s="405"/>
      <c r="L640" s="414"/>
      <c r="M640" s="93">
        <f t="shared" si="47"/>
        <v>4243092</v>
      </c>
      <c r="N640" s="83" t="s">
        <v>288</v>
      </c>
      <c r="O640" s="83" t="s">
        <v>278</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customHeight="1">
      <c r="A641" s="323" t="str">
        <f>IF(B641&lt;&gt;"",IF(AND(B641='IN-TC'!$S$4,OR(TH!N641="1111",TH!O641="1111")),TH!D641,""),"")</f>
        <v/>
      </c>
      <c r="B641" s="63">
        <f t="shared" si="45"/>
        <v>12</v>
      </c>
      <c r="C641" s="90">
        <v>42706</v>
      </c>
      <c r="D641" s="90" t="s">
        <v>1656</v>
      </c>
      <c r="E641" s="90">
        <f t="shared" si="46"/>
        <v>42706</v>
      </c>
      <c r="F641" s="91" t="s">
        <v>2540</v>
      </c>
      <c r="G641" s="1089" t="s">
        <v>2542</v>
      </c>
      <c r="H641" s="937" t="s">
        <v>2543</v>
      </c>
      <c r="I641" s="414">
        <v>1</v>
      </c>
      <c r="J641" s="414">
        <v>389330.66666666698</v>
      </c>
      <c r="K641" s="405"/>
      <c r="L641" s="414"/>
      <c r="M641" s="93">
        <f t="shared" si="47"/>
        <v>389331</v>
      </c>
      <c r="N641" s="83" t="s">
        <v>288</v>
      </c>
      <c r="O641" s="83" t="s">
        <v>278</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customHeight="1">
      <c r="A642" s="323" t="str">
        <f>IF(B642&lt;&gt;"",IF(AND(B642='IN-TC'!$S$4,OR(TH!N642="1111",TH!O642="1111")),TH!D642,""),"")</f>
        <v/>
      </c>
      <c r="B642" s="63">
        <f t="shared" si="45"/>
        <v>12</v>
      </c>
      <c r="C642" s="90">
        <v>42706</v>
      </c>
      <c r="D642" s="90" t="s">
        <v>1656</v>
      </c>
      <c r="E642" s="90">
        <f t="shared" si="46"/>
        <v>42706</v>
      </c>
      <c r="F642" s="91" t="s">
        <v>2541</v>
      </c>
      <c r="G642" s="1089" t="s">
        <v>2542</v>
      </c>
      <c r="H642" s="937" t="s">
        <v>2543</v>
      </c>
      <c r="I642" s="414">
        <v>10</v>
      </c>
      <c r="J642" s="414">
        <v>132239.78026905801</v>
      </c>
      <c r="K642" s="405"/>
      <c r="L642" s="414"/>
      <c r="M642" s="93">
        <f t="shared" si="47"/>
        <v>1322398</v>
      </c>
      <c r="N642" s="83" t="s">
        <v>288</v>
      </c>
      <c r="O642" s="83" t="s">
        <v>278</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customHeight="1">
      <c r="A643" s="323" t="str">
        <f>IF(B643&lt;&gt;"",IF(AND(B643='IN-TC'!$S$4,OR(TH!N643="1111",TH!O643="1111")),TH!D643,""),"")</f>
        <v/>
      </c>
      <c r="B643" s="63">
        <f t="shared" si="45"/>
        <v>12</v>
      </c>
      <c r="C643" s="90">
        <v>42707</v>
      </c>
      <c r="D643" s="90" t="s">
        <v>1657</v>
      </c>
      <c r="E643" s="90">
        <f t="shared" si="46"/>
        <v>42707</v>
      </c>
      <c r="F643" s="91" t="s">
        <v>2534</v>
      </c>
      <c r="G643" s="91" t="s">
        <v>2545</v>
      </c>
      <c r="H643" s="937" t="s">
        <v>2543</v>
      </c>
      <c r="I643" s="414">
        <v>14</v>
      </c>
      <c r="J643" s="414">
        <v>212498.363636364</v>
      </c>
      <c r="K643" s="405"/>
      <c r="L643" s="414"/>
      <c r="M643" s="93">
        <f t="shared" si="47"/>
        <v>2974977</v>
      </c>
      <c r="N643" s="83" t="s">
        <v>288</v>
      </c>
      <c r="O643" s="83" t="s">
        <v>278</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customHeight="1">
      <c r="A644" s="323" t="str">
        <f>IF(B644&lt;&gt;"",IF(AND(B644='IN-TC'!$S$4,OR(TH!N644="1111",TH!O644="1111")),TH!D644,""),"")</f>
        <v/>
      </c>
      <c r="B644" s="63">
        <f t="shared" si="45"/>
        <v>12</v>
      </c>
      <c r="C644" s="90">
        <v>42707</v>
      </c>
      <c r="D644" s="90" t="s">
        <v>1657</v>
      </c>
      <c r="E644" s="90">
        <f t="shared" si="46"/>
        <v>42707</v>
      </c>
      <c r="F644" s="91" t="s">
        <v>2536</v>
      </c>
      <c r="G644" s="91" t="s">
        <v>2545</v>
      </c>
      <c r="H644" s="937" t="s">
        <v>2543</v>
      </c>
      <c r="I644" s="414">
        <v>16</v>
      </c>
      <c r="J644" s="414">
        <v>194498.36</v>
      </c>
      <c r="K644" s="405"/>
      <c r="L644" s="414"/>
      <c r="M644" s="93">
        <f t="shared" si="47"/>
        <v>3111974</v>
      </c>
      <c r="N644" s="83" t="s">
        <v>288</v>
      </c>
      <c r="O644" s="83" t="s">
        <v>278</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customHeight="1">
      <c r="A645" s="323" t="str">
        <f>IF(B645&lt;&gt;"",IF(AND(B645='IN-TC'!$S$4,OR(TH!N645="1111",TH!O645="1111")),TH!D645,""),"")</f>
        <v/>
      </c>
      <c r="B645" s="63">
        <f t="shared" si="45"/>
        <v>12</v>
      </c>
      <c r="C645" s="90">
        <v>42707</v>
      </c>
      <c r="D645" s="90" t="s">
        <v>1657</v>
      </c>
      <c r="E645" s="90">
        <f t="shared" si="46"/>
        <v>42707</v>
      </c>
      <c r="F645" s="91" t="s">
        <v>2535</v>
      </c>
      <c r="G645" s="91" t="s">
        <v>2545</v>
      </c>
      <c r="H645" s="937" t="s">
        <v>2543</v>
      </c>
      <c r="I645" s="414">
        <v>16</v>
      </c>
      <c r="J645" s="414">
        <v>132253.64000000001</v>
      </c>
      <c r="K645" s="405"/>
      <c r="L645" s="414"/>
      <c r="M645" s="93">
        <f t="shared" si="47"/>
        <v>2116058</v>
      </c>
      <c r="N645" s="83" t="s">
        <v>288</v>
      </c>
      <c r="O645" s="83" t="s">
        <v>278</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customHeight="1">
      <c r="A646" s="323" t="str">
        <f>IF(B646&lt;&gt;"",IF(AND(B646='IN-TC'!$S$4,OR(TH!N646="1111",TH!O646="1111")),TH!D646,""),"")</f>
        <v/>
      </c>
      <c r="B646" s="63">
        <f t="shared" si="45"/>
        <v>12</v>
      </c>
      <c r="C646" s="90">
        <v>42707</v>
      </c>
      <c r="D646" s="90" t="s">
        <v>1657</v>
      </c>
      <c r="E646" s="90">
        <f t="shared" si="46"/>
        <v>42707</v>
      </c>
      <c r="F646" s="91" t="s">
        <v>2537</v>
      </c>
      <c r="G646" s="1089" t="s">
        <v>2545</v>
      </c>
      <c r="H646" s="937" t="s">
        <v>2543</v>
      </c>
      <c r="I646" s="414">
        <v>12</v>
      </c>
      <c r="J646" s="414">
        <v>132253.64285714299</v>
      </c>
      <c r="K646" s="405"/>
      <c r="L646" s="414"/>
      <c r="M646" s="93">
        <f t="shared" si="47"/>
        <v>1587044</v>
      </c>
      <c r="N646" s="83" t="s">
        <v>288</v>
      </c>
      <c r="O646" s="83" t="s">
        <v>278</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customHeight="1">
      <c r="A647" s="323" t="str">
        <f>IF(B647&lt;&gt;"",IF(AND(B647='IN-TC'!$S$4,OR(TH!N647="1111",TH!O647="1111")),TH!D647,""),"")</f>
        <v/>
      </c>
      <c r="B647" s="63">
        <f t="shared" si="45"/>
        <v>12</v>
      </c>
      <c r="C647" s="90">
        <v>42707</v>
      </c>
      <c r="D647" s="90" t="s">
        <v>1657</v>
      </c>
      <c r="E647" s="90">
        <f t="shared" si="46"/>
        <v>42707</v>
      </c>
      <c r="F647" s="91" t="s">
        <v>2538</v>
      </c>
      <c r="G647" s="1089" t="s">
        <v>2545</v>
      </c>
      <c r="H647" s="937" t="s">
        <v>2543</v>
      </c>
      <c r="I647" s="414">
        <v>4</v>
      </c>
      <c r="J647" s="414">
        <v>93477.266666666706</v>
      </c>
      <c r="K647" s="405"/>
      <c r="L647" s="414"/>
      <c r="M647" s="93">
        <f t="shared" si="47"/>
        <v>373909</v>
      </c>
      <c r="N647" s="83" t="s">
        <v>288</v>
      </c>
      <c r="O647" s="83" t="s">
        <v>278</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customHeight="1">
      <c r="A648" s="323" t="str">
        <f>IF(B648&lt;&gt;"",IF(AND(B648='IN-TC'!$S$4,OR(TH!N648="1111",TH!O648="1111")),TH!D648,""),"")</f>
        <v/>
      </c>
      <c r="B648" s="63">
        <f t="shared" si="45"/>
        <v>12</v>
      </c>
      <c r="C648" s="90">
        <v>42707</v>
      </c>
      <c r="D648" s="90" t="s">
        <v>1657</v>
      </c>
      <c r="E648" s="90">
        <f t="shared" si="46"/>
        <v>42707</v>
      </c>
      <c r="F648" s="91" t="s">
        <v>2539</v>
      </c>
      <c r="G648" s="1089" t="s">
        <v>2545</v>
      </c>
      <c r="H648" s="937" t="s">
        <v>2543</v>
      </c>
      <c r="I648" s="414">
        <v>8</v>
      </c>
      <c r="J648" s="414">
        <v>530386.54</v>
      </c>
      <c r="K648" s="405"/>
      <c r="L648" s="414"/>
      <c r="M648" s="93">
        <f t="shared" si="47"/>
        <v>4243092</v>
      </c>
      <c r="N648" s="83" t="s">
        <v>288</v>
      </c>
      <c r="O648" s="83" t="s">
        <v>278</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customHeight="1">
      <c r="A649" s="323" t="str">
        <f>IF(B649&lt;&gt;"",IF(AND(B649='IN-TC'!$S$4,OR(TH!N649="1111",TH!O649="1111")),TH!D649,""),"")</f>
        <v/>
      </c>
      <c r="B649" s="63">
        <f t="shared" si="45"/>
        <v>12</v>
      </c>
      <c r="C649" s="90">
        <v>42707</v>
      </c>
      <c r="D649" s="90" t="s">
        <v>1657</v>
      </c>
      <c r="E649" s="90">
        <f t="shared" si="46"/>
        <v>42707</v>
      </c>
      <c r="F649" s="91" t="s">
        <v>2540</v>
      </c>
      <c r="G649" s="1089" t="s">
        <v>2545</v>
      </c>
      <c r="H649" s="937" t="s">
        <v>2543</v>
      </c>
      <c r="I649" s="414">
        <v>1</v>
      </c>
      <c r="J649" s="414">
        <v>389330.66666666698</v>
      </c>
      <c r="K649" s="405"/>
      <c r="L649" s="414"/>
      <c r="M649" s="93">
        <f t="shared" si="47"/>
        <v>389331</v>
      </c>
      <c r="N649" s="83" t="s">
        <v>288</v>
      </c>
      <c r="O649" s="83" t="s">
        <v>278</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customHeight="1">
      <c r="A650" s="323" t="str">
        <f>IF(B650&lt;&gt;"",IF(AND(B650='IN-TC'!$S$4,OR(TH!N650="1111",TH!O650="1111")),TH!D650,""),"")</f>
        <v/>
      </c>
      <c r="B650" s="63">
        <f t="shared" si="45"/>
        <v>12</v>
      </c>
      <c r="C650" s="90">
        <v>42707</v>
      </c>
      <c r="D650" s="90" t="s">
        <v>1657</v>
      </c>
      <c r="E650" s="90">
        <f t="shared" si="46"/>
        <v>42707</v>
      </c>
      <c r="F650" s="91" t="s">
        <v>2541</v>
      </c>
      <c r="G650" s="1089" t="s">
        <v>2545</v>
      </c>
      <c r="H650" s="937" t="s">
        <v>2543</v>
      </c>
      <c r="I650" s="414">
        <v>10</v>
      </c>
      <c r="J650" s="414">
        <v>132239.78026905801</v>
      </c>
      <c r="K650" s="405"/>
      <c r="L650" s="414"/>
      <c r="M650" s="93">
        <f t="shared" si="47"/>
        <v>1322398</v>
      </c>
      <c r="N650" s="83" t="s">
        <v>288</v>
      </c>
      <c r="O650" s="83" t="s">
        <v>278</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customHeight="1">
      <c r="A651" s="323" t="str">
        <f>IF(B651&lt;&gt;"",IF(AND(B651='IN-TC'!$S$4,OR(TH!N651="1111",TH!O651="1111")),TH!D651,""),"")</f>
        <v/>
      </c>
      <c r="B651" s="63">
        <f t="shared" si="45"/>
        <v>12</v>
      </c>
      <c r="C651" s="90">
        <v>42709</v>
      </c>
      <c r="D651" s="90" t="s">
        <v>1891</v>
      </c>
      <c r="E651" s="90">
        <f t="shared" si="46"/>
        <v>42709</v>
      </c>
      <c r="F651" s="91" t="s">
        <v>2534</v>
      </c>
      <c r="G651" s="91" t="s">
        <v>2546</v>
      </c>
      <c r="H651" s="937" t="s">
        <v>2543</v>
      </c>
      <c r="I651" s="414">
        <v>13</v>
      </c>
      <c r="J651" s="414">
        <v>212498.363636364</v>
      </c>
      <c r="K651" s="405"/>
      <c r="L651" s="414"/>
      <c r="M651" s="93">
        <f t="shared" si="47"/>
        <v>2762479</v>
      </c>
      <c r="N651" s="83" t="s">
        <v>288</v>
      </c>
      <c r="O651" s="83" t="s">
        <v>278</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customHeight="1">
      <c r="A652" s="323" t="str">
        <f>IF(B652&lt;&gt;"",IF(AND(B652='IN-TC'!$S$4,OR(TH!N652="1111",TH!O652="1111")),TH!D652,""),"")</f>
        <v/>
      </c>
      <c r="B652" s="63">
        <f t="shared" si="45"/>
        <v>12</v>
      </c>
      <c r="C652" s="90">
        <v>42709</v>
      </c>
      <c r="D652" s="90" t="s">
        <v>1891</v>
      </c>
      <c r="E652" s="90">
        <f t="shared" si="46"/>
        <v>42709</v>
      </c>
      <c r="F652" s="91" t="s">
        <v>2536</v>
      </c>
      <c r="G652" s="91" t="s">
        <v>2546</v>
      </c>
      <c r="H652" s="937" t="s">
        <v>2543</v>
      </c>
      <c r="I652" s="414">
        <v>17</v>
      </c>
      <c r="J652" s="414">
        <v>194498.36</v>
      </c>
      <c r="K652" s="405"/>
      <c r="L652" s="414"/>
      <c r="M652" s="93">
        <f t="shared" si="47"/>
        <v>3306472</v>
      </c>
      <c r="N652" s="83" t="s">
        <v>288</v>
      </c>
      <c r="O652" s="83" t="s">
        <v>278</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customHeight="1">
      <c r="A653" s="323" t="str">
        <f>IF(B653&lt;&gt;"",IF(AND(B653='IN-TC'!$S$4,OR(TH!N653="1111",TH!O653="1111")),TH!D653,""),"")</f>
        <v/>
      </c>
      <c r="B653" s="63">
        <f t="shared" si="45"/>
        <v>12</v>
      </c>
      <c r="C653" s="90">
        <v>42709</v>
      </c>
      <c r="D653" s="90" t="s">
        <v>1891</v>
      </c>
      <c r="E653" s="90">
        <f t="shared" si="46"/>
        <v>42709</v>
      </c>
      <c r="F653" s="91" t="s">
        <v>2535</v>
      </c>
      <c r="G653" s="91" t="s">
        <v>2546</v>
      </c>
      <c r="H653" s="937" t="s">
        <v>2543</v>
      </c>
      <c r="I653" s="414">
        <v>17</v>
      </c>
      <c r="J653" s="414">
        <v>132253.64000000001</v>
      </c>
      <c r="K653" s="405"/>
      <c r="L653" s="414"/>
      <c r="M653" s="93">
        <f t="shared" si="47"/>
        <v>2248312</v>
      </c>
      <c r="N653" s="83" t="s">
        <v>288</v>
      </c>
      <c r="O653" s="83" t="s">
        <v>278</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customHeight="1">
      <c r="A654" s="323" t="str">
        <f>IF(B654&lt;&gt;"",IF(AND(B654='IN-TC'!$S$4,OR(TH!N654="1111",TH!O654="1111")),TH!D654,""),"")</f>
        <v/>
      </c>
      <c r="B654" s="63">
        <f t="shared" si="45"/>
        <v>12</v>
      </c>
      <c r="C654" s="90">
        <v>42709</v>
      </c>
      <c r="D654" s="90" t="s">
        <v>1891</v>
      </c>
      <c r="E654" s="90">
        <f t="shared" si="46"/>
        <v>42709</v>
      </c>
      <c r="F654" s="91" t="s">
        <v>2537</v>
      </c>
      <c r="G654" s="1089" t="s">
        <v>2546</v>
      </c>
      <c r="H654" s="937" t="s">
        <v>2543</v>
      </c>
      <c r="I654" s="414">
        <v>12</v>
      </c>
      <c r="J654" s="414">
        <v>132253.64285714299</v>
      </c>
      <c r="K654" s="405"/>
      <c r="L654" s="414"/>
      <c r="M654" s="93">
        <f t="shared" si="47"/>
        <v>1587044</v>
      </c>
      <c r="N654" s="83" t="s">
        <v>288</v>
      </c>
      <c r="O654" s="83" t="s">
        <v>278</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customHeight="1">
      <c r="A655" s="323" t="str">
        <f>IF(B655&lt;&gt;"",IF(AND(B655='IN-TC'!$S$4,OR(TH!N655="1111",TH!O655="1111")),TH!D655,""),"")</f>
        <v/>
      </c>
      <c r="B655" s="63">
        <f t="shared" si="45"/>
        <v>12</v>
      </c>
      <c r="C655" s="90">
        <v>42709</v>
      </c>
      <c r="D655" s="90" t="s">
        <v>1891</v>
      </c>
      <c r="E655" s="90">
        <f t="shared" si="46"/>
        <v>42709</v>
      </c>
      <c r="F655" s="91" t="s">
        <v>2538</v>
      </c>
      <c r="G655" s="1089" t="s">
        <v>2546</v>
      </c>
      <c r="H655" s="937" t="s">
        <v>2543</v>
      </c>
      <c r="I655" s="414">
        <v>3</v>
      </c>
      <c r="J655" s="414">
        <v>93477.266666666706</v>
      </c>
      <c r="K655" s="405"/>
      <c r="L655" s="414"/>
      <c r="M655" s="93">
        <f t="shared" si="47"/>
        <v>280432</v>
      </c>
      <c r="N655" s="83" t="s">
        <v>288</v>
      </c>
      <c r="O655" s="83" t="s">
        <v>278</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customHeight="1">
      <c r="A656" s="323" t="str">
        <f>IF(B656&lt;&gt;"",IF(AND(B656='IN-TC'!$S$4,OR(TH!N656="1111",TH!O656="1111")),TH!D656,""),"")</f>
        <v/>
      </c>
      <c r="B656" s="63">
        <f t="shared" si="45"/>
        <v>12</v>
      </c>
      <c r="C656" s="90">
        <v>42709</v>
      </c>
      <c r="D656" s="90" t="s">
        <v>1891</v>
      </c>
      <c r="E656" s="90">
        <f t="shared" si="46"/>
        <v>42709</v>
      </c>
      <c r="F656" s="91" t="s">
        <v>2539</v>
      </c>
      <c r="G656" s="1089" t="s">
        <v>2546</v>
      </c>
      <c r="H656" s="937" t="s">
        <v>2543</v>
      </c>
      <c r="I656" s="414">
        <v>8</v>
      </c>
      <c r="J656" s="414">
        <v>530386.54</v>
      </c>
      <c r="K656" s="405"/>
      <c r="L656" s="414"/>
      <c r="M656" s="93">
        <f t="shared" si="47"/>
        <v>4243092</v>
      </c>
      <c r="N656" s="83" t="s">
        <v>288</v>
      </c>
      <c r="O656" s="83" t="s">
        <v>278</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customHeight="1">
      <c r="A657" s="323" t="str">
        <f>IF(B657&lt;&gt;"",IF(AND(B657='IN-TC'!$S$4,OR(TH!N657="1111",TH!O657="1111")),TH!D657,""),"")</f>
        <v/>
      </c>
      <c r="B657" s="63">
        <f t="shared" si="45"/>
        <v>12</v>
      </c>
      <c r="C657" s="90">
        <v>42709</v>
      </c>
      <c r="D657" s="90" t="s">
        <v>1891</v>
      </c>
      <c r="E657" s="90">
        <f t="shared" si="46"/>
        <v>42709</v>
      </c>
      <c r="F657" s="91" t="s">
        <v>2540</v>
      </c>
      <c r="G657" s="1089" t="s">
        <v>2546</v>
      </c>
      <c r="H657" s="937" t="s">
        <v>2543</v>
      </c>
      <c r="I657" s="414">
        <v>1</v>
      </c>
      <c r="J657" s="414">
        <v>389330.66666666698</v>
      </c>
      <c r="K657" s="405"/>
      <c r="L657" s="414"/>
      <c r="M657" s="93">
        <f>ROUND(I657*J657,0)-1</f>
        <v>389330</v>
      </c>
      <c r="N657" s="83" t="s">
        <v>288</v>
      </c>
      <c r="O657" s="83" t="s">
        <v>278</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customHeight="1">
      <c r="A658" s="323" t="str">
        <f>IF(B658&lt;&gt;"",IF(AND(B658='IN-TC'!$S$4,OR(TH!N658="1111",TH!O658="1111")),TH!D658,""),"")</f>
        <v/>
      </c>
      <c r="B658" s="63">
        <f t="shared" si="45"/>
        <v>12</v>
      </c>
      <c r="C658" s="90">
        <v>42709</v>
      </c>
      <c r="D658" s="90" t="s">
        <v>1891</v>
      </c>
      <c r="E658" s="90">
        <f t="shared" si="46"/>
        <v>42709</v>
      </c>
      <c r="F658" s="91" t="s">
        <v>2541</v>
      </c>
      <c r="G658" s="1089" t="s">
        <v>2546</v>
      </c>
      <c r="H658" s="937" t="s">
        <v>2543</v>
      </c>
      <c r="I658" s="414">
        <v>10</v>
      </c>
      <c r="J658" s="414">
        <v>132239.78026905801</v>
      </c>
      <c r="K658" s="405"/>
      <c r="L658" s="414"/>
      <c r="M658" s="93">
        <f t="shared" ref="M658:M678" si="48">ROUND(I658*J658,0)</f>
        <v>1322398</v>
      </c>
      <c r="N658" s="83" t="s">
        <v>288</v>
      </c>
      <c r="O658" s="83" t="s">
        <v>278</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customHeight="1">
      <c r="A659" s="323" t="str">
        <f>IF(B659&lt;&gt;"",IF(AND(B659='IN-TC'!$S$4,OR(TH!N659="1111",TH!O659="1111")),TH!D659,""),"")</f>
        <v/>
      </c>
      <c r="B659" s="63">
        <f t="shared" si="45"/>
        <v>12</v>
      </c>
      <c r="C659" s="90">
        <v>42710</v>
      </c>
      <c r="D659" s="90" t="s">
        <v>1895</v>
      </c>
      <c r="E659" s="90">
        <f t="shared" si="46"/>
        <v>42710</v>
      </c>
      <c r="F659" s="91" t="s">
        <v>2534</v>
      </c>
      <c r="G659" s="91" t="s">
        <v>2547</v>
      </c>
      <c r="H659" s="937" t="s">
        <v>2543</v>
      </c>
      <c r="I659" s="414">
        <v>13</v>
      </c>
      <c r="J659" s="414">
        <v>212498.363636364</v>
      </c>
      <c r="K659" s="405"/>
      <c r="L659" s="414"/>
      <c r="M659" s="93">
        <f t="shared" si="48"/>
        <v>2762479</v>
      </c>
      <c r="N659" s="83" t="s">
        <v>288</v>
      </c>
      <c r="O659" s="83" t="s">
        <v>278</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customHeight="1">
      <c r="A660" s="323" t="str">
        <f>IF(B660&lt;&gt;"",IF(AND(B660='IN-TC'!$S$4,OR(TH!N660="1111",TH!O660="1111")),TH!D660,""),"")</f>
        <v/>
      </c>
      <c r="B660" s="63">
        <f t="shared" si="45"/>
        <v>12</v>
      </c>
      <c r="C660" s="90">
        <v>42710</v>
      </c>
      <c r="D660" s="90" t="s">
        <v>1895</v>
      </c>
      <c r="E660" s="90">
        <f t="shared" si="46"/>
        <v>42710</v>
      </c>
      <c r="F660" s="91" t="s">
        <v>2536</v>
      </c>
      <c r="G660" s="91" t="s">
        <v>2547</v>
      </c>
      <c r="H660" s="937" t="s">
        <v>2543</v>
      </c>
      <c r="I660" s="414">
        <v>17</v>
      </c>
      <c r="J660" s="414">
        <v>194498.36</v>
      </c>
      <c r="K660" s="405"/>
      <c r="L660" s="414"/>
      <c r="M660" s="93">
        <f t="shared" si="48"/>
        <v>3306472</v>
      </c>
      <c r="N660" s="83" t="s">
        <v>288</v>
      </c>
      <c r="O660" s="83" t="s">
        <v>278</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customHeight="1">
      <c r="A661" s="323" t="str">
        <f>IF(B661&lt;&gt;"",IF(AND(B661='IN-TC'!$S$4,OR(TH!N661="1111",TH!O661="1111")),TH!D661,""),"")</f>
        <v/>
      </c>
      <c r="B661" s="63">
        <f t="shared" si="45"/>
        <v>12</v>
      </c>
      <c r="C661" s="90">
        <v>42710</v>
      </c>
      <c r="D661" s="90" t="s">
        <v>1895</v>
      </c>
      <c r="E661" s="90">
        <f t="shared" si="46"/>
        <v>42710</v>
      </c>
      <c r="F661" s="91" t="s">
        <v>2535</v>
      </c>
      <c r="G661" s="91" t="s">
        <v>2547</v>
      </c>
      <c r="H661" s="937" t="s">
        <v>2543</v>
      </c>
      <c r="I661" s="414">
        <v>17</v>
      </c>
      <c r="J661" s="414">
        <v>132253.64000000001</v>
      </c>
      <c r="K661" s="405"/>
      <c r="L661" s="414"/>
      <c r="M661" s="93">
        <f t="shared" si="48"/>
        <v>2248312</v>
      </c>
      <c r="N661" s="83" t="s">
        <v>288</v>
      </c>
      <c r="O661" s="83" t="s">
        <v>278</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customHeight="1">
      <c r="A662" s="323" t="str">
        <f>IF(B662&lt;&gt;"",IF(AND(B662='IN-TC'!$S$4,OR(TH!N662="1111",TH!O662="1111")),TH!D662,""),"")</f>
        <v/>
      </c>
      <c r="B662" s="63">
        <f t="shared" si="45"/>
        <v>12</v>
      </c>
      <c r="C662" s="90">
        <v>42710</v>
      </c>
      <c r="D662" s="90" t="s">
        <v>1895</v>
      </c>
      <c r="E662" s="90">
        <f t="shared" ref="E662:E693" si="49">C662</f>
        <v>42710</v>
      </c>
      <c r="F662" s="91" t="s">
        <v>2537</v>
      </c>
      <c r="G662" s="91" t="s">
        <v>2547</v>
      </c>
      <c r="H662" s="937" t="s">
        <v>2543</v>
      </c>
      <c r="I662" s="414">
        <v>12</v>
      </c>
      <c r="J662" s="414">
        <v>132253.64285714299</v>
      </c>
      <c r="K662" s="405"/>
      <c r="L662" s="414"/>
      <c r="M662" s="93">
        <f t="shared" si="48"/>
        <v>1587044</v>
      </c>
      <c r="N662" s="83" t="s">
        <v>288</v>
      </c>
      <c r="O662" s="83" t="s">
        <v>278</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customHeight="1">
      <c r="A663" s="323" t="str">
        <f>IF(B663&lt;&gt;"",IF(AND(B663='IN-TC'!$S$4,OR(TH!N663="1111",TH!O663="1111")),TH!D663,""),"")</f>
        <v/>
      </c>
      <c r="B663" s="63">
        <f t="shared" si="45"/>
        <v>12</v>
      </c>
      <c r="C663" s="90">
        <v>42710</v>
      </c>
      <c r="D663" s="90" t="s">
        <v>1895</v>
      </c>
      <c r="E663" s="90">
        <f t="shared" si="49"/>
        <v>42710</v>
      </c>
      <c r="F663" s="91" t="s">
        <v>2538</v>
      </c>
      <c r="G663" s="91" t="s">
        <v>2547</v>
      </c>
      <c r="H663" s="937" t="s">
        <v>2543</v>
      </c>
      <c r="I663" s="414">
        <v>3</v>
      </c>
      <c r="J663" s="414">
        <v>93477.266666666706</v>
      </c>
      <c r="K663" s="405"/>
      <c r="L663" s="414"/>
      <c r="M663" s="93">
        <f t="shared" si="48"/>
        <v>280432</v>
      </c>
      <c r="N663" s="83" t="s">
        <v>288</v>
      </c>
      <c r="O663" s="83" t="s">
        <v>278</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customHeight="1">
      <c r="A664" s="323" t="str">
        <f>IF(B664&lt;&gt;"",IF(AND(B664='IN-TC'!$S$4,OR(TH!N664="1111",TH!O664="1111")),TH!D664,""),"")</f>
        <v/>
      </c>
      <c r="B664" s="63">
        <f t="shared" si="45"/>
        <v>12</v>
      </c>
      <c r="C664" s="90">
        <v>42710</v>
      </c>
      <c r="D664" s="90" t="s">
        <v>1895</v>
      </c>
      <c r="E664" s="90">
        <f t="shared" si="49"/>
        <v>42710</v>
      </c>
      <c r="F664" s="91" t="s">
        <v>2539</v>
      </c>
      <c r="G664" s="91" t="s">
        <v>2547</v>
      </c>
      <c r="H664" s="937" t="s">
        <v>2543</v>
      </c>
      <c r="I664" s="414">
        <v>8</v>
      </c>
      <c r="J664" s="414">
        <v>530386.54</v>
      </c>
      <c r="K664" s="405"/>
      <c r="L664" s="414"/>
      <c r="M664" s="93">
        <f t="shared" si="48"/>
        <v>4243092</v>
      </c>
      <c r="N664" s="83" t="s">
        <v>288</v>
      </c>
      <c r="O664" s="83" t="s">
        <v>278</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customHeight="1">
      <c r="A665" s="323" t="str">
        <f>IF(B665&lt;&gt;"",IF(AND(B665='IN-TC'!$S$4,OR(TH!N665="1111",TH!O665="1111")),TH!D665,""),"")</f>
        <v/>
      </c>
      <c r="B665" s="63">
        <f t="shared" si="45"/>
        <v>12</v>
      </c>
      <c r="C665" s="90">
        <v>42710</v>
      </c>
      <c r="D665" s="90" t="s">
        <v>1895</v>
      </c>
      <c r="E665" s="90">
        <f t="shared" si="49"/>
        <v>42710</v>
      </c>
      <c r="F665" s="91" t="s">
        <v>2541</v>
      </c>
      <c r="G665" s="91" t="s">
        <v>2547</v>
      </c>
      <c r="H665" s="937" t="s">
        <v>2543</v>
      </c>
      <c r="I665" s="414">
        <v>10</v>
      </c>
      <c r="J665" s="414">
        <v>132239.78026905801</v>
      </c>
      <c r="K665" s="405"/>
      <c r="L665" s="414"/>
      <c r="M665" s="93">
        <f t="shared" si="48"/>
        <v>1322398</v>
      </c>
      <c r="N665" s="83" t="s">
        <v>288</v>
      </c>
      <c r="O665" s="83" t="s">
        <v>278</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customHeight="1">
      <c r="A666" s="1170" t="str">
        <f>IF(B666&lt;&gt;"",IF(AND(B666='IN-TC'!$S$4,OR(TH!N666="1111",TH!O666="1111")),TH!D666,""),"")</f>
        <v/>
      </c>
      <c r="B666" s="63">
        <f t="shared" si="45"/>
        <v>12</v>
      </c>
      <c r="C666" s="90">
        <v>42711</v>
      </c>
      <c r="D666" s="90" t="s">
        <v>2313</v>
      </c>
      <c r="E666" s="90">
        <f t="shared" si="49"/>
        <v>42711</v>
      </c>
      <c r="F666" s="91" t="s">
        <v>2534</v>
      </c>
      <c r="G666" s="91" t="s">
        <v>2548</v>
      </c>
      <c r="H666" s="937" t="s">
        <v>2543</v>
      </c>
      <c r="I666" s="414">
        <v>13</v>
      </c>
      <c r="J666" s="414">
        <v>212498.363636364</v>
      </c>
      <c r="K666" s="405"/>
      <c r="L666" s="414"/>
      <c r="M666" s="93">
        <f t="shared" si="48"/>
        <v>2762479</v>
      </c>
      <c r="N666" s="83" t="s">
        <v>288</v>
      </c>
      <c r="O666" s="83" t="s">
        <v>278</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customHeight="1">
      <c r="A667" s="1170" t="str">
        <f>IF(B667&lt;&gt;"",IF(AND(B667='IN-TC'!$S$4,OR(TH!N667="1111",TH!O667="1111")),TH!D667,""),"")</f>
        <v/>
      </c>
      <c r="B667" s="63">
        <f t="shared" si="45"/>
        <v>12</v>
      </c>
      <c r="C667" s="90">
        <v>42711</v>
      </c>
      <c r="D667" s="90" t="s">
        <v>2313</v>
      </c>
      <c r="E667" s="90">
        <f t="shared" si="49"/>
        <v>42711</v>
      </c>
      <c r="F667" s="91" t="s">
        <v>2536</v>
      </c>
      <c r="G667" s="91" t="s">
        <v>2548</v>
      </c>
      <c r="H667" s="937" t="s">
        <v>2543</v>
      </c>
      <c r="I667" s="414">
        <v>17</v>
      </c>
      <c r="J667" s="414">
        <v>194498.36</v>
      </c>
      <c r="K667" s="405"/>
      <c r="L667" s="414"/>
      <c r="M667" s="93">
        <f t="shared" si="48"/>
        <v>3306472</v>
      </c>
      <c r="N667" s="83" t="s">
        <v>288</v>
      </c>
      <c r="O667" s="83" t="s">
        <v>278</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customHeight="1">
      <c r="A668" s="1170" t="str">
        <f>IF(B668&lt;&gt;"",IF(AND(B668='IN-TC'!$S$4,OR(TH!N668="1111",TH!O668="1111")),TH!D668,""),"")</f>
        <v/>
      </c>
      <c r="B668" s="63">
        <f t="shared" si="45"/>
        <v>12</v>
      </c>
      <c r="C668" s="90">
        <v>42711</v>
      </c>
      <c r="D668" s="90" t="s">
        <v>2313</v>
      </c>
      <c r="E668" s="90">
        <f t="shared" si="49"/>
        <v>42711</v>
      </c>
      <c r="F668" s="91" t="s">
        <v>2535</v>
      </c>
      <c r="G668" s="91" t="s">
        <v>2548</v>
      </c>
      <c r="H668" s="937" t="s">
        <v>2543</v>
      </c>
      <c r="I668" s="414">
        <v>17</v>
      </c>
      <c r="J668" s="414">
        <v>132253.64000000001</v>
      </c>
      <c r="K668" s="405"/>
      <c r="L668" s="414"/>
      <c r="M668" s="93">
        <f t="shared" si="48"/>
        <v>2248312</v>
      </c>
      <c r="N668" s="83" t="s">
        <v>288</v>
      </c>
      <c r="O668" s="83" t="s">
        <v>278</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customHeight="1">
      <c r="A669" s="1170" t="str">
        <f>IF(B669&lt;&gt;"",IF(AND(B669='IN-TC'!$S$4,OR(TH!N669="1111",TH!O669="1111")),TH!D669,""),"")</f>
        <v/>
      </c>
      <c r="B669" s="63">
        <f t="shared" si="45"/>
        <v>12</v>
      </c>
      <c r="C669" s="90">
        <v>42711</v>
      </c>
      <c r="D669" s="90" t="s">
        <v>2313</v>
      </c>
      <c r="E669" s="90">
        <f t="shared" si="49"/>
        <v>42711</v>
      </c>
      <c r="F669" s="91" t="s">
        <v>2537</v>
      </c>
      <c r="G669" s="91" t="s">
        <v>2548</v>
      </c>
      <c r="H669" s="937" t="s">
        <v>2543</v>
      </c>
      <c r="I669" s="414">
        <v>11</v>
      </c>
      <c r="J669" s="414">
        <v>132253.64285714299</v>
      </c>
      <c r="K669" s="405"/>
      <c r="L669" s="414"/>
      <c r="M669" s="93">
        <f t="shared" si="48"/>
        <v>1454790</v>
      </c>
      <c r="N669" s="83" t="s">
        <v>288</v>
      </c>
      <c r="O669" s="83" t="s">
        <v>278</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customHeight="1">
      <c r="A670" s="1170" t="str">
        <f>IF(B670&lt;&gt;"",IF(AND(B670='IN-TC'!$S$4,OR(TH!N670="1111",TH!O670="1111")),TH!D670,""),"")</f>
        <v/>
      </c>
      <c r="B670" s="63">
        <f t="shared" si="45"/>
        <v>12</v>
      </c>
      <c r="C670" s="90">
        <v>42711</v>
      </c>
      <c r="D670" s="90" t="s">
        <v>2313</v>
      </c>
      <c r="E670" s="90">
        <f t="shared" si="49"/>
        <v>42711</v>
      </c>
      <c r="F670" s="91" t="s">
        <v>2538</v>
      </c>
      <c r="G670" s="91" t="s">
        <v>2548</v>
      </c>
      <c r="H670" s="937" t="s">
        <v>2543</v>
      </c>
      <c r="I670" s="414">
        <v>3</v>
      </c>
      <c r="J670" s="414">
        <v>93477.266666666706</v>
      </c>
      <c r="K670" s="405"/>
      <c r="L670" s="414"/>
      <c r="M670" s="93">
        <f t="shared" si="48"/>
        <v>280432</v>
      </c>
      <c r="N670" s="83" t="s">
        <v>288</v>
      </c>
      <c r="O670" s="83" t="s">
        <v>278</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customHeight="1">
      <c r="A671" s="1170" t="str">
        <f>IF(B671&lt;&gt;"",IF(AND(B671='IN-TC'!$S$4,OR(TH!N671="1111",TH!O671="1111")),TH!D671,""),"")</f>
        <v/>
      </c>
      <c r="B671" s="63">
        <f t="shared" si="45"/>
        <v>12</v>
      </c>
      <c r="C671" s="90">
        <v>42711</v>
      </c>
      <c r="D671" s="90" t="s">
        <v>2313</v>
      </c>
      <c r="E671" s="90">
        <f t="shared" si="49"/>
        <v>42711</v>
      </c>
      <c r="F671" s="91" t="s">
        <v>2539</v>
      </c>
      <c r="G671" s="91" t="s">
        <v>2548</v>
      </c>
      <c r="H671" s="937" t="s">
        <v>2543</v>
      </c>
      <c r="I671" s="414">
        <v>9</v>
      </c>
      <c r="J671" s="414">
        <v>530386.54</v>
      </c>
      <c r="K671" s="405"/>
      <c r="L671" s="414"/>
      <c r="M671" s="93">
        <f t="shared" si="48"/>
        <v>4773479</v>
      </c>
      <c r="N671" s="83" t="s">
        <v>288</v>
      </c>
      <c r="O671" s="83" t="s">
        <v>278</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customHeight="1">
      <c r="A672" s="1170" t="str">
        <f>IF(B672&lt;&gt;"",IF(AND(B672='IN-TC'!$S$4,OR(TH!N672="1111",TH!O672="1111")),TH!D672,""),"")</f>
        <v/>
      </c>
      <c r="B672" s="63">
        <f t="shared" si="45"/>
        <v>12</v>
      </c>
      <c r="C672" s="90">
        <v>42711</v>
      </c>
      <c r="D672" s="90" t="s">
        <v>2313</v>
      </c>
      <c r="E672" s="90">
        <f t="shared" si="49"/>
        <v>42711</v>
      </c>
      <c r="F672" s="91" t="s">
        <v>2541</v>
      </c>
      <c r="G672" s="91" t="s">
        <v>2548</v>
      </c>
      <c r="H672" s="937" t="s">
        <v>2543</v>
      </c>
      <c r="I672" s="414">
        <v>10</v>
      </c>
      <c r="J672" s="414">
        <v>132239.78026905801</v>
      </c>
      <c r="K672" s="405"/>
      <c r="L672" s="414"/>
      <c r="M672" s="93">
        <f t="shared" si="48"/>
        <v>1322398</v>
      </c>
      <c r="N672" s="83" t="s">
        <v>288</v>
      </c>
      <c r="O672" s="83" t="s">
        <v>278</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customHeight="1">
      <c r="A673" s="323" t="str">
        <f>IF(B673&lt;&gt;"",IF(AND(B673='IN-TC'!$S$4,OR(TH!N673="1111",TH!O673="1111")),TH!D673,""),"")</f>
        <v/>
      </c>
      <c r="B673" s="63">
        <f t="shared" si="45"/>
        <v>12</v>
      </c>
      <c r="C673" s="90">
        <v>42711</v>
      </c>
      <c r="D673" s="90" t="s">
        <v>2314</v>
      </c>
      <c r="E673" s="90">
        <f t="shared" si="49"/>
        <v>42711</v>
      </c>
      <c r="F673" s="91" t="s">
        <v>455</v>
      </c>
      <c r="G673" s="1089" t="s">
        <v>2463</v>
      </c>
      <c r="H673" s="937" t="s">
        <v>1887</v>
      </c>
      <c r="I673" s="414">
        <v>61914</v>
      </c>
      <c r="J673" s="414">
        <v>59617.829576304597</v>
      </c>
      <c r="K673" s="405"/>
      <c r="L673" s="414"/>
      <c r="M673" s="93">
        <f t="shared" si="48"/>
        <v>3691178300</v>
      </c>
      <c r="N673" s="83" t="s">
        <v>288</v>
      </c>
      <c r="O673" s="83" t="s">
        <v>278</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customHeight="1">
      <c r="A674" s="323" t="str">
        <f>IF(B674&lt;&gt;"",IF(AND(B674='IN-TC'!$S$4,OR(TH!N674="1111",TH!O674="1111")),TH!D674,""),"")</f>
        <v/>
      </c>
      <c r="B674" s="63">
        <f t="shared" si="45"/>
        <v>12</v>
      </c>
      <c r="C674" s="90">
        <v>42711</v>
      </c>
      <c r="D674" s="90" t="s">
        <v>2314</v>
      </c>
      <c r="E674" s="90">
        <f t="shared" si="49"/>
        <v>42711</v>
      </c>
      <c r="F674" s="91" t="s">
        <v>455</v>
      </c>
      <c r="G674" s="1089" t="s">
        <v>2463</v>
      </c>
      <c r="H674" s="937" t="s">
        <v>1887</v>
      </c>
      <c r="I674" s="414">
        <v>26000</v>
      </c>
      <c r="J674" s="414">
        <v>66416.300584615397</v>
      </c>
      <c r="K674" s="405"/>
      <c r="L674" s="414"/>
      <c r="M674" s="93">
        <f t="shared" si="48"/>
        <v>1726823815</v>
      </c>
      <c r="N674" s="83" t="s">
        <v>288</v>
      </c>
      <c r="O674" s="83" t="s">
        <v>278</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customHeight="1">
      <c r="A675" s="323" t="str">
        <f>IF(B675&lt;&gt;"",IF(AND(B675='IN-TC'!$S$4,OR(TH!N675="1111",TH!O675="1111")),TH!D675,""),"")</f>
        <v/>
      </c>
      <c r="B675" s="63">
        <f t="shared" si="45"/>
        <v>12</v>
      </c>
      <c r="C675" s="90">
        <v>42711</v>
      </c>
      <c r="D675" s="90" t="s">
        <v>2314</v>
      </c>
      <c r="E675" s="90">
        <f t="shared" si="49"/>
        <v>42711</v>
      </c>
      <c r="F675" s="91" t="s">
        <v>455</v>
      </c>
      <c r="G675" s="1089" t="s">
        <v>2463</v>
      </c>
      <c r="H675" s="937" t="s">
        <v>1887</v>
      </c>
      <c r="I675" s="414">
        <v>17490</v>
      </c>
      <c r="J675" s="414">
        <v>62704.859704859999</v>
      </c>
      <c r="K675" s="405"/>
      <c r="L675" s="414"/>
      <c r="M675" s="93">
        <f t="shared" si="48"/>
        <v>1096707996</v>
      </c>
      <c r="N675" s="83" t="s">
        <v>288</v>
      </c>
      <c r="O675" s="83" t="s">
        <v>278</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customHeight="1">
      <c r="A676" s="323" t="str">
        <f>IF(B676&lt;&gt;"",IF(AND(B676='IN-TC'!$S$4,OR(TH!N676="1111",TH!O676="1111")),TH!D676,""),"")</f>
        <v/>
      </c>
      <c r="B676" s="63">
        <f t="shared" si="45"/>
        <v>12</v>
      </c>
      <c r="C676" s="90">
        <v>42712</v>
      </c>
      <c r="D676" s="90" t="s">
        <v>2317</v>
      </c>
      <c r="E676" s="90">
        <f t="shared" si="49"/>
        <v>42712</v>
      </c>
      <c r="F676" s="91" t="s">
        <v>2534</v>
      </c>
      <c r="G676" s="1089" t="s">
        <v>2549</v>
      </c>
      <c r="H676" s="937" t="s">
        <v>2543</v>
      </c>
      <c r="I676" s="414">
        <v>13</v>
      </c>
      <c r="J676" s="414">
        <v>212498.363636364</v>
      </c>
      <c r="K676" s="405"/>
      <c r="L676" s="414"/>
      <c r="M676" s="93">
        <f t="shared" si="48"/>
        <v>2762479</v>
      </c>
      <c r="N676" s="83" t="s">
        <v>288</v>
      </c>
      <c r="O676" s="83" t="s">
        <v>278</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customHeight="1">
      <c r="A677" s="323" t="str">
        <f>IF(B677&lt;&gt;"",IF(AND(B677='IN-TC'!$S$4,OR(TH!N677="1111",TH!O677="1111")),TH!D677,""),"")</f>
        <v/>
      </c>
      <c r="B677" s="63">
        <f t="shared" si="45"/>
        <v>12</v>
      </c>
      <c r="C677" s="90">
        <v>42712</v>
      </c>
      <c r="D677" s="90" t="s">
        <v>2317</v>
      </c>
      <c r="E677" s="90">
        <f t="shared" si="49"/>
        <v>42712</v>
      </c>
      <c r="F677" s="91" t="s">
        <v>2536</v>
      </c>
      <c r="G677" s="1089" t="s">
        <v>2549</v>
      </c>
      <c r="H677" s="937" t="s">
        <v>2543</v>
      </c>
      <c r="I677" s="414">
        <v>17</v>
      </c>
      <c r="J677" s="414">
        <v>194498.36</v>
      </c>
      <c r="K677" s="405"/>
      <c r="L677" s="414"/>
      <c r="M677" s="93">
        <f t="shared" si="48"/>
        <v>3306472</v>
      </c>
      <c r="N677" s="83" t="s">
        <v>288</v>
      </c>
      <c r="O677" s="83" t="s">
        <v>278</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customHeight="1">
      <c r="A678" s="323" t="str">
        <f>IF(B678&lt;&gt;"",IF(AND(B678='IN-TC'!$S$4,OR(TH!N678="1111",TH!O678="1111")),TH!D678,""),"")</f>
        <v/>
      </c>
      <c r="B678" s="63">
        <f t="shared" si="45"/>
        <v>12</v>
      </c>
      <c r="C678" s="90">
        <v>42712</v>
      </c>
      <c r="D678" s="90" t="s">
        <v>2317</v>
      </c>
      <c r="E678" s="90">
        <f t="shared" si="49"/>
        <v>42712</v>
      </c>
      <c r="F678" s="91" t="s">
        <v>2535</v>
      </c>
      <c r="G678" s="1089" t="s">
        <v>2549</v>
      </c>
      <c r="H678" s="937" t="s">
        <v>2543</v>
      </c>
      <c r="I678" s="414">
        <v>17</v>
      </c>
      <c r="J678" s="414">
        <v>132253.64000000001</v>
      </c>
      <c r="K678" s="405"/>
      <c r="L678" s="414"/>
      <c r="M678" s="93">
        <f t="shared" si="48"/>
        <v>2248312</v>
      </c>
      <c r="N678" s="83" t="s">
        <v>288</v>
      </c>
      <c r="O678" s="83" t="s">
        <v>278</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customHeight="1">
      <c r="A679" s="323" t="str">
        <f>IF(B679&lt;&gt;"",IF(AND(B679='IN-TC'!$S$4,OR(TH!N679="1111",TH!O679="1111")),TH!D679,""),"")</f>
        <v/>
      </c>
      <c r="B679" s="63">
        <f t="shared" si="45"/>
        <v>12</v>
      </c>
      <c r="C679" s="90">
        <v>42712</v>
      </c>
      <c r="D679" s="90" t="s">
        <v>2317</v>
      </c>
      <c r="E679" s="90">
        <f t="shared" si="49"/>
        <v>42712</v>
      </c>
      <c r="F679" s="91" t="s">
        <v>2537</v>
      </c>
      <c r="G679" s="1089" t="s">
        <v>2549</v>
      </c>
      <c r="H679" s="937" t="s">
        <v>2543</v>
      </c>
      <c r="I679" s="414">
        <v>11</v>
      </c>
      <c r="J679" s="414">
        <v>132253.64285714299</v>
      </c>
      <c r="K679" s="405"/>
      <c r="L679" s="414"/>
      <c r="M679" s="93">
        <f>ROUND(I679*J679,0)-1</f>
        <v>1454789</v>
      </c>
      <c r="N679" s="83" t="s">
        <v>288</v>
      </c>
      <c r="O679" s="83" t="s">
        <v>278</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customHeight="1">
      <c r="A680" s="323" t="str">
        <f>IF(B680&lt;&gt;"",IF(AND(B680='IN-TC'!$S$4,OR(TH!N680="1111",TH!O680="1111")),TH!D680,""),"")</f>
        <v/>
      </c>
      <c r="B680" s="63">
        <f t="shared" si="45"/>
        <v>12</v>
      </c>
      <c r="C680" s="90">
        <v>42712</v>
      </c>
      <c r="D680" s="90" t="s">
        <v>2317</v>
      </c>
      <c r="E680" s="90">
        <f t="shared" si="49"/>
        <v>42712</v>
      </c>
      <c r="F680" s="91" t="s">
        <v>2538</v>
      </c>
      <c r="G680" s="1089" t="s">
        <v>2549</v>
      </c>
      <c r="H680" s="937" t="s">
        <v>2543</v>
      </c>
      <c r="I680" s="414">
        <v>3</v>
      </c>
      <c r="J680" s="414">
        <v>93477.266666666706</v>
      </c>
      <c r="K680" s="405"/>
      <c r="L680" s="414"/>
      <c r="M680" s="93">
        <f>ROUND(I680*J680,0)</f>
        <v>280432</v>
      </c>
      <c r="N680" s="83" t="s">
        <v>288</v>
      </c>
      <c r="O680" s="83" t="s">
        <v>278</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customHeight="1">
      <c r="A681" s="323" t="str">
        <f>IF(B681&lt;&gt;"",IF(AND(B681='IN-TC'!$S$4,OR(TH!N681="1111",TH!O681="1111")),TH!D681,""),"")</f>
        <v/>
      </c>
      <c r="B681" s="63">
        <f t="shared" si="45"/>
        <v>12</v>
      </c>
      <c r="C681" s="90">
        <v>42712</v>
      </c>
      <c r="D681" s="90" t="s">
        <v>2317</v>
      </c>
      <c r="E681" s="90">
        <f t="shared" si="49"/>
        <v>42712</v>
      </c>
      <c r="F681" s="91" t="s">
        <v>2539</v>
      </c>
      <c r="G681" s="1089" t="s">
        <v>2549</v>
      </c>
      <c r="H681" s="937" t="s">
        <v>2543</v>
      </c>
      <c r="I681" s="414">
        <v>9</v>
      </c>
      <c r="J681" s="414">
        <v>530386.54</v>
      </c>
      <c r="K681" s="405"/>
      <c r="L681" s="414"/>
      <c r="M681" s="93">
        <f>ROUND(I681*J681,0)+1</f>
        <v>4773480</v>
      </c>
      <c r="N681" s="83" t="s">
        <v>288</v>
      </c>
      <c r="O681" s="83" t="s">
        <v>278</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customHeight="1">
      <c r="A682" s="323" t="str">
        <f>IF(B682&lt;&gt;"",IF(AND(B682='IN-TC'!$S$4,OR(TH!N682="1111",TH!O682="1111")),TH!D682,""),"")</f>
        <v/>
      </c>
      <c r="B682" s="63">
        <f t="shared" si="45"/>
        <v>12</v>
      </c>
      <c r="C682" s="90">
        <v>42712</v>
      </c>
      <c r="D682" s="90" t="s">
        <v>2317</v>
      </c>
      <c r="E682" s="90">
        <f t="shared" si="49"/>
        <v>42712</v>
      </c>
      <c r="F682" s="91" t="s">
        <v>2541</v>
      </c>
      <c r="G682" s="1089" t="s">
        <v>2549</v>
      </c>
      <c r="H682" s="937" t="s">
        <v>2543</v>
      </c>
      <c r="I682" s="405">
        <v>10.7</v>
      </c>
      <c r="J682" s="414">
        <v>132239.78026905801</v>
      </c>
      <c r="K682" s="405"/>
      <c r="L682" s="414"/>
      <c r="M682" s="93">
        <f>ROUND(I682*J682,0)-1</f>
        <v>1414965</v>
      </c>
      <c r="N682" s="83" t="s">
        <v>288</v>
      </c>
      <c r="O682" s="83" t="s">
        <v>278</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customHeight="1">
      <c r="A683" s="323" t="str">
        <f>IF(B683&lt;&gt;"",IF(AND(B683='IN-TC'!$S$4,OR(TH!N683="1111",TH!O683="1111")),TH!D683,""),"")</f>
        <v/>
      </c>
      <c r="B683" s="63">
        <f t="shared" si="45"/>
        <v>12</v>
      </c>
      <c r="C683" s="90">
        <v>42713</v>
      </c>
      <c r="D683" s="90" t="s">
        <v>2328</v>
      </c>
      <c r="E683" s="90">
        <f t="shared" si="49"/>
        <v>42713</v>
      </c>
      <c r="F683" s="91" t="s">
        <v>455</v>
      </c>
      <c r="G683" s="1089" t="s">
        <v>2493</v>
      </c>
      <c r="H683" s="937" t="s">
        <v>1887</v>
      </c>
      <c r="I683" s="414">
        <v>156351</v>
      </c>
      <c r="J683" s="414">
        <v>62704.859704859999</v>
      </c>
      <c r="K683" s="405"/>
      <c r="L683" s="414"/>
      <c r="M683" s="93">
        <f t="shared" ref="M683:M699" si="50">ROUND(I683*J683,0)</f>
        <v>9803967520</v>
      </c>
      <c r="N683" s="83" t="s">
        <v>288</v>
      </c>
      <c r="O683" s="83" t="s">
        <v>278</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customHeight="1">
      <c r="A684" s="323" t="str">
        <f>IF(B684&lt;&gt;"",IF(AND(B684='IN-TC'!$S$4,OR(TH!N684="1111",TH!O684="1111")),TH!D684,""),"")</f>
        <v/>
      </c>
      <c r="B684" s="63">
        <f t="shared" si="45"/>
        <v>12</v>
      </c>
      <c r="C684" s="90">
        <v>42716</v>
      </c>
      <c r="D684" s="90" t="s">
        <v>2363</v>
      </c>
      <c r="E684" s="90">
        <f t="shared" si="49"/>
        <v>42716</v>
      </c>
      <c r="F684" s="91" t="s">
        <v>455</v>
      </c>
      <c r="G684" s="1089" t="s">
        <v>2525</v>
      </c>
      <c r="H684" s="937" t="s">
        <v>1887</v>
      </c>
      <c r="I684" s="414">
        <v>52000</v>
      </c>
      <c r="J684" s="414">
        <v>59617.829576304597</v>
      </c>
      <c r="K684" s="405"/>
      <c r="L684" s="414"/>
      <c r="M684" s="93">
        <f t="shared" si="50"/>
        <v>3100127138</v>
      </c>
      <c r="N684" s="83" t="s">
        <v>288</v>
      </c>
      <c r="O684" s="83" t="s">
        <v>278</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customHeight="1">
      <c r="A685" s="323" t="str">
        <f>IF(B685&lt;&gt;"",IF(AND(B685='IN-TC'!$S$4,OR(TH!N685="1111",TH!O685="1111")),TH!D685,""),"")</f>
        <v/>
      </c>
      <c r="B685" s="63">
        <f t="shared" si="45"/>
        <v>12</v>
      </c>
      <c r="C685" s="90">
        <v>42716</v>
      </c>
      <c r="D685" s="90" t="s">
        <v>2363</v>
      </c>
      <c r="E685" s="90">
        <f t="shared" si="49"/>
        <v>42716</v>
      </c>
      <c r="F685" s="91" t="s">
        <v>455</v>
      </c>
      <c r="G685" s="1089" t="s">
        <v>2525</v>
      </c>
      <c r="H685" s="937" t="s">
        <v>1887</v>
      </c>
      <c r="I685" s="414">
        <v>26000</v>
      </c>
      <c r="J685" s="414">
        <v>66416.300584615397</v>
      </c>
      <c r="K685" s="405"/>
      <c r="L685" s="414"/>
      <c r="M685" s="93">
        <f t="shared" si="50"/>
        <v>1726823815</v>
      </c>
      <c r="N685" s="83" t="s">
        <v>288</v>
      </c>
      <c r="O685" s="83" t="s">
        <v>278</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customHeight="1">
      <c r="A686" s="323" t="str">
        <f>IF(B686&lt;&gt;"",IF(AND(B686='IN-TC'!$S$4,OR(TH!N686="1111",TH!O686="1111")),TH!D686,""),"")</f>
        <v/>
      </c>
      <c r="B686" s="63">
        <f t="shared" ref="B686:B749" si="51">IF(C686&lt;&gt;"",MONTH(C686),"")</f>
        <v>12</v>
      </c>
      <c r="C686" s="90">
        <v>42716</v>
      </c>
      <c r="D686" s="90" t="s">
        <v>2363</v>
      </c>
      <c r="E686" s="90">
        <f t="shared" si="49"/>
        <v>42716</v>
      </c>
      <c r="F686" s="91" t="s">
        <v>455</v>
      </c>
      <c r="G686" s="1089" t="s">
        <v>2525</v>
      </c>
      <c r="H686" s="937" t="s">
        <v>1887</v>
      </c>
      <c r="I686" s="414">
        <v>26000</v>
      </c>
      <c r="J686" s="414">
        <v>62704.859704859999</v>
      </c>
      <c r="K686" s="405"/>
      <c r="L686" s="414"/>
      <c r="M686" s="93">
        <f t="shared" si="50"/>
        <v>1630326352</v>
      </c>
      <c r="N686" s="83" t="s">
        <v>288</v>
      </c>
      <c r="O686" s="83" t="s">
        <v>278</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customHeight="1">
      <c r="A687" s="323" t="str">
        <f>IF(B687&lt;&gt;"",IF(AND(B687='IN-TC'!$S$4,OR(TH!N687="1111",TH!O687="1111")),TH!D687,""),"")</f>
        <v/>
      </c>
      <c r="B687" s="63">
        <f t="shared" si="51"/>
        <v>12</v>
      </c>
      <c r="C687" s="90">
        <v>42720</v>
      </c>
      <c r="D687" s="90" t="s">
        <v>2367</v>
      </c>
      <c r="E687" s="90">
        <f t="shared" si="49"/>
        <v>42720</v>
      </c>
      <c r="F687" s="91" t="s">
        <v>455</v>
      </c>
      <c r="G687" s="1089" t="s">
        <v>2526</v>
      </c>
      <c r="H687" s="937" t="s">
        <v>1887</v>
      </c>
      <c r="I687" s="1203">
        <v>73402.5</v>
      </c>
      <c r="J687" s="414">
        <v>59617.829576304597</v>
      </c>
      <c r="K687" s="405"/>
      <c r="L687" s="414"/>
      <c r="M687" s="93">
        <f t="shared" si="50"/>
        <v>4376097735</v>
      </c>
      <c r="N687" s="83" t="s">
        <v>288</v>
      </c>
      <c r="O687" s="83" t="s">
        <v>278</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customHeight="1">
      <c r="A688" s="323" t="str">
        <f>IF(B688&lt;&gt;"",IF(AND(B688='IN-TC'!$S$4,OR(TH!N688="1111",TH!O688="1111")),TH!D688,""),"")</f>
        <v/>
      </c>
      <c r="B688" s="63">
        <f t="shared" si="51"/>
        <v>12</v>
      </c>
      <c r="C688" s="90">
        <v>42720</v>
      </c>
      <c r="D688" s="90" t="s">
        <v>2367</v>
      </c>
      <c r="E688" s="90">
        <f t="shared" si="49"/>
        <v>42720</v>
      </c>
      <c r="F688" s="91" t="s">
        <v>455</v>
      </c>
      <c r="G688" s="1089" t="s">
        <v>2526</v>
      </c>
      <c r="H688" s="937" t="s">
        <v>1887</v>
      </c>
      <c r="I688" s="414">
        <v>52000</v>
      </c>
      <c r="J688" s="414">
        <v>66416.300584615397</v>
      </c>
      <c r="K688" s="405"/>
      <c r="L688" s="414"/>
      <c r="M688" s="93">
        <f t="shared" si="50"/>
        <v>3453647630</v>
      </c>
      <c r="N688" s="83" t="s">
        <v>288</v>
      </c>
      <c r="O688" s="83" t="s">
        <v>278</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customHeight="1">
      <c r="A689" s="323" t="str">
        <f>IF(B689&lt;&gt;"",IF(AND(B689='IN-TC'!$S$4,OR(TH!N689="1111",TH!O689="1111")),TH!D689,""),"")</f>
        <v/>
      </c>
      <c r="B689" s="63">
        <f t="shared" si="51"/>
        <v>12</v>
      </c>
      <c r="C689" s="90">
        <v>42720</v>
      </c>
      <c r="D689" s="90" t="s">
        <v>2367</v>
      </c>
      <c r="E689" s="90">
        <f t="shared" si="49"/>
        <v>42720</v>
      </c>
      <c r="F689" s="91" t="s">
        <v>455</v>
      </c>
      <c r="G689" s="1089" t="s">
        <v>2526</v>
      </c>
      <c r="H689" s="937" t="s">
        <v>1887</v>
      </c>
      <c r="I689" s="1203">
        <v>30597.5</v>
      </c>
      <c r="J689" s="414">
        <v>62704.859704859999</v>
      </c>
      <c r="K689" s="405"/>
      <c r="L689" s="414"/>
      <c r="M689" s="93">
        <f t="shared" si="50"/>
        <v>1918611945</v>
      </c>
      <c r="N689" s="83" t="s">
        <v>288</v>
      </c>
      <c r="O689" s="83" t="s">
        <v>278</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customHeight="1">
      <c r="A690" s="323" t="str">
        <f>IF(B690&lt;&gt;"",IF(AND(B690='IN-TC'!$S$4,OR(TH!N690="1111",TH!O690="1111")),TH!D690,""),"")</f>
        <v/>
      </c>
      <c r="B690" s="63">
        <f t="shared" si="51"/>
        <v>12</v>
      </c>
      <c r="C690" s="90">
        <v>42723</v>
      </c>
      <c r="D690" s="90" t="s">
        <v>2550</v>
      </c>
      <c r="E690" s="90">
        <f t="shared" si="49"/>
        <v>42723</v>
      </c>
      <c r="F690" s="91" t="s">
        <v>455</v>
      </c>
      <c r="G690" s="1089" t="s">
        <v>2532</v>
      </c>
      <c r="H690" s="937" t="s">
        <v>1887</v>
      </c>
      <c r="I690" s="414">
        <v>70759</v>
      </c>
      <c r="J690" s="414">
        <v>59617.829576304597</v>
      </c>
      <c r="K690" s="405"/>
      <c r="L690" s="414"/>
      <c r="M690" s="93">
        <f t="shared" si="50"/>
        <v>4218498003</v>
      </c>
      <c r="N690" s="83" t="s">
        <v>288</v>
      </c>
      <c r="O690" s="83" t="s">
        <v>278</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customHeight="1">
      <c r="A691" s="323" t="str">
        <f>IF(B691&lt;&gt;"",IF(AND(B691='IN-TC'!$S$4,OR(TH!N691="1111",TH!O691="1111")),TH!D691,""),"")</f>
        <v/>
      </c>
      <c r="B691" s="63">
        <f t="shared" si="51"/>
        <v>12</v>
      </c>
      <c r="C691" s="90">
        <v>42723</v>
      </c>
      <c r="D691" s="90" t="s">
        <v>2550</v>
      </c>
      <c r="E691" s="90">
        <f t="shared" si="49"/>
        <v>42723</v>
      </c>
      <c r="F691" s="91" t="s">
        <v>455</v>
      </c>
      <c r="G691" s="1089" t="s">
        <v>2532</v>
      </c>
      <c r="H691" s="937" t="s">
        <v>1887</v>
      </c>
      <c r="I691" s="414">
        <v>26000</v>
      </c>
      <c r="J691" s="414">
        <v>66416.300584615397</v>
      </c>
      <c r="K691" s="405"/>
      <c r="L691" s="414"/>
      <c r="M691" s="93">
        <f t="shared" si="50"/>
        <v>1726823815</v>
      </c>
      <c r="N691" s="83" t="s">
        <v>288</v>
      </c>
      <c r="O691" s="83" t="s">
        <v>278</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customHeight="1">
      <c r="A692" s="323" t="str">
        <f>IF(B692&lt;&gt;"",IF(AND(B692='IN-TC'!$S$4,OR(TH!N692="1111",TH!O692="1111")),TH!D692,""),"")</f>
        <v/>
      </c>
      <c r="B692" s="63">
        <f t="shared" si="51"/>
        <v>12</v>
      </c>
      <c r="C692" s="90">
        <v>42723</v>
      </c>
      <c r="D692" s="90" t="s">
        <v>2550</v>
      </c>
      <c r="E692" s="90">
        <f t="shared" si="49"/>
        <v>42723</v>
      </c>
      <c r="F692" s="91" t="s">
        <v>455</v>
      </c>
      <c r="G692" s="1089" t="s">
        <v>2532</v>
      </c>
      <c r="H692" s="937" t="s">
        <v>1887</v>
      </c>
      <c r="I692" s="414">
        <v>61581</v>
      </c>
      <c r="J692" s="414">
        <v>62704.859704859999</v>
      </c>
      <c r="K692" s="405"/>
      <c r="L692" s="414"/>
      <c r="M692" s="93">
        <f t="shared" si="50"/>
        <v>3861427965</v>
      </c>
      <c r="N692" s="83" t="s">
        <v>288</v>
      </c>
      <c r="O692" s="83" t="s">
        <v>278</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customHeight="1">
      <c r="A693" s="1170" t="str">
        <f>IF(B693&lt;&gt;"",IF(AND(B693='IN-TC'!$S$4,OR(TH!N693="1111",TH!O693="1111")),TH!D693,""),"")</f>
        <v/>
      </c>
      <c r="B693" s="1199">
        <f t="shared" si="51"/>
        <v>12</v>
      </c>
      <c r="C693" s="90">
        <v>42725</v>
      </c>
      <c r="D693" s="90" t="s">
        <v>2674</v>
      </c>
      <c r="E693" s="90">
        <f t="shared" si="49"/>
        <v>42725</v>
      </c>
      <c r="F693" s="91" t="s">
        <v>435</v>
      </c>
      <c r="G693" s="91"/>
      <c r="H693" s="937" t="s">
        <v>2718</v>
      </c>
      <c r="I693" s="414">
        <v>2639</v>
      </c>
      <c r="J693" s="414">
        <v>127254.02728306199</v>
      </c>
      <c r="K693" s="405"/>
      <c r="L693" s="414"/>
      <c r="M693" s="1133">
        <f t="shared" si="50"/>
        <v>335823378</v>
      </c>
      <c r="N693" s="1134" t="s">
        <v>288</v>
      </c>
      <c r="O693" s="1134" t="s">
        <v>278</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customHeight="1">
      <c r="A694" s="1170" t="str">
        <f>IF(B694&lt;&gt;"",IF(AND(B694='IN-TC'!$S$4,OR(TH!N694="1111",TH!O694="1111")),TH!D694,""),"")</f>
        <v/>
      </c>
      <c r="B694" s="1199">
        <f t="shared" si="51"/>
        <v>12</v>
      </c>
      <c r="C694" s="90">
        <v>42725</v>
      </c>
      <c r="D694" s="90" t="s">
        <v>2674</v>
      </c>
      <c r="E694" s="90">
        <f t="shared" ref="E694:E707" si="52">C694</f>
        <v>42725</v>
      </c>
      <c r="F694" s="91" t="s">
        <v>2364</v>
      </c>
      <c r="G694" s="91"/>
      <c r="H694" s="937" t="s">
        <v>2718</v>
      </c>
      <c r="I694" s="414">
        <v>1935</v>
      </c>
      <c r="J694" s="414">
        <v>141769.70705603788</v>
      </c>
      <c r="K694" s="405"/>
      <c r="L694" s="414"/>
      <c r="M694" s="1133">
        <f t="shared" si="50"/>
        <v>274324383</v>
      </c>
      <c r="N694" s="1134" t="s">
        <v>288</v>
      </c>
      <c r="O694" s="1134" t="s">
        <v>278</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customHeight="1">
      <c r="A695" s="1170" t="str">
        <f>IF(B695&lt;&gt;"",IF(AND(B695='IN-TC'!$S$4,OR(TH!N695="1111",TH!O695="1111")),TH!D695,""),"")</f>
        <v/>
      </c>
      <c r="B695" s="1199">
        <f t="shared" si="51"/>
        <v>12</v>
      </c>
      <c r="C695" s="90">
        <v>42725</v>
      </c>
      <c r="D695" s="90" t="s">
        <v>2674</v>
      </c>
      <c r="E695" s="90">
        <f t="shared" si="52"/>
        <v>42725</v>
      </c>
      <c r="F695" s="91" t="s">
        <v>2716</v>
      </c>
      <c r="G695" s="91"/>
      <c r="H695" s="937" t="s">
        <v>2718</v>
      </c>
      <c r="I695" s="414">
        <v>122</v>
      </c>
      <c r="J695" s="414">
        <v>140000</v>
      </c>
      <c r="K695" s="405"/>
      <c r="L695" s="414"/>
      <c r="M695" s="1133">
        <f t="shared" si="50"/>
        <v>17080000</v>
      </c>
      <c r="N695" s="1134" t="s">
        <v>288</v>
      </c>
      <c r="O695" s="1134" t="s">
        <v>278</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customHeight="1">
      <c r="A696" s="1170" t="str">
        <f>IF(B696&lt;&gt;"",IF(AND(B696='IN-TC'!$S$4,OR(TH!N696="1111",TH!O696="1111")),TH!D696,""),"")</f>
        <v/>
      </c>
      <c r="B696" s="1199">
        <f t="shared" si="51"/>
        <v>12</v>
      </c>
      <c r="C696" s="90">
        <v>42725</v>
      </c>
      <c r="D696" s="90" t="s">
        <v>2674</v>
      </c>
      <c r="E696" s="90">
        <f t="shared" si="52"/>
        <v>42725</v>
      </c>
      <c r="F696" s="91" t="s">
        <v>2716</v>
      </c>
      <c r="G696" s="91"/>
      <c r="H696" s="937" t="s">
        <v>2718</v>
      </c>
      <c r="I696" s="414">
        <v>688</v>
      </c>
      <c r="J696" s="1256">
        <v>89771.601744186002</v>
      </c>
      <c r="K696" s="405"/>
      <c r="L696" s="414"/>
      <c r="M696" s="1133">
        <f t="shared" si="50"/>
        <v>61762862</v>
      </c>
      <c r="N696" s="1134" t="s">
        <v>288</v>
      </c>
      <c r="O696" s="1134" t="s">
        <v>278</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customHeight="1">
      <c r="A697" s="323" t="str">
        <f>IF(B697&lt;&gt;"",IF(AND(B697='IN-TC'!$S$4,OR(TH!N697="1111",TH!O697="1111")),TH!D697,""),"")</f>
        <v/>
      </c>
      <c r="B697" s="63">
        <f t="shared" si="51"/>
        <v>12</v>
      </c>
      <c r="C697" s="90">
        <v>42727</v>
      </c>
      <c r="D697" s="90" t="s">
        <v>2676</v>
      </c>
      <c r="E697" s="90">
        <f t="shared" si="52"/>
        <v>42727</v>
      </c>
      <c r="F697" s="91" t="s">
        <v>455</v>
      </c>
      <c r="G697" s="1089" t="s">
        <v>2675</v>
      </c>
      <c r="H697" s="937" t="s">
        <v>1887</v>
      </c>
      <c r="I697" s="414">
        <v>98592</v>
      </c>
      <c r="J697" s="414">
        <v>59617.829576304597</v>
      </c>
      <c r="K697" s="405"/>
      <c r="L697" s="414"/>
      <c r="M697" s="93">
        <f t="shared" si="50"/>
        <v>5877841054</v>
      </c>
      <c r="N697" s="83" t="s">
        <v>288</v>
      </c>
      <c r="O697" s="83" t="s">
        <v>278</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customHeight="1">
      <c r="A698" s="323" t="str">
        <f>IF(B698&lt;&gt;"",IF(AND(B698='IN-TC'!$S$4,OR(TH!N698="1111",TH!O698="1111")),TH!D698,""),"")</f>
        <v/>
      </c>
      <c r="B698" s="63">
        <f t="shared" si="51"/>
        <v>12</v>
      </c>
      <c r="C698" s="90">
        <v>42727</v>
      </c>
      <c r="D698" s="90" t="s">
        <v>2676</v>
      </c>
      <c r="E698" s="90">
        <f t="shared" si="52"/>
        <v>42727</v>
      </c>
      <c r="F698" s="91" t="s">
        <v>455</v>
      </c>
      <c r="G698" s="1089" t="s">
        <v>2675</v>
      </c>
      <c r="H698" s="937" t="s">
        <v>1887</v>
      </c>
      <c r="I698" s="414">
        <v>60504</v>
      </c>
      <c r="J698" s="414">
        <v>62704.859704859999</v>
      </c>
      <c r="K698" s="405"/>
      <c r="L698" s="414"/>
      <c r="M698" s="93">
        <f t="shared" si="50"/>
        <v>3793894832</v>
      </c>
      <c r="N698" s="83" t="s">
        <v>288</v>
      </c>
      <c r="O698" s="83" t="s">
        <v>278</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customHeight="1">
      <c r="A699" s="323" t="str">
        <f>IF(B699&lt;&gt;"",IF(AND(B699='IN-TC'!$S$4,OR(TH!N699="1111",TH!O699="1111")),TH!D699,""),"")</f>
        <v/>
      </c>
      <c r="B699" s="63">
        <f t="shared" si="51"/>
        <v>12</v>
      </c>
      <c r="C699" s="90">
        <v>42727</v>
      </c>
      <c r="D699" s="90" t="s">
        <v>2706</v>
      </c>
      <c r="E699" s="90">
        <f t="shared" si="52"/>
        <v>42727</v>
      </c>
      <c r="F699" s="91" t="s">
        <v>2541</v>
      </c>
      <c r="G699" s="91" t="s">
        <v>2906</v>
      </c>
      <c r="H699" s="937" t="s">
        <v>2543</v>
      </c>
      <c r="I699" s="405">
        <v>162.30000000000001</v>
      </c>
      <c r="J699" s="414">
        <v>132239.78026905801</v>
      </c>
      <c r="K699" s="405"/>
      <c r="L699" s="414"/>
      <c r="M699" s="93">
        <f t="shared" si="50"/>
        <v>21462516</v>
      </c>
      <c r="N699" s="83" t="s">
        <v>288</v>
      </c>
      <c r="O699" s="83" t="s">
        <v>278</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customHeight="1">
      <c r="A700" s="323" t="str">
        <f>IF(B700&lt;&gt;"",IF(AND(B700='IN-TC'!$S$4,OR(TH!N700="1111",TH!O700="1111")),TH!D700,""),"")</f>
        <v/>
      </c>
      <c r="B700" s="63">
        <f t="shared" si="51"/>
        <v>12</v>
      </c>
      <c r="C700" s="90">
        <v>42727</v>
      </c>
      <c r="D700" s="90" t="s">
        <v>2706</v>
      </c>
      <c r="E700" s="90">
        <f t="shared" si="52"/>
        <v>42727</v>
      </c>
      <c r="F700" s="91" t="s">
        <v>2534</v>
      </c>
      <c r="G700" s="91" t="s">
        <v>2906</v>
      </c>
      <c r="H700" s="937" t="s">
        <v>2543</v>
      </c>
      <c r="I700" s="405">
        <v>30</v>
      </c>
      <c r="J700" s="414">
        <v>212498.363636364</v>
      </c>
      <c r="K700" s="405"/>
      <c r="L700" s="414"/>
      <c r="M700" s="93">
        <f>ROUND(I700*J700,0)-1</f>
        <v>6374950</v>
      </c>
      <c r="N700" s="83" t="s">
        <v>288</v>
      </c>
      <c r="O700" s="83" t="s">
        <v>278</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customHeight="1">
      <c r="A701" s="323" t="str">
        <f>IF(B701&lt;&gt;"",IF(AND(B701='IN-TC'!$S$4,OR(TH!N701="1111",TH!O701="1111")),TH!D701,""),"")</f>
        <v/>
      </c>
      <c r="B701" s="63">
        <f t="shared" si="51"/>
        <v>12</v>
      </c>
      <c r="C701" s="90">
        <v>42727</v>
      </c>
      <c r="D701" s="90" t="s">
        <v>2706</v>
      </c>
      <c r="E701" s="90">
        <f t="shared" si="52"/>
        <v>42727</v>
      </c>
      <c r="F701" s="91" t="s">
        <v>2538</v>
      </c>
      <c r="G701" s="91" t="s">
        <v>2906</v>
      </c>
      <c r="H701" s="937" t="s">
        <v>2543</v>
      </c>
      <c r="I701" s="405">
        <v>10</v>
      </c>
      <c r="J701" s="414">
        <v>93477.266666666706</v>
      </c>
      <c r="K701" s="405"/>
      <c r="L701" s="414"/>
      <c r="M701" s="93">
        <f>ROUND(I701*J701,0)-1</f>
        <v>934772</v>
      </c>
      <c r="N701" s="83" t="s">
        <v>288</v>
      </c>
      <c r="O701" s="83" t="s">
        <v>278</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customHeight="1">
      <c r="A702" s="323" t="str">
        <f>IF(B702&lt;&gt;"",IF(AND(B702='IN-TC'!$S$4,OR(TH!N702="1111",TH!O702="1111")),TH!D702,""),"")</f>
        <v/>
      </c>
      <c r="B702" s="63">
        <f t="shared" si="51"/>
        <v>12</v>
      </c>
      <c r="C702" s="90">
        <v>42727</v>
      </c>
      <c r="D702" s="90" t="s">
        <v>2706</v>
      </c>
      <c r="E702" s="90">
        <f t="shared" si="52"/>
        <v>42727</v>
      </c>
      <c r="F702" s="91" t="s">
        <v>2905</v>
      </c>
      <c r="G702" s="91" t="s">
        <v>2906</v>
      </c>
      <c r="H702" s="937" t="s">
        <v>2543</v>
      </c>
      <c r="I702" s="405">
        <v>55</v>
      </c>
      <c r="J702" s="414">
        <v>132226.29203539799</v>
      </c>
      <c r="K702" s="405"/>
      <c r="L702" s="414"/>
      <c r="M702" s="93">
        <f>ROUND(I702*J702,0)</f>
        <v>7272446</v>
      </c>
      <c r="N702" s="83" t="s">
        <v>288</v>
      </c>
      <c r="O702" s="83" t="s">
        <v>278</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customHeight="1">
      <c r="A703" s="323" t="str">
        <f>IF(B703&lt;&gt;"",IF(AND(B703='IN-TC'!$S$4,OR(TH!N703="1111",TH!O703="1111")),TH!D703,""),"")</f>
        <v/>
      </c>
      <c r="B703" s="63">
        <f t="shared" si="51"/>
        <v>12</v>
      </c>
      <c r="C703" s="90">
        <v>42727</v>
      </c>
      <c r="D703" s="90" t="s">
        <v>2706</v>
      </c>
      <c r="E703" s="90">
        <f t="shared" si="52"/>
        <v>42727</v>
      </c>
      <c r="F703" s="91" t="s">
        <v>2905</v>
      </c>
      <c r="G703" s="91" t="s">
        <v>2906</v>
      </c>
      <c r="H703" s="937" t="s">
        <v>2543</v>
      </c>
      <c r="I703" s="405">
        <v>58</v>
      </c>
      <c r="J703" s="414">
        <v>132226.29203539799</v>
      </c>
      <c r="K703" s="405"/>
      <c r="L703" s="414"/>
      <c r="M703" s="93">
        <f>ROUND(I703*J703,0)</f>
        <v>7669125</v>
      </c>
      <c r="N703" s="83" t="s">
        <v>288</v>
      </c>
      <c r="O703" s="83" t="s">
        <v>278</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customHeight="1">
      <c r="A704" s="1170" t="str">
        <f>IF(B704&lt;&gt;"",IF(AND(B704='IN-TC'!$S$4,OR(TH!N704="1111",TH!O704="1111")),TH!D704,""),"")</f>
        <v/>
      </c>
      <c r="B704" s="1199">
        <f t="shared" si="51"/>
        <v>12</v>
      </c>
      <c r="C704" s="90">
        <v>42730</v>
      </c>
      <c r="D704" s="90" t="s">
        <v>2715</v>
      </c>
      <c r="E704" s="90">
        <f t="shared" si="52"/>
        <v>42730</v>
      </c>
      <c r="F704" s="91" t="s">
        <v>1771</v>
      </c>
      <c r="G704" s="1089"/>
      <c r="H704" s="937" t="s">
        <v>1751</v>
      </c>
      <c r="I704" s="414">
        <v>2500</v>
      </c>
      <c r="J704" s="414">
        <v>226987.81959999999</v>
      </c>
      <c r="K704" s="405"/>
      <c r="L704" s="414"/>
      <c r="M704" s="93">
        <f>ROUND(I704*J704,0)</f>
        <v>567469549</v>
      </c>
      <c r="N704" s="83" t="s">
        <v>288</v>
      </c>
      <c r="O704" s="83" t="s">
        <v>278</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customHeight="1">
      <c r="A705" s="323" t="str">
        <f>IF(B705&lt;&gt;"",IF(AND(B705='IN-TC'!$S$4,OR(TH!N705="1111",TH!O705="1111")),TH!D705,""),"")</f>
        <v/>
      </c>
      <c r="B705" s="63">
        <f t="shared" si="51"/>
        <v>12</v>
      </c>
      <c r="C705" s="90">
        <v>42731</v>
      </c>
      <c r="D705" s="90" t="s">
        <v>2722</v>
      </c>
      <c r="E705" s="90">
        <f t="shared" si="52"/>
        <v>42731</v>
      </c>
      <c r="F705" s="91" t="s">
        <v>455</v>
      </c>
      <c r="G705" s="1089" t="s">
        <v>2707</v>
      </c>
      <c r="H705" s="937" t="s">
        <v>1887</v>
      </c>
      <c r="I705" s="414">
        <v>79170</v>
      </c>
      <c r="J705" s="414">
        <v>59617.829576304597</v>
      </c>
      <c r="K705" s="405"/>
      <c r="L705" s="414"/>
      <c r="M705" s="93">
        <f>ROUND(I705*J705,0)</f>
        <v>4719943568</v>
      </c>
      <c r="N705" s="83" t="s">
        <v>288</v>
      </c>
      <c r="O705" s="83" t="s">
        <v>278</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customHeight="1">
      <c r="A706" s="323" t="str">
        <f>IF(B706&lt;&gt;"",IF(AND(B706='IN-TC'!$S$4,OR(TH!N706="1111",TH!O706="1111")),TH!D706,""),"")</f>
        <v/>
      </c>
      <c r="B706" s="63">
        <f t="shared" si="51"/>
        <v>12</v>
      </c>
      <c r="C706" s="90">
        <v>42731</v>
      </c>
      <c r="D706" s="90" t="s">
        <v>2722</v>
      </c>
      <c r="E706" s="90">
        <f t="shared" si="52"/>
        <v>42731</v>
      </c>
      <c r="F706" s="91" t="s">
        <v>455</v>
      </c>
      <c r="G706" s="1089" t="s">
        <v>2707</v>
      </c>
      <c r="H706" s="937" t="s">
        <v>1887</v>
      </c>
      <c r="I706" s="414">
        <v>79170</v>
      </c>
      <c r="J706" s="414">
        <v>62704.859704859999</v>
      </c>
      <c r="K706" s="405"/>
      <c r="L706" s="414"/>
      <c r="M706" s="93">
        <f>ROUND(I706*J706,0)+1</f>
        <v>4964343744</v>
      </c>
      <c r="N706" s="83" t="s">
        <v>288</v>
      </c>
      <c r="O706" s="83" t="s">
        <v>278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customHeight="1">
      <c r="A707" s="323" t="str">
        <f>IF(B707&lt;&gt;"",IF(AND(B707='IN-TC'!$S$4,OR(TH!N707="1111",TH!O707="1111")),TH!D707,""),"")</f>
        <v/>
      </c>
      <c r="B707" s="63">
        <f t="shared" si="51"/>
        <v>12</v>
      </c>
      <c r="C707" s="90">
        <v>42733</v>
      </c>
      <c r="D707" s="1087" t="s">
        <v>2795</v>
      </c>
      <c r="E707" s="90">
        <f t="shared" si="52"/>
        <v>42733</v>
      </c>
      <c r="F707" s="91" t="s">
        <v>455</v>
      </c>
      <c r="G707" s="1089" t="s">
        <v>2723</v>
      </c>
      <c r="H707" s="937" t="s">
        <v>1887</v>
      </c>
      <c r="I707" s="414">
        <v>52780</v>
      </c>
      <c r="J707" s="414">
        <v>59617.829576304597</v>
      </c>
      <c r="K707" s="405"/>
      <c r="L707" s="414"/>
      <c r="M707" s="93">
        <f>ROUND(I707*J707,0)</f>
        <v>3146629045</v>
      </c>
      <c r="N707" s="83" t="s">
        <v>288</v>
      </c>
      <c r="O707" s="83" t="s">
        <v>278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customHeight="1">
      <c r="A708" s="323" t="str">
        <f>IF(B708&lt;&gt;"",IF(AND(B708='IN-TC'!$S$4,OR(TH!N708="1111",TH!O708="1111")),TH!D708,""),"")</f>
        <v/>
      </c>
      <c r="B708" s="63">
        <f t="shared" si="51"/>
        <v>1</v>
      </c>
      <c r="C708" s="78">
        <f t="shared" ref="C708:C719" si="53">E708</f>
        <v>42374</v>
      </c>
      <c r="D708" s="78" t="s">
        <v>662</v>
      </c>
      <c r="E708" s="78">
        <v>42374</v>
      </c>
      <c r="F708" s="79" t="s">
        <v>341</v>
      </c>
      <c r="G708" s="934" t="s">
        <v>655</v>
      </c>
      <c r="H708" s="80" t="s">
        <v>660</v>
      </c>
      <c r="I708" s="406">
        <v>1000</v>
      </c>
      <c r="J708" s="406">
        <v>13571.429</v>
      </c>
      <c r="K708" s="397"/>
      <c r="L708" s="406"/>
      <c r="M708" s="81">
        <f>ROUND(I708*J708,0)</f>
        <v>13571429</v>
      </c>
      <c r="N708" s="82" t="s">
        <v>270</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customHeight="1">
      <c r="A709" s="323" t="str">
        <f>IF(B709&lt;&gt;"",IF(AND(B709='IN-TC'!$S$4,OR(TH!N709="1111",TH!O709="1111")),TH!D709,""),"")</f>
        <v/>
      </c>
      <c r="B709" s="63">
        <f t="shared" si="51"/>
        <v>1</v>
      </c>
      <c r="C709" s="78">
        <f t="shared" si="53"/>
        <v>42374</v>
      </c>
      <c r="D709" s="78" t="s">
        <v>662</v>
      </c>
      <c r="E709" s="78">
        <v>42374</v>
      </c>
      <c r="F709" s="79" t="s">
        <v>634</v>
      </c>
      <c r="G709" s="934" t="s">
        <v>655</v>
      </c>
      <c r="H709" s="80" t="s">
        <v>660</v>
      </c>
      <c r="I709" s="406"/>
      <c r="J709" s="406"/>
      <c r="K709" s="397"/>
      <c r="L709" s="406"/>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x</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customHeight="1">
      <c r="A710" s="323" t="str">
        <f>IF(B710&lt;&gt;"",IF(AND(B710='IN-TC'!$S$4,OR(TH!N710="1111",TH!O710="1111")),TH!D710,""),"")</f>
        <v/>
      </c>
      <c r="B710" s="63">
        <f t="shared" si="51"/>
        <v>1</v>
      </c>
      <c r="C710" s="78">
        <f t="shared" si="53"/>
        <v>42374</v>
      </c>
      <c r="D710" s="78" t="s">
        <v>663</v>
      </c>
      <c r="E710" s="78">
        <v>42374</v>
      </c>
      <c r="F710" s="79" t="s">
        <v>356</v>
      </c>
      <c r="G710" s="79" t="s">
        <v>657</v>
      </c>
      <c r="H710" s="80" t="s">
        <v>661</v>
      </c>
      <c r="I710" s="406">
        <v>1000</v>
      </c>
      <c r="J710" s="406">
        <v>33000</v>
      </c>
      <c r="K710" s="397"/>
      <c r="L710" s="406"/>
      <c r="M710" s="81">
        <f>ROUND(I710*J710,0)</f>
        <v>33000000</v>
      </c>
      <c r="N710" s="82" t="s">
        <v>270</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customHeight="1">
      <c r="A711" s="323" t="str">
        <f>IF(B711&lt;&gt;"",IF(AND(B711='IN-TC'!$S$4,OR(TH!N711="1111",TH!O711="1111")),TH!D711,""),"")</f>
        <v/>
      </c>
      <c r="B711" s="63">
        <f t="shared" si="51"/>
        <v>1</v>
      </c>
      <c r="C711" s="78">
        <f t="shared" si="53"/>
        <v>42374</v>
      </c>
      <c r="D711" s="78" t="s">
        <v>663</v>
      </c>
      <c r="E711" s="78">
        <v>42374</v>
      </c>
      <c r="F711" s="79" t="s">
        <v>635</v>
      </c>
      <c r="G711" s="79" t="s">
        <v>657</v>
      </c>
      <c r="H711" s="80" t="s">
        <v>661</v>
      </c>
      <c r="I711" s="406"/>
      <c r="J711" s="406"/>
      <c r="K711" s="397"/>
      <c r="L711" s="406"/>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x</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customHeight="1">
      <c r="A712" s="323" t="str">
        <f>IF(B712&lt;&gt;"",IF(AND(B712='IN-TC'!$S$4,OR(TH!N712="1111",TH!O712="1111")),TH!D712,""),"")</f>
        <v/>
      </c>
      <c r="B712" s="63">
        <f t="shared" si="51"/>
        <v>1</v>
      </c>
      <c r="C712" s="78">
        <f t="shared" si="53"/>
        <v>42375</v>
      </c>
      <c r="D712" s="78" t="s">
        <v>664</v>
      </c>
      <c r="E712" s="78">
        <v>42375</v>
      </c>
      <c r="F712" s="79" t="s">
        <v>349</v>
      </c>
      <c r="G712" s="934" t="s">
        <v>657</v>
      </c>
      <c r="H712" s="80" t="s">
        <v>611</v>
      </c>
      <c r="I712" s="406">
        <v>5400</v>
      </c>
      <c r="J712" s="406">
        <v>14400</v>
      </c>
      <c r="K712" s="397"/>
      <c r="L712" s="406"/>
      <c r="M712" s="81">
        <f>ROUND(I712*J712,0)</f>
        <v>77760000</v>
      </c>
      <c r="N712" s="82" t="s">
        <v>270</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customHeight="1">
      <c r="A713" s="323" t="str">
        <f>IF(B713&lt;&gt;"",IF(AND(B713='IN-TC'!$S$4,OR(TH!N713="1111",TH!O713="1111")),TH!D713,""),"")</f>
        <v/>
      </c>
      <c r="B713" s="63">
        <f t="shared" si="51"/>
        <v>1</v>
      </c>
      <c r="C713" s="78">
        <f t="shared" si="53"/>
        <v>42375</v>
      </c>
      <c r="D713" s="78" t="s">
        <v>664</v>
      </c>
      <c r="E713" s="78">
        <v>42375</v>
      </c>
      <c r="F713" s="79" t="s">
        <v>636</v>
      </c>
      <c r="G713" s="934" t="s">
        <v>657</v>
      </c>
      <c r="H713" s="80" t="s">
        <v>611</v>
      </c>
      <c r="I713" s="406"/>
      <c r="J713" s="406"/>
      <c r="K713" s="397"/>
      <c r="L713" s="406"/>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x</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customHeight="1">
      <c r="A714" s="323" t="str">
        <f>IF(B714&lt;&gt;"",IF(AND(B714='IN-TC'!$S$4,OR(TH!N714="1111",TH!O714="1111")),TH!D714,""),"")</f>
        <v/>
      </c>
      <c r="B714" s="63">
        <f t="shared" si="51"/>
        <v>1</v>
      </c>
      <c r="C714" s="78">
        <f t="shared" si="53"/>
        <v>42383</v>
      </c>
      <c r="D714" s="78" t="s">
        <v>665</v>
      </c>
      <c r="E714" s="78">
        <v>42383</v>
      </c>
      <c r="F714" s="79" t="s">
        <v>383</v>
      </c>
      <c r="G714" s="79" t="s">
        <v>658</v>
      </c>
      <c r="H714" s="80" t="s">
        <v>609</v>
      </c>
      <c r="I714" s="406">
        <v>1150</v>
      </c>
      <c r="J714" s="406">
        <v>12000</v>
      </c>
      <c r="K714" s="397"/>
      <c r="L714" s="406"/>
      <c r="M714" s="81">
        <f>ROUND(I714*J714,0)</f>
        <v>13800000</v>
      </c>
      <c r="N714" s="82" t="s">
        <v>270</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customHeight="1">
      <c r="A715" s="323" t="str">
        <f>IF(B715&lt;&gt;"",IF(AND(B715='IN-TC'!$S$4,OR(TH!N715="1111",TH!O715="1111")),TH!D715,""),"")</f>
        <v/>
      </c>
      <c r="B715" s="63">
        <f t="shared" si="51"/>
        <v>1</v>
      </c>
      <c r="C715" s="78">
        <f t="shared" si="53"/>
        <v>42383</v>
      </c>
      <c r="D715" s="78" t="s">
        <v>665</v>
      </c>
      <c r="E715" s="78">
        <v>42383</v>
      </c>
      <c r="F715" s="79" t="s">
        <v>385</v>
      </c>
      <c r="G715" s="79" t="s">
        <v>658</v>
      </c>
      <c r="H715" s="80" t="s">
        <v>609</v>
      </c>
      <c r="I715" s="406">
        <v>150</v>
      </c>
      <c r="J715" s="406">
        <v>9500</v>
      </c>
      <c r="K715" s="397"/>
      <c r="L715" s="406"/>
      <c r="M715" s="81">
        <f>ROUND(I715*J715,0)</f>
        <v>1425000</v>
      </c>
      <c r="N715" s="82" t="s">
        <v>270</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customHeight="1">
      <c r="A716" s="323" t="str">
        <f>IF(B716&lt;&gt;"",IF(AND(B716='IN-TC'!$S$4,OR(TH!N716="1111",TH!O716="1111")),TH!D716,""),"")</f>
        <v/>
      </c>
      <c r="B716" s="63">
        <f t="shared" si="51"/>
        <v>1</v>
      </c>
      <c r="C716" s="78">
        <f t="shared" si="53"/>
        <v>42383</v>
      </c>
      <c r="D716" s="78" t="s">
        <v>665</v>
      </c>
      <c r="E716" s="78">
        <v>42383</v>
      </c>
      <c r="F716" s="79" t="s">
        <v>387</v>
      </c>
      <c r="G716" s="79" t="s">
        <v>658</v>
      </c>
      <c r="H716" s="80" t="s">
        <v>609</v>
      </c>
      <c r="I716" s="406">
        <v>400</v>
      </c>
      <c r="J716" s="406">
        <v>17000</v>
      </c>
      <c r="K716" s="397"/>
      <c r="L716" s="406"/>
      <c r="M716" s="81">
        <f>ROUND(I716*J716,0)</f>
        <v>6800000</v>
      </c>
      <c r="N716" s="82" t="s">
        <v>270</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customHeight="1">
      <c r="A717" s="323" t="str">
        <f>IF(B717&lt;&gt;"",IF(AND(B717='IN-TC'!$S$4,OR(TH!N717="1111",TH!O717="1111")),TH!D717,""),"")</f>
        <v/>
      </c>
      <c r="B717" s="63">
        <f t="shared" si="51"/>
        <v>1</v>
      </c>
      <c r="C717" s="78">
        <f t="shared" si="53"/>
        <v>42383</v>
      </c>
      <c r="D717" s="78" t="s">
        <v>665</v>
      </c>
      <c r="E717" s="78">
        <v>42383</v>
      </c>
      <c r="F717" s="79" t="s">
        <v>1072</v>
      </c>
      <c r="G717" s="79" t="s">
        <v>658</v>
      </c>
      <c r="H717" s="80" t="s">
        <v>609</v>
      </c>
      <c r="I717" s="406">
        <v>400</v>
      </c>
      <c r="J717" s="406">
        <v>2500</v>
      </c>
      <c r="K717" s="397"/>
      <c r="L717" s="406"/>
      <c r="M717" s="81">
        <f>ROUND(I717*J717,0)</f>
        <v>1000000</v>
      </c>
      <c r="N717" s="82" t="s">
        <v>270</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customHeight="1">
      <c r="A718" s="323" t="str">
        <f>IF(B718&lt;&gt;"",IF(AND(B718='IN-TC'!$S$4,OR(TH!N718="1111",TH!O718="1111")),TH!D718,""),"")</f>
        <v/>
      </c>
      <c r="B718" s="63">
        <f t="shared" si="51"/>
        <v>1</v>
      </c>
      <c r="C718" s="78">
        <f t="shared" si="53"/>
        <v>42383</v>
      </c>
      <c r="D718" s="78" t="s">
        <v>665</v>
      </c>
      <c r="E718" s="78">
        <v>42383</v>
      </c>
      <c r="F718" s="79" t="s">
        <v>394</v>
      </c>
      <c r="G718" s="79" t="s">
        <v>658</v>
      </c>
      <c r="H718" s="80" t="s">
        <v>609</v>
      </c>
      <c r="I718" s="406">
        <v>620</v>
      </c>
      <c r="J718" s="406">
        <v>18300</v>
      </c>
      <c r="K718" s="397"/>
      <c r="L718" s="406"/>
      <c r="M718" s="81">
        <f>ROUND(I718*J718,0)</f>
        <v>11346000</v>
      </c>
      <c r="N718" s="82" t="s">
        <v>270</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customHeight="1">
      <c r="A719" s="323" t="str">
        <f>IF(B719&lt;&gt;"",IF(AND(B719='IN-TC'!$S$4,OR(TH!N719="1111",TH!O719="1111")),TH!D719,""),"")</f>
        <v/>
      </c>
      <c r="B719" s="63">
        <f t="shared" si="51"/>
        <v>1</v>
      </c>
      <c r="C719" s="78">
        <f t="shared" si="53"/>
        <v>42383</v>
      </c>
      <c r="D719" s="78" t="s">
        <v>665</v>
      </c>
      <c r="E719" s="78">
        <v>42383</v>
      </c>
      <c r="F719" s="79" t="s">
        <v>637</v>
      </c>
      <c r="G719" s="79" t="s">
        <v>658</v>
      </c>
      <c r="H719" s="80" t="s">
        <v>609</v>
      </c>
      <c r="I719" s="406"/>
      <c r="J719" s="406"/>
      <c r="K719" s="397"/>
      <c r="L719" s="406"/>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x</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customHeight="1">
      <c r="A720" s="323" t="str">
        <f>IF(B720&lt;&gt;"",IF(AND(B720='IN-TC'!$S$4,OR(TH!N2383="1111",TH!O2383="1111")),TH!D2383,""),"")</f>
        <v/>
      </c>
      <c r="B720" s="63">
        <f t="shared" si="51"/>
        <v>1</v>
      </c>
      <c r="C720" s="64">
        <v>42374</v>
      </c>
      <c r="D720" s="64" t="s">
        <v>865</v>
      </c>
      <c r="E720" s="64">
        <v>42374</v>
      </c>
      <c r="F720" s="67" t="s">
        <v>765</v>
      </c>
      <c r="G720" s="67" t="s">
        <v>655</v>
      </c>
      <c r="H720" s="72" t="s">
        <v>660</v>
      </c>
      <c r="I720" s="408"/>
      <c r="J720" s="408"/>
      <c r="K720" s="399"/>
      <c r="L720" s="408"/>
      <c r="M720" s="65">
        <v>14250000</v>
      </c>
      <c r="N720" s="66" t="s">
        <v>8</v>
      </c>
      <c r="O720" s="66" t="s">
        <v>61</v>
      </c>
      <c r="P720" s="82" t="str">
        <f>IF(AND('331-CT'!$E$7=TH!H720,OR(N720="331",O720="331")),"x","")</f>
        <v/>
      </c>
      <c r="Q720" s="82" t="str">
        <f>IF(AND(B720='111'!$L$11,OR($N720=$Q$7,$O720=$Q$7)),"x","")</f>
        <v/>
      </c>
      <c r="R720" s="82" t="str">
        <f>IF(AND($N720=$Q$7,$B720&lt;'111'!$L$11),"x","")</f>
        <v/>
      </c>
      <c r="S720" s="82" t="str">
        <f>IF(AND($O720=$Q$7,$B720&lt;'111'!$L$11),"x","")</f>
        <v>x</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0" ht="15.75" customHeight="1">
      <c r="A721" s="323" t="str">
        <f>IF(B721&lt;&gt;"",IF(AND(B721='IN-TC'!$S$4,OR(TH!N720="1111",TH!O720="1111")),TH!D720,""),"")</f>
        <v/>
      </c>
      <c r="B721" s="63">
        <f t="shared" si="51"/>
        <v>1</v>
      </c>
      <c r="C721" s="78">
        <f t="shared" ref="C721:C744" si="54">E721</f>
        <v>42387</v>
      </c>
      <c r="D721" s="78" t="s">
        <v>666</v>
      </c>
      <c r="E721" s="78">
        <v>42387</v>
      </c>
      <c r="F721" s="79" t="s">
        <v>341</v>
      </c>
      <c r="G721" s="934" t="s">
        <v>656</v>
      </c>
      <c r="H721" s="80" t="s">
        <v>660</v>
      </c>
      <c r="I721" s="406">
        <v>1000</v>
      </c>
      <c r="J721" s="406">
        <v>14523.81</v>
      </c>
      <c r="K721" s="397"/>
      <c r="L721" s="406"/>
      <c r="M721" s="81">
        <v>14523810</v>
      </c>
      <c r="N721" s="82" t="s">
        <v>270</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x</v>
      </c>
      <c r="AD721" s="82" t="str">
        <f>IF(AND(N721="1521",MONTH(C721)='BK-NL'!$M$11),"x","")</f>
        <v/>
      </c>
    </row>
    <row r="722" spans="1:30" ht="15.75" customHeight="1">
      <c r="A722" s="323" t="str">
        <f>IF(B722&lt;&gt;"",IF(AND(B722='IN-TC'!$S$4,OR(TH!N722="1111",TH!O722="1111")),TH!D722,""),"")</f>
        <v/>
      </c>
      <c r="B722" s="63">
        <f t="shared" si="51"/>
        <v>1</v>
      </c>
      <c r="C722" s="78">
        <f t="shared" si="54"/>
        <v>42391</v>
      </c>
      <c r="D722" s="78" t="s">
        <v>667</v>
      </c>
      <c r="E722" s="78">
        <v>42391</v>
      </c>
      <c r="F722" s="79" t="s">
        <v>638</v>
      </c>
      <c r="G722" s="79" t="s">
        <v>659</v>
      </c>
      <c r="H722" s="80" t="s">
        <v>1403</v>
      </c>
      <c r="I722" s="406">
        <v>2500</v>
      </c>
      <c r="J722" s="406">
        <v>14000</v>
      </c>
      <c r="K722" s="397"/>
      <c r="L722" s="406"/>
      <c r="M722" s="81">
        <v>35000000</v>
      </c>
      <c r="N722" s="82" t="s">
        <v>270</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customHeight="1">
      <c r="A723" s="323" t="str">
        <f>IF(B723&lt;&gt;"",IF(AND(B723='IN-TC'!$S$4,OR(TH!N723="1111",TH!O723="1111")),TH!D723,""),"")</f>
        <v/>
      </c>
      <c r="B723" s="63">
        <f t="shared" si="51"/>
        <v>1</v>
      </c>
      <c r="C723" s="78">
        <f t="shared" si="54"/>
        <v>42391</v>
      </c>
      <c r="D723" s="78" t="s">
        <v>667</v>
      </c>
      <c r="E723" s="78">
        <v>42391</v>
      </c>
      <c r="F723" s="79" t="s">
        <v>639</v>
      </c>
      <c r="G723" s="79" t="s">
        <v>659</v>
      </c>
      <c r="H723" s="80" t="s">
        <v>1403</v>
      </c>
      <c r="I723" s="406"/>
      <c r="J723" s="406"/>
      <c r="K723" s="397"/>
      <c r="L723" s="406"/>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x</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customHeight="1">
      <c r="A724" s="323" t="str">
        <f>IF(B724&lt;&gt;"",IF(AND(B724='IN-TC'!$S$4,OR(TH!N724="1111",TH!O724="1111")),TH!D724,""),"")</f>
        <v/>
      </c>
      <c r="B724" s="63">
        <f t="shared" si="51"/>
        <v>1</v>
      </c>
      <c r="C724" s="64">
        <f t="shared" si="54"/>
        <v>42371</v>
      </c>
      <c r="D724" s="64" t="s">
        <v>671</v>
      </c>
      <c r="E724" s="64">
        <v>42371</v>
      </c>
      <c r="F724" s="67" t="s">
        <v>332</v>
      </c>
      <c r="G724" s="931"/>
      <c r="H724" s="72" t="s">
        <v>439</v>
      </c>
      <c r="I724" s="408">
        <v>100</v>
      </c>
      <c r="J724" s="408">
        <v>35444.444444444445</v>
      </c>
      <c r="K724" s="399"/>
      <c r="L724" s="408"/>
      <c r="M724" s="65">
        <f t="shared" ref="M724:M729" si="55">ROUND(I724*J724,0)</f>
        <v>3544444</v>
      </c>
      <c r="N724" s="66" t="s">
        <v>276</v>
      </c>
      <c r="O724" s="66" t="s">
        <v>270</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customHeight="1">
      <c r="A725" s="323" t="str">
        <f>IF(B725&lt;&gt;"",IF(AND(B725='IN-TC'!$S$4,OR(TH!N725="1111",TH!O725="1111")),TH!D725,""),"")</f>
        <v/>
      </c>
      <c r="B725" s="63">
        <f t="shared" si="51"/>
        <v>1</v>
      </c>
      <c r="C725" s="64">
        <f t="shared" si="54"/>
        <v>42371</v>
      </c>
      <c r="D725" s="64" t="s">
        <v>671</v>
      </c>
      <c r="E725" s="64">
        <v>42371</v>
      </c>
      <c r="F725" s="67" t="s">
        <v>338</v>
      </c>
      <c r="G725" s="931"/>
      <c r="H725" s="72" t="s">
        <v>439</v>
      </c>
      <c r="I725" s="408">
        <v>20</v>
      </c>
      <c r="J725" s="408">
        <v>46741.2</v>
      </c>
      <c r="K725" s="399"/>
      <c r="L725" s="408"/>
      <c r="M725" s="65">
        <f t="shared" si="55"/>
        <v>934824</v>
      </c>
      <c r="N725" s="66" t="s">
        <v>276</v>
      </c>
      <c r="O725" s="66" t="s">
        <v>270</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customHeight="1">
      <c r="A726" s="323" t="str">
        <f>IF(B726&lt;&gt;"",IF(AND(B726='IN-TC'!$S$4,OR(TH!N726="1111",TH!O726="1111")),TH!D726,""),"")</f>
        <v/>
      </c>
      <c r="B726" s="63">
        <f t="shared" si="51"/>
        <v>1</v>
      </c>
      <c r="C726" s="64">
        <f t="shared" si="54"/>
        <v>42371</v>
      </c>
      <c r="D726" s="64" t="s">
        <v>671</v>
      </c>
      <c r="E726" s="64">
        <v>42371</v>
      </c>
      <c r="F726" s="67" t="s">
        <v>341</v>
      </c>
      <c r="G726" s="67"/>
      <c r="H726" s="72" t="s">
        <v>439</v>
      </c>
      <c r="I726" s="408">
        <v>150</v>
      </c>
      <c r="J726" s="408">
        <v>11666.673333333334</v>
      </c>
      <c r="K726" s="399"/>
      <c r="L726" s="408"/>
      <c r="M726" s="65">
        <f t="shared" si="55"/>
        <v>1750001</v>
      </c>
      <c r="N726" s="66" t="s">
        <v>276</v>
      </c>
      <c r="O726" s="66" t="s">
        <v>270</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customHeight="1">
      <c r="A727" s="323" t="str">
        <f>IF(B727&lt;&gt;"",IF(AND(B727='IN-TC'!$S$4,OR(TH!N727="1111",TH!O727="1111")),TH!D727,""),"")</f>
        <v/>
      </c>
      <c r="B727" s="63">
        <f t="shared" si="51"/>
        <v>1</v>
      </c>
      <c r="C727" s="64">
        <f t="shared" si="54"/>
        <v>42376</v>
      </c>
      <c r="D727" s="64" t="s">
        <v>672</v>
      </c>
      <c r="E727" s="64">
        <v>42376</v>
      </c>
      <c r="F727" s="67" t="s">
        <v>218</v>
      </c>
      <c r="G727" s="67"/>
      <c r="H727" s="72" t="s">
        <v>439</v>
      </c>
      <c r="I727" s="408">
        <v>100</v>
      </c>
      <c r="J727" s="408">
        <v>21979.791919191921</v>
      </c>
      <c r="K727" s="399"/>
      <c r="L727" s="408"/>
      <c r="M727" s="65">
        <f t="shared" si="55"/>
        <v>2197979</v>
      </c>
      <c r="N727" s="66" t="s">
        <v>276</v>
      </c>
      <c r="O727" s="66" t="s">
        <v>270</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customHeight="1">
      <c r="A728" s="323" t="str">
        <f>IF(B728&lt;&gt;"",IF(AND(B728='IN-TC'!$S$4,OR(TH!N728="1111",TH!O728="1111")),TH!D728,""),"")</f>
        <v/>
      </c>
      <c r="B728" s="63">
        <f t="shared" si="51"/>
        <v>1</v>
      </c>
      <c r="C728" s="64">
        <f t="shared" si="54"/>
        <v>42376</v>
      </c>
      <c r="D728" s="64" t="s">
        <v>672</v>
      </c>
      <c r="E728" s="64">
        <v>42376</v>
      </c>
      <c r="F728" s="67" t="s">
        <v>349</v>
      </c>
      <c r="G728" s="67"/>
      <c r="H728" s="72" t="s">
        <v>439</v>
      </c>
      <c r="I728" s="408">
        <v>2700</v>
      </c>
      <c r="J728" s="408">
        <v>14899.99962962963</v>
      </c>
      <c r="K728" s="399"/>
      <c r="L728" s="408"/>
      <c r="M728" s="65">
        <f t="shared" si="55"/>
        <v>40229999</v>
      </c>
      <c r="N728" s="66" t="s">
        <v>276</v>
      </c>
      <c r="O728" s="66" t="s">
        <v>270</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customHeight="1">
      <c r="A729" s="323" t="str">
        <f>IF(B729&lt;&gt;"",IF(AND(B729='IN-TC'!$S$4,OR(TH!N729="1111",TH!O729="1111")),TH!D729,""),"")</f>
        <v/>
      </c>
      <c r="B729" s="63">
        <f t="shared" si="51"/>
        <v>1</v>
      </c>
      <c r="C729" s="64">
        <f t="shared" si="54"/>
        <v>42384</v>
      </c>
      <c r="D729" s="64" t="s">
        <v>673</v>
      </c>
      <c r="E729" s="64">
        <v>42384</v>
      </c>
      <c r="F729" s="67" t="s">
        <v>352</v>
      </c>
      <c r="G729" s="67"/>
      <c r="H729" s="72" t="s">
        <v>439</v>
      </c>
      <c r="I729" s="408">
        <v>400</v>
      </c>
      <c r="J729" s="408">
        <v>8500</v>
      </c>
      <c r="K729" s="399"/>
      <c r="L729" s="408"/>
      <c r="M729" s="65">
        <f t="shared" si="55"/>
        <v>3400000</v>
      </c>
      <c r="N729" s="66" t="s">
        <v>276</v>
      </c>
      <c r="O729" s="66" t="s">
        <v>270</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customHeight="1">
      <c r="A730" s="323" t="str">
        <f>IF(B730&lt;&gt;"",IF(AND(B730='IN-TC'!$S$4,OR(TH!N730="1111",TH!O730="1111")),TH!D730,""),"")</f>
        <v/>
      </c>
      <c r="B730" s="63">
        <f t="shared" si="51"/>
        <v>1</v>
      </c>
      <c r="C730" s="64">
        <f t="shared" si="54"/>
        <v>42384</v>
      </c>
      <c r="D730" s="64" t="s">
        <v>673</v>
      </c>
      <c r="E730" s="64">
        <v>42384</v>
      </c>
      <c r="F730" s="67" t="s">
        <v>356</v>
      </c>
      <c r="G730" s="67"/>
      <c r="H730" s="74" t="s">
        <v>439</v>
      </c>
      <c r="I730" s="410">
        <v>1647</v>
      </c>
      <c r="J730" s="410">
        <f>M730/I730</f>
        <v>322.9927140255009</v>
      </c>
      <c r="K730" s="401"/>
      <c r="L730" s="410"/>
      <c r="M730" s="65">
        <v>531969</v>
      </c>
      <c r="N730" s="66" t="s">
        <v>276</v>
      </c>
      <c r="O730" s="66" t="s">
        <v>270</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customHeight="1">
      <c r="A731" s="323" t="str">
        <f>IF(B731&lt;&gt;"",IF(AND(B731='IN-TC'!$S$4,OR(TH!N731="1111",TH!O731="1111")),TH!D731,""),"")</f>
        <v/>
      </c>
      <c r="B731" s="63">
        <f t="shared" si="51"/>
        <v>1</v>
      </c>
      <c r="C731" s="64">
        <f t="shared" si="54"/>
        <v>42388</v>
      </c>
      <c r="D731" s="64" t="s">
        <v>674</v>
      </c>
      <c r="E731" s="64">
        <v>42388</v>
      </c>
      <c r="F731" s="67" t="s">
        <v>387</v>
      </c>
      <c r="G731" s="67"/>
      <c r="H731" s="74" t="s">
        <v>439</v>
      </c>
      <c r="I731" s="410">
        <v>400</v>
      </c>
      <c r="J731" s="410">
        <v>17000</v>
      </c>
      <c r="K731" s="401"/>
      <c r="L731" s="410"/>
      <c r="M731" s="65">
        <f t="shared" ref="M731:M744" si="56">ROUND(I731*J731,0)</f>
        <v>6800000</v>
      </c>
      <c r="N731" s="66" t="s">
        <v>276</v>
      </c>
      <c r="O731" s="66" t="s">
        <v>270</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customHeight="1">
      <c r="A732" s="323" t="str">
        <f>IF(B732&lt;&gt;"",IF(AND(B732='IN-TC'!$S$4,OR(TH!N732="1111",TH!O732="1111")),TH!D732,""),"")</f>
        <v/>
      </c>
      <c r="B732" s="63">
        <f t="shared" si="51"/>
        <v>1</v>
      </c>
      <c r="C732" s="64">
        <f t="shared" si="54"/>
        <v>42388</v>
      </c>
      <c r="D732" s="64" t="s">
        <v>674</v>
      </c>
      <c r="E732" s="64">
        <v>42388</v>
      </c>
      <c r="F732" s="67" t="s">
        <v>1072</v>
      </c>
      <c r="G732" s="67"/>
      <c r="H732" s="72" t="s">
        <v>439</v>
      </c>
      <c r="I732" s="408">
        <v>400</v>
      </c>
      <c r="J732" s="408">
        <v>2500</v>
      </c>
      <c r="K732" s="399"/>
      <c r="L732" s="408"/>
      <c r="M732" s="65">
        <f t="shared" si="56"/>
        <v>1000000</v>
      </c>
      <c r="N732" s="66" t="s">
        <v>276</v>
      </c>
      <c r="O732" s="66" t="s">
        <v>270</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customHeight="1">
      <c r="A733" s="323" t="str">
        <f>IF(B733&lt;&gt;"",IF(AND(B733='IN-TC'!$S$4,OR(TH!N733="1111",TH!O733="1111")),TH!D733,""),"")</f>
        <v/>
      </c>
      <c r="B733" s="63">
        <f t="shared" si="51"/>
        <v>1</v>
      </c>
      <c r="C733" s="64">
        <f t="shared" si="54"/>
        <v>42391</v>
      </c>
      <c r="D733" s="64" t="s">
        <v>675</v>
      </c>
      <c r="E733" s="64">
        <v>42391</v>
      </c>
      <c r="F733" s="67" t="s">
        <v>394</v>
      </c>
      <c r="G733" s="67"/>
      <c r="H733" s="74" t="s">
        <v>439</v>
      </c>
      <c r="I733" s="410">
        <v>620</v>
      </c>
      <c r="J733" s="410">
        <v>18300</v>
      </c>
      <c r="K733" s="401"/>
      <c r="L733" s="410"/>
      <c r="M733" s="65">
        <f t="shared" si="56"/>
        <v>11346000</v>
      </c>
      <c r="N733" s="66" t="s">
        <v>276</v>
      </c>
      <c r="O733" s="66" t="s">
        <v>270</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customHeight="1">
      <c r="A734" s="323" t="str">
        <f>IF(B734&lt;&gt;"",IF(AND(B734='IN-TC'!$S$4,OR(TH!N734="1111",TH!O734="1111")),TH!D734,""),"")</f>
        <v/>
      </c>
      <c r="B734" s="63">
        <f t="shared" si="51"/>
        <v>1</v>
      </c>
      <c r="C734" s="64">
        <f t="shared" si="54"/>
        <v>42391</v>
      </c>
      <c r="D734" s="64" t="s">
        <v>675</v>
      </c>
      <c r="E734" s="64">
        <v>42391</v>
      </c>
      <c r="F734" s="67" t="s">
        <v>638</v>
      </c>
      <c r="G734" s="67"/>
      <c r="H734" s="74" t="s">
        <v>439</v>
      </c>
      <c r="I734" s="408">
        <v>2400</v>
      </c>
      <c r="J734" s="408">
        <v>14000</v>
      </c>
      <c r="K734" s="401"/>
      <c r="L734" s="410"/>
      <c r="M734" s="65">
        <f t="shared" si="56"/>
        <v>33600000</v>
      </c>
      <c r="N734" s="66" t="s">
        <v>276</v>
      </c>
      <c r="O734" s="66" t="s">
        <v>270</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customHeight="1">
      <c r="A735" s="323" t="str">
        <f>IF(B735&lt;&gt;"",IF(AND(B735='IN-TC'!$S$4,OR(TH!N735="1111",TH!O735="1111")),TH!D735,""),"")</f>
        <v/>
      </c>
      <c r="B735" s="63">
        <f t="shared" si="51"/>
        <v>1</v>
      </c>
      <c r="C735" s="64">
        <f t="shared" si="54"/>
        <v>42398</v>
      </c>
      <c r="D735" s="64" t="s">
        <v>676</v>
      </c>
      <c r="E735" s="64">
        <v>42398</v>
      </c>
      <c r="F735" s="67" t="s">
        <v>383</v>
      </c>
      <c r="G735" s="67"/>
      <c r="H735" s="72" t="s">
        <v>439</v>
      </c>
      <c r="I735" s="408">
        <v>1150</v>
      </c>
      <c r="J735" s="408">
        <v>12000</v>
      </c>
      <c r="K735" s="399"/>
      <c r="L735" s="408"/>
      <c r="M735" s="65">
        <f t="shared" si="56"/>
        <v>13800000</v>
      </c>
      <c r="N735" s="66" t="s">
        <v>276</v>
      </c>
      <c r="O735" s="66" t="s">
        <v>270</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customHeight="1">
      <c r="A736" s="323" t="str">
        <f>IF(B736&lt;&gt;"",IF(AND(B736='IN-TC'!$S$4,OR(TH!N736="1111",TH!O736="1111")),TH!D736,""),"")</f>
        <v/>
      </c>
      <c r="B736" s="63">
        <f t="shared" si="51"/>
        <v>1</v>
      </c>
      <c r="C736" s="64">
        <f t="shared" si="54"/>
        <v>42398</v>
      </c>
      <c r="D736" s="64" t="s">
        <v>676</v>
      </c>
      <c r="E736" s="64">
        <v>42398</v>
      </c>
      <c r="F736" s="67" t="s">
        <v>385</v>
      </c>
      <c r="G736" s="67"/>
      <c r="H736" s="72" t="s">
        <v>439</v>
      </c>
      <c r="I736" s="408">
        <v>150</v>
      </c>
      <c r="J736" s="408">
        <v>9500</v>
      </c>
      <c r="K736" s="399"/>
      <c r="L736" s="408"/>
      <c r="M736" s="65">
        <f t="shared" si="56"/>
        <v>1425000</v>
      </c>
      <c r="N736" s="66" t="s">
        <v>276</v>
      </c>
      <c r="O736" s="66" t="s">
        <v>270</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customHeight="1">
      <c r="A737" s="323" t="str">
        <f>IF(B737&lt;&gt;"",IF(AND(B737='IN-TC'!$S$4,OR(TH!N737="1111",TH!O737="1111")),TH!D737,""),"")</f>
        <v/>
      </c>
      <c r="B737" s="63">
        <f t="shared" si="51"/>
        <v>2</v>
      </c>
      <c r="C737" s="64">
        <f t="shared" si="54"/>
        <v>42415</v>
      </c>
      <c r="D737" s="64" t="s">
        <v>672</v>
      </c>
      <c r="E737" s="64">
        <v>42415</v>
      </c>
      <c r="F737" s="67" t="s">
        <v>332</v>
      </c>
      <c r="G737" s="931"/>
      <c r="H737" s="72" t="s">
        <v>439</v>
      </c>
      <c r="I737" s="408">
        <v>20</v>
      </c>
      <c r="J737" s="408">
        <v>35444.444444444445</v>
      </c>
      <c r="K737" s="399"/>
      <c r="L737" s="408"/>
      <c r="M737" s="65">
        <f t="shared" si="56"/>
        <v>708889</v>
      </c>
      <c r="N737" s="66" t="s">
        <v>276</v>
      </c>
      <c r="O737" s="66" t="s">
        <v>270</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customHeight="1">
      <c r="A738" s="323" t="str">
        <f>IF(B738&lt;&gt;"",IF(AND(B738='IN-TC'!$S$4,OR(TH!N738="1111",TH!O738="1111")),TH!D738,""),"")</f>
        <v/>
      </c>
      <c r="B738" s="63">
        <f t="shared" si="51"/>
        <v>2</v>
      </c>
      <c r="C738" s="64">
        <f t="shared" si="54"/>
        <v>42415</v>
      </c>
      <c r="D738" s="64" t="s">
        <v>672</v>
      </c>
      <c r="E738" s="64">
        <v>42415</v>
      </c>
      <c r="F738" s="67" t="s">
        <v>338</v>
      </c>
      <c r="G738" s="931"/>
      <c r="H738" s="72" t="s">
        <v>439</v>
      </c>
      <c r="I738" s="408">
        <v>5</v>
      </c>
      <c r="J738" s="408">
        <v>46741.2</v>
      </c>
      <c r="K738" s="399"/>
      <c r="L738" s="408"/>
      <c r="M738" s="65">
        <f t="shared" si="56"/>
        <v>233706</v>
      </c>
      <c r="N738" s="66" t="s">
        <v>276</v>
      </c>
      <c r="O738" s="66" t="s">
        <v>270</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customHeight="1">
      <c r="A739" s="323" t="str">
        <f>IF(B739&lt;&gt;"",IF(AND(B739='IN-TC'!$S$4,OR(TH!N739="1111",TH!O739="1111")),TH!D739,""),"")</f>
        <v/>
      </c>
      <c r="B739" s="63">
        <f t="shared" si="51"/>
        <v>2</v>
      </c>
      <c r="C739" s="64">
        <f t="shared" si="54"/>
        <v>42415</v>
      </c>
      <c r="D739" s="64" t="s">
        <v>672</v>
      </c>
      <c r="E739" s="64">
        <v>42415</v>
      </c>
      <c r="F739" s="67" t="s">
        <v>341</v>
      </c>
      <c r="G739" s="67"/>
      <c r="H739" s="72" t="s">
        <v>439</v>
      </c>
      <c r="I739" s="408">
        <v>150</v>
      </c>
      <c r="J739" s="408">
        <v>11666.673333333334</v>
      </c>
      <c r="K739" s="399"/>
      <c r="L739" s="408"/>
      <c r="M739" s="65">
        <f t="shared" si="56"/>
        <v>1750001</v>
      </c>
      <c r="N739" s="66" t="s">
        <v>276</v>
      </c>
      <c r="O739" s="66" t="s">
        <v>270</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customHeight="1">
      <c r="A740" s="323" t="str">
        <f>IF(B740&lt;&gt;"",IF(AND(B740='IN-TC'!$S$4,OR(TH!N740="1111",TH!O740="1111")),TH!D740,""),"")</f>
        <v/>
      </c>
      <c r="B740" s="63">
        <f t="shared" si="51"/>
        <v>2</v>
      </c>
      <c r="C740" s="64">
        <f t="shared" si="54"/>
        <v>42415</v>
      </c>
      <c r="D740" s="64" t="s">
        <v>672</v>
      </c>
      <c r="E740" s="64">
        <v>42415</v>
      </c>
      <c r="F740" s="67" t="s">
        <v>218</v>
      </c>
      <c r="G740" s="67"/>
      <c r="H740" s="72" t="s">
        <v>439</v>
      </c>
      <c r="I740" s="408">
        <v>45</v>
      </c>
      <c r="J740" s="408">
        <v>21979.791919191921</v>
      </c>
      <c r="K740" s="399"/>
      <c r="L740" s="408"/>
      <c r="M740" s="65">
        <f t="shared" si="56"/>
        <v>989091</v>
      </c>
      <c r="N740" s="66" t="s">
        <v>276</v>
      </c>
      <c r="O740" s="66" t="s">
        <v>270</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customHeight="1">
      <c r="A741" s="323" t="str">
        <f>IF(B741&lt;&gt;"",IF(AND(B741='IN-TC'!$S$4,OR(TH!N741="1111",TH!O741="1111")),TH!D741,""),"")</f>
        <v/>
      </c>
      <c r="B741" s="63">
        <f t="shared" si="51"/>
        <v>2</v>
      </c>
      <c r="C741" s="64">
        <f t="shared" si="54"/>
        <v>42415</v>
      </c>
      <c r="D741" s="64" t="s">
        <v>672</v>
      </c>
      <c r="E741" s="64">
        <v>42415</v>
      </c>
      <c r="F741" s="67" t="s">
        <v>349</v>
      </c>
      <c r="G741" s="67"/>
      <c r="H741" s="72" t="s">
        <v>439</v>
      </c>
      <c r="I741" s="408">
        <v>540</v>
      </c>
      <c r="J741" s="408">
        <v>14900</v>
      </c>
      <c r="K741" s="399"/>
      <c r="L741" s="408"/>
      <c r="M741" s="65">
        <f t="shared" si="56"/>
        <v>8046000</v>
      </c>
      <c r="N741" s="66" t="s">
        <v>276</v>
      </c>
      <c r="O741" s="66" t="s">
        <v>270</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customHeight="1">
      <c r="A742" s="323" t="str">
        <f>IF(B742&lt;&gt;"",IF(AND(B742='IN-TC'!$S$4,OR(TH!N742="1111",TH!O742="1111")),TH!D742,""),"")</f>
        <v/>
      </c>
      <c r="B742" s="63">
        <f t="shared" si="51"/>
        <v>2</v>
      </c>
      <c r="C742" s="64">
        <f t="shared" si="54"/>
        <v>42425</v>
      </c>
      <c r="D742" s="64" t="s">
        <v>673</v>
      </c>
      <c r="E742" s="64">
        <v>42425</v>
      </c>
      <c r="F742" s="67" t="s">
        <v>352</v>
      </c>
      <c r="G742" s="67"/>
      <c r="H742" s="72" t="s">
        <v>439</v>
      </c>
      <c r="I742" s="408">
        <v>150</v>
      </c>
      <c r="J742" s="408">
        <v>8500</v>
      </c>
      <c r="K742" s="399"/>
      <c r="L742" s="408"/>
      <c r="M742" s="65">
        <f t="shared" si="56"/>
        <v>1275000</v>
      </c>
      <c r="N742" s="66" t="s">
        <v>276</v>
      </c>
      <c r="O742" s="66" t="s">
        <v>270</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customHeight="1">
      <c r="A743" s="323" t="str">
        <f>IF(B743&lt;&gt;"",IF(AND(B743='IN-TC'!$S$4,OR(TH!N743="1111",TH!O743="1111")),TH!D743,""),"")</f>
        <v/>
      </c>
      <c r="B743" s="63">
        <f t="shared" si="51"/>
        <v>2</v>
      </c>
      <c r="C743" s="64">
        <f t="shared" si="54"/>
        <v>42425</v>
      </c>
      <c r="D743" s="64" t="s">
        <v>673</v>
      </c>
      <c r="E743" s="64">
        <v>42425</v>
      </c>
      <c r="F743" s="67" t="s">
        <v>356</v>
      </c>
      <c r="G743" s="67"/>
      <c r="H743" s="72" t="s">
        <v>439</v>
      </c>
      <c r="I743" s="410">
        <v>150</v>
      </c>
      <c r="J743" s="410">
        <v>33000</v>
      </c>
      <c r="K743" s="401"/>
      <c r="L743" s="410"/>
      <c r="M743" s="65">
        <f t="shared" si="56"/>
        <v>4950000</v>
      </c>
      <c r="N743" s="66" t="s">
        <v>276</v>
      </c>
      <c r="O743" s="66" t="s">
        <v>270</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customHeight="1">
      <c r="A744" s="323" t="str">
        <f>IF(B744&lt;&gt;"",IF(AND(B744='IN-TC'!$S$4,OR(TH!N744="1111",TH!O744="1111")),TH!D744,""),"")</f>
        <v/>
      </c>
      <c r="B744" s="63">
        <f t="shared" si="51"/>
        <v>2</v>
      </c>
      <c r="C744" s="64">
        <f t="shared" si="54"/>
        <v>42401</v>
      </c>
      <c r="D744" s="64" t="s">
        <v>671</v>
      </c>
      <c r="E744" s="64">
        <v>42401</v>
      </c>
      <c r="F744" s="67" t="s">
        <v>374</v>
      </c>
      <c r="G744" s="67"/>
      <c r="H744" s="72" t="s">
        <v>439</v>
      </c>
      <c r="I744" s="410">
        <v>2100</v>
      </c>
      <c r="J744" s="410">
        <v>5780.8622078968574</v>
      </c>
      <c r="K744" s="401"/>
      <c r="L744" s="410"/>
      <c r="M744" s="65">
        <f t="shared" si="56"/>
        <v>12139811</v>
      </c>
      <c r="N744" s="66" t="s">
        <v>276</v>
      </c>
      <c r="O744" s="66" t="s">
        <v>270</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customHeight="1">
      <c r="A745" s="323" t="str">
        <f>IF(B745&lt;&gt;"",IF(AND(B745='IN-TC'!$S$4,OR(TH!N745="1111",TH!O745="1111")),TH!D745,""),"")</f>
        <v/>
      </c>
      <c r="B745" s="63">
        <f t="shared" si="51"/>
        <v>3</v>
      </c>
      <c r="C745" s="306">
        <v>42431</v>
      </c>
      <c r="D745" s="1077" t="s">
        <v>662</v>
      </c>
      <c r="E745" s="1077">
        <v>42431</v>
      </c>
      <c r="F745" s="1158" t="s">
        <v>383</v>
      </c>
      <c r="G745" s="949" t="s">
        <v>1160</v>
      </c>
      <c r="H745" s="918" t="s">
        <v>608</v>
      </c>
      <c r="I745" s="406">
        <v>1015</v>
      </c>
      <c r="J745" s="406">
        <v>12000</v>
      </c>
      <c r="K745" s="397"/>
      <c r="L745" s="406"/>
      <c r="M745" s="81">
        <v>12180000</v>
      </c>
      <c r="N745" s="1073" t="s">
        <v>270</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customHeight="1">
      <c r="A746" s="323" t="str">
        <f>IF(B746&lt;&gt;"",IF(AND(B746='IN-TC'!$S$4,OR(TH!N746="1111",TH!O746="1111")),TH!D746,""),"")</f>
        <v/>
      </c>
      <c r="B746" s="63">
        <f t="shared" si="51"/>
        <v>3</v>
      </c>
      <c r="C746" s="306">
        <v>42431</v>
      </c>
      <c r="D746" s="1077" t="s">
        <v>662</v>
      </c>
      <c r="E746" s="1077">
        <v>42431</v>
      </c>
      <c r="F746" s="1158" t="s">
        <v>385</v>
      </c>
      <c r="G746" s="949" t="s">
        <v>1160</v>
      </c>
      <c r="H746" s="918" t="s">
        <v>608</v>
      </c>
      <c r="I746" s="406">
        <v>375</v>
      </c>
      <c r="J746" s="406">
        <v>9500</v>
      </c>
      <c r="K746" s="397"/>
      <c r="L746" s="406"/>
      <c r="M746" s="81">
        <v>3562500</v>
      </c>
      <c r="N746" s="1073" t="s">
        <v>270</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customHeight="1">
      <c r="A747" s="323" t="str">
        <f>IF(B747&lt;&gt;"",IF(AND(B747='IN-TC'!$S$4,OR(TH!N747="1111",TH!O747="1111")),TH!D747,""),"")</f>
        <v/>
      </c>
      <c r="B747" s="63">
        <f t="shared" si="51"/>
        <v>3</v>
      </c>
      <c r="C747" s="306">
        <v>42431</v>
      </c>
      <c r="D747" s="1077" t="s">
        <v>662</v>
      </c>
      <c r="E747" s="1077">
        <v>42431</v>
      </c>
      <c r="F747" s="1107" t="s">
        <v>637</v>
      </c>
      <c r="G747" s="949" t="s">
        <v>1160</v>
      </c>
      <c r="H747" s="918" t="s">
        <v>608</v>
      </c>
      <c r="I747" s="406"/>
      <c r="J747" s="406"/>
      <c r="K747" s="397"/>
      <c r="L747" s="406"/>
      <c r="M747" s="81">
        <v>1574250</v>
      </c>
      <c r="N747" s="1073"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x</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customHeight="1">
      <c r="A748" s="323" t="str">
        <f>IF(B748&lt;&gt;"",IF(AND(B748='IN-TC'!$S$4,OR(TH!N721="1111",TH!O721="1111")),TH!D721,""),"")</f>
        <v/>
      </c>
      <c r="B748" s="63">
        <f t="shared" si="51"/>
        <v>1</v>
      </c>
      <c r="C748" s="78">
        <f>E748</f>
        <v>42387</v>
      </c>
      <c r="D748" s="78" t="s">
        <v>666</v>
      </c>
      <c r="E748" s="78">
        <v>42387</v>
      </c>
      <c r="F748" s="79" t="s">
        <v>634</v>
      </c>
      <c r="G748" s="79" t="s">
        <v>656</v>
      </c>
      <c r="H748" s="80" t="s">
        <v>660</v>
      </c>
      <c r="I748" s="406"/>
      <c r="J748" s="406"/>
      <c r="K748" s="397"/>
      <c r="L748" s="406"/>
      <c r="M748" s="81">
        <v>726190</v>
      </c>
      <c r="N748" s="1106" t="s">
        <v>9</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x</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row>
    <row r="749" spans="1:30" ht="15.75" customHeight="1">
      <c r="A749" s="323" t="str">
        <f>IF(B749&lt;&gt;"",IF(AND(B749='IN-TC'!$S$4,OR(TH!N2434="1111",TH!O2434="1111")),TH!D2434,""),"")</f>
        <v/>
      </c>
      <c r="B749" s="63">
        <f t="shared" si="51"/>
        <v>1</v>
      </c>
      <c r="C749" s="64">
        <v>42387</v>
      </c>
      <c r="D749" s="64" t="s">
        <v>880</v>
      </c>
      <c r="E749" s="64">
        <v>42387</v>
      </c>
      <c r="F749" s="330" t="s">
        <v>765</v>
      </c>
      <c r="G749" s="67" t="s">
        <v>656</v>
      </c>
      <c r="H749" s="72" t="s">
        <v>660</v>
      </c>
      <c r="I749" s="408"/>
      <c r="J749" s="408"/>
      <c r="K749" s="399"/>
      <c r="L749" s="408"/>
      <c r="M749" s="65">
        <v>15250000</v>
      </c>
      <c r="N749" s="66" t="s">
        <v>8</v>
      </c>
      <c r="O749" s="66" t="s">
        <v>61</v>
      </c>
      <c r="P749" s="82" t="str">
        <f>IF(AND('331-CT'!$E$7=TH!H749,OR(N749="331",O749="331")),"x","")</f>
        <v/>
      </c>
      <c r="Q749" s="82" t="str">
        <f>IF(AND(B749='111'!$L$11,OR($N749=$Q$7,$O749=$Q$7)),"x","")</f>
        <v/>
      </c>
      <c r="R749" s="82" t="str">
        <f>IF(AND($N749=$Q$7,$B749&lt;'111'!$L$11),"x","")</f>
        <v/>
      </c>
      <c r="S749" s="82" t="str">
        <f>IF(AND($O749=$Q$7,$B749&lt;'111'!$L$11),"x","")</f>
        <v>x</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customHeight="1">
      <c r="A750" s="323" t="str">
        <f>IF(B750&lt;&gt;"",IF(AND(B750='IN-TC'!$S$4,OR(TH!N750="1111",TH!O750="1111")),TH!D750,""),"")</f>
        <v/>
      </c>
      <c r="B750" s="63">
        <f t="shared" ref="B750:B813" si="57">IF(C750&lt;&gt;"",MONTH(C750),"")</f>
        <v>3</v>
      </c>
      <c r="C750" s="306">
        <v>42446</v>
      </c>
      <c r="D750" s="1077" t="s">
        <v>664</v>
      </c>
      <c r="E750" s="1077">
        <v>42446</v>
      </c>
      <c r="F750" s="1107" t="s">
        <v>352</v>
      </c>
      <c r="G750" s="949" t="s">
        <v>1121</v>
      </c>
      <c r="H750" s="918" t="s">
        <v>604</v>
      </c>
      <c r="I750" s="406">
        <v>600</v>
      </c>
      <c r="J750" s="406">
        <v>8500</v>
      </c>
      <c r="K750" s="397"/>
      <c r="L750" s="406"/>
      <c r="M750" s="81">
        <v>5100000</v>
      </c>
      <c r="N750" s="1073" t="s">
        <v>270</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customHeight="1">
      <c r="A751" s="323" t="str">
        <f>IF(B751&lt;&gt;"",IF(AND(B751='IN-TC'!$S$4,OR(TH!N751="1111",TH!O751="1111")),TH!D751,""),"")</f>
        <v/>
      </c>
      <c r="B751" s="63">
        <f t="shared" si="57"/>
        <v>3</v>
      </c>
      <c r="C751" s="306">
        <v>42446</v>
      </c>
      <c r="D751" s="1077" t="s">
        <v>664</v>
      </c>
      <c r="E751" s="1077">
        <v>42446</v>
      </c>
      <c r="F751" s="1107" t="s">
        <v>1161</v>
      </c>
      <c r="G751" s="949" t="s">
        <v>1121</v>
      </c>
      <c r="H751" s="918" t="s">
        <v>604</v>
      </c>
      <c r="I751" s="406"/>
      <c r="J751" s="406"/>
      <c r="K751" s="397"/>
      <c r="L751" s="406"/>
      <c r="M751" s="81">
        <v>510000</v>
      </c>
      <c r="N751" s="1073"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x</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customHeight="1">
      <c r="A752" s="323" t="str">
        <f>IF(B752&lt;&gt;"",IF(AND(B752='IN-TC'!$S$4,OR(TH!N748="1111",TH!O748="1111")),TH!D748,""),"")</f>
        <v/>
      </c>
      <c r="B752" s="63">
        <f t="shared" si="57"/>
        <v>3</v>
      </c>
      <c r="C752" s="306">
        <v>42437</v>
      </c>
      <c r="D752" s="1077" t="s">
        <v>663</v>
      </c>
      <c r="E752" s="1077">
        <v>42437</v>
      </c>
      <c r="F752" s="1107" t="s">
        <v>341</v>
      </c>
      <c r="G752" s="949" t="s">
        <v>643</v>
      </c>
      <c r="H752" s="918" t="s">
        <v>660</v>
      </c>
      <c r="I752" s="406">
        <v>1000</v>
      </c>
      <c r="J752" s="406">
        <v>14095.237999999999</v>
      </c>
      <c r="K752" s="397"/>
      <c r="L752" s="406"/>
      <c r="M752" s="81">
        <v>14095238</v>
      </c>
      <c r="N752" s="1073" t="s">
        <v>270</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customHeight="1">
      <c r="A753" s="323" t="str">
        <f>IF(B753&lt;&gt;"",IF(AND(B753='IN-TC'!$S$4,OR(TH!N749="1111",TH!O749="1111")),TH!D749,""),"")</f>
        <v/>
      </c>
      <c r="B753" s="63">
        <f t="shared" si="57"/>
        <v>3</v>
      </c>
      <c r="C753" s="306">
        <v>42437</v>
      </c>
      <c r="D753" s="1077" t="s">
        <v>663</v>
      </c>
      <c r="E753" s="1077">
        <v>42437</v>
      </c>
      <c r="F753" s="1107" t="s">
        <v>634</v>
      </c>
      <c r="G753" s="949" t="s">
        <v>643</v>
      </c>
      <c r="H753" s="918" t="s">
        <v>660</v>
      </c>
      <c r="I753" s="406"/>
      <c r="J753" s="406"/>
      <c r="K753" s="397"/>
      <c r="L753" s="406"/>
      <c r="M753" s="81">
        <v>704762</v>
      </c>
      <c r="N753" s="1073"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x</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customHeight="1">
      <c r="A754" s="323" t="str">
        <f>IF(B754&lt;&gt;"",IF(AND(B754='IN-TC'!$S$4,OR(TH!N754="1111",TH!O754="1111")),TH!D754,""),"")</f>
        <v/>
      </c>
      <c r="B754" s="63">
        <f t="shared" si="57"/>
        <v>3</v>
      </c>
      <c r="C754" s="64">
        <v>42459</v>
      </c>
      <c r="D754" s="1077" t="s">
        <v>666</v>
      </c>
      <c r="E754" s="78">
        <f t="shared" ref="E754:E767" si="58">C754</f>
        <v>42459</v>
      </c>
      <c r="F754" s="79" t="s">
        <v>218</v>
      </c>
      <c r="G754" s="934" t="s">
        <v>1334</v>
      </c>
      <c r="H754" s="918" t="s">
        <v>606</v>
      </c>
      <c r="I754" s="406">
        <v>450</v>
      </c>
      <c r="J754" s="406">
        <v>18414.14</v>
      </c>
      <c r="K754" s="397"/>
      <c r="L754" s="406"/>
      <c r="M754" s="81">
        <f>ROUND(I754*J754,0)</f>
        <v>8286363</v>
      </c>
      <c r="N754" s="82" t="s">
        <v>270</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customHeight="1">
      <c r="A755" s="323" t="str">
        <f>IF(B755&lt;&gt;"",IF(AND(B755='IN-TC'!$S$4,OR(TH!N755="1111",TH!O755="1111")),TH!D755,""),"")</f>
        <v/>
      </c>
      <c r="B755" s="63">
        <f t="shared" si="57"/>
        <v>3</v>
      </c>
      <c r="C755" s="64">
        <v>42459</v>
      </c>
      <c r="D755" s="1077" t="s">
        <v>666</v>
      </c>
      <c r="E755" s="78">
        <f t="shared" si="58"/>
        <v>42459</v>
      </c>
      <c r="F755" s="79" t="s">
        <v>1335</v>
      </c>
      <c r="G755" s="934" t="s">
        <v>1334</v>
      </c>
      <c r="H755" s="918" t="s">
        <v>606</v>
      </c>
      <c r="I755" s="406"/>
      <c r="J755" s="406"/>
      <c r="K755" s="397"/>
      <c r="L755" s="406"/>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x</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customHeight="1">
      <c r="A756" s="323" t="str">
        <f>IF(B756&lt;&gt;"",IF(AND(B756='IN-TC'!$S$4,OR(TH!N756="1111",TH!O756="1111")),TH!D756,""),"")</f>
        <v/>
      </c>
      <c r="B756" s="63">
        <f t="shared" si="57"/>
        <v>3</v>
      </c>
      <c r="C756" s="64">
        <v>42431</v>
      </c>
      <c r="D756" s="64" t="s">
        <v>671</v>
      </c>
      <c r="E756" s="64">
        <f t="shared" si="58"/>
        <v>42431</v>
      </c>
      <c r="F756" s="67" t="s">
        <v>332</v>
      </c>
      <c r="G756" s="931"/>
      <c r="H756" s="72" t="s">
        <v>439</v>
      </c>
      <c r="I756" s="408">
        <v>50</v>
      </c>
      <c r="J756" s="408">
        <v>35444.444444444445</v>
      </c>
      <c r="K756" s="399"/>
      <c r="L756" s="408"/>
      <c r="M756" s="65">
        <f t="shared" ref="M756:M767" si="59">ROUND(I756*J756,0)</f>
        <v>1772222</v>
      </c>
      <c r="N756" s="66" t="s">
        <v>276</v>
      </c>
      <c r="O756" s="66" t="s">
        <v>270</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customHeight="1">
      <c r="A757" s="323" t="str">
        <f>IF(B757&lt;&gt;"",IF(AND(B757='IN-TC'!$S$4,OR(TH!N757="1111",TH!O757="1111")),TH!D757,""),"")</f>
        <v/>
      </c>
      <c r="B757" s="63">
        <f t="shared" si="57"/>
        <v>3</v>
      </c>
      <c r="C757" s="64">
        <v>42431</v>
      </c>
      <c r="D757" s="64" t="s">
        <v>671</v>
      </c>
      <c r="E757" s="64">
        <f t="shared" si="58"/>
        <v>42431</v>
      </c>
      <c r="F757" s="67" t="s">
        <v>338</v>
      </c>
      <c r="G757" s="931"/>
      <c r="H757" s="72" t="s">
        <v>439</v>
      </c>
      <c r="I757" s="408">
        <v>20</v>
      </c>
      <c r="J757" s="408">
        <v>46741.2</v>
      </c>
      <c r="K757" s="399"/>
      <c r="L757" s="408"/>
      <c r="M757" s="65">
        <f t="shared" si="59"/>
        <v>934824</v>
      </c>
      <c r="N757" s="66" t="s">
        <v>276</v>
      </c>
      <c r="O757" s="66" t="s">
        <v>270</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customHeight="1">
      <c r="A758" s="323" t="str">
        <f>IF(B758&lt;&gt;"",IF(AND(B758='IN-TC'!$S$4,OR(TH!N758="1111",TH!O758="1111")),TH!D758,""),"")</f>
        <v/>
      </c>
      <c r="B758" s="63">
        <f t="shared" si="57"/>
        <v>3</v>
      </c>
      <c r="C758" s="64">
        <v>42431</v>
      </c>
      <c r="D758" s="64" t="s">
        <v>671</v>
      </c>
      <c r="E758" s="64">
        <f t="shared" si="58"/>
        <v>42431</v>
      </c>
      <c r="F758" s="67" t="s">
        <v>341</v>
      </c>
      <c r="G758" s="67"/>
      <c r="H758" s="72" t="s">
        <v>439</v>
      </c>
      <c r="I758" s="408">
        <v>150</v>
      </c>
      <c r="J758" s="408">
        <v>13571.429</v>
      </c>
      <c r="K758" s="399"/>
      <c r="L758" s="408"/>
      <c r="M758" s="65">
        <f t="shared" si="59"/>
        <v>2035714</v>
      </c>
      <c r="N758" s="66" t="s">
        <v>276</v>
      </c>
      <c r="O758" s="66" t="s">
        <v>270</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customHeight="1">
      <c r="A759" s="323" t="str">
        <f>IF(B759&lt;&gt;"",IF(AND(B759='IN-TC'!$S$4,OR(TH!N759="1111",TH!O759="1111")),TH!D759,""),"")</f>
        <v/>
      </c>
      <c r="B759" s="63">
        <f t="shared" si="57"/>
        <v>3</v>
      </c>
      <c r="C759" s="64">
        <v>42431</v>
      </c>
      <c r="D759" s="64" t="s">
        <v>671</v>
      </c>
      <c r="E759" s="64">
        <f t="shared" si="58"/>
        <v>42431</v>
      </c>
      <c r="F759" s="67" t="s">
        <v>218</v>
      </c>
      <c r="G759" s="67"/>
      <c r="H759" s="72" t="s">
        <v>439</v>
      </c>
      <c r="I759" s="408">
        <v>200</v>
      </c>
      <c r="J759" s="408">
        <v>21979.791919191921</v>
      </c>
      <c r="K759" s="399"/>
      <c r="L759" s="408"/>
      <c r="M759" s="65">
        <f t="shared" si="59"/>
        <v>4395958</v>
      </c>
      <c r="N759" s="66" t="s">
        <v>276</v>
      </c>
      <c r="O759" s="66" t="s">
        <v>270</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customHeight="1">
      <c r="A760" s="323" t="str">
        <f>IF(B760&lt;&gt;"",IF(AND(B760='IN-TC'!$S$4,OR(TH!N760="1111",TH!O760="1111")),TH!D760,""),"")</f>
        <v/>
      </c>
      <c r="B760" s="63">
        <f t="shared" si="57"/>
        <v>3</v>
      </c>
      <c r="C760" s="64">
        <v>42431</v>
      </c>
      <c r="D760" s="64" t="s">
        <v>671</v>
      </c>
      <c r="E760" s="64">
        <f t="shared" si="58"/>
        <v>42431</v>
      </c>
      <c r="F760" s="67" t="s">
        <v>346</v>
      </c>
      <c r="G760" s="67"/>
      <c r="H760" s="72" t="s">
        <v>439</v>
      </c>
      <c r="I760" s="408">
        <v>50</v>
      </c>
      <c r="J760" s="408">
        <v>3500</v>
      </c>
      <c r="K760" s="399"/>
      <c r="L760" s="408"/>
      <c r="M760" s="65">
        <f t="shared" si="59"/>
        <v>175000</v>
      </c>
      <c r="N760" s="66" t="s">
        <v>276</v>
      </c>
      <c r="O760" s="66" t="s">
        <v>270</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customHeight="1">
      <c r="A761" s="323" t="str">
        <f>IF(B761&lt;&gt;"",IF(AND(B761='IN-TC'!$S$4,OR(TH!N761="1111",TH!O761="1111")),TH!D761,""),"")</f>
        <v/>
      </c>
      <c r="B761" s="63">
        <f t="shared" si="57"/>
        <v>3</v>
      </c>
      <c r="C761" s="64">
        <v>42434</v>
      </c>
      <c r="D761" s="64" t="s">
        <v>672</v>
      </c>
      <c r="E761" s="64">
        <f t="shared" si="58"/>
        <v>42434</v>
      </c>
      <c r="F761" s="67" t="s">
        <v>349</v>
      </c>
      <c r="G761" s="67"/>
      <c r="H761" s="72" t="s">
        <v>439</v>
      </c>
      <c r="I761" s="408">
        <v>2160</v>
      </c>
      <c r="J761" s="408">
        <v>14900</v>
      </c>
      <c r="K761" s="399"/>
      <c r="L761" s="408"/>
      <c r="M761" s="65">
        <f t="shared" si="59"/>
        <v>32184000</v>
      </c>
      <c r="N761" s="66" t="s">
        <v>276</v>
      </c>
      <c r="O761" s="66" t="s">
        <v>270</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customHeight="1">
      <c r="A762" s="323" t="str">
        <f>IF(B762&lt;&gt;"",IF(AND(B762='IN-TC'!$S$4,OR(TH!N762="1111",TH!O762="1111")),TH!D762,""),"")</f>
        <v/>
      </c>
      <c r="B762" s="63">
        <f t="shared" si="57"/>
        <v>3</v>
      </c>
      <c r="C762" s="64">
        <v>42434</v>
      </c>
      <c r="D762" s="64" t="s">
        <v>672</v>
      </c>
      <c r="E762" s="64">
        <f t="shared" si="58"/>
        <v>42434</v>
      </c>
      <c r="F762" s="67" t="s">
        <v>352</v>
      </c>
      <c r="G762" s="67"/>
      <c r="H762" s="72" t="s">
        <v>439</v>
      </c>
      <c r="I762" s="408">
        <v>250</v>
      </c>
      <c r="J762" s="408">
        <v>8500</v>
      </c>
      <c r="K762" s="399"/>
      <c r="L762" s="408"/>
      <c r="M762" s="65">
        <f t="shared" si="59"/>
        <v>2125000</v>
      </c>
      <c r="N762" s="66" t="s">
        <v>276</v>
      </c>
      <c r="O762" s="66" t="s">
        <v>270</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customHeight="1">
      <c r="A763" s="323" t="str">
        <f>IF(B763&lt;&gt;"",IF(AND(B763='IN-TC'!$S$4,OR(TH!N763="1111",TH!O763="1111")),TH!D763,""),"")</f>
        <v/>
      </c>
      <c r="B763" s="63">
        <f t="shared" si="57"/>
        <v>3</v>
      </c>
      <c r="C763" s="64">
        <v>42434</v>
      </c>
      <c r="D763" s="64" t="s">
        <v>672</v>
      </c>
      <c r="E763" s="64">
        <f t="shared" si="58"/>
        <v>42434</v>
      </c>
      <c r="F763" s="67" t="s">
        <v>356</v>
      </c>
      <c r="G763" s="67"/>
      <c r="H763" s="72" t="s">
        <v>439</v>
      </c>
      <c r="I763" s="410">
        <v>150</v>
      </c>
      <c r="J763" s="410">
        <v>33000</v>
      </c>
      <c r="K763" s="401"/>
      <c r="L763" s="410"/>
      <c r="M763" s="65">
        <f t="shared" si="59"/>
        <v>4950000</v>
      </c>
      <c r="N763" s="66" t="s">
        <v>276</v>
      </c>
      <c r="O763" s="66" t="s">
        <v>270</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customHeight="1">
      <c r="A764" s="323" t="str">
        <f>IF(B764&lt;&gt;"",IF(AND(B764='IN-TC'!$S$4,OR(TH!N764="1111",TH!O764="1111")),TH!D764,""),"")</f>
        <v/>
      </c>
      <c r="B764" s="63">
        <f t="shared" si="57"/>
        <v>3</v>
      </c>
      <c r="C764" s="64">
        <v>42439</v>
      </c>
      <c r="D764" s="64" t="s">
        <v>673</v>
      </c>
      <c r="E764" s="64">
        <f t="shared" si="58"/>
        <v>42439</v>
      </c>
      <c r="F764" s="67" t="s">
        <v>383</v>
      </c>
      <c r="G764" s="67"/>
      <c r="H764" s="72" t="s">
        <v>439</v>
      </c>
      <c r="I764" s="410">
        <v>922</v>
      </c>
      <c r="J764" s="410">
        <v>12000</v>
      </c>
      <c r="K764" s="401"/>
      <c r="L764" s="410"/>
      <c r="M764" s="65">
        <f t="shared" si="59"/>
        <v>11064000</v>
      </c>
      <c r="N764" s="66" t="s">
        <v>276</v>
      </c>
      <c r="O764" s="66" t="s">
        <v>270</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customHeight="1">
      <c r="A765" s="323" t="str">
        <f>IF(B765&lt;&gt;"",IF(AND(B765='IN-TC'!$S$4,OR(TH!N765="1111",TH!O765="1111")),TH!D765,""),"")</f>
        <v/>
      </c>
      <c r="B765" s="63">
        <f t="shared" si="57"/>
        <v>3</v>
      </c>
      <c r="C765" s="64">
        <v>42439</v>
      </c>
      <c r="D765" s="64" t="s">
        <v>673</v>
      </c>
      <c r="E765" s="64">
        <f t="shared" si="58"/>
        <v>42439</v>
      </c>
      <c r="F765" s="67" t="s">
        <v>385</v>
      </c>
      <c r="G765" s="67"/>
      <c r="H765" s="72" t="s">
        <v>439</v>
      </c>
      <c r="I765" s="410">
        <v>375</v>
      </c>
      <c r="J765" s="410">
        <v>9500</v>
      </c>
      <c r="K765" s="401"/>
      <c r="L765" s="410"/>
      <c r="M765" s="65">
        <f t="shared" si="59"/>
        <v>3562500</v>
      </c>
      <c r="N765" s="66" t="s">
        <v>276</v>
      </c>
      <c r="O765" s="66" t="s">
        <v>270</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customHeight="1">
      <c r="A766" s="323" t="str">
        <f>IF(B766&lt;&gt;"",IF(AND(B766='IN-TC'!$S$4,OR(TH!N766="1111",TH!O766="1111")),TH!D766,""),"")</f>
        <v/>
      </c>
      <c r="B766" s="63">
        <f t="shared" si="57"/>
        <v>3</v>
      </c>
      <c r="C766" s="64">
        <v>42459</v>
      </c>
      <c r="D766" s="64" t="s">
        <v>674</v>
      </c>
      <c r="E766" s="64">
        <f t="shared" si="58"/>
        <v>42459</v>
      </c>
      <c r="F766" s="67" t="s">
        <v>377</v>
      </c>
      <c r="G766" s="67"/>
      <c r="H766" s="72" t="s">
        <v>439</v>
      </c>
      <c r="I766" s="410">
        <v>2700</v>
      </c>
      <c r="J766" s="410">
        <v>4466.322284402353</v>
      </c>
      <c r="K766" s="401"/>
      <c r="L766" s="410"/>
      <c r="M766" s="65">
        <f t="shared" si="59"/>
        <v>12059070</v>
      </c>
      <c r="N766" s="66" t="s">
        <v>276</v>
      </c>
      <c r="O766" s="66" t="s">
        <v>270</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customHeight="1">
      <c r="A767" s="323" t="str">
        <f>IF(B767&lt;&gt;"",IF(AND(B767='IN-TC'!$S$4,OR(TH!N767="1111",TH!O767="1111")),TH!D767,""),"")</f>
        <v/>
      </c>
      <c r="B767" s="63">
        <f t="shared" si="57"/>
        <v>4</v>
      </c>
      <c r="C767" s="64">
        <v>42461</v>
      </c>
      <c r="D767" s="1077" t="s">
        <v>662</v>
      </c>
      <c r="E767" s="78">
        <f t="shared" si="58"/>
        <v>42461</v>
      </c>
      <c r="F767" s="80" t="s">
        <v>346</v>
      </c>
      <c r="G767" s="934" t="s">
        <v>1385</v>
      </c>
      <c r="H767" s="918" t="s">
        <v>607</v>
      </c>
      <c r="I767" s="406">
        <v>2000</v>
      </c>
      <c r="J767" s="406">
        <v>3200</v>
      </c>
      <c r="K767" s="397"/>
      <c r="L767" s="406"/>
      <c r="M767" s="81">
        <f t="shared" si="59"/>
        <v>6400000</v>
      </c>
      <c r="N767" s="82" t="s">
        <v>270</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customHeight="1">
      <c r="A768" s="323" t="str">
        <f>IF(B768&lt;&gt;"",IF(AND(B768='IN-TC'!$S$4,OR(TH!N2746="1111",TH!O2746="1111")),TH!D2746,""),"")</f>
        <v/>
      </c>
      <c r="B768" s="63">
        <f t="shared" si="57"/>
        <v>3</v>
      </c>
      <c r="C768" s="64">
        <v>42444</v>
      </c>
      <c r="D768" s="306" t="s">
        <v>690</v>
      </c>
      <c r="E768" s="64">
        <v>42444</v>
      </c>
      <c r="F768" s="72" t="s">
        <v>1192</v>
      </c>
      <c r="G768" s="67" t="s">
        <v>902</v>
      </c>
      <c r="H768" s="72" t="s">
        <v>1403</v>
      </c>
      <c r="I768" s="408"/>
      <c r="J768" s="408"/>
      <c r="K768" s="399"/>
      <c r="L768" s="408"/>
      <c r="M768" s="65">
        <v>38500000</v>
      </c>
      <c r="N768" s="66" t="s">
        <v>8</v>
      </c>
      <c r="O768" s="66" t="s">
        <v>25</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customHeight="1">
      <c r="A769" s="323" t="str">
        <f>IF(B769&lt;&gt;"",IF(AND(B769='IN-TC'!$S$4,OR(TH!N768="1111",TH!O768="1111")),TH!D768,""),"")</f>
        <v/>
      </c>
      <c r="B769" s="63">
        <f t="shared" si="57"/>
        <v>4</v>
      </c>
      <c r="C769" s="64">
        <v>42467</v>
      </c>
      <c r="D769" s="1077" t="s">
        <v>663</v>
      </c>
      <c r="E769" s="78">
        <f>C769</f>
        <v>42467</v>
      </c>
      <c r="F769" s="80" t="s">
        <v>638</v>
      </c>
      <c r="G769" s="934" t="s">
        <v>1386</v>
      </c>
      <c r="H769" s="80" t="s">
        <v>1403</v>
      </c>
      <c r="I769" s="406">
        <v>4500</v>
      </c>
      <c r="J769" s="406">
        <v>14000</v>
      </c>
      <c r="K769" s="397"/>
      <c r="L769" s="406"/>
      <c r="M769" s="81">
        <f>ROUND(I769*J769,0)</f>
        <v>63000000</v>
      </c>
      <c r="N769" s="82" t="s">
        <v>270</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customHeight="1">
      <c r="A770" s="323" t="str">
        <f>IF(B770&lt;&gt;"",IF(AND(B770='IN-TC'!$S$4,OR(TH!N770="1111",TH!O770="1111")),TH!D770,""),"")</f>
        <v/>
      </c>
      <c r="B770" s="63">
        <f t="shared" si="57"/>
        <v>4</v>
      </c>
      <c r="C770" s="64">
        <v>42468</v>
      </c>
      <c r="D770" s="1077" t="s">
        <v>664</v>
      </c>
      <c r="E770" s="78">
        <f>C770</f>
        <v>42468</v>
      </c>
      <c r="F770" s="79" t="s">
        <v>394</v>
      </c>
      <c r="G770" s="934" t="s">
        <v>1387</v>
      </c>
      <c r="H770" s="918" t="s">
        <v>608</v>
      </c>
      <c r="I770" s="406">
        <v>1250</v>
      </c>
      <c r="J770" s="406">
        <v>18000</v>
      </c>
      <c r="K770" s="397"/>
      <c r="L770" s="406"/>
      <c r="M770" s="81">
        <f>ROUND(I770*J770,0)</f>
        <v>22500000</v>
      </c>
      <c r="N770" s="82" t="s">
        <v>270</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customHeight="1">
      <c r="A771" s="323" t="str">
        <f>IF(B771&lt;&gt;"",IF(AND(B771='IN-TC'!$S$4,OR(TH!N771="1111",TH!O771="1111")),TH!D771,""),"")</f>
        <v/>
      </c>
      <c r="B771" s="63">
        <f t="shared" si="57"/>
        <v>4</v>
      </c>
      <c r="C771" s="64">
        <v>42468</v>
      </c>
      <c r="D771" s="1077" t="s">
        <v>664</v>
      </c>
      <c r="E771" s="78">
        <f>C771</f>
        <v>42468</v>
      </c>
      <c r="F771" s="80" t="s">
        <v>1388</v>
      </c>
      <c r="G771" s="934" t="s">
        <v>1387</v>
      </c>
      <c r="H771" s="918" t="s">
        <v>608</v>
      </c>
      <c r="I771" s="406"/>
      <c r="J771" s="406"/>
      <c r="K771" s="397"/>
      <c r="L771" s="406"/>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x</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customHeight="1">
      <c r="A772" s="323" t="str">
        <f>IF(B772&lt;&gt;"",IF(AND(B772='IN-TC'!$S$4,OR(TH!N772="1111",TH!O772="1111")),TH!D772,""),"")</f>
        <v/>
      </c>
      <c r="B772" s="63">
        <f t="shared" si="57"/>
        <v>4</v>
      </c>
      <c r="C772" s="64">
        <v>42471</v>
      </c>
      <c r="D772" s="1077" t="s">
        <v>665</v>
      </c>
      <c r="E772" s="78">
        <f>C772</f>
        <v>42471</v>
      </c>
      <c r="F772" s="80" t="s">
        <v>1389</v>
      </c>
      <c r="G772" s="934" t="s">
        <v>1390</v>
      </c>
      <c r="H772" s="918" t="s">
        <v>1391</v>
      </c>
      <c r="I772" s="406">
        <v>100</v>
      </c>
      <c r="J772" s="406">
        <v>12728</v>
      </c>
      <c r="K772" s="397"/>
      <c r="L772" s="406"/>
      <c r="M772" s="81">
        <f>ROUND(I772*J772,0)</f>
        <v>1272800</v>
      </c>
      <c r="N772" s="82" t="s">
        <v>270</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customHeight="1">
      <c r="A773" s="323" t="str">
        <f>IF(B773&lt;&gt;"",IF(AND(B773='IN-TC'!$S$4,OR(TH!N773="1111",TH!O773="1111")),TH!D773,""),"")</f>
        <v/>
      </c>
      <c r="B773" s="63">
        <f t="shared" si="57"/>
        <v>4</v>
      </c>
      <c r="C773" s="64">
        <v>42471</v>
      </c>
      <c r="D773" s="1077" t="s">
        <v>665</v>
      </c>
      <c r="E773" s="78">
        <f>C773</f>
        <v>42471</v>
      </c>
      <c r="F773" s="80" t="s">
        <v>1392</v>
      </c>
      <c r="G773" s="934" t="s">
        <v>1390</v>
      </c>
      <c r="H773" s="918" t="s">
        <v>1391</v>
      </c>
      <c r="I773" s="406"/>
      <c r="J773" s="406"/>
      <c r="K773" s="397"/>
      <c r="L773" s="406"/>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x</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customHeight="1">
      <c r="A774" s="323" t="str">
        <f>IF(B774&lt;&gt;"",IF(AND(B774='IN-TC'!$S$4,OR(TH!N2389="1111",TH!O2389="1111")),TH!D2389,""),"")</f>
        <v/>
      </c>
      <c r="B774" s="63">
        <f t="shared" si="57"/>
        <v>1</v>
      </c>
      <c r="C774" s="64">
        <v>42376</v>
      </c>
      <c r="D774" s="64" t="s">
        <v>690</v>
      </c>
      <c r="E774" s="64">
        <v>42376</v>
      </c>
      <c r="F774" s="67" t="s">
        <v>1075</v>
      </c>
      <c r="G774" s="67" t="s">
        <v>902</v>
      </c>
      <c r="H774" s="67" t="s">
        <v>611</v>
      </c>
      <c r="I774" s="408"/>
      <c r="J774" s="408"/>
      <c r="K774" s="399"/>
      <c r="L774" s="408"/>
      <c r="M774" s="65">
        <v>38506000</v>
      </c>
      <c r="N774" s="66" t="s">
        <v>8</v>
      </c>
      <c r="O774" s="66" t="s">
        <v>25</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customHeight="1">
      <c r="A775" s="323" t="str">
        <f>IF(B775&lt;&gt;"",IF(AND(B775='IN-TC'!$S$4,OR(TH!N2749="1111",TH!O2749="1111")),TH!D2749,""),"")</f>
        <v/>
      </c>
      <c r="B775" s="63">
        <f t="shared" si="57"/>
        <v>3</v>
      </c>
      <c r="C775" s="64">
        <v>42444</v>
      </c>
      <c r="D775" s="306" t="s">
        <v>690</v>
      </c>
      <c r="E775" s="64">
        <v>42444</v>
      </c>
      <c r="F775" s="72" t="s">
        <v>1196</v>
      </c>
      <c r="G775" s="67" t="s">
        <v>902</v>
      </c>
      <c r="H775" s="72" t="s">
        <v>611</v>
      </c>
      <c r="I775" s="408"/>
      <c r="J775" s="408"/>
      <c r="K775" s="399"/>
      <c r="L775" s="408"/>
      <c r="M775" s="65">
        <v>50000000</v>
      </c>
      <c r="N775" s="66" t="s">
        <v>8</v>
      </c>
      <c r="O775" s="66" t="s">
        <v>25</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customHeight="1">
      <c r="A776" s="323" t="str">
        <f>IF(B776&lt;&gt;"",IF(AND(B776='IN-TC'!$S$4,OR(TH!N769="1111",TH!O769="1111")),TH!D769,""),"")</f>
        <v/>
      </c>
      <c r="B776" s="63">
        <f t="shared" si="57"/>
        <v>4</v>
      </c>
      <c r="C776" s="64">
        <v>42467</v>
      </c>
      <c r="D776" s="1077" t="s">
        <v>663</v>
      </c>
      <c r="E776" s="78">
        <f t="shared" ref="E776:E788" si="60">C776</f>
        <v>42467</v>
      </c>
      <c r="F776" s="80" t="s">
        <v>639</v>
      </c>
      <c r="G776" s="934" t="s">
        <v>1386</v>
      </c>
      <c r="H776" s="80" t="s">
        <v>1403</v>
      </c>
      <c r="I776" s="406"/>
      <c r="J776" s="406"/>
      <c r="K776" s="397"/>
      <c r="L776" s="406"/>
      <c r="M776" s="81">
        <v>6300000</v>
      </c>
      <c r="N776" s="82" t="s">
        <v>9</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x</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customHeight="1">
      <c r="A777" s="323" t="str">
        <f>IF(B777&lt;&gt;"",IF(AND(B777='IN-TC'!$S$4,OR(TH!N776="1111",TH!O776="1111")),TH!D776,""),"")</f>
        <v/>
      </c>
      <c r="B777" s="63">
        <f t="shared" si="57"/>
        <v>4</v>
      </c>
      <c r="C777" s="64">
        <v>42486</v>
      </c>
      <c r="D777" s="78" t="s">
        <v>667</v>
      </c>
      <c r="E777" s="78">
        <f t="shared" si="60"/>
        <v>42486</v>
      </c>
      <c r="F777" s="80" t="s">
        <v>638</v>
      </c>
      <c r="G777" s="934" t="s">
        <v>1402</v>
      </c>
      <c r="H777" s="80" t="s">
        <v>1403</v>
      </c>
      <c r="I777" s="406">
        <v>2000</v>
      </c>
      <c r="J777" s="406">
        <v>14000</v>
      </c>
      <c r="K777" s="397"/>
      <c r="L777" s="406"/>
      <c r="M777" s="81">
        <f>ROUND(I777*J777,0)</f>
        <v>28000000</v>
      </c>
      <c r="N777" s="1073" t="s">
        <v>270</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customHeight="1">
      <c r="A778" s="323" t="str">
        <f>IF(B778&lt;&gt;"",IF(AND(B778='IN-TC'!$S$4,OR(TH!N778="1111",TH!O778="1111")),TH!D778,""),"")</f>
        <v/>
      </c>
      <c r="B778" s="63">
        <f t="shared" si="57"/>
        <v>4</v>
      </c>
      <c r="C778" s="64">
        <v>42488</v>
      </c>
      <c r="D778" s="78" t="s">
        <v>1421</v>
      </c>
      <c r="E778" s="78">
        <f t="shared" si="60"/>
        <v>42488</v>
      </c>
      <c r="F778" s="79" t="s">
        <v>394</v>
      </c>
      <c r="G778" s="934" t="s">
        <v>1422</v>
      </c>
      <c r="H778" s="80" t="s">
        <v>608</v>
      </c>
      <c r="I778" s="406">
        <v>578</v>
      </c>
      <c r="J778" s="406">
        <v>18000</v>
      </c>
      <c r="K778" s="397"/>
      <c r="L778" s="406"/>
      <c r="M778" s="81">
        <f>ROUND(I778*J778,0)</f>
        <v>10404000</v>
      </c>
      <c r="N778" s="1073" t="s">
        <v>270</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customHeight="1">
      <c r="A779" s="323" t="str">
        <f>IF(B779&lt;&gt;"",IF(AND(B779='IN-TC'!$S$4,OR(TH!N779="1111",TH!O779="1111")),TH!D779,""),"")</f>
        <v/>
      </c>
      <c r="B779" s="63">
        <f t="shared" si="57"/>
        <v>4</v>
      </c>
      <c r="C779" s="64">
        <v>42488</v>
      </c>
      <c r="D779" s="78" t="s">
        <v>1421</v>
      </c>
      <c r="E779" s="78">
        <f t="shared" si="60"/>
        <v>42488</v>
      </c>
      <c r="F779" s="80" t="s">
        <v>1388</v>
      </c>
      <c r="G779" s="934" t="s">
        <v>1422</v>
      </c>
      <c r="H779" s="80" t="s">
        <v>608</v>
      </c>
      <c r="I779" s="406"/>
      <c r="J779" s="406"/>
      <c r="K779" s="397"/>
      <c r="L779" s="406"/>
      <c r="M779" s="81">
        <v>1040400</v>
      </c>
      <c r="N779" s="1073"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x</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customHeight="1">
      <c r="A780" s="323" t="str">
        <f>IF(B780&lt;&gt;"",IF(AND(B780='IN-TC'!$S$4,OR(TH!N780="1111",TH!O780="1111")),TH!D780,""),"")</f>
        <v/>
      </c>
      <c r="B780" s="63">
        <f t="shared" si="57"/>
        <v>4</v>
      </c>
      <c r="C780" s="64">
        <v>42461</v>
      </c>
      <c r="D780" s="64" t="s">
        <v>671</v>
      </c>
      <c r="E780" s="64">
        <f t="shared" si="60"/>
        <v>42461</v>
      </c>
      <c r="F780" s="67" t="s">
        <v>332</v>
      </c>
      <c r="G780" s="931"/>
      <c r="H780" s="72" t="s">
        <v>439</v>
      </c>
      <c r="I780" s="408">
        <v>20</v>
      </c>
      <c r="J780" s="408">
        <v>35444.444444444445</v>
      </c>
      <c r="K780" s="399"/>
      <c r="L780" s="408"/>
      <c r="M780" s="65">
        <f t="shared" ref="M780:M794" si="61">ROUND(I780*J780,0)</f>
        <v>708889</v>
      </c>
      <c r="N780" s="66" t="s">
        <v>276</v>
      </c>
      <c r="O780" s="66" t="s">
        <v>270</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customHeight="1">
      <c r="A781" s="323" t="str">
        <f>IF(B781&lt;&gt;"",IF(AND(B781='IN-TC'!$S$4,OR(TH!N781="1111",TH!O781="1111")),TH!D781,""),"")</f>
        <v/>
      </c>
      <c r="B781" s="63">
        <f t="shared" si="57"/>
        <v>4</v>
      </c>
      <c r="C781" s="64">
        <v>42461</v>
      </c>
      <c r="D781" s="64" t="s">
        <v>671</v>
      </c>
      <c r="E781" s="64">
        <f t="shared" si="60"/>
        <v>42461</v>
      </c>
      <c r="F781" s="67" t="s">
        <v>338</v>
      </c>
      <c r="G781" s="931"/>
      <c r="H781" s="72" t="s">
        <v>439</v>
      </c>
      <c r="I781" s="408">
        <v>50</v>
      </c>
      <c r="J781" s="408">
        <v>46741.2</v>
      </c>
      <c r="K781" s="399"/>
      <c r="L781" s="408"/>
      <c r="M781" s="65">
        <f t="shared" si="61"/>
        <v>2337060</v>
      </c>
      <c r="N781" s="66" t="s">
        <v>276</v>
      </c>
      <c r="O781" s="66" t="s">
        <v>270</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customHeight="1">
      <c r="A782" s="323" t="str">
        <f>IF(B782&lt;&gt;"",IF(AND(B782='IN-TC'!$S$4,OR(TH!N782="1111",TH!O782="1111")),TH!D782,""),"")</f>
        <v/>
      </c>
      <c r="B782" s="63">
        <f t="shared" si="57"/>
        <v>4</v>
      </c>
      <c r="C782" s="64">
        <v>42461</v>
      </c>
      <c r="D782" s="64" t="s">
        <v>671</v>
      </c>
      <c r="E782" s="64">
        <f t="shared" si="60"/>
        <v>42461</v>
      </c>
      <c r="F782" s="67" t="s">
        <v>341</v>
      </c>
      <c r="G782" s="67"/>
      <c r="H782" s="72" t="s">
        <v>439</v>
      </c>
      <c r="I782" s="408">
        <v>250</v>
      </c>
      <c r="J782" s="408">
        <v>13571.429</v>
      </c>
      <c r="K782" s="399"/>
      <c r="L782" s="408"/>
      <c r="M782" s="65">
        <f t="shared" si="61"/>
        <v>3392857</v>
      </c>
      <c r="N782" s="66" t="s">
        <v>276</v>
      </c>
      <c r="O782" s="66" t="s">
        <v>270</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customHeight="1">
      <c r="A783" s="323" t="str">
        <f>IF(B783&lt;&gt;"",IF(AND(B783='IN-TC'!$S$4,OR(TH!N783="1111",TH!O783="1111")),TH!D783,""),"")</f>
        <v/>
      </c>
      <c r="B783" s="63">
        <f t="shared" si="57"/>
        <v>4</v>
      </c>
      <c r="C783" s="64">
        <v>42461</v>
      </c>
      <c r="D783" s="64" t="s">
        <v>671</v>
      </c>
      <c r="E783" s="64">
        <f t="shared" si="60"/>
        <v>42461</v>
      </c>
      <c r="F783" s="67" t="s">
        <v>218</v>
      </c>
      <c r="G783" s="67"/>
      <c r="H783" s="72" t="s">
        <v>439</v>
      </c>
      <c r="I783" s="408">
        <v>150</v>
      </c>
      <c r="J783" s="408">
        <v>21979.791919191921</v>
      </c>
      <c r="K783" s="399"/>
      <c r="L783" s="408"/>
      <c r="M783" s="65">
        <f t="shared" si="61"/>
        <v>3296969</v>
      </c>
      <c r="N783" s="66" t="s">
        <v>276</v>
      </c>
      <c r="O783" s="66" t="s">
        <v>270</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customHeight="1">
      <c r="A784" s="323" t="str">
        <f>IF(B784&lt;&gt;"",IF(AND(B784='IN-TC'!$S$4,OR(TH!N784="1111",TH!O784="1111")),TH!D784,""),"")</f>
        <v/>
      </c>
      <c r="B784" s="63">
        <f t="shared" si="57"/>
        <v>4</v>
      </c>
      <c r="C784" s="64">
        <v>42461</v>
      </c>
      <c r="D784" s="64" t="s">
        <v>671</v>
      </c>
      <c r="E784" s="64">
        <f t="shared" si="60"/>
        <v>42461</v>
      </c>
      <c r="F784" s="67" t="s">
        <v>346</v>
      </c>
      <c r="G784" s="67"/>
      <c r="H784" s="72" t="s">
        <v>439</v>
      </c>
      <c r="I784" s="408">
        <v>1000</v>
      </c>
      <c r="J784" s="408">
        <v>3200</v>
      </c>
      <c r="K784" s="399"/>
      <c r="L784" s="408"/>
      <c r="M784" s="65">
        <f t="shared" si="61"/>
        <v>3200000</v>
      </c>
      <c r="N784" s="66" t="s">
        <v>276</v>
      </c>
      <c r="O784" s="66" t="s">
        <v>270</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customHeight="1">
      <c r="A785" s="323" t="str">
        <f>IF(B785&lt;&gt;"",IF(AND(B785='IN-TC'!$S$4,OR(TH!N785="1111",TH!O785="1111")),TH!D785,""),"")</f>
        <v/>
      </c>
      <c r="B785" s="63">
        <f t="shared" si="57"/>
        <v>4</v>
      </c>
      <c r="C785" s="64">
        <v>42470</v>
      </c>
      <c r="D785" s="64" t="s">
        <v>672</v>
      </c>
      <c r="E785" s="64">
        <f t="shared" si="60"/>
        <v>42470</v>
      </c>
      <c r="F785" s="67" t="s">
        <v>352</v>
      </c>
      <c r="G785" s="67"/>
      <c r="H785" s="72" t="s">
        <v>439</v>
      </c>
      <c r="I785" s="408">
        <v>100</v>
      </c>
      <c r="J785" s="408">
        <v>8500</v>
      </c>
      <c r="K785" s="399"/>
      <c r="L785" s="408"/>
      <c r="M785" s="65">
        <f t="shared" si="61"/>
        <v>850000</v>
      </c>
      <c r="N785" s="66" t="s">
        <v>276</v>
      </c>
      <c r="O785" s="66" t="s">
        <v>270</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customHeight="1">
      <c r="A786" s="323" t="str">
        <f>IF(B786&lt;&gt;"",IF(AND(B786='IN-TC'!$S$4,OR(TH!N786="1111",TH!O786="1111")),TH!D786,""),"")</f>
        <v/>
      </c>
      <c r="B786" s="63">
        <f t="shared" si="57"/>
        <v>4</v>
      </c>
      <c r="C786" s="64">
        <v>42470</v>
      </c>
      <c r="D786" s="64" t="s">
        <v>672</v>
      </c>
      <c r="E786" s="64">
        <f t="shared" si="60"/>
        <v>42470</v>
      </c>
      <c r="F786" s="67" t="s">
        <v>356</v>
      </c>
      <c r="G786" s="67"/>
      <c r="H786" s="72" t="s">
        <v>439</v>
      </c>
      <c r="I786" s="408">
        <v>50</v>
      </c>
      <c r="J786" s="408">
        <v>33000</v>
      </c>
      <c r="K786" s="399"/>
      <c r="L786" s="408"/>
      <c r="M786" s="65">
        <f t="shared" si="61"/>
        <v>1650000</v>
      </c>
      <c r="N786" s="66" t="s">
        <v>276</v>
      </c>
      <c r="O786" s="66" t="s">
        <v>270</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customHeight="1">
      <c r="A787" s="323" t="str">
        <f>IF(B787&lt;&gt;"",IF(AND(B787='IN-TC'!$S$4,OR(TH!N787="1111",TH!O787="1111")),TH!D787,""),"")</f>
        <v/>
      </c>
      <c r="B787" s="63">
        <f t="shared" si="57"/>
        <v>4</v>
      </c>
      <c r="C787" s="64">
        <v>42470</v>
      </c>
      <c r="D787" s="64" t="s">
        <v>672</v>
      </c>
      <c r="E787" s="64">
        <f t="shared" si="60"/>
        <v>42470</v>
      </c>
      <c r="F787" s="67" t="s">
        <v>394</v>
      </c>
      <c r="G787" s="67"/>
      <c r="H787" s="72" t="s">
        <v>439</v>
      </c>
      <c r="I787" s="410">
        <v>1250</v>
      </c>
      <c r="J787" s="410">
        <v>18000</v>
      </c>
      <c r="K787" s="401"/>
      <c r="L787" s="410"/>
      <c r="M787" s="65">
        <f t="shared" si="61"/>
        <v>22500000</v>
      </c>
      <c r="N787" s="66" t="s">
        <v>276</v>
      </c>
      <c r="O787" s="66" t="s">
        <v>270</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customHeight="1">
      <c r="A788" s="323" t="str">
        <f>IF(B788&lt;&gt;"",IF(AND(B788='IN-TC'!$S$4,OR(TH!N788="1111",TH!O788="1111")),TH!D788,""),"")</f>
        <v/>
      </c>
      <c r="B788" s="63">
        <f t="shared" si="57"/>
        <v>4</v>
      </c>
      <c r="C788" s="64">
        <v>42470</v>
      </c>
      <c r="D788" s="64" t="s">
        <v>672</v>
      </c>
      <c r="E788" s="64">
        <f t="shared" si="60"/>
        <v>42470</v>
      </c>
      <c r="F788" s="67" t="s">
        <v>638</v>
      </c>
      <c r="G788" s="67"/>
      <c r="H788" s="72" t="s">
        <v>439</v>
      </c>
      <c r="I788" s="410">
        <v>4400</v>
      </c>
      <c r="J788" s="410">
        <v>14000</v>
      </c>
      <c r="K788" s="401"/>
      <c r="L788" s="410"/>
      <c r="M788" s="65">
        <f t="shared" si="61"/>
        <v>61600000</v>
      </c>
      <c r="N788" s="66" t="s">
        <v>276</v>
      </c>
      <c r="O788" s="66" t="s">
        <v>270</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customHeight="1">
      <c r="A789" s="323" t="str">
        <f>IF(B789&lt;&gt;"",IF(AND(B789='IN-TC'!$S$4,OR(TH!N789="1111",TH!O789="1111")),TH!D789,""),"")</f>
        <v/>
      </c>
      <c r="B789" s="63">
        <f t="shared" si="57"/>
        <v>5</v>
      </c>
      <c r="C789" s="1087">
        <v>42495</v>
      </c>
      <c r="D789" s="1077" t="s">
        <v>662</v>
      </c>
      <c r="E789" s="1077">
        <v>42499</v>
      </c>
      <c r="F789" s="80" t="s">
        <v>1492</v>
      </c>
      <c r="G789" s="949" t="s">
        <v>1496</v>
      </c>
      <c r="H789" s="310" t="s">
        <v>608</v>
      </c>
      <c r="I789" s="406">
        <v>123</v>
      </c>
      <c r="J789" s="406">
        <v>13000</v>
      </c>
      <c r="K789" s="397"/>
      <c r="L789" s="406"/>
      <c r="M789" s="81">
        <f t="shared" si="61"/>
        <v>1599000</v>
      </c>
      <c r="N789" s="1073" t="s">
        <v>270</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customHeight="1">
      <c r="A790" s="323" t="str">
        <f>IF(B790&lt;&gt;"",IF(AND(B790='IN-TC'!$S$4,OR(TH!N790="1111",TH!O790="1111")),TH!D790,""),"")</f>
        <v/>
      </c>
      <c r="B790" s="63">
        <f t="shared" si="57"/>
        <v>5</v>
      </c>
      <c r="C790" s="1087">
        <v>42495</v>
      </c>
      <c r="D790" s="1077" t="s">
        <v>662</v>
      </c>
      <c r="E790" s="1077">
        <v>42499</v>
      </c>
      <c r="F790" s="80" t="s">
        <v>1493</v>
      </c>
      <c r="G790" s="949" t="s">
        <v>1496</v>
      </c>
      <c r="H790" s="310" t="s">
        <v>608</v>
      </c>
      <c r="I790" s="406">
        <v>62</v>
      </c>
      <c r="J790" s="406">
        <v>13000</v>
      </c>
      <c r="K790" s="397"/>
      <c r="L790" s="406"/>
      <c r="M790" s="81">
        <f t="shared" si="61"/>
        <v>806000</v>
      </c>
      <c r="N790" s="1073" t="s">
        <v>270</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customHeight="1">
      <c r="A791" s="323" t="str">
        <f>IF(B791&lt;&gt;"",IF(AND(B791='IN-TC'!$S$4,OR(TH!N791="1111",TH!O791="1111")),TH!D791,""),"")</f>
        <v/>
      </c>
      <c r="B791" s="63">
        <f t="shared" si="57"/>
        <v>5</v>
      </c>
      <c r="C791" s="1087">
        <v>42495</v>
      </c>
      <c r="D791" s="1077" t="s">
        <v>662</v>
      </c>
      <c r="E791" s="1077">
        <v>42499</v>
      </c>
      <c r="F791" s="80" t="s">
        <v>383</v>
      </c>
      <c r="G791" s="949" t="s">
        <v>1496</v>
      </c>
      <c r="H791" s="310" t="s">
        <v>608</v>
      </c>
      <c r="I791" s="406">
        <v>321</v>
      </c>
      <c r="J791" s="406">
        <v>13500</v>
      </c>
      <c r="K791" s="397"/>
      <c r="L791" s="406"/>
      <c r="M791" s="81">
        <f t="shared" si="61"/>
        <v>4333500</v>
      </c>
      <c r="N791" s="1073" t="s">
        <v>270</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customHeight="1">
      <c r="A792" s="323" t="str">
        <f>IF(B792&lt;&gt;"",IF(AND(B792='IN-TC'!$S$4,OR(TH!N792="1111",TH!O792="1111")),TH!D792,""),"")</f>
        <v/>
      </c>
      <c r="B792" s="63">
        <f t="shared" si="57"/>
        <v>5</v>
      </c>
      <c r="C792" s="306">
        <v>42495</v>
      </c>
      <c r="D792" s="1077" t="s">
        <v>662</v>
      </c>
      <c r="E792" s="1077">
        <v>42499</v>
      </c>
      <c r="F792" s="80" t="s">
        <v>383</v>
      </c>
      <c r="G792" s="949" t="s">
        <v>1496</v>
      </c>
      <c r="H792" s="310" t="s">
        <v>608</v>
      </c>
      <c r="I792" s="406">
        <v>904</v>
      </c>
      <c r="J792" s="406">
        <v>21347</v>
      </c>
      <c r="K792" s="397"/>
      <c r="L792" s="406"/>
      <c r="M792" s="81">
        <f t="shared" si="61"/>
        <v>19297688</v>
      </c>
      <c r="N792" s="1073" t="s">
        <v>270</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customHeight="1">
      <c r="A793" s="323" t="str">
        <f>IF(B793&lt;&gt;"",IF(AND(B793='IN-TC'!$S$4,OR(TH!N793="1111",TH!O793="1111")),TH!D793,""),"")</f>
        <v/>
      </c>
      <c r="B793" s="63">
        <f t="shared" si="57"/>
        <v>5</v>
      </c>
      <c r="C793" s="306">
        <v>42495</v>
      </c>
      <c r="D793" s="1077" t="s">
        <v>662</v>
      </c>
      <c r="E793" s="1077">
        <v>42499</v>
      </c>
      <c r="F793" s="80" t="s">
        <v>1494</v>
      </c>
      <c r="G793" s="949" t="s">
        <v>1496</v>
      </c>
      <c r="H793" s="310" t="s">
        <v>608</v>
      </c>
      <c r="I793" s="406">
        <v>72</v>
      </c>
      <c r="J793" s="406">
        <v>21347</v>
      </c>
      <c r="K793" s="397"/>
      <c r="L793" s="406"/>
      <c r="M793" s="81">
        <f t="shared" si="61"/>
        <v>1536984</v>
      </c>
      <c r="N793" s="1073" t="s">
        <v>270</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customHeight="1">
      <c r="A794" s="323" t="str">
        <f>IF(B794&lt;&gt;"",IF(AND(B794='IN-TC'!$S$4,OR(TH!N794="1111",TH!O794="1111")),TH!D794,""),"")</f>
        <v/>
      </c>
      <c r="B794" s="63">
        <f t="shared" si="57"/>
        <v>5</v>
      </c>
      <c r="C794" s="306">
        <v>42495</v>
      </c>
      <c r="D794" s="1077" t="s">
        <v>662</v>
      </c>
      <c r="E794" s="1077">
        <v>42499</v>
      </c>
      <c r="F794" s="80" t="s">
        <v>1495</v>
      </c>
      <c r="G794" s="949" t="s">
        <v>1496</v>
      </c>
      <c r="H794" s="310" t="s">
        <v>608</v>
      </c>
      <c r="I794" s="406">
        <v>132</v>
      </c>
      <c r="J794" s="406">
        <v>21347</v>
      </c>
      <c r="K794" s="397"/>
      <c r="L794" s="406"/>
      <c r="M794" s="81">
        <f t="shared" si="61"/>
        <v>2817804</v>
      </c>
      <c r="N794" s="1073" t="s">
        <v>270</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customHeight="1">
      <c r="A795" s="323" t="str">
        <f>IF(B795&lt;&gt;"",IF(AND(B795='IN-TC'!$S$4,OR(TH!N795="1111",TH!O795="1111")),TH!D795,""),"")</f>
        <v/>
      </c>
      <c r="B795" s="63">
        <f t="shared" si="57"/>
        <v>5</v>
      </c>
      <c r="C795" s="306">
        <v>42499</v>
      </c>
      <c r="D795" s="1077" t="s">
        <v>662</v>
      </c>
      <c r="E795" s="1077">
        <v>42499</v>
      </c>
      <c r="F795" s="80" t="s">
        <v>637</v>
      </c>
      <c r="G795" s="949" t="s">
        <v>1496</v>
      </c>
      <c r="H795" s="310" t="s">
        <v>608</v>
      </c>
      <c r="I795" s="406"/>
      <c r="J795" s="406"/>
      <c r="K795" s="397"/>
      <c r="L795" s="406"/>
      <c r="M795" s="81">
        <v>3039098</v>
      </c>
      <c r="N795" s="1073"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x</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customHeight="1">
      <c r="A796" s="323" t="str">
        <f>IF(B796&lt;&gt;"",IF(AND(B796='IN-TC'!$S$4,OR(TH!N796="1111",TH!O796="1111")),TH!D796,""),"")</f>
        <v/>
      </c>
      <c r="B796" s="63">
        <f t="shared" si="57"/>
        <v>5</v>
      </c>
      <c r="C796" s="64">
        <v>42492</v>
      </c>
      <c r="D796" s="64" t="s">
        <v>671</v>
      </c>
      <c r="E796" s="64">
        <f t="shared" ref="E796:E810" si="62">C796</f>
        <v>42492</v>
      </c>
      <c r="F796" s="67" t="s">
        <v>332</v>
      </c>
      <c r="G796" s="931"/>
      <c r="H796" s="72" t="s">
        <v>439</v>
      </c>
      <c r="I796" s="408">
        <v>25</v>
      </c>
      <c r="J796" s="408">
        <v>35444.444444444445</v>
      </c>
      <c r="K796" s="399"/>
      <c r="L796" s="408"/>
      <c r="M796" s="65">
        <f t="shared" ref="M796:M813" si="63">ROUND(I796*J796,0)</f>
        <v>886111</v>
      </c>
      <c r="N796" s="66" t="s">
        <v>276</v>
      </c>
      <c r="O796" s="66" t="s">
        <v>270</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customHeight="1">
      <c r="A797" s="323" t="str">
        <f>IF(B797&lt;&gt;"",IF(AND(B797='IN-TC'!$S$4,OR(TH!N797="1111",TH!O797="1111")),TH!D797,""),"")</f>
        <v/>
      </c>
      <c r="B797" s="63">
        <f t="shared" si="57"/>
        <v>5</v>
      </c>
      <c r="C797" s="64">
        <v>42492</v>
      </c>
      <c r="D797" s="64" t="s">
        <v>671</v>
      </c>
      <c r="E797" s="64">
        <f t="shared" si="62"/>
        <v>42492</v>
      </c>
      <c r="F797" s="67" t="s">
        <v>338</v>
      </c>
      <c r="G797" s="931"/>
      <c r="H797" s="72" t="s">
        <v>439</v>
      </c>
      <c r="I797" s="408">
        <v>60</v>
      </c>
      <c r="J797" s="408">
        <v>46741.2</v>
      </c>
      <c r="K797" s="399"/>
      <c r="L797" s="408"/>
      <c r="M797" s="65">
        <f t="shared" si="63"/>
        <v>2804472</v>
      </c>
      <c r="N797" s="66" t="s">
        <v>276</v>
      </c>
      <c r="O797" s="66" t="s">
        <v>270</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customHeight="1">
      <c r="A798" s="323" t="str">
        <f>IF(B798&lt;&gt;"",IF(AND(B798='IN-TC'!$S$4,OR(TH!N798="1111",TH!O798="1111")),TH!D798,""),"")</f>
        <v/>
      </c>
      <c r="B798" s="63">
        <f t="shared" si="57"/>
        <v>5</v>
      </c>
      <c r="C798" s="64">
        <v>42492</v>
      </c>
      <c r="D798" s="64" t="s">
        <v>671</v>
      </c>
      <c r="E798" s="64">
        <f t="shared" si="62"/>
        <v>42492</v>
      </c>
      <c r="F798" s="67" t="s">
        <v>341</v>
      </c>
      <c r="G798" s="67"/>
      <c r="H798" s="72" t="s">
        <v>439</v>
      </c>
      <c r="I798" s="408">
        <v>270</v>
      </c>
      <c r="J798" s="408">
        <v>13571.429</v>
      </c>
      <c r="K798" s="399"/>
      <c r="L798" s="408"/>
      <c r="M798" s="65">
        <f t="shared" si="63"/>
        <v>3664286</v>
      </c>
      <c r="N798" s="66" t="s">
        <v>276</v>
      </c>
      <c r="O798" s="66" t="s">
        <v>270</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customHeight="1">
      <c r="A799" s="323" t="str">
        <f>IF(B799&lt;&gt;"",IF(AND(B799='IN-TC'!$S$4,OR(TH!N799="1111",TH!O799="1111")),TH!D799,""),"")</f>
        <v/>
      </c>
      <c r="B799" s="63">
        <f t="shared" si="57"/>
        <v>5</v>
      </c>
      <c r="C799" s="64">
        <v>42492</v>
      </c>
      <c r="D799" s="64" t="s">
        <v>671</v>
      </c>
      <c r="E799" s="64">
        <f t="shared" si="62"/>
        <v>42492</v>
      </c>
      <c r="F799" s="67" t="s">
        <v>218</v>
      </c>
      <c r="G799" s="67"/>
      <c r="H799" s="72" t="s">
        <v>439</v>
      </c>
      <c r="I799" s="408">
        <v>450</v>
      </c>
      <c r="J799" s="408">
        <v>18414.14</v>
      </c>
      <c r="K799" s="399"/>
      <c r="L799" s="408"/>
      <c r="M799" s="65">
        <f t="shared" si="63"/>
        <v>8286363</v>
      </c>
      <c r="N799" s="66" t="s">
        <v>276</v>
      </c>
      <c r="O799" s="66" t="s">
        <v>270</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customHeight="1">
      <c r="A800" s="323" t="str">
        <f>IF(B800&lt;&gt;"",IF(AND(B800='IN-TC'!$S$4,OR(TH!N800="1111",TH!O800="1111")),TH!D800,""),"")</f>
        <v/>
      </c>
      <c r="B800" s="63">
        <f t="shared" si="57"/>
        <v>5</v>
      </c>
      <c r="C800" s="64">
        <v>42492</v>
      </c>
      <c r="D800" s="64" t="s">
        <v>671</v>
      </c>
      <c r="E800" s="64">
        <f t="shared" si="62"/>
        <v>42492</v>
      </c>
      <c r="F800" s="67" t="s">
        <v>346</v>
      </c>
      <c r="G800" s="67"/>
      <c r="H800" s="72" t="s">
        <v>439</v>
      </c>
      <c r="I800" s="408">
        <v>1000</v>
      </c>
      <c r="J800" s="408">
        <v>3200</v>
      </c>
      <c r="K800" s="399"/>
      <c r="L800" s="408"/>
      <c r="M800" s="65">
        <f t="shared" si="63"/>
        <v>3200000</v>
      </c>
      <c r="N800" s="66" t="s">
        <v>276</v>
      </c>
      <c r="O800" s="66" t="s">
        <v>270</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customHeight="1">
      <c r="A801" s="323" t="str">
        <f>IF(B801&lt;&gt;"",IF(AND(B801='IN-TC'!$S$4,OR(TH!N801="1111",TH!O801="1111")),TH!D801,""),"")</f>
        <v/>
      </c>
      <c r="B801" s="63">
        <f t="shared" si="57"/>
        <v>5</v>
      </c>
      <c r="C801" s="64">
        <v>42492</v>
      </c>
      <c r="D801" s="64" t="s">
        <v>671</v>
      </c>
      <c r="E801" s="64">
        <f t="shared" si="62"/>
        <v>42492</v>
      </c>
      <c r="F801" s="67" t="s">
        <v>349</v>
      </c>
      <c r="G801" s="67"/>
      <c r="H801" s="72" t="s">
        <v>439</v>
      </c>
      <c r="I801" s="408">
        <v>1620</v>
      </c>
      <c r="J801" s="408">
        <v>14400</v>
      </c>
      <c r="K801" s="399"/>
      <c r="L801" s="408"/>
      <c r="M801" s="65">
        <f t="shared" si="63"/>
        <v>23328000</v>
      </c>
      <c r="N801" s="66" t="s">
        <v>276</v>
      </c>
      <c r="O801" s="66" t="s">
        <v>270</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customHeight="1">
      <c r="A802" s="323" t="str">
        <f>IF(B802&lt;&gt;"",IF(AND(B802='IN-TC'!$S$4,OR(TH!N802="1111",TH!O802="1111")),TH!D802,""),"")</f>
        <v/>
      </c>
      <c r="B802" s="63">
        <f t="shared" si="57"/>
        <v>5</v>
      </c>
      <c r="C802" s="64">
        <v>42493</v>
      </c>
      <c r="D802" s="64" t="s">
        <v>672</v>
      </c>
      <c r="E802" s="64">
        <f t="shared" si="62"/>
        <v>42493</v>
      </c>
      <c r="F802" s="67" t="s">
        <v>352</v>
      </c>
      <c r="G802" s="67"/>
      <c r="H802" s="72" t="s">
        <v>439</v>
      </c>
      <c r="I802" s="408">
        <v>250</v>
      </c>
      <c r="J802" s="408">
        <v>8500</v>
      </c>
      <c r="K802" s="399"/>
      <c r="L802" s="408"/>
      <c r="M802" s="65">
        <f t="shared" si="63"/>
        <v>2125000</v>
      </c>
      <c r="N802" s="66" t="s">
        <v>276</v>
      </c>
      <c r="O802" s="66" t="s">
        <v>270</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customHeight="1">
      <c r="A803" s="323" t="str">
        <f>IF(B803&lt;&gt;"",IF(AND(B803='IN-TC'!$S$4,OR(TH!N803="1111",TH!O803="1111")),TH!D803,""),"")</f>
        <v/>
      </c>
      <c r="B803" s="63">
        <f t="shared" si="57"/>
        <v>5</v>
      </c>
      <c r="C803" s="64">
        <v>42493</v>
      </c>
      <c r="D803" s="64" t="s">
        <v>672</v>
      </c>
      <c r="E803" s="64">
        <f t="shared" si="62"/>
        <v>42493</v>
      </c>
      <c r="F803" s="67" t="s">
        <v>356</v>
      </c>
      <c r="G803" s="67"/>
      <c r="H803" s="72" t="s">
        <v>439</v>
      </c>
      <c r="I803" s="410">
        <v>80</v>
      </c>
      <c r="J803" s="410">
        <v>33000</v>
      </c>
      <c r="K803" s="401"/>
      <c r="L803" s="410"/>
      <c r="M803" s="65">
        <f t="shared" si="63"/>
        <v>2640000</v>
      </c>
      <c r="N803" s="66" t="s">
        <v>276</v>
      </c>
      <c r="O803" s="66" t="s">
        <v>270</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customHeight="1">
      <c r="A804" s="323" t="str">
        <f>IF(B804&lt;&gt;"",IF(AND(B804='IN-TC'!$S$4,OR(TH!N804="1111",TH!O804="1111")),TH!D804,""),"")</f>
        <v/>
      </c>
      <c r="B804" s="63">
        <f t="shared" si="57"/>
        <v>5</v>
      </c>
      <c r="C804" s="64">
        <v>42500</v>
      </c>
      <c r="D804" s="64" t="s">
        <v>674</v>
      </c>
      <c r="E804" s="64">
        <f t="shared" si="62"/>
        <v>42500</v>
      </c>
      <c r="F804" s="67" t="s">
        <v>394</v>
      </c>
      <c r="G804" s="67"/>
      <c r="H804" s="72" t="s">
        <v>439</v>
      </c>
      <c r="I804" s="410">
        <v>578</v>
      </c>
      <c r="J804" s="410">
        <v>18000</v>
      </c>
      <c r="K804" s="401"/>
      <c r="L804" s="410"/>
      <c r="M804" s="65">
        <f t="shared" si="63"/>
        <v>10404000</v>
      </c>
      <c r="N804" s="66" t="s">
        <v>276</v>
      </c>
      <c r="O804" s="66" t="s">
        <v>270</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customHeight="1">
      <c r="A805" s="323" t="str">
        <f>IF(B805&lt;&gt;"",IF(AND(B805='IN-TC'!$S$4,OR(TH!N805="1111",TH!O805="1111")),TH!D805,""),"")</f>
        <v/>
      </c>
      <c r="B805" s="63">
        <f t="shared" si="57"/>
        <v>5</v>
      </c>
      <c r="C805" s="64">
        <v>42500</v>
      </c>
      <c r="D805" s="64" t="s">
        <v>674</v>
      </c>
      <c r="E805" s="64">
        <f t="shared" si="62"/>
        <v>42500</v>
      </c>
      <c r="F805" s="67" t="s">
        <v>638</v>
      </c>
      <c r="G805" s="67"/>
      <c r="H805" s="72" t="s">
        <v>439</v>
      </c>
      <c r="I805" s="410">
        <v>2200</v>
      </c>
      <c r="J805" s="410">
        <v>14000</v>
      </c>
      <c r="K805" s="401"/>
      <c r="L805" s="410"/>
      <c r="M805" s="65">
        <f t="shared" si="63"/>
        <v>30800000</v>
      </c>
      <c r="N805" s="66" t="s">
        <v>276</v>
      </c>
      <c r="O805" s="66" t="s">
        <v>270</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customHeight="1">
      <c r="A806" s="323" t="str">
        <f>IF(B806&lt;&gt;"",IF(AND(B806='IN-TC'!$S$4,OR(TH!N806="1111",TH!O806="1111")),TH!D806,""),"")</f>
        <v/>
      </c>
      <c r="B806" s="63">
        <f t="shared" si="57"/>
        <v>5</v>
      </c>
      <c r="C806" s="64">
        <v>42495</v>
      </c>
      <c r="D806" s="64" t="s">
        <v>673</v>
      </c>
      <c r="E806" s="64">
        <f t="shared" si="62"/>
        <v>42495</v>
      </c>
      <c r="F806" s="67" t="s">
        <v>380</v>
      </c>
      <c r="G806" s="67"/>
      <c r="H806" s="72" t="s">
        <v>439</v>
      </c>
      <c r="I806" s="410">
        <v>100</v>
      </c>
      <c r="J806" s="410">
        <v>16800</v>
      </c>
      <c r="K806" s="401"/>
      <c r="L806" s="410"/>
      <c r="M806" s="65">
        <f t="shared" si="63"/>
        <v>1680000</v>
      </c>
      <c r="N806" s="66" t="s">
        <v>276</v>
      </c>
      <c r="O806" s="66" t="s">
        <v>270</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customHeight="1">
      <c r="A807" s="323" t="str">
        <f>IF(B807&lt;&gt;"",IF(AND(B807='IN-TC'!$S$4,OR(TH!N807="1111",TH!O807="1111")),TH!D807,""),"")</f>
        <v/>
      </c>
      <c r="B807" s="63">
        <f t="shared" si="57"/>
        <v>5</v>
      </c>
      <c r="C807" s="64">
        <v>42495</v>
      </c>
      <c r="D807" s="64" t="s">
        <v>673</v>
      </c>
      <c r="E807" s="64">
        <f t="shared" si="62"/>
        <v>42495</v>
      </c>
      <c r="F807" s="67" t="s">
        <v>1493</v>
      </c>
      <c r="G807" s="67"/>
      <c r="H807" s="72" t="s">
        <v>439</v>
      </c>
      <c r="I807" s="410">
        <v>62</v>
      </c>
      <c r="J807" s="410">
        <v>13000</v>
      </c>
      <c r="K807" s="401"/>
      <c r="L807" s="410"/>
      <c r="M807" s="65">
        <f t="shared" si="63"/>
        <v>806000</v>
      </c>
      <c r="N807" s="66" t="s">
        <v>276</v>
      </c>
      <c r="O807" s="66" t="s">
        <v>270</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customHeight="1">
      <c r="A808" s="323" t="str">
        <f>IF(B808&lt;&gt;"",IF(AND(B808='IN-TC'!$S$4,OR(TH!N808="1111",TH!O808="1111")),TH!D808,""),"")</f>
        <v/>
      </c>
      <c r="B808" s="63">
        <f t="shared" si="57"/>
        <v>5</v>
      </c>
      <c r="C808" s="64">
        <v>42495</v>
      </c>
      <c r="D808" s="64" t="s">
        <v>673</v>
      </c>
      <c r="E808" s="64">
        <f t="shared" si="62"/>
        <v>42495</v>
      </c>
      <c r="F808" s="67" t="s">
        <v>1492</v>
      </c>
      <c r="G808" s="67"/>
      <c r="H808" s="72" t="s">
        <v>439</v>
      </c>
      <c r="I808" s="410">
        <v>100</v>
      </c>
      <c r="J808" s="410">
        <v>13000</v>
      </c>
      <c r="K808" s="401"/>
      <c r="L808" s="410"/>
      <c r="M808" s="65">
        <f t="shared" si="63"/>
        <v>1300000</v>
      </c>
      <c r="N808" s="66" t="s">
        <v>276</v>
      </c>
      <c r="O808" s="66" t="s">
        <v>270</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customHeight="1">
      <c r="A809" s="323" t="str">
        <f>IF(B809&lt;&gt;"",IF(AND(B809='IN-TC'!$S$4,OR(TH!N809="1111",TH!O809="1111")),TH!D809,""),"")</f>
        <v/>
      </c>
      <c r="B809" s="63">
        <f t="shared" si="57"/>
        <v>5</v>
      </c>
      <c r="C809" s="64">
        <v>42495</v>
      </c>
      <c r="D809" s="64" t="s">
        <v>673</v>
      </c>
      <c r="E809" s="64">
        <f t="shared" si="62"/>
        <v>42495</v>
      </c>
      <c r="F809" s="67" t="s">
        <v>383</v>
      </c>
      <c r="G809" s="67"/>
      <c r="H809" s="72" t="s">
        <v>439</v>
      </c>
      <c r="I809" s="410">
        <v>321</v>
      </c>
      <c r="J809" s="410">
        <v>13500</v>
      </c>
      <c r="K809" s="401"/>
      <c r="L809" s="410"/>
      <c r="M809" s="65">
        <f t="shared" si="63"/>
        <v>4333500</v>
      </c>
      <c r="N809" s="66" t="s">
        <v>276</v>
      </c>
      <c r="O809" s="66" t="s">
        <v>270</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customHeight="1">
      <c r="A810" s="323" t="str">
        <f>IF(B810&lt;&gt;"",IF(AND(B810='IN-TC'!$S$4,OR(TH!N810="1111",TH!O810="1111")),TH!D810,""),"")</f>
        <v/>
      </c>
      <c r="B810" s="63">
        <f t="shared" si="57"/>
        <v>5</v>
      </c>
      <c r="C810" s="64">
        <v>42495</v>
      </c>
      <c r="D810" s="64" t="s">
        <v>673</v>
      </c>
      <c r="E810" s="64">
        <f t="shared" si="62"/>
        <v>42495</v>
      </c>
      <c r="F810" s="67" t="s">
        <v>383</v>
      </c>
      <c r="G810" s="67"/>
      <c r="H810" s="72" t="s">
        <v>439</v>
      </c>
      <c r="I810" s="410">
        <v>93</v>
      </c>
      <c r="J810" s="410">
        <v>12000</v>
      </c>
      <c r="K810" s="401"/>
      <c r="L810" s="410"/>
      <c r="M810" s="65">
        <f t="shared" si="63"/>
        <v>1116000</v>
      </c>
      <c r="N810" s="66" t="s">
        <v>276</v>
      </c>
      <c r="O810" s="66" t="s">
        <v>270</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customHeight="1">
      <c r="A811" s="323" t="str">
        <f>IF(B811&lt;&gt;"",IF(AND(B811='IN-TC'!$S$4,OR(TH!N811="1111",TH!O811="1111")),TH!D811,""),"")</f>
        <v/>
      </c>
      <c r="B811" s="63">
        <f t="shared" si="57"/>
        <v>6</v>
      </c>
      <c r="C811" s="64">
        <v>42530</v>
      </c>
      <c r="D811" s="78" t="s">
        <v>662</v>
      </c>
      <c r="E811" s="78">
        <v>42530</v>
      </c>
      <c r="F811" s="80" t="s">
        <v>383</v>
      </c>
      <c r="G811" s="934" t="s">
        <v>1612</v>
      </c>
      <c r="H811" s="80" t="s">
        <v>608</v>
      </c>
      <c r="I811" s="406">
        <v>312</v>
      </c>
      <c r="J811" s="406">
        <v>13500</v>
      </c>
      <c r="K811" s="397"/>
      <c r="L811" s="406"/>
      <c r="M811" s="81">
        <f t="shared" si="63"/>
        <v>4212000</v>
      </c>
      <c r="N811" s="82" t="s">
        <v>270</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customHeight="1">
      <c r="A812" s="323" t="str">
        <f>IF(B812&lt;&gt;"",IF(AND(B812='IN-TC'!$S$4,OR(TH!N812="1111",TH!O812="1111")),TH!D812,""),"")</f>
        <v/>
      </c>
      <c r="B812" s="63">
        <f t="shared" si="57"/>
        <v>6</v>
      </c>
      <c r="C812" s="64">
        <v>42530</v>
      </c>
      <c r="D812" s="78" t="s">
        <v>662</v>
      </c>
      <c r="E812" s="78">
        <v>42530</v>
      </c>
      <c r="F812" s="80" t="s">
        <v>387</v>
      </c>
      <c r="G812" s="934" t="s">
        <v>1612</v>
      </c>
      <c r="H812" s="80" t="s">
        <v>608</v>
      </c>
      <c r="I812" s="406">
        <v>600</v>
      </c>
      <c r="J812" s="406">
        <v>18000</v>
      </c>
      <c r="K812" s="397"/>
      <c r="L812" s="406"/>
      <c r="M812" s="81">
        <f t="shared" si="63"/>
        <v>10800000</v>
      </c>
      <c r="N812" s="82" t="s">
        <v>270</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customHeight="1">
      <c r="A813" s="323" t="str">
        <f>IF(B813&lt;&gt;"",IF(AND(B813='IN-TC'!$S$4,OR(TH!N813="1111",TH!O813="1111")),TH!D813,""),"")</f>
        <v/>
      </c>
      <c r="B813" s="63">
        <f t="shared" si="57"/>
        <v>6</v>
      </c>
      <c r="C813" s="64">
        <v>42530</v>
      </c>
      <c r="D813" s="78" t="s">
        <v>662</v>
      </c>
      <c r="E813" s="78">
        <v>42530</v>
      </c>
      <c r="F813" s="80" t="s">
        <v>1611</v>
      </c>
      <c r="G813" s="934" t="s">
        <v>1612</v>
      </c>
      <c r="H813" s="80" t="s">
        <v>608</v>
      </c>
      <c r="I813" s="406">
        <v>600</v>
      </c>
      <c r="J813" s="406">
        <v>2400</v>
      </c>
      <c r="K813" s="397"/>
      <c r="L813" s="406"/>
      <c r="M813" s="81">
        <f t="shared" si="63"/>
        <v>1440000</v>
      </c>
      <c r="N813" s="82" t="s">
        <v>270</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customHeight="1">
      <c r="A814" s="323" t="str">
        <f>IF(B814&lt;&gt;"",IF(AND(B814='IN-TC'!$S$4,OR(TH!N814="1111",TH!O814="1111")),TH!D814,""),"")</f>
        <v/>
      </c>
      <c r="B814" s="63">
        <f t="shared" ref="B814:B877" si="64">IF(C814&lt;&gt;"",MONTH(C814),"")</f>
        <v>6</v>
      </c>
      <c r="C814" s="64">
        <v>42530</v>
      </c>
      <c r="D814" s="78" t="s">
        <v>662</v>
      </c>
      <c r="E814" s="78">
        <v>42530</v>
      </c>
      <c r="F814" s="80" t="s">
        <v>637</v>
      </c>
      <c r="G814" s="934" t="s">
        <v>1612</v>
      </c>
      <c r="H814" s="80" t="s">
        <v>608</v>
      </c>
      <c r="I814" s="406"/>
      <c r="J814" s="406"/>
      <c r="K814" s="397"/>
      <c r="L814" s="406"/>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x</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customHeight="1">
      <c r="A815" s="323" t="str">
        <f>IF(B815&lt;&gt;"",IF(AND(B815='IN-TC'!$S$4,OR(TH!N815="1111",TH!O815="1111")),TH!D815,""),"")</f>
        <v/>
      </c>
      <c r="B815" s="63">
        <f t="shared" si="64"/>
        <v>6</v>
      </c>
      <c r="C815" s="64">
        <v>42535</v>
      </c>
      <c r="D815" s="78" t="s">
        <v>663</v>
      </c>
      <c r="E815" s="78">
        <v>42535</v>
      </c>
      <c r="F815" s="80" t="s">
        <v>346</v>
      </c>
      <c r="G815" s="934" t="s">
        <v>1613</v>
      </c>
      <c r="H815" s="918" t="s">
        <v>607</v>
      </c>
      <c r="I815" s="406">
        <v>2000</v>
      </c>
      <c r="J815" s="406">
        <v>3200</v>
      </c>
      <c r="K815" s="397"/>
      <c r="L815" s="406"/>
      <c r="M815" s="81">
        <f>ROUND(I815*J815,0)</f>
        <v>6400000</v>
      </c>
      <c r="N815" s="82" t="s">
        <v>270</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customHeight="1">
      <c r="A816" s="323" t="str">
        <f>IF(B816&lt;&gt;"",IF(AND(B816='IN-TC'!$S$4,OR(TH!N3209="1111",TH!O3209="1111")),TH!D3209,""),"")</f>
        <v/>
      </c>
      <c r="B816" s="63">
        <f t="shared" si="64"/>
        <v>6</v>
      </c>
      <c r="C816" s="90">
        <v>42538</v>
      </c>
      <c r="D816" s="90" t="s">
        <v>690</v>
      </c>
      <c r="E816" s="90">
        <f>C816</f>
        <v>42538</v>
      </c>
      <c r="F816" s="92" t="s">
        <v>1960</v>
      </c>
      <c r="G816" s="91" t="s">
        <v>902</v>
      </c>
      <c r="H816" s="937" t="s">
        <v>1959</v>
      </c>
      <c r="I816" s="414"/>
      <c r="J816" s="414"/>
      <c r="K816" s="405">
        <v>2200</v>
      </c>
      <c r="L816" s="414">
        <v>22265</v>
      </c>
      <c r="M816" s="93">
        <f>ROUND(K816*L816,0)</f>
        <v>48983000</v>
      </c>
      <c r="N816" s="83" t="s">
        <v>8</v>
      </c>
      <c r="O816" s="83" t="s">
        <v>260</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customHeight="1">
      <c r="A817" s="323" t="str">
        <f>IF(B817&lt;&gt;"",IF(AND(B817='IN-TC'!$S$4,OR(TH!N817="1111",TH!O817="1111")),TH!D817,""),"")</f>
        <v/>
      </c>
      <c r="B817" s="63">
        <f t="shared" si="64"/>
        <v>6</v>
      </c>
      <c r="C817" s="64">
        <v>42548</v>
      </c>
      <c r="D817" s="78" t="s">
        <v>665</v>
      </c>
      <c r="E817" s="78">
        <v>42548</v>
      </c>
      <c r="F817" s="80" t="s">
        <v>638</v>
      </c>
      <c r="G817" s="934" t="s">
        <v>1638</v>
      </c>
      <c r="H817" s="80" t="s">
        <v>1639</v>
      </c>
      <c r="I817" s="406">
        <v>2268</v>
      </c>
      <c r="J817" s="406">
        <v>11500</v>
      </c>
      <c r="K817" s="397"/>
      <c r="L817" s="406"/>
      <c r="M817" s="81">
        <f>ROUND(I817*J817,0)</f>
        <v>26082000</v>
      </c>
      <c r="N817" s="82" t="s">
        <v>270</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customHeight="1">
      <c r="A818" s="323" t="str">
        <f>IF(B818&lt;&gt;"",IF(AND(B818='IN-TC'!$S$4,OR(TH!N818="1111",TH!O818="1111")),TH!D818,""),"")</f>
        <v/>
      </c>
      <c r="B818" s="63">
        <f t="shared" si="64"/>
        <v>6</v>
      </c>
      <c r="C818" s="64">
        <v>42548</v>
      </c>
      <c r="D818" s="78" t="s">
        <v>665</v>
      </c>
      <c r="E818" s="78">
        <v>42548</v>
      </c>
      <c r="F818" s="80" t="s">
        <v>639</v>
      </c>
      <c r="G818" s="934" t="s">
        <v>1638</v>
      </c>
      <c r="H818" s="80" t="s">
        <v>1639</v>
      </c>
      <c r="I818" s="406"/>
      <c r="J818" s="406"/>
      <c r="K818" s="397"/>
      <c r="L818" s="406"/>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x</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customHeight="1">
      <c r="A819" s="323" t="str">
        <f>IF(B819&lt;&gt;"",IF(AND(B819='IN-TC'!$S$4,OR(TH!N819="1111",TH!O819="1111")),TH!D819,""),"")</f>
        <v/>
      </c>
      <c r="B819" s="63">
        <f t="shared" si="64"/>
        <v>6</v>
      </c>
      <c r="C819" s="64">
        <v>42551</v>
      </c>
      <c r="D819" s="78" t="s">
        <v>666</v>
      </c>
      <c r="E819" s="78">
        <v>42551</v>
      </c>
      <c r="F819" s="79" t="s">
        <v>394</v>
      </c>
      <c r="G819" s="934" t="s">
        <v>1614</v>
      </c>
      <c r="H819" s="80" t="s">
        <v>608</v>
      </c>
      <c r="I819" s="406">
        <v>600</v>
      </c>
      <c r="J819" s="406">
        <v>18200</v>
      </c>
      <c r="K819" s="397"/>
      <c r="L819" s="406"/>
      <c r="M819" s="81">
        <f>ROUND(I819*J819,0)</f>
        <v>10920000</v>
      </c>
      <c r="N819" s="82" t="s">
        <v>270</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customHeight="1">
      <c r="A820" s="323" t="str">
        <f>IF(B820&lt;&gt;"",IF(AND(B820='IN-TC'!$S$4,OR(TH!N820="1111",TH!O820="1111")),TH!D820,""),"")</f>
        <v/>
      </c>
      <c r="B820" s="63">
        <f t="shared" si="64"/>
        <v>6</v>
      </c>
      <c r="C820" s="64">
        <v>42551</v>
      </c>
      <c r="D820" s="78" t="s">
        <v>666</v>
      </c>
      <c r="E820" s="78">
        <v>42551</v>
      </c>
      <c r="F820" s="80" t="s">
        <v>637</v>
      </c>
      <c r="G820" s="934" t="s">
        <v>1614</v>
      </c>
      <c r="H820" s="80" t="s">
        <v>608</v>
      </c>
      <c r="I820" s="406"/>
      <c r="J820" s="406"/>
      <c r="K820" s="397"/>
      <c r="L820" s="406"/>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x</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customHeight="1">
      <c r="A821" s="323" t="str">
        <f>IF(B821&lt;&gt;"",IF(AND(B821='IN-TC'!$S$4,OR(TH!N821="1111",TH!O821="1111")),TH!D821,""),"")</f>
        <v/>
      </c>
      <c r="B821" s="63">
        <f t="shared" si="64"/>
        <v>6</v>
      </c>
      <c r="C821" s="64">
        <v>42523</v>
      </c>
      <c r="D821" s="64" t="s">
        <v>671</v>
      </c>
      <c r="E821" s="64">
        <f t="shared" ref="E821:E861" si="65">C821</f>
        <v>42523</v>
      </c>
      <c r="F821" s="67" t="s">
        <v>332</v>
      </c>
      <c r="G821" s="931"/>
      <c r="H821" s="72" t="s">
        <v>439</v>
      </c>
      <c r="I821" s="408">
        <v>30</v>
      </c>
      <c r="J821" s="408">
        <v>35444.444444444445</v>
      </c>
      <c r="K821" s="399"/>
      <c r="L821" s="408"/>
      <c r="M821" s="65">
        <f t="shared" ref="M821:M840" si="66">ROUND(I821*J821,0)</f>
        <v>1063333</v>
      </c>
      <c r="N821" s="66" t="s">
        <v>276</v>
      </c>
      <c r="O821" s="66" t="s">
        <v>270</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customHeight="1">
      <c r="A822" s="323" t="str">
        <f>IF(B822&lt;&gt;"",IF(AND(B822='IN-TC'!$S$4,OR(TH!N822="1111",TH!O822="1111")),TH!D822,""),"")</f>
        <v/>
      </c>
      <c r="B822" s="63">
        <f t="shared" si="64"/>
        <v>6</v>
      </c>
      <c r="C822" s="64">
        <v>42523</v>
      </c>
      <c r="D822" s="64" t="s">
        <v>671</v>
      </c>
      <c r="E822" s="64">
        <f t="shared" si="65"/>
        <v>42523</v>
      </c>
      <c r="F822" s="67" t="s">
        <v>338</v>
      </c>
      <c r="G822" s="931"/>
      <c r="H822" s="72" t="s">
        <v>439</v>
      </c>
      <c r="I822" s="408">
        <v>70</v>
      </c>
      <c r="J822" s="408">
        <v>46741.2</v>
      </c>
      <c r="K822" s="399"/>
      <c r="L822" s="408"/>
      <c r="M822" s="65">
        <f t="shared" si="66"/>
        <v>3271884</v>
      </c>
      <c r="N822" s="66" t="s">
        <v>276</v>
      </c>
      <c r="O822" s="66" t="s">
        <v>270</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customHeight="1">
      <c r="A823" s="323" t="str">
        <f>IF(B823&lt;&gt;"",IF(AND(B823='IN-TC'!$S$4,OR(TH!N823="1111",TH!O823="1111")),TH!D823,""),"")</f>
        <v/>
      </c>
      <c r="B823" s="63">
        <f t="shared" si="64"/>
        <v>6</v>
      </c>
      <c r="C823" s="64">
        <v>42523</v>
      </c>
      <c r="D823" s="64" t="s">
        <v>671</v>
      </c>
      <c r="E823" s="64">
        <f t="shared" si="65"/>
        <v>42523</v>
      </c>
      <c r="F823" s="67" t="s">
        <v>341</v>
      </c>
      <c r="G823" s="67"/>
      <c r="H823" s="72" t="s">
        <v>439</v>
      </c>
      <c r="I823" s="408">
        <v>330</v>
      </c>
      <c r="J823" s="408">
        <v>13571.429</v>
      </c>
      <c r="K823" s="399"/>
      <c r="L823" s="408"/>
      <c r="M823" s="65">
        <f t="shared" si="66"/>
        <v>4478572</v>
      </c>
      <c r="N823" s="66" t="s">
        <v>276</v>
      </c>
      <c r="O823" s="66" t="s">
        <v>270</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customHeight="1">
      <c r="A824" s="323" t="str">
        <f>IF(B824&lt;&gt;"",IF(AND(B824='IN-TC'!$S$4,OR(TH!N824="1111",TH!O824="1111")),TH!D824,""),"")</f>
        <v/>
      </c>
      <c r="B824" s="63">
        <f t="shared" si="64"/>
        <v>6</v>
      </c>
      <c r="C824" s="64">
        <v>42535</v>
      </c>
      <c r="D824" s="64" t="s">
        <v>676</v>
      </c>
      <c r="E824" s="64">
        <f t="shared" si="65"/>
        <v>42535</v>
      </c>
      <c r="F824" s="67" t="s">
        <v>346</v>
      </c>
      <c r="G824" s="67"/>
      <c r="H824" s="72" t="s">
        <v>439</v>
      </c>
      <c r="I824" s="408">
        <v>1500</v>
      </c>
      <c r="J824" s="408">
        <v>3200</v>
      </c>
      <c r="K824" s="399"/>
      <c r="L824" s="408"/>
      <c r="M824" s="65">
        <f t="shared" si="66"/>
        <v>4800000</v>
      </c>
      <c r="N824" s="66" t="s">
        <v>276</v>
      </c>
      <c r="O824" s="66" t="s">
        <v>270</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customHeight="1">
      <c r="A825" s="323" t="str">
        <f>IF(B825&lt;&gt;"",IF(AND(B825='IN-TC'!$S$4,OR(TH!N825="1111",TH!O825="1111")),TH!D825,""),"")</f>
        <v/>
      </c>
      <c r="B825" s="63">
        <f t="shared" si="64"/>
        <v>6</v>
      </c>
      <c r="C825" s="64">
        <v>42523</v>
      </c>
      <c r="D825" s="64" t="s">
        <v>671</v>
      </c>
      <c r="E825" s="64">
        <f t="shared" si="65"/>
        <v>42523</v>
      </c>
      <c r="F825" s="67" t="s">
        <v>349</v>
      </c>
      <c r="G825" s="67"/>
      <c r="H825" s="72" t="s">
        <v>439</v>
      </c>
      <c r="I825" s="408">
        <v>3780</v>
      </c>
      <c r="J825" s="408">
        <v>14400</v>
      </c>
      <c r="K825" s="399"/>
      <c r="L825" s="408"/>
      <c r="M825" s="65">
        <f t="shared" si="66"/>
        <v>54432000</v>
      </c>
      <c r="N825" s="66" t="s">
        <v>276</v>
      </c>
      <c r="O825" s="66" t="s">
        <v>270</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customHeight="1">
      <c r="A826" s="323" t="str">
        <f>IF(B826&lt;&gt;"",IF(AND(B826='IN-TC'!$S$4,OR(TH!N826="1111",TH!O826="1111")),TH!D826,""),"")</f>
        <v/>
      </c>
      <c r="B826" s="63">
        <f t="shared" si="64"/>
        <v>6</v>
      </c>
      <c r="C826" s="64">
        <v>42523</v>
      </c>
      <c r="D826" s="64" t="s">
        <v>671</v>
      </c>
      <c r="E826" s="64">
        <f t="shared" si="65"/>
        <v>42523</v>
      </c>
      <c r="F826" s="67" t="s">
        <v>1389</v>
      </c>
      <c r="G826" s="67"/>
      <c r="H826" s="72" t="s">
        <v>439</v>
      </c>
      <c r="I826" s="408">
        <v>100</v>
      </c>
      <c r="J826" s="408">
        <v>12728</v>
      </c>
      <c r="K826" s="399"/>
      <c r="L826" s="408"/>
      <c r="M826" s="65">
        <f t="shared" si="66"/>
        <v>1272800</v>
      </c>
      <c r="N826" s="66" t="s">
        <v>276</v>
      </c>
      <c r="O826" s="66" t="s">
        <v>270</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customHeight="1">
      <c r="A827" s="323" t="str">
        <f>IF(B827&lt;&gt;"",IF(AND(B827='IN-TC'!$S$4,OR(TH!N827="1111",TH!O827="1111")),TH!D827,""),"")</f>
        <v/>
      </c>
      <c r="B827" s="63">
        <f t="shared" si="64"/>
        <v>6</v>
      </c>
      <c r="C827" s="64">
        <v>42526</v>
      </c>
      <c r="D827" s="64" t="s">
        <v>672</v>
      </c>
      <c r="E827" s="64">
        <f t="shared" si="65"/>
        <v>42526</v>
      </c>
      <c r="F827" s="67" t="s">
        <v>352</v>
      </c>
      <c r="G827" s="67"/>
      <c r="H827" s="72" t="s">
        <v>439</v>
      </c>
      <c r="I827" s="408">
        <v>300</v>
      </c>
      <c r="J827" s="408">
        <v>8500</v>
      </c>
      <c r="K827" s="399"/>
      <c r="L827" s="408"/>
      <c r="M827" s="65">
        <f t="shared" si="66"/>
        <v>2550000</v>
      </c>
      <c r="N827" s="66" t="s">
        <v>276</v>
      </c>
      <c r="O827" s="66" t="s">
        <v>270</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customHeight="1">
      <c r="A828" s="323" t="str">
        <f>IF(B828&lt;&gt;"",IF(AND(B828='IN-TC'!$S$4,OR(TH!N828="1111",TH!O828="1111")),TH!D828,""),"")</f>
        <v/>
      </c>
      <c r="B828" s="63">
        <f t="shared" si="64"/>
        <v>6</v>
      </c>
      <c r="C828" s="64">
        <v>42526</v>
      </c>
      <c r="D828" s="64" t="s">
        <v>672</v>
      </c>
      <c r="E828" s="64">
        <f t="shared" si="65"/>
        <v>42526</v>
      </c>
      <c r="F828" s="67" t="s">
        <v>356</v>
      </c>
      <c r="G828" s="67"/>
      <c r="H828" s="72" t="s">
        <v>439</v>
      </c>
      <c r="I828" s="410">
        <v>270</v>
      </c>
      <c r="J828" s="410">
        <v>33000</v>
      </c>
      <c r="K828" s="401"/>
      <c r="L828" s="410"/>
      <c r="M828" s="65">
        <f t="shared" si="66"/>
        <v>8910000</v>
      </c>
      <c r="N828" s="66" t="s">
        <v>276</v>
      </c>
      <c r="O828" s="66" t="s">
        <v>270</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customHeight="1">
      <c r="A829" s="323" t="str">
        <f>IF(B829&lt;&gt;"",IF(AND(B829='IN-TC'!$S$4,OR(TH!N829="1111",TH!O829="1111")),TH!D829,""),"")</f>
        <v/>
      </c>
      <c r="B829" s="63">
        <f t="shared" si="64"/>
        <v>6</v>
      </c>
      <c r="C829" s="64">
        <v>42531</v>
      </c>
      <c r="D829" s="64" t="s">
        <v>674</v>
      </c>
      <c r="E829" s="64">
        <f t="shared" si="65"/>
        <v>42531</v>
      </c>
      <c r="F829" s="67" t="s">
        <v>1611</v>
      </c>
      <c r="G829" s="67"/>
      <c r="H829" s="72" t="s">
        <v>439</v>
      </c>
      <c r="I829" s="410">
        <v>360</v>
      </c>
      <c r="J829" s="410">
        <v>2400</v>
      </c>
      <c r="K829" s="401"/>
      <c r="L829" s="410"/>
      <c r="M829" s="65">
        <f t="shared" si="66"/>
        <v>864000</v>
      </c>
      <c r="N829" s="66" t="s">
        <v>276</v>
      </c>
      <c r="O829" s="66" t="s">
        <v>270</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customHeight="1">
      <c r="A830" s="323" t="str">
        <f>IF(B830&lt;&gt;"",IF(AND(B830='IN-TC'!$S$4,OR(TH!N830="1111",TH!O830="1111")),TH!D830,""),"")</f>
        <v/>
      </c>
      <c r="B830" s="63">
        <f t="shared" si="64"/>
        <v>6</v>
      </c>
      <c r="C830" s="64">
        <v>42531</v>
      </c>
      <c r="D830" s="64" t="s">
        <v>674</v>
      </c>
      <c r="E830" s="64">
        <f t="shared" si="65"/>
        <v>42531</v>
      </c>
      <c r="F830" s="67" t="s">
        <v>387</v>
      </c>
      <c r="G830" s="67"/>
      <c r="H830" s="72" t="s">
        <v>439</v>
      </c>
      <c r="I830" s="410">
        <v>360</v>
      </c>
      <c r="J830" s="410">
        <v>18000</v>
      </c>
      <c r="K830" s="401"/>
      <c r="L830" s="410"/>
      <c r="M830" s="65">
        <f t="shared" si="66"/>
        <v>6480000</v>
      </c>
      <c r="N830" s="66" t="s">
        <v>276</v>
      </c>
      <c r="O830" s="66" t="s">
        <v>270</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customHeight="1">
      <c r="A831" s="323" t="str">
        <f>IF(B831&lt;&gt;"",IF(AND(B831='IN-TC'!$S$4,OR(TH!N831="1111",TH!O831="1111")),TH!D831,""),"")</f>
        <v/>
      </c>
      <c r="B831" s="63">
        <f t="shared" si="64"/>
        <v>6</v>
      </c>
      <c r="C831" s="64">
        <v>42534</v>
      </c>
      <c r="D831" s="64" t="s">
        <v>675</v>
      </c>
      <c r="E831" s="64">
        <f t="shared" si="65"/>
        <v>42534</v>
      </c>
      <c r="F831" s="67" t="s">
        <v>380</v>
      </c>
      <c r="G831" s="67"/>
      <c r="H831" s="72" t="s">
        <v>439</v>
      </c>
      <c r="I831" s="410">
        <v>140</v>
      </c>
      <c r="J831" s="410">
        <v>5000</v>
      </c>
      <c r="K831" s="401"/>
      <c r="L831" s="410"/>
      <c r="M831" s="65">
        <f t="shared" si="66"/>
        <v>700000</v>
      </c>
      <c r="N831" s="66" t="s">
        <v>276</v>
      </c>
      <c r="O831" s="66" t="s">
        <v>270</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customHeight="1">
      <c r="A832" s="323" t="str">
        <f>IF(B832&lt;&gt;"",IF(AND(B832='IN-TC'!$S$4,OR(TH!N832="1111",TH!O832="1111")),TH!D832,""),"")</f>
        <v/>
      </c>
      <c r="B832" s="63">
        <f t="shared" si="64"/>
        <v>6</v>
      </c>
      <c r="C832" s="64">
        <v>42534</v>
      </c>
      <c r="D832" s="64" t="s">
        <v>675</v>
      </c>
      <c r="E832" s="64">
        <f t="shared" si="65"/>
        <v>42534</v>
      </c>
      <c r="F832" s="67" t="s">
        <v>380</v>
      </c>
      <c r="G832" s="67"/>
      <c r="H832" s="72" t="s">
        <v>439</v>
      </c>
      <c r="I832" s="410">
        <v>430</v>
      </c>
      <c r="J832" s="410">
        <v>5000</v>
      </c>
      <c r="K832" s="401"/>
      <c r="L832" s="410"/>
      <c r="M832" s="65">
        <f t="shared" si="66"/>
        <v>2150000</v>
      </c>
      <c r="N832" s="66" t="s">
        <v>276</v>
      </c>
      <c r="O832" s="66" t="s">
        <v>270</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customHeight="1">
      <c r="A833" s="323" t="str">
        <f>IF(B833&lt;&gt;"",IF(AND(B833='IN-TC'!$S$4,OR(TH!N833="1111",TH!O833="1111")),TH!D833,""),"")</f>
        <v/>
      </c>
      <c r="B833" s="63">
        <f t="shared" si="64"/>
        <v>6</v>
      </c>
      <c r="C833" s="64">
        <v>42526</v>
      </c>
      <c r="D833" s="64" t="s">
        <v>673</v>
      </c>
      <c r="E833" s="64">
        <f t="shared" si="65"/>
        <v>42526</v>
      </c>
      <c r="F833" s="67" t="s">
        <v>383</v>
      </c>
      <c r="G833" s="67"/>
      <c r="H833" s="72" t="s">
        <v>439</v>
      </c>
      <c r="I833" s="410">
        <v>904</v>
      </c>
      <c r="J833" s="410">
        <v>21347</v>
      </c>
      <c r="K833" s="401"/>
      <c r="L833" s="410"/>
      <c r="M833" s="65">
        <f t="shared" si="66"/>
        <v>19297688</v>
      </c>
      <c r="N833" s="66" t="s">
        <v>276</v>
      </c>
      <c r="O833" s="66" t="s">
        <v>270</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customHeight="1">
      <c r="A834" s="323" t="str">
        <f>IF(B834&lt;&gt;"",IF(AND(B834='IN-TC'!$S$4,OR(TH!N834="1111",TH!O834="1111")),TH!D834,""),"")</f>
        <v/>
      </c>
      <c r="B834" s="63">
        <f t="shared" si="64"/>
        <v>6</v>
      </c>
      <c r="C834" s="64">
        <v>42526</v>
      </c>
      <c r="D834" s="64" t="s">
        <v>673</v>
      </c>
      <c r="E834" s="64">
        <f t="shared" si="65"/>
        <v>42526</v>
      </c>
      <c r="F834" s="67" t="s">
        <v>1494</v>
      </c>
      <c r="G834" s="67"/>
      <c r="H834" s="72" t="s">
        <v>439</v>
      </c>
      <c r="I834" s="410">
        <v>72</v>
      </c>
      <c r="J834" s="410">
        <v>21347</v>
      </c>
      <c r="K834" s="401"/>
      <c r="L834" s="410"/>
      <c r="M834" s="65">
        <f t="shared" si="66"/>
        <v>1536984</v>
      </c>
      <c r="N834" s="66" t="s">
        <v>276</v>
      </c>
      <c r="O834" s="66" t="s">
        <v>270</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customHeight="1">
      <c r="A835" s="323" t="str">
        <f>IF(B835&lt;&gt;"",IF(AND(B835='IN-TC'!$S$4,OR(TH!N835="1111",TH!O835="1111")),TH!D835,""),"")</f>
        <v/>
      </c>
      <c r="B835" s="63">
        <f t="shared" si="64"/>
        <v>6</v>
      </c>
      <c r="C835" s="64">
        <v>42526</v>
      </c>
      <c r="D835" s="64" t="s">
        <v>673</v>
      </c>
      <c r="E835" s="64">
        <f t="shared" si="65"/>
        <v>42526</v>
      </c>
      <c r="F835" s="67" t="s">
        <v>1495</v>
      </c>
      <c r="G835" s="67"/>
      <c r="H835" s="72" t="s">
        <v>439</v>
      </c>
      <c r="I835" s="410">
        <v>132</v>
      </c>
      <c r="J835" s="410">
        <v>21347</v>
      </c>
      <c r="K835" s="401"/>
      <c r="L835" s="410"/>
      <c r="M835" s="65">
        <f t="shared" si="66"/>
        <v>2817804</v>
      </c>
      <c r="N835" s="66" t="s">
        <v>276</v>
      </c>
      <c r="O835" s="66" t="s">
        <v>270</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customHeight="1">
      <c r="A836" s="323" t="str">
        <f>IF(B836&lt;&gt;"",IF(AND(B836='IN-TC'!$S$4,OR(TH!N836="1111",TH!O836="1111")),TH!D836,""),"")</f>
        <v/>
      </c>
      <c r="B836" s="63">
        <f t="shared" si="64"/>
        <v>6</v>
      </c>
      <c r="C836" s="64">
        <v>42531</v>
      </c>
      <c r="D836" s="64" t="s">
        <v>674</v>
      </c>
      <c r="E836" s="64">
        <f t="shared" si="65"/>
        <v>42531</v>
      </c>
      <c r="F836" s="67" t="s">
        <v>383</v>
      </c>
      <c r="G836" s="67"/>
      <c r="H836" s="72" t="s">
        <v>439</v>
      </c>
      <c r="I836" s="410">
        <v>120</v>
      </c>
      <c r="J836" s="410">
        <v>13500</v>
      </c>
      <c r="K836" s="401"/>
      <c r="L836" s="410"/>
      <c r="M836" s="65">
        <f t="shared" si="66"/>
        <v>1620000</v>
      </c>
      <c r="N836" s="66" t="s">
        <v>276</v>
      </c>
      <c r="O836" s="66" t="s">
        <v>270</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customHeight="1">
      <c r="A837" s="323" t="str">
        <f>IF(B837&lt;&gt;"",IF(AND(B837='IN-TC'!$S$4,OR(TH!N837="1111",TH!O837="1111")),TH!D837,""),"")</f>
        <v/>
      </c>
      <c r="B837" s="63">
        <f t="shared" si="64"/>
        <v>6</v>
      </c>
      <c r="C837" s="64">
        <v>42531</v>
      </c>
      <c r="D837" s="64" t="s">
        <v>674</v>
      </c>
      <c r="E837" s="64">
        <f t="shared" si="65"/>
        <v>42531</v>
      </c>
      <c r="F837" s="67" t="s">
        <v>374</v>
      </c>
      <c r="G837" s="67"/>
      <c r="H837" s="72" t="s">
        <v>439</v>
      </c>
      <c r="I837" s="410">
        <v>7828</v>
      </c>
      <c r="J837" s="410">
        <v>5780.8622078968574</v>
      </c>
      <c r="K837" s="401"/>
      <c r="L837" s="410"/>
      <c r="M837" s="65">
        <f t="shared" si="66"/>
        <v>45252589</v>
      </c>
      <c r="N837" s="66" t="s">
        <v>276</v>
      </c>
      <c r="O837" s="66" t="s">
        <v>270</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customHeight="1">
      <c r="A838" s="323" t="str">
        <f>IF(B838&lt;&gt;"",IF(AND(B838='IN-TC'!$S$4,OR(TH!N838="1111",TH!O838="1111")),TH!D838,""),"")</f>
        <v/>
      </c>
      <c r="B838" s="63">
        <f t="shared" si="64"/>
        <v>6</v>
      </c>
      <c r="C838" s="64">
        <v>42536</v>
      </c>
      <c r="D838" s="64" t="s">
        <v>2647</v>
      </c>
      <c r="E838" s="64">
        <f t="shared" si="65"/>
        <v>42536</v>
      </c>
      <c r="F838" s="67" t="s">
        <v>367</v>
      </c>
      <c r="G838" s="67"/>
      <c r="H838" s="72" t="s">
        <v>439</v>
      </c>
      <c r="I838" s="410">
        <v>295214</v>
      </c>
      <c r="J838" s="410">
        <v>346.98655890303303</v>
      </c>
      <c r="K838" s="401"/>
      <c r="L838" s="410"/>
      <c r="M838" s="65">
        <f t="shared" si="66"/>
        <v>102435290</v>
      </c>
      <c r="N838" s="66" t="s">
        <v>276</v>
      </c>
      <c r="O838" s="66" t="s">
        <v>270</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ht="15.75" customHeight="1">
      <c r="A839" s="323" t="str">
        <f>IF(B839&lt;&gt;"",IF(AND(B839='IN-TC'!$S$4,OR(TH!N839="1111",TH!O839="1111")),TH!D839,""),"")</f>
        <v/>
      </c>
      <c r="B839" s="63">
        <f t="shared" si="64"/>
        <v>6</v>
      </c>
      <c r="C839" s="64">
        <v>42536</v>
      </c>
      <c r="D839" s="64" t="s">
        <v>2647</v>
      </c>
      <c r="E839" s="64">
        <f t="shared" si="65"/>
        <v>42536</v>
      </c>
      <c r="F839" s="67" t="s">
        <v>370</v>
      </c>
      <c r="G839" s="67"/>
      <c r="H839" s="72" t="s">
        <v>439</v>
      </c>
      <c r="I839" s="410">
        <v>6600</v>
      </c>
      <c r="J839" s="410">
        <v>545</v>
      </c>
      <c r="K839" s="401"/>
      <c r="L839" s="410"/>
      <c r="M839" s="65">
        <f t="shared" si="66"/>
        <v>3597000</v>
      </c>
      <c r="N839" s="66" t="s">
        <v>276</v>
      </c>
      <c r="O839" s="66" t="s">
        <v>270</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0" ht="15.75" customHeight="1">
      <c r="A840" s="323" t="str">
        <f>IF(B840&lt;&gt;"",IF(AND(B840='IN-TC'!$S$4,OR(TH!N840="1111",TH!O840="1111")),TH!D840,""),"")</f>
        <v/>
      </c>
      <c r="B840" s="63">
        <f t="shared" si="64"/>
        <v>6</v>
      </c>
      <c r="C840" s="64">
        <v>42536</v>
      </c>
      <c r="D840" s="64" t="s">
        <v>2647</v>
      </c>
      <c r="E840" s="64">
        <f t="shared" si="65"/>
        <v>42536</v>
      </c>
      <c r="F840" s="67" t="s">
        <v>365</v>
      </c>
      <c r="G840" s="67"/>
      <c r="H840" s="72" t="s">
        <v>439</v>
      </c>
      <c r="I840" s="410">
        <v>12300</v>
      </c>
      <c r="J840" s="410">
        <v>235</v>
      </c>
      <c r="K840" s="401"/>
      <c r="L840" s="410"/>
      <c r="M840" s="65">
        <f t="shared" si="66"/>
        <v>2890500</v>
      </c>
      <c r="N840" s="66" t="s">
        <v>276</v>
      </c>
      <c r="O840" s="66" t="s">
        <v>270</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ht="15.75" customHeight="1">
      <c r="A841" s="323" t="str">
        <f>IF(B841&lt;&gt;"",IF(AND(B841='IN-TC'!$S$4,OR(TH!N2872="1111",TH!O2872="1111")),TH!D2872,""),"")</f>
        <v/>
      </c>
      <c r="B841" s="63">
        <f t="shared" si="64"/>
        <v>4</v>
      </c>
      <c r="C841" s="64">
        <v>42471</v>
      </c>
      <c r="D841" s="64" t="s">
        <v>859</v>
      </c>
      <c r="E841" s="64">
        <f t="shared" si="65"/>
        <v>42471</v>
      </c>
      <c r="F841" s="72" t="s">
        <v>1395</v>
      </c>
      <c r="G841" s="931" t="s">
        <v>1390</v>
      </c>
      <c r="H841" s="72" t="s">
        <v>1391</v>
      </c>
      <c r="I841" s="408"/>
      <c r="J841" s="408"/>
      <c r="K841" s="399"/>
      <c r="L841" s="408"/>
      <c r="M841" s="65">
        <v>1400080</v>
      </c>
      <c r="N841" s="66" t="s">
        <v>8</v>
      </c>
      <c r="O841" s="66" t="s">
        <v>61</v>
      </c>
      <c r="P841" s="82" t="str">
        <f>IF(AND('331-CT'!$E$7=TH!H841,OR(N841="331",O841="331")),"x","")</f>
        <v/>
      </c>
      <c r="Q841" s="82" t="str">
        <f>IF(AND(B841='111'!$L$11,OR($N841=$Q$7,$O841=$Q$7)),"x","")</f>
        <v/>
      </c>
      <c r="R841" s="82" t="str">
        <f>IF(AND($N841=$Q$7,$B841&lt;'111'!$L$11),"x","")</f>
        <v/>
      </c>
      <c r="S841" s="82" t="str">
        <f>IF(AND($O841=$Q$7,$B841&lt;'111'!$L$11),"x","")</f>
        <v>x</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customHeight="1">
      <c r="A842" s="323" t="str">
        <f>IF(B842&lt;&gt;"",IF(AND(B842='IN-TC'!$S$4,OR(TH!N841="1111",TH!O841="1111")),TH!D841,""),"")</f>
        <v/>
      </c>
      <c r="B842" s="63">
        <f t="shared" si="64"/>
        <v>7</v>
      </c>
      <c r="C842" s="64">
        <v>42567</v>
      </c>
      <c r="D842" s="78" t="s">
        <v>662</v>
      </c>
      <c r="E842" s="78">
        <f t="shared" si="65"/>
        <v>42567</v>
      </c>
      <c r="F842" s="79" t="s">
        <v>1389</v>
      </c>
      <c r="G842" s="934" t="s">
        <v>1711</v>
      </c>
      <c r="H842" s="80" t="s">
        <v>1391</v>
      </c>
      <c r="I842" s="406">
        <v>500</v>
      </c>
      <c r="J842" s="406">
        <v>12728</v>
      </c>
      <c r="K842" s="397"/>
      <c r="L842" s="406"/>
      <c r="M842" s="81">
        <f>I842*J842</f>
        <v>6364000</v>
      </c>
      <c r="N842" s="82" t="s">
        <v>270</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customHeight="1">
      <c r="A843" s="323" t="str">
        <f>IF(B843&lt;&gt;"",IF(AND(B843='IN-TC'!$S$4,OR(TH!N843="1111",TH!O843="1111")),TH!D843,""),"")</f>
        <v/>
      </c>
      <c r="B843" s="63">
        <f t="shared" si="64"/>
        <v>7</v>
      </c>
      <c r="C843" s="64">
        <v>42552</v>
      </c>
      <c r="D843" s="64" t="s">
        <v>671</v>
      </c>
      <c r="E843" s="64">
        <f t="shared" si="65"/>
        <v>42552</v>
      </c>
      <c r="F843" s="67" t="s">
        <v>332</v>
      </c>
      <c r="G843" s="931"/>
      <c r="H843" s="72" t="s">
        <v>439</v>
      </c>
      <c r="I843" s="408">
        <v>10</v>
      </c>
      <c r="J843" s="408">
        <v>35444.444444444445</v>
      </c>
      <c r="K843" s="399"/>
      <c r="L843" s="408"/>
      <c r="M843" s="65">
        <f t="shared" ref="M843:M860" si="67">ROUND(I843*J843,0)</f>
        <v>354444</v>
      </c>
      <c r="N843" s="66" t="s">
        <v>276</v>
      </c>
      <c r="O843" s="66" t="s">
        <v>270</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customHeight="1">
      <c r="A844" s="323" t="str">
        <f>IF(B844&lt;&gt;"",IF(AND(B844='IN-TC'!$S$4,OR(TH!N844="1111",TH!O844="1111")),TH!D844,""),"")</f>
        <v/>
      </c>
      <c r="B844" s="63">
        <f t="shared" si="64"/>
        <v>7</v>
      </c>
      <c r="C844" s="64">
        <v>42552</v>
      </c>
      <c r="D844" s="64" t="s">
        <v>671</v>
      </c>
      <c r="E844" s="64">
        <f t="shared" si="65"/>
        <v>42552</v>
      </c>
      <c r="F844" s="67" t="s">
        <v>338</v>
      </c>
      <c r="G844" s="931"/>
      <c r="H844" s="72" t="s">
        <v>439</v>
      </c>
      <c r="I844" s="408">
        <v>20</v>
      </c>
      <c r="J844" s="408">
        <v>46741.2</v>
      </c>
      <c r="K844" s="399"/>
      <c r="L844" s="408"/>
      <c r="M844" s="65">
        <f t="shared" si="67"/>
        <v>934824</v>
      </c>
      <c r="N844" s="66" t="s">
        <v>276</v>
      </c>
      <c r="O844" s="66" t="s">
        <v>270</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customHeight="1">
      <c r="A845" s="323" t="str">
        <f>IF(B845&lt;&gt;"",IF(AND(B845='IN-TC'!$S$4,OR(TH!N845="1111",TH!O845="1111")),TH!D845,""),"")</f>
        <v/>
      </c>
      <c r="B845" s="63">
        <f t="shared" si="64"/>
        <v>7</v>
      </c>
      <c r="C845" s="64">
        <v>42552</v>
      </c>
      <c r="D845" s="64" t="s">
        <v>671</v>
      </c>
      <c r="E845" s="64">
        <f t="shared" si="65"/>
        <v>42552</v>
      </c>
      <c r="F845" s="67" t="s">
        <v>341</v>
      </c>
      <c r="G845" s="67"/>
      <c r="H845" s="72" t="s">
        <v>439</v>
      </c>
      <c r="I845" s="408">
        <v>250</v>
      </c>
      <c r="J845" s="408">
        <v>14523.81</v>
      </c>
      <c r="K845" s="399"/>
      <c r="L845" s="408"/>
      <c r="M845" s="65">
        <f t="shared" si="67"/>
        <v>3630953</v>
      </c>
      <c r="N845" s="66" t="s">
        <v>276</v>
      </c>
      <c r="O845" s="66" t="s">
        <v>270</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customHeight="1">
      <c r="A846" s="323" t="str">
        <f>IF(B846&lt;&gt;"",IF(AND(B846='IN-TC'!$S$4,OR(TH!N846="1111",TH!O846="1111")),TH!D846,""),"")</f>
        <v/>
      </c>
      <c r="B846" s="63">
        <f t="shared" si="64"/>
        <v>7</v>
      </c>
      <c r="C846" s="64">
        <v>42552</v>
      </c>
      <c r="D846" s="64" t="s">
        <v>671</v>
      </c>
      <c r="E846" s="64">
        <f t="shared" si="65"/>
        <v>42552</v>
      </c>
      <c r="F846" s="67" t="s">
        <v>346</v>
      </c>
      <c r="G846" s="67"/>
      <c r="H846" s="72" t="s">
        <v>439</v>
      </c>
      <c r="I846" s="408">
        <v>500</v>
      </c>
      <c r="J846" s="408">
        <v>3200</v>
      </c>
      <c r="K846" s="399"/>
      <c r="L846" s="408"/>
      <c r="M846" s="65">
        <f t="shared" si="67"/>
        <v>1600000</v>
      </c>
      <c r="N846" s="66" t="s">
        <v>276</v>
      </c>
      <c r="O846" s="66" t="s">
        <v>270</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customHeight="1">
      <c r="A847" s="323" t="str">
        <f>IF(B847&lt;&gt;"",IF(AND(B847='IN-TC'!$S$4,OR(TH!N847="1111",TH!O847="1111")),TH!D847,""),"")</f>
        <v/>
      </c>
      <c r="B847" s="63">
        <f t="shared" si="64"/>
        <v>7</v>
      </c>
      <c r="C847" s="64">
        <v>42552</v>
      </c>
      <c r="D847" s="64" t="s">
        <v>671</v>
      </c>
      <c r="E847" s="64">
        <f t="shared" si="65"/>
        <v>42552</v>
      </c>
      <c r="F847" s="67" t="s">
        <v>349</v>
      </c>
      <c r="G847" s="67"/>
      <c r="H847" s="72" t="s">
        <v>439</v>
      </c>
      <c r="I847" s="408">
        <v>270</v>
      </c>
      <c r="J847" s="408">
        <v>14728</v>
      </c>
      <c r="K847" s="399"/>
      <c r="L847" s="408"/>
      <c r="M847" s="65">
        <f t="shared" si="67"/>
        <v>3976560</v>
      </c>
      <c r="N847" s="66" t="s">
        <v>276</v>
      </c>
      <c r="O847" s="66" t="s">
        <v>270</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customHeight="1">
      <c r="A848" s="323" t="str">
        <f>IF(B848&lt;&gt;"",IF(AND(B848='IN-TC'!$S$4,OR(TH!N848="1111",TH!O848="1111")),TH!D848,""),"")</f>
        <v/>
      </c>
      <c r="B848" s="63">
        <f t="shared" si="64"/>
        <v>7</v>
      </c>
      <c r="C848" s="64">
        <v>42552</v>
      </c>
      <c r="D848" s="64" t="s">
        <v>671</v>
      </c>
      <c r="E848" s="64">
        <f t="shared" si="65"/>
        <v>42552</v>
      </c>
      <c r="F848" s="67" t="s">
        <v>1389</v>
      </c>
      <c r="G848" s="67"/>
      <c r="H848" s="72" t="s">
        <v>439</v>
      </c>
      <c r="I848" s="408">
        <v>100</v>
      </c>
      <c r="J848" s="408">
        <v>12728</v>
      </c>
      <c r="K848" s="399"/>
      <c r="L848" s="408"/>
      <c r="M848" s="65">
        <f t="shared" si="67"/>
        <v>1272800</v>
      </c>
      <c r="N848" s="66" t="s">
        <v>276</v>
      </c>
      <c r="O848" s="66" t="s">
        <v>270</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customHeight="1">
      <c r="A849" s="323" t="str">
        <f>IF(B849&lt;&gt;"",IF(AND(B849='IN-TC'!$S$4,OR(TH!N849="1111",TH!O849="1111")),TH!D849,""),"")</f>
        <v/>
      </c>
      <c r="B849" s="63">
        <f t="shared" si="64"/>
        <v>7</v>
      </c>
      <c r="C849" s="64">
        <v>42556</v>
      </c>
      <c r="D849" s="64" t="s">
        <v>672</v>
      </c>
      <c r="E849" s="64">
        <f t="shared" si="65"/>
        <v>42556</v>
      </c>
      <c r="F849" s="67" t="s">
        <v>352</v>
      </c>
      <c r="G849" s="67"/>
      <c r="H849" s="72" t="s">
        <v>439</v>
      </c>
      <c r="I849" s="408">
        <v>100</v>
      </c>
      <c r="J849" s="408">
        <v>8500</v>
      </c>
      <c r="K849" s="399"/>
      <c r="L849" s="408"/>
      <c r="M849" s="65">
        <f t="shared" si="67"/>
        <v>850000</v>
      </c>
      <c r="N849" s="66" t="s">
        <v>276</v>
      </c>
      <c r="O849" s="66" t="s">
        <v>270</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customHeight="1">
      <c r="A850" s="323" t="str">
        <f>IF(B850&lt;&gt;"",IF(AND(B850='IN-TC'!$S$4,OR(TH!N850="1111",TH!O850="1111")),TH!D850,""),"")</f>
        <v/>
      </c>
      <c r="B850" s="63">
        <f t="shared" si="64"/>
        <v>7</v>
      </c>
      <c r="C850" s="64">
        <v>42556</v>
      </c>
      <c r="D850" s="64" t="s">
        <v>672</v>
      </c>
      <c r="E850" s="64">
        <f t="shared" si="65"/>
        <v>42556</v>
      </c>
      <c r="F850" s="67" t="s">
        <v>356</v>
      </c>
      <c r="G850" s="67"/>
      <c r="H850" s="72" t="s">
        <v>439</v>
      </c>
      <c r="I850" s="410">
        <v>100</v>
      </c>
      <c r="J850" s="410">
        <v>33000</v>
      </c>
      <c r="K850" s="401"/>
      <c r="L850" s="410"/>
      <c r="M850" s="65">
        <f t="shared" si="67"/>
        <v>3300000</v>
      </c>
      <c r="N850" s="66" t="s">
        <v>276</v>
      </c>
      <c r="O850" s="66" t="s">
        <v>270</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customHeight="1">
      <c r="A851" s="323" t="str">
        <f>IF(B851&lt;&gt;"",IF(AND(B851='IN-TC'!$S$4,OR(TH!N851="1111",TH!O851="1111")),TH!D851,""),"")</f>
        <v/>
      </c>
      <c r="B851" s="63">
        <f t="shared" si="64"/>
        <v>7</v>
      </c>
      <c r="C851" s="64">
        <v>42556</v>
      </c>
      <c r="D851" s="64" t="s">
        <v>673</v>
      </c>
      <c r="E851" s="64">
        <f t="shared" si="65"/>
        <v>42556</v>
      </c>
      <c r="F851" s="67" t="s">
        <v>394</v>
      </c>
      <c r="G851" s="67"/>
      <c r="H851" s="72" t="s">
        <v>439</v>
      </c>
      <c r="I851" s="410">
        <v>600</v>
      </c>
      <c r="J851" s="410">
        <v>18200</v>
      </c>
      <c r="K851" s="401"/>
      <c r="L851" s="410"/>
      <c r="M851" s="65">
        <f t="shared" si="67"/>
        <v>10920000</v>
      </c>
      <c r="N851" s="66" t="s">
        <v>276</v>
      </c>
      <c r="O851" s="66" t="s">
        <v>270</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customHeight="1">
      <c r="A852" s="323" t="str">
        <f>IF(B852&lt;&gt;"",IF(AND(B852='IN-TC'!$S$4,OR(TH!N852="1111",TH!O852="1111")),TH!D852,""),"")</f>
        <v/>
      </c>
      <c r="B852" s="63">
        <f t="shared" si="64"/>
        <v>7</v>
      </c>
      <c r="C852" s="64">
        <v>42556</v>
      </c>
      <c r="D852" s="64" t="s">
        <v>673</v>
      </c>
      <c r="E852" s="64">
        <f t="shared" si="65"/>
        <v>42556</v>
      </c>
      <c r="F852" s="67" t="s">
        <v>638</v>
      </c>
      <c r="G852" s="67"/>
      <c r="H852" s="72" t="s">
        <v>439</v>
      </c>
      <c r="I852" s="410">
        <v>2268</v>
      </c>
      <c r="J852" s="410">
        <v>11500</v>
      </c>
      <c r="K852" s="401"/>
      <c r="L852" s="410"/>
      <c r="M852" s="65">
        <f t="shared" si="67"/>
        <v>26082000</v>
      </c>
      <c r="N852" s="66" t="s">
        <v>276</v>
      </c>
      <c r="O852" s="66" t="s">
        <v>270</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customHeight="1">
      <c r="A853" s="323" t="str">
        <f>IF(B853&lt;&gt;"",IF(AND(B853='IN-TC'!$S$4,OR(TH!N853="1111",TH!O853="1111")),TH!D853,""),"")</f>
        <v/>
      </c>
      <c r="B853" s="63">
        <f t="shared" si="64"/>
        <v>7</v>
      </c>
      <c r="C853" s="64">
        <v>42562</v>
      </c>
      <c r="D853" s="64" t="s">
        <v>674</v>
      </c>
      <c r="E853" s="64">
        <f t="shared" si="65"/>
        <v>42562</v>
      </c>
      <c r="F853" s="67" t="s">
        <v>380</v>
      </c>
      <c r="G853" s="67"/>
      <c r="H853" s="72" t="s">
        <v>439</v>
      </c>
      <c r="I853" s="410">
        <v>227</v>
      </c>
      <c r="J853" s="410">
        <v>16800</v>
      </c>
      <c r="K853" s="401"/>
      <c r="L853" s="410"/>
      <c r="M853" s="65">
        <f t="shared" si="67"/>
        <v>3813600</v>
      </c>
      <c r="N853" s="66" t="s">
        <v>276</v>
      </c>
      <c r="O853" s="66" t="s">
        <v>270</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customHeight="1">
      <c r="A854" s="323" t="str">
        <f>IF(B854&lt;&gt;"",IF(AND(B854='IN-TC'!$S$4,OR(TH!N854="1111",TH!O854="1111")),TH!D854,""),"")</f>
        <v/>
      </c>
      <c r="B854" s="63">
        <f t="shared" si="64"/>
        <v>7</v>
      </c>
      <c r="C854" s="64">
        <v>42576</v>
      </c>
      <c r="D854" s="64" t="s">
        <v>675</v>
      </c>
      <c r="E854" s="64">
        <f t="shared" si="65"/>
        <v>42576</v>
      </c>
      <c r="F854" s="67" t="s">
        <v>380</v>
      </c>
      <c r="G854" s="67"/>
      <c r="H854" s="72" t="s">
        <v>439</v>
      </c>
      <c r="I854" s="410">
        <v>60</v>
      </c>
      <c r="J854" s="410">
        <v>5000</v>
      </c>
      <c r="K854" s="401"/>
      <c r="L854" s="410"/>
      <c r="M854" s="65">
        <f t="shared" si="67"/>
        <v>300000</v>
      </c>
      <c r="N854" s="66" t="s">
        <v>276</v>
      </c>
      <c r="O854" s="66" t="s">
        <v>270</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customHeight="1">
      <c r="A855" s="323" t="str">
        <f>IF(B855&lt;&gt;"",IF(AND(B855='IN-TC'!$S$4,OR(TH!N855="1111",TH!O855="1111")),TH!D855,""),"")</f>
        <v/>
      </c>
      <c r="B855" s="63">
        <f t="shared" si="64"/>
        <v>7</v>
      </c>
      <c r="C855" s="64">
        <v>42578</v>
      </c>
      <c r="D855" s="64" t="s">
        <v>676</v>
      </c>
      <c r="E855" s="64">
        <f t="shared" si="65"/>
        <v>42578</v>
      </c>
      <c r="F855" s="67" t="s">
        <v>1611</v>
      </c>
      <c r="G855" s="67"/>
      <c r="H855" s="72" t="s">
        <v>439</v>
      </c>
      <c r="I855" s="410">
        <v>240</v>
      </c>
      <c r="J855" s="410">
        <v>2400</v>
      </c>
      <c r="K855" s="401"/>
      <c r="L855" s="410"/>
      <c r="M855" s="65">
        <f t="shared" si="67"/>
        <v>576000</v>
      </c>
      <c r="N855" s="66" t="s">
        <v>276</v>
      </c>
      <c r="O855" s="66" t="s">
        <v>270</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customHeight="1">
      <c r="A856" s="323" t="str">
        <f>IF(B856&lt;&gt;"",IF(AND(B856='IN-TC'!$S$4,OR(TH!N856="1111",TH!O856="1111")),TH!D856,""),"")</f>
        <v/>
      </c>
      <c r="B856" s="63">
        <f t="shared" si="64"/>
        <v>7</v>
      </c>
      <c r="C856" s="64">
        <v>42578</v>
      </c>
      <c r="D856" s="64" t="s">
        <v>676</v>
      </c>
      <c r="E856" s="64">
        <f t="shared" si="65"/>
        <v>42578</v>
      </c>
      <c r="F856" s="67" t="s">
        <v>387</v>
      </c>
      <c r="G856" s="67"/>
      <c r="H856" s="72" t="s">
        <v>439</v>
      </c>
      <c r="I856" s="410">
        <v>240</v>
      </c>
      <c r="J856" s="410">
        <v>18000</v>
      </c>
      <c r="K856" s="401"/>
      <c r="L856" s="410"/>
      <c r="M856" s="65">
        <f t="shared" si="67"/>
        <v>4320000</v>
      </c>
      <c r="N856" s="66" t="s">
        <v>276</v>
      </c>
      <c r="O856" s="66" t="s">
        <v>270</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customHeight="1">
      <c r="A857" s="323" t="str">
        <f>IF(B857&lt;&gt;"",IF(AND(B857='IN-TC'!$S$4,OR(TH!N857="1111",TH!O857="1111")),TH!D857,""),"")</f>
        <v/>
      </c>
      <c r="B857" s="63">
        <f t="shared" si="64"/>
        <v>7</v>
      </c>
      <c r="C857" s="64">
        <v>42578</v>
      </c>
      <c r="D857" s="64" t="s">
        <v>676</v>
      </c>
      <c r="E857" s="64">
        <f t="shared" si="65"/>
        <v>42578</v>
      </c>
      <c r="F857" s="67" t="s">
        <v>1492</v>
      </c>
      <c r="G857" s="67"/>
      <c r="H857" s="72" t="s">
        <v>439</v>
      </c>
      <c r="I857" s="410">
        <v>233</v>
      </c>
      <c r="J857" s="410">
        <v>13000</v>
      </c>
      <c r="K857" s="401"/>
      <c r="L857" s="410"/>
      <c r="M857" s="65">
        <f t="shared" si="67"/>
        <v>3029000</v>
      </c>
      <c r="N857" s="66" t="s">
        <v>276</v>
      </c>
      <c r="O857" s="66" t="s">
        <v>270</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customHeight="1">
      <c r="A858" s="323" t="str">
        <f>IF(B858&lt;&gt;"",IF(AND(B858='IN-TC'!$S$4,OR(TH!N858="1111",TH!O858="1111")),TH!D858,""),"")</f>
        <v/>
      </c>
      <c r="B858" s="63">
        <f t="shared" si="64"/>
        <v>7</v>
      </c>
      <c r="C858" s="64">
        <v>42578</v>
      </c>
      <c r="D858" s="64" t="s">
        <v>676</v>
      </c>
      <c r="E858" s="64">
        <f t="shared" si="65"/>
        <v>42578</v>
      </c>
      <c r="F858" s="67" t="s">
        <v>1492</v>
      </c>
      <c r="G858" s="67"/>
      <c r="H858" s="72" t="s">
        <v>439</v>
      </c>
      <c r="I858" s="410">
        <v>50</v>
      </c>
      <c r="J858" s="410">
        <v>13000</v>
      </c>
      <c r="K858" s="401"/>
      <c r="L858" s="410"/>
      <c r="M858" s="65">
        <f t="shared" si="67"/>
        <v>650000</v>
      </c>
      <c r="N858" s="66" t="s">
        <v>276</v>
      </c>
      <c r="O858" s="66" t="s">
        <v>270</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customHeight="1">
      <c r="A859" s="323" t="str">
        <f>IF(B859&lt;&gt;"",IF(AND(B859='IN-TC'!$S$4,OR(TH!N859="1111",TH!O859="1111")),TH!D859,""),"")</f>
        <v/>
      </c>
      <c r="B859" s="63">
        <f t="shared" si="64"/>
        <v>7</v>
      </c>
      <c r="C859" s="64">
        <v>42578</v>
      </c>
      <c r="D859" s="64" t="s">
        <v>676</v>
      </c>
      <c r="E859" s="64">
        <f t="shared" si="65"/>
        <v>42578</v>
      </c>
      <c r="F859" s="67" t="s">
        <v>383</v>
      </c>
      <c r="G859" s="67"/>
      <c r="H859" s="72" t="s">
        <v>439</v>
      </c>
      <c r="I859" s="410">
        <v>192</v>
      </c>
      <c r="J859" s="410">
        <v>13500</v>
      </c>
      <c r="K859" s="401"/>
      <c r="L859" s="410"/>
      <c r="M859" s="65">
        <f t="shared" si="67"/>
        <v>2592000</v>
      </c>
      <c r="N859" s="66" t="s">
        <v>276</v>
      </c>
      <c r="O859" s="66" t="s">
        <v>270</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customHeight="1">
      <c r="A860" s="323" t="str">
        <f>IF(B860&lt;&gt;"",IF(AND(B860='IN-TC'!$S$4,OR(TH!N860="1111",TH!O860="1111")),TH!D860,""),"")</f>
        <v/>
      </c>
      <c r="B860" s="63">
        <f t="shared" si="64"/>
        <v>7</v>
      </c>
      <c r="C860" s="64">
        <v>42578</v>
      </c>
      <c r="D860" s="64" t="s">
        <v>676</v>
      </c>
      <c r="E860" s="64">
        <f t="shared" si="65"/>
        <v>42578</v>
      </c>
      <c r="F860" s="67" t="s">
        <v>377</v>
      </c>
      <c r="G860" s="67"/>
      <c r="H860" s="72" t="s">
        <v>439</v>
      </c>
      <c r="I860" s="410">
        <v>5619</v>
      </c>
      <c r="J860" s="410">
        <v>4466.322284402353</v>
      </c>
      <c r="K860" s="401"/>
      <c r="L860" s="410"/>
      <c r="M860" s="65">
        <f t="shared" si="67"/>
        <v>25096265</v>
      </c>
      <c r="N860" s="66" t="s">
        <v>276</v>
      </c>
      <c r="O860" s="66" t="s">
        <v>270</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customHeight="1">
      <c r="A861" s="323" t="str">
        <f>IF(B861&lt;&gt;"",IF(AND(B861='IN-TC'!$S$4,OR(TH!N3406="1111",TH!O3406="1111")),TH!D3406,""),"")</f>
        <v/>
      </c>
      <c r="B861" s="63">
        <f t="shared" si="64"/>
        <v>7</v>
      </c>
      <c r="C861" s="64">
        <v>42556</v>
      </c>
      <c r="D861" s="64" t="s">
        <v>690</v>
      </c>
      <c r="E861" s="64">
        <f t="shared" si="65"/>
        <v>42556</v>
      </c>
      <c r="F861" s="72" t="s">
        <v>1192</v>
      </c>
      <c r="G861" s="67" t="s">
        <v>902</v>
      </c>
      <c r="H861" s="72" t="s">
        <v>608</v>
      </c>
      <c r="I861" s="408"/>
      <c r="J861" s="408"/>
      <c r="K861" s="399"/>
      <c r="L861" s="408"/>
      <c r="M861" s="65">
        <v>50000000</v>
      </c>
      <c r="N861" s="66" t="s">
        <v>8</v>
      </c>
      <c r="O861" s="66" t="s">
        <v>25</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customHeight="1">
      <c r="A862" s="323" t="str">
        <f>IF(B862&lt;&gt;"",IF(AND(B862='IN-TC'!$S$4,OR(TH!N861="1111",TH!O861="1111")),TH!D861,""),"")</f>
        <v/>
      </c>
      <c r="B862" s="63">
        <f t="shared" si="64"/>
        <v>7</v>
      </c>
      <c r="C862" s="64">
        <v>42578</v>
      </c>
      <c r="D862" s="78" t="s">
        <v>663</v>
      </c>
      <c r="E862" s="78">
        <v>42583</v>
      </c>
      <c r="F862" s="310" t="s">
        <v>1813</v>
      </c>
      <c r="G862" s="934" t="s">
        <v>1816</v>
      </c>
      <c r="H862" s="80" t="s">
        <v>608</v>
      </c>
      <c r="I862" s="406">
        <v>120</v>
      </c>
      <c r="J862" s="406">
        <v>11000</v>
      </c>
      <c r="K862" s="397"/>
      <c r="L862" s="406"/>
      <c r="M862" s="81">
        <f>ROUND(I862*J862,0)</f>
        <v>1320000</v>
      </c>
      <c r="N862" s="82" t="s">
        <v>270</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customHeight="1">
      <c r="A863" s="323" t="str">
        <f>IF(B863&lt;&gt;"",IF(AND(B863='IN-TC'!$S$4,OR(TH!N862="1111",TH!O862="1111")),TH!D862,""),"")</f>
        <v/>
      </c>
      <c r="B863" s="63">
        <f t="shared" si="64"/>
        <v>7</v>
      </c>
      <c r="C863" s="90">
        <v>42578</v>
      </c>
      <c r="D863" s="78" t="s">
        <v>663</v>
      </c>
      <c r="E863" s="78">
        <v>42583</v>
      </c>
      <c r="F863" s="310" t="s">
        <v>1492</v>
      </c>
      <c r="G863" s="934" t="s">
        <v>1816</v>
      </c>
      <c r="H863" s="80" t="s">
        <v>608</v>
      </c>
      <c r="I863" s="406">
        <v>260</v>
      </c>
      <c r="J863" s="406">
        <v>13000</v>
      </c>
      <c r="K863" s="397"/>
      <c r="L863" s="406"/>
      <c r="M863" s="81">
        <f>ROUND(I863*J863,0)</f>
        <v>3380000</v>
      </c>
      <c r="N863" s="82" t="s">
        <v>270</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customHeight="1">
      <c r="A864" s="323" t="str">
        <f>IF(B864&lt;&gt;"",IF(AND(B864='IN-TC'!$S$4,OR(TH!N863="1111",TH!O863="1111")),TH!D863,""),"")</f>
        <v/>
      </c>
      <c r="B864" s="63">
        <f t="shared" si="64"/>
        <v>7</v>
      </c>
      <c r="C864" s="64">
        <v>42578</v>
      </c>
      <c r="D864" s="78" t="s">
        <v>663</v>
      </c>
      <c r="E864" s="78">
        <v>42583</v>
      </c>
      <c r="F864" s="310" t="s">
        <v>1814</v>
      </c>
      <c r="G864" s="934" t="s">
        <v>1816</v>
      </c>
      <c r="H864" s="80" t="s">
        <v>608</v>
      </c>
      <c r="I864" s="406">
        <v>2300</v>
      </c>
      <c r="J864" s="406">
        <v>10000</v>
      </c>
      <c r="K864" s="397"/>
      <c r="L864" s="406"/>
      <c r="M864" s="81">
        <f>ROUND(I864*J864,0)</f>
        <v>23000000</v>
      </c>
      <c r="N864" s="82" t="s">
        <v>270</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customHeight="1">
      <c r="A865" s="323" t="str">
        <f>IF(B865&lt;&gt;"",IF(AND(B865='IN-TC'!$S$4,OR(TH!N864="1111",TH!O864="1111")),TH!D864,""),"")</f>
        <v/>
      </c>
      <c r="B865" s="63">
        <f t="shared" si="64"/>
        <v>7</v>
      </c>
      <c r="C865" s="64">
        <v>42578</v>
      </c>
      <c r="D865" s="78" t="s">
        <v>663</v>
      </c>
      <c r="E865" s="78">
        <v>42583</v>
      </c>
      <c r="F865" s="310" t="s">
        <v>1815</v>
      </c>
      <c r="G865" s="934" t="s">
        <v>1816</v>
      </c>
      <c r="H865" s="80" t="s">
        <v>608</v>
      </c>
      <c r="I865" s="406">
        <v>1009</v>
      </c>
      <c r="J865" s="406">
        <v>15000</v>
      </c>
      <c r="K865" s="397"/>
      <c r="L865" s="406"/>
      <c r="M865" s="81">
        <f>ROUND(I865*J865,0)</f>
        <v>15135000</v>
      </c>
      <c r="N865" s="82" t="s">
        <v>270</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customHeight="1">
      <c r="A866" s="323" t="str">
        <f>IF(B866&lt;&gt;"",IF(AND(B866='IN-TC'!$S$4,OR(TH!N3185="1111",TH!O3185="1111")),TH!D3185,""),"")</f>
        <v/>
      </c>
      <c r="B866" s="63">
        <f t="shared" si="64"/>
        <v>6</v>
      </c>
      <c r="C866" s="64">
        <v>42537</v>
      </c>
      <c r="D866" s="64" t="s">
        <v>690</v>
      </c>
      <c r="E866" s="64">
        <f>C866</f>
        <v>42537</v>
      </c>
      <c r="F866" s="72" t="s">
        <v>1625</v>
      </c>
      <c r="G866" s="67" t="s">
        <v>902</v>
      </c>
      <c r="H866" s="329" t="s">
        <v>607</v>
      </c>
      <c r="I866" s="408"/>
      <c r="J866" s="408"/>
      <c r="K866" s="399"/>
      <c r="L866" s="408"/>
      <c r="M866" s="65">
        <v>6400000</v>
      </c>
      <c r="N866" s="66" t="s">
        <v>8</v>
      </c>
      <c r="O866" s="66" t="s">
        <v>25</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customHeight="1">
      <c r="A867" s="323" t="str">
        <f>IF(B867&lt;&gt;"",IF(AND(B867='IN-TC'!$S$4,OR(TH!N865="1111",TH!O865="1111")),TH!D865,""),"")</f>
        <v/>
      </c>
      <c r="B867" s="63">
        <f t="shared" si="64"/>
        <v>7</v>
      </c>
      <c r="C867" s="64">
        <v>42578</v>
      </c>
      <c r="D867" s="78" t="s">
        <v>663</v>
      </c>
      <c r="E867" s="78">
        <v>42583</v>
      </c>
      <c r="F867" s="79" t="s">
        <v>637</v>
      </c>
      <c r="G867" s="934" t="s">
        <v>1816</v>
      </c>
      <c r="H867" s="80" t="s">
        <v>608</v>
      </c>
      <c r="I867" s="406"/>
      <c r="J867" s="406"/>
      <c r="K867" s="397"/>
      <c r="L867" s="406"/>
      <c r="M867" s="81">
        <v>4283500</v>
      </c>
      <c r="N867" s="82" t="s">
        <v>9</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x</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customHeight="1">
      <c r="A868" s="323" t="str">
        <f>IF(B868&lt;&gt;"",IF(AND(B868='IN-TC'!$S$4,OR(TH!N3618="1111",TH!O3618="1111")),TH!D3618,""),"")</f>
        <v/>
      </c>
      <c r="B868" s="63">
        <f t="shared" si="64"/>
        <v>8</v>
      </c>
      <c r="C868" s="64">
        <v>42601</v>
      </c>
      <c r="D868" s="64" t="s">
        <v>690</v>
      </c>
      <c r="E868" s="64">
        <f>C868</f>
        <v>42601</v>
      </c>
      <c r="F868" s="72" t="s">
        <v>1532</v>
      </c>
      <c r="G868" s="67" t="s">
        <v>902</v>
      </c>
      <c r="H868" s="329" t="s">
        <v>608</v>
      </c>
      <c r="I868" s="408"/>
      <c r="J868" s="408"/>
      <c r="K868" s="399"/>
      <c r="L868" s="408"/>
      <c r="M868" s="65">
        <v>50000000</v>
      </c>
      <c r="N868" s="66" t="s">
        <v>8</v>
      </c>
      <c r="O868" s="66" t="s">
        <v>25</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customHeight="1">
      <c r="A869" s="323" t="str">
        <f>IF(B869&lt;&gt;"",IF(AND(B869='IN-TC'!$S$4,OR(TH!N867="1111",TH!O867="1111")),TH!D867,""),"")</f>
        <v/>
      </c>
      <c r="B869" s="63">
        <f t="shared" si="64"/>
        <v>8</v>
      </c>
      <c r="C869" s="64">
        <v>42606</v>
      </c>
      <c r="D869" s="78" t="s">
        <v>663</v>
      </c>
      <c r="E869" s="78">
        <f>C869</f>
        <v>42606</v>
      </c>
      <c r="F869" s="79" t="s">
        <v>1819</v>
      </c>
      <c r="G869" s="934" t="s">
        <v>1820</v>
      </c>
      <c r="H869" s="80" t="s">
        <v>608</v>
      </c>
      <c r="I869" s="406">
        <v>2000</v>
      </c>
      <c r="J869" s="406">
        <v>11500</v>
      </c>
      <c r="K869" s="397"/>
      <c r="L869" s="406"/>
      <c r="M869" s="81">
        <f>ROUND(I869*J869,0)</f>
        <v>23000000</v>
      </c>
      <c r="N869" s="82" t="s">
        <v>270</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customHeight="1">
      <c r="A870" s="323" t="str">
        <f>IF(B870&lt;&gt;"",IF(AND(B870='IN-TC'!$S$4,OR(TH!N2758="1111",TH!O2758="1111")),TH!D2758,""),"")</f>
        <v/>
      </c>
      <c r="B870" s="63">
        <f t="shared" si="64"/>
        <v>3</v>
      </c>
      <c r="C870" s="306">
        <v>42446</v>
      </c>
      <c r="D870" s="306" t="s">
        <v>887</v>
      </c>
      <c r="E870" s="306">
        <v>42446</v>
      </c>
      <c r="F870" s="72" t="s">
        <v>1162</v>
      </c>
      <c r="G870" s="935" t="s">
        <v>1121</v>
      </c>
      <c r="H870" s="308" t="s">
        <v>604</v>
      </c>
      <c r="I870" s="408"/>
      <c r="J870" s="408"/>
      <c r="K870" s="399"/>
      <c r="L870" s="408"/>
      <c r="M870" s="65">
        <v>5610000</v>
      </c>
      <c r="N870" s="309" t="s">
        <v>8</v>
      </c>
      <c r="O870" s="66" t="s">
        <v>61</v>
      </c>
      <c r="P870" s="82" t="str">
        <f>IF(AND('331-CT'!$E$7=TH!H870,OR(N870="331",O870="331")),"x","")</f>
        <v/>
      </c>
      <c r="Q870" s="82" t="str">
        <f>IF(AND(B870='111'!$L$11,OR($N870=$Q$7,$O870=$Q$7)),"x","")</f>
        <v/>
      </c>
      <c r="R870" s="82" t="str">
        <f>IF(AND($N870=$Q$7,$B870&lt;'111'!$L$11),"x","")</f>
        <v/>
      </c>
      <c r="S870" s="82" t="str">
        <f>IF(AND($O870=$Q$7,$B870&lt;'111'!$L$11),"x","")</f>
        <v>x</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customHeight="1">
      <c r="A871" s="323" t="str">
        <f>IF(B871&lt;&gt;"",IF(AND(B871='IN-TC'!$S$4,OR(TH!N870="1111",TH!O870="1111")),TH!D870,""),"")</f>
        <v/>
      </c>
      <c r="B871" s="63">
        <f t="shared" si="64"/>
        <v>8</v>
      </c>
      <c r="C871" s="64">
        <v>42608</v>
      </c>
      <c r="D871" s="78" t="s">
        <v>664</v>
      </c>
      <c r="E871" s="78">
        <f t="shared" ref="E871:E895" si="68">C871</f>
        <v>42608</v>
      </c>
      <c r="F871" s="79" t="s">
        <v>352</v>
      </c>
      <c r="G871" s="934" t="s">
        <v>1807</v>
      </c>
      <c r="H871" s="80" t="s">
        <v>604</v>
      </c>
      <c r="I871" s="406">
        <v>600</v>
      </c>
      <c r="J871" s="406">
        <v>8000</v>
      </c>
      <c r="K871" s="397"/>
      <c r="L871" s="406"/>
      <c r="M871" s="81">
        <f>ROUND(I871*J871,0)</f>
        <v>4800000</v>
      </c>
      <c r="N871" s="82" t="s">
        <v>270</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customHeight="1">
      <c r="A872" s="323" t="str">
        <f>IF(B872&lt;&gt;"",IF(AND(B872='IN-TC'!$S$4,OR(TH!N872="1111",TH!O872="1111")),TH!D872,""),"")</f>
        <v/>
      </c>
      <c r="B872" s="63">
        <f t="shared" si="64"/>
        <v>8</v>
      </c>
      <c r="C872" s="64">
        <v>42613</v>
      </c>
      <c r="D872" s="78" t="s">
        <v>665</v>
      </c>
      <c r="E872" s="78">
        <f t="shared" si="68"/>
        <v>42613</v>
      </c>
      <c r="F872" s="79" t="s">
        <v>1821</v>
      </c>
      <c r="G872" s="934" t="s">
        <v>1825</v>
      </c>
      <c r="H872" s="80" t="s">
        <v>1826</v>
      </c>
      <c r="I872" s="406">
        <v>47000</v>
      </c>
      <c r="J872" s="406">
        <v>1150</v>
      </c>
      <c r="K872" s="397"/>
      <c r="L872" s="406"/>
      <c r="M872" s="81">
        <f>ROUND(I872*J872,0)</f>
        <v>54050000</v>
      </c>
      <c r="N872" s="82" t="s">
        <v>270</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customHeight="1">
      <c r="A873" s="323" t="str">
        <f>IF(B873&lt;&gt;"",IF(AND(B873='IN-TC'!$S$4,OR(TH!N873="1111",TH!O873="1111")),TH!D873,""),"")</f>
        <v/>
      </c>
      <c r="B873" s="63">
        <f t="shared" si="64"/>
        <v>8</v>
      </c>
      <c r="C873" s="64">
        <v>42613</v>
      </c>
      <c r="D873" s="78" t="s">
        <v>665</v>
      </c>
      <c r="E873" s="78">
        <f t="shared" si="68"/>
        <v>42613</v>
      </c>
      <c r="F873" s="79" t="s">
        <v>1822</v>
      </c>
      <c r="G873" s="934" t="s">
        <v>1825</v>
      </c>
      <c r="H873" s="80" t="s">
        <v>1826</v>
      </c>
      <c r="I873" s="406">
        <v>200</v>
      </c>
      <c r="J873" s="406">
        <v>37000</v>
      </c>
      <c r="K873" s="397"/>
      <c r="L873" s="406"/>
      <c r="M873" s="81">
        <f>ROUND(I873*J873,0)</f>
        <v>7400000</v>
      </c>
      <c r="N873" s="82" t="s">
        <v>270</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customHeight="1">
      <c r="A874" s="323" t="str">
        <f>IF(B874&lt;&gt;"",IF(AND(B874='IN-TC'!$S$4,OR(TH!N874="1111",TH!O874="1111")),TH!D874,""),"")</f>
        <v/>
      </c>
      <c r="B874" s="63">
        <f t="shared" si="64"/>
        <v>8</v>
      </c>
      <c r="C874" s="64">
        <v>42613</v>
      </c>
      <c r="D874" s="78" t="s">
        <v>665</v>
      </c>
      <c r="E874" s="78">
        <f t="shared" si="68"/>
        <v>42613</v>
      </c>
      <c r="F874" s="79" t="s">
        <v>1823</v>
      </c>
      <c r="G874" s="934" t="s">
        <v>1825</v>
      </c>
      <c r="H874" s="80" t="s">
        <v>1826</v>
      </c>
      <c r="I874" s="406">
        <v>111</v>
      </c>
      <c r="J874" s="406">
        <v>37000</v>
      </c>
      <c r="K874" s="397"/>
      <c r="L874" s="406"/>
      <c r="M874" s="81">
        <f>ROUND(I874*J874,0)</f>
        <v>4107000</v>
      </c>
      <c r="N874" s="82" t="s">
        <v>270</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customHeight="1">
      <c r="A875" s="323" t="str">
        <f>IF(B875&lt;&gt;"",IF(AND(B875='IN-TC'!$S$4,OR(TH!N875="1111",TH!O875="1111")),TH!D875,""),"")</f>
        <v/>
      </c>
      <c r="B875" s="63">
        <f t="shared" si="64"/>
        <v>8</v>
      </c>
      <c r="C875" s="64">
        <v>42613</v>
      </c>
      <c r="D875" s="78" t="s">
        <v>665</v>
      </c>
      <c r="E875" s="78">
        <f t="shared" si="68"/>
        <v>42613</v>
      </c>
      <c r="F875" s="79" t="s">
        <v>1824</v>
      </c>
      <c r="G875" s="934" t="s">
        <v>1825</v>
      </c>
      <c r="H875" s="80" t="s">
        <v>1826</v>
      </c>
      <c r="I875" s="406">
        <v>306</v>
      </c>
      <c r="J875" s="406">
        <v>37000</v>
      </c>
      <c r="K875" s="397"/>
      <c r="L875" s="406"/>
      <c r="M875" s="81">
        <f>ROUND(I875*J875,0)</f>
        <v>11322000</v>
      </c>
      <c r="N875" s="82" t="s">
        <v>270</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customHeight="1">
      <c r="A876" s="323" t="str">
        <f>IF(B876&lt;&gt;"",IF(AND(B876='IN-TC'!$S$4,OR(TH!N876="1111",TH!O876="1111")),TH!D876,""),"")</f>
        <v/>
      </c>
      <c r="B876" s="63">
        <f t="shared" si="64"/>
        <v>8</v>
      </c>
      <c r="C876" s="64">
        <v>42613</v>
      </c>
      <c r="D876" s="78" t="s">
        <v>665</v>
      </c>
      <c r="E876" s="78">
        <f t="shared" si="68"/>
        <v>42613</v>
      </c>
      <c r="F876" s="79" t="s">
        <v>1827</v>
      </c>
      <c r="G876" s="934" t="s">
        <v>1825</v>
      </c>
      <c r="H876" s="80" t="s">
        <v>1826</v>
      </c>
      <c r="I876" s="406"/>
      <c r="J876" s="406"/>
      <c r="K876" s="397"/>
      <c r="L876" s="406"/>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x</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customHeight="1">
      <c r="A877" s="323" t="str">
        <f>IF(B877&lt;&gt;"",IF(AND(B877='IN-TC'!$S$4,OR(TH!N877="1111",TH!O877="1111")),TH!D877,""),"")</f>
        <v/>
      </c>
      <c r="B877" s="63">
        <f t="shared" si="64"/>
        <v>8</v>
      </c>
      <c r="C877" s="64">
        <v>42583</v>
      </c>
      <c r="D877" s="64" t="s">
        <v>671</v>
      </c>
      <c r="E877" s="64">
        <f t="shared" si="68"/>
        <v>42583</v>
      </c>
      <c r="F877" s="67" t="s">
        <v>332</v>
      </c>
      <c r="G877" s="931"/>
      <c r="H877" s="72" t="s">
        <v>439</v>
      </c>
      <c r="I877" s="408">
        <v>25</v>
      </c>
      <c r="J877" s="408">
        <v>35444.444444444445</v>
      </c>
      <c r="K877" s="399"/>
      <c r="L877" s="408"/>
      <c r="M877" s="65">
        <f t="shared" ref="M877:M889" si="69">ROUND(I877*J877,0)</f>
        <v>886111</v>
      </c>
      <c r="N877" s="66" t="s">
        <v>276</v>
      </c>
      <c r="O877" s="66" t="s">
        <v>270</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customHeight="1">
      <c r="A878" s="323" t="str">
        <f>IF(B878&lt;&gt;"",IF(AND(B878='IN-TC'!$S$4,OR(TH!N878="1111",TH!O878="1111")),TH!D878,""),"")</f>
        <v/>
      </c>
      <c r="B878" s="63">
        <f t="shared" ref="B878:B941" si="70">IF(C878&lt;&gt;"",MONTH(C878),"")</f>
        <v>8</v>
      </c>
      <c r="C878" s="64">
        <v>42583</v>
      </c>
      <c r="D878" s="64" t="s">
        <v>671</v>
      </c>
      <c r="E878" s="64">
        <f t="shared" si="68"/>
        <v>42583</v>
      </c>
      <c r="F878" s="67" t="s">
        <v>338</v>
      </c>
      <c r="G878" s="931"/>
      <c r="H878" s="72" t="s">
        <v>439</v>
      </c>
      <c r="I878" s="408">
        <v>60</v>
      </c>
      <c r="J878" s="408">
        <v>46741.2</v>
      </c>
      <c r="K878" s="399"/>
      <c r="L878" s="408"/>
      <c r="M878" s="65">
        <f t="shared" si="69"/>
        <v>2804472</v>
      </c>
      <c r="N878" s="66" t="s">
        <v>276</v>
      </c>
      <c r="O878" s="66" t="s">
        <v>270</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customHeight="1">
      <c r="A879" s="323" t="str">
        <f>IF(B879&lt;&gt;"",IF(AND(B879='IN-TC'!$S$4,OR(TH!N879="1111",TH!O879="1111")),TH!D879,""),"")</f>
        <v/>
      </c>
      <c r="B879" s="63">
        <f t="shared" si="70"/>
        <v>8</v>
      </c>
      <c r="C879" s="64">
        <v>42583</v>
      </c>
      <c r="D879" s="64" t="s">
        <v>671</v>
      </c>
      <c r="E879" s="64">
        <f t="shared" si="68"/>
        <v>42583</v>
      </c>
      <c r="F879" s="67" t="s">
        <v>341</v>
      </c>
      <c r="G879" s="67"/>
      <c r="H879" s="72" t="s">
        <v>439</v>
      </c>
      <c r="I879" s="408">
        <v>400</v>
      </c>
      <c r="J879" s="408">
        <v>14523.81</v>
      </c>
      <c r="K879" s="399"/>
      <c r="L879" s="408"/>
      <c r="M879" s="65">
        <f t="shared" si="69"/>
        <v>5809524</v>
      </c>
      <c r="N879" s="66" t="s">
        <v>276</v>
      </c>
      <c r="O879" s="66" t="s">
        <v>270</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customHeight="1">
      <c r="A880" s="323" t="str">
        <f>IF(B880&lt;&gt;"",IF(AND(B880='IN-TC'!$S$4,OR(TH!N880="1111",TH!O880="1111")),TH!D880,""),"")</f>
        <v/>
      </c>
      <c r="B880" s="63">
        <f t="shared" si="70"/>
        <v>8</v>
      </c>
      <c r="C880" s="64">
        <v>42594</v>
      </c>
      <c r="D880" s="64" t="s">
        <v>674</v>
      </c>
      <c r="E880" s="64">
        <f t="shared" si="68"/>
        <v>42594</v>
      </c>
      <c r="F880" s="67" t="s">
        <v>346</v>
      </c>
      <c r="G880" s="67"/>
      <c r="H880" s="72" t="s">
        <v>439</v>
      </c>
      <c r="I880" s="408">
        <v>1000</v>
      </c>
      <c r="J880" s="408">
        <v>3200</v>
      </c>
      <c r="K880" s="399"/>
      <c r="L880" s="408"/>
      <c r="M880" s="65">
        <f t="shared" si="69"/>
        <v>3200000</v>
      </c>
      <c r="N880" s="66" t="s">
        <v>276</v>
      </c>
      <c r="O880" s="66" t="s">
        <v>270</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customHeight="1">
      <c r="A881" s="323" t="str">
        <f>IF(B881&lt;&gt;"",IF(AND(B881='IN-TC'!$S$4,OR(TH!N881="1111",TH!O881="1111")),TH!D881,""),"")</f>
        <v/>
      </c>
      <c r="B881" s="63">
        <f t="shared" si="70"/>
        <v>8</v>
      </c>
      <c r="C881" s="64">
        <v>42583</v>
      </c>
      <c r="D881" s="64" t="s">
        <v>671</v>
      </c>
      <c r="E881" s="64">
        <f t="shared" si="68"/>
        <v>42583</v>
      </c>
      <c r="F881" s="67" t="s">
        <v>349</v>
      </c>
      <c r="G881" s="67"/>
      <c r="H881" s="72" t="s">
        <v>439</v>
      </c>
      <c r="I881" s="408">
        <v>2970</v>
      </c>
      <c r="J881" s="408">
        <v>14728</v>
      </c>
      <c r="K881" s="399"/>
      <c r="L881" s="408"/>
      <c r="M881" s="65">
        <f t="shared" si="69"/>
        <v>43742160</v>
      </c>
      <c r="N881" s="66" t="s">
        <v>276</v>
      </c>
      <c r="O881" s="66" t="s">
        <v>270</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customHeight="1">
      <c r="A882" s="323" t="str">
        <f>IF(B882&lt;&gt;"",IF(AND(B882='IN-TC'!$S$4,OR(TH!N882="1111",TH!O882="1111")),TH!D882,""),"")</f>
        <v/>
      </c>
      <c r="B882" s="63">
        <f t="shared" si="70"/>
        <v>8</v>
      </c>
      <c r="C882" s="64">
        <v>42583</v>
      </c>
      <c r="D882" s="64" t="s">
        <v>671</v>
      </c>
      <c r="E882" s="64">
        <f t="shared" si="68"/>
        <v>42583</v>
      </c>
      <c r="F882" s="67" t="s">
        <v>1389</v>
      </c>
      <c r="G882" s="67"/>
      <c r="H882" s="72" t="s">
        <v>439</v>
      </c>
      <c r="I882" s="408">
        <v>250</v>
      </c>
      <c r="J882" s="408">
        <v>12728</v>
      </c>
      <c r="K882" s="399"/>
      <c r="L882" s="408"/>
      <c r="M882" s="65">
        <f t="shared" si="69"/>
        <v>3182000</v>
      </c>
      <c r="N882" s="66" t="s">
        <v>276</v>
      </c>
      <c r="O882" s="66" t="s">
        <v>270</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customHeight="1">
      <c r="A883" s="323" t="str">
        <f>IF(B883&lt;&gt;"",IF(AND(B883='IN-TC'!$S$4,OR(TH!N883="1111",TH!O883="1111")),TH!D883,""),"")</f>
        <v/>
      </c>
      <c r="B883" s="63">
        <f t="shared" si="70"/>
        <v>8</v>
      </c>
      <c r="C883" s="64">
        <v>42586</v>
      </c>
      <c r="D883" s="64" t="s">
        <v>672</v>
      </c>
      <c r="E883" s="64">
        <f t="shared" si="68"/>
        <v>42586</v>
      </c>
      <c r="F883" s="67" t="s">
        <v>352</v>
      </c>
      <c r="G883" s="67"/>
      <c r="H883" s="72" t="s">
        <v>439</v>
      </c>
      <c r="I883" s="408">
        <v>350</v>
      </c>
      <c r="J883" s="408">
        <v>8000</v>
      </c>
      <c r="K883" s="399"/>
      <c r="L883" s="408"/>
      <c r="M883" s="65">
        <f t="shared" si="69"/>
        <v>2800000</v>
      </c>
      <c r="N883" s="66" t="s">
        <v>276</v>
      </c>
      <c r="O883" s="66" t="s">
        <v>270</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customHeight="1">
      <c r="A884" s="323" t="str">
        <f>IF(B884&lt;&gt;"",IF(AND(B884='IN-TC'!$S$4,OR(TH!N884="1111",TH!O884="1111")),TH!D884,""),"")</f>
        <v/>
      </c>
      <c r="B884" s="63">
        <f t="shared" si="70"/>
        <v>8</v>
      </c>
      <c r="C884" s="64">
        <v>42586</v>
      </c>
      <c r="D884" s="64" t="s">
        <v>672</v>
      </c>
      <c r="E884" s="64">
        <f t="shared" si="68"/>
        <v>42586</v>
      </c>
      <c r="F884" s="67" t="s">
        <v>356</v>
      </c>
      <c r="G884" s="67"/>
      <c r="H884" s="72" t="s">
        <v>439</v>
      </c>
      <c r="I884" s="410">
        <v>200</v>
      </c>
      <c r="J884" s="410">
        <v>33000</v>
      </c>
      <c r="K884" s="401"/>
      <c r="L884" s="410"/>
      <c r="M884" s="65">
        <f t="shared" si="69"/>
        <v>6600000</v>
      </c>
      <c r="N884" s="66" t="s">
        <v>276</v>
      </c>
      <c r="O884" s="66" t="s">
        <v>270</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customHeight="1">
      <c r="A885" s="323" t="str">
        <f>IF(B885&lt;&gt;"",IF(AND(B885='IN-TC'!$S$4,OR(TH!N885="1111",TH!O885="1111")),TH!D885,""),"")</f>
        <v/>
      </c>
      <c r="B885" s="63">
        <f t="shared" si="70"/>
        <v>8</v>
      </c>
      <c r="C885" s="64">
        <v>42592</v>
      </c>
      <c r="D885" s="64" t="s">
        <v>673</v>
      </c>
      <c r="E885" s="64">
        <f t="shared" si="68"/>
        <v>42592</v>
      </c>
      <c r="F885" s="67" t="s">
        <v>377</v>
      </c>
      <c r="G885" s="67"/>
      <c r="H885" s="72" t="s">
        <v>439</v>
      </c>
      <c r="I885" s="410">
        <v>5619</v>
      </c>
      <c r="J885" s="410">
        <v>4466.322284402353</v>
      </c>
      <c r="K885" s="401"/>
      <c r="L885" s="410"/>
      <c r="M885" s="65">
        <f t="shared" si="69"/>
        <v>25096265</v>
      </c>
      <c r="N885" s="66" t="s">
        <v>276</v>
      </c>
      <c r="O885" s="66" t="s">
        <v>270</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customHeight="1">
      <c r="A886" s="323" t="str">
        <f>IF(B886&lt;&gt;"",IF(AND(B886='IN-TC'!$S$4,OR(TH!N886="1111",TH!O886="1111")),TH!D886,""),"")</f>
        <v/>
      </c>
      <c r="B886" s="63">
        <f t="shared" si="70"/>
        <v>8</v>
      </c>
      <c r="C886" s="64">
        <v>42597</v>
      </c>
      <c r="D886" s="64" t="s">
        <v>675</v>
      </c>
      <c r="E886" s="64">
        <f t="shared" si="68"/>
        <v>42597</v>
      </c>
      <c r="F886" s="67" t="s">
        <v>1815</v>
      </c>
      <c r="G886" s="67"/>
      <c r="H886" s="72" t="s">
        <v>439</v>
      </c>
      <c r="I886" s="410">
        <v>1009</v>
      </c>
      <c r="J886" s="410">
        <v>15000</v>
      </c>
      <c r="K886" s="401"/>
      <c r="L886" s="410"/>
      <c r="M886" s="65">
        <f t="shared" si="69"/>
        <v>15135000</v>
      </c>
      <c r="N886" s="66" t="s">
        <v>276</v>
      </c>
      <c r="O886" s="66" t="s">
        <v>270</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customHeight="1">
      <c r="A887" s="323" t="str">
        <f>IF(B887&lt;&gt;"",IF(AND(B887='IN-TC'!$S$4,OR(TH!N887="1111",TH!O887="1111")),TH!D887,""),"")</f>
        <v/>
      </c>
      <c r="B887" s="63">
        <f t="shared" si="70"/>
        <v>8</v>
      </c>
      <c r="C887" s="64">
        <v>42604</v>
      </c>
      <c r="D887" s="64" t="s">
        <v>676</v>
      </c>
      <c r="E887" s="64">
        <f t="shared" si="68"/>
        <v>42604</v>
      </c>
      <c r="F887" s="67" t="s">
        <v>380</v>
      </c>
      <c r="G887" s="67"/>
      <c r="H887" s="72" t="s">
        <v>439</v>
      </c>
      <c r="I887" s="410">
        <v>540</v>
      </c>
      <c r="J887" s="410">
        <v>5000</v>
      </c>
      <c r="K887" s="401"/>
      <c r="L887" s="410"/>
      <c r="M887" s="65">
        <f t="shared" si="69"/>
        <v>2700000</v>
      </c>
      <c r="N887" s="66" t="s">
        <v>276</v>
      </c>
      <c r="O887" s="66" t="s">
        <v>270</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customHeight="1">
      <c r="A888" s="323" t="str">
        <f>IF(B888&lt;&gt;"",IF(AND(B888='IN-TC'!$S$4,OR(TH!N888="1111",TH!O888="1111")),TH!D888,""),"")</f>
        <v/>
      </c>
      <c r="B888" s="63">
        <f t="shared" si="70"/>
        <v>8</v>
      </c>
      <c r="C888" s="64">
        <v>42604</v>
      </c>
      <c r="D888" s="64" t="s">
        <v>676</v>
      </c>
      <c r="E888" s="64">
        <f t="shared" si="68"/>
        <v>42604</v>
      </c>
      <c r="F888" s="67" t="s">
        <v>380</v>
      </c>
      <c r="G888" s="67"/>
      <c r="H888" s="72" t="s">
        <v>439</v>
      </c>
      <c r="I888" s="410">
        <v>20</v>
      </c>
      <c r="J888" s="410">
        <v>5000</v>
      </c>
      <c r="K888" s="401"/>
      <c r="L888" s="410"/>
      <c r="M888" s="65">
        <f t="shared" si="69"/>
        <v>100000</v>
      </c>
      <c r="N888" s="66" t="s">
        <v>276</v>
      </c>
      <c r="O888" s="66" t="s">
        <v>270</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customHeight="1">
      <c r="A889" s="323" t="str">
        <f>IF(B889&lt;&gt;"",IF(AND(B889='IN-TC'!$S$4,OR(TH!N889="1111",TH!O889="1111")),TH!D889,""),"")</f>
        <v/>
      </c>
      <c r="B889" s="63">
        <f t="shared" si="70"/>
        <v>8</v>
      </c>
      <c r="C889" s="64">
        <v>42606</v>
      </c>
      <c r="D889" s="64" t="s">
        <v>2647</v>
      </c>
      <c r="E889" s="64">
        <f t="shared" si="68"/>
        <v>42606</v>
      </c>
      <c r="F889" s="67" t="s">
        <v>1813</v>
      </c>
      <c r="G889" s="67"/>
      <c r="H889" s="72" t="s">
        <v>439</v>
      </c>
      <c r="I889" s="410">
        <v>120</v>
      </c>
      <c r="J889" s="410">
        <v>11000</v>
      </c>
      <c r="K889" s="401"/>
      <c r="L889" s="410"/>
      <c r="M889" s="65">
        <f t="shared" si="69"/>
        <v>1320000</v>
      </c>
      <c r="N889" s="66" t="s">
        <v>276</v>
      </c>
      <c r="O889" s="66" t="s">
        <v>270</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customHeight="1">
      <c r="A890" s="323" t="str">
        <f>IF(B890&lt;&gt;"",IF(AND(B890='IN-TC'!$S$4,OR(TH!N777="1111",TH!O777="1111")),TH!D777,""),"")</f>
        <v/>
      </c>
      <c r="B890" s="63">
        <f t="shared" si="70"/>
        <v>4</v>
      </c>
      <c r="C890" s="64">
        <v>42486</v>
      </c>
      <c r="D890" s="78" t="s">
        <v>667</v>
      </c>
      <c r="E890" s="78">
        <f t="shared" si="68"/>
        <v>42486</v>
      </c>
      <c r="F890" s="80" t="s">
        <v>639</v>
      </c>
      <c r="G890" s="934" t="s">
        <v>1402</v>
      </c>
      <c r="H890" s="80" t="s">
        <v>1403</v>
      </c>
      <c r="I890" s="406"/>
      <c r="J890" s="406"/>
      <c r="K890" s="397"/>
      <c r="L890" s="406"/>
      <c r="M890" s="81">
        <v>2800000</v>
      </c>
      <c r="N890" s="1073" t="s">
        <v>9</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x</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customHeight="1">
      <c r="A891" s="323" t="str">
        <f>IF(B891&lt;&gt;"",IF(AND(B891='IN-TC'!$S$4,OR(TH!N3403="1111",TH!O3403="1111")),TH!D3403,""),"")</f>
        <v/>
      </c>
      <c r="B891" s="63">
        <f t="shared" si="70"/>
        <v>7</v>
      </c>
      <c r="C891" s="64">
        <v>42556</v>
      </c>
      <c r="D891" s="64" t="s">
        <v>690</v>
      </c>
      <c r="E891" s="64">
        <f t="shared" si="68"/>
        <v>42556</v>
      </c>
      <c r="F891" s="72" t="s">
        <v>1192</v>
      </c>
      <c r="G891" s="67" t="s">
        <v>902</v>
      </c>
      <c r="H891" s="72" t="s">
        <v>1403</v>
      </c>
      <c r="I891" s="408"/>
      <c r="J891" s="408"/>
      <c r="K891" s="399"/>
      <c r="L891" s="408"/>
      <c r="M891" s="65">
        <v>50000000</v>
      </c>
      <c r="N891" s="66" t="s">
        <v>8</v>
      </c>
      <c r="O891" s="66" t="s">
        <v>25</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customHeight="1">
      <c r="A892" s="323" t="str">
        <f>IF(B892&lt;&gt;"",IF(AND(B892='IN-TC'!$S$4,OR(TH!N892="1111",TH!O892="1111")),TH!D892,""),"")</f>
        <v/>
      </c>
      <c r="B892" s="63">
        <f t="shared" si="70"/>
        <v>9</v>
      </c>
      <c r="C892" s="78">
        <v>42642</v>
      </c>
      <c r="D892" s="78" t="s">
        <v>664</v>
      </c>
      <c r="E892" s="78">
        <f t="shared" si="68"/>
        <v>42642</v>
      </c>
      <c r="F892" s="80" t="s">
        <v>1821</v>
      </c>
      <c r="G892" s="934" t="s">
        <v>2050</v>
      </c>
      <c r="H892" s="80" t="s">
        <v>1826</v>
      </c>
      <c r="I892" s="406">
        <v>23500</v>
      </c>
      <c r="J892" s="406">
        <v>1150</v>
      </c>
      <c r="K892" s="397"/>
      <c r="L892" s="406"/>
      <c r="M892" s="81">
        <f>I892*J892</f>
        <v>27025000</v>
      </c>
      <c r="N892" s="82" t="s">
        <v>270</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customHeight="1">
      <c r="A893" s="323" t="str">
        <f>IF(B893&lt;&gt;"",IF(AND(B893='IN-TC'!$S$4,OR(TH!N893="1111",TH!O893="1111")),TH!D893,""),"")</f>
        <v/>
      </c>
      <c r="B893" s="63">
        <f t="shared" si="70"/>
        <v>9</v>
      </c>
      <c r="C893" s="78">
        <v>42642</v>
      </c>
      <c r="D893" s="78" t="s">
        <v>664</v>
      </c>
      <c r="E893" s="78">
        <f t="shared" si="68"/>
        <v>42642</v>
      </c>
      <c r="F893" s="80" t="s">
        <v>2049</v>
      </c>
      <c r="G893" s="934" t="s">
        <v>2050</v>
      </c>
      <c r="H893" s="80" t="s">
        <v>1826</v>
      </c>
      <c r="I893" s="406"/>
      <c r="J893" s="406"/>
      <c r="K893" s="397"/>
      <c r="L893" s="406"/>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x</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customHeight="1">
      <c r="A894" s="323" t="str">
        <f>IF(B894&lt;&gt;"",IF(AND(B894='IN-TC'!$S$4,OR(TH!N868="1111",TH!O868="1111")),TH!D868,""),"")</f>
        <v/>
      </c>
      <c r="B894" s="63">
        <f t="shared" si="70"/>
        <v>8</v>
      </c>
      <c r="C894" s="64">
        <v>42606</v>
      </c>
      <c r="D894" s="78" t="s">
        <v>663</v>
      </c>
      <c r="E894" s="78">
        <f t="shared" si="68"/>
        <v>42606</v>
      </c>
      <c r="F894" s="79" t="s">
        <v>1814</v>
      </c>
      <c r="G894" s="934" t="s">
        <v>1820</v>
      </c>
      <c r="H894" s="80" t="s">
        <v>608</v>
      </c>
      <c r="I894" s="406">
        <v>100</v>
      </c>
      <c r="J894" s="406">
        <v>12000</v>
      </c>
      <c r="K894" s="397"/>
      <c r="L894" s="406"/>
      <c r="M894" s="81">
        <f>ROUND(I894*J894,0)</f>
        <v>1200000</v>
      </c>
      <c r="N894" s="82" t="s">
        <v>270</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customHeight="1">
      <c r="A895" s="323" t="str">
        <f>IF(B895&lt;&gt;"",IF(AND(B895='IN-TC'!$S$4,OR(TH!N869="1111",TH!O869="1111")),TH!D869,""),"")</f>
        <v/>
      </c>
      <c r="B895" s="63">
        <f t="shared" si="70"/>
        <v>8</v>
      </c>
      <c r="C895" s="64">
        <v>42606</v>
      </c>
      <c r="D895" s="78" t="s">
        <v>663</v>
      </c>
      <c r="E895" s="78">
        <f t="shared" si="68"/>
        <v>42606</v>
      </c>
      <c r="F895" s="79" t="s">
        <v>637</v>
      </c>
      <c r="G895" s="934" t="s">
        <v>1820</v>
      </c>
      <c r="H895" s="80" t="s">
        <v>608</v>
      </c>
      <c r="I895" s="406"/>
      <c r="J895" s="406"/>
      <c r="K895" s="397"/>
      <c r="L895" s="406"/>
      <c r="M895" s="81">
        <v>2420000</v>
      </c>
      <c r="N895" s="82" t="s">
        <v>9</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x</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customHeight="1">
      <c r="A896" s="323" t="str">
        <f>IF(B896&lt;&gt;"",IF(AND(B896='IN-TC'!$S$4,OR(TH!N894="1111",TH!O894="1111")),TH!D894,""),"")</f>
        <v/>
      </c>
      <c r="B896" s="63">
        <f t="shared" si="70"/>
        <v>9</v>
      </c>
      <c r="C896" s="90">
        <v>42633</v>
      </c>
      <c r="D896" s="78" t="s">
        <v>662</v>
      </c>
      <c r="E896" s="78">
        <v>42643</v>
      </c>
      <c r="F896" s="80" t="s">
        <v>394</v>
      </c>
      <c r="G896" s="934" t="s">
        <v>2007</v>
      </c>
      <c r="H896" s="80" t="s">
        <v>608</v>
      </c>
      <c r="I896" s="406">
        <v>502</v>
      </c>
      <c r="J896" s="406">
        <v>18200</v>
      </c>
      <c r="K896" s="397"/>
      <c r="L896" s="406"/>
      <c r="M896" s="81">
        <f>I896*J896</f>
        <v>9136400</v>
      </c>
      <c r="N896" s="82" t="s">
        <v>270</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customHeight="1">
      <c r="A897" s="323" t="str">
        <f>IF(B897&lt;&gt;"",IF(AND(B897='IN-TC'!$S$4,OR(TH!N895="1111",TH!O895="1111")),TH!D895,""),"")</f>
        <v/>
      </c>
      <c r="B897" s="63">
        <f t="shared" si="70"/>
        <v>9</v>
      </c>
      <c r="C897" s="78">
        <v>42633</v>
      </c>
      <c r="D897" s="78" t="s">
        <v>662</v>
      </c>
      <c r="E897" s="78">
        <v>42643</v>
      </c>
      <c r="F897" s="80" t="s">
        <v>2004</v>
      </c>
      <c r="G897" s="934" t="s">
        <v>2007</v>
      </c>
      <c r="H897" s="80" t="s">
        <v>608</v>
      </c>
      <c r="I897" s="406">
        <v>204</v>
      </c>
      <c r="J897" s="406">
        <v>13500</v>
      </c>
      <c r="K897" s="397"/>
      <c r="L897" s="406"/>
      <c r="M897" s="81">
        <f>I897*J897</f>
        <v>2754000</v>
      </c>
      <c r="N897" s="82" t="s">
        <v>270</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customHeight="1">
      <c r="A898" s="323" t="str">
        <f>IF(B898&lt;&gt;"",IF(AND(B898='IN-TC'!$S$4,OR(TH!N896="1111",TH!O896="1111")),TH!D896,""),"")</f>
        <v/>
      </c>
      <c r="B898" s="63">
        <f t="shared" si="70"/>
        <v>9</v>
      </c>
      <c r="C898" s="78">
        <v>42633</v>
      </c>
      <c r="D898" s="78" t="s">
        <v>662</v>
      </c>
      <c r="E898" s="78">
        <v>42643</v>
      </c>
      <c r="F898" s="80" t="s">
        <v>2005</v>
      </c>
      <c r="G898" s="934" t="s">
        <v>2007</v>
      </c>
      <c r="H898" s="80" t="s">
        <v>608</v>
      </c>
      <c r="I898" s="406">
        <v>4468</v>
      </c>
      <c r="J898" s="406">
        <v>10300</v>
      </c>
      <c r="K898" s="397"/>
      <c r="L898" s="406"/>
      <c r="M898" s="81">
        <f>I898*J898</f>
        <v>46020400</v>
      </c>
      <c r="N898" s="82" t="s">
        <v>270</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customHeight="1">
      <c r="A899" s="323" t="str">
        <f>IF(B899&lt;&gt;"",IF(AND(B899='IN-TC'!$S$4,OR(TH!N897="1111",TH!O897="1111")),TH!D897,""),"")</f>
        <v/>
      </c>
      <c r="B899" s="63">
        <f t="shared" si="70"/>
        <v>9</v>
      </c>
      <c r="C899" s="78">
        <v>42633</v>
      </c>
      <c r="D899" s="78" t="s">
        <v>662</v>
      </c>
      <c r="E899" s="78">
        <v>42643</v>
      </c>
      <c r="F899" s="80" t="s">
        <v>2006</v>
      </c>
      <c r="G899" s="934" t="s">
        <v>2007</v>
      </c>
      <c r="H899" s="80" t="s">
        <v>608</v>
      </c>
      <c r="I899" s="406">
        <v>1077</v>
      </c>
      <c r="J899" s="406">
        <v>13500</v>
      </c>
      <c r="K899" s="397"/>
      <c r="L899" s="406"/>
      <c r="M899" s="81">
        <f>I899*J899</f>
        <v>14539500</v>
      </c>
      <c r="N899" s="82" t="s">
        <v>270</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customHeight="1">
      <c r="A900" s="323" t="str">
        <f>IF(B900&lt;&gt;"",IF(AND(B900='IN-TC'!$S$4,OR(TH!N900="1111",TH!O900="1111")),TH!D900,""),"")</f>
        <v/>
      </c>
      <c r="B900" s="63">
        <f t="shared" si="70"/>
        <v>9</v>
      </c>
      <c r="C900" s="64">
        <v>42616</v>
      </c>
      <c r="D900" s="64" t="s">
        <v>671</v>
      </c>
      <c r="E900" s="64">
        <f t="shared" ref="E900:E934" si="71">C900</f>
        <v>42616</v>
      </c>
      <c r="F900" s="1176" t="s">
        <v>332</v>
      </c>
      <c r="G900" s="67"/>
      <c r="H900" s="72" t="s">
        <v>439</v>
      </c>
      <c r="I900" s="1177">
        <v>20</v>
      </c>
      <c r="J900" s="1177">
        <v>35444.444439999999</v>
      </c>
      <c r="K900" s="401"/>
      <c r="L900" s="410"/>
      <c r="M900" s="65">
        <f t="shared" ref="M900:M918" si="72">ROUND(I900*J900,0)</f>
        <v>708889</v>
      </c>
      <c r="N900" s="66" t="s">
        <v>276</v>
      </c>
      <c r="O900" s="66" t="s">
        <v>270</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customHeight="1">
      <c r="A901" s="323" t="str">
        <f>IF(B901&lt;&gt;"",IF(AND(B901='IN-TC'!$S$4,OR(TH!N901="1111",TH!O901="1111")),TH!D901,""),"")</f>
        <v/>
      </c>
      <c r="B901" s="63">
        <f t="shared" si="70"/>
        <v>9</v>
      </c>
      <c r="C901" s="1178">
        <v>42616</v>
      </c>
      <c r="D901" s="64" t="s">
        <v>671</v>
      </c>
      <c r="E901" s="64">
        <f t="shared" si="71"/>
        <v>42616</v>
      </c>
      <c r="F901" s="1141" t="s">
        <v>338</v>
      </c>
      <c r="G901" s="67"/>
      <c r="H901" s="72" t="s">
        <v>439</v>
      </c>
      <c r="I901" s="1177">
        <v>40</v>
      </c>
      <c r="J901" s="408">
        <v>46741.2</v>
      </c>
      <c r="K901" s="401"/>
      <c r="L901" s="410"/>
      <c r="M901" s="65">
        <f t="shared" si="72"/>
        <v>1869648</v>
      </c>
      <c r="N901" s="66" t="s">
        <v>276</v>
      </c>
      <c r="O901" s="66" t="s">
        <v>270</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customHeight="1">
      <c r="A902" s="323" t="str">
        <f>IF(B902&lt;&gt;"",IF(AND(B902='IN-TC'!$S$4,OR(TH!N902="1111",TH!O902="1111")),TH!D902,""),"")</f>
        <v/>
      </c>
      <c r="B902" s="63">
        <f t="shared" si="70"/>
        <v>9</v>
      </c>
      <c r="C902" s="1178">
        <v>42616</v>
      </c>
      <c r="D902" s="64" t="s">
        <v>671</v>
      </c>
      <c r="E902" s="64">
        <f t="shared" si="71"/>
        <v>42616</v>
      </c>
      <c r="F902" s="1141" t="s">
        <v>341</v>
      </c>
      <c r="G902" s="67"/>
      <c r="H902" s="72" t="s">
        <v>439</v>
      </c>
      <c r="I902" s="1177">
        <v>350</v>
      </c>
      <c r="J902" s="1177">
        <v>14523</v>
      </c>
      <c r="K902" s="401"/>
      <c r="L902" s="410"/>
      <c r="M902" s="65">
        <f t="shared" si="72"/>
        <v>5083050</v>
      </c>
      <c r="N902" s="66" t="s">
        <v>276</v>
      </c>
      <c r="O902" s="66" t="s">
        <v>270</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customHeight="1">
      <c r="A903" s="323" t="str">
        <f>IF(B903&lt;&gt;"",IF(AND(B903='IN-TC'!$S$4,OR(TH!N903="1111",TH!O903="1111")),TH!D903,""),"")</f>
        <v/>
      </c>
      <c r="B903" s="63">
        <f t="shared" si="70"/>
        <v>9</v>
      </c>
      <c r="C903" s="1178">
        <v>42616</v>
      </c>
      <c r="D903" s="64" t="s">
        <v>671</v>
      </c>
      <c r="E903" s="64">
        <f t="shared" si="71"/>
        <v>42616</v>
      </c>
      <c r="F903" s="1141" t="s">
        <v>346</v>
      </c>
      <c r="G903" s="67"/>
      <c r="H903" s="72" t="s">
        <v>439</v>
      </c>
      <c r="I903" s="1177">
        <v>1000</v>
      </c>
      <c r="J903" s="1177">
        <v>3200</v>
      </c>
      <c r="K903" s="401"/>
      <c r="L903" s="410"/>
      <c r="M903" s="65">
        <f t="shared" si="72"/>
        <v>3200000</v>
      </c>
      <c r="N903" s="66" t="s">
        <v>276</v>
      </c>
      <c r="O903" s="66" t="s">
        <v>270</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customHeight="1">
      <c r="A904" s="323" t="str">
        <f>IF(B904&lt;&gt;"",IF(AND(B904='IN-TC'!$S$4,OR(TH!N904="1111",TH!O904="1111")),TH!D904,""),"")</f>
        <v/>
      </c>
      <c r="B904" s="63">
        <f t="shared" si="70"/>
        <v>9</v>
      </c>
      <c r="C904" s="1178">
        <v>42616</v>
      </c>
      <c r="D904" s="64" t="s">
        <v>671</v>
      </c>
      <c r="E904" s="64">
        <f t="shared" si="71"/>
        <v>42616</v>
      </c>
      <c r="F904" s="1141" t="s">
        <v>349</v>
      </c>
      <c r="G904" s="67"/>
      <c r="H904" s="72" t="s">
        <v>439</v>
      </c>
      <c r="I904" s="1177">
        <v>1100</v>
      </c>
      <c r="J904" s="1177">
        <v>14728</v>
      </c>
      <c r="K904" s="401"/>
      <c r="L904" s="410"/>
      <c r="M904" s="65">
        <f t="shared" si="72"/>
        <v>16200800</v>
      </c>
      <c r="N904" s="66" t="s">
        <v>276</v>
      </c>
      <c r="O904" s="66" t="s">
        <v>270</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customHeight="1">
      <c r="A905" s="323" t="str">
        <f>IF(B905&lt;&gt;"",IF(AND(B905='IN-TC'!$S$4,OR(TH!N905="1111",TH!O905="1111")),TH!D905,""),"")</f>
        <v/>
      </c>
      <c r="B905" s="63">
        <f t="shared" si="70"/>
        <v>9</v>
      </c>
      <c r="C905" s="1178">
        <v>42616</v>
      </c>
      <c r="D905" s="64" t="s">
        <v>671</v>
      </c>
      <c r="E905" s="64">
        <f t="shared" si="71"/>
        <v>42616</v>
      </c>
      <c r="F905" s="1141" t="s">
        <v>1389</v>
      </c>
      <c r="G905" s="67"/>
      <c r="H905" s="72" t="s">
        <v>439</v>
      </c>
      <c r="I905" s="1177">
        <v>50</v>
      </c>
      <c r="J905" s="1177">
        <v>12728</v>
      </c>
      <c r="K905" s="401"/>
      <c r="L905" s="410"/>
      <c r="M905" s="65">
        <f t="shared" si="72"/>
        <v>636400</v>
      </c>
      <c r="N905" s="66" t="s">
        <v>276</v>
      </c>
      <c r="O905" s="66" t="s">
        <v>270</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customHeight="1">
      <c r="A906" s="323" t="str">
        <f>IF(B906&lt;&gt;"",IF(AND(B906='IN-TC'!$S$4,OR(TH!N906="1111",TH!O906="1111")),TH!D906,""),"")</f>
        <v/>
      </c>
      <c r="B906" s="63">
        <f t="shared" si="70"/>
        <v>9</v>
      </c>
      <c r="C906" s="1178">
        <v>42633</v>
      </c>
      <c r="D906" s="64" t="s">
        <v>672</v>
      </c>
      <c r="E906" s="64">
        <f t="shared" si="71"/>
        <v>42633</v>
      </c>
      <c r="F906" s="1141" t="s">
        <v>352</v>
      </c>
      <c r="G906" s="67"/>
      <c r="H906" s="72" t="s">
        <v>439</v>
      </c>
      <c r="I906" s="1177">
        <v>100</v>
      </c>
      <c r="J906" s="1177">
        <v>8000</v>
      </c>
      <c r="K906" s="401"/>
      <c r="L906" s="410"/>
      <c r="M906" s="65">
        <f t="shared" si="72"/>
        <v>800000</v>
      </c>
      <c r="N906" s="66" t="s">
        <v>276</v>
      </c>
      <c r="O906" s="66" t="s">
        <v>270</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customHeight="1">
      <c r="A907" s="323" t="str">
        <f>IF(B907&lt;&gt;"",IF(AND(B907='IN-TC'!$S$4,OR(TH!N907="1111",TH!O907="1111")),TH!D907,""),"")</f>
        <v/>
      </c>
      <c r="B907" s="63">
        <f t="shared" si="70"/>
        <v>9</v>
      </c>
      <c r="C907" s="1178">
        <v>42633</v>
      </c>
      <c r="D907" s="64" t="s">
        <v>672</v>
      </c>
      <c r="E907" s="64">
        <f t="shared" si="71"/>
        <v>42633</v>
      </c>
      <c r="F907" s="1179" t="s">
        <v>394</v>
      </c>
      <c r="G907" s="67"/>
      <c r="H907" s="72" t="s">
        <v>439</v>
      </c>
      <c r="I907" s="1177">
        <v>250</v>
      </c>
      <c r="J907" s="1177">
        <v>18200</v>
      </c>
      <c r="K907" s="401"/>
      <c r="L907" s="410"/>
      <c r="M907" s="65">
        <f t="shared" si="72"/>
        <v>4550000</v>
      </c>
      <c r="N907" s="66" t="s">
        <v>276</v>
      </c>
      <c r="O907" s="66" t="s">
        <v>270</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customHeight="1">
      <c r="A908" s="323" t="str">
        <f>IF(B908&lt;&gt;"",IF(AND(B908='IN-TC'!$S$4,OR(TH!N908="1111",TH!O908="1111")),TH!D908,""),"")</f>
        <v/>
      </c>
      <c r="B908" s="63">
        <f t="shared" si="70"/>
        <v>9</v>
      </c>
      <c r="C908" s="1276">
        <v>42634</v>
      </c>
      <c r="D908" s="64" t="s">
        <v>674</v>
      </c>
      <c r="E908" s="64">
        <f t="shared" si="71"/>
        <v>42634</v>
      </c>
      <c r="F908" s="1180" t="s">
        <v>638</v>
      </c>
      <c r="G908" s="67"/>
      <c r="H908" s="72" t="s">
        <v>439</v>
      </c>
      <c r="I908" s="1177">
        <v>800</v>
      </c>
      <c r="J908" s="1177">
        <v>14000</v>
      </c>
      <c r="K908" s="401"/>
      <c r="L908" s="410"/>
      <c r="M908" s="65">
        <f t="shared" si="72"/>
        <v>11200000</v>
      </c>
      <c r="N908" s="66" t="s">
        <v>276</v>
      </c>
      <c r="O908" s="66" t="s">
        <v>270</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customHeight="1">
      <c r="A909" s="323" t="str">
        <f>IF(B909&lt;&gt;"",IF(AND(B909='IN-TC'!$S$4,OR(TH!N909="1111",TH!O909="1111")),TH!D909,""),"")</f>
        <v/>
      </c>
      <c r="B909" s="63">
        <f t="shared" si="70"/>
        <v>9</v>
      </c>
      <c r="C909" s="1178">
        <v>42633</v>
      </c>
      <c r="D909" s="64" t="s">
        <v>672</v>
      </c>
      <c r="E909" s="64">
        <f t="shared" si="71"/>
        <v>42633</v>
      </c>
      <c r="F909" s="1180" t="s">
        <v>380</v>
      </c>
      <c r="G909" s="67"/>
      <c r="H909" s="72" t="s">
        <v>439</v>
      </c>
      <c r="I909" s="1177">
        <v>2353</v>
      </c>
      <c r="J909" s="1177">
        <v>16800</v>
      </c>
      <c r="K909" s="401"/>
      <c r="L909" s="410"/>
      <c r="M909" s="65">
        <f t="shared" si="72"/>
        <v>39530400</v>
      </c>
      <c r="N909" s="66" t="s">
        <v>276</v>
      </c>
      <c r="O909" s="66" t="s">
        <v>270</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customHeight="1">
      <c r="A910" s="323" t="str">
        <f>IF(B910&lt;&gt;"",IF(AND(B910='IN-TC'!$S$4,OR(TH!N910="1111",TH!O910="1111")),TH!D910,""),"")</f>
        <v/>
      </c>
      <c r="B910" s="63">
        <f t="shared" si="70"/>
        <v>9</v>
      </c>
      <c r="C910" s="1178">
        <v>42633</v>
      </c>
      <c r="D910" s="64" t="s">
        <v>672</v>
      </c>
      <c r="E910" s="64">
        <f t="shared" si="71"/>
        <v>42633</v>
      </c>
      <c r="F910" s="1180" t="s">
        <v>1823</v>
      </c>
      <c r="G910" s="67"/>
      <c r="H910" s="72" t="s">
        <v>439</v>
      </c>
      <c r="I910" s="1177">
        <v>96</v>
      </c>
      <c r="J910" s="1177">
        <v>37000</v>
      </c>
      <c r="K910" s="401"/>
      <c r="L910" s="410"/>
      <c r="M910" s="65">
        <f t="shared" si="72"/>
        <v>3552000</v>
      </c>
      <c r="N910" s="66" t="s">
        <v>276</v>
      </c>
      <c r="O910" s="66" t="s">
        <v>270</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customHeight="1">
      <c r="A911" s="323" t="str">
        <f>IF(B911&lt;&gt;"",IF(AND(B911='IN-TC'!$S$4,OR(TH!N911="1111",TH!O911="1111")),TH!D911,""),"")</f>
        <v/>
      </c>
      <c r="B911" s="63">
        <f t="shared" si="70"/>
        <v>9</v>
      </c>
      <c r="C911" s="1178">
        <v>42633</v>
      </c>
      <c r="D911" s="64" t="s">
        <v>672</v>
      </c>
      <c r="E911" s="64">
        <f t="shared" si="71"/>
        <v>42633</v>
      </c>
      <c r="F911" s="1180" t="s">
        <v>1492</v>
      </c>
      <c r="G911" s="67"/>
      <c r="H911" s="72" t="s">
        <v>439</v>
      </c>
      <c r="I911" s="1177">
        <v>153</v>
      </c>
      <c r="J911" s="1177">
        <v>13000</v>
      </c>
      <c r="K911" s="401"/>
      <c r="L911" s="410"/>
      <c r="M911" s="65">
        <f t="shared" si="72"/>
        <v>1989000</v>
      </c>
      <c r="N911" s="66" t="s">
        <v>276</v>
      </c>
      <c r="O911" s="66" t="s">
        <v>270</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customHeight="1">
      <c r="A912" s="323" t="str">
        <f>IF(B912&lt;&gt;"",IF(AND(B912='IN-TC'!$S$4,OR(TH!N912="1111",TH!O912="1111")),TH!D912,""),"")</f>
        <v/>
      </c>
      <c r="B912" s="63">
        <f t="shared" si="70"/>
        <v>9</v>
      </c>
      <c r="C912" s="1178">
        <v>42633</v>
      </c>
      <c r="D912" s="64" t="s">
        <v>672</v>
      </c>
      <c r="E912" s="64">
        <f t="shared" si="71"/>
        <v>42633</v>
      </c>
      <c r="F912" s="1180" t="s">
        <v>1823</v>
      </c>
      <c r="G912" s="67"/>
      <c r="H912" s="72" t="s">
        <v>439</v>
      </c>
      <c r="I912" s="1177">
        <v>6</v>
      </c>
      <c r="J912" s="1177">
        <v>37000</v>
      </c>
      <c r="K912" s="401"/>
      <c r="L912" s="410"/>
      <c r="M912" s="65">
        <f t="shared" si="72"/>
        <v>222000</v>
      </c>
      <c r="N912" s="66" t="s">
        <v>276</v>
      </c>
      <c r="O912" s="66" t="s">
        <v>270</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customHeight="1">
      <c r="A913" s="323" t="str">
        <f>IF(B913&lt;&gt;"",IF(AND(B913='IN-TC'!$S$4,OR(TH!N913="1111",TH!O913="1111")),TH!D913,""),"")</f>
        <v/>
      </c>
      <c r="B913" s="63">
        <f t="shared" si="70"/>
        <v>9</v>
      </c>
      <c r="C913" s="1178">
        <v>42633</v>
      </c>
      <c r="D913" s="64" t="s">
        <v>673</v>
      </c>
      <c r="E913" s="64">
        <f t="shared" si="71"/>
        <v>42633</v>
      </c>
      <c r="F913" s="1180" t="s">
        <v>1492</v>
      </c>
      <c r="G913" s="67"/>
      <c r="H913" s="72" t="s">
        <v>439</v>
      </c>
      <c r="I913" s="1177">
        <v>100</v>
      </c>
      <c r="J913" s="1177">
        <v>13000</v>
      </c>
      <c r="K913" s="401"/>
      <c r="L913" s="410"/>
      <c r="M913" s="65">
        <f t="shared" si="72"/>
        <v>1300000</v>
      </c>
      <c r="N913" s="66" t="s">
        <v>276</v>
      </c>
      <c r="O913" s="66" t="s">
        <v>270</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customHeight="1">
      <c r="A914" s="323" t="str">
        <f>IF(B914&lt;&gt;"",IF(AND(B914='IN-TC'!$S$4,OR(TH!N914="1111",TH!O914="1111")),TH!D914,""),"")</f>
        <v/>
      </c>
      <c r="B914" s="63">
        <f t="shared" si="70"/>
        <v>9</v>
      </c>
      <c r="C914" s="1178">
        <v>42633</v>
      </c>
      <c r="D914" s="64" t="s">
        <v>673</v>
      </c>
      <c r="E914" s="64">
        <f t="shared" si="71"/>
        <v>42633</v>
      </c>
      <c r="F914" s="1180" t="s">
        <v>1823</v>
      </c>
      <c r="G914" s="67"/>
      <c r="H914" s="72" t="s">
        <v>439</v>
      </c>
      <c r="I914" s="1177">
        <v>5</v>
      </c>
      <c r="J914" s="1177">
        <v>37000</v>
      </c>
      <c r="K914" s="401"/>
      <c r="L914" s="410"/>
      <c r="M914" s="65">
        <f t="shared" si="72"/>
        <v>185000</v>
      </c>
      <c r="N914" s="66" t="s">
        <v>276</v>
      </c>
      <c r="O914" s="66" t="s">
        <v>270</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customHeight="1">
      <c r="A915" s="323" t="str">
        <f>IF(B915&lt;&gt;"",IF(AND(B915='IN-TC'!$S$4,OR(TH!N915="1111",TH!O915="1111")),TH!D915,""),"")</f>
        <v/>
      </c>
      <c r="B915" s="63">
        <f t="shared" si="70"/>
        <v>9</v>
      </c>
      <c r="C915" s="1178">
        <v>42633</v>
      </c>
      <c r="D915" s="64" t="s">
        <v>673</v>
      </c>
      <c r="E915" s="64">
        <f t="shared" si="71"/>
        <v>42633</v>
      </c>
      <c r="F915" s="1180" t="s">
        <v>1821</v>
      </c>
      <c r="G915" s="67"/>
      <c r="H915" s="72" t="s">
        <v>439</v>
      </c>
      <c r="I915" s="1177">
        <v>18700</v>
      </c>
      <c r="J915" s="1177">
        <v>1150</v>
      </c>
      <c r="K915" s="401"/>
      <c r="L915" s="410"/>
      <c r="M915" s="65">
        <f t="shared" si="72"/>
        <v>21505000</v>
      </c>
      <c r="N915" s="66" t="s">
        <v>276</v>
      </c>
      <c r="O915" s="66" t="s">
        <v>270</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customHeight="1">
      <c r="A916" s="323" t="str">
        <f>IF(B916&lt;&gt;"",IF(AND(B916='IN-TC'!$S$4,OR(TH!N916="1111",TH!O916="1111")),TH!D916,""),"")</f>
        <v/>
      </c>
      <c r="B916" s="63">
        <f t="shared" si="70"/>
        <v>9</v>
      </c>
      <c r="C916" s="1178">
        <v>42633</v>
      </c>
      <c r="D916" s="64" t="s">
        <v>673</v>
      </c>
      <c r="E916" s="64">
        <f t="shared" si="71"/>
        <v>42633</v>
      </c>
      <c r="F916" s="1180" t="s">
        <v>1814</v>
      </c>
      <c r="G916" s="67"/>
      <c r="H916" s="72" t="s">
        <v>439</v>
      </c>
      <c r="I916" s="1177">
        <v>1560</v>
      </c>
      <c r="J916" s="1177">
        <v>10000</v>
      </c>
      <c r="K916" s="401"/>
      <c r="L916" s="410"/>
      <c r="M916" s="65">
        <f t="shared" si="72"/>
        <v>15600000</v>
      </c>
      <c r="N916" s="66" t="s">
        <v>276</v>
      </c>
      <c r="O916" s="66" t="s">
        <v>270</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customHeight="1">
      <c r="A917" s="323" t="str">
        <f>IF(B917&lt;&gt;"",IF(AND(B917='IN-TC'!$S$4,OR(TH!N917="1111",TH!O917="1111")),TH!D917,""),"")</f>
        <v/>
      </c>
      <c r="B917" s="63">
        <f t="shared" si="70"/>
        <v>9</v>
      </c>
      <c r="C917" s="1178">
        <v>42633</v>
      </c>
      <c r="D917" s="64" t="s">
        <v>673</v>
      </c>
      <c r="E917" s="64">
        <f t="shared" si="71"/>
        <v>42633</v>
      </c>
      <c r="F917" s="1180" t="s">
        <v>2004</v>
      </c>
      <c r="G917" s="67"/>
      <c r="H917" s="72" t="s">
        <v>439</v>
      </c>
      <c r="I917" s="1177">
        <v>95</v>
      </c>
      <c r="J917" s="1177">
        <v>13500</v>
      </c>
      <c r="K917" s="401"/>
      <c r="L917" s="410"/>
      <c r="M917" s="65">
        <f t="shared" si="72"/>
        <v>1282500</v>
      </c>
      <c r="N917" s="66" t="s">
        <v>276</v>
      </c>
      <c r="O917" s="66" t="s">
        <v>270</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customHeight="1">
      <c r="A918" s="323" t="str">
        <f>IF(B918&lt;&gt;"",IF(AND(B918='IN-TC'!$S$4,OR(TH!N918="1111",TH!O918="1111")),TH!D918,""),"")</f>
        <v/>
      </c>
      <c r="B918" s="63">
        <f t="shared" si="70"/>
        <v>9</v>
      </c>
      <c r="C918" s="1178">
        <v>42633</v>
      </c>
      <c r="D918" s="64" t="s">
        <v>673</v>
      </c>
      <c r="E918" s="64">
        <f t="shared" si="71"/>
        <v>42633</v>
      </c>
      <c r="F918" s="1180" t="s">
        <v>1823</v>
      </c>
      <c r="G918" s="67"/>
      <c r="H918" s="72" t="s">
        <v>439</v>
      </c>
      <c r="I918" s="1177">
        <v>4</v>
      </c>
      <c r="J918" s="1177">
        <v>37000</v>
      </c>
      <c r="K918" s="401"/>
      <c r="L918" s="410"/>
      <c r="M918" s="65">
        <f t="shared" si="72"/>
        <v>148000</v>
      </c>
      <c r="N918" s="66" t="s">
        <v>276</v>
      </c>
      <c r="O918" s="66" t="s">
        <v>270</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customHeight="1">
      <c r="A919" s="323" t="str">
        <f>IF(B919&lt;&gt;"",IF(AND(B919='IN-TC'!$S$4,OR(TH!N919="1111",TH!O919="1111")),TH!D919,""),"")</f>
        <v/>
      </c>
      <c r="B919" s="63">
        <f t="shared" si="70"/>
        <v>9</v>
      </c>
      <c r="C919" s="1178">
        <v>42643</v>
      </c>
      <c r="D919" s="64" t="s">
        <v>675</v>
      </c>
      <c r="E919" s="64">
        <f t="shared" si="71"/>
        <v>42643</v>
      </c>
      <c r="F919" s="1180" t="s">
        <v>380</v>
      </c>
      <c r="G919" s="67"/>
      <c r="H919" s="72" t="s">
        <v>439</v>
      </c>
      <c r="I919" s="1181">
        <v>2000</v>
      </c>
      <c r="J919" s="1181"/>
      <c r="K919" s="401"/>
      <c r="L919" s="410"/>
      <c r="M919" s="65">
        <v>31176000</v>
      </c>
      <c r="N919" s="66" t="s">
        <v>276</v>
      </c>
      <c r="O919" s="66" t="s">
        <v>270</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customHeight="1">
      <c r="A920" s="323" t="str">
        <f>IF(B920&lt;&gt;"",IF(AND(B920='IN-TC'!$S$4,OR(TH!N920="1111",TH!O920="1111")),TH!D920,""),"")</f>
        <v/>
      </c>
      <c r="B920" s="63">
        <f t="shared" si="70"/>
        <v>9</v>
      </c>
      <c r="C920" s="1178">
        <v>42643</v>
      </c>
      <c r="D920" s="64" t="s">
        <v>675</v>
      </c>
      <c r="E920" s="64">
        <f t="shared" si="71"/>
        <v>42643</v>
      </c>
      <c r="F920" s="1180" t="s">
        <v>1824</v>
      </c>
      <c r="G920" s="67"/>
      <c r="H920" s="72" t="s">
        <v>439</v>
      </c>
      <c r="I920" s="1181">
        <v>95</v>
      </c>
      <c r="J920" s="1181">
        <v>37000</v>
      </c>
      <c r="K920" s="401"/>
      <c r="L920" s="410"/>
      <c r="M920" s="65">
        <f>ROUND(I920*J920,0)</f>
        <v>3515000</v>
      </c>
      <c r="N920" s="66" t="s">
        <v>276</v>
      </c>
      <c r="O920" s="66" t="s">
        <v>270</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customHeight="1">
      <c r="A921" s="323" t="str">
        <f>IF(B921&lt;&gt;"",IF(AND(B921='IN-TC'!$S$4,OR(TH!N866="1111",TH!O866="1111")),TH!D866,""),"")</f>
        <v/>
      </c>
      <c r="B921" s="63">
        <f t="shared" si="70"/>
        <v>8</v>
      </c>
      <c r="C921" s="64">
        <v>42594</v>
      </c>
      <c r="D921" s="78" t="s">
        <v>662</v>
      </c>
      <c r="E921" s="78">
        <f t="shared" si="71"/>
        <v>42594</v>
      </c>
      <c r="F921" s="79" t="s">
        <v>346</v>
      </c>
      <c r="G921" s="934" t="s">
        <v>1818</v>
      </c>
      <c r="H921" s="80" t="s">
        <v>607</v>
      </c>
      <c r="I921" s="406">
        <v>3000</v>
      </c>
      <c r="J921" s="406">
        <v>3200</v>
      </c>
      <c r="K921" s="397"/>
      <c r="L921" s="406"/>
      <c r="M921" s="81">
        <f>ROUND(I921*J921,0)</f>
        <v>9600000</v>
      </c>
      <c r="N921" s="82" t="s">
        <v>270</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customHeight="1">
      <c r="A922" s="323" t="str">
        <f>IF(B922&lt;&gt;"",IF(AND(B922='IN-TC'!$S$4,OR(TH!N922="1111",TH!O922="1111")),TH!D922,""),"")</f>
        <v/>
      </c>
      <c r="B922" s="63">
        <f t="shared" si="70"/>
        <v>10</v>
      </c>
      <c r="C922" s="1178">
        <v>42644</v>
      </c>
      <c r="D922" s="64" t="s">
        <v>671</v>
      </c>
      <c r="E922" s="64">
        <f t="shared" si="71"/>
        <v>42644</v>
      </c>
      <c r="F922" s="1176" t="s">
        <v>332</v>
      </c>
      <c r="G922" s="67"/>
      <c r="H922" s="72" t="s">
        <v>439</v>
      </c>
      <c r="I922" s="1177">
        <v>50</v>
      </c>
      <c r="J922" s="1177">
        <v>35444.4444</v>
      </c>
      <c r="K922" s="401"/>
      <c r="L922" s="410"/>
      <c r="M922" s="65">
        <f>ROUND(I922*J922,0)</f>
        <v>1772222</v>
      </c>
      <c r="N922" s="66" t="s">
        <v>276</v>
      </c>
      <c r="O922" s="66" t="s">
        <v>270</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customHeight="1">
      <c r="A923" s="323" t="str">
        <f>IF(B923&lt;&gt;"",IF(AND(B923='IN-TC'!$S$4,OR(TH!N923="1111",TH!O923="1111")),TH!D923,""),"")</f>
        <v/>
      </c>
      <c r="B923" s="63">
        <f t="shared" si="70"/>
        <v>10</v>
      </c>
      <c r="C923" s="1178">
        <v>42644</v>
      </c>
      <c r="D923" s="64" t="s">
        <v>671</v>
      </c>
      <c r="E923" s="64">
        <f t="shared" si="71"/>
        <v>42644</v>
      </c>
      <c r="F923" s="1141" t="s">
        <v>338</v>
      </c>
      <c r="G923" s="67"/>
      <c r="H923" s="72" t="s">
        <v>439</v>
      </c>
      <c r="I923" s="1177">
        <v>750</v>
      </c>
      <c r="J923" s="1177"/>
      <c r="K923" s="401"/>
      <c r="L923" s="410"/>
      <c r="M923" s="65">
        <v>36333690</v>
      </c>
      <c r="N923" s="66" t="s">
        <v>276</v>
      </c>
      <c r="O923" s="66" t="s">
        <v>270</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customHeight="1">
      <c r="A924" s="323" t="str">
        <f>IF(B924&lt;&gt;"",IF(AND(B924='IN-TC'!$S$4,OR(TH!N924="1111",TH!O924="1111")),TH!D924,""),"")</f>
        <v/>
      </c>
      <c r="B924" s="63">
        <f t="shared" si="70"/>
        <v>10</v>
      </c>
      <c r="C924" s="1178">
        <v>42644</v>
      </c>
      <c r="D924" s="64" t="s">
        <v>671</v>
      </c>
      <c r="E924" s="64">
        <f t="shared" si="71"/>
        <v>42644</v>
      </c>
      <c r="F924" s="1141" t="s">
        <v>341</v>
      </c>
      <c r="G924" s="67"/>
      <c r="H924" s="72" t="s">
        <v>439</v>
      </c>
      <c r="I924" s="1177">
        <v>450</v>
      </c>
      <c r="J924" s="1177">
        <v>14095</v>
      </c>
      <c r="K924" s="401"/>
      <c r="L924" s="410"/>
      <c r="M924" s="65">
        <f t="shared" ref="M924:M934" si="73">ROUND(I924*J924,0)</f>
        <v>6342750</v>
      </c>
      <c r="N924" s="66" t="s">
        <v>276</v>
      </c>
      <c r="O924" s="66" t="s">
        <v>270</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customHeight="1">
      <c r="A925" s="323" t="str">
        <f>IF(B925&lt;&gt;"",IF(AND(B925='IN-TC'!$S$4,OR(TH!N925="1111",TH!O925="1111")),TH!D925,""),"")</f>
        <v/>
      </c>
      <c r="B925" s="63">
        <f t="shared" si="70"/>
        <v>10</v>
      </c>
      <c r="C925" s="1178">
        <v>42648</v>
      </c>
      <c r="D925" s="64" t="s">
        <v>672</v>
      </c>
      <c r="E925" s="64">
        <f t="shared" si="71"/>
        <v>42648</v>
      </c>
      <c r="F925" s="1141" t="s">
        <v>346</v>
      </c>
      <c r="G925" s="67"/>
      <c r="H925" s="72" t="s">
        <v>439</v>
      </c>
      <c r="I925" s="1177">
        <v>1500</v>
      </c>
      <c r="J925" s="1177">
        <v>3200</v>
      </c>
      <c r="K925" s="401"/>
      <c r="L925" s="410"/>
      <c r="M925" s="65">
        <f t="shared" si="73"/>
        <v>4800000</v>
      </c>
      <c r="N925" s="66" t="s">
        <v>276</v>
      </c>
      <c r="O925" s="66" t="s">
        <v>270</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customHeight="1">
      <c r="A926" s="323" t="str">
        <f>IF(B926&lt;&gt;"",IF(AND(B926='IN-TC'!$S$4,OR(TH!N926="1111",TH!O926="1111")),TH!D926,""),"")</f>
        <v/>
      </c>
      <c r="B926" s="63">
        <f t="shared" si="70"/>
        <v>10</v>
      </c>
      <c r="C926" s="1178">
        <v>42644</v>
      </c>
      <c r="D926" s="64" t="s">
        <v>671</v>
      </c>
      <c r="E926" s="64">
        <f t="shared" si="71"/>
        <v>42644</v>
      </c>
      <c r="F926" s="1141" t="s">
        <v>349</v>
      </c>
      <c r="G926" s="67"/>
      <c r="H926" s="72" t="s">
        <v>439</v>
      </c>
      <c r="I926" s="1177">
        <v>1310</v>
      </c>
      <c r="J926" s="1177">
        <v>14728</v>
      </c>
      <c r="K926" s="401"/>
      <c r="L926" s="410"/>
      <c r="M926" s="65">
        <f t="shared" si="73"/>
        <v>19293680</v>
      </c>
      <c r="N926" s="66" t="s">
        <v>276</v>
      </c>
      <c r="O926" s="66" t="s">
        <v>270</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customHeight="1">
      <c r="A927" s="323" t="str">
        <f>IF(B927&lt;&gt;"",IF(AND(B927='IN-TC'!$S$4,OR(TH!N927="1111",TH!O927="1111")),TH!D927,""),"")</f>
        <v/>
      </c>
      <c r="B927" s="63">
        <f t="shared" si="70"/>
        <v>10</v>
      </c>
      <c r="C927" s="1178">
        <v>42644</v>
      </c>
      <c r="D927" s="64" t="s">
        <v>671</v>
      </c>
      <c r="E927" s="64">
        <f t="shared" si="71"/>
        <v>42644</v>
      </c>
      <c r="F927" s="1141" t="s">
        <v>1389</v>
      </c>
      <c r="G927" s="67"/>
      <c r="H927" s="72" t="s">
        <v>439</v>
      </c>
      <c r="I927" s="1177">
        <v>50</v>
      </c>
      <c r="J927" s="1181">
        <v>12728</v>
      </c>
      <c r="K927" s="401"/>
      <c r="L927" s="410"/>
      <c r="M927" s="65">
        <f t="shared" si="73"/>
        <v>636400</v>
      </c>
      <c r="N927" s="66" t="s">
        <v>276</v>
      </c>
      <c r="O927" s="66" t="s">
        <v>270</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customHeight="1">
      <c r="A928" s="323" t="str">
        <f>IF(B928&lt;&gt;"",IF(AND(B928='IN-TC'!$S$4,OR(TH!N928="1111",TH!O928="1111")),TH!D928,""),"")</f>
        <v/>
      </c>
      <c r="B928" s="63">
        <f t="shared" si="70"/>
        <v>10</v>
      </c>
      <c r="C928" s="1178">
        <v>42653</v>
      </c>
      <c r="D928" s="64" t="s">
        <v>673</v>
      </c>
      <c r="E928" s="64">
        <f t="shared" si="71"/>
        <v>42653</v>
      </c>
      <c r="F928" s="1141" t="s">
        <v>352</v>
      </c>
      <c r="G928" s="67"/>
      <c r="H928" s="72" t="s">
        <v>439</v>
      </c>
      <c r="I928" s="1177">
        <v>150</v>
      </c>
      <c r="J928" s="1177">
        <v>8000</v>
      </c>
      <c r="K928" s="401"/>
      <c r="L928" s="410"/>
      <c r="M928" s="65">
        <f t="shared" si="73"/>
        <v>1200000</v>
      </c>
      <c r="N928" s="66" t="s">
        <v>276</v>
      </c>
      <c r="O928" s="66" t="s">
        <v>270</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customHeight="1">
      <c r="A929" s="323" t="str">
        <f>IF(B929&lt;&gt;"",IF(AND(B929='IN-TC'!$S$4,OR(TH!N929="1111",TH!O929="1111")),TH!D929,""),"")</f>
        <v/>
      </c>
      <c r="B929" s="63">
        <f t="shared" si="70"/>
        <v>10</v>
      </c>
      <c r="C929" s="1178">
        <v>42653</v>
      </c>
      <c r="D929" s="64" t="s">
        <v>673</v>
      </c>
      <c r="E929" s="64">
        <f t="shared" si="71"/>
        <v>42653</v>
      </c>
      <c r="F929" s="1180" t="s">
        <v>638</v>
      </c>
      <c r="G929" s="67"/>
      <c r="H929" s="72" t="s">
        <v>439</v>
      </c>
      <c r="I929" s="1177">
        <v>1600</v>
      </c>
      <c r="J929" s="1181">
        <v>14000</v>
      </c>
      <c r="K929" s="401"/>
      <c r="L929" s="410"/>
      <c r="M929" s="65">
        <f t="shared" si="73"/>
        <v>22400000</v>
      </c>
      <c r="N929" s="66" t="s">
        <v>276</v>
      </c>
      <c r="O929" s="66" t="s">
        <v>270</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customHeight="1">
      <c r="A930" s="323" t="str">
        <f>IF(B930&lt;&gt;"",IF(AND(B930='IN-TC'!$S$4,OR(TH!N930="1111",TH!O930="1111")),TH!D930,""),"")</f>
        <v/>
      </c>
      <c r="B930" s="63">
        <f t="shared" si="70"/>
        <v>10</v>
      </c>
      <c r="C930" s="1178">
        <v>42653</v>
      </c>
      <c r="D930" s="64" t="s">
        <v>674</v>
      </c>
      <c r="E930" s="64">
        <f t="shared" si="71"/>
        <v>42653</v>
      </c>
      <c r="F930" s="1179" t="s">
        <v>394</v>
      </c>
      <c r="G930" s="67"/>
      <c r="H930" s="72" t="s">
        <v>439</v>
      </c>
      <c r="I930" s="1181">
        <v>252</v>
      </c>
      <c r="J930" s="1181">
        <v>18200</v>
      </c>
      <c r="K930" s="401"/>
      <c r="L930" s="410"/>
      <c r="M930" s="65">
        <f t="shared" si="73"/>
        <v>4586400</v>
      </c>
      <c r="N930" s="66" t="s">
        <v>276</v>
      </c>
      <c r="O930" s="66" t="s">
        <v>270</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customHeight="1">
      <c r="A931" s="323" t="str">
        <f>IF(B931&lt;&gt;"",IF(AND(B931='IN-TC'!$S$4,OR(TH!N931="1111",TH!O931="1111")),TH!D931,""),"")</f>
        <v/>
      </c>
      <c r="B931" s="63">
        <f t="shared" si="70"/>
        <v>10</v>
      </c>
      <c r="C931" s="1178">
        <v>42653</v>
      </c>
      <c r="D931" s="64" t="s">
        <v>674</v>
      </c>
      <c r="E931" s="64">
        <f t="shared" si="71"/>
        <v>42653</v>
      </c>
      <c r="F931" s="1180" t="s">
        <v>380</v>
      </c>
      <c r="G931" s="67"/>
      <c r="H931" s="72" t="s">
        <v>439</v>
      </c>
      <c r="I931" s="1181">
        <v>250</v>
      </c>
      <c r="J931" s="1181">
        <v>16800</v>
      </c>
      <c r="K931" s="401"/>
      <c r="L931" s="410"/>
      <c r="M931" s="65">
        <f t="shared" si="73"/>
        <v>4200000</v>
      </c>
      <c r="N931" s="66" t="s">
        <v>276</v>
      </c>
      <c r="O931" s="66" t="s">
        <v>270</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customHeight="1">
      <c r="A932" s="323" t="str">
        <f>IF(B932&lt;&gt;"",IF(AND(B932='IN-TC'!$S$4,OR(TH!N932="1111",TH!O932="1111")),TH!D932,""),"")</f>
        <v/>
      </c>
      <c r="B932" s="63">
        <f t="shared" si="70"/>
        <v>10</v>
      </c>
      <c r="C932" s="1178">
        <v>42653</v>
      </c>
      <c r="D932" s="64" t="s">
        <v>674</v>
      </c>
      <c r="E932" s="64">
        <f t="shared" si="71"/>
        <v>42653</v>
      </c>
      <c r="F932" s="1180" t="s">
        <v>2005</v>
      </c>
      <c r="G932" s="67"/>
      <c r="H932" s="72" t="s">
        <v>439</v>
      </c>
      <c r="I932" s="1181">
        <v>2000</v>
      </c>
      <c r="J932" s="1181">
        <v>10300</v>
      </c>
      <c r="K932" s="401"/>
      <c r="L932" s="410"/>
      <c r="M932" s="65">
        <f t="shared" si="73"/>
        <v>20600000</v>
      </c>
      <c r="N932" s="66" t="s">
        <v>276</v>
      </c>
      <c r="O932" s="66" t="s">
        <v>270</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customHeight="1">
      <c r="A933" s="323" t="str">
        <f>IF(B933&lt;&gt;"",IF(AND(B933='IN-TC'!$S$4,OR(TH!N933="1111",TH!O933="1111")),TH!D933,""),"")</f>
        <v/>
      </c>
      <c r="B933" s="63">
        <f t="shared" si="70"/>
        <v>10</v>
      </c>
      <c r="C933" s="1178">
        <v>42653</v>
      </c>
      <c r="D933" s="64" t="s">
        <v>674</v>
      </c>
      <c r="E933" s="64">
        <f t="shared" si="71"/>
        <v>42653</v>
      </c>
      <c r="F933" s="1180" t="s">
        <v>1819</v>
      </c>
      <c r="G933" s="67"/>
      <c r="H933" s="72" t="s">
        <v>439</v>
      </c>
      <c r="I933" s="1181">
        <v>2000</v>
      </c>
      <c r="J933" s="1181">
        <v>11500</v>
      </c>
      <c r="K933" s="401"/>
      <c r="L933" s="410"/>
      <c r="M933" s="65">
        <f t="shared" si="73"/>
        <v>23000000</v>
      </c>
      <c r="N933" s="66" t="s">
        <v>276</v>
      </c>
      <c r="O933" s="66" t="s">
        <v>270</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customHeight="1">
      <c r="A934" s="323" t="str">
        <f>IF(B934&lt;&gt;"",IF(AND(B934='IN-TC'!$S$4,OR(TH!N934="1111",TH!O934="1111")),TH!D934,""),"")</f>
        <v/>
      </c>
      <c r="B934" s="63">
        <f t="shared" si="70"/>
        <v>10</v>
      </c>
      <c r="C934" s="1178">
        <v>42653</v>
      </c>
      <c r="D934" s="64" t="s">
        <v>674</v>
      </c>
      <c r="E934" s="64">
        <f t="shared" si="71"/>
        <v>42653</v>
      </c>
      <c r="F934" s="1182" t="s">
        <v>1821</v>
      </c>
      <c r="G934" s="67"/>
      <c r="H934" s="72" t="s">
        <v>439</v>
      </c>
      <c r="I934" s="1181">
        <v>51800</v>
      </c>
      <c r="J934" s="1181">
        <v>1150</v>
      </c>
      <c r="K934" s="401"/>
      <c r="L934" s="410"/>
      <c r="M934" s="65">
        <f t="shared" si="73"/>
        <v>59570000</v>
      </c>
      <c r="N934" s="66" t="s">
        <v>276</v>
      </c>
      <c r="O934" s="66" t="s">
        <v>270</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customHeight="1">
      <c r="A935" s="323" t="str">
        <f>IF(B935&lt;&gt;"",IF(AND(B935='IN-TC'!$S$4,OR(TH!N2699="1111",TH!O2699="1111")),TH!D2699,""),"")</f>
        <v/>
      </c>
      <c r="B935" s="63">
        <f t="shared" si="70"/>
        <v>3</v>
      </c>
      <c r="C935" s="64">
        <v>42437</v>
      </c>
      <c r="D935" s="306" t="s">
        <v>874</v>
      </c>
      <c r="E935" s="64">
        <v>42437</v>
      </c>
      <c r="F935" s="72" t="s">
        <v>765</v>
      </c>
      <c r="G935" s="931" t="s">
        <v>643</v>
      </c>
      <c r="H935" s="329" t="s">
        <v>660</v>
      </c>
      <c r="I935" s="408"/>
      <c r="J935" s="408"/>
      <c r="K935" s="399"/>
      <c r="L935" s="408"/>
      <c r="M935" s="65">
        <v>14800000</v>
      </c>
      <c r="N935" s="66" t="s">
        <v>8</v>
      </c>
      <c r="O935" s="66" t="s">
        <v>61</v>
      </c>
      <c r="P935" s="82" t="str">
        <f>IF(AND('331-CT'!$E$7=TH!H935,OR(N935="331",O935="331")),"x","")</f>
        <v/>
      </c>
      <c r="Q935" s="82" t="str">
        <f>IF(AND(B935='111'!$L$11,OR($N935=$Q$7,$O935=$Q$7)),"x","")</f>
        <v/>
      </c>
      <c r="R935" s="82" t="str">
        <f>IF(AND($N935=$Q$7,$B935&lt;'111'!$L$11),"x","")</f>
        <v/>
      </c>
      <c r="S935" s="82" t="str">
        <f>IF(AND($O935=$Q$7,$B935&lt;'111'!$L$11),"x","")</f>
        <v>x</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row>
    <row r="936" spans="1:31" ht="15.75" customHeight="1">
      <c r="A936" s="323" t="str">
        <f>IF(B936&lt;&gt;"",IF(AND(B936='IN-TC'!$S$4,OR(TH!N752="1111",TH!O752="1111")),TH!D752,""),"")</f>
        <v/>
      </c>
      <c r="B936" s="63">
        <f t="shared" si="70"/>
        <v>3</v>
      </c>
      <c r="C936" s="306">
        <v>42457</v>
      </c>
      <c r="D936" s="1077" t="s">
        <v>665</v>
      </c>
      <c r="E936" s="1077">
        <v>42457</v>
      </c>
      <c r="F936" s="1107" t="s">
        <v>341</v>
      </c>
      <c r="G936" s="949" t="s">
        <v>1330</v>
      </c>
      <c r="H936" s="918" t="s">
        <v>660</v>
      </c>
      <c r="I936" s="406">
        <v>1000</v>
      </c>
      <c r="J936" s="406">
        <v>14095.237999999999</v>
      </c>
      <c r="K936" s="397"/>
      <c r="L936" s="406"/>
      <c r="M936" s="81">
        <v>14095238</v>
      </c>
      <c r="N936" s="1073" t="s">
        <v>270</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x</v>
      </c>
      <c r="AD936" s="82" t="str">
        <f>IF(AND(N936="1521",MONTH(C936)='BK-NL'!$M$11),"x","")</f>
        <v/>
      </c>
    </row>
    <row r="937" spans="1:31" ht="15.75" customHeight="1">
      <c r="A937" s="323" t="str">
        <f>IF(B937&lt;&gt;"",IF(AND(B937='IN-TC'!$S$4,OR(TH!N753="1111",TH!O753="1111")),TH!D753,""),"")</f>
        <v/>
      </c>
      <c r="B937" s="63">
        <f t="shared" si="70"/>
        <v>3</v>
      </c>
      <c r="C937" s="306">
        <v>42457</v>
      </c>
      <c r="D937" s="1077" t="s">
        <v>665</v>
      </c>
      <c r="E937" s="1077">
        <v>42457</v>
      </c>
      <c r="F937" s="1107" t="s">
        <v>634</v>
      </c>
      <c r="G937" s="949" t="s">
        <v>1330</v>
      </c>
      <c r="H937" s="918" t="s">
        <v>660</v>
      </c>
      <c r="I937" s="406"/>
      <c r="J937" s="406"/>
      <c r="K937" s="397"/>
      <c r="L937" s="406"/>
      <c r="M937" s="81">
        <v>704762</v>
      </c>
      <c r="N937" s="1073" t="s">
        <v>9</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x</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row>
    <row r="938" spans="1:31" ht="15.75" customHeight="1">
      <c r="A938" s="323" t="str">
        <f>IF(B938&lt;&gt;"",IF(AND(B938='IN-TC'!$S$4,OR(TH!N2815="1111",TH!O2815="1111")),TH!D2815,""),"")</f>
        <v/>
      </c>
      <c r="B938" s="63">
        <f t="shared" si="70"/>
        <v>3</v>
      </c>
      <c r="C938" s="64">
        <v>42457</v>
      </c>
      <c r="D938" s="306" t="s">
        <v>950</v>
      </c>
      <c r="E938" s="64">
        <v>42457</v>
      </c>
      <c r="F938" s="72" t="s">
        <v>765</v>
      </c>
      <c r="G938" s="67" t="s">
        <v>1330</v>
      </c>
      <c r="H938" s="72" t="s">
        <v>660</v>
      </c>
      <c r="I938" s="408"/>
      <c r="J938" s="408"/>
      <c r="K938" s="399"/>
      <c r="L938" s="408"/>
      <c r="M938" s="65">
        <v>14800000</v>
      </c>
      <c r="N938" s="66" t="s">
        <v>8</v>
      </c>
      <c r="O938" s="66" t="s">
        <v>61</v>
      </c>
      <c r="P938" s="82" t="str">
        <f>IF(AND('331-CT'!$E$7=TH!H938,OR(N938="331",O938="331")),"x","")</f>
        <v/>
      </c>
      <c r="Q938" s="82" t="str">
        <f>IF(AND(B938='111'!$L$11,OR($N938=$Q$7,$O938=$Q$7)),"x","")</f>
        <v/>
      </c>
      <c r="R938" s="82" t="str">
        <f>IF(AND($N938=$Q$7,$B938&lt;'111'!$L$11),"x","")</f>
        <v/>
      </c>
      <c r="S938" s="82" t="str">
        <f>IF(AND($O938=$Q$7,$B938&lt;'111'!$L$11),"x","")</f>
        <v>x</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row>
    <row r="939" spans="1:31" ht="15.75" customHeight="1">
      <c r="A939" s="1160" t="str">
        <f>IF(B939&lt;&gt;"",IF(AND(B939='IN-TC'!$S$4,OR(TH!N939="1111",TH!O939="1111")),TH!D939,""),"")</f>
        <v/>
      </c>
      <c r="B939" s="948">
        <f t="shared" si="70"/>
        <v>11</v>
      </c>
      <c r="C939" s="78">
        <v>42683</v>
      </c>
      <c r="D939" s="78" t="s">
        <v>664</v>
      </c>
      <c r="E939" s="78">
        <f t="shared" ref="E939:E944" si="74">C939</f>
        <v>42683</v>
      </c>
      <c r="F939" s="80" t="s">
        <v>2495</v>
      </c>
      <c r="G939" s="934" t="s">
        <v>2496</v>
      </c>
      <c r="H939" s="310" t="s">
        <v>2511</v>
      </c>
      <c r="I939" s="406">
        <v>4000</v>
      </c>
      <c r="J939" s="1198">
        <v>4500</v>
      </c>
      <c r="K939" s="397"/>
      <c r="L939" s="406"/>
      <c r="M939" s="81">
        <f>ROUND(I939*J939,0)</f>
        <v>18000000</v>
      </c>
      <c r="N939" s="82" t="s">
        <v>270</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customHeight="1">
      <c r="A940" s="1160" t="str">
        <f>IF(B940&lt;&gt;"",IF(AND(B940='IN-TC'!$S$4,OR(TH!N940="1111",TH!O940="1111")),TH!D940,""),"")</f>
        <v/>
      </c>
      <c r="B940" s="948">
        <f t="shared" si="70"/>
        <v>11</v>
      </c>
      <c r="C940" s="78">
        <v>42683</v>
      </c>
      <c r="D940" s="78" t="s">
        <v>664</v>
      </c>
      <c r="E940" s="78">
        <f t="shared" si="74"/>
        <v>42683</v>
      </c>
      <c r="F940" s="80" t="s">
        <v>637</v>
      </c>
      <c r="G940" s="934" t="s">
        <v>2496</v>
      </c>
      <c r="H940" s="310" t="s">
        <v>2511</v>
      </c>
      <c r="I940" s="406"/>
      <c r="J940" s="406"/>
      <c r="K940" s="397"/>
      <c r="L940" s="406"/>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x</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customHeight="1">
      <c r="A941" s="323" t="str">
        <f>IF(B941&lt;&gt;"",IF(AND(B941='IN-TC'!$S$4,OR(TH!N4061="1111",TH!O4061="1111")),TH!D4061,""),"")</f>
        <v/>
      </c>
      <c r="B941" s="63">
        <f t="shared" si="70"/>
        <v>11</v>
      </c>
      <c r="C941" s="64">
        <v>42683</v>
      </c>
      <c r="D941" s="64" t="s">
        <v>873</v>
      </c>
      <c r="E941" s="64">
        <f t="shared" si="74"/>
        <v>42683</v>
      </c>
      <c r="F941" s="72" t="s">
        <v>2510</v>
      </c>
      <c r="G941" s="931" t="s">
        <v>2496</v>
      </c>
      <c r="H941" s="308" t="s">
        <v>2511</v>
      </c>
      <c r="I941" s="408"/>
      <c r="J941" s="408"/>
      <c r="K941" s="399"/>
      <c r="L941" s="408"/>
      <c r="M941" s="65">
        <v>19800000</v>
      </c>
      <c r="N941" s="66" t="s">
        <v>8</v>
      </c>
      <c r="O941" s="66" t="s">
        <v>61</v>
      </c>
      <c r="P941" s="82" t="str">
        <f>IF(AND('331-CT'!$E$7=TH!H941,OR(N941="331",O941="331")),"x","")</f>
        <v/>
      </c>
      <c r="Q941" s="82" t="str">
        <f>IF(AND(B941='111'!$L$11,OR($N941=$Q$7,$O941=$Q$7)),"x","")</f>
        <v/>
      </c>
      <c r="R941" s="82" t="str">
        <f>IF(AND($N941=$Q$7,$B941&lt;'111'!$L$11),"x","")</f>
        <v/>
      </c>
      <c r="S941" s="82" t="str">
        <f>IF(AND($O941=$Q$7,$B941&lt;'111'!$L$11),"x","")</f>
        <v>x</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row>
    <row r="942" spans="1:31" ht="15.75" customHeight="1">
      <c r="A942" s="1160" t="str">
        <f>IF(B942&lt;&gt;"",IF(AND(B942='IN-TC'!$S$4,OR(TH!N941="1111",TH!O941="1111")),TH!D941,""),"")</f>
        <v/>
      </c>
      <c r="B942" s="948">
        <f t="shared" ref="B942:B1005" si="75">IF(C942&lt;&gt;"",MONTH(C942),"")</f>
        <v>11</v>
      </c>
      <c r="C942" s="78">
        <v>42684</v>
      </c>
      <c r="D942" s="78" t="s">
        <v>665</v>
      </c>
      <c r="E942" s="78">
        <f t="shared" si="74"/>
        <v>42684</v>
      </c>
      <c r="F942" s="80" t="s">
        <v>2495</v>
      </c>
      <c r="G942" s="934" t="s">
        <v>2497</v>
      </c>
      <c r="H942" s="310" t="s">
        <v>2511</v>
      </c>
      <c r="I942" s="406">
        <v>4000</v>
      </c>
      <c r="J942" s="1198">
        <v>4500</v>
      </c>
      <c r="K942" s="397"/>
      <c r="L942" s="406"/>
      <c r="M942" s="81">
        <f>ROUND(I942*J942,0)</f>
        <v>18000000</v>
      </c>
      <c r="N942" s="82" t="s">
        <v>270</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x</v>
      </c>
      <c r="AC942" s="82" t="str">
        <f>IF(AND(OR(LEFT(TH!N942,2)="15",LEFT(TH!O942,2)="15"),TK!$E$7=TH!F942),"x","")</f>
        <v/>
      </c>
      <c r="AD942" s="82" t="str">
        <f>IF(AND(N942="1521",MONTH(C942)='BK-NL'!$M$11),"x","")</f>
        <v/>
      </c>
      <c r="AE942">
        <v>1</v>
      </c>
    </row>
    <row r="943" spans="1:31" ht="15.75" customHeight="1">
      <c r="A943" s="323" t="str">
        <f>IF(B943&lt;&gt;"",IF(AND(B943='IN-TC'!$S$4,OR(TH!N871="1111",TH!O871="1111")),TH!D871,""),"")</f>
        <v/>
      </c>
      <c r="B943" s="63">
        <f t="shared" si="75"/>
        <v>8</v>
      </c>
      <c r="C943" s="64">
        <v>42608</v>
      </c>
      <c r="D943" s="78" t="s">
        <v>664</v>
      </c>
      <c r="E943" s="78">
        <f t="shared" si="74"/>
        <v>42608</v>
      </c>
      <c r="F943" s="79" t="s">
        <v>1161</v>
      </c>
      <c r="G943" s="934" t="s">
        <v>1807</v>
      </c>
      <c r="H943" s="80" t="s">
        <v>604</v>
      </c>
      <c r="I943" s="406"/>
      <c r="J943" s="406"/>
      <c r="K943" s="397"/>
      <c r="L943" s="406"/>
      <c r="M943" s="81">
        <v>480000</v>
      </c>
      <c r="N943" s="82" t="s">
        <v>9</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x</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row>
    <row r="944" spans="1:31" ht="15.75" customHeight="1">
      <c r="A944" s="323" t="str">
        <f>IF(B944&lt;&gt;"",IF(AND(B944='IN-TC'!$S$4,OR(TH!N3661="1111",TH!O3661="1111")),TH!D3661,""),"")</f>
        <v/>
      </c>
      <c r="B944" s="63">
        <f t="shared" si="75"/>
        <v>8</v>
      </c>
      <c r="C944" s="64">
        <v>42608</v>
      </c>
      <c r="D944" s="64" t="s">
        <v>874</v>
      </c>
      <c r="E944" s="64">
        <f t="shared" si="74"/>
        <v>42608</v>
      </c>
      <c r="F944" s="72" t="s">
        <v>1162</v>
      </c>
      <c r="G944" s="931" t="s">
        <v>1807</v>
      </c>
      <c r="H944" s="308" t="s">
        <v>604</v>
      </c>
      <c r="I944" s="408"/>
      <c r="J944" s="408"/>
      <c r="K944" s="399"/>
      <c r="L944" s="408"/>
      <c r="M944" s="65">
        <v>5280000</v>
      </c>
      <c r="N944" s="66" t="s">
        <v>8</v>
      </c>
      <c r="O944" s="66" t="s">
        <v>61</v>
      </c>
      <c r="P944" s="82" t="str">
        <f>IF(AND('331-CT'!$E$7=TH!H944,OR(N944="331",O944="331")),"x","")</f>
        <v/>
      </c>
      <c r="Q944" s="82" t="str">
        <f>IF(AND(B944='111'!$L$11,OR($N944=$Q$7,$O944=$Q$7)),"x","")</f>
        <v/>
      </c>
      <c r="R944" s="82" t="str">
        <f>IF(AND($N944=$Q$7,$B944&lt;'111'!$L$11),"x","")</f>
        <v/>
      </c>
      <c r="S944" s="82" t="str">
        <f>IF(AND($O944=$Q$7,$B944&lt;'111'!$L$11),"x","")</f>
        <v>x</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row>
    <row r="945" spans="1:31" ht="15.75" customHeight="1">
      <c r="A945" s="323" t="str">
        <f>IF(B945&lt;&gt;"",IF(AND(B945='IN-TC'!$S$4,OR(TH!N898="1111",TH!O898="1111")),TH!D898,""),"")</f>
        <v/>
      </c>
      <c r="B945" s="63">
        <f t="shared" si="75"/>
        <v>9</v>
      </c>
      <c r="C945" s="90">
        <v>42633</v>
      </c>
      <c r="D945" s="78" t="s">
        <v>662</v>
      </c>
      <c r="E945" s="78">
        <v>42643</v>
      </c>
      <c r="F945" s="80" t="s">
        <v>1492</v>
      </c>
      <c r="G945" s="934" t="s">
        <v>2007</v>
      </c>
      <c r="H945" s="80" t="s">
        <v>608</v>
      </c>
      <c r="I945" s="406">
        <v>253</v>
      </c>
      <c r="J945" s="406">
        <v>13000</v>
      </c>
      <c r="K945" s="397"/>
      <c r="L945" s="406"/>
      <c r="M945" s="81">
        <f>I945*J945</f>
        <v>3289000</v>
      </c>
      <c r="N945" s="82" t="s">
        <v>270</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row>
    <row r="946" spans="1:31" ht="15.75" customHeight="1">
      <c r="A946" s="323" t="str">
        <f>IF(B946&lt;&gt;"",IF(AND(B946='IN-TC'!$S$4,OR(TH!N899="1111",TH!O899="1111")),TH!D899,""),"")</f>
        <v/>
      </c>
      <c r="B946" s="63">
        <f t="shared" si="75"/>
        <v>9</v>
      </c>
      <c r="C946" s="78">
        <v>42633</v>
      </c>
      <c r="D946" s="78" t="s">
        <v>662</v>
      </c>
      <c r="E946" s="78">
        <v>42643</v>
      </c>
      <c r="F946" s="80" t="s">
        <v>637</v>
      </c>
      <c r="G946" s="934" t="s">
        <v>2007</v>
      </c>
      <c r="H946" s="80" t="s">
        <v>608</v>
      </c>
      <c r="I946" s="406"/>
      <c r="J946" s="406"/>
      <c r="K946" s="397"/>
      <c r="L946" s="406"/>
      <c r="M946" s="81">
        <v>7573930</v>
      </c>
      <c r="N946" s="82" t="s">
        <v>9</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x</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row>
    <row r="947" spans="1:31" ht="15.75" customHeight="1">
      <c r="A947" s="323" t="str">
        <f>IF(B947&lt;&gt;"",IF(AND(B947='IN-TC'!$S$4,OR(TH!N4170="1111",TH!O4170="1111")),TH!D4170,""),"")</f>
        <v/>
      </c>
      <c r="B947" s="63">
        <f t="shared" si="75"/>
        <v>11</v>
      </c>
      <c r="C947" s="64">
        <v>42676</v>
      </c>
      <c r="D947" s="64" t="s">
        <v>690</v>
      </c>
      <c r="E947" s="64">
        <f>C947</f>
        <v>42676</v>
      </c>
      <c r="F947" s="72" t="s">
        <v>1192</v>
      </c>
      <c r="G947" s="67" t="s">
        <v>902</v>
      </c>
      <c r="H947" s="329" t="s">
        <v>608</v>
      </c>
      <c r="I947" s="408"/>
      <c r="J947" s="408"/>
      <c r="K947" s="399"/>
      <c r="L947" s="408"/>
      <c r="M947" s="65">
        <v>100000000</v>
      </c>
      <c r="N947" s="66" t="s">
        <v>8</v>
      </c>
      <c r="O947" s="66" t="s">
        <v>25</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row>
    <row r="948" spans="1:31" ht="15.75" customHeight="1">
      <c r="A948" s="1160" t="str">
        <f>IF(B948&lt;&gt;"",IF(AND(B948='IN-TC'!$S$4,OR(TH!N945="1111",TH!O945="1111")),TH!D945,""),"")</f>
        <v/>
      </c>
      <c r="B948" s="948">
        <f t="shared" si="75"/>
        <v>11</v>
      </c>
      <c r="C948" s="78">
        <v>42685</v>
      </c>
      <c r="D948" s="78" t="s">
        <v>667</v>
      </c>
      <c r="E948" s="78">
        <f>C948</f>
        <v>42685</v>
      </c>
      <c r="F948" s="310" t="s">
        <v>1814</v>
      </c>
      <c r="G948" s="934" t="s">
        <v>2222</v>
      </c>
      <c r="H948" s="310" t="s">
        <v>608</v>
      </c>
      <c r="I948" s="406">
        <v>2587</v>
      </c>
      <c r="J948" s="406">
        <v>10300</v>
      </c>
      <c r="K948" s="397"/>
      <c r="L948" s="406"/>
      <c r="M948" s="81">
        <f>ROUND(I948*J948,0)</f>
        <v>26646100</v>
      </c>
      <c r="N948" s="82" t="s">
        <v>270</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customHeight="1">
      <c r="A949" s="323" t="str">
        <f>IF(B949&lt;&gt;"",IF(AND(B949='IN-TC'!$S$4,OR(TH!N816="1111",TH!O816="1111")),TH!D816,""),"")</f>
        <v/>
      </c>
      <c r="B949" s="63">
        <f t="shared" si="75"/>
        <v>6</v>
      </c>
      <c r="C949" s="64">
        <v>42548</v>
      </c>
      <c r="D949" s="78" t="s">
        <v>664</v>
      </c>
      <c r="E949" s="78">
        <v>42541</v>
      </c>
      <c r="F949" s="80" t="s">
        <v>338</v>
      </c>
      <c r="G949" s="934" t="s">
        <v>1961</v>
      </c>
      <c r="H949" s="1175" t="s">
        <v>1959</v>
      </c>
      <c r="I949" s="406">
        <v>1000</v>
      </c>
      <c r="J949" s="406">
        <v>48983</v>
      </c>
      <c r="K949" s="397">
        <v>22000</v>
      </c>
      <c r="L949" s="406">
        <v>22265</v>
      </c>
      <c r="M949" s="81">
        <f>ROUND(I949*J949,0)</f>
        <v>48983000</v>
      </c>
      <c r="N949" s="82" t="s">
        <v>270</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1" ht="15.75" customHeight="1">
      <c r="A950" s="1160" t="str">
        <f>IF(B950&lt;&gt;"",IF(AND(B950='IN-TC'!$S$4,OR(TH!N950="1111",TH!O950="1111")),TH!D950,""),"")</f>
        <v/>
      </c>
      <c r="B950" s="948">
        <f t="shared" si="75"/>
        <v>11</v>
      </c>
      <c r="C950" s="78">
        <v>42689</v>
      </c>
      <c r="D950" s="78" t="s">
        <v>2499</v>
      </c>
      <c r="E950" s="78">
        <f t="shared" ref="E950:E963" si="76">C950</f>
        <v>42689</v>
      </c>
      <c r="F950" s="80" t="s">
        <v>2495</v>
      </c>
      <c r="G950" s="934" t="s">
        <v>2498</v>
      </c>
      <c r="H950" s="310" t="s">
        <v>2512</v>
      </c>
      <c r="I950" s="406">
        <v>3900</v>
      </c>
      <c r="J950" s="406">
        <v>4500</v>
      </c>
      <c r="K950" s="397"/>
      <c r="L950" s="406"/>
      <c r="M950" s="81">
        <f>ROUND(I950*J950,0)</f>
        <v>17550000</v>
      </c>
      <c r="N950" s="82" t="s">
        <v>270</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customHeight="1">
      <c r="A951" s="1160" t="str">
        <f>IF(B951&lt;&gt;"",IF(AND(B951='IN-TC'!$S$4,OR(TH!N951="1111",TH!O951="1111")),TH!D951,""),"")</f>
        <v/>
      </c>
      <c r="B951" s="948">
        <f t="shared" si="75"/>
        <v>11</v>
      </c>
      <c r="C951" s="78">
        <v>42689</v>
      </c>
      <c r="D951" s="78" t="s">
        <v>2499</v>
      </c>
      <c r="E951" s="78">
        <f t="shared" si="76"/>
        <v>42689</v>
      </c>
      <c r="F951" s="80" t="s">
        <v>637</v>
      </c>
      <c r="G951" s="934" t="s">
        <v>2498</v>
      </c>
      <c r="H951" s="310" t="s">
        <v>2512</v>
      </c>
      <c r="I951" s="406"/>
      <c r="J951" s="406"/>
      <c r="K951" s="397"/>
      <c r="L951" s="406"/>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x</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customHeight="1">
      <c r="A952" s="323" t="str">
        <f>IF(B952&lt;&gt;"",IF(AND(B952='IN-TC'!$S$4,OR(TH!N3615="1111",TH!O3615="1111")),TH!D3615,""),"")</f>
        <v/>
      </c>
      <c r="B952" s="63">
        <f t="shared" si="75"/>
        <v>8</v>
      </c>
      <c r="C952" s="64">
        <v>42601</v>
      </c>
      <c r="D952" s="64" t="s">
        <v>690</v>
      </c>
      <c r="E952" s="64">
        <f t="shared" si="76"/>
        <v>42601</v>
      </c>
      <c r="F952" s="72" t="s">
        <v>1532</v>
      </c>
      <c r="G952" s="67" t="s">
        <v>902</v>
      </c>
      <c r="H952" s="72" t="s">
        <v>1403</v>
      </c>
      <c r="I952" s="408"/>
      <c r="J952" s="408"/>
      <c r="K952" s="399"/>
      <c r="L952" s="408"/>
      <c r="M952" s="65">
        <v>50100000</v>
      </c>
      <c r="N952" s="66" t="s">
        <v>8</v>
      </c>
      <c r="O952" s="66" t="s">
        <v>25</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1" ht="15.75" customHeight="1">
      <c r="A953" s="323" t="str">
        <f>IF(B953&lt;&gt;"",IF(AND(B953='IN-TC'!$S$4,OR(TH!N890="1111",TH!O890="1111")),TH!D890,""),"")</f>
        <v/>
      </c>
      <c r="B953" s="63">
        <f t="shared" si="75"/>
        <v>9</v>
      </c>
      <c r="C953" s="78">
        <v>42634</v>
      </c>
      <c r="D953" s="78" t="s">
        <v>663</v>
      </c>
      <c r="E953" s="78">
        <f t="shared" si="76"/>
        <v>42634</v>
      </c>
      <c r="F953" s="80" t="s">
        <v>638</v>
      </c>
      <c r="G953" s="934" t="s">
        <v>1969</v>
      </c>
      <c r="H953" s="80" t="s">
        <v>1403</v>
      </c>
      <c r="I953" s="406">
        <v>2400</v>
      </c>
      <c r="J953" s="406">
        <v>14000</v>
      </c>
      <c r="K953" s="397"/>
      <c r="L953" s="406"/>
      <c r="M953" s="81">
        <v>33600000</v>
      </c>
      <c r="N953" s="82" t="s">
        <v>270</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1" ht="15.75" customHeight="1">
      <c r="A954" s="1160" t="str">
        <f>IF(B954&lt;&gt;"",IF(AND(B954='IN-TC'!$S$4,OR(TH!N942="1111",TH!O942="1111")),TH!D942,""),"")</f>
        <v/>
      </c>
      <c r="B954" s="948">
        <f t="shared" si="75"/>
        <v>11</v>
      </c>
      <c r="C954" s="78">
        <v>42684</v>
      </c>
      <c r="D954" s="78" t="s">
        <v>665</v>
      </c>
      <c r="E954" s="78">
        <f t="shared" si="76"/>
        <v>42684</v>
      </c>
      <c r="F954" s="80" t="s">
        <v>637</v>
      </c>
      <c r="G954" s="934" t="s">
        <v>2497</v>
      </c>
      <c r="H954" s="310" t="s">
        <v>2511</v>
      </c>
      <c r="I954" s="406"/>
      <c r="J954" s="406"/>
      <c r="K954" s="397"/>
      <c r="L954" s="406"/>
      <c r="M954" s="81">
        <v>1800000</v>
      </c>
      <c r="N954" s="82" t="s">
        <v>9</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x</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E954">
        <v>1</v>
      </c>
    </row>
    <row r="955" spans="1:31" ht="15.75" customHeight="1">
      <c r="A955" s="323" t="str">
        <f>IF(B955&lt;&gt;"",IF(AND(B955='IN-TC'!$S$4,OR(TH!N4065="1111",TH!O4065="1111")),TH!D4065,""),"")</f>
        <v/>
      </c>
      <c r="B955" s="63">
        <f t="shared" si="75"/>
        <v>11</v>
      </c>
      <c r="C955" s="64">
        <v>42684</v>
      </c>
      <c r="D955" s="64" t="s">
        <v>875</v>
      </c>
      <c r="E955" s="64">
        <f t="shared" si="76"/>
        <v>42684</v>
      </c>
      <c r="F955" s="72" t="s">
        <v>2510</v>
      </c>
      <c r="G955" s="931" t="s">
        <v>2497</v>
      </c>
      <c r="H955" s="308" t="s">
        <v>2511</v>
      </c>
      <c r="I955" s="408"/>
      <c r="J955" s="408"/>
      <c r="K955" s="399"/>
      <c r="L955" s="408"/>
      <c r="M955" s="65">
        <v>19800000</v>
      </c>
      <c r="N955" s="66" t="s">
        <v>8</v>
      </c>
      <c r="O955" s="66" t="s">
        <v>61</v>
      </c>
      <c r="P955" s="82" t="str">
        <f>IF(AND('331-CT'!$E$7=TH!H955,OR(N955="331",O955="331")),"x","")</f>
        <v/>
      </c>
      <c r="Q955" s="82" t="str">
        <f>IF(AND(B955='111'!$L$11,OR($N955=$Q$7,$O955=$Q$7)),"x","")</f>
        <v/>
      </c>
      <c r="R955" s="82" t="str">
        <f>IF(AND($N955=$Q$7,$B955&lt;'111'!$L$11),"x","")</f>
        <v/>
      </c>
      <c r="S955" s="82" t="str">
        <f>IF(AND($O955=$Q$7,$B955&lt;'111'!$L$11),"x","")</f>
        <v>x</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1" ht="15.75" customHeight="1">
      <c r="A956" s="1160" t="str">
        <f>IF(B956&lt;&gt;"",IF(AND(B956='IN-TC'!$S$4,OR(TH!N954="1111",TH!O954="1111")),TH!D954,""),"")</f>
        <v/>
      </c>
      <c r="B956" s="948">
        <f t="shared" si="75"/>
        <v>11</v>
      </c>
      <c r="C956" s="78">
        <v>42693</v>
      </c>
      <c r="D956" s="78" t="s">
        <v>2502</v>
      </c>
      <c r="E956" s="78">
        <f t="shared" si="76"/>
        <v>42693</v>
      </c>
      <c r="F956" s="80" t="s">
        <v>2495</v>
      </c>
      <c r="G956" s="934" t="s">
        <v>2501</v>
      </c>
      <c r="H956" s="310" t="s">
        <v>2511</v>
      </c>
      <c r="I956" s="406">
        <v>4000</v>
      </c>
      <c r="J956" s="406">
        <v>4500</v>
      </c>
      <c r="K956" s="397"/>
      <c r="L956" s="406"/>
      <c r="M956" s="81">
        <f>ROUND(I956*J956,0)</f>
        <v>18000000</v>
      </c>
      <c r="N956" s="82" t="s">
        <v>270</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customHeight="1">
      <c r="A957" s="1160" t="str">
        <f>IF(B957&lt;&gt;"",IF(AND(B957='IN-TC'!$S$4,OR(TH!N955="1111",TH!O955="1111")),TH!D955,""),"")</f>
        <v/>
      </c>
      <c r="B957" s="948">
        <f t="shared" si="75"/>
        <v>11</v>
      </c>
      <c r="C957" s="78">
        <v>42693</v>
      </c>
      <c r="D957" s="78" t="s">
        <v>2502</v>
      </c>
      <c r="E957" s="78">
        <f t="shared" si="76"/>
        <v>42693</v>
      </c>
      <c r="F957" s="80" t="s">
        <v>637</v>
      </c>
      <c r="G957" s="934" t="s">
        <v>2501</v>
      </c>
      <c r="H957" s="310" t="s">
        <v>2511</v>
      </c>
      <c r="I957" s="406"/>
      <c r="J957" s="406"/>
      <c r="K957" s="397"/>
      <c r="L957" s="406"/>
      <c r="M957" s="81">
        <v>1800000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x</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customHeight="1">
      <c r="A958" s="323" t="str">
        <f>IF(B958&lt;&gt;"",IF(AND(B958='IN-TC'!$S$4,OR(TH!N4083="1111",TH!O4083="1111")),TH!D4083,""),"")</f>
        <v/>
      </c>
      <c r="B958" s="63">
        <f t="shared" si="75"/>
        <v>11</v>
      </c>
      <c r="C958" s="64">
        <v>42689</v>
      </c>
      <c r="D958" s="64" t="s">
        <v>887</v>
      </c>
      <c r="E958" s="64">
        <f t="shared" si="76"/>
        <v>42689</v>
      </c>
      <c r="F958" s="72" t="s">
        <v>2510</v>
      </c>
      <c r="G958" s="931" t="s">
        <v>2498</v>
      </c>
      <c r="H958" s="308" t="s">
        <v>2512</v>
      </c>
      <c r="I958" s="408"/>
      <c r="J958" s="408"/>
      <c r="K958" s="399"/>
      <c r="L958" s="408"/>
      <c r="M958" s="65">
        <v>19305000</v>
      </c>
      <c r="N958" s="66" t="s">
        <v>8</v>
      </c>
      <c r="O958" s="66" t="s">
        <v>61</v>
      </c>
      <c r="P958" s="82" t="str">
        <f>IF(AND('331-CT'!$E$7=TH!H958,OR(N958="331",O958="331")),"x","")</f>
        <v/>
      </c>
      <c r="Q958" s="82" t="str">
        <f>IF(AND(B958='111'!$L$11,OR($N958=$Q$7,$O958=$Q$7)),"x","")</f>
        <v/>
      </c>
      <c r="R958" s="82" t="str">
        <f>IF(AND($N958=$Q$7,$B958&lt;'111'!$L$11),"x","")</f>
        <v/>
      </c>
      <c r="S958" s="82" t="str">
        <f>IF(AND($O958=$Q$7,$B958&lt;'111'!$L$11),"x","")</f>
        <v>x</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row>
    <row r="959" spans="1:31" ht="15.75" customHeight="1">
      <c r="A959" s="1160" t="str">
        <f>IF(B959&lt;&gt;"",IF(AND(B959='IN-TC'!$S$4,OR(TH!N958="1111",TH!O958="1111")),TH!D958,""),"")</f>
        <v/>
      </c>
      <c r="B959" s="948">
        <f t="shared" si="75"/>
        <v>11</v>
      </c>
      <c r="C959" s="78">
        <v>42701</v>
      </c>
      <c r="D959" s="78" t="s">
        <v>2506</v>
      </c>
      <c r="E959" s="78">
        <f t="shared" si="76"/>
        <v>42701</v>
      </c>
      <c r="F959" s="80" t="s">
        <v>2495</v>
      </c>
      <c r="G959" s="934" t="s">
        <v>2505</v>
      </c>
      <c r="H959" s="310" t="s">
        <v>2512</v>
      </c>
      <c r="I959" s="406">
        <v>4000</v>
      </c>
      <c r="J959" s="406">
        <v>4500</v>
      </c>
      <c r="K959" s="397"/>
      <c r="L959" s="406"/>
      <c r="M959" s="81">
        <f>ROUND(I959*J959,0)</f>
        <v>18000000</v>
      </c>
      <c r="N959" s="82" t="s">
        <v>270</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x</v>
      </c>
      <c r="AC959" s="82" t="str">
        <f>IF(AND(OR(LEFT(TH!N959,2)="15",LEFT(TH!O959,2)="15"),TK!$E$7=TH!F959),"x","")</f>
        <v/>
      </c>
      <c r="AD959" s="82" t="str">
        <f>IF(AND(N959="1521",MONTH(C959)='BK-NL'!$M$11),"x","")</f>
        <v/>
      </c>
      <c r="AE959">
        <v>1</v>
      </c>
    </row>
    <row r="960" spans="1:31" ht="15.75" customHeight="1">
      <c r="A960" s="1160" t="str">
        <f>IF(B960&lt;&gt;"",IF(AND(B960='IN-TC'!$S$4,OR(TH!N959="1111",TH!O959="1111")),TH!D959,""),"")</f>
        <v/>
      </c>
      <c r="B960" s="948">
        <f t="shared" si="75"/>
        <v>11</v>
      </c>
      <c r="C960" s="78">
        <v>42701</v>
      </c>
      <c r="D960" s="78" t="s">
        <v>2506</v>
      </c>
      <c r="E960" s="78">
        <f t="shared" si="76"/>
        <v>42701</v>
      </c>
      <c r="F960" s="80" t="s">
        <v>637</v>
      </c>
      <c r="G960" s="934" t="s">
        <v>2505</v>
      </c>
      <c r="H960" s="310" t="s">
        <v>2512</v>
      </c>
      <c r="I960" s="406"/>
      <c r="J960" s="406"/>
      <c r="K960" s="397"/>
      <c r="L960" s="406"/>
      <c r="M960" s="81">
        <v>1800000</v>
      </c>
      <c r="N960" s="82" t="s">
        <v>9</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x</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c r="AE960">
        <v>1</v>
      </c>
    </row>
    <row r="961" spans="1:31" ht="15.75" customHeight="1">
      <c r="A961" s="323" t="str">
        <f>IF(B961&lt;&gt;"",IF(AND(B961='IN-TC'!$S$4,OR(TH!N4112="1111",TH!O4112="1111")),TH!D4112,""),"")</f>
        <v/>
      </c>
      <c r="B961" s="63">
        <f t="shared" si="75"/>
        <v>11</v>
      </c>
      <c r="C961" s="64">
        <v>42701</v>
      </c>
      <c r="D961" s="64" t="s">
        <v>2220</v>
      </c>
      <c r="E961" s="64">
        <f t="shared" si="76"/>
        <v>42701</v>
      </c>
      <c r="F961" s="72" t="s">
        <v>2510</v>
      </c>
      <c r="G961" s="931" t="s">
        <v>2505</v>
      </c>
      <c r="H961" s="308" t="s">
        <v>2512</v>
      </c>
      <c r="I961" s="408"/>
      <c r="J961" s="408"/>
      <c r="K961" s="399"/>
      <c r="L961" s="408"/>
      <c r="M961" s="65">
        <v>19800000</v>
      </c>
      <c r="N961" s="66" t="s">
        <v>8</v>
      </c>
      <c r="O961" s="66" t="s">
        <v>61</v>
      </c>
      <c r="P961" s="82" t="str">
        <f>IF(AND('331-CT'!$E$7=TH!H961,OR(N961="331",O961="331")),"x","")</f>
        <v/>
      </c>
      <c r="Q961" s="82" t="str">
        <f>IF(AND(B961='111'!$L$11,OR($N961=$Q$7,$O961=$Q$7)),"x","")</f>
        <v/>
      </c>
      <c r="R961" s="82" t="str">
        <f>IF(AND($N961=$Q$7,$B961&lt;'111'!$L$11),"x","")</f>
        <v/>
      </c>
      <c r="S961" s="82" t="str">
        <f>IF(AND($O961=$Q$7,$B961&lt;'111'!$L$11),"x","")</f>
        <v>x</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row>
    <row r="962" spans="1:31" ht="15.75" customHeight="1">
      <c r="A962" s="1160" t="str">
        <f>IF(B962&lt;&gt;"",IF(AND(B962='IN-TC'!$S$4,OR(TH!N960="1111",TH!O960="1111")),TH!D960,""),"")</f>
        <v/>
      </c>
      <c r="B962" s="948">
        <f t="shared" si="75"/>
        <v>11</v>
      </c>
      <c r="C962" s="78">
        <v>42702</v>
      </c>
      <c r="D962" s="78" t="s">
        <v>2515</v>
      </c>
      <c r="E962" s="78">
        <f t="shared" si="76"/>
        <v>42702</v>
      </c>
      <c r="F962" s="80" t="s">
        <v>2495</v>
      </c>
      <c r="G962" s="934" t="s">
        <v>1387</v>
      </c>
      <c r="H962" s="310" t="s">
        <v>2512</v>
      </c>
      <c r="I962" s="406">
        <v>1700</v>
      </c>
      <c r="J962" s="406">
        <v>4500</v>
      </c>
      <c r="K962" s="397"/>
      <c r="L962" s="406"/>
      <c r="M962" s="81">
        <f>ROUND(I962*J962,0)</f>
        <v>7650000</v>
      </c>
      <c r="N962" s="82" t="s">
        <v>270</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customHeight="1">
      <c r="A963" s="1160" t="str">
        <f>IF(B963&lt;&gt;"",IF(AND(B963='IN-TC'!$S$4,OR(TH!N961="1111",TH!O961="1111")),TH!D961,""),"")</f>
        <v/>
      </c>
      <c r="B963" s="948">
        <f t="shared" si="75"/>
        <v>11</v>
      </c>
      <c r="C963" s="78">
        <v>42702</v>
      </c>
      <c r="D963" s="78" t="s">
        <v>2515</v>
      </c>
      <c r="E963" s="78">
        <f t="shared" si="76"/>
        <v>42702</v>
      </c>
      <c r="F963" s="80" t="s">
        <v>637</v>
      </c>
      <c r="G963" s="934" t="s">
        <v>1387</v>
      </c>
      <c r="H963" s="310" t="s">
        <v>2512</v>
      </c>
      <c r="I963" s="406"/>
      <c r="J963" s="406"/>
      <c r="K963" s="397"/>
      <c r="L963" s="406"/>
      <c r="M963" s="81">
        <v>765000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x</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customHeight="1">
      <c r="A964" s="323" t="str">
        <f>IF(B964&lt;&gt;"",IF(AND(B964='IN-TC'!$S$4,OR(TH!N964="1111",TH!O964="1111")),TH!D964,""),"")</f>
        <v/>
      </c>
      <c r="B964" s="63">
        <f t="shared" si="75"/>
        <v>11</v>
      </c>
      <c r="C964" s="1178">
        <f>E964</f>
        <v>42675</v>
      </c>
      <c r="D964" s="64" t="s">
        <v>671</v>
      </c>
      <c r="E964" s="64">
        <v>42675</v>
      </c>
      <c r="F964" s="1176" t="s">
        <v>332</v>
      </c>
      <c r="G964" s="67"/>
      <c r="H964" s="72" t="s">
        <v>439</v>
      </c>
      <c r="I964" s="1177">
        <v>100</v>
      </c>
      <c r="J964" s="1177">
        <v>35444.46</v>
      </c>
      <c r="K964" s="401"/>
      <c r="L964" s="410"/>
      <c r="M964" s="65">
        <f>ROUND(I964*J964,0)</f>
        <v>3544446</v>
      </c>
      <c r="N964" s="66" t="s">
        <v>276</v>
      </c>
      <c r="O964" s="66" t="s">
        <v>270</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customHeight="1">
      <c r="A965" s="323" t="str">
        <f>IF(B965&lt;&gt;"",IF(AND(B965='IN-TC'!$S$4,OR(TH!N965="1111",TH!O965="1111")),TH!D965,""),"")</f>
        <v/>
      </c>
      <c r="B965" s="63">
        <f t="shared" si="75"/>
        <v>11</v>
      </c>
      <c r="C965" s="1178">
        <f>E965</f>
        <v>42675</v>
      </c>
      <c r="D965" s="64" t="s">
        <v>671</v>
      </c>
      <c r="E965" s="64">
        <v>42675</v>
      </c>
      <c r="F965" s="1141" t="s">
        <v>338</v>
      </c>
      <c r="G965" s="67"/>
      <c r="H965" s="72" t="s">
        <v>439</v>
      </c>
      <c r="I965" s="1177">
        <v>430</v>
      </c>
      <c r="J965" s="1177">
        <v>48983</v>
      </c>
      <c r="K965" s="401"/>
      <c r="L965" s="410"/>
      <c r="M965" s="65">
        <v>21062726</v>
      </c>
      <c r="N965" s="66" t="s">
        <v>276</v>
      </c>
      <c r="O965" s="66" t="s">
        <v>270</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customHeight="1">
      <c r="A966" s="323" t="str">
        <f>IF(B966&lt;&gt;"",IF(AND(B966='IN-TC'!$S$4,OR(TH!N966="1111",TH!O966="1111")),TH!D966,""),"")</f>
        <v/>
      </c>
      <c r="B966" s="63">
        <f t="shared" si="75"/>
        <v>11</v>
      </c>
      <c r="C966" s="1178">
        <f>E966</f>
        <v>42675</v>
      </c>
      <c r="D966" s="64" t="s">
        <v>671</v>
      </c>
      <c r="E966" s="64">
        <v>42675</v>
      </c>
      <c r="F966" s="1141" t="s">
        <v>341</v>
      </c>
      <c r="G966" s="67"/>
      <c r="H966" s="72" t="s">
        <v>439</v>
      </c>
      <c r="I966" s="1177">
        <v>1550</v>
      </c>
      <c r="J966" s="1177">
        <v>14095.550967741936</v>
      </c>
      <c r="K966" s="401"/>
      <c r="L966" s="410"/>
      <c r="M966" s="65">
        <v>21848009</v>
      </c>
      <c r="N966" s="66" t="s">
        <v>276</v>
      </c>
      <c r="O966" s="66" t="s">
        <v>270</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customHeight="1">
      <c r="A967" s="323" t="str">
        <f>IF(B967&lt;&gt;"",IF(AND(B967='IN-TC'!$S$4,OR(TH!N967="1111",TH!O967="1111")),TH!D967,""),"")</f>
        <v/>
      </c>
      <c r="B967" s="63">
        <f t="shared" si="75"/>
        <v>11</v>
      </c>
      <c r="C967" s="1178">
        <f>E967</f>
        <v>42675</v>
      </c>
      <c r="D967" s="64" t="s">
        <v>671</v>
      </c>
      <c r="E967" s="64">
        <v>42675</v>
      </c>
      <c r="F967" s="1141" t="s">
        <v>346</v>
      </c>
      <c r="G967" s="67"/>
      <c r="H967" s="72" t="s">
        <v>439</v>
      </c>
      <c r="I967" s="1177">
        <v>1500</v>
      </c>
      <c r="J967" s="1177">
        <v>3200</v>
      </c>
      <c r="K967" s="401"/>
      <c r="L967" s="410"/>
      <c r="M967" s="65">
        <f>ROUND(I967*J967,0)</f>
        <v>4800000</v>
      </c>
      <c r="N967" s="66" t="s">
        <v>276</v>
      </c>
      <c r="O967" s="66" t="s">
        <v>270</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customHeight="1">
      <c r="A968" s="323" t="str">
        <f>IF(B968&lt;&gt;"",IF(AND(B968='IN-TC'!$S$4,OR(TH!N968="1111",TH!O968="1111")),TH!D968,""),"")</f>
        <v/>
      </c>
      <c r="B968" s="63">
        <f t="shared" si="75"/>
        <v>11</v>
      </c>
      <c r="C968" s="1178">
        <f>E968</f>
        <v>42675</v>
      </c>
      <c r="D968" s="64" t="s">
        <v>671</v>
      </c>
      <c r="E968" s="64">
        <v>42675</v>
      </c>
      <c r="F968" s="1141" t="s">
        <v>349</v>
      </c>
      <c r="G968" s="67"/>
      <c r="H968" s="72" t="s">
        <v>439</v>
      </c>
      <c r="I968" s="1177">
        <v>800</v>
      </c>
      <c r="J968" s="1177">
        <v>14728</v>
      </c>
      <c r="K968" s="401"/>
      <c r="L968" s="410"/>
      <c r="M968" s="65">
        <f>ROUND(I968*J968,0)</f>
        <v>11782400</v>
      </c>
      <c r="N968" s="66" t="s">
        <v>276</v>
      </c>
      <c r="O968" s="66" t="s">
        <v>270</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customHeight="1">
      <c r="A969" s="323" t="str">
        <f>IF(B969&lt;&gt;"",IF(AND(B969='IN-TC'!$S$4,OR(TH!N969="1111",TH!O969="1111")),TH!D969,""),"")</f>
        <v/>
      </c>
      <c r="B969" s="63">
        <f t="shared" si="75"/>
        <v>11</v>
      </c>
      <c r="C969" s="1178">
        <v>42675</v>
      </c>
      <c r="D969" s="64" t="s">
        <v>671</v>
      </c>
      <c r="E969" s="64">
        <v>42675</v>
      </c>
      <c r="F969" s="1141" t="s">
        <v>1389</v>
      </c>
      <c r="G969" s="67"/>
      <c r="H969" s="72" t="s">
        <v>439</v>
      </c>
      <c r="I969" s="1177">
        <v>50</v>
      </c>
      <c r="J969" s="1177">
        <v>12728</v>
      </c>
      <c r="K969" s="401"/>
      <c r="L969" s="410"/>
      <c r="M969" s="65">
        <f>ROUND(I969*J969,0)</f>
        <v>636400</v>
      </c>
      <c r="N969" s="66" t="s">
        <v>276</v>
      </c>
      <c r="O969" s="66" t="s">
        <v>270</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customHeight="1">
      <c r="A970" s="323" t="str">
        <f>IF(B970&lt;&gt;"",IF(AND(B970='IN-TC'!$S$4,OR(TH!N3611="1111",TH!O3611="1111")),TH!D3611,""),"")</f>
        <v/>
      </c>
      <c r="B970" s="63">
        <f t="shared" si="75"/>
        <v>8</v>
      </c>
      <c r="C970" s="1337">
        <v>42601</v>
      </c>
      <c r="D970" s="64" t="s">
        <v>690</v>
      </c>
      <c r="E970" s="64">
        <f>C970</f>
        <v>42601</v>
      </c>
      <c r="F970" s="72" t="s">
        <v>1429</v>
      </c>
      <c r="G970" s="67" t="s">
        <v>902</v>
      </c>
      <c r="H970" s="72" t="s">
        <v>1198</v>
      </c>
      <c r="I970" s="408"/>
      <c r="J970" s="408"/>
      <c r="K970" s="399"/>
      <c r="L970" s="408"/>
      <c r="M970" s="65">
        <v>30000000</v>
      </c>
      <c r="N970" s="66" t="s">
        <v>70</v>
      </c>
      <c r="O970" s="66" t="s">
        <v>25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row>
    <row r="971" spans="1:31" ht="15.75" customHeight="1">
      <c r="A971" s="323" t="str">
        <f>IF(B971&lt;&gt;"",IF(AND(B971='IN-TC'!$S$4,OR(TH!N971="1111",TH!O971="1111")),TH!D971,""),"")</f>
        <v/>
      </c>
      <c r="B971" s="63">
        <f t="shared" si="75"/>
        <v>11</v>
      </c>
      <c r="C971" s="1178">
        <f>E971</f>
        <v>42675</v>
      </c>
      <c r="D971" s="64" t="s">
        <v>673</v>
      </c>
      <c r="E971" s="64">
        <v>42675</v>
      </c>
      <c r="F971" s="1180" t="s">
        <v>2495</v>
      </c>
      <c r="G971" s="67"/>
      <c r="H971" s="72" t="s">
        <v>439</v>
      </c>
      <c r="I971" s="1185">
        <v>2000</v>
      </c>
      <c r="J971" s="1185">
        <v>4500</v>
      </c>
      <c r="K971" s="401"/>
      <c r="L971" s="410"/>
      <c r="M971" s="65">
        <f>ROUND(I971*J971,0)</f>
        <v>9000000</v>
      </c>
      <c r="N971" s="66" t="s">
        <v>276</v>
      </c>
      <c r="O971" s="66" t="s">
        <v>270</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customHeight="1">
      <c r="A972" s="323" t="str">
        <f>IF(B972&lt;&gt;"",IF(AND(B972='IN-TC'!$S$4,OR(TH!N972="1111",TH!O972="1111")),TH!D972,""),"")</f>
        <v/>
      </c>
      <c r="B972" s="63">
        <f t="shared" si="75"/>
        <v>11</v>
      </c>
      <c r="C972" s="1178">
        <f>E972</f>
        <v>42675</v>
      </c>
      <c r="D972" s="64" t="s">
        <v>673</v>
      </c>
      <c r="E972" s="64">
        <v>42675</v>
      </c>
      <c r="F972" s="1180" t="s">
        <v>1822</v>
      </c>
      <c r="G972" s="67"/>
      <c r="H972" s="72" t="s">
        <v>439</v>
      </c>
      <c r="I972" s="1185">
        <v>200</v>
      </c>
      <c r="J972" s="1185">
        <v>37000</v>
      </c>
      <c r="K972" s="401"/>
      <c r="L972" s="410"/>
      <c r="M972" s="65">
        <f>ROUND(I972*J972,0)</f>
        <v>7400000</v>
      </c>
      <c r="N972" s="66" t="s">
        <v>276</v>
      </c>
      <c r="O972" s="66" t="s">
        <v>270</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customHeight="1">
      <c r="A973" s="323" t="str">
        <f>IF(B973&lt;&gt;"",IF(AND(B973='IN-TC'!$S$4,OR(TH!N973="1111",TH!O973="1111")),TH!D973,""),"")</f>
        <v/>
      </c>
      <c r="B973" s="63">
        <f t="shared" si="75"/>
        <v>11</v>
      </c>
      <c r="C973" s="1178">
        <f>E973</f>
        <v>42677</v>
      </c>
      <c r="D973" s="64" t="s">
        <v>674</v>
      </c>
      <c r="E973" s="64">
        <v>42677</v>
      </c>
      <c r="F973" s="1141" t="s">
        <v>352</v>
      </c>
      <c r="G973" s="67"/>
      <c r="H973" s="72" t="s">
        <v>439</v>
      </c>
      <c r="I973" s="1177">
        <v>200</v>
      </c>
      <c r="J973" s="1181">
        <v>8000</v>
      </c>
      <c r="K973" s="401"/>
      <c r="L973" s="410"/>
      <c r="M973" s="65">
        <f>ROUND(I973*J973,0)</f>
        <v>1600000</v>
      </c>
      <c r="N973" s="66" t="s">
        <v>276</v>
      </c>
      <c r="O973" s="66" t="s">
        <v>270</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customHeight="1">
      <c r="A974" s="323" t="str">
        <f>IF(B974&lt;&gt;"",IF(AND(B974='IN-TC'!$S$4,OR(TH!N3628="1111",TH!O3628="1111")),TH!D3628,""),"")</f>
        <v/>
      </c>
      <c r="B974" s="63">
        <f t="shared" si="75"/>
        <v>8</v>
      </c>
      <c r="C974" s="1337">
        <v>42602</v>
      </c>
      <c r="D974" s="64" t="s">
        <v>690</v>
      </c>
      <c r="E974" s="64">
        <f>C974</f>
        <v>42602</v>
      </c>
      <c r="F974" s="72" t="s">
        <v>1429</v>
      </c>
      <c r="G974" s="67" t="s">
        <v>902</v>
      </c>
      <c r="H974" s="72" t="s">
        <v>1198</v>
      </c>
      <c r="I974" s="408"/>
      <c r="J974" s="408"/>
      <c r="K974" s="399"/>
      <c r="L974" s="408"/>
      <c r="M974" s="65">
        <v>23000000</v>
      </c>
      <c r="N974" s="66" t="s">
        <v>70</v>
      </c>
      <c r="O974" s="66" t="s">
        <v>25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row>
    <row r="975" spans="1:31" ht="15.75" customHeight="1">
      <c r="A975" s="323" t="str">
        <f>IF(B975&lt;&gt;"",IF(AND(B975='IN-TC'!$S$4,OR(TH!N975="1111",TH!O975="1111")),TH!D975,""),"")</f>
        <v/>
      </c>
      <c r="B975" s="63">
        <f t="shared" si="75"/>
        <v>11</v>
      </c>
      <c r="C975" s="1178">
        <f t="shared" ref="C975:C980" si="77">E975</f>
        <v>42681</v>
      </c>
      <c r="D975" s="64" t="s">
        <v>676</v>
      </c>
      <c r="E975" s="64">
        <v>42681</v>
      </c>
      <c r="F975" s="1180" t="s">
        <v>2495</v>
      </c>
      <c r="G975" s="67"/>
      <c r="H975" s="72" t="s">
        <v>439</v>
      </c>
      <c r="I975" s="1185">
        <v>2000</v>
      </c>
      <c r="J975" s="1185">
        <v>4500</v>
      </c>
      <c r="K975" s="401"/>
      <c r="L975" s="410"/>
      <c r="M975" s="65">
        <f t="shared" ref="M975:M980" si="78">ROUND(I975*J975,0)</f>
        <v>9000000</v>
      </c>
      <c r="N975" s="66" t="s">
        <v>276</v>
      </c>
      <c r="O975" s="66" t="s">
        <v>270</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customHeight="1">
      <c r="A976" s="323" t="str">
        <f>IF(B976&lt;&gt;"",IF(AND(B976='IN-TC'!$S$4,OR(TH!N976="1111",TH!O976="1111")),TH!D976,""),"")</f>
        <v/>
      </c>
      <c r="B976" s="63">
        <f t="shared" si="75"/>
        <v>11</v>
      </c>
      <c r="C976" s="1178">
        <f t="shared" si="77"/>
        <v>42682</v>
      </c>
      <c r="D976" s="64" t="s">
        <v>2647</v>
      </c>
      <c r="E976" s="64">
        <v>42682</v>
      </c>
      <c r="F976" s="1180" t="s">
        <v>2495</v>
      </c>
      <c r="G976" s="67"/>
      <c r="H976" s="72" t="s">
        <v>439</v>
      </c>
      <c r="I976" s="1185">
        <v>2000</v>
      </c>
      <c r="J976" s="1185">
        <v>4500</v>
      </c>
      <c r="K976" s="401"/>
      <c r="L976" s="410"/>
      <c r="M976" s="65">
        <f t="shared" si="78"/>
        <v>9000000</v>
      </c>
      <c r="N976" s="66" t="s">
        <v>276</v>
      </c>
      <c r="O976" s="66" t="s">
        <v>270</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customHeight="1">
      <c r="A977" s="323" t="str">
        <f>IF(B977&lt;&gt;"",IF(AND(B977='IN-TC'!$S$4,OR(TH!N977="1111",TH!O977="1111")),TH!D977,""),"")</f>
        <v/>
      </c>
      <c r="B977" s="63">
        <f t="shared" si="75"/>
        <v>11</v>
      </c>
      <c r="C977" s="1178">
        <f t="shared" si="77"/>
        <v>42683</v>
      </c>
      <c r="D977" s="64" t="s">
        <v>2648</v>
      </c>
      <c r="E977" s="64">
        <v>42683</v>
      </c>
      <c r="F977" s="1141" t="s">
        <v>380</v>
      </c>
      <c r="G977" s="67"/>
      <c r="H977" s="72" t="s">
        <v>439</v>
      </c>
      <c r="I977" s="1185">
        <v>1000</v>
      </c>
      <c r="J977" s="1185">
        <v>15504</v>
      </c>
      <c r="K977" s="401"/>
      <c r="L977" s="410"/>
      <c r="M977" s="65">
        <f t="shared" si="78"/>
        <v>15504000</v>
      </c>
      <c r="N977" s="66" t="s">
        <v>276</v>
      </c>
      <c r="O977" s="66" t="s">
        <v>270</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customHeight="1">
      <c r="A978" s="323" t="str">
        <f>IF(B978&lt;&gt;"",IF(AND(B978='IN-TC'!$S$4,OR(TH!N978="1111",TH!O978="1111")),TH!D978,""),"")</f>
        <v/>
      </c>
      <c r="B978" s="63">
        <f t="shared" si="75"/>
        <v>11</v>
      </c>
      <c r="C978" s="1178">
        <f t="shared" si="77"/>
        <v>42683</v>
      </c>
      <c r="D978" s="64" t="s">
        <v>2648</v>
      </c>
      <c r="E978" s="64">
        <v>42683</v>
      </c>
      <c r="F978" s="1141" t="s">
        <v>1824</v>
      </c>
      <c r="G978" s="67"/>
      <c r="H978" s="72" t="s">
        <v>439</v>
      </c>
      <c r="I978" s="1185">
        <v>93</v>
      </c>
      <c r="J978" s="1185">
        <v>37000</v>
      </c>
      <c r="K978" s="401"/>
      <c r="L978" s="410"/>
      <c r="M978" s="65">
        <f t="shared" si="78"/>
        <v>3441000</v>
      </c>
      <c r="N978" s="66" t="s">
        <v>276</v>
      </c>
      <c r="O978" s="66" t="s">
        <v>270</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customHeight="1">
      <c r="A979" s="323" t="str">
        <f>IF(B979&lt;&gt;"",IF(AND(B979='IN-TC'!$S$4,OR(TH!N979="1111",TH!O979="1111")),TH!D979,""),"")</f>
        <v/>
      </c>
      <c r="B979" s="63">
        <f t="shared" si="75"/>
        <v>11</v>
      </c>
      <c r="C979" s="1178">
        <f t="shared" si="77"/>
        <v>42683</v>
      </c>
      <c r="D979" s="64" t="s">
        <v>2648</v>
      </c>
      <c r="E979" s="64">
        <v>42683</v>
      </c>
      <c r="F979" s="1180" t="s">
        <v>2006</v>
      </c>
      <c r="G979" s="67"/>
      <c r="H979" s="72" t="s">
        <v>439</v>
      </c>
      <c r="I979" s="1185">
        <v>1077</v>
      </c>
      <c r="J979" s="1185">
        <v>13500</v>
      </c>
      <c r="K979" s="401"/>
      <c r="L979" s="410"/>
      <c r="M979" s="65">
        <f t="shared" si="78"/>
        <v>14539500</v>
      </c>
      <c r="N979" s="66" t="s">
        <v>276</v>
      </c>
      <c r="O979" s="66" t="s">
        <v>270</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customHeight="1">
      <c r="A980" s="323" t="str">
        <f>IF(B980&lt;&gt;"",IF(AND(B980='IN-TC'!$S$4,OR(TH!N980="1111",TH!O980="1111")),TH!D980,""),"")</f>
        <v/>
      </c>
      <c r="B980" s="63">
        <f t="shared" si="75"/>
        <v>11</v>
      </c>
      <c r="C980" s="1178">
        <f t="shared" si="77"/>
        <v>42683</v>
      </c>
      <c r="D980" s="64" t="s">
        <v>2648</v>
      </c>
      <c r="E980" s="64">
        <v>42683</v>
      </c>
      <c r="F980" s="1141" t="s">
        <v>1824</v>
      </c>
      <c r="G980" s="67"/>
      <c r="H980" s="72" t="s">
        <v>439</v>
      </c>
      <c r="I980" s="1185">
        <v>93</v>
      </c>
      <c r="J980" s="1185">
        <v>37000</v>
      </c>
      <c r="K980" s="401"/>
      <c r="L980" s="410"/>
      <c r="M980" s="65">
        <f t="shared" si="78"/>
        <v>3441000</v>
      </c>
      <c r="N980" s="66" t="s">
        <v>276</v>
      </c>
      <c r="O980" s="66" t="s">
        <v>270</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customHeight="1">
      <c r="A981" s="323" t="str">
        <f>IF(B981&lt;&gt;"",IF(AND(B981='IN-TC'!$S$4,OR(TH!N3684="1111",TH!O3684="1111")),TH!D3684,""),"")</f>
        <v/>
      </c>
      <c r="B981" s="63">
        <f t="shared" si="75"/>
        <v>8</v>
      </c>
      <c r="C981" s="1335">
        <v>42612</v>
      </c>
      <c r="D981" s="90" t="s">
        <v>1542</v>
      </c>
      <c r="E981" s="90">
        <f>C981</f>
        <v>42612</v>
      </c>
      <c r="F981" s="72" t="s">
        <v>1876</v>
      </c>
      <c r="G981" s="91"/>
      <c r="H981" s="92" t="s">
        <v>1198</v>
      </c>
      <c r="I981" s="414"/>
      <c r="J981" s="414"/>
      <c r="K981" s="405"/>
      <c r="L981" s="414"/>
      <c r="M981" s="93">
        <v>276000000</v>
      </c>
      <c r="N981" s="83" t="s">
        <v>61</v>
      </c>
      <c r="O981" s="83" t="s">
        <v>70</v>
      </c>
      <c r="P981" s="82" t="str">
        <f>IF(AND('331-CT'!$E$7=TH!H981,OR(N981="331",O981="331")),"x","")</f>
        <v/>
      </c>
      <c r="Q981" s="82" t="str">
        <f>IF(AND(B981='111'!$L$11,OR($N981=$Q$7,$O981=$Q$7)),"x","")</f>
        <v/>
      </c>
      <c r="R981" s="82" t="str">
        <f>IF(AND($N981=$Q$7,$B981&lt;'111'!$L$11),"x","")</f>
        <v>x</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row>
    <row r="982" spans="1:30" ht="15.75" customHeight="1">
      <c r="A982" s="323" t="str">
        <f>IF(B982&lt;&gt;"",IF(AND(B982='IN-TC'!$S$4,OR(TH!N982="1111",TH!O982="1111")),TH!D982,""),"")</f>
        <v/>
      </c>
      <c r="B982" s="63">
        <f t="shared" si="75"/>
        <v>11</v>
      </c>
      <c r="C982" s="1178">
        <f>E982</f>
        <v>42689</v>
      </c>
      <c r="D982" s="64" t="s">
        <v>2650</v>
      </c>
      <c r="E982" s="64">
        <v>42689</v>
      </c>
      <c r="F982" s="1141" t="s">
        <v>338</v>
      </c>
      <c r="G982" s="67"/>
      <c r="H982" s="72" t="s">
        <v>439</v>
      </c>
      <c r="I982" s="1177">
        <v>600</v>
      </c>
      <c r="J982" s="1177">
        <v>49027</v>
      </c>
      <c r="K982" s="401"/>
      <c r="L982" s="410"/>
      <c r="M982" s="65">
        <f>ROUND(I982*J982,0)</f>
        <v>29416200</v>
      </c>
      <c r="N982" s="66" t="s">
        <v>276</v>
      </c>
      <c r="O982" s="66" t="s">
        <v>270</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customHeight="1">
      <c r="A983" s="323" t="str">
        <f>IF(B983&lt;&gt;"",IF(AND(B983='IN-TC'!$S$4,OR(TH!N983="1111",TH!O983="1111")),TH!D983,""),"")</f>
        <v/>
      </c>
      <c r="B983" s="63">
        <f t="shared" si="75"/>
        <v>11</v>
      </c>
      <c r="C983" s="1178">
        <f>E983</f>
        <v>42689</v>
      </c>
      <c r="D983" s="64" t="s">
        <v>2650</v>
      </c>
      <c r="E983" s="64">
        <v>42689</v>
      </c>
      <c r="F983" s="1180" t="s">
        <v>2495</v>
      </c>
      <c r="G983" s="67"/>
      <c r="H983" s="72" t="s">
        <v>439</v>
      </c>
      <c r="I983" s="1185">
        <v>1900</v>
      </c>
      <c r="J983" s="1185">
        <v>4500</v>
      </c>
      <c r="K983" s="401"/>
      <c r="L983" s="410"/>
      <c r="M983" s="65">
        <f>ROUND(I983*J983,0)</f>
        <v>8550000</v>
      </c>
      <c r="N983" s="66" t="s">
        <v>276</v>
      </c>
      <c r="O983" s="66" t="s">
        <v>270</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customHeight="1">
      <c r="A984" s="323" t="str">
        <f>IF(B984&lt;&gt;"",IF(AND(B984='IN-TC'!$S$4,OR(TH!N3727="1111",TH!O3727="1111")),TH!D3727,""),"")</f>
        <v/>
      </c>
      <c r="B984" s="63">
        <f t="shared" si="75"/>
        <v>9</v>
      </c>
      <c r="C984" s="1337">
        <v>42642</v>
      </c>
      <c r="D984" s="64" t="s">
        <v>690</v>
      </c>
      <c r="E984" s="64">
        <f>C984</f>
        <v>42642</v>
      </c>
      <c r="F984" s="72" t="s">
        <v>1429</v>
      </c>
      <c r="G984" s="67" t="s">
        <v>1544</v>
      </c>
      <c r="H984" s="72" t="s">
        <v>1198</v>
      </c>
      <c r="I984" s="408"/>
      <c r="J984" s="408"/>
      <c r="K984" s="399"/>
      <c r="L984" s="408"/>
      <c r="M984" s="65">
        <v>60000000</v>
      </c>
      <c r="N984" s="66" t="s">
        <v>70</v>
      </c>
      <c r="O984" s="66" t="s">
        <v>25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x</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row>
    <row r="985" spans="1:30" ht="15.75" customHeight="1">
      <c r="A985" s="323" t="str">
        <f>IF(B985&lt;&gt;"",IF(AND(B985='IN-TC'!$S$4,OR(TH!N985="1111",TH!O985="1111")),TH!D985,""),"")</f>
        <v/>
      </c>
      <c r="B985" s="63">
        <f t="shared" si="75"/>
        <v>11</v>
      </c>
      <c r="C985" s="1178">
        <f>E985</f>
        <v>42696</v>
      </c>
      <c r="D985" s="64" t="s">
        <v>2651</v>
      </c>
      <c r="E985" s="64">
        <v>42696</v>
      </c>
      <c r="F985" s="1180" t="s">
        <v>2495</v>
      </c>
      <c r="G985" s="67"/>
      <c r="H985" s="72" t="s">
        <v>439</v>
      </c>
      <c r="I985" s="1185">
        <v>1353</v>
      </c>
      <c r="J985" s="1185">
        <v>4500</v>
      </c>
      <c r="K985" s="401"/>
      <c r="L985" s="410"/>
      <c r="M985" s="65">
        <f>ROUND(I985*J985,0)</f>
        <v>6088500</v>
      </c>
      <c r="N985" s="66" t="s">
        <v>276</v>
      </c>
      <c r="O985" s="66" t="s">
        <v>270</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customHeight="1">
      <c r="A986" s="323" t="str">
        <f>IF(B986&lt;&gt;"",IF(AND(B986='IN-TC'!$S$4,OR(TH!N986="1111",TH!O986="1111")),TH!D986,""),"")</f>
        <v/>
      </c>
      <c r="B986" s="63">
        <f t="shared" si="75"/>
        <v>11</v>
      </c>
      <c r="C986" s="1178">
        <f>E986</f>
        <v>42699</v>
      </c>
      <c r="D986" s="64" t="s">
        <v>2652</v>
      </c>
      <c r="E986" s="64">
        <v>42699</v>
      </c>
      <c r="F986" s="1180" t="s">
        <v>2495</v>
      </c>
      <c r="G986" s="67"/>
      <c r="H986" s="72" t="s">
        <v>439</v>
      </c>
      <c r="I986" s="1185">
        <v>1700</v>
      </c>
      <c r="J986" s="1185">
        <v>4500</v>
      </c>
      <c r="K986" s="401"/>
      <c r="L986" s="410"/>
      <c r="M986" s="65">
        <f>ROUND(I986*J986,0)</f>
        <v>7650000</v>
      </c>
      <c r="N986" s="66" t="s">
        <v>276</v>
      </c>
      <c r="O986" s="66" t="s">
        <v>270</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customHeight="1">
      <c r="A987" s="323" t="str">
        <f>IF(B987&lt;&gt;"",IF(AND(B987='IN-TC'!$S$4,OR(TH!N3700="1111",TH!O3700="1111")),TH!D3700,""),"")</f>
        <v/>
      </c>
      <c r="B987" s="63">
        <f t="shared" si="75"/>
        <v>9</v>
      </c>
      <c r="C987" s="1335">
        <v>42643</v>
      </c>
      <c r="D987" s="90" t="s">
        <v>893</v>
      </c>
      <c r="E987" s="90">
        <f>C987</f>
        <v>42643</v>
      </c>
      <c r="F987" s="72" t="s">
        <v>1876</v>
      </c>
      <c r="G987" s="91"/>
      <c r="H987" s="92" t="s">
        <v>1198</v>
      </c>
      <c r="I987" s="414"/>
      <c r="J987" s="414"/>
      <c r="K987" s="405"/>
      <c r="L987" s="414"/>
      <c r="M987" s="93">
        <v>60000000</v>
      </c>
      <c r="N987" s="83" t="s">
        <v>61</v>
      </c>
      <c r="O987" s="83" t="s">
        <v>70</v>
      </c>
      <c r="P987" s="82" t="str">
        <f>IF(AND('331-CT'!$E$7=TH!H987,OR(N987="331",O987="331")),"x","")</f>
        <v/>
      </c>
      <c r="Q987" s="82" t="str">
        <f>IF(AND(B987='111'!$L$11,OR($N987=$Q$7,$O987=$Q$7)),"x","")</f>
        <v/>
      </c>
      <c r="R987" s="82" t="str">
        <f>IF(AND($N987=$Q$7,$B987&lt;'111'!$L$11),"x","")</f>
        <v>x</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row>
    <row r="988" spans="1:30" ht="15.75" customHeight="1">
      <c r="A988" s="323" t="str">
        <f>IF(B988&lt;&gt;"",IF(AND(B988='IN-TC'!$S$4,OR(TH!N988="1111",TH!O988="1111")),TH!D988,""),"")</f>
        <v/>
      </c>
      <c r="B988" s="63">
        <f t="shared" si="75"/>
        <v>11</v>
      </c>
      <c r="C988" s="1178">
        <f>E988</f>
        <v>42703</v>
      </c>
      <c r="D988" s="64" t="s">
        <v>2654</v>
      </c>
      <c r="E988" s="64">
        <v>42703</v>
      </c>
      <c r="F988" s="1183" t="s">
        <v>638</v>
      </c>
      <c r="G988" s="67"/>
      <c r="H988" s="72" t="s">
        <v>439</v>
      </c>
      <c r="I988" s="1184">
        <v>2500</v>
      </c>
      <c r="J988" s="1184">
        <v>14000</v>
      </c>
      <c r="K988" s="401"/>
      <c r="L988" s="410"/>
      <c r="M988" s="65">
        <f>ROUND(I988*J988,0)</f>
        <v>35000000</v>
      </c>
      <c r="N988" s="66" t="s">
        <v>276</v>
      </c>
      <c r="O988" s="66" t="s">
        <v>270</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customHeight="1">
      <c r="A989" s="323" t="str">
        <f>IF(B989&lt;&gt;"",IF(AND(B989='IN-TC'!$S$4,OR(TH!N989="1111",TH!O989="1111")),TH!D989,""),"")</f>
        <v/>
      </c>
      <c r="B989" s="63">
        <f t="shared" si="75"/>
        <v>11</v>
      </c>
      <c r="C989" s="1178">
        <f>E989</f>
        <v>42703</v>
      </c>
      <c r="D989" s="64" t="s">
        <v>2654</v>
      </c>
      <c r="E989" s="64">
        <v>42703</v>
      </c>
      <c r="F989" s="1141" t="s">
        <v>394</v>
      </c>
      <c r="G989" s="67"/>
      <c r="H989" s="72" t="s">
        <v>439</v>
      </c>
      <c r="I989" s="1185">
        <v>678</v>
      </c>
      <c r="J989" s="1185">
        <v>18200</v>
      </c>
      <c r="K989" s="401"/>
      <c r="L989" s="410"/>
      <c r="M989" s="65">
        <f>ROUND(I989*J989,0)</f>
        <v>12339600</v>
      </c>
      <c r="N989" s="66" t="s">
        <v>276</v>
      </c>
      <c r="O989" s="66" t="s">
        <v>270</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customHeight="1">
      <c r="A990" s="323" t="str">
        <f>IF(B990&lt;&gt;"",IF(AND(B990='IN-TC'!$S$4,OR(TH!N990="1111",TH!O990="1111")),TH!D990,""),"")</f>
        <v/>
      </c>
      <c r="B990" s="63">
        <f t="shared" si="75"/>
        <v>11</v>
      </c>
      <c r="C990" s="1178">
        <f>E990</f>
        <v>42703</v>
      </c>
      <c r="D990" s="64" t="s">
        <v>2654</v>
      </c>
      <c r="E990" s="64">
        <v>42703</v>
      </c>
      <c r="F990" s="1141" t="s">
        <v>380</v>
      </c>
      <c r="G990" s="67"/>
      <c r="H990" s="72" t="s">
        <v>439</v>
      </c>
      <c r="I990" s="1185">
        <v>260</v>
      </c>
      <c r="J990" s="1185">
        <v>16800</v>
      </c>
      <c r="K990" s="401"/>
      <c r="L990" s="410"/>
      <c r="M990" s="65">
        <f>ROUND(I990*J990,0)</f>
        <v>4368000</v>
      </c>
      <c r="N990" s="66" t="s">
        <v>276</v>
      </c>
      <c r="O990" s="66" t="s">
        <v>270</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customHeight="1">
      <c r="A991" s="323" t="str">
        <f>IF(B991&lt;&gt;"",IF(AND(B991='IN-TC'!$S$4,OR(TH!N991="1111",TH!O991="1111")),TH!D991,""),"")</f>
        <v/>
      </c>
      <c r="B991" s="63">
        <f t="shared" si="75"/>
        <v>11</v>
      </c>
      <c r="C991" s="1178">
        <f>E991</f>
        <v>42703</v>
      </c>
      <c r="D991" s="64" t="s">
        <v>2654</v>
      </c>
      <c r="E991" s="64">
        <v>42703</v>
      </c>
      <c r="F991" s="1141" t="s">
        <v>1824</v>
      </c>
      <c r="G991" s="67"/>
      <c r="H991" s="72" t="s">
        <v>439</v>
      </c>
      <c r="I991" s="1185">
        <v>25</v>
      </c>
      <c r="J991" s="1185">
        <v>37000</v>
      </c>
      <c r="K991" s="401"/>
      <c r="L991" s="410"/>
      <c r="M991" s="65">
        <f>ROUND(I991*J991,0)</f>
        <v>925000</v>
      </c>
      <c r="N991" s="66" t="s">
        <v>276</v>
      </c>
      <c r="O991" s="66" t="s">
        <v>270</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customHeight="1">
      <c r="A992" s="323" t="str">
        <f>IF(B992&lt;&gt;"",IF(AND(B992='IN-TC'!$S$4,OR(TH!N992="1111",TH!O992="1111")),TH!D992,""),"")</f>
        <v/>
      </c>
      <c r="B992" s="63">
        <f t="shared" si="75"/>
        <v>11</v>
      </c>
      <c r="C992" s="1178">
        <f>E992</f>
        <v>42703</v>
      </c>
      <c r="D992" s="64" t="s">
        <v>2654</v>
      </c>
      <c r="E992" s="64">
        <v>42703</v>
      </c>
      <c r="F992" s="1180" t="s">
        <v>2495</v>
      </c>
      <c r="G992" s="67"/>
      <c r="H992" s="72" t="s">
        <v>439</v>
      </c>
      <c r="I992" s="1185">
        <v>4000</v>
      </c>
      <c r="J992" s="1185">
        <v>4500</v>
      </c>
      <c r="K992" s="401"/>
      <c r="L992" s="410"/>
      <c r="M992" s="65">
        <f>ROUND(I992*J992,0)</f>
        <v>18000000</v>
      </c>
      <c r="N992" s="66" t="s">
        <v>276</v>
      </c>
      <c r="O992" s="66" t="s">
        <v>270</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customHeight="1">
      <c r="A993" s="323" t="str">
        <f>IF(B993&lt;&gt;"",IF(AND(B993='IN-TC'!$S$4,OR(TH!N4098="1111",TH!O4098="1111")),TH!D4098,""),"")</f>
        <v/>
      </c>
      <c r="B993" s="63">
        <f t="shared" si="75"/>
        <v>11</v>
      </c>
      <c r="C993" s="64">
        <v>42693</v>
      </c>
      <c r="D993" s="64" t="s">
        <v>948</v>
      </c>
      <c r="E993" s="64">
        <f t="shared" ref="E993:E1024" si="79">C993</f>
        <v>42693</v>
      </c>
      <c r="F993" s="72" t="s">
        <v>2510</v>
      </c>
      <c r="G993" s="931" t="s">
        <v>2501</v>
      </c>
      <c r="H993" s="308" t="s">
        <v>2511</v>
      </c>
      <c r="I993" s="408"/>
      <c r="J993" s="408"/>
      <c r="K993" s="399"/>
      <c r="L993" s="408"/>
      <c r="M993" s="65">
        <v>19800000</v>
      </c>
      <c r="N993" s="66" t="s">
        <v>8</v>
      </c>
      <c r="O993" s="66" t="s">
        <v>61</v>
      </c>
      <c r="P993" s="82" t="str">
        <f>IF(AND('331-CT'!$E$7=TH!H993,OR(N993="331",O993="331")),"x","")</f>
        <v/>
      </c>
      <c r="Q993" s="82" t="str">
        <f>IF(AND(B993='111'!$L$11,OR($N993=$Q$7,$O993=$Q$7)),"x","")</f>
        <v/>
      </c>
      <c r="R993" s="82" t="str">
        <f>IF(AND($N993=$Q$7,$B993&lt;'111'!$L$11),"x","")</f>
        <v/>
      </c>
      <c r="S993" s="82" t="str">
        <f>IF(AND($O993=$Q$7,$B993&lt;'111'!$L$11),"x","")</f>
        <v>x</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row>
    <row r="994" spans="1:31" ht="15.75" customHeight="1">
      <c r="A994" s="1160" t="str">
        <f>IF(B994&lt;&gt;"",IF(AND(B994='IN-TC'!$S$4,OR(TH!N956="1111",TH!O956="1111")),TH!D956,""),"")</f>
        <v/>
      </c>
      <c r="B994" s="948">
        <f t="shared" si="75"/>
        <v>11</v>
      </c>
      <c r="C994" s="78">
        <v>42697</v>
      </c>
      <c r="D994" s="78" t="s">
        <v>2504</v>
      </c>
      <c r="E994" s="78">
        <f t="shared" si="79"/>
        <v>42697</v>
      </c>
      <c r="F994" s="80" t="s">
        <v>2495</v>
      </c>
      <c r="G994" s="934" t="s">
        <v>2503</v>
      </c>
      <c r="H994" s="310" t="s">
        <v>2511</v>
      </c>
      <c r="I994" s="406">
        <v>3353</v>
      </c>
      <c r="J994" s="406">
        <v>4500</v>
      </c>
      <c r="K994" s="397"/>
      <c r="L994" s="406"/>
      <c r="M994" s="81">
        <f>ROUND(I994*J994,0)</f>
        <v>15088500</v>
      </c>
      <c r="N994" s="82" t="s">
        <v>270</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x</v>
      </c>
      <c r="AC994" s="82" t="str">
        <f>IF(AND(OR(LEFT(TH!N994,2)="15",LEFT(TH!O994,2)="15"),TK!$E$7=TH!F994),"x","")</f>
        <v/>
      </c>
      <c r="AD994" s="82" t="str">
        <f>IF(AND(N994="1521",MONTH(C994)='BK-NL'!$M$11),"x","")</f>
        <v/>
      </c>
      <c r="AE994">
        <v>1</v>
      </c>
    </row>
    <row r="995" spans="1:31" ht="15.75" customHeight="1">
      <c r="A995" s="323" t="str">
        <f>IF(B995&lt;&gt;"",IF(AND(B995='IN-TC'!$S$4,OR(TH!N4115="1111",TH!O4115="1111")),TH!D4115,""),"")</f>
        <v/>
      </c>
      <c r="B995" s="63">
        <f t="shared" si="75"/>
        <v>11</v>
      </c>
      <c r="C995" s="64">
        <v>42702</v>
      </c>
      <c r="D995" s="64" t="s">
        <v>2923</v>
      </c>
      <c r="E995" s="64">
        <f t="shared" si="79"/>
        <v>42702</v>
      </c>
      <c r="F995" s="72" t="s">
        <v>2510</v>
      </c>
      <c r="G995" s="931" t="s">
        <v>1387</v>
      </c>
      <c r="H995" s="308" t="s">
        <v>2512</v>
      </c>
      <c r="I995" s="408"/>
      <c r="J995" s="408"/>
      <c r="K995" s="399"/>
      <c r="L995" s="408"/>
      <c r="M995" s="65">
        <v>8415000</v>
      </c>
      <c r="N995" s="66" t="s">
        <v>8</v>
      </c>
      <c r="O995" s="66" t="s">
        <v>61</v>
      </c>
      <c r="P995" s="82" t="str">
        <f>IF(AND('331-CT'!$E$7=TH!H995,OR(N995="331",O995="331")),"x","")</f>
        <v/>
      </c>
      <c r="Q995" s="82" t="str">
        <f>IF(AND(B995='111'!$L$11,OR($N995=$Q$7,$O995=$Q$7)),"x","")</f>
        <v/>
      </c>
      <c r="R995" s="82" t="str">
        <f>IF(AND($N995=$Q$7,$B995&lt;'111'!$L$11),"x","")</f>
        <v/>
      </c>
      <c r="S995" s="82" t="str">
        <f>IF(AND($O995=$Q$7,$B995&lt;'111'!$L$11),"x","")</f>
        <v>x</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row>
    <row r="996" spans="1:31" ht="15.75" customHeight="1">
      <c r="A996" s="1160" t="str">
        <f>IF(B996&lt;&gt;"",IF(AND(B996='IN-TC'!$S$4,OR(TH!N962="1111",TH!O962="1111")),TH!D962,""),"")</f>
        <v/>
      </c>
      <c r="B996" s="948">
        <f t="shared" si="75"/>
        <v>11</v>
      </c>
      <c r="C996" s="78">
        <v>42703</v>
      </c>
      <c r="D996" s="78" t="s">
        <v>2516</v>
      </c>
      <c r="E996" s="78">
        <f t="shared" si="79"/>
        <v>42703</v>
      </c>
      <c r="F996" s="80" t="s">
        <v>2495</v>
      </c>
      <c r="G996" s="934" t="s">
        <v>2507</v>
      </c>
      <c r="H996" s="310" t="s">
        <v>2512</v>
      </c>
      <c r="I996" s="406">
        <v>4000</v>
      </c>
      <c r="J996" s="406">
        <v>4500</v>
      </c>
      <c r="K996" s="397"/>
      <c r="L996" s="406"/>
      <c r="M996" s="81">
        <f>ROUND(I996*J996,0)</f>
        <v>18000000</v>
      </c>
      <c r="N996" s="82" t="s">
        <v>270</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x</v>
      </c>
      <c r="AC996" s="82" t="str">
        <f>IF(AND(OR(LEFT(TH!N996,2)="15",LEFT(TH!O996,2)="15"),TK!$E$7=TH!F996),"x","")</f>
        <v/>
      </c>
      <c r="AD996" s="82" t="str">
        <f>IF(AND(N996="1521",MONTH(C996)='BK-NL'!$M$11),"x","")</f>
        <v/>
      </c>
      <c r="AE996">
        <v>1</v>
      </c>
    </row>
    <row r="997" spans="1:31" ht="15.75" customHeight="1">
      <c r="A997" s="1160" t="str">
        <f>IF(B997&lt;&gt;"",IF(AND(B997='IN-TC'!$S$4,OR(TH!N957="1111",TH!O957="1111")),TH!D957,""),"")</f>
        <v/>
      </c>
      <c r="B997" s="948">
        <f t="shared" si="75"/>
        <v>11</v>
      </c>
      <c r="C997" s="78">
        <v>42697</v>
      </c>
      <c r="D997" s="78" t="s">
        <v>2504</v>
      </c>
      <c r="E997" s="78">
        <f t="shared" si="79"/>
        <v>42697</v>
      </c>
      <c r="F997" s="80" t="s">
        <v>637</v>
      </c>
      <c r="G997" s="934" t="s">
        <v>2503</v>
      </c>
      <c r="H997" s="310" t="s">
        <v>2511</v>
      </c>
      <c r="I997" s="406"/>
      <c r="J997" s="406"/>
      <c r="K997" s="397"/>
      <c r="L997" s="406"/>
      <c r="M997" s="81">
        <v>1508850</v>
      </c>
      <c r="N997" s="82" t="s">
        <v>9</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x</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c r="AE997">
        <v>1</v>
      </c>
    </row>
    <row r="998" spans="1:31" ht="15.75" customHeight="1">
      <c r="A998" s="323" t="str">
        <f>IF(B998&lt;&gt;"",IF(AND(B998='IN-TC'!$S$4,OR(TH!N4105="1111",TH!O4105="1111")),TH!D4105,""),"")</f>
        <v/>
      </c>
      <c r="B998" s="63">
        <f t="shared" si="75"/>
        <v>11</v>
      </c>
      <c r="C998" s="64">
        <v>42697</v>
      </c>
      <c r="D998" s="64" t="s">
        <v>1367</v>
      </c>
      <c r="E998" s="64">
        <f t="shared" si="79"/>
        <v>42697</v>
      </c>
      <c r="F998" s="72" t="s">
        <v>2510</v>
      </c>
      <c r="G998" s="931" t="s">
        <v>2503</v>
      </c>
      <c r="H998" s="308" t="s">
        <v>2511</v>
      </c>
      <c r="I998" s="408"/>
      <c r="J998" s="408"/>
      <c r="K998" s="399"/>
      <c r="L998" s="408"/>
      <c r="M998" s="65">
        <v>16597350</v>
      </c>
      <c r="N998" s="66" t="s">
        <v>8</v>
      </c>
      <c r="O998" s="66" t="s">
        <v>61</v>
      </c>
      <c r="P998" s="82" t="str">
        <f>IF(AND('331-CT'!$E$7=TH!H998,OR(N998="331",O998="331")),"x","")</f>
        <v/>
      </c>
      <c r="Q998" s="82" t="str">
        <f>IF(AND(B998='111'!$L$11,OR($N998=$Q$7,$O998=$Q$7)),"x","")</f>
        <v/>
      </c>
      <c r="R998" s="82" t="str">
        <f>IF(AND($N998=$Q$7,$B998&lt;'111'!$L$11),"x","")</f>
        <v/>
      </c>
      <c r="S998" s="82" t="str">
        <f>IF(AND($O998=$Q$7,$B998&lt;'111'!$L$11),"x","")</f>
        <v>x</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1" ht="15.75" customHeight="1">
      <c r="A999" s="1160" t="str">
        <f>IF(B999&lt;&gt;"",IF(AND(B999='IN-TC'!$S$4,OR(TH!N993="1111",TH!O993="1111")),TH!D993,""),"")</f>
        <v/>
      </c>
      <c r="B999" s="948">
        <f t="shared" si="75"/>
        <v>12</v>
      </c>
      <c r="C999" s="78">
        <v>42705</v>
      </c>
      <c r="D999" s="78" t="s">
        <v>662</v>
      </c>
      <c r="E999" s="78">
        <f t="shared" si="79"/>
        <v>42705</v>
      </c>
      <c r="F999" s="80" t="s">
        <v>2495</v>
      </c>
      <c r="G999" s="934" t="s">
        <v>2554</v>
      </c>
      <c r="H999" s="310" t="s">
        <v>2511</v>
      </c>
      <c r="I999" s="406">
        <v>2400</v>
      </c>
      <c r="J999" s="406">
        <v>7500</v>
      </c>
      <c r="K999" s="397"/>
      <c r="L999" s="406"/>
      <c r="M999" s="81">
        <f>ROUND(I999*J999,0)</f>
        <v>18000000</v>
      </c>
      <c r="N999" s="82" t="s">
        <v>270</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customHeight="1">
      <c r="A1000" s="1160" t="str">
        <f>IF(B1000&lt;&gt;"",IF(AND(B1000='IN-TC'!$S$4,OR(TH!N994="1111",TH!O994="1111")),TH!D994,""),"")</f>
        <v/>
      </c>
      <c r="B1000" s="948">
        <f t="shared" si="75"/>
        <v>12</v>
      </c>
      <c r="C1000" s="78">
        <v>42705</v>
      </c>
      <c r="D1000" s="78" t="s">
        <v>662</v>
      </c>
      <c r="E1000" s="78">
        <f t="shared" si="79"/>
        <v>42705</v>
      </c>
      <c r="F1000" s="80" t="s">
        <v>637</v>
      </c>
      <c r="G1000" s="934" t="s">
        <v>2554</v>
      </c>
      <c r="H1000" s="310" t="s">
        <v>2511</v>
      </c>
      <c r="I1000" s="406"/>
      <c r="J1000" s="406"/>
      <c r="K1000" s="397"/>
      <c r="L1000" s="406"/>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x</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customHeight="1">
      <c r="A1001" s="1160" t="str">
        <f>IF(B1001&lt;&gt;"",IF(AND(B1001='IN-TC'!$S$4,OR(TH!N1001="1111",TH!O1001="1111")),TH!D1001,""),"")</f>
        <v/>
      </c>
      <c r="B1001" s="948">
        <f t="shared" si="75"/>
        <v>12</v>
      </c>
      <c r="C1001" s="78">
        <v>42709</v>
      </c>
      <c r="D1001" s="78" t="s">
        <v>666</v>
      </c>
      <c r="E1001" s="78">
        <f t="shared" si="79"/>
        <v>42709</v>
      </c>
      <c r="F1001" s="80" t="s">
        <v>332</v>
      </c>
      <c r="G1001" s="934" t="s">
        <v>2556</v>
      </c>
      <c r="H1001" s="310" t="s">
        <v>2559</v>
      </c>
      <c r="I1001" s="406">
        <v>613</v>
      </c>
      <c r="J1001" s="406">
        <v>28900</v>
      </c>
      <c r="K1001" s="397"/>
      <c r="L1001" s="406"/>
      <c r="M1001" s="81">
        <f>ROUND(I1001*J1001,0)</f>
        <v>17715700</v>
      </c>
      <c r="N1001" s="82" t="s">
        <v>270</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customHeight="1">
      <c r="A1002" s="1160" t="str">
        <f>IF(B1002&lt;&gt;"",IF(AND(B1002='IN-TC'!$S$4,OR(TH!N1002="1111",TH!O1002="1111")),TH!D1002,""),"")</f>
        <v/>
      </c>
      <c r="B1002" s="948">
        <f t="shared" si="75"/>
        <v>12</v>
      </c>
      <c r="C1002" s="78">
        <v>42709</v>
      </c>
      <c r="D1002" s="78" t="s">
        <v>666</v>
      </c>
      <c r="E1002" s="78">
        <f t="shared" si="79"/>
        <v>42709</v>
      </c>
      <c r="F1002" s="80" t="s">
        <v>2555</v>
      </c>
      <c r="G1002" s="934" t="s">
        <v>2556</v>
      </c>
      <c r="H1002" s="310" t="s">
        <v>2559</v>
      </c>
      <c r="I1002" s="406"/>
      <c r="J1002" s="406"/>
      <c r="K1002" s="397"/>
      <c r="L1002" s="406"/>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x</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customHeight="1">
      <c r="A1003" s="323" t="str">
        <f>IF(B1003&lt;&gt;"",IF(AND(B1003='IN-TC'!$S$4,OR(TH!N4290="1111",TH!O4290="1111")),TH!D4290,""),"")</f>
        <v/>
      </c>
      <c r="B1003" s="63">
        <f t="shared" si="75"/>
        <v>12</v>
      </c>
      <c r="C1003" s="64">
        <v>42705</v>
      </c>
      <c r="D1003" s="64" t="s">
        <v>851</v>
      </c>
      <c r="E1003" s="64">
        <f t="shared" si="79"/>
        <v>42705</v>
      </c>
      <c r="F1003" s="72" t="s">
        <v>2510</v>
      </c>
      <c r="G1003" s="931" t="s">
        <v>2554</v>
      </c>
      <c r="H1003" s="72" t="s">
        <v>2511</v>
      </c>
      <c r="I1003" s="408"/>
      <c r="J1003" s="408"/>
      <c r="K1003" s="399"/>
      <c r="L1003" s="408"/>
      <c r="M1003" s="65">
        <v>19800000</v>
      </c>
      <c r="N1003" s="66" t="s">
        <v>8</v>
      </c>
      <c r="O1003" s="66" t="s">
        <v>61</v>
      </c>
      <c r="P1003" s="82" t="str">
        <f>IF(AND('331-CT'!$E$7=TH!H1003,OR(N1003="331",O1003="331")),"x","")</f>
        <v/>
      </c>
      <c r="Q1003" s="82" t="str">
        <f>IF(AND(B1003='111'!$L$11,OR($N1003=$Q$7,$O1003=$Q$7)),"x","")</f>
        <v>x</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row>
    <row r="1004" spans="1:31" ht="15.75" customHeight="1">
      <c r="A1004" s="1160" t="str">
        <f>IF(B1004&lt;&gt;"",IF(AND(B1004='IN-TC'!$S$4,OR(TH!N997="1111",TH!O997="1111")),TH!D997,""),"")</f>
        <v/>
      </c>
      <c r="B1004" s="948">
        <f t="shared" si="75"/>
        <v>12</v>
      </c>
      <c r="C1004" s="78">
        <v>42706</v>
      </c>
      <c r="D1004" s="78" t="s">
        <v>664</v>
      </c>
      <c r="E1004" s="78">
        <f t="shared" si="79"/>
        <v>42706</v>
      </c>
      <c r="F1004" s="80" t="s">
        <v>2495</v>
      </c>
      <c r="G1004" s="934" t="s">
        <v>2022</v>
      </c>
      <c r="H1004" s="310" t="s">
        <v>2511</v>
      </c>
      <c r="I1004" s="406">
        <v>1600</v>
      </c>
      <c r="J1004" s="406">
        <v>7500</v>
      </c>
      <c r="K1004" s="397"/>
      <c r="L1004" s="406"/>
      <c r="M1004" s="81">
        <f>ROUND(I1004*J1004,0)</f>
        <v>12000000</v>
      </c>
      <c r="N1004" s="82" t="s">
        <v>270</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x</v>
      </c>
      <c r="AC1004" s="82" t="str">
        <f>IF(AND(OR(LEFT(TH!N1004,2)="15",LEFT(TH!O1004,2)="15"),TK!$E$7=TH!F1004),"x","")</f>
        <v/>
      </c>
      <c r="AD1004" s="82" t="str">
        <f>IF(AND(N1004="1521",MONTH(C1004)='BK-NL'!$M$11),"x","")</f>
        <v/>
      </c>
      <c r="AE1004">
        <v>1</v>
      </c>
    </row>
    <row r="1005" spans="1:31" ht="15.75" customHeight="1">
      <c r="A1005" s="1160" t="str">
        <f>IF(B1005&lt;&gt;"",IF(AND(B1005='IN-TC'!$S$4,OR(TH!N1005="1111",TH!O1005="1111")),TH!D1005,""),"")</f>
        <v/>
      </c>
      <c r="B1005" s="948">
        <f t="shared" si="75"/>
        <v>12</v>
      </c>
      <c r="C1005" s="78">
        <v>42709</v>
      </c>
      <c r="D1005" s="78" t="s">
        <v>1421</v>
      </c>
      <c r="E1005" s="78">
        <f t="shared" si="79"/>
        <v>42709</v>
      </c>
      <c r="F1005" s="80" t="s">
        <v>341</v>
      </c>
      <c r="G1005" s="934" t="s">
        <v>2558</v>
      </c>
      <c r="H1005" s="310" t="s">
        <v>2560</v>
      </c>
      <c r="I1005" s="406">
        <v>1100</v>
      </c>
      <c r="J1005" s="397">
        <v>16380.953</v>
      </c>
      <c r="K1005" s="397"/>
      <c r="L1005" s="406"/>
      <c r="M1005" s="81">
        <f>ROUND(I1005*J1005,0)</f>
        <v>18019048</v>
      </c>
      <c r="N1005" s="82" t="s">
        <v>270</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customHeight="1">
      <c r="A1006" s="1160" t="str">
        <f>IF(B1006&lt;&gt;"",IF(AND(B1006='IN-TC'!$S$4,OR(TH!N1006="1111",TH!O1006="1111")),TH!D1006,""),"")</f>
        <v/>
      </c>
      <c r="B1006" s="948">
        <f t="shared" ref="B1006:B1069" si="80">IF(C1006&lt;&gt;"",MONTH(C1006),"")</f>
        <v>12</v>
      </c>
      <c r="C1006" s="78">
        <v>42709</v>
      </c>
      <c r="D1006" s="78" t="s">
        <v>1421</v>
      </c>
      <c r="E1006" s="78">
        <f t="shared" si="79"/>
        <v>42709</v>
      </c>
      <c r="F1006" s="80" t="s">
        <v>634</v>
      </c>
      <c r="G1006" s="934" t="s">
        <v>2558</v>
      </c>
      <c r="H1006" s="310" t="s">
        <v>2560</v>
      </c>
      <c r="I1006" s="406"/>
      <c r="J1006" s="406"/>
      <c r="K1006" s="397"/>
      <c r="L1006" s="406"/>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x</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customHeight="1">
      <c r="A1007" s="1160" t="str">
        <f>IF(B1007&lt;&gt;"",IF(AND(B1007='IN-TC'!$S$4,OR(TH!N1007="1111",TH!O1007="1111")),TH!D1007,""),"")</f>
        <v/>
      </c>
      <c r="B1007" s="948">
        <f t="shared" si="80"/>
        <v>12</v>
      </c>
      <c r="C1007" s="78">
        <v>42710</v>
      </c>
      <c r="D1007" s="78" t="s">
        <v>2499</v>
      </c>
      <c r="E1007" s="78">
        <f t="shared" si="79"/>
        <v>42710</v>
      </c>
      <c r="F1007" s="80" t="s">
        <v>332</v>
      </c>
      <c r="G1007" s="934" t="s">
        <v>2561</v>
      </c>
      <c r="H1007" s="310" t="s">
        <v>2562</v>
      </c>
      <c r="I1007" s="406">
        <v>500</v>
      </c>
      <c r="J1007" s="406">
        <v>32200</v>
      </c>
      <c r="K1007" s="397"/>
      <c r="L1007" s="406"/>
      <c r="M1007" s="81">
        <f>ROUND(I1007*J1007,0)</f>
        <v>16100000</v>
      </c>
      <c r="N1007" s="82" t="s">
        <v>270</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customHeight="1">
      <c r="A1008" s="1160" t="str">
        <f>IF(B1008&lt;&gt;"",IF(AND(B1008='IN-TC'!$S$4,OR(TH!N1008="1111",TH!O1008="1111")),TH!D1008,""),"")</f>
        <v/>
      </c>
      <c r="B1008" s="948">
        <f t="shared" si="80"/>
        <v>12</v>
      </c>
      <c r="C1008" s="78">
        <v>42710</v>
      </c>
      <c r="D1008" s="78" t="s">
        <v>2499</v>
      </c>
      <c r="E1008" s="78">
        <f t="shared" si="79"/>
        <v>42710</v>
      </c>
      <c r="F1008" s="80" t="s">
        <v>2555</v>
      </c>
      <c r="G1008" s="934" t="s">
        <v>2561</v>
      </c>
      <c r="H1008" s="310" t="s">
        <v>2562</v>
      </c>
      <c r="I1008" s="406"/>
      <c r="J1008" s="406"/>
      <c r="K1008" s="397"/>
      <c r="L1008" s="406"/>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x</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customHeight="1">
      <c r="A1009" s="1160" t="str">
        <f>IF(B1009&lt;&gt;"",IF(AND(B1009='IN-TC'!$S$4,OR(TH!N963="1111",TH!O963="1111")),TH!D963,""),"")</f>
        <v/>
      </c>
      <c r="B1009" s="948">
        <f t="shared" si="80"/>
        <v>11</v>
      </c>
      <c r="C1009" s="78">
        <v>42703</v>
      </c>
      <c r="D1009" s="78" t="s">
        <v>2516</v>
      </c>
      <c r="E1009" s="78">
        <f t="shared" si="79"/>
        <v>42703</v>
      </c>
      <c r="F1009" s="80" t="s">
        <v>637</v>
      </c>
      <c r="G1009" s="934" t="s">
        <v>2507</v>
      </c>
      <c r="H1009" s="310" t="s">
        <v>2512</v>
      </c>
      <c r="I1009" s="406"/>
      <c r="J1009" s="406"/>
      <c r="K1009" s="397"/>
      <c r="L1009" s="406"/>
      <c r="M1009" s="81">
        <v>1800000</v>
      </c>
      <c r="N1009" s="82" t="s">
        <v>9</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x</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c r="AE1009">
        <v>1</v>
      </c>
    </row>
    <row r="1010" spans="1:31" ht="15.75" customHeight="1">
      <c r="A1010" s="323" t="str">
        <f>IF(B1010&lt;&gt;"",IF(AND(B1010='IN-TC'!$S$4,OR(TH!N4118="1111",TH!O4118="1111")),TH!D4118,""),"")</f>
        <v/>
      </c>
      <c r="B1010" s="63">
        <f t="shared" si="80"/>
        <v>11</v>
      </c>
      <c r="C1010" s="64">
        <v>42703</v>
      </c>
      <c r="D1010" s="64" t="s">
        <v>2926</v>
      </c>
      <c r="E1010" s="64">
        <f t="shared" si="79"/>
        <v>42703</v>
      </c>
      <c r="F1010" s="72" t="s">
        <v>2510</v>
      </c>
      <c r="G1010" s="931" t="s">
        <v>2507</v>
      </c>
      <c r="H1010" s="308" t="s">
        <v>2512</v>
      </c>
      <c r="I1010" s="408"/>
      <c r="J1010" s="408"/>
      <c r="K1010" s="399"/>
      <c r="L1010" s="408"/>
      <c r="M1010" s="65">
        <v>19800000</v>
      </c>
      <c r="N1010" s="66" t="s">
        <v>8</v>
      </c>
      <c r="O1010" s="66" t="s">
        <v>61</v>
      </c>
      <c r="P1010" s="82" t="str">
        <f>IF(AND('331-CT'!$E$7=TH!H1010,OR(N1010="331",O1010="331")),"x","")</f>
        <v/>
      </c>
      <c r="Q1010" s="82" t="str">
        <f>IF(AND(B1010='111'!$L$11,OR($N1010=$Q$7,$O1010=$Q$7)),"x","")</f>
        <v/>
      </c>
      <c r="R1010" s="82" t="str">
        <f>IF(AND($N1010=$Q$7,$B1010&lt;'111'!$L$11),"x","")</f>
        <v/>
      </c>
      <c r="S1010" s="82" t="str">
        <f>IF(AND($O1010=$Q$7,$B1010&lt;'111'!$L$11),"x","")</f>
        <v>x</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row>
    <row r="1011" spans="1:31" ht="15.75" customHeight="1">
      <c r="A1011" s="1160" t="str">
        <f>IF(B1011&lt;&gt;"",IF(AND(B1011='IN-TC'!$S$4,OR(TH!N998="1111",TH!O998="1111")),TH!D998,""),"")</f>
        <v/>
      </c>
      <c r="B1011" s="948">
        <f t="shared" si="80"/>
        <v>12</v>
      </c>
      <c r="C1011" s="78">
        <v>42706</v>
      </c>
      <c r="D1011" s="78" t="s">
        <v>664</v>
      </c>
      <c r="E1011" s="78">
        <f t="shared" si="79"/>
        <v>42706</v>
      </c>
      <c r="F1011" s="80" t="s">
        <v>637</v>
      </c>
      <c r="G1011" s="934" t="s">
        <v>2022</v>
      </c>
      <c r="H1011" s="310" t="s">
        <v>2511</v>
      </c>
      <c r="I1011" s="406"/>
      <c r="J1011" s="406"/>
      <c r="K1011" s="397"/>
      <c r="L1011" s="406"/>
      <c r="M1011" s="81">
        <v>1200000</v>
      </c>
      <c r="N1011" s="82" t="s">
        <v>9</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x</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c r="AE1011">
        <v>1</v>
      </c>
    </row>
    <row r="1012" spans="1:31" ht="15.75" customHeight="1">
      <c r="A1012" s="323" t="str">
        <f>IF(B1012&lt;&gt;"",IF(AND(B1012='IN-TC'!$S$4,OR(TH!N4301="1111",TH!O4301="1111")),TH!D4301,""),"")</f>
        <v/>
      </c>
      <c r="B1012" s="63">
        <f t="shared" si="80"/>
        <v>12</v>
      </c>
      <c r="C1012" s="64">
        <v>42706</v>
      </c>
      <c r="D1012" s="64" t="s">
        <v>858</v>
      </c>
      <c r="E1012" s="64">
        <f t="shared" si="79"/>
        <v>42706</v>
      </c>
      <c r="F1012" s="72" t="s">
        <v>2510</v>
      </c>
      <c r="G1012" s="931" t="s">
        <v>2022</v>
      </c>
      <c r="H1012" s="72" t="s">
        <v>2511</v>
      </c>
      <c r="I1012" s="408"/>
      <c r="J1012" s="408"/>
      <c r="K1012" s="399"/>
      <c r="L1012" s="408"/>
      <c r="M1012" s="65">
        <v>13200000</v>
      </c>
      <c r="N1012" s="66" t="s">
        <v>8</v>
      </c>
      <c r="O1012" s="66" t="s">
        <v>61</v>
      </c>
      <c r="P1012" s="82" t="str">
        <f>IF(AND('331-CT'!$E$7=TH!H1012,OR(N1012="331",O1012="331")),"x","")</f>
        <v/>
      </c>
      <c r="Q1012" s="82" t="str">
        <f>IF(AND(B1012='111'!$L$11,OR($N1012=$Q$7,$O1012=$Q$7)),"x","")</f>
        <v>x</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row>
    <row r="1013" spans="1:31" ht="15.75" customHeight="1">
      <c r="A1013" s="1160" t="str">
        <f>IF(B1013&lt;&gt;"",IF(AND(B1013='IN-TC'!$S$4,OR(TH!N1013="1111",TH!O1013="1111")),TH!D1013,""),"")</f>
        <v/>
      </c>
      <c r="B1013" s="948">
        <f t="shared" si="80"/>
        <v>12</v>
      </c>
      <c r="C1013" s="78">
        <v>42710</v>
      </c>
      <c r="D1013" s="78" t="s">
        <v>2504</v>
      </c>
      <c r="E1013" s="78">
        <f t="shared" si="79"/>
        <v>42710</v>
      </c>
      <c r="F1013" s="80" t="s">
        <v>2567</v>
      </c>
      <c r="G1013" s="934" t="s">
        <v>2565</v>
      </c>
      <c r="H1013" s="310" t="s">
        <v>2566</v>
      </c>
      <c r="I1013" s="406">
        <v>370</v>
      </c>
      <c r="J1013" s="406">
        <v>53000</v>
      </c>
      <c r="K1013" s="397"/>
      <c r="L1013" s="406"/>
      <c r="M1013" s="81">
        <f>ROUND(I1013*J1013,0)</f>
        <v>19610000</v>
      </c>
      <c r="N1013" s="82" t="s">
        <v>270</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customHeight="1">
      <c r="A1014" s="1160" t="str">
        <f>IF(B1014&lt;&gt;"",IF(AND(B1014='IN-TC'!$S$4,OR(TH!N1014="1111",TH!O1014="1111")),TH!D1014,""),"")</f>
        <v/>
      </c>
      <c r="B1014" s="948">
        <f t="shared" si="80"/>
        <v>12</v>
      </c>
      <c r="C1014" s="78">
        <v>42711</v>
      </c>
      <c r="D1014" s="78" t="s">
        <v>2506</v>
      </c>
      <c r="E1014" s="78">
        <f t="shared" si="79"/>
        <v>42711</v>
      </c>
      <c r="F1014" s="80" t="s">
        <v>2567</v>
      </c>
      <c r="G1014" s="934" t="s">
        <v>2568</v>
      </c>
      <c r="H1014" s="310" t="s">
        <v>2569</v>
      </c>
      <c r="I1014" s="406">
        <v>370</v>
      </c>
      <c r="J1014" s="406">
        <v>53000</v>
      </c>
      <c r="K1014" s="397"/>
      <c r="L1014" s="406"/>
      <c r="M1014" s="81">
        <f>ROUND(I1014*J1014,0)</f>
        <v>19610000</v>
      </c>
      <c r="N1014" s="82" t="s">
        <v>270</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customHeight="1">
      <c r="A1015" s="1160" t="str">
        <f>IF(B1015&lt;&gt;"",IF(AND(B1015='IN-TC'!$S$4,OR(TH!N995="1111",TH!O995="1111")),TH!D995,""),"")</f>
        <v/>
      </c>
      <c r="B1015" s="948">
        <f t="shared" si="80"/>
        <v>12</v>
      </c>
      <c r="C1015" s="78">
        <v>42705</v>
      </c>
      <c r="D1015" s="78" t="s">
        <v>663</v>
      </c>
      <c r="E1015" s="78">
        <f t="shared" si="79"/>
        <v>42705</v>
      </c>
      <c r="F1015" s="80" t="s">
        <v>2495</v>
      </c>
      <c r="G1015" s="934" t="s">
        <v>2508</v>
      </c>
      <c r="H1015" s="310" t="s">
        <v>2512</v>
      </c>
      <c r="I1015" s="406">
        <v>4000</v>
      </c>
      <c r="J1015" s="406">
        <v>4500</v>
      </c>
      <c r="K1015" s="397"/>
      <c r="L1015" s="406"/>
      <c r="M1015" s="81">
        <f>ROUND(I1015*J1015,0)</f>
        <v>18000000</v>
      </c>
      <c r="N1015" s="82" t="s">
        <v>270</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customHeight="1">
      <c r="A1016" s="1160" t="str">
        <f>IF(B1016&lt;&gt;"",IF(AND(B1016='IN-TC'!$S$4,OR(TH!N996="1111",TH!O996="1111")),TH!D996,""),"")</f>
        <v/>
      </c>
      <c r="B1016" s="948">
        <f t="shared" si="80"/>
        <v>12</v>
      </c>
      <c r="C1016" s="78">
        <v>42705</v>
      </c>
      <c r="D1016" s="78" t="s">
        <v>663</v>
      </c>
      <c r="E1016" s="78">
        <f t="shared" si="79"/>
        <v>42705</v>
      </c>
      <c r="F1016" s="80" t="s">
        <v>637</v>
      </c>
      <c r="G1016" s="934" t="s">
        <v>2508</v>
      </c>
      <c r="H1016" s="310" t="s">
        <v>2512</v>
      </c>
      <c r="I1016" s="406"/>
      <c r="J1016" s="406"/>
      <c r="K1016" s="397"/>
      <c r="L1016" s="406"/>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x</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customHeight="1">
      <c r="A1017" s="1160" t="str">
        <f>IF(B1017&lt;&gt;"",IF(AND(B1017='IN-TC'!$S$4,OR(TH!N999="1111",TH!O999="1111")),TH!D999,""),"")</f>
        <v/>
      </c>
      <c r="B1017" s="948">
        <f t="shared" si="80"/>
        <v>12</v>
      </c>
      <c r="C1017" s="78">
        <v>42707</v>
      </c>
      <c r="D1017" s="78" t="s">
        <v>665</v>
      </c>
      <c r="E1017" s="78">
        <f t="shared" si="79"/>
        <v>42707</v>
      </c>
      <c r="F1017" s="80" t="s">
        <v>2495</v>
      </c>
      <c r="G1017" s="934" t="s">
        <v>2509</v>
      </c>
      <c r="H1017" s="310" t="s">
        <v>2511</v>
      </c>
      <c r="I1017" s="406">
        <v>4000</v>
      </c>
      <c r="J1017" s="406">
        <v>4500</v>
      </c>
      <c r="K1017" s="397"/>
      <c r="L1017" s="406"/>
      <c r="M1017" s="81">
        <f>ROUND(I1017*J1017,0)</f>
        <v>18000000</v>
      </c>
      <c r="N1017" s="82" t="s">
        <v>270</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customHeight="1">
      <c r="A1018" s="1160" t="str">
        <f>IF(B1018&lt;&gt;"",IF(AND(B1018='IN-TC'!$S$4,OR(TH!N1000="1111",TH!O1000="1111")),TH!D1000,""),"")</f>
        <v/>
      </c>
      <c r="B1018" s="948">
        <f t="shared" si="80"/>
        <v>12</v>
      </c>
      <c r="C1018" s="78">
        <v>42707</v>
      </c>
      <c r="D1018" s="78" t="s">
        <v>665</v>
      </c>
      <c r="E1018" s="78">
        <f t="shared" si="79"/>
        <v>42707</v>
      </c>
      <c r="F1018" s="80" t="s">
        <v>637</v>
      </c>
      <c r="G1018" s="934" t="s">
        <v>2509</v>
      </c>
      <c r="H1018" s="310" t="s">
        <v>2511</v>
      </c>
      <c r="I1018" s="406"/>
      <c r="J1018" s="406"/>
      <c r="K1018" s="397"/>
      <c r="L1018" s="406"/>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x</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customHeight="1">
      <c r="A1019" s="323" t="str">
        <f>IF(B1019&lt;&gt;"",IF(AND(B1019='IN-TC'!$S$4,OR(TH!N4308="1111",TH!O4308="1111")),TH!D4308,""),"")</f>
        <v/>
      </c>
      <c r="B1019" s="63">
        <f t="shared" si="80"/>
        <v>12</v>
      </c>
      <c r="C1019" s="64">
        <v>42707</v>
      </c>
      <c r="D1019" s="64" t="s">
        <v>861</v>
      </c>
      <c r="E1019" s="64">
        <f t="shared" si="79"/>
        <v>42707</v>
      </c>
      <c r="F1019" s="72" t="s">
        <v>2510</v>
      </c>
      <c r="G1019" s="931" t="s">
        <v>2509</v>
      </c>
      <c r="H1019" s="72" t="s">
        <v>2511</v>
      </c>
      <c r="I1019" s="408"/>
      <c r="J1019" s="408"/>
      <c r="K1019" s="399"/>
      <c r="L1019" s="408"/>
      <c r="M1019" s="65">
        <v>19800000</v>
      </c>
      <c r="N1019" s="66" t="s">
        <v>8</v>
      </c>
      <c r="O1019" s="66" t="s">
        <v>61</v>
      </c>
      <c r="P1019" s="82" t="str">
        <f>IF(AND('331-CT'!$E$7=TH!H1019,OR(N1019="331",O1019="331")),"x","")</f>
        <v/>
      </c>
      <c r="Q1019" s="82" t="str">
        <f>IF(AND(B1019='111'!$L$11,OR($N1019=$Q$7,$O1019=$Q$7)),"x","")</f>
        <v>x</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row>
    <row r="1020" spans="1:31" ht="15.75" customHeight="1">
      <c r="A1020" s="1160" t="str">
        <f>IF(B1020&lt;&gt;"",IF(AND(B1020='IN-TC'!$S$4,OR(TH!N1003="1111",TH!O1003="1111")),TH!D1003,""),"")</f>
        <v/>
      </c>
      <c r="B1020" s="948">
        <f t="shared" si="80"/>
        <v>12</v>
      </c>
      <c r="C1020" s="78">
        <v>42709</v>
      </c>
      <c r="D1020" s="78" t="s">
        <v>667</v>
      </c>
      <c r="E1020" s="78">
        <f t="shared" si="79"/>
        <v>42709</v>
      </c>
      <c r="F1020" s="80" t="s">
        <v>2495</v>
      </c>
      <c r="G1020" s="934" t="s">
        <v>2557</v>
      </c>
      <c r="H1020" s="310" t="s">
        <v>2511</v>
      </c>
      <c r="I1020" s="406">
        <v>2400</v>
      </c>
      <c r="J1020" s="406">
        <v>7500</v>
      </c>
      <c r="K1020" s="397"/>
      <c r="L1020" s="406"/>
      <c r="M1020" s="81">
        <f>ROUND(I1020*J1020,0)</f>
        <v>18000000</v>
      </c>
      <c r="N1020" s="82" t="s">
        <v>270</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x</v>
      </c>
      <c r="AC1020" s="82" t="str">
        <f>IF(AND(OR(LEFT(TH!N1020,2)="15",LEFT(TH!O1020,2)="15"),TK!$E$7=TH!F1020),"x","")</f>
        <v/>
      </c>
      <c r="AD1020" s="82" t="str">
        <f>IF(AND(N1020="1521",MONTH(C1020)='BK-NL'!$M$11),"x","")</f>
        <v/>
      </c>
      <c r="AE1020">
        <v>1</v>
      </c>
    </row>
    <row r="1021" spans="1:31" ht="15.75" customHeight="1">
      <c r="A1021" s="323" t="str">
        <f>IF(B1021&lt;&gt;"",IF(AND(B1021='IN-TC'!$S$4,OR(TH!N4297="1111",TH!O4297="1111")),TH!D4297,""),"")</f>
        <v/>
      </c>
      <c r="B1021" s="63">
        <f t="shared" si="80"/>
        <v>12</v>
      </c>
      <c r="C1021" s="64">
        <v>42705</v>
      </c>
      <c r="D1021" s="64" t="s">
        <v>855</v>
      </c>
      <c r="E1021" s="64">
        <f t="shared" si="79"/>
        <v>42705</v>
      </c>
      <c r="F1021" s="72" t="s">
        <v>2510</v>
      </c>
      <c r="G1021" s="931" t="s">
        <v>2508</v>
      </c>
      <c r="H1021" s="72" t="s">
        <v>2512</v>
      </c>
      <c r="I1021" s="408"/>
      <c r="J1021" s="408"/>
      <c r="K1021" s="399"/>
      <c r="L1021" s="408"/>
      <c r="M1021" s="65">
        <v>19800000</v>
      </c>
      <c r="N1021" s="66" t="s">
        <v>8</v>
      </c>
      <c r="O1021" s="66" t="s">
        <v>61</v>
      </c>
      <c r="P1021" s="82" t="str">
        <f>IF(AND('331-CT'!$E$7=TH!H1021,OR(N1021="331",O1021="331")),"x","")</f>
        <v/>
      </c>
      <c r="Q1021" s="82" t="str">
        <f>IF(AND(B1021='111'!$L$11,OR($N1021=$Q$7,$O1021=$Q$7)),"x","")</f>
        <v>x</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row>
    <row r="1022" spans="1:31" ht="15.75" customHeight="1">
      <c r="A1022" s="1160" t="str">
        <f>IF(B1022&lt;&gt;"",IF(AND(B1022='IN-TC'!$S$4,OR(TH!N1009="1111",TH!O1009="1111")),TH!D1009,""),"")</f>
        <v/>
      </c>
      <c r="B1022" s="948">
        <f t="shared" si="80"/>
        <v>12</v>
      </c>
      <c r="C1022" s="78">
        <v>42710</v>
      </c>
      <c r="D1022" s="78" t="s">
        <v>2500</v>
      </c>
      <c r="E1022" s="78">
        <f t="shared" si="79"/>
        <v>42710</v>
      </c>
      <c r="F1022" s="80" t="s">
        <v>2495</v>
      </c>
      <c r="G1022" s="934" t="s">
        <v>2563</v>
      </c>
      <c r="H1022" s="310" t="s">
        <v>2512</v>
      </c>
      <c r="I1022" s="406">
        <v>2400</v>
      </c>
      <c r="J1022" s="406">
        <v>7500</v>
      </c>
      <c r="K1022" s="397"/>
      <c r="L1022" s="406"/>
      <c r="M1022" s="81">
        <f>ROUND(I1022*J1022,0)</f>
        <v>18000000</v>
      </c>
      <c r="N1022" s="82" t="s">
        <v>270</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x</v>
      </c>
      <c r="AC1022" s="82" t="str">
        <f>IF(AND(OR(LEFT(TH!N1022,2)="15",LEFT(TH!O1022,2)="15"),TK!$E$7=TH!F1022),"x","")</f>
        <v/>
      </c>
      <c r="AD1022" s="82" t="str">
        <f>IF(AND(N1022="1521",MONTH(C1022)='BK-NL'!$M$11),"x","")</f>
        <v/>
      </c>
      <c r="AE1022">
        <v>1</v>
      </c>
    </row>
    <row r="1023" spans="1:31" ht="15.75" customHeight="1">
      <c r="A1023" s="1160" t="str">
        <f>IF(B1023&lt;&gt;"",IF(AND(B1023='IN-TC'!$S$4,OR(TH!N1004="1111",TH!O1004="1111")),TH!D1004,""),"")</f>
        <v/>
      </c>
      <c r="B1023" s="948">
        <f t="shared" si="80"/>
        <v>12</v>
      </c>
      <c r="C1023" s="78">
        <v>42709</v>
      </c>
      <c r="D1023" s="78" t="s">
        <v>667</v>
      </c>
      <c r="E1023" s="78">
        <f t="shared" si="79"/>
        <v>42709</v>
      </c>
      <c r="F1023" s="80" t="s">
        <v>637</v>
      </c>
      <c r="G1023" s="934" t="s">
        <v>2557</v>
      </c>
      <c r="H1023" s="310" t="s">
        <v>2511</v>
      </c>
      <c r="I1023" s="406"/>
      <c r="J1023" s="406"/>
      <c r="K1023" s="397"/>
      <c r="L1023" s="406"/>
      <c r="M1023" s="81">
        <v>1800000</v>
      </c>
      <c r="N1023" s="82" t="s">
        <v>9</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x</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E1023">
        <v>1</v>
      </c>
    </row>
    <row r="1024" spans="1:31" ht="15.75" customHeight="1">
      <c r="A1024" s="323" t="str">
        <f>IF(B1024&lt;&gt;"",IF(AND(B1024='IN-TC'!$S$4,OR(TH!N4314="1111",TH!O4314="1111")),TH!D4314,""),"")</f>
        <v/>
      </c>
      <c r="B1024" s="63">
        <f t="shared" si="80"/>
        <v>12</v>
      </c>
      <c r="C1024" s="64">
        <v>42709</v>
      </c>
      <c r="D1024" s="64" t="s">
        <v>865</v>
      </c>
      <c r="E1024" s="64">
        <f t="shared" si="79"/>
        <v>42709</v>
      </c>
      <c r="F1024" s="72" t="s">
        <v>2510</v>
      </c>
      <c r="G1024" s="931" t="s">
        <v>2557</v>
      </c>
      <c r="H1024" s="72" t="s">
        <v>2511</v>
      </c>
      <c r="I1024" s="408"/>
      <c r="J1024" s="408"/>
      <c r="K1024" s="399"/>
      <c r="L1024" s="408"/>
      <c r="M1024" s="65">
        <v>19800000</v>
      </c>
      <c r="N1024" s="66" t="s">
        <v>8</v>
      </c>
      <c r="O1024" s="66" t="s">
        <v>61</v>
      </c>
      <c r="P1024" s="82" t="str">
        <f>IF(AND('331-CT'!$E$7=TH!H1024,OR(N1024="331",O1024="331")),"x","")</f>
        <v/>
      </c>
      <c r="Q1024" s="82" t="str">
        <f>IF(AND(B1024='111'!$L$11,OR($N1024=$Q$7,$O1024=$Q$7)),"x","")</f>
        <v>x</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row>
    <row r="1025" spans="1:31" ht="15.75" customHeight="1">
      <c r="A1025" s="1160" t="str">
        <f>IF(B1025&lt;&gt;"",IF(AND(B1025='IN-TC'!$S$4,OR(TH!N1011="1111",TH!O1011="1111")),TH!D1011,""),"")</f>
        <v/>
      </c>
      <c r="B1025" s="948">
        <f t="shared" si="80"/>
        <v>12</v>
      </c>
      <c r="C1025" s="78">
        <v>42710</v>
      </c>
      <c r="D1025" s="78" t="s">
        <v>2502</v>
      </c>
      <c r="E1025" s="78">
        <f t="shared" ref="E1025:E1056" si="81">C1025</f>
        <v>42710</v>
      </c>
      <c r="F1025" s="80" t="s">
        <v>2495</v>
      </c>
      <c r="G1025" s="934" t="s">
        <v>2564</v>
      </c>
      <c r="H1025" s="310" t="s">
        <v>2511</v>
      </c>
      <c r="I1025" s="406">
        <v>2400</v>
      </c>
      <c r="J1025" s="406">
        <v>7500</v>
      </c>
      <c r="K1025" s="397"/>
      <c r="L1025" s="406"/>
      <c r="M1025" s="81">
        <f>ROUND(I1025*J1025,0)</f>
        <v>18000000</v>
      </c>
      <c r="N1025" s="82" t="s">
        <v>270</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customHeight="1">
      <c r="A1026" s="1160" t="str">
        <f>IF(B1026&lt;&gt;"",IF(AND(B1026='IN-TC'!$S$4,OR(TH!N1012="1111",TH!O1012="1111")),TH!D1012,""),"")</f>
        <v/>
      </c>
      <c r="B1026" s="948">
        <f t="shared" si="80"/>
        <v>12</v>
      </c>
      <c r="C1026" s="78">
        <v>42710</v>
      </c>
      <c r="D1026" s="78" t="s">
        <v>2502</v>
      </c>
      <c r="E1026" s="78">
        <f t="shared" si="81"/>
        <v>42710</v>
      </c>
      <c r="F1026" s="80" t="s">
        <v>637</v>
      </c>
      <c r="G1026" s="934" t="s">
        <v>2564</v>
      </c>
      <c r="H1026" s="310" t="s">
        <v>2511</v>
      </c>
      <c r="I1026" s="406"/>
      <c r="J1026" s="406"/>
      <c r="K1026" s="397"/>
      <c r="L1026" s="406"/>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x</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customHeight="1">
      <c r="A1027" s="1160" t="str">
        <f>IF(B1027&lt;&gt;"",IF(AND(B1027='IN-TC'!$S$4,OR(TH!N1010="1111",TH!O1010="1111")),TH!D1010,""),"")</f>
        <v/>
      </c>
      <c r="B1027" s="948">
        <f t="shared" si="80"/>
        <v>12</v>
      </c>
      <c r="C1027" s="78">
        <v>42710</v>
      </c>
      <c r="D1027" s="78" t="s">
        <v>2500</v>
      </c>
      <c r="E1027" s="78">
        <f t="shared" si="81"/>
        <v>42710</v>
      </c>
      <c r="F1027" s="80" t="s">
        <v>637</v>
      </c>
      <c r="G1027" s="934" t="s">
        <v>2563</v>
      </c>
      <c r="H1027" s="310" t="s">
        <v>2512</v>
      </c>
      <c r="I1027" s="406"/>
      <c r="J1027" s="406"/>
      <c r="K1027" s="397"/>
      <c r="L1027" s="406"/>
      <c r="M1027" s="81">
        <v>1800000</v>
      </c>
      <c r="N1027" s="82" t="s">
        <v>9</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x</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E1027">
        <v>1</v>
      </c>
    </row>
    <row r="1028" spans="1:31" ht="15.75" customHeight="1">
      <c r="A1028" s="323" t="str">
        <f>IF(B1028&lt;&gt;"",IF(AND(B1028='IN-TC'!$S$4,OR(TH!N4323="1111",TH!O4323="1111")),TH!D4323,""),"")</f>
        <v/>
      </c>
      <c r="B1028" s="63">
        <f t="shared" si="80"/>
        <v>12</v>
      </c>
      <c r="C1028" s="64">
        <v>42710</v>
      </c>
      <c r="D1028" s="64" t="s">
        <v>871</v>
      </c>
      <c r="E1028" s="64">
        <f t="shared" si="81"/>
        <v>42710</v>
      </c>
      <c r="F1028" s="72" t="s">
        <v>2510</v>
      </c>
      <c r="G1028" s="931" t="s">
        <v>2563</v>
      </c>
      <c r="H1028" s="72" t="s">
        <v>2512</v>
      </c>
      <c r="I1028" s="408"/>
      <c r="J1028" s="408"/>
      <c r="K1028" s="399"/>
      <c r="L1028" s="408"/>
      <c r="M1028" s="65">
        <v>19800000</v>
      </c>
      <c r="N1028" s="66" t="s">
        <v>8</v>
      </c>
      <c r="O1028" s="66" t="s">
        <v>61</v>
      </c>
      <c r="P1028" s="82" t="str">
        <f>IF(AND('331-CT'!$E$7=TH!H1028,OR(N1028="331",O1028="331")),"x","")</f>
        <v/>
      </c>
      <c r="Q1028" s="82" t="str">
        <f>IF(AND(B1028='111'!$L$11,OR($N1028=$Q$7,$O1028=$Q$7)),"x","")</f>
        <v>x</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row>
    <row r="1029" spans="1:31" ht="15.75" customHeight="1">
      <c r="A1029" s="1160" t="str">
        <f>IF(B1029&lt;&gt;"",IF(AND(B1029='IN-TC'!$S$4,OR(TH!N1015="1111",TH!O1015="1111")),TH!D1015,""),"")</f>
        <v/>
      </c>
      <c r="B1029" s="948">
        <f t="shared" si="80"/>
        <v>12</v>
      </c>
      <c r="C1029" s="78">
        <v>42711</v>
      </c>
      <c r="D1029" s="78" t="s">
        <v>2515</v>
      </c>
      <c r="E1029" s="78">
        <f t="shared" si="81"/>
        <v>42711</v>
      </c>
      <c r="F1029" s="80" t="s">
        <v>2495</v>
      </c>
      <c r="G1029" s="934" t="s">
        <v>2570</v>
      </c>
      <c r="H1029" s="310" t="s">
        <v>2512</v>
      </c>
      <c r="I1029" s="406">
        <v>2400</v>
      </c>
      <c r="J1029" s="406">
        <v>7500</v>
      </c>
      <c r="K1029" s="397"/>
      <c r="L1029" s="406"/>
      <c r="M1029" s="81">
        <f>ROUND(I1029*J1029,0)</f>
        <v>18000000</v>
      </c>
      <c r="N1029" s="82" t="s">
        <v>270</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customHeight="1">
      <c r="A1030" s="1160" t="str">
        <f>IF(B1030&lt;&gt;"",IF(AND(B1030='IN-TC'!$S$4,OR(TH!N1016="1111",TH!O1016="1111")),TH!D1016,""),"")</f>
        <v/>
      </c>
      <c r="B1030" s="948">
        <f t="shared" si="80"/>
        <v>12</v>
      </c>
      <c r="C1030" s="78">
        <v>42711</v>
      </c>
      <c r="D1030" s="78" t="s">
        <v>2515</v>
      </c>
      <c r="E1030" s="78">
        <f t="shared" si="81"/>
        <v>42711</v>
      </c>
      <c r="F1030" s="80" t="s">
        <v>637</v>
      </c>
      <c r="G1030" s="934" t="s">
        <v>2570</v>
      </c>
      <c r="H1030" s="310" t="s">
        <v>2512</v>
      </c>
      <c r="I1030" s="406"/>
      <c r="J1030" s="406"/>
      <c r="K1030" s="397"/>
      <c r="L1030" s="406"/>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x</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customHeight="1">
      <c r="A1031" s="323" t="str">
        <f>IF(B1031&lt;&gt;"",IF(AND(B1031='IN-TC'!$S$4,OR(TH!N4326="1111",TH!O4326="1111")),TH!D4326,""),"")</f>
        <v/>
      </c>
      <c r="B1031" s="63">
        <f t="shared" si="80"/>
        <v>12</v>
      </c>
      <c r="C1031" s="64">
        <v>42711</v>
      </c>
      <c r="D1031" s="64" t="s">
        <v>873</v>
      </c>
      <c r="E1031" s="64">
        <f t="shared" si="81"/>
        <v>42711</v>
      </c>
      <c r="F1031" s="72" t="s">
        <v>2510</v>
      </c>
      <c r="G1031" s="931" t="s">
        <v>2570</v>
      </c>
      <c r="H1031" s="72" t="s">
        <v>2512</v>
      </c>
      <c r="I1031" s="408"/>
      <c r="J1031" s="408"/>
      <c r="K1031" s="399"/>
      <c r="L1031" s="408"/>
      <c r="M1031" s="65">
        <v>19800000</v>
      </c>
      <c r="N1031" s="66" t="s">
        <v>8</v>
      </c>
      <c r="O1031" s="66" t="s">
        <v>61</v>
      </c>
      <c r="P1031" s="82" t="str">
        <f>IF(AND('331-CT'!$E$7=TH!H1031,OR(N1031="331",O1031="331")),"x","")</f>
        <v/>
      </c>
      <c r="Q1031" s="82" t="str">
        <f>IF(AND(B1031='111'!$L$11,OR($N1031=$Q$7,$O1031=$Q$7)),"x","")</f>
        <v>x</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row>
    <row r="1032" spans="1:31" ht="15.75" customHeight="1">
      <c r="A1032" s="1160" t="str">
        <f>IF(B1032&lt;&gt;"",IF(AND(B1032='IN-TC'!$S$4,OR(TH!N1021="1111",TH!O1021="1111")),TH!D1021,""),"")</f>
        <v/>
      </c>
      <c r="B1032" s="948">
        <f t="shared" si="80"/>
        <v>12</v>
      </c>
      <c r="C1032" s="78">
        <v>42714</v>
      </c>
      <c r="D1032" s="78" t="s">
        <v>2576</v>
      </c>
      <c r="E1032" s="78">
        <f t="shared" si="81"/>
        <v>42714</v>
      </c>
      <c r="F1032" s="80" t="s">
        <v>2495</v>
      </c>
      <c r="G1032" s="934" t="s">
        <v>2573</v>
      </c>
      <c r="H1032" s="310" t="s">
        <v>2512</v>
      </c>
      <c r="I1032" s="406">
        <v>800</v>
      </c>
      <c r="J1032" s="406">
        <v>7500</v>
      </c>
      <c r="K1032" s="397"/>
      <c r="L1032" s="406"/>
      <c r="M1032" s="81">
        <f>ROUND(I1032*J1032,0)</f>
        <v>6000000</v>
      </c>
      <c r="N1032" s="82" t="s">
        <v>270</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x</v>
      </c>
      <c r="AC1032" s="82" t="str">
        <f>IF(AND(OR(LEFT(TH!N1032,2)="15",LEFT(TH!O1032,2)="15"),TK!$E$7=TH!F1032),"x","")</f>
        <v/>
      </c>
      <c r="AD1032" s="82" t="str">
        <f>IF(AND(N1032="1521",MONTH(C1032)='BK-NL'!$M$11),"x","")</f>
        <v/>
      </c>
      <c r="AE1032">
        <v>1</v>
      </c>
    </row>
    <row r="1033" spans="1:31" ht="15.75" customHeight="1">
      <c r="A1033" s="323" t="str">
        <f>IF(B1033&lt;&gt;"",IF(AND(B1033='IN-TC'!$S$4,OR(TH!N4321="1111",TH!O4321="1111")),TH!D4321,""),"")</f>
        <v/>
      </c>
      <c r="B1033" s="63">
        <f t="shared" si="80"/>
        <v>12</v>
      </c>
      <c r="C1033" s="64">
        <v>42710</v>
      </c>
      <c r="D1033" s="64" t="s">
        <v>869</v>
      </c>
      <c r="E1033" s="64">
        <f t="shared" si="81"/>
        <v>42710</v>
      </c>
      <c r="F1033" s="72" t="s">
        <v>2510</v>
      </c>
      <c r="G1033" s="931" t="s">
        <v>2564</v>
      </c>
      <c r="H1033" s="72" t="s">
        <v>2511</v>
      </c>
      <c r="I1033" s="408"/>
      <c r="J1033" s="408"/>
      <c r="K1033" s="399"/>
      <c r="L1033" s="408"/>
      <c r="M1033" s="65">
        <v>19800000</v>
      </c>
      <c r="N1033" s="66" t="s">
        <v>8</v>
      </c>
      <c r="O1033" s="66" t="s">
        <v>61</v>
      </c>
      <c r="P1033" s="82" t="str">
        <f>IF(AND('331-CT'!$E$7=TH!H1033,OR(N1033="331",O1033="331")),"x","")</f>
        <v/>
      </c>
      <c r="Q1033" s="82" t="str">
        <f>IF(AND(B1033='111'!$L$11,OR($N1033=$Q$7,$O1033=$Q$7)),"x","")</f>
        <v>x</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row>
    <row r="1034" spans="1:31" ht="15.75" customHeight="1">
      <c r="A1034" s="1160" t="str">
        <f>IF(B1034&lt;&gt;"",IF(AND(B1034='IN-TC'!$S$4,OR(TH!N1017="1111",TH!O1017="1111")),TH!D1017,""),"")</f>
        <v/>
      </c>
      <c r="B1034" s="948">
        <f t="shared" si="80"/>
        <v>12</v>
      </c>
      <c r="C1034" s="78">
        <v>42713</v>
      </c>
      <c r="D1034" s="78" t="s">
        <v>2516</v>
      </c>
      <c r="E1034" s="78">
        <f t="shared" si="81"/>
        <v>42713</v>
      </c>
      <c r="F1034" s="80" t="s">
        <v>2495</v>
      </c>
      <c r="G1034" s="934" t="s">
        <v>2571</v>
      </c>
      <c r="H1034" s="310" t="s">
        <v>2511</v>
      </c>
      <c r="I1034" s="406">
        <v>2400</v>
      </c>
      <c r="J1034" s="406">
        <v>7500</v>
      </c>
      <c r="K1034" s="397"/>
      <c r="L1034" s="406"/>
      <c r="M1034" s="81">
        <f>ROUND(I1034*J1034,0)</f>
        <v>18000000</v>
      </c>
      <c r="N1034" s="82" t="s">
        <v>270</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x</v>
      </c>
      <c r="AC1034" s="82" t="str">
        <f>IF(AND(OR(LEFT(TH!N1034,2)="15",LEFT(TH!O1034,2)="15"),TK!$E$7=TH!F1034),"x","")</f>
        <v/>
      </c>
      <c r="AD1034" s="82" t="str">
        <f>IF(AND(N1034="1521",MONTH(C1034)='BK-NL'!$M$11),"x","")</f>
        <v/>
      </c>
      <c r="AE1034">
        <v>1</v>
      </c>
    </row>
    <row r="1035" spans="1:31" ht="15.75" customHeight="1">
      <c r="A1035" s="1160" t="str">
        <f>IF(B1035&lt;&gt;"",IF(AND(B1035='IN-TC'!$S$4,OR(TH!N1022="1111",TH!O1022="1111")),TH!D1022,""),"")</f>
        <v/>
      </c>
      <c r="B1035" s="948">
        <f t="shared" si="80"/>
        <v>12</v>
      </c>
      <c r="C1035" s="78">
        <v>42714</v>
      </c>
      <c r="D1035" s="78" t="s">
        <v>2576</v>
      </c>
      <c r="E1035" s="78">
        <f t="shared" si="81"/>
        <v>42714</v>
      </c>
      <c r="F1035" s="80" t="s">
        <v>637</v>
      </c>
      <c r="G1035" s="934" t="s">
        <v>2573</v>
      </c>
      <c r="H1035" s="310" t="s">
        <v>2512</v>
      </c>
      <c r="I1035" s="406"/>
      <c r="J1035" s="406"/>
      <c r="K1035" s="397"/>
      <c r="L1035" s="406"/>
      <c r="M1035" s="81">
        <v>600000</v>
      </c>
      <c r="N1035" s="82" t="s">
        <v>9</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x</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c r="AE1035">
        <v>1</v>
      </c>
    </row>
    <row r="1036" spans="1:31" ht="15.75" customHeight="1">
      <c r="A1036" s="323" t="str">
        <f>IF(B1036&lt;&gt;"",IF(AND(B1036='IN-TC'!$S$4,OR(TH!N4343="1111",TH!O4343="1111")),TH!D4343,""),"")</f>
        <v/>
      </c>
      <c r="B1036" s="63">
        <f t="shared" si="80"/>
        <v>12</v>
      </c>
      <c r="C1036" s="64">
        <v>42714</v>
      </c>
      <c r="D1036" s="64" t="s">
        <v>883</v>
      </c>
      <c r="E1036" s="64">
        <f t="shared" si="81"/>
        <v>42714</v>
      </c>
      <c r="F1036" s="72" t="s">
        <v>2510</v>
      </c>
      <c r="G1036" s="931" t="s">
        <v>2573</v>
      </c>
      <c r="H1036" s="72" t="s">
        <v>2512</v>
      </c>
      <c r="I1036" s="408"/>
      <c r="J1036" s="408"/>
      <c r="K1036" s="399"/>
      <c r="L1036" s="408"/>
      <c r="M1036" s="65">
        <v>6600000</v>
      </c>
      <c r="N1036" s="66" t="s">
        <v>8</v>
      </c>
      <c r="O1036" s="66" t="s">
        <v>61</v>
      </c>
      <c r="P1036" s="82" t="str">
        <f>IF(AND('331-CT'!$E$7=TH!H1036,OR(N1036="331",O1036="331")),"x","")</f>
        <v/>
      </c>
      <c r="Q1036" s="82" t="str">
        <f>IF(AND(B1036='111'!$L$11,OR($N1036=$Q$7,$O1036=$Q$7)),"x","")</f>
        <v>x</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row>
    <row r="1037" spans="1:31" ht="15.75" customHeight="1">
      <c r="A1037" s="1160" t="str">
        <f>IF(B1037&lt;&gt;"",IF(AND(B1037='IN-TC'!$S$4,OR(TH!N1018="1111",TH!O1018="1111")),TH!D1018,""),"")</f>
        <v/>
      </c>
      <c r="B1037" s="948">
        <f t="shared" si="80"/>
        <v>12</v>
      </c>
      <c r="C1037" s="78">
        <v>42713</v>
      </c>
      <c r="D1037" s="78" t="s">
        <v>2516</v>
      </c>
      <c r="E1037" s="78">
        <f t="shared" si="81"/>
        <v>42713</v>
      </c>
      <c r="F1037" s="80" t="s">
        <v>637</v>
      </c>
      <c r="G1037" s="934" t="s">
        <v>2571</v>
      </c>
      <c r="H1037" s="310" t="s">
        <v>2511</v>
      </c>
      <c r="I1037" s="406"/>
      <c r="J1037" s="406"/>
      <c r="K1037" s="397"/>
      <c r="L1037" s="406"/>
      <c r="M1037" s="81">
        <v>1800000</v>
      </c>
      <c r="N1037" s="82" t="s">
        <v>9</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x</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E1037">
        <v>1</v>
      </c>
    </row>
    <row r="1038" spans="1:31" ht="15.75" customHeight="1">
      <c r="A1038" s="323" t="str">
        <f>IF(B1038&lt;&gt;"",IF(AND(B1038='IN-TC'!$S$4,OR(TH!N4339="1111",TH!O4339="1111")),TH!D4339,""),"")</f>
        <v/>
      </c>
      <c r="B1038" s="63">
        <f t="shared" si="80"/>
        <v>12</v>
      </c>
      <c r="C1038" s="64">
        <v>42713</v>
      </c>
      <c r="D1038" s="64" t="s">
        <v>880</v>
      </c>
      <c r="E1038" s="64">
        <f t="shared" si="81"/>
        <v>42713</v>
      </c>
      <c r="F1038" s="72" t="s">
        <v>2510</v>
      </c>
      <c r="G1038" s="931" t="s">
        <v>2571</v>
      </c>
      <c r="H1038" s="72" t="s">
        <v>2511</v>
      </c>
      <c r="I1038" s="408"/>
      <c r="J1038" s="408"/>
      <c r="K1038" s="399"/>
      <c r="L1038" s="408"/>
      <c r="M1038" s="65">
        <v>19800000</v>
      </c>
      <c r="N1038" s="66" t="s">
        <v>8</v>
      </c>
      <c r="O1038" s="66" t="s">
        <v>61</v>
      </c>
      <c r="P1038" s="82" t="str">
        <f>IF(AND('331-CT'!$E$7=TH!H1038,OR(N1038="331",O1038="331")),"x","")</f>
        <v/>
      </c>
      <c r="Q1038" s="82" t="str">
        <f>IF(AND(B1038='111'!$L$11,OR($N1038=$Q$7,$O1038=$Q$7)),"x","")</f>
        <v>x</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row>
    <row r="1039" spans="1:31" ht="15.75" customHeight="1">
      <c r="A1039" s="1160" t="str">
        <f>IF(B1039&lt;&gt;"",IF(AND(B1039='IN-TC'!$S$4,OR(TH!N1027="1111",TH!O1027="1111")),TH!D1027,""),"")</f>
        <v/>
      </c>
      <c r="B1039" s="948">
        <f t="shared" si="80"/>
        <v>12</v>
      </c>
      <c r="C1039" s="78">
        <v>42716</v>
      </c>
      <c r="D1039" s="78" t="s">
        <v>2579</v>
      </c>
      <c r="E1039" s="78">
        <f t="shared" si="81"/>
        <v>42716</v>
      </c>
      <c r="F1039" s="80" t="s">
        <v>2495</v>
      </c>
      <c r="G1039" s="934" t="s">
        <v>2681</v>
      </c>
      <c r="H1039" s="310" t="s">
        <v>2512</v>
      </c>
      <c r="I1039" s="406">
        <v>2400</v>
      </c>
      <c r="J1039" s="406">
        <v>7500</v>
      </c>
      <c r="K1039" s="397"/>
      <c r="L1039" s="406"/>
      <c r="M1039" s="81">
        <f>ROUND(I1039*J1039,0)</f>
        <v>18000000</v>
      </c>
      <c r="N1039" s="82" t="s">
        <v>270</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customHeight="1">
      <c r="A1040" s="1160" t="str">
        <f>IF(B1040&lt;&gt;"",IF(AND(B1040='IN-TC'!$S$4,OR(TH!N1028="1111",TH!O1028="1111")),TH!D1028,""),"")</f>
        <v/>
      </c>
      <c r="B1040" s="948">
        <f t="shared" si="80"/>
        <v>12</v>
      </c>
      <c r="C1040" s="78">
        <v>42716</v>
      </c>
      <c r="D1040" s="78" t="s">
        <v>2579</v>
      </c>
      <c r="E1040" s="78">
        <f t="shared" si="81"/>
        <v>42716</v>
      </c>
      <c r="F1040" s="80" t="s">
        <v>637</v>
      </c>
      <c r="G1040" s="934" t="s">
        <v>2681</v>
      </c>
      <c r="H1040" s="310" t="s">
        <v>2512</v>
      </c>
      <c r="I1040" s="406"/>
      <c r="J1040" s="406"/>
      <c r="K1040" s="397"/>
      <c r="L1040" s="406"/>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x</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customHeight="1">
      <c r="A1041" s="1160" t="str">
        <f>IF(B1041&lt;&gt;"",IF(AND(B1041='IN-TC'!$S$4,OR(TH!N1019="1111",TH!O1019="1111")),TH!D1019,""),"")</f>
        <v/>
      </c>
      <c r="B1041" s="948">
        <f t="shared" si="80"/>
        <v>12</v>
      </c>
      <c r="C1041" s="78">
        <v>42714</v>
      </c>
      <c r="D1041" s="78" t="s">
        <v>2575</v>
      </c>
      <c r="E1041" s="78">
        <f t="shared" si="81"/>
        <v>42714</v>
      </c>
      <c r="F1041" s="80" t="s">
        <v>2495</v>
      </c>
      <c r="G1041" s="934" t="s">
        <v>2572</v>
      </c>
      <c r="H1041" s="310" t="s">
        <v>2511</v>
      </c>
      <c r="I1041" s="406">
        <v>2400</v>
      </c>
      <c r="J1041" s="406">
        <v>7500</v>
      </c>
      <c r="K1041" s="397"/>
      <c r="L1041" s="406"/>
      <c r="M1041" s="81">
        <f>ROUND(I1041*J1041,0)</f>
        <v>18000000</v>
      </c>
      <c r="N1041" s="82" t="s">
        <v>270</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customHeight="1">
      <c r="A1042" s="1160" t="str">
        <f>IF(B1042&lt;&gt;"",IF(AND(B1042='IN-TC'!$S$4,OR(TH!N1020="1111",TH!O1020="1111")),TH!D1020,""),"")</f>
        <v/>
      </c>
      <c r="B1042" s="948">
        <f t="shared" si="80"/>
        <v>12</v>
      </c>
      <c r="C1042" s="78">
        <v>42714</v>
      </c>
      <c r="D1042" s="78" t="s">
        <v>2575</v>
      </c>
      <c r="E1042" s="78">
        <f t="shared" si="81"/>
        <v>42714</v>
      </c>
      <c r="F1042" s="80" t="s">
        <v>637</v>
      </c>
      <c r="G1042" s="934" t="s">
        <v>2572</v>
      </c>
      <c r="H1042" s="310" t="s">
        <v>2511</v>
      </c>
      <c r="I1042" s="406"/>
      <c r="J1042" s="406"/>
      <c r="K1042" s="397"/>
      <c r="L1042" s="406"/>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x</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customHeight="1">
      <c r="A1043" s="323" t="str">
        <f>IF(B1043&lt;&gt;"",IF(AND(B1043='IN-TC'!$S$4,OR(TH!N4349="1111",TH!O4349="1111")),TH!D4349,""),"")</f>
        <v/>
      </c>
      <c r="B1043" s="63">
        <f t="shared" si="80"/>
        <v>12</v>
      </c>
      <c r="C1043" s="64">
        <v>42716</v>
      </c>
      <c r="D1043" s="64" t="s">
        <v>890</v>
      </c>
      <c r="E1043" s="64">
        <f t="shared" si="81"/>
        <v>42716</v>
      </c>
      <c r="F1043" s="72" t="s">
        <v>2510</v>
      </c>
      <c r="G1043" s="931" t="s">
        <v>2681</v>
      </c>
      <c r="H1043" s="72" t="s">
        <v>2512</v>
      </c>
      <c r="I1043" s="408"/>
      <c r="J1043" s="408"/>
      <c r="K1043" s="399"/>
      <c r="L1043" s="408"/>
      <c r="M1043" s="65">
        <v>19800000</v>
      </c>
      <c r="N1043" s="66" t="s">
        <v>8</v>
      </c>
      <c r="O1043" s="66" t="s">
        <v>61</v>
      </c>
      <c r="P1043" s="82" t="str">
        <f>IF(AND('331-CT'!$E$7=TH!H1043,OR(N1043="331",O1043="331")),"x","")</f>
        <v/>
      </c>
      <c r="Q1043" s="82" t="str">
        <f>IF(AND(B1043='111'!$L$11,OR($N1043=$Q$7,$O1043=$Q$7)),"x","")</f>
        <v>x</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1" ht="15.75" customHeight="1">
      <c r="A1044" s="1160" t="str">
        <f>IF(B1044&lt;&gt;"",IF(AND(B1044='IN-TC'!$S$4,OR(TH!N1029="1111",TH!O1029="1111")),TH!D1029,""),"")</f>
        <v/>
      </c>
      <c r="B1044" s="948">
        <f t="shared" si="80"/>
        <v>12</v>
      </c>
      <c r="C1044" s="78">
        <v>42717</v>
      </c>
      <c r="D1044" s="78" t="s">
        <v>2592</v>
      </c>
      <c r="E1044" s="78">
        <f t="shared" si="81"/>
        <v>42717</v>
      </c>
      <c r="F1044" s="80" t="s">
        <v>2495</v>
      </c>
      <c r="G1044" s="934" t="s">
        <v>2682</v>
      </c>
      <c r="H1044" s="310" t="s">
        <v>2512</v>
      </c>
      <c r="I1044" s="406">
        <v>2400</v>
      </c>
      <c r="J1044" s="406">
        <v>7500</v>
      </c>
      <c r="K1044" s="397"/>
      <c r="L1044" s="406"/>
      <c r="M1044" s="81">
        <f>ROUND(I1044*J1044,0)</f>
        <v>18000000</v>
      </c>
      <c r="N1044" s="82" t="s">
        <v>270</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x</v>
      </c>
      <c r="AC1044" s="82" t="str">
        <f>IF(AND(OR(LEFT(TH!N1044,2)="15",LEFT(TH!O1044,2)="15"),TK!$E$7=TH!F1044),"x","")</f>
        <v/>
      </c>
      <c r="AD1044" s="82" t="str">
        <f>IF(AND(N1044="1521",MONTH(C1044)='BK-NL'!$M$11),"x","")</f>
        <v/>
      </c>
      <c r="AE1044">
        <v>1</v>
      </c>
    </row>
    <row r="1045" spans="1:31" ht="18" customHeight="1">
      <c r="A1045" s="323" t="str">
        <f>IF(B1045&lt;&gt;"",IF(AND(B1045='IN-TC'!$S$4,OR(TH!N4342="1111",TH!O4342="1111")),TH!D4342,""),"")</f>
        <v/>
      </c>
      <c r="B1045" s="63">
        <f t="shared" si="80"/>
        <v>12</v>
      </c>
      <c r="C1045" s="64">
        <v>42714</v>
      </c>
      <c r="D1045" s="64" t="s">
        <v>882</v>
      </c>
      <c r="E1045" s="64">
        <f t="shared" si="81"/>
        <v>42714</v>
      </c>
      <c r="F1045" s="72" t="s">
        <v>2510</v>
      </c>
      <c r="G1045" s="931" t="s">
        <v>2572</v>
      </c>
      <c r="H1045" s="72" t="s">
        <v>2511</v>
      </c>
      <c r="I1045" s="408"/>
      <c r="J1045" s="408"/>
      <c r="K1045" s="399"/>
      <c r="L1045" s="408"/>
      <c r="M1045" s="65">
        <v>19800000</v>
      </c>
      <c r="N1045" s="66" t="s">
        <v>8</v>
      </c>
      <c r="O1045" s="66" t="s">
        <v>61</v>
      </c>
      <c r="P1045" s="82" t="str">
        <f>IF(AND('331-CT'!$E$7=TH!H1045,OR(N1045="331",O1045="331")),"x","")</f>
        <v/>
      </c>
      <c r="Q1045" s="82" t="str">
        <f>IF(AND(B1045='111'!$L$11,OR($N1045=$Q$7,$O1045=$Q$7)),"x","")</f>
        <v>x</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row>
    <row r="1046" spans="1:31" ht="15.75" customHeight="1">
      <c r="A1046" s="1160" t="str">
        <f>IF(B1046&lt;&gt;"",IF(AND(B1046='IN-TC'!$S$4,OR(TH!N1023="1111",TH!O1023="1111")),TH!D1023,""),"")</f>
        <v/>
      </c>
      <c r="B1046" s="948">
        <f t="shared" si="80"/>
        <v>12</v>
      </c>
      <c r="C1046" s="78">
        <v>42715</v>
      </c>
      <c r="D1046" s="78" t="s">
        <v>2577</v>
      </c>
      <c r="E1046" s="78">
        <f t="shared" si="81"/>
        <v>42715</v>
      </c>
      <c r="F1046" s="80" t="s">
        <v>2495</v>
      </c>
      <c r="G1046" s="934" t="s">
        <v>1366</v>
      </c>
      <c r="H1046" s="310" t="s">
        <v>2511</v>
      </c>
      <c r="I1046" s="406">
        <v>2400</v>
      </c>
      <c r="J1046" s="406">
        <v>7500</v>
      </c>
      <c r="K1046" s="397"/>
      <c r="L1046" s="406"/>
      <c r="M1046" s="81">
        <f>ROUND(I1046*J1046,0)</f>
        <v>18000000</v>
      </c>
      <c r="N1046" s="82" t="s">
        <v>270</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x</v>
      </c>
      <c r="AC1046" s="82" t="str">
        <f>IF(AND(OR(LEFT(TH!N1046,2)="15",LEFT(TH!O1046,2)="15"),TK!$E$7=TH!F1046),"x","")</f>
        <v/>
      </c>
      <c r="AD1046" s="82" t="str">
        <f>IF(AND(N1046="1521",MONTH(C1046)='BK-NL'!$M$11),"x","")</f>
        <v/>
      </c>
      <c r="AE1046">
        <v>1</v>
      </c>
    </row>
    <row r="1047" spans="1:31" ht="15.75" customHeight="1">
      <c r="A1047" s="1160" t="str">
        <f>IF(B1047&lt;&gt;"",IF(AND(B1047='IN-TC'!$S$4,OR(TH!N1024="1111",TH!O1024="1111")),TH!D1024,""),"")</f>
        <v/>
      </c>
      <c r="B1047" s="948">
        <f t="shared" si="80"/>
        <v>12</v>
      </c>
      <c r="C1047" s="78">
        <v>42715</v>
      </c>
      <c r="D1047" s="78" t="s">
        <v>2577</v>
      </c>
      <c r="E1047" s="78">
        <f t="shared" si="81"/>
        <v>42715</v>
      </c>
      <c r="F1047" s="80" t="s">
        <v>637</v>
      </c>
      <c r="G1047" s="934" t="s">
        <v>1366</v>
      </c>
      <c r="H1047" s="310" t="s">
        <v>2511</v>
      </c>
      <c r="I1047" s="406"/>
      <c r="J1047" s="406"/>
      <c r="K1047" s="397"/>
      <c r="L1047" s="406"/>
      <c r="M1047" s="81">
        <v>1800000</v>
      </c>
      <c r="N1047" s="82" t="s">
        <v>9</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x</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c r="AE1047">
        <v>1</v>
      </c>
    </row>
    <row r="1048" spans="1:31" ht="15.75" customHeight="1">
      <c r="A1048" s="323" t="str">
        <f>IF(B1048&lt;&gt;"",IF(AND(B1048='IN-TC'!$S$4,OR(TH!N4345="1111",TH!O4345="1111")),TH!D4345,""),"")</f>
        <v/>
      </c>
      <c r="B1048" s="63">
        <f t="shared" si="80"/>
        <v>12</v>
      </c>
      <c r="C1048" s="64">
        <v>42715</v>
      </c>
      <c r="D1048" s="64" t="s">
        <v>885</v>
      </c>
      <c r="E1048" s="64">
        <f t="shared" si="81"/>
        <v>42715</v>
      </c>
      <c r="F1048" s="72" t="s">
        <v>2510</v>
      </c>
      <c r="G1048" s="931" t="s">
        <v>1366</v>
      </c>
      <c r="H1048" s="72" t="s">
        <v>2511</v>
      </c>
      <c r="I1048" s="408"/>
      <c r="J1048" s="408"/>
      <c r="K1048" s="399"/>
      <c r="L1048" s="408"/>
      <c r="M1048" s="65">
        <v>19800000</v>
      </c>
      <c r="N1048" s="66" t="s">
        <v>8</v>
      </c>
      <c r="O1048" s="66" t="s">
        <v>61</v>
      </c>
      <c r="P1048" s="82" t="str">
        <f>IF(AND('331-CT'!$E$7=TH!H1048,OR(N1048="331",O1048="331")),"x","")</f>
        <v/>
      </c>
      <c r="Q1048" s="82" t="str">
        <f>IF(AND(B1048='111'!$L$11,OR($N1048=$Q$7,$O1048=$Q$7)),"x","")</f>
        <v>x</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1" ht="15.75" customHeight="1">
      <c r="A1049" s="323" t="str">
        <f>IF(B1049&lt;&gt;"",IF(AND(B1049='IN-TC'!$S$4,OR(TH!N3621="1111",TH!O3621="1111")),TH!D3621,""),"")</f>
        <v/>
      </c>
      <c r="B1049" s="63">
        <f t="shared" si="80"/>
        <v>8</v>
      </c>
      <c r="C1049" s="64">
        <v>42601</v>
      </c>
      <c r="D1049" s="64" t="s">
        <v>690</v>
      </c>
      <c r="E1049" s="64">
        <f t="shared" si="81"/>
        <v>42601</v>
      </c>
      <c r="F1049" s="72" t="s">
        <v>1625</v>
      </c>
      <c r="G1049" s="67" t="s">
        <v>902</v>
      </c>
      <c r="H1049" s="329" t="s">
        <v>607</v>
      </c>
      <c r="I1049" s="408"/>
      <c r="J1049" s="408"/>
      <c r="K1049" s="399"/>
      <c r="L1049" s="408"/>
      <c r="M1049" s="65">
        <v>6400000</v>
      </c>
      <c r="N1049" s="66" t="s">
        <v>8</v>
      </c>
      <c r="O1049" s="66" t="s">
        <v>25</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customHeight="1">
      <c r="A1050" s="1160" t="str">
        <f>IF(B1050&lt;&gt;"",IF(AND(B1050='IN-TC'!$S$4,OR(TH!N1050="1111",TH!O1050="1111")),TH!D1050,""),"")</f>
        <v/>
      </c>
      <c r="B1050" s="948">
        <f t="shared" si="80"/>
        <v>12</v>
      </c>
      <c r="C1050" s="78">
        <v>42724</v>
      </c>
      <c r="D1050" s="78" t="s">
        <v>2767</v>
      </c>
      <c r="E1050" s="78">
        <f t="shared" si="81"/>
        <v>42724</v>
      </c>
      <c r="F1050" s="80" t="s">
        <v>2593</v>
      </c>
      <c r="G1050" s="934" t="s">
        <v>2595</v>
      </c>
      <c r="H1050" s="310" t="s">
        <v>2596</v>
      </c>
      <c r="I1050" s="406">
        <v>4000</v>
      </c>
      <c r="J1050" s="406">
        <v>300</v>
      </c>
      <c r="K1050" s="397"/>
      <c r="L1050" s="406"/>
      <c r="M1050" s="81">
        <f>ROUND(I1050*J1050,0)</f>
        <v>1200000</v>
      </c>
      <c r="N1050" s="82" t="s">
        <v>270</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customHeight="1">
      <c r="A1051" s="1160" t="str">
        <f>IF(B1051&lt;&gt;"",IF(AND(B1051='IN-TC'!$S$4,OR(TH!N1051="1111",TH!O1051="1111")),TH!D1051,""),"")</f>
        <v/>
      </c>
      <c r="B1051" s="948">
        <f t="shared" si="80"/>
        <v>12</v>
      </c>
      <c r="C1051" s="78">
        <v>42724</v>
      </c>
      <c r="D1051" s="78" t="s">
        <v>2767</v>
      </c>
      <c r="E1051" s="78">
        <f t="shared" si="81"/>
        <v>42724</v>
      </c>
      <c r="F1051" s="80" t="s">
        <v>2594</v>
      </c>
      <c r="G1051" s="934" t="s">
        <v>2595</v>
      </c>
      <c r="H1051" s="310" t="s">
        <v>2596</v>
      </c>
      <c r="I1051" s="406"/>
      <c r="J1051" s="406"/>
      <c r="K1051" s="397"/>
      <c r="L1051" s="406"/>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x</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customHeight="1">
      <c r="A1052" s="1160" t="str">
        <f>IF(B1052&lt;&gt;"",IF(AND(B1052='IN-TC'!$S$4,OR(TH!N1025="1111",TH!O1025="1111")),TH!D1025,""),"")</f>
        <v/>
      </c>
      <c r="B1052" s="948">
        <f t="shared" si="80"/>
        <v>12</v>
      </c>
      <c r="C1052" s="78">
        <v>42716</v>
      </c>
      <c r="D1052" s="78" t="s">
        <v>2578</v>
      </c>
      <c r="E1052" s="78">
        <f t="shared" si="81"/>
        <v>42716</v>
      </c>
      <c r="F1052" s="80" t="s">
        <v>2495</v>
      </c>
      <c r="G1052" s="934" t="s">
        <v>2106</v>
      </c>
      <c r="H1052" s="310" t="s">
        <v>2511</v>
      </c>
      <c r="I1052" s="406">
        <v>2400</v>
      </c>
      <c r="J1052" s="406">
        <v>7500</v>
      </c>
      <c r="K1052" s="397"/>
      <c r="L1052" s="406"/>
      <c r="M1052" s="81">
        <f>ROUND(I1052*J1052,0)</f>
        <v>18000000</v>
      </c>
      <c r="N1052" s="82" t="s">
        <v>270</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customHeight="1">
      <c r="A1053" s="1160" t="str">
        <f>IF(B1053&lt;&gt;"",IF(AND(B1053='IN-TC'!$S$4,OR(TH!N1026="1111",TH!O1026="1111")),TH!D1026,""),"")</f>
        <v/>
      </c>
      <c r="B1053" s="948">
        <f t="shared" si="80"/>
        <v>12</v>
      </c>
      <c r="C1053" s="78">
        <v>42716</v>
      </c>
      <c r="D1053" s="78" t="s">
        <v>2578</v>
      </c>
      <c r="E1053" s="78">
        <f t="shared" si="81"/>
        <v>42716</v>
      </c>
      <c r="F1053" s="80" t="s">
        <v>637</v>
      </c>
      <c r="G1053" s="934" t="s">
        <v>2106</v>
      </c>
      <c r="H1053" s="310" t="s">
        <v>2511</v>
      </c>
      <c r="I1053" s="406"/>
      <c r="J1053" s="406"/>
      <c r="K1053" s="397"/>
      <c r="L1053" s="406"/>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x</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customHeight="1">
      <c r="A1054" s="1160" t="str">
        <f>IF(B1054&lt;&gt;"",IF(AND(B1054='IN-TC'!$S$4,OR(TH!N1030="1111",TH!O1030="1111")),TH!D1030,""),"")</f>
        <v/>
      </c>
      <c r="B1054" s="948">
        <f t="shared" si="80"/>
        <v>12</v>
      </c>
      <c r="C1054" s="78">
        <v>42717</v>
      </c>
      <c r="D1054" s="78" t="s">
        <v>2592</v>
      </c>
      <c r="E1054" s="78">
        <f t="shared" si="81"/>
        <v>42717</v>
      </c>
      <c r="F1054" s="80" t="s">
        <v>637</v>
      </c>
      <c r="G1054" s="934" t="s">
        <v>2682</v>
      </c>
      <c r="H1054" s="310" t="s">
        <v>2512</v>
      </c>
      <c r="I1054" s="406"/>
      <c r="J1054" s="406"/>
      <c r="K1054" s="397"/>
      <c r="L1054" s="406"/>
      <c r="M1054" s="81">
        <v>1800000</v>
      </c>
      <c r="N1054" s="82" t="s">
        <v>9</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x</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c r="AE1054">
        <v>1</v>
      </c>
    </row>
    <row r="1055" spans="1:31" ht="15.75" customHeight="1">
      <c r="A1055" s="323" t="str">
        <f>IF(B1055&lt;&gt;"",IF(AND(B1055='IN-TC'!$S$4,OR(TH!N4351="1111",TH!O4351="1111")),TH!D4351,""),"")</f>
        <v/>
      </c>
      <c r="B1055" s="63">
        <f t="shared" si="80"/>
        <v>12</v>
      </c>
      <c r="C1055" s="64">
        <v>42717</v>
      </c>
      <c r="D1055" s="64" t="s">
        <v>891</v>
      </c>
      <c r="E1055" s="64">
        <f t="shared" si="81"/>
        <v>42717</v>
      </c>
      <c r="F1055" s="72" t="s">
        <v>2510</v>
      </c>
      <c r="G1055" s="931" t="s">
        <v>2682</v>
      </c>
      <c r="H1055" s="72" t="s">
        <v>2512</v>
      </c>
      <c r="I1055" s="408"/>
      <c r="J1055" s="408"/>
      <c r="K1055" s="399"/>
      <c r="L1055" s="408"/>
      <c r="M1055" s="65">
        <v>19800000</v>
      </c>
      <c r="N1055" s="66" t="s">
        <v>8</v>
      </c>
      <c r="O1055" s="66" t="s">
        <v>61</v>
      </c>
      <c r="P1055" s="82" t="str">
        <f>IF(AND('331-CT'!$E$7=TH!H1055,OR(N1055="331",O1055="331")),"x","")</f>
        <v/>
      </c>
      <c r="Q1055" s="82" t="str">
        <f>IF(AND(B1055='111'!$L$11,OR($N1055=$Q$7,$O1055=$Q$7)),"x","")</f>
        <v>x</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1" ht="15.75" customHeight="1">
      <c r="A1056" s="323" t="str">
        <f>IF(B1056&lt;&gt;"",IF(AND(B1056='IN-TC'!$S$4,OR(TH!N4348="1111",TH!O4348="1111")),TH!D4348,""),"")</f>
        <v/>
      </c>
      <c r="B1056" s="63">
        <f t="shared" si="80"/>
        <v>12</v>
      </c>
      <c r="C1056" s="64">
        <v>42716</v>
      </c>
      <c r="D1056" s="64" t="s">
        <v>888</v>
      </c>
      <c r="E1056" s="64">
        <f t="shared" si="81"/>
        <v>42716</v>
      </c>
      <c r="F1056" s="72" t="s">
        <v>2510</v>
      </c>
      <c r="G1056" s="931" t="s">
        <v>2106</v>
      </c>
      <c r="H1056" s="72" t="s">
        <v>2511</v>
      </c>
      <c r="I1056" s="408"/>
      <c r="J1056" s="408"/>
      <c r="K1056" s="399"/>
      <c r="L1056" s="408"/>
      <c r="M1056" s="65">
        <v>19800000</v>
      </c>
      <c r="N1056" s="66" t="s">
        <v>8</v>
      </c>
      <c r="O1056" s="66" t="s">
        <v>61</v>
      </c>
      <c r="P1056" s="82" t="str">
        <f>IF(AND('331-CT'!$E$7=TH!H1056,OR(N1056="331",O1056="331")),"x","")</f>
        <v/>
      </c>
      <c r="Q1056" s="82" t="str">
        <f>IF(AND(B1056='111'!$L$11,OR($N1056=$Q$7,$O1056=$Q$7)),"x","")</f>
        <v>x</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1" ht="15.75" customHeight="1">
      <c r="A1057" s="1160" t="str">
        <f>IF(B1057&lt;&gt;"",IF(AND(B1057='IN-TC'!$S$4,OR(TH!N1033="1111",TH!O1033="1111")),TH!D1033,""),"")</f>
        <v/>
      </c>
      <c r="B1057" s="948">
        <f t="shared" si="80"/>
        <v>12</v>
      </c>
      <c r="C1057" s="78">
        <v>42719</v>
      </c>
      <c r="D1057" s="78" t="s">
        <v>2666</v>
      </c>
      <c r="E1057" s="78">
        <f t="shared" ref="E1057:E1071" si="82">C1057</f>
        <v>42719</v>
      </c>
      <c r="F1057" s="80" t="s">
        <v>2495</v>
      </c>
      <c r="G1057" s="934" t="s">
        <v>2684</v>
      </c>
      <c r="H1057" s="310" t="s">
        <v>2511</v>
      </c>
      <c r="I1057" s="406">
        <v>2400</v>
      </c>
      <c r="J1057" s="406">
        <v>7500</v>
      </c>
      <c r="K1057" s="397"/>
      <c r="L1057" s="406"/>
      <c r="M1057" s="81">
        <f>ROUND(I1057*J1057,0)</f>
        <v>18000000</v>
      </c>
      <c r="N1057" s="82" t="s">
        <v>270</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x</v>
      </c>
      <c r="AC1057" s="82" t="str">
        <f>IF(AND(OR(LEFT(TH!N1057,2)="15",LEFT(TH!O1057,2)="15"),TK!$E$7=TH!F1057),"x","")</f>
        <v/>
      </c>
      <c r="AD1057" s="82" t="str">
        <f>IF(AND(N1057="1521",MONTH(C1057)='BK-NL'!$M$11),"x","")</f>
        <v/>
      </c>
      <c r="AE1057">
        <v>1</v>
      </c>
    </row>
    <row r="1058" spans="1:31" ht="18" customHeight="1">
      <c r="A1058" s="1160" t="str">
        <f>IF(B1058&lt;&gt;"",IF(AND(B1058='IN-TC'!$S$4,OR(TH!N1031="1111",TH!O1031="1111")),TH!D1031,""),"")</f>
        <v/>
      </c>
      <c r="B1058" s="948">
        <f t="shared" si="80"/>
        <v>12</v>
      </c>
      <c r="C1058" s="78">
        <v>42718</v>
      </c>
      <c r="D1058" s="78" t="s">
        <v>2665</v>
      </c>
      <c r="E1058" s="78">
        <f t="shared" si="82"/>
        <v>42718</v>
      </c>
      <c r="F1058" s="80" t="s">
        <v>2495</v>
      </c>
      <c r="G1058" s="934" t="s">
        <v>2683</v>
      </c>
      <c r="H1058" s="310" t="s">
        <v>2512</v>
      </c>
      <c r="I1058" s="406">
        <v>2400</v>
      </c>
      <c r="J1058" s="406">
        <v>7500</v>
      </c>
      <c r="K1058" s="397"/>
      <c r="L1058" s="406"/>
      <c r="M1058" s="81">
        <f>ROUND(I1058*J1058,0)</f>
        <v>18000000</v>
      </c>
      <c r="N1058" s="82" t="s">
        <v>270</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customHeight="1">
      <c r="A1059" s="1160" t="str">
        <f>IF(B1059&lt;&gt;"",IF(AND(B1059='IN-TC'!$S$4,OR(TH!N1032="1111",TH!O1032="1111")),TH!D1032,""),"")</f>
        <v/>
      </c>
      <c r="B1059" s="948">
        <f t="shared" si="80"/>
        <v>12</v>
      </c>
      <c r="C1059" s="78">
        <v>42718</v>
      </c>
      <c r="D1059" s="78" t="s">
        <v>2665</v>
      </c>
      <c r="E1059" s="78">
        <f t="shared" si="82"/>
        <v>42718</v>
      </c>
      <c r="F1059" s="80" t="s">
        <v>637</v>
      </c>
      <c r="G1059" s="934" t="s">
        <v>2683</v>
      </c>
      <c r="H1059" s="310" t="s">
        <v>2512</v>
      </c>
      <c r="I1059" s="406"/>
      <c r="J1059" s="406"/>
      <c r="K1059" s="397"/>
      <c r="L1059" s="406"/>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x</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customHeight="1">
      <c r="A1060" s="323" t="str">
        <f>IF(B1060&lt;&gt;"",IF(AND(B1060='IN-TC'!$S$4,OR(TH!N4393="1111",TH!O4393="1111")),TH!D4393,""),"")</f>
        <v/>
      </c>
      <c r="B1060" s="63">
        <f t="shared" si="80"/>
        <v>12</v>
      </c>
      <c r="C1060" s="64">
        <v>42724</v>
      </c>
      <c r="D1060" s="64" t="s">
        <v>2931</v>
      </c>
      <c r="E1060" s="64">
        <f t="shared" si="82"/>
        <v>42724</v>
      </c>
      <c r="F1060" s="72" t="s">
        <v>2622</v>
      </c>
      <c r="G1060" s="931" t="s">
        <v>2595</v>
      </c>
      <c r="H1060" s="72" t="s">
        <v>2596</v>
      </c>
      <c r="I1060" s="408"/>
      <c r="J1060" s="408"/>
      <c r="K1060" s="399"/>
      <c r="L1060" s="408"/>
      <c r="M1060" s="65">
        <v>1320000</v>
      </c>
      <c r="N1060" s="66" t="s">
        <v>8</v>
      </c>
      <c r="O1060" s="66" t="s">
        <v>61</v>
      </c>
      <c r="P1060" s="82" t="str">
        <f>IF(AND('331-CT'!$E$7=TH!H1060,OR(N1060="331",O1060="331")),"x","")</f>
        <v/>
      </c>
      <c r="Q1060" s="82" t="str">
        <f>IF(AND(B1060='111'!$L$11,OR($N1060=$Q$7,$O1060=$Q$7)),"x","")</f>
        <v>x</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1" ht="15.75" customHeight="1">
      <c r="A1061" s="1160" t="str">
        <f>IF(B1061&lt;&gt;"",IF(AND(B1061='IN-TC'!$S$4,OR(TH!N1060="1111",TH!O1060="1111")),TH!D1060,""),"")</f>
        <v/>
      </c>
      <c r="B1061" s="948">
        <f t="shared" si="80"/>
        <v>12</v>
      </c>
      <c r="C1061" s="78">
        <v>42725</v>
      </c>
      <c r="D1061" s="78" t="s">
        <v>2772</v>
      </c>
      <c r="E1061" s="78">
        <f t="shared" si="82"/>
        <v>42725</v>
      </c>
      <c r="F1061" s="80" t="s">
        <v>2593</v>
      </c>
      <c r="G1061" s="934" t="s">
        <v>2667</v>
      </c>
      <c r="H1061" s="310" t="s">
        <v>2596</v>
      </c>
      <c r="I1061" s="406">
        <v>40000</v>
      </c>
      <c r="J1061" s="406">
        <v>300</v>
      </c>
      <c r="K1061" s="397"/>
      <c r="L1061" s="406"/>
      <c r="M1061" s="81">
        <f>ROUND(I1061*J1061,0)</f>
        <v>12000000</v>
      </c>
      <c r="N1061" s="82" t="s">
        <v>270</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customHeight="1">
      <c r="A1062" s="1160" t="str">
        <f>IF(B1062&lt;&gt;"",IF(AND(B1062='IN-TC'!$S$4,OR(TH!N1061="1111",TH!O1061="1111")),TH!D1061,""),"")</f>
        <v/>
      </c>
      <c r="B1062" s="948">
        <f t="shared" si="80"/>
        <v>12</v>
      </c>
      <c r="C1062" s="78">
        <v>42725</v>
      </c>
      <c r="D1062" s="78" t="s">
        <v>2772</v>
      </c>
      <c r="E1062" s="78">
        <f t="shared" si="82"/>
        <v>42725</v>
      </c>
      <c r="F1062" s="80" t="s">
        <v>2594</v>
      </c>
      <c r="G1062" s="934" t="s">
        <v>2667</v>
      </c>
      <c r="H1062" s="310" t="s">
        <v>2596</v>
      </c>
      <c r="I1062" s="406"/>
      <c r="J1062" s="406"/>
      <c r="K1062" s="397"/>
      <c r="L1062" s="406"/>
      <c r="M1062" s="81">
        <v>1200000</v>
      </c>
      <c r="N1062" s="82" t="s">
        <v>9</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x</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customHeight="1">
      <c r="A1063" s="323" t="str">
        <f>IF(B1063&lt;&gt;"",IF(AND(B1063='IN-TC'!$S$4,OR(TH!N4394="1111",TH!O4394="1111")),TH!D4394,""),"")</f>
        <v/>
      </c>
      <c r="B1063" s="63">
        <f t="shared" si="80"/>
        <v>12</v>
      </c>
      <c r="C1063" s="64">
        <v>42725</v>
      </c>
      <c r="D1063" s="64" t="s">
        <v>2936</v>
      </c>
      <c r="E1063" s="64">
        <f t="shared" si="82"/>
        <v>42725</v>
      </c>
      <c r="F1063" s="72" t="s">
        <v>2622</v>
      </c>
      <c r="G1063" s="931" t="s">
        <v>2667</v>
      </c>
      <c r="H1063" s="72" t="s">
        <v>2596</v>
      </c>
      <c r="I1063" s="408"/>
      <c r="J1063" s="408"/>
      <c r="K1063" s="399"/>
      <c r="L1063" s="408"/>
      <c r="M1063" s="65">
        <v>13200000</v>
      </c>
      <c r="N1063" s="66" t="s">
        <v>8</v>
      </c>
      <c r="O1063" s="66" t="s">
        <v>61</v>
      </c>
      <c r="P1063" s="82" t="str">
        <f>IF(AND('331-CT'!$E$7=TH!H1063,OR(N1063="331",O1063="331")),"x","")</f>
        <v/>
      </c>
      <c r="Q1063" s="82" t="str">
        <f>IF(AND(B1063='111'!$L$11,OR($N1063=$Q$7,$O1063=$Q$7)),"x","")</f>
        <v>x</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1" ht="15.75" customHeight="1">
      <c r="A1064" s="1160" t="str">
        <f>IF(B1064&lt;&gt;"",IF(AND(B1064='IN-TC'!$S$4,OR(TH!N1034="1111",TH!O1034="1111")),TH!D1034,""),"")</f>
        <v/>
      </c>
      <c r="B1064" s="948">
        <f t="shared" si="80"/>
        <v>12</v>
      </c>
      <c r="C1064" s="78">
        <v>42719</v>
      </c>
      <c r="D1064" s="78" t="s">
        <v>2666</v>
      </c>
      <c r="E1064" s="78">
        <f t="shared" si="82"/>
        <v>42719</v>
      </c>
      <c r="F1064" s="80" t="s">
        <v>637</v>
      </c>
      <c r="G1064" s="934" t="s">
        <v>2684</v>
      </c>
      <c r="H1064" s="310" t="s">
        <v>2511</v>
      </c>
      <c r="I1064" s="406"/>
      <c r="J1064" s="406"/>
      <c r="K1064" s="397"/>
      <c r="L1064" s="406"/>
      <c r="M1064" s="81">
        <v>1800000</v>
      </c>
      <c r="N1064" s="82" t="s">
        <v>9</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x</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E1064">
        <v>1</v>
      </c>
    </row>
    <row r="1065" spans="1:31" ht="15.75" customHeight="1">
      <c r="A1065" s="323" t="str">
        <f>IF(B1065&lt;&gt;"",IF(AND(B1065='IN-TC'!$S$4,OR(TH!N4368="1111",TH!O4368="1111")),TH!D4368,""),"")</f>
        <v/>
      </c>
      <c r="B1065" s="63">
        <f t="shared" si="80"/>
        <v>12</v>
      </c>
      <c r="C1065" s="64">
        <v>42719</v>
      </c>
      <c r="D1065" s="64" t="s">
        <v>950</v>
      </c>
      <c r="E1065" s="64">
        <f t="shared" si="82"/>
        <v>42719</v>
      </c>
      <c r="F1065" s="72" t="s">
        <v>2510</v>
      </c>
      <c r="G1065" s="931" t="s">
        <v>2684</v>
      </c>
      <c r="H1065" s="72" t="s">
        <v>2511</v>
      </c>
      <c r="I1065" s="408"/>
      <c r="J1065" s="408"/>
      <c r="K1065" s="399"/>
      <c r="L1065" s="408"/>
      <c r="M1065" s="65">
        <v>19800000</v>
      </c>
      <c r="N1065" s="66" t="s">
        <v>8</v>
      </c>
      <c r="O1065" s="66" t="s">
        <v>61</v>
      </c>
      <c r="P1065" s="82" t="str">
        <f>IF(AND('331-CT'!$E$7=TH!H1065,OR(N1065="331",O1065="331")),"x","")</f>
        <v/>
      </c>
      <c r="Q1065" s="82" t="str">
        <f>IF(AND(B1065='111'!$L$11,OR($N1065=$Q$7,$O1065=$Q$7)),"x","")</f>
        <v>x</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1" ht="18" customHeight="1">
      <c r="A1066" s="323" t="str">
        <f>IF(B1066&lt;&gt;"",IF(AND(B1066='IN-TC'!$S$4,OR(TH!N4361="1111",TH!O4361="1111")),TH!D4361,""),"")</f>
        <v/>
      </c>
      <c r="B1066" s="63">
        <f t="shared" si="80"/>
        <v>12</v>
      </c>
      <c r="C1066" s="64">
        <v>42718</v>
      </c>
      <c r="D1066" s="64" t="s">
        <v>898</v>
      </c>
      <c r="E1066" s="64">
        <f t="shared" si="82"/>
        <v>42718</v>
      </c>
      <c r="F1066" s="72" t="s">
        <v>2510</v>
      </c>
      <c r="G1066" s="931" t="s">
        <v>2683</v>
      </c>
      <c r="H1066" s="72" t="s">
        <v>2512</v>
      </c>
      <c r="I1066" s="408"/>
      <c r="J1066" s="408"/>
      <c r="K1066" s="399"/>
      <c r="L1066" s="408"/>
      <c r="M1066" s="65">
        <v>19800000</v>
      </c>
      <c r="N1066" s="66" t="s">
        <v>8</v>
      </c>
      <c r="O1066" s="66" t="s">
        <v>61</v>
      </c>
      <c r="P1066" s="82" t="str">
        <f>IF(AND('331-CT'!$E$7=TH!H1066,OR(N1066="331",O1066="331")),"x","")</f>
        <v/>
      </c>
      <c r="Q1066" s="82" t="str">
        <f>IF(AND(B1066='111'!$L$11,OR($N1066=$Q$7,$O1066=$Q$7)),"x","")</f>
        <v>x</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row>
    <row r="1067" spans="1:31" ht="15.75" customHeight="1">
      <c r="A1067" s="1160" t="str">
        <f>IF(B1067&lt;&gt;"",IF(AND(B1067='IN-TC'!$S$4,OR(TH!N1035="1111",TH!O1035="1111")),TH!D1035,""),"")</f>
        <v/>
      </c>
      <c r="B1067" s="948">
        <f t="shared" si="80"/>
        <v>12</v>
      </c>
      <c r="C1067" s="78">
        <v>42719</v>
      </c>
      <c r="D1067" s="78" t="s">
        <v>2685</v>
      </c>
      <c r="E1067" s="78">
        <f t="shared" si="82"/>
        <v>42719</v>
      </c>
      <c r="F1067" s="80" t="s">
        <v>2495</v>
      </c>
      <c r="G1067" s="934" t="s">
        <v>2686</v>
      </c>
      <c r="H1067" s="310" t="s">
        <v>2512</v>
      </c>
      <c r="I1067" s="406">
        <v>2400</v>
      </c>
      <c r="J1067" s="406">
        <v>7500</v>
      </c>
      <c r="K1067" s="397"/>
      <c r="L1067" s="406"/>
      <c r="M1067" s="81">
        <f>ROUND(I1067*J1067,0)</f>
        <v>18000000</v>
      </c>
      <c r="N1067" s="82" t="s">
        <v>270</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x</v>
      </c>
      <c r="AC1067" s="82" t="str">
        <f>IF(AND(OR(LEFT(TH!N1067,2)="15",LEFT(TH!O1067,2)="15"),TK!$E$7=TH!F1067),"x","")</f>
        <v/>
      </c>
      <c r="AD1067" s="82" t="str">
        <f>IF(AND(N1067="1521",MONTH(C1067)='BK-NL'!$M$11),"x","")</f>
        <v/>
      </c>
      <c r="AE1067">
        <v>1</v>
      </c>
    </row>
    <row r="1068" spans="1:31" ht="15.75" customHeight="1">
      <c r="A1068" s="1160" t="str">
        <f>IF(B1068&lt;&gt;"",IF(AND(B1068='IN-TC'!$S$4,OR(TH!N1037="1111",TH!O1037="1111")),TH!D1037,""),"")</f>
        <v/>
      </c>
      <c r="B1068" s="948">
        <f t="shared" si="80"/>
        <v>12</v>
      </c>
      <c r="C1068" s="78">
        <v>42720</v>
      </c>
      <c r="D1068" s="78" t="s">
        <v>2687</v>
      </c>
      <c r="E1068" s="78">
        <f t="shared" si="82"/>
        <v>42720</v>
      </c>
      <c r="F1068" s="80" t="s">
        <v>2495</v>
      </c>
      <c r="G1068" s="934" t="s">
        <v>2688</v>
      </c>
      <c r="H1068" s="310" t="s">
        <v>2511</v>
      </c>
      <c r="I1068" s="406">
        <v>2400</v>
      </c>
      <c r="J1068" s="406">
        <v>7500</v>
      </c>
      <c r="K1068" s="397"/>
      <c r="L1068" s="406"/>
      <c r="M1068" s="81">
        <f>ROUND(I1068*J1068,0)</f>
        <v>18000000</v>
      </c>
      <c r="N1068" s="82" t="s">
        <v>270</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customHeight="1">
      <c r="A1069" s="1160" t="str">
        <f>IF(B1069&lt;&gt;"",IF(AND(B1069='IN-TC'!$S$4,OR(TH!N1038="1111",TH!O1038="1111")),TH!D1038,""),"")</f>
        <v/>
      </c>
      <c r="B1069" s="948">
        <f t="shared" si="80"/>
        <v>12</v>
      </c>
      <c r="C1069" s="78">
        <v>42720</v>
      </c>
      <c r="D1069" s="78" t="s">
        <v>2687</v>
      </c>
      <c r="E1069" s="78">
        <f t="shared" si="82"/>
        <v>42720</v>
      </c>
      <c r="F1069" s="80" t="s">
        <v>637</v>
      </c>
      <c r="G1069" s="934" t="s">
        <v>2688</v>
      </c>
      <c r="H1069" s="310" t="s">
        <v>2511</v>
      </c>
      <c r="I1069" s="406"/>
      <c r="J1069" s="406"/>
      <c r="K1069" s="397"/>
      <c r="L1069" s="406"/>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x</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customHeight="1">
      <c r="A1070" s="323" t="str">
        <f>IF(B1070&lt;&gt;"",IF(AND(B1070='IN-TC'!$S$4,OR(TH!N774="1111",TH!O774="1111")),TH!D774,""),"")</f>
        <v/>
      </c>
      <c r="B1070" s="63">
        <f t="shared" ref="B1070:B1133" si="83">IF(C1070&lt;&gt;"",MONTH(C1070),"")</f>
        <v>4</v>
      </c>
      <c r="C1070" s="64">
        <v>42471</v>
      </c>
      <c r="D1070" s="1077" t="s">
        <v>666</v>
      </c>
      <c r="E1070" s="78">
        <f t="shared" si="82"/>
        <v>42471</v>
      </c>
      <c r="F1070" s="80" t="s">
        <v>349</v>
      </c>
      <c r="G1070" s="934" t="s">
        <v>1393</v>
      </c>
      <c r="H1070" s="80" t="s">
        <v>611</v>
      </c>
      <c r="I1070" s="406">
        <v>6750</v>
      </c>
      <c r="J1070" s="406">
        <v>14728</v>
      </c>
      <c r="K1070" s="397"/>
      <c r="L1070" s="406"/>
      <c r="M1070" s="81">
        <f>ROUND(I1070*J1070,0)</f>
        <v>99414000</v>
      </c>
      <c r="N1070" s="82" t="s">
        <v>270</v>
      </c>
      <c r="O1070" s="82"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1" ht="15.75" customHeight="1">
      <c r="A1071" s="323" t="str">
        <f>IF(B1071&lt;&gt;"",IF(AND(B1071='IN-TC'!$S$4,OR(TH!N775="1111",TH!O775="1111")),TH!D775,""),"")</f>
        <v/>
      </c>
      <c r="B1071" s="63">
        <f t="shared" si="83"/>
        <v>4</v>
      </c>
      <c r="C1071" s="64">
        <v>42471</v>
      </c>
      <c r="D1071" s="1077" t="s">
        <v>666</v>
      </c>
      <c r="E1071" s="78">
        <f t="shared" si="82"/>
        <v>42471</v>
      </c>
      <c r="F1071" s="80" t="s">
        <v>1394</v>
      </c>
      <c r="G1071" s="934" t="s">
        <v>1393</v>
      </c>
      <c r="H1071" s="80" t="s">
        <v>611</v>
      </c>
      <c r="I1071" s="406"/>
      <c r="J1071" s="406"/>
      <c r="K1071" s="397"/>
      <c r="L1071" s="406"/>
      <c r="M1071" s="81">
        <v>9941400</v>
      </c>
      <c r="N1071" s="82" t="s">
        <v>9</v>
      </c>
      <c r="O1071" s="82"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x</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1" ht="15.75" customHeight="1">
      <c r="A1072" s="323" t="str">
        <f>IF(B1072&lt;&gt;"",IF(AND(B1072='IN-TC'!$S$4,OR(TH!N2940="1111",TH!O2940="1111")),TH!D2940,""),"")</f>
        <v/>
      </c>
      <c r="B1072" s="63">
        <f t="shared" si="83"/>
        <v>4</v>
      </c>
      <c r="C1072" s="64">
        <f>E1072</f>
        <v>42485</v>
      </c>
      <c r="D1072" s="64" t="s">
        <v>690</v>
      </c>
      <c r="E1072" s="64">
        <v>42485</v>
      </c>
      <c r="F1072" s="72" t="s">
        <v>1196</v>
      </c>
      <c r="G1072" s="931" t="s">
        <v>902</v>
      </c>
      <c r="H1072" s="75" t="s">
        <v>611</v>
      </c>
      <c r="I1072" s="408"/>
      <c r="J1072" s="408"/>
      <c r="K1072" s="399"/>
      <c r="L1072" s="408"/>
      <c r="M1072" s="65">
        <v>35536000</v>
      </c>
      <c r="N1072" s="66" t="s">
        <v>8</v>
      </c>
      <c r="O1072" s="66" t="s">
        <v>25</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1" ht="15.75" customHeight="1">
      <c r="A1073" s="323" t="str">
        <f>IF(B1073&lt;&gt;"",IF(AND(B1073='IN-TC'!$S$4,OR(TH!N3440="1111",TH!O3440="1111")),TH!D3440,""),"")</f>
        <v/>
      </c>
      <c r="B1073" s="63">
        <f t="shared" si="83"/>
        <v>7</v>
      </c>
      <c r="C1073" s="64">
        <v>42566</v>
      </c>
      <c r="D1073" s="64" t="s">
        <v>690</v>
      </c>
      <c r="E1073" s="64">
        <f t="shared" ref="E1073:E1104" si="84">C1073</f>
        <v>42566</v>
      </c>
      <c r="F1073" s="72" t="s">
        <v>1196</v>
      </c>
      <c r="G1073" s="67" t="s">
        <v>902</v>
      </c>
      <c r="H1073" s="72" t="s">
        <v>611</v>
      </c>
      <c r="I1073" s="408"/>
      <c r="J1073" s="408"/>
      <c r="K1073" s="399"/>
      <c r="L1073" s="408"/>
      <c r="M1073" s="65">
        <v>50000000</v>
      </c>
      <c r="N1073" s="66" t="s">
        <v>8</v>
      </c>
      <c r="O1073" s="66" t="s">
        <v>25</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row>
    <row r="1074" spans="1:31" ht="18" customHeight="1">
      <c r="A1074" s="323" t="str">
        <f>IF(B1074&lt;&gt;"",IF(AND(B1074='IN-TC'!$S$4,OR(TH!N4372="1111",TH!O4372="1111")),TH!D4372,""),"")</f>
        <v/>
      </c>
      <c r="B1074" s="63">
        <f t="shared" si="83"/>
        <v>12</v>
      </c>
      <c r="C1074" s="64">
        <v>42720</v>
      </c>
      <c r="D1074" s="64" t="s">
        <v>1367</v>
      </c>
      <c r="E1074" s="64">
        <f t="shared" si="84"/>
        <v>42720</v>
      </c>
      <c r="F1074" s="72" t="s">
        <v>2510</v>
      </c>
      <c r="G1074" s="931" t="s">
        <v>2688</v>
      </c>
      <c r="H1074" s="72" t="s">
        <v>2511</v>
      </c>
      <c r="I1074" s="408"/>
      <c r="J1074" s="408"/>
      <c r="K1074" s="399"/>
      <c r="L1074" s="408"/>
      <c r="M1074" s="65">
        <v>19800000</v>
      </c>
      <c r="N1074" s="66" t="s">
        <v>8</v>
      </c>
      <c r="O1074" s="66" t="s">
        <v>61</v>
      </c>
      <c r="P1074" s="82" t="str">
        <f>IF(AND('331-CT'!$E$7=TH!H1074,OR(N1074="331",O1074="331")),"x","")</f>
        <v/>
      </c>
      <c r="Q1074" s="82" t="str">
        <f>IF(AND(B1074='111'!$L$11,OR($N1074=$Q$7,$O1074=$Q$7)),"x","")</f>
        <v>x</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row>
    <row r="1075" spans="1:31" ht="15.75" customHeight="1">
      <c r="A1075" s="1160" t="str">
        <f>IF(B1075&lt;&gt;"",IF(AND(B1075='IN-TC'!$S$4,OR(TH!N1041="1111",TH!O1041="1111")),TH!D1041,""),"")</f>
        <v/>
      </c>
      <c r="B1075" s="948">
        <f t="shared" si="83"/>
        <v>12</v>
      </c>
      <c r="C1075" s="78">
        <v>42721</v>
      </c>
      <c r="D1075" s="78" t="s">
        <v>2690</v>
      </c>
      <c r="E1075" s="78">
        <f t="shared" si="84"/>
        <v>42721</v>
      </c>
      <c r="F1075" s="80" t="s">
        <v>2495</v>
      </c>
      <c r="G1075" s="934" t="s">
        <v>2380</v>
      </c>
      <c r="H1075" s="310" t="s">
        <v>2511</v>
      </c>
      <c r="I1075" s="406">
        <v>2400</v>
      </c>
      <c r="J1075" s="406">
        <v>7500</v>
      </c>
      <c r="K1075" s="397"/>
      <c r="L1075" s="406"/>
      <c r="M1075" s="81">
        <f>ROUND(I1075*J1075,0)</f>
        <v>18000000</v>
      </c>
      <c r="N1075" s="82" t="s">
        <v>270</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x</v>
      </c>
      <c r="AC1075" s="82" t="str">
        <f>IF(AND(OR(LEFT(TH!N1075,2)="15",LEFT(TH!O1075,2)="15"),TK!$E$7=TH!F1075),"x","")</f>
        <v/>
      </c>
      <c r="AD1075" s="82" t="str">
        <f>IF(AND(N1075="1521",MONTH(C1075)='BK-NL'!$M$11),"x","")</f>
        <v/>
      </c>
      <c r="AE1075">
        <v>1</v>
      </c>
    </row>
    <row r="1076" spans="1:31" ht="15.75" customHeight="1">
      <c r="A1076" s="1160" t="str">
        <f>IF(B1076&lt;&gt;"",IF(AND(B1076='IN-TC'!$S$4,OR(TH!N1036="1111",TH!O1036="1111")),TH!D1036,""),"")</f>
        <v/>
      </c>
      <c r="B1076" s="948">
        <f t="shared" si="83"/>
        <v>12</v>
      </c>
      <c r="C1076" s="78">
        <v>42719</v>
      </c>
      <c r="D1076" s="78" t="s">
        <v>2685</v>
      </c>
      <c r="E1076" s="78">
        <f t="shared" si="84"/>
        <v>42719</v>
      </c>
      <c r="F1076" s="80" t="s">
        <v>637</v>
      </c>
      <c r="G1076" s="934" t="s">
        <v>2686</v>
      </c>
      <c r="H1076" s="310" t="s">
        <v>2512</v>
      </c>
      <c r="I1076" s="406"/>
      <c r="J1076" s="406"/>
      <c r="K1076" s="397"/>
      <c r="L1076" s="406"/>
      <c r="M1076" s="81">
        <v>1800000</v>
      </c>
      <c r="N1076" s="82" t="s">
        <v>9</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x</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E1076">
        <v>1</v>
      </c>
    </row>
    <row r="1077" spans="1:31" ht="15.75" customHeight="1">
      <c r="A1077" s="323" t="str">
        <f>IF(B1077&lt;&gt;"",IF(AND(B1077='IN-TC'!$S$4,OR(TH!N4369="1111",TH!O4369="1111")),TH!D4369,""),"")</f>
        <v/>
      </c>
      <c r="B1077" s="63">
        <f t="shared" si="83"/>
        <v>12</v>
      </c>
      <c r="C1077" s="64">
        <v>42719</v>
      </c>
      <c r="D1077" s="64" t="s">
        <v>951</v>
      </c>
      <c r="E1077" s="64">
        <f t="shared" si="84"/>
        <v>42719</v>
      </c>
      <c r="F1077" s="72" t="s">
        <v>2510</v>
      </c>
      <c r="G1077" s="931" t="s">
        <v>2686</v>
      </c>
      <c r="H1077" s="72" t="s">
        <v>2512</v>
      </c>
      <c r="I1077" s="408"/>
      <c r="J1077" s="408"/>
      <c r="K1077" s="399"/>
      <c r="L1077" s="408"/>
      <c r="M1077" s="65">
        <v>19800000</v>
      </c>
      <c r="N1077" s="66" t="s">
        <v>8</v>
      </c>
      <c r="O1077" s="66" t="s">
        <v>61</v>
      </c>
      <c r="P1077" s="82" t="str">
        <f>IF(AND('331-CT'!$E$7=TH!H1077,OR(N1077="331",O1077="331")),"x","")</f>
        <v/>
      </c>
      <c r="Q1077" s="82" t="str">
        <f>IF(AND(B1077='111'!$L$11,OR($N1077=$Q$7,$O1077=$Q$7)),"x","")</f>
        <v>x</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1" ht="15.75" customHeight="1">
      <c r="A1078" s="1160" t="str">
        <f>IF(B1078&lt;&gt;"",IF(AND(B1078='IN-TC'!$S$4,OR(TH!N946="1111",TH!O946="1111")),TH!D946,""),"")</f>
        <v/>
      </c>
      <c r="B1078" s="948">
        <f t="shared" si="83"/>
        <v>11</v>
      </c>
      <c r="C1078" s="78">
        <v>42685</v>
      </c>
      <c r="D1078" s="78" t="s">
        <v>667</v>
      </c>
      <c r="E1078" s="78">
        <f t="shared" si="84"/>
        <v>42685</v>
      </c>
      <c r="F1078" s="1158" t="s">
        <v>394</v>
      </c>
      <c r="G1078" s="934" t="s">
        <v>2222</v>
      </c>
      <c r="H1078" s="310" t="s">
        <v>608</v>
      </c>
      <c r="I1078" s="406">
        <v>1076</v>
      </c>
      <c r="J1078" s="406">
        <v>13500</v>
      </c>
      <c r="K1078" s="397"/>
      <c r="L1078" s="406"/>
      <c r="M1078" s="81">
        <f>ROUND(I1078*J1078,0)</f>
        <v>14526000</v>
      </c>
      <c r="N1078" s="82" t="s">
        <v>270</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customHeight="1">
      <c r="A1079" s="1160" t="str">
        <f>IF(B1079&lt;&gt;"",IF(AND(B1079='IN-TC'!$S$4,OR(TH!N947="1111",TH!O947="1111")),TH!D947,""),"")</f>
        <v/>
      </c>
      <c r="B1079" s="948">
        <f t="shared" si="83"/>
        <v>11</v>
      </c>
      <c r="C1079" s="78">
        <v>42685</v>
      </c>
      <c r="D1079" s="78" t="s">
        <v>667</v>
      </c>
      <c r="E1079" s="78">
        <f t="shared" si="84"/>
        <v>42685</v>
      </c>
      <c r="F1079" s="1158" t="s">
        <v>394</v>
      </c>
      <c r="G1079" s="934" t="s">
        <v>2222</v>
      </c>
      <c r="H1079" s="310" t="s">
        <v>608</v>
      </c>
      <c r="I1079" s="406">
        <v>678</v>
      </c>
      <c r="J1079" s="406">
        <v>18200</v>
      </c>
      <c r="K1079" s="397"/>
      <c r="L1079" s="406"/>
      <c r="M1079" s="81">
        <f>ROUND(I1079*J1079,0)</f>
        <v>12339600</v>
      </c>
      <c r="N1079" s="82" t="s">
        <v>270</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customHeight="1">
      <c r="A1080" s="1160" t="str">
        <f>IF(B1080&lt;&gt;"",IF(AND(B1080='IN-TC'!$S$4,OR(TH!N948="1111",TH!O948="1111")),TH!D948,""),"")</f>
        <v/>
      </c>
      <c r="B1080" s="948">
        <f t="shared" si="83"/>
        <v>11</v>
      </c>
      <c r="C1080" s="78">
        <v>42685</v>
      </c>
      <c r="D1080" s="78" t="s">
        <v>667</v>
      </c>
      <c r="E1080" s="78">
        <f t="shared" si="84"/>
        <v>42685</v>
      </c>
      <c r="F1080" s="80" t="s">
        <v>637</v>
      </c>
      <c r="G1080" s="934" t="s">
        <v>2222</v>
      </c>
      <c r="H1080" s="310" t="s">
        <v>608</v>
      </c>
      <c r="I1080" s="406"/>
      <c r="J1080" s="406"/>
      <c r="K1080" s="397"/>
      <c r="L1080" s="406"/>
      <c r="M1080" s="81">
        <v>5351170</v>
      </c>
      <c r="N1080" s="82" t="s">
        <v>9</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x</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customHeight="1">
      <c r="A1081" s="1160" t="str">
        <f>IF(B1081&lt;&gt;"",IF(AND(B1081='IN-TC'!$S$4,OR(TH!N1078="1111",TH!O1078="1111")),TH!D1078,""),"")</f>
        <v/>
      </c>
      <c r="B1081" s="948">
        <f t="shared" si="83"/>
        <v>12</v>
      </c>
      <c r="C1081" s="78">
        <v>42728</v>
      </c>
      <c r="D1081" s="78" t="s">
        <v>2889</v>
      </c>
      <c r="E1081" s="78">
        <f t="shared" si="84"/>
        <v>42728</v>
      </c>
      <c r="F1081" s="80" t="s">
        <v>2887</v>
      </c>
      <c r="G1081" s="934" t="s">
        <v>2888</v>
      </c>
      <c r="H1081" s="310" t="s">
        <v>608</v>
      </c>
      <c r="I1081" s="406">
        <v>660</v>
      </c>
      <c r="J1081" s="406">
        <v>9200</v>
      </c>
      <c r="K1081" s="397"/>
      <c r="L1081" s="406"/>
      <c r="M1081" s="81">
        <f>ROUND(I1081*J1081,0)</f>
        <v>6072000</v>
      </c>
      <c r="N1081" s="82" t="s">
        <v>270</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customHeight="1">
      <c r="A1082" s="1160" t="str">
        <f>IF(B1082&lt;&gt;"",IF(AND(B1082='IN-TC'!$S$4,OR(TH!N1079="1111",TH!O1079="1111")),TH!D1079,""),"")</f>
        <v/>
      </c>
      <c r="B1082" s="948">
        <f t="shared" si="83"/>
        <v>12</v>
      </c>
      <c r="C1082" s="78">
        <v>42728</v>
      </c>
      <c r="D1082" s="78" t="s">
        <v>2889</v>
      </c>
      <c r="E1082" s="78">
        <f t="shared" si="84"/>
        <v>42728</v>
      </c>
      <c r="F1082" s="80" t="s">
        <v>637</v>
      </c>
      <c r="G1082" s="934" t="s">
        <v>2888</v>
      </c>
      <c r="H1082" s="310" t="s">
        <v>608</v>
      </c>
      <c r="I1082" s="406"/>
      <c r="J1082" s="406"/>
      <c r="K1082" s="397"/>
      <c r="L1082" s="406"/>
      <c r="M1082" s="81">
        <v>607200</v>
      </c>
      <c r="N1082" s="82" t="s">
        <v>9</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x</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customHeight="1">
      <c r="A1083" s="1160" t="str">
        <f>IF(B1083&lt;&gt;"",IF(AND(B1083='IN-TC'!$S$4,OR(TH!N1080="1111",TH!O1080="1111")),TH!D1080,""),"")</f>
        <v/>
      </c>
      <c r="B1083" s="948">
        <f t="shared" si="83"/>
        <v>12</v>
      </c>
      <c r="C1083" s="78">
        <v>42728</v>
      </c>
      <c r="D1083" s="78" t="s">
        <v>2889</v>
      </c>
      <c r="E1083" s="78">
        <f t="shared" si="84"/>
        <v>42728</v>
      </c>
      <c r="F1083" s="80" t="s">
        <v>1492</v>
      </c>
      <c r="G1083" s="934" t="s">
        <v>2888</v>
      </c>
      <c r="H1083" s="310" t="s">
        <v>608</v>
      </c>
      <c r="I1083" s="406">
        <v>303</v>
      </c>
      <c r="J1083" s="406">
        <v>13000</v>
      </c>
      <c r="K1083" s="397"/>
      <c r="L1083" s="406"/>
      <c r="M1083" s="81">
        <f>ROUND(I1083*J1083,0)</f>
        <v>3939000</v>
      </c>
      <c r="N1083" s="82" t="s">
        <v>270</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customHeight="1">
      <c r="A1084" s="1160" t="str">
        <f>IF(B1084&lt;&gt;"",IF(AND(B1084='IN-TC'!$S$4,OR(TH!N1081="1111",TH!O1081="1111")),TH!D1081,""),"")</f>
        <v/>
      </c>
      <c r="B1084" s="948">
        <f t="shared" si="83"/>
        <v>12</v>
      </c>
      <c r="C1084" s="78">
        <v>42728</v>
      </c>
      <c r="D1084" s="78" t="s">
        <v>2889</v>
      </c>
      <c r="E1084" s="78">
        <f t="shared" si="84"/>
        <v>42728</v>
      </c>
      <c r="F1084" s="80" t="s">
        <v>637</v>
      </c>
      <c r="G1084" s="934" t="s">
        <v>2888</v>
      </c>
      <c r="H1084" s="310" t="s">
        <v>608</v>
      </c>
      <c r="I1084" s="406"/>
      <c r="J1084" s="406"/>
      <c r="K1084" s="397"/>
      <c r="L1084" s="406"/>
      <c r="M1084" s="81">
        <v>393900</v>
      </c>
      <c r="N1084" s="82" t="s">
        <v>9</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x</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customHeight="1">
      <c r="A1085" s="1160" t="str">
        <f>IF(B1085&lt;&gt;"",IF(AND(B1085='IN-TC'!$S$4,OR(TH!N1082="1111",TH!O1082="1111")),TH!D1082,""),"")</f>
        <v/>
      </c>
      <c r="B1085" s="948">
        <f t="shared" si="83"/>
        <v>12</v>
      </c>
      <c r="C1085" s="78">
        <v>42728</v>
      </c>
      <c r="D1085" s="78" t="s">
        <v>2889</v>
      </c>
      <c r="E1085" s="78">
        <f t="shared" si="84"/>
        <v>42728</v>
      </c>
      <c r="F1085" s="80" t="s">
        <v>2887</v>
      </c>
      <c r="G1085" s="934" t="s">
        <v>2888</v>
      </c>
      <c r="H1085" s="310" t="s">
        <v>608</v>
      </c>
      <c r="I1085" s="406">
        <v>100</v>
      </c>
      <c r="J1085" s="406">
        <v>17000</v>
      </c>
      <c r="K1085" s="397"/>
      <c r="L1085" s="406"/>
      <c r="M1085" s="81">
        <f>ROUND(I1085*J1085,0)</f>
        <v>1700000</v>
      </c>
      <c r="N1085" s="82" t="s">
        <v>270</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customHeight="1">
      <c r="A1086" s="1160" t="str">
        <f>IF(B1086&lt;&gt;"",IF(AND(B1086='IN-TC'!$S$4,OR(TH!N1083="1111",TH!O1083="1111")),TH!D1083,""),"")</f>
        <v/>
      </c>
      <c r="B1086" s="948">
        <f t="shared" si="83"/>
        <v>12</v>
      </c>
      <c r="C1086" s="78">
        <v>42728</v>
      </c>
      <c r="D1086" s="78" t="s">
        <v>2889</v>
      </c>
      <c r="E1086" s="78">
        <f t="shared" si="84"/>
        <v>42728</v>
      </c>
      <c r="F1086" s="80" t="s">
        <v>637</v>
      </c>
      <c r="G1086" s="934" t="s">
        <v>2888</v>
      </c>
      <c r="H1086" s="310" t="s">
        <v>608</v>
      </c>
      <c r="I1086" s="406"/>
      <c r="J1086" s="406"/>
      <c r="K1086" s="397"/>
      <c r="L1086" s="406"/>
      <c r="M1086" s="81">
        <v>170000</v>
      </c>
      <c r="N1086" s="82" t="s">
        <v>9</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x</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customHeight="1">
      <c r="A1087" s="1160" t="str">
        <f>IF(B1087&lt;&gt;"",IF(AND(B1087='IN-TC'!$S$4,OR(TH!N1084="1111",TH!O1084="1111")),TH!D1084,""),"")</f>
        <v/>
      </c>
      <c r="B1087" s="948">
        <f t="shared" si="83"/>
        <v>12</v>
      </c>
      <c r="C1087" s="78">
        <v>42728</v>
      </c>
      <c r="D1087" s="78" t="s">
        <v>2889</v>
      </c>
      <c r="E1087" s="78">
        <f t="shared" si="84"/>
        <v>42728</v>
      </c>
      <c r="F1087" s="80" t="s">
        <v>385</v>
      </c>
      <c r="G1087" s="934" t="s">
        <v>2888</v>
      </c>
      <c r="H1087" s="310" t="s">
        <v>608</v>
      </c>
      <c r="I1087" s="406">
        <v>630</v>
      </c>
      <c r="J1087" s="406">
        <v>9500</v>
      </c>
      <c r="K1087" s="397"/>
      <c r="L1087" s="406"/>
      <c r="M1087" s="81">
        <f>ROUND(I1087*J1087,0)</f>
        <v>5985000</v>
      </c>
      <c r="N1087" s="82" t="s">
        <v>270</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customHeight="1">
      <c r="A1088" s="1160" t="str">
        <f>IF(B1088&lt;&gt;"",IF(AND(B1088='IN-TC'!$S$4,OR(TH!N1085="1111",TH!O1085="1111")),TH!D1085,""),"")</f>
        <v/>
      </c>
      <c r="B1088" s="948">
        <f t="shared" si="83"/>
        <v>12</v>
      </c>
      <c r="C1088" s="78">
        <v>42728</v>
      </c>
      <c r="D1088" s="78" t="s">
        <v>2889</v>
      </c>
      <c r="E1088" s="78">
        <f t="shared" si="84"/>
        <v>42728</v>
      </c>
      <c r="F1088" s="80" t="s">
        <v>637</v>
      </c>
      <c r="G1088" s="934" t="s">
        <v>2888</v>
      </c>
      <c r="H1088" s="310" t="s">
        <v>608</v>
      </c>
      <c r="I1088" s="406"/>
      <c r="J1088" s="406"/>
      <c r="K1088" s="397"/>
      <c r="L1088" s="406"/>
      <c r="M1088" s="81">
        <v>598500</v>
      </c>
      <c r="N1088" s="82" t="s">
        <v>9</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x</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customHeight="1">
      <c r="A1089" s="1160" t="str">
        <f>IF(B1089&lt;&gt;"",IF(AND(B1089='IN-TC'!$S$4,OR(TH!N1086="1111",TH!O1086="1111")),TH!D1086,""),"")</f>
        <v/>
      </c>
      <c r="B1089" s="948">
        <f t="shared" si="83"/>
        <v>12</v>
      </c>
      <c r="C1089" s="78">
        <v>42728</v>
      </c>
      <c r="D1089" s="78" t="s">
        <v>2889</v>
      </c>
      <c r="E1089" s="78">
        <f t="shared" si="84"/>
        <v>42728</v>
      </c>
      <c r="F1089" s="80" t="s">
        <v>383</v>
      </c>
      <c r="G1089" s="934" t="s">
        <v>2888</v>
      </c>
      <c r="H1089" s="310" t="s">
        <v>608</v>
      </c>
      <c r="I1089" s="406">
        <v>607</v>
      </c>
      <c r="J1089" s="406">
        <v>13500</v>
      </c>
      <c r="K1089" s="397"/>
      <c r="L1089" s="406"/>
      <c r="M1089" s="81">
        <f>ROUND(I1089*J1089,0)</f>
        <v>8194500</v>
      </c>
      <c r="N1089" s="82" t="s">
        <v>270</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customHeight="1">
      <c r="A1090" s="1160" t="str">
        <f>IF(B1090&lt;&gt;"",IF(AND(B1090='IN-TC'!$S$4,OR(TH!N1042="1111",TH!O1042="1111")),TH!D1042,""),"")</f>
        <v/>
      </c>
      <c r="B1090" s="948">
        <f t="shared" si="83"/>
        <v>12</v>
      </c>
      <c r="C1090" s="78">
        <v>42721</v>
      </c>
      <c r="D1090" s="78" t="s">
        <v>2690</v>
      </c>
      <c r="E1090" s="78">
        <f t="shared" si="84"/>
        <v>42721</v>
      </c>
      <c r="F1090" s="80" t="s">
        <v>637</v>
      </c>
      <c r="G1090" s="934" t="s">
        <v>2380</v>
      </c>
      <c r="H1090" s="310" t="s">
        <v>2511</v>
      </c>
      <c r="I1090" s="406"/>
      <c r="J1090" s="406"/>
      <c r="K1090" s="397"/>
      <c r="L1090" s="406"/>
      <c r="M1090" s="81">
        <v>1800000</v>
      </c>
      <c r="N1090" s="82" t="s">
        <v>9</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x</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c r="AE1090">
        <v>1</v>
      </c>
    </row>
    <row r="1091" spans="1:31" ht="15.75" customHeight="1">
      <c r="A1091" s="323" t="str">
        <f>IF(B1091&lt;&gt;"",IF(AND(B1091='IN-TC'!$S$4,OR(TH!N4377="1111",TH!O4377="1111")),TH!D4377,""),"")</f>
        <v/>
      </c>
      <c r="B1091" s="63">
        <f t="shared" si="83"/>
        <v>12</v>
      </c>
      <c r="C1091" s="64">
        <v>42721</v>
      </c>
      <c r="D1091" s="64" t="s">
        <v>2219</v>
      </c>
      <c r="E1091" s="64">
        <f t="shared" si="84"/>
        <v>42721</v>
      </c>
      <c r="F1091" s="72" t="s">
        <v>2510</v>
      </c>
      <c r="G1091" s="931" t="s">
        <v>2380</v>
      </c>
      <c r="H1091" s="72" t="s">
        <v>2511</v>
      </c>
      <c r="I1091" s="408"/>
      <c r="J1091" s="408"/>
      <c r="K1091" s="399"/>
      <c r="L1091" s="408"/>
      <c r="M1091" s="65">
        <v>19800000</v>
      </c>
      <c r="N1091" s="66" t="s">
        <v>8</v>
      </c>
      <c r="O1091" s="66" t="s">
        <v>61</v>
      </c>
      <c r="P1091" s="82" t="str">
        <f>IF(AND('331-CT'!$E$7=TH!H1091,OR(N1091="331",O1091="331")),"x","")</f>
        <v/>
      </c>
      <c r="Q1091" s="82" t="str">
        <f>IF(AND(B1091='111'!$L$11,OR($N1091=$Q$7,$O1091=$Q$7)),"x","")</f>
        <v>x</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1" ht="15.75" customHeight="1">
      <c r="A1092" s="1160" t="str">
        <f>IF(B1092&lt;&gt;"",IF(AND(B1092='IN-TC'!$S$4,OR(TH!N1045="1111",TH!O1045="1111")),TH!D1045,""),"")</f>
        <v/>
      </c>
      <c r="B1092" s="948">
        <f t="shared" si="83"/>
        <v>12</v>
      </c>
      <c r="C1092" s="78">
        <v>42722</v>
      </c>
      <c r="D1092" s="78" t="s">
        <v>2693</v>
      </c>
      <c r="E1092" s="78">
        <f t="shared" si="84"/>
        <v>42722</v>
      </c>
      <c r="F1092" s="80" t="s">
        <v>2495</v>
      </c>
      <c r="G1092" s="934" t="s">
        <v>2691</v>
      </c>
      <c r="H1092" s="310" t="s">
        <v>2511</v>
      </c>
      <c r="I1092" s="406">
        <v>2400</v>
      </c>
      <c r="J1092" s="406">
        <v>7500</v>
      </c>
      <c r="K1092" s="397"/>
      <c r="L1092" s="406"/>
      <c r="M1092" s="81">
        <f>ROUND(I1092*J1092,0)</f>
        <v>18000000</v>
      </c>
      <c r="N1092" s="82" t="s">
        <v>270</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customHeight="1">
      <c r="A1093" s="1160" t="str">
        <f>IF(B1093&lt;&gt;"",IF(AND(B1093='IN-TC'!$S$4,OR(TH!N1046="1111",TH!O1046="1111")),TH!D1046,""),"")</f>
        <v/>
      </c>
      <c r="B1093" s="948">
        <f t="shared" si="83"/>
        <v>12</v>
      </c>
      <c r="C1093" s="78">
        <v>42722</v>
      </c>
      <c r="D1093" s="78" t="s">
        <v>2693</v>
      </c>
      <c r="E1093" s="78">
        <f t="shared" si="84"/>
        <v>42722</v>
      </c>
      <c r="F1093" s="80" t="s">
        <v>637</v>
      </c>
      <c r="G1093" s="934" t="s">
        <v>2691</v>
      </c>
      <c r="H1093" s="310" t="s">
        <v>2511</v>
      </c>
      <c r="I1093" s="406"/>
      <c r="J1093" s="406"/>
      <c r="K1093" s="397"/>
      <c r="L1093" s="406"/>
      <c r="M1093" s="81">
        <v>1800000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x</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customHeight="1">
      <c r="A1094" s="323" t="str">
        <f>IF(B1094&lt;&gt;"",IF(AND(B1094='IN-TC'!$S$4,OR(TH!N4382="1111",TH!O4382="1111")),TH!D4382,""),"")</f>
        <v/>
      </c>
      <c r="B1094" s="63">
        <f t="shared" si="83"/>
        <v>12</v>
      </c>
      <c r="C1094" s="64">
        <v>42722</v>
      </c>
      <c r="D1094" s="64" t="s">
        <v>2924</v>
      </c>
      <c r="E1094" s="64">
        <f t="shared" si="84"/>
        <v>42722</v>
      </c>
      <c r="F1094" s="72" t="s">
        <v>2510</v>
      </c>
      <c r="G1094" s="931" t="s">
        <v>2691</v>
      </c>
      <c r="H1094" s="72" t="s">
        <v>2511</v>
      </c>
      <c r="I1094" s="408"/>
      <c r="J1094" s="408"/>
      <c r="K1094" s="399"/>
      <c r="L1094" s="408"/>
      <c r="M1094" s="65">
        <v>19800000</v>
      </c>
      <c r="N1094" s="66" t="s">
        <v>8</v>
      </c>
      <c r="O1094" s="66" t="s">
        <v>61</v>
      </c>
      <c r="P1094" s="82" t="str">
        <f>IF(AND('331-CT'!$E$7=TH!H1094,OR(N1094="331",O1094="331")),"x","")</f>
        <v/>
      </c>
      <c r="Q1094" s="82" t="str">
        <f>IF(AND(B1094='111'!$L$11,OR($N1094=$Q$7,$O1094=$Q$7)),"x","")</f>
        <v>x</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row>
    <row r="1095" spans="1:31" ht="15.75" customHeight="1">
      <c r="A1095" s="1160" t="str">
        <f>IF(B1095&lt;&gt;"",IF(AND(B1095='IN-TC'!$S$4,OR(TH!N1047="1111",TH!O1047="1111")),TH!D1047,""),"")</f>
        <v/>
      </c>
      <c r="B1095" s="948">
        <f t="shared" si="83"/>
        <v>12</v>
      </c>
      <c r="C1095" s="78">
        <v>42723</v>
      </c>
      <c r="D1095" s="78" t="s">
        <v>2765</v>
      </c>
      <c r="E1095" s="78">
        <f t="shared" si="84"/>
        <v>42723</v>
      </c>
      <c r="F1095" s="80" t="s">
        <v>2495</v>
      </c>
      <c r="G1095" s="934" t="s">
        <v>2107</v>
      </c>
      <c r="H1095" s="310" t="s">
        <v>2511</v>
      </c>
      <c r="I1095" s="406">
        <v>2400</v>
      </c>
      <c r="J1095" s="406">
        <v>7500</v>
      </c>
      <c r="K1095" s="397"/>
      <c r="L1095" s="406"/>
      <c r="M1095" s="81">
        <f>ROUND(I1095*J1095,0)</f>
        <v>18000000</v>
      </c>
      <c r="N1095" s="82" t="s">
        <v>270</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x</v>
      </c>
      <c r="AC1095" s="82" t="str">
        <f>IF(AND(OR(LEFT(TH!N1095,2)="15",LEFT(TH!O1095,2)="15"),TK!$E$7=TH!F1095),"x","")</f>
        <v/>
      </c>
      <c r="AD1095" s="82" t="str">
        <f>IF(AND(N1095="1521",MONTH(C1095)='BK-NL'!$M$11),"x","")</f>
        <v/>
      </c>
      <c r="AE1095">
        <v>1</v>
      </c>
    </row>
    <row r="1096" spans="1:31" ht="15.75" customHeight="1">
      <c r="A1096" s="1160" t="str">
        <f>IF(B1096&lt;&gt;"",IF(AND(B1096='IN-TC'!$S$4,OR(TH!N1039="1111",TH!O1039="1111")),TH!D1039,""),"")</f>
        <v/>
      </c>
      <c r="B1096" s="948">
        <f t="shared" si="83"/>
        <v>12</v>
      </c>
      <c r="C1096" s="78">
        <v>42720</v>
      </c>
      <c r="D1096" s="78" t="s">
        <v>2689</v>
      </c>
      <c r="E1096" s="78">
        <f t="shared" si="84"/>
        <v>42720</v>
      </c>
      <c r="F1096" s="80" t="s">
        <v>2495</v>
      </c>
      <c r="G1096" s="934" t="s">
        <v>1406</v>
      </c>
      <c r="H1096" s="310" t="s">
        <v>2512</v>
      </c>
      <c r="I1096" s="406">
        <v>2400</v>
      </c>
      <c r="J1096" s="406">
        <v>7500</v>
      </c>
      <c r="K1096" s="397"/>
      <c r="L1096" s="406"/>
      <c r="M1096" s="81">
        <f>ROUND(I1096*J1096,0)</f>
        <v>18000000</v>
      </c>
      <c r="N1096" s="82" t="s">
        <v>270</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customHeight="1">
      <c r="A1097" s="1160" t="str">
        <f>IF(B1097&lt;&gt;"",IF(AND(B1097='IN-TC'!$S$4,OR(TH!N1040="1111",TH!O1040="1111")),TH!D1040,""),"")</f>
        <v/>
      </c>
      <c r="B1097" s="948">
        <f t="shared" si="83"/>
        <v>12</v>
      </c>
      <c r="C1097" s="78">
        <v>42720</v>
      </c>
      <c r="D1097" s="78" t="s">
        <v>2689</v>
      </c>
      <c r="E1097" s="78">
        <f t="shared" si="84"/>
        <v>42720</v>
      </c>
      <c r="F1097" s="80" t="s">
        <v>637</v>
      </c>
      <c r="G1097" s="934" t="s">
        <v>1406</v>
      </c>
      <c r="H1097" s="310" t="s">
        <v>2512</v>
      </c>
      <c r="I1097" s="406"/>
      <c r="J1097" s="406"/>
      <c r="K1097" s="397"/>
      <c r="L1097" s="406"/>
      <c r="M1097" s="81">
        <v>1800000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x</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customHeight="1">
      <c r="A1098" s="1160" t="str">
        <f>IF(B1098&lt;&gt;"",IF(AND(B1098='IN-TC'!$S$4,OR(TH!N1048="1111",TH!O1048="1111")),TH!D1048,""),"")</f>
        <v/>
      </c>
      <c r="B1098" s="948">
        <f t="shared" si="83"/>
        <v>12</v>
      </c>
      <c r="C1098" s="78">
        <v>42723</v>
      </c>
      <c r="D1098" s="78" t="s">
        <v>2765</v>
      </c>
      <c r="E1098" s="78">
        <f t="shared" si="84"/>
        <v>42723</v>
      </c>
      <c r="F1098" s="80" t="s">
        <v>637</v>
      </c>
      <c r="G1098" s="934" t="s">
        <v>2107</v>
      </c>
      <c r="H1098" s="310" t="s">
        <v>2511</v>
      </c>
      <c r="I1098" s="406"/>
      <c r="J1098" s="406"/>
      <c r="K1098" s="397"/>
      <c r="L1098" s="406"/>
      <c r="M1098" s="81">
        <v>1800000</v>
      </c>
      <c r="N1098" s="82" t="s">
        <v>9</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x</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c r="AE1098">
        <v>1</v>
      </c>
    </row>
    <row r="1099" spans="1:31" ht="15.75" customHeight="1">
      <c r="A1099" s="323" t="str">
        <f>IF(B1099&lt;&gt;"",IF(AND(B1099='IN-TC'!$S$4,OR(TH!N4384="1111",TH!O4384="1111")),TH!D4384,""),"")</f>
        <v/>
      </c>
      <c r="B1099" s="63">
        <f t="shared" si="83"/>
        <v>12</v>
      </c>
      <c r="C1099" s="64">
        <v>42723</v>
      </c>
      <c r="D1099" s="64" t="s">
        <v>2925</v>
      </c>
      <c r="E1099" s="64">
        <f t="shared" si="84"/>
        <v>42723</v>
      </c>
      <c r="F1099" s="72" t="s">
        <v>2510</v>
      </c>
      <c r="G1099" s="931" t="s">
        <v>2107</v>
      </c>
      <c r="H1099" s="72" t="s">
        <v>2511</v>
      </c>
      <c r="I1099" s="408"/>
      <c r="J1099" s="408"/>
      <c r="K1099" s="399"/>
      <c r="L1099" s="408"/>
      <c r="M1099" s="65">
        <v>19800000</v>
      </c>
      <c r="N1099" s="66" t="s">
        <v>8</v>
      </c>
      <c r="O1099" s="66" t="s">
        <v>61</v>
      </c>
      <c r="P1099" s="82" t="str">
        <f>IF(AND('331-CT'!$E$7=TH!H1099,OR(N1099="331",O1099="331")),"x","")</f>
        <v/>
      </c>
      <c r="Q1099" s="82" t="str">
        <f>IF(AND(B1099='111'!$L$11,OR($N1099=$Q$7,$O1099=$Q$7)),"x","")</f>
        <v>x</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row>
    <row r="1100" spans="1:31" ht="15.75" customHeight="1">
      <c r="A1100" s="323" t="str">
        <f>IF(B1100&lt;&gt;"",IF(AND(B1100='IN-TC'!$S$4,OR(TH!N1100="1111",TH!O1100="1111")),TH!D1100,""),"")</f>
        <v/>
      </c>
      <c r="B1100" s="948">
        <f t="shared" si="83"/>
        <v>12</v>
      </c>
      <c r="C1100" s="1178">
        <v>42705</v>
      </c>
      <c r="D1100" s="64" t="s">
        <v>671</v>
      </c>
      <c r="E1100" s="64">
        <f t="shared" si="84"/>
        <v>42705</v>
      </c>
      <c r="F1100" s="1141" t="s">
        <v>338</v>
      </c>
      <c r="G1100" s="67"/>
      <c r="H1100" s="72" t="s">
        <v>439</v>
      </c>
      <c r="I1100" s="1177">
        <v>1000</v>
      </c>
      <c r="J1100" s="1177">
        <v>49027</v>
      </c>
      <c r="K1100" s="401"/>
      <c r="L1100" s="410"/>
      <c r="M1100" s="65">
        <f t="shared" ref="M1100:M1131" si="85">ROUND(I1100*J1100,0)</f>
        <v>49027000</v>
      </c>
      <c r="N1100" s="66" t="s">
        <v>276</v>
      </c>
      <c r="O1100" s="66" t="s">
        <v>270</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customHeight="1">
      <c r="A1101" s="323" t="str">
        <f>IF(B1101&lt;&gt;"",IF(AND(B1101='IN-TC'!$S$4,OR(TH!N1101="1111",TH!O1101="1111")),TH!D1101,""),"")</f>
        <v/>
      </c>
      <c r="B1101" s="948">
        <f t="shared" si="83"/>
        <v>12</v>
      </c>
      <c r="C1101" s="1178">
        <v>42705</v>
      </c>
      <c r="D1101" s="64" t="s">
        <v>671</v>
      </c>
      <c r="E1101" s="64">
        <f t="shared" si="84"/>
        <v>42705</v>
      </c>
      <c r="F1101" s="1141" t="s">
        <v>341</v>
      </c>
      <c r="G1101" s="67"/>
      <c r="H1101" s="72" t="s">
        <v>439</v>
      </c>
      <c r="I1101" s="1177">
        <v>1000</v>
      </c>
      <c r="J1101" s="1177">
        <v>15238.094999999999</v>
      </c>
      <c r="K1101" s="401"/>
      <c r="L1101" s="410"/>
      <c r="M1101" s="65">
        <f t="shared" si="85"/>
        <v>15238095</v>
      </c>
      <c r="N1101" s="66" t="s">
        <v>276</v>
      </c>
      <c r="O1101" s="66" t="s">
        <v>270</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customHeight="1">
      <c r="A1102" s="323" t="str">
        <f>IF(B1102&lt;&gt;"",IF(AND(B1102='IN-TC'!$S$4,OR(TH!N1102="1111",TH!O1102="1111")),TH!D1102,""),"")</f>
        <v/>
      </c>
      <c r="B1102" s="948">
        <f t="shared" si="83"/>
        <v>12</v>
      </c>
      <c r="C1102" s="1178">
        <v>42705</v>
      </c>
      <c r="D1102" s="64" t="s">
        <v>671</v>
      </c>
      <c r="E1102" s="64">
        <f t="shared" si="84"/>
        <v>42705</v>
      </c>
      <c r="F1102" s="1141" t="s">
        <v>346</v>
      </c>
      <c r="G1102" s="67"/>
      <c r="H1102" s="72" t="s">
        <v>439</v>
      </c>
      <c r="I1102" s="1177">
        <v>1000</v>
      </c>
      <c r="J1102" s="1177">
        <v>3200</v>
      </c>
      <c r="K1102" s="401"/>
      <c r="L1102" s="410"/>
      <c r="M1102" s="65">
        <f t="shared" si="85"/>
        <v>3200000</v>
      </c>
      <c r="N1102" s="66" t="s">
        <v>276</v>
      </c>
      <c r="O1102" s="66" t="s">
        <v>270</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customHeight="1">
      <c r="A1103" s="323" t="str">
        <f>IF(B1103&lt;&gt;"",IF(AND(B1103='IN-TC'!$S$4,OR(TH!N1103="1111",TH!O1103="1111")),TH!D1103,""),"")</f>
        <v/>
      </c>
      <c r="B1103" s="948">
        <f t="shared" si="83"/>
        <v>12</v>
      </c>
      <c r="C1103" s="1178">
        <v>42705</v>
      </c>
      <c r="D1103" s="64" t="s">
        <v>671</v>
      </c>
      <c r="E1103" s="64">
        <f t="shared" si="84"/>
        <v>42705</v>
      </c>
      <c r="F1103" s="1141" t="s">
        <v>349</v>
      </c>
      <c r="G1103" s="67"/>
      <c r="H1103" s="72" t="s">
        <v>439</v>
      </c>
      <c r="I1103" s="1177">
        <v>300</v>
      </c>
      <c r="J1103" s="1177">
        <v>14728</v>
      </c>
      <c r="K1103" s="401"/>
      <c r="L1103" s="410"/>
      <c r="M1103" s="65">
        <f t="shared" si="85"/>
        <v>4418400</v>
      </c>
      <c r="N1103" s="66" t="s">
        <v>276</v>
      </c>
      <c r="O1103" s="66" t="s">
        <v>270</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customHeight="1">
      <c r="A1104" s="323" t="str">
        <f>IF(B1104&lt;&gt;"",IF(AND(B1104='IN-TC'!$S$4,OR(TH!N1104="1111",TH!O1104="1111")),TH!D1104,""),"")</f>
        <v/>
      </c>
      <c r="B1104" s="948">
        <f t="shared" si="83"/>
        <v>12</v>
      </c>
      <c r="C1104" s="1178">
        <v>42705</v>
      </c>
      <c r="D1104" s="64" t="s">
        <v>672</v>
      </c>
      <c r="E1104" s="64">
        <f t="shared" si="84"/>
        <v>42705</v>
      </c>
      <c r="F1104" s="1141" t="s">
        <v>2005</v>
      </c>
      <c r="G1104" s="67"/>
      <c r="H1104" s="72" t="s">
        <v>439</v>
      </c>
      <c r="I1104" s="1185">
        <v>1</v>
      </c>
      <c r="J1104" s="1185">
        <v>10300</v>
      </c>
      <c r="K1104" s="401"/>
      <c r="L1104" s="410"/>
      <c r="M1104" s="65">
        <f t="shared" si="85"/>
        <v>10300</v>
      </c>
      <c r="N1104" s="66" t="s">
        <v>276</v>
      </c>
      <c r="O1104" s="66" t="s">
        <v>270</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customHeight="1">
      <c r="A1105" s="323" t="str">
        <f>IF(B1105&lt;&gt;"",IF(AND(B1105='IN-TC'!$S$4,OR(TH!N1105="1111",TH!O1105="1111")),TH!D1105,""),"")</f>
        <v/>
      </c>
      <c r="B1105" s="948">
        <f t="shared" si="83"/>
        <v>12</v>
      </c>
      <c r="C1105" s="1178">
        <v>42705</v>
      </c>
      <c r="D1105" s="64" t="s">
        <v>672</v>
      </c>
      <c r="E1105" s="64">
        <f t="shared" ref="E1105:E1132" si="86">C1105</f>
        <v>42705</v>
      </c>
      <c r="F1105" s="1141" t="s">
        <v>2005</v>
      </c>
      <c r="G1105" s="67"/>
      <c r="H1105" s="72" t="s">
        <v>439</v>
      </c>
      <c r="I1105" s="1185">
        <v>11</v>
      </c>
      <c r="J1105" s="1185">
        <v>10300</v>
      </c>
      <c r="K1105" s="401"/>
      <c r="L1105" s="410"/>
      <c r="M1105" s="65">
        <f t="shared" si="85"/>
        <v>113300</v>
      </c>
      <c r="N1105" s="66" t="s">
        <v>276</v>
      </c>
      <c r="O1105" s="66" t="s">
        <v>270</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customHeight="1">
      <c r="A1106" s="323" t="str">
        <f>IF(B1106&lt;&gt;"",IF(AND(B1106='IN-TC'!$S$4,OR(TH!N1106="1111",TH!O1106="1111")),TH!D1106,""),"")</f>
        <v/>
      </c>
      <c r="B1106" s="948">
        <f t="shared" si="83"/>
        <v>12</v>
      </c>
      <c r="C1106" s="1178">
        <v>42705</v>
      </c>
      <c r="D1106" s="64" t="s">
        <v>672</v>
      </c>
      <c r="E1106" s="64">
        <f t="shared" si="86"/>
        <v>42705</v>
      </c>
      <c r="F1106" s="1141" t="s">
        <v>2005</v>
      </c>
      <c r="G1106" s="67"/>
      <c r="H1106" s="72" t="s">
        <v>439</v>
      </c>
      <c r="I1106" s="1185">
        <v>10</v>
      </c>
      <c r="J1106" s="1185">
        <v>10300</v>
      </c>
      <c r="K1106" s="401"/>
      <c r="L1106" s="410"/>
      <c r="M1106" s="65">
        <f t="shared" si="85"/>
        <v>103000</v>
      </c>
      <c r="N1106" s="66" t="s">
        <v>276</v>
      </c>
      <c r="O1106" s="66" t="s">
        <v>270</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customHeight="1">
      <c r="A1107" s="323" t="str">
        <f>IF(B1107&lt;&gt;"",IF(AND(B1107='IN-TC'!$S$4,OR(TH!N1107="1111",TH!O1107="1111")),TH!D1107,""),"")</f>
        <v/>
      </c>
      <c r="B1107" s="948">
        <f t="shared" si="83"/>
        <v>12</v>
      </c>
      <c r="C1107" s="1178">
        <v>42705</v>
      </c>
      <c r="D1107" s="64" t="s">
        <v>672</v>
      </c>
      <c r="E1107" s="64">
        <f t="shared" si="86"/>
        <v>42705</v>
      </c>
      <c r="F1107" s="1141" t="s">
        <v>2005</v>
      </c>
      <c r="G1107" s="67"/>
      <c r="H1107" s="72" t="s">
        <v>439</v>
      </c>
      <c r="I1107" s="1185">
        <v>10</v>
      </c>
      <c r="J1107" s="1185">
        <v>10300</v>
      </c>
      <c r="K1107" s="401"/>
      <c r="L1107" s="410"/>
      <c r="M1107" s="65">
        <f t="shared" si="85"/>
        <v>103000</v>
      </c>
      <c r="N1107" s="66" t="s">
        <v>276</v>
      </c>
      <c r="O1107" s="66" t="s">
        <v>270</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customHeight="1">
      <c r="A1108" s="323" t="str">
        <f>IF(B1108&lt;&gt;"",IF(AND(B1108='IN-TC'!$S$4,OR(TH!N1108="1111",TH!O1108="1111")),TH!D1108,""),"")</f>
        <v/>
      </c>
      <c r="B1108" s="948">
        <f t="shared" si="83"/>
        <v>12</v>
      </c>
      <c r="C1108" s="1178">
        <v>42705</v>
      </c>
      <c r="D1108" s="64" t="s">
        <v>672</v>
      </c>
      <c r="E1108" s="64">
        <f t="shared" si="86"/>
        <v>42705</v>
      </c>
      <c r="F1108" s="1141" t="s">
        <v>2005</v>
      </c>
      <c r="G1108" s="67"/>
      <c r="H1108" s="72" t="s">
        <v>439</v>
      </c>
      <c r="I1108" s="1185">
        <v>7</v>
      </c>
      <c r="J1108" s="1185">
        <v>10300</v>
      </c>
      <c r="K1108" s="401"/>
      <c r="L1108" s="410"/>
      <c r="M1108" s="65">
        <f t="shared" si="85"/>
        <v>72100</v>
      </c>
      <c r="N1108" s="66" t="s">
        <v>276</v>
      </c>
      <c r="O1108" s="66" t="s">
        <v>270</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customHeight="1">
      <c r="A1109" s="323" t="str">
        <f>IF(B1109&lt;&gt;"",IF(AND(B1109='IN-TC'!$S$4,OR(TH!N1109="1111",TH!O1109="1111")),TH!D1109,""),"")</f>
        <v/>
      </c>
      <c r="B1109" s="948">
        <f t="shared" si="83"/>
        <v>12</v>
      </c>
      <c r="C1109" s="1178">
        <v>42705</v>
      </c>
      <c r="D1109" s="64" t="s">
        <v>672</v>
      </c>
      <c r="E1109" s="64">
        <f t="shared" si="86"/>
        <v>42705</v>
      </c>
      <c r="F1109" s="1180" t="s">
        <v>2005</v>
      </c>
      <c r="G1109" s="67"/>
      <c r="H1109" s="72" t="s">
        <v>439</v>
      </c>
      <c r="I1109" s="1185">
        <v>3</v>
      </c>
      <c r="J1109" s="1185">
        <v>10300</v>
      </c>
      <c r="K1109" s="401"/>
      <c r="L1109" s="410"/>
      <c r="M1109" s="65">
        <f t="shared" si="85"/>
        <v>30900</v>
      </c>
      <c r="N1109" s="66" t="s">
        <v>276</v>
      </c>
      <c r="O1109" s="66" t="s">
        <v>270</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customHeight="1">
      <c r="A1110" s="323" t="str">
        <f>IF(B1110&lt;&gt;"",IF(AND(B1110='IN-TC'!$S$4,OR(TH!N1110="1111",TH!O1110="1111")),TH!D1110,""),"")</f>
        <v/>
      </c>
      <c r="B1110" s="948">
        <f t="shared" si="83"/>
        <v>12</v>
      </c>
      <c r="C1110" s="1178">
        <v>42705</v>
      </c>
      <c r="D1110" s="64" t="s">
        <v>672</v>
      </c>
      <c r="E1110" s="64">
        <f t="shared" si="86"/>
        <v>42705</v>
      </c>
      <c r="F1110" s="1141" t="s">
        <v>2005</v>
      </c>
      <c r="G1110" s="67"/>
      <c r="H1110" s="72" t="s">
        <v>439</v>
      </c>
      <c r="I1110" s="1185">
        <v>5</v>
      </c>
      <c r="J1110" s="1185">
        <v>10300</v>
      </c>
      <c r="K1110" s="401"/>
      <c r="L1110" s="410"/>
      <c r="M1110" s="65">
        <f t="shared" si="85"/>
        <v>51500</v>
      </c>
      <c r="N1110" s="66" t="s">
        <v>276</v>
      </c>
      <c r="O1110" s="66" t="s">
        <v>270</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customHeight="1">
      <c r="A1111" s="323" t="str">
        <f>IF(B1111&lt;&gt;"",IF(AND(B1111='IN-TC'!$S$4,OR(TH!N1111="1111",TH!O1111="1111")),TH!D1111,""),"")</f>
        <v/>
      </c>
      <c r="B1111" s="948">
        <f t="shared" si="83"/>
        <v>12</v>
      </c>
      <c r="C1111" s="1178">
        <v>42705</v>
      </c>
      <c r="D1111" s="64" t="s">
        <v>672</v>
      </c>
      <c r="E1111" s="64">
        <f t="shared" si="86"/>
        <v>42705</v>
      </c>
      <c r="F1111" s="1180" t="s">
        <v>2005</v>
      </c>
      <c r="G1111" s="67"/>
      <c r="H1111" s="72" t="s">
        <v>439</v>
      </c>
      <c r="I1111" s="1185">
        <v>1</v>
      </c>
      <c r="J1111" s="1185">
        <v>10300</v>
      </c>
      <c r="K1111" s="401"/>
      <c r="L1111" s="410"/>
      <c r="M1111" s="65">
        <f t="shared" si="85"/>
        <v>10300</v>
      </c>
      <c r="N1111" s="66" t="s">
        <v>276</v>
      </c>
      <c r="O1111" s="66" t="s">
        <v>270</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customHeight="1">
      <c r="A1112" s="323" t="str">
        <f>IF(B1112&lt;&gt;"",IF(AND(B1112='IN-TC'!$S$4,OR(TH!N1112="1111",TH!O1112="1111")),TH!D1112,""),"")</f>
        <v/>
      </c>
      <c r="B1112" s="948">
        <f t="shared" si="83"/>
        <v>12</v>
      </c>
      <c r="C1112" s="1178">
        <v>42705</v>
      </c>
      <c r="D1112" s="64" t="s">
        <v>672</v>
      </c>
      <c r="E1112" s="64">
        <f t="shared" si="86"/>
        <v>42705</v>
      </c>
      <c r="F1112" s="1183" t="s">
        <v>2005</v>
      </c>
      <c r="G1112" s="67"/>
      <c r="H1112" s="72" t="s">
        <v>439</v>
      </c>
      <c r="I1112" s="1185">
        <v>22</v>
      </c>
      <c r="J1112" s="1185">
        <v>10300</v>
      </c>
      <c r="K1112" s="401"/>
      <c r="L1112" s="410"/>
      <c r="M1112" s="65">
        <f t="shared" si="85"/>
        <v>226600</v>
      </c>
      <c r="N1112" s="66" t="s">
        <v>276</v>
      </c>
      <c r="O1112" s="66" t="s">
        <v>270</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customHeight="1">
      <c r="A1113" s="323" t="str">
        <f>IF(B1113&lt;&gt;"",IF(AND(B1113='IN-TC'!$S$4,OR(TH!N1113="1111",TH!O1113="1111")),TH!D1113,""),"")</f>
        <v/>
      </c>
      <c r="B1113" s="948">
        <f t="shared" si="83"/>
        <v>12</v>
      </c>
      <c r="C1113" s="1178">
        <v>42706</v>
      </c>
      <c r="D1113" s="64" t="s">
        <v>673</v>
      </c>
      <c r="E1113" s="64">
        <f t="shared" si="86"/>
        <v>42706</v>
      </c>
      <c r="F1113" s="1141" t="s">
        <v>352</v>
      </c>
      <c r="G1113" s="67"/>
      <c r="H1113" s="72" t="s">
        <v>439</v>
      </c>
      <c r="I1113" s="1177">
        <v>200</v>
      </c>
      <c r="J1113" s="1177">
        <v>8000</v>
      </c>
      <c r="K1113" s="401"/>
      <c r="L1113" s="410"/>
      <c r="M1113" s="65">
        <f t="shared" si="85"/>
        <v>1600000</v>
      </c>
      <c r="N1113" s="66" t="s">
        <v>276</v>
      </c>
      <c r="O1113" s="66" t="s">
        <v>270</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customHeight="1">
      <c r="A1114" s="323" t="str">
        <f>IF(B1114&lt;&gt;"",IF(AND(B1114='IN-TC'!$S$4,OR(TH!N1114="1111",TH!O1114="1111")),TH!D1114,""),"")</f>
        <v/>
      </c>
      <c r="B1114" s="948">
        <f t="shared" si="83"/>
        <v>12</v>
      </c>
      <c r="C1114" s="1178">
        <v>42706</v>
      </c>
      <c r="D1114" s="64" t="s">
        <v>673</v>
      </c>
      <c r="E1114" s="64">
        <f t="shared" si="86"/>
        <v>42706</v>
      </c>
      <c r="F1114" s="1141" t="s">
        <v>2495</v>
      </c>
      <c r="G1114" s="67"/>
      <c r="H1114" s="72" t="s">
        <v>439</v>
      </c>
      <c r="I1114" s="1185">
        <v>2000</v>
      </c>
      <c r="J1114" s="1185">
        <v>7500</v>
      </c>
      <c r="K1114" s="401"/>
      <c r="L1114" s="410"/>
      <c r="M1114" s="65">
        <f t="shared" si="85"/>
        <v>15000000</v>
      </c>
      <c r="N1114" s="66" t="s">
        <v>276</v>
      </c>
      <c r="O1114" s="66" t="s">
        <v>270</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customHeight="1">
      <c r="A1115" s="323" t="str">
        <f>IF(B1115&lt;&gt;"",IF(AND(B1115='IN-TC'!$S$4,OR(TH!N1533="1111",TH!O1533="1111")),TH!D1533,""),"")</f>
        <v/>
      </c>
      <c r="B1115" s="63">
        <f t="shared" si="83"/>
        <v>10</v>
      </c>
      <c r="C1115" s="1335">
        <v>42653</v>
      </c>
      <c r="D1115" s="90" t="s">
        <v>931</v>
      </c>
      <c r="E1115" s="90">
        <f t="shared" si="86"/>
        <v>42653</v>
      </c>
      <c r="F1115" s="91" t="s">
        <v>1952</v>
      </c>
      <c r="G1115" s="91" t="s">
        <v>2311</v>
      </c>
      <c r="H1115" s="92" t="s">
        <v>1198</v>
      </c>
      <c r="I1115" s="916">
        <v>35727</v>
      </c>
      <c r="J1115" s="1108">
        <v>18000</v>
      </c>
      <c r="K1115" s="1110"/>
      <c r="L1115" s="1109"/>
      <c r="M1115" s="93">
        <f t="shared" si="85"/>
        <v>643086000</v>
      </c>
      <c r="N1115" s="83" t="s">
        <v>276</v>
      </c>
      <c r="O1115" s="83" t="s">
        <v>268</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row>
    <row r="1116" spans="1:30" ht="15.75" customHeight="1">
      <c r="A1116" s="323" t="str">
        <f>IF(B1116&lt;&gt;"",IF(AND(B1116='IN-TC'!$S$4,OR(TH!N1535="1111",TH!O1535="1111")),TH!D1535,""),"")</f>
        <v/>
      </c>
      <c r="B1116" s="63">
        <f t="shared" si="83"/>
        <v>10</v>
      </c>
      <c r="C1116" s="1335">
        <v>42656</v>
      </c>
      <c r="D1116" s="90" t="s">
        <v>2264</v>
      </c>
      <c r="E1116" s="90">
        <f t="shared" si="86"/>
        <v>42656</v>
      </c>
      <c r="F1116" s="91" t="s">
        <v>1952</v>
      </c>
      <c r="G1116" s="91" t="s">
        <v>2311</v>
      </c>
      <c r="H1116" s="92" t="s">
        <v>1198</v>
      </c>
      <c r="I1116" s="916">
        <v>34995</v>
      </c>
      <c r="J1116" s="1108">
        <v>18000</v>
      </c>
      <c r="K1116" s="1110"/>
      <c r="L1116" s="1109"/>
      <c r="M1116" s="93">
        <f t="shared" si="85"/>
        <v>629910000</v>
      </c>
      <c r="N1116" s="83" t="s">
        <v>276</v>
      </c>
      <c r="O1116" s="83" t="s">
        <v>268</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0" ht="15.75" customHeight="1">
      <c r="A1117" s="323" t="str">
        <f>IF(B1117&lt;&gt;"",IF(AND(B1117='IN-TC'!$S$4,OR(TH!N1117="1111",TH!O1117="1111")),TH!D1117,""),"")</f>
        <v/>
      </c>
      <c r="B1117" s="948">
        <f t="shared" si="83"/>
        <v>12</v>
      </c>
      <c r="C1117" s="1178">
        <v>42709</v>
      </c>
      <c r="D1117" s="64" t="s">
        <v>676</v>
      </c>
      <c r="E1117" s="64">
        <f t="shared" si="86"/>
        <v>42709</v>
      </c>
      <c r="F1117" s="1176" t="s">
        <v>332</v>
      </c>
      <c r="G1117" s="67"/>
      <c r="H1117" s="72" t="s">
        <v>439</v>
      </c>
      <c r="I1117" s="1177">
        <v>613</v>
      </c>
      <c r="J1117" s="1177">
        <v>28900</v>
      </c>
      <c r="K1117" s="401"/>
      <c r="L1117" s="410"/>
      <c r="M1117" s="81">
        <f t="shared" si="85"/>
        <v>17715700</v>
      </c>
      <c r="N1117" s="66" t="s">
        <v>276</v>
      </c>
      <c r="O1117" s="66" t="s">
        <v>270</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customHeight="1">
      <c r="A1118" s="323" t="str">
        <f>IF(B1118&lt;&gt;"",IF(AND(B1118='IN-TC'!$S$4,OR(TH!N1118="1111",TH!O1118="1111")),TH!D1118,""),"")</f>
        <v/>
      </c>
      <c r="B1118" s="948">
        <f t="shared" si="83"/>
        <v>12</v>
      </c>
      <c r="C1118" s="1178">
        <v>42710</v>
      </c>
      <c r="D1118" s="64" t="s">
        <v>2647</v>
      </c>
      <c r="E1118" s="64">
        <f t="shared" si="86"/>
        <v>42710</v>
      </c>
      <c r="F1118" s="1141" t="s">
        <v>2495</v>
      </c>
      <c r="G1118" s="67"/>
      <c r="H1118" s="72" t="s">
        <v>439</v>
      </c>
      <c r="I1118" s="1185">
        <v>7200</v>
      </c>
      <c r="J1118" s="1185">
        <v>7500</v>
      </c>
      <c r="K1118" s="401"/>
      <c r="L1118" s="410"/>
      <c r="M1118" s="65">
        <f t="shared" si="85"/>
        <v>54000000</v>
      </c>
      <c r="N1118" s="66" t="s">
        <v>276</v>
      </c>
      <c r="O1118" s="66" t="s">
        <v>270</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customHeight="1">
      <c r="A1119" s="323" t="str">
        <f>IF(B1119&lt;&gt;"",IF(AND(B1119='IN-TC'!$S$4,OR(TH!N1119="1111",TH!O1119="1111")),TH!D1119,""),"")</f>
        <v/>
      </c>
      <c r="B1119" s="948">
        <f t="shared" si="83"/>
        <v>12</v>
      </c>
      <c r="C1119" s="1178">
        <v>42710</v>
      </c>
      <c r="D1119" s="64" t="s">
        <v>2647</v>
      </c>
      <c r="E1119" s="64">
        <f t="shared" si="86"/>
        <v>42710</v>
      </c>
      <c r="F1119" s="1183" t="s">
        <v>2567</v>
      </c>
      <c r="G1119" s="67"/>
      <c r="H1119" s="72" t="s">
        <v>439</v>
      </c>
      <c r="I1119" s="1184">
        <v>370</v>
      </c>
      <c r="J1119" s="1184">
        <v>53000</v>
      </c>
      <c r="K1119" s="401"/>
      <c r="L1119" s="410"/>
      <c r="M1119" s="65">
        <f t="shared" si="85"/>
        <v>19610000</v>
      </c>
      <c r="N1119" s="66" t="s">
        <v>276</v>
      </c>
      <c r="O1119" s="66" t="s">
        <v>270</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customHeight="1">
      <c r="A1120" s="323" t="str">
        <f>IF(B1120&lt;&gt;"",IF(AND(B1120='IN-TC'!$S$4,OR(TH!N1120="1111",TH!O1120="1111")),TH!D1120,""),"")</f>
        <v/>
      </c>
      <c r="B1120" s="948">
        <f t="shared" si="83"/>
        <v>12</v>
      </c>
      <c r="C1120" s="1178">
        <v>42713</v>
      </c>
      <c r="D1120" s="64" t="s">
        <v>2648</v>
      </c>
      <c r="E1120" s="64">
        <f t="shared" si="86"/>
        <v>42713</v>
      </c>
      <c r="F1120" s="1141" t="s">
        <v>2495</v>
      </c>
      <c r="G1120" s="67"/>
      <c r="H1120" s="72" t="s">
        <v>439</v>
      </c>
      <c r="I1120" s="1185">
        <v>4800</v>
      </c>
      <c r="J1120" s="1185">
        <v>7500</v>
      </c>
      <c r="K1120" s="401"/>
      <c r="L1120" s="410"/>
      <c r="M1120" s="65">
        <f t="shared" si="85"/>
        <v>36000000</v>
      </c>
      <c r="N1120" s="66" t="s">
        <v>276</v>
      </c>
      <c r="O1120" s="66" t="s">
        <v>270</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customHeight="1">
      <c r="A1121" s="323" t="str">
        <f>IF(B1121&lt;&gt;"",IF(AND(B1121='IN-TC'!$S$4,OR(TH!N1121="1111",TH!O1121="1111")),TH!D1121,""),"")</f>
        <v/>
      </c>
      <c r="B1121" s="948">
        <f t="shared" si="83"/>
        <v>12</v>
      </c>
      <c r="C1121" s="1178">
        <v>42714</v>
      </c>
      <c r="D1121" s="64" t="s">
        <v>2649</v>
      </c>
      <c r="E1121" s="64">
        <f t="shared" si="86"/>
        <v>42714</v>
      </c>
      <c r="F1121" s="1180" t="s">
        <v>2005</v>
      </c>
      <c r="G1121" s="67"/>
      <c r="H1121" s="72" t="s">
        <v>439</v>
      </c>
      <c r="I1121" s="1185">
        <v>81</v>
      </c>
      <c r="J1121" s="1185">
        <v>10300</v>
      </c>
      <c r="K1121" s="401"/>
      <c r="L1121" s="410"/>
      <c r="M1121" s="65">
        <f t="shared" si="85"/>
        <v>834300</v>
      </c>
      <c r="N1121" s="66" t="s">
        <v>276</v>
      </c>
      <c r="O1121" s="66" t="s">
        <v>270</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customHeight="1">
      <c r="A1122" s="323" t="str">
        <f>IF(B1122&lt;&gt;"",IF(AND(B1122='IN-TC'!$S$4,OR(TH!N1122="1111",TH!O1122="1111")),TH!D1122,""),"")</f>
        <v/>
      </c>
      <c r="B1122" s="948">
        <f t="shared" si="83"/>
        <v>12</v>
      </c>
      <c r="C1122" s="1178">
        <v>42714</v>
      </c>
      <c r="D1122" s="64" t="s">
        <v>2649</v>
      </c>
      <c r="E1122" s="64">
        <f t="shared" si="86"/>
        <v>42714</v>
      </c>
      <c r="F1122" s="1180" t="s">
        <v>2005</v>
      </c>
      <c r="G1122" s="67"/>
      <c r="H1122" s="72" t="s">
        <v>439</v>
      </c>
      <c r="I1122" s="1185">
        <v>250</v>
      </c>
      <c r="J1122" s="1185">
        <v>10300</v>
      </c>
      <c r="K1122" s="401"/>
      <c r="L1122" s="410"/>
      <c r="M1122" s="65">
        <f t="shared" si="85"/>
        <v>2575000</v>
      </c>
      <c r="N1122" s="66" t="s">
        <v>276</v>
      </c>
      <c r="O1122" s="66" t="s">
        <v>270</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customHeight="1">
      <c r="A1123" s="323" t="str">
        <f>IF(B1123&lt;&gt;"",IF(AND(B1123='IN-TC'!$S$4,OR(TH!N1123="1111",TH!O1123="1111")),TH!D1123,""),"")</f>
        <v/>
      </c>
      <c r="B1123" s="948">
        <f t="shared" si="83"/>
        <v>12</v>
      </c>
      <c r="C1123" s="1178">
        <v>42714</v>
      </c>
      <c r="D1123" s="64" t="s">
        <v>2649</v>
      </c>
      <c r="E1123" s="64">
        <f t="shared" si="86"/>
        <v>42714</v>
      </c>
      <c r="F1123" s="1180" t="s">
        <v>2005</v>
      </c>
      <c r="G1123" s="67"/>
      <c r="H1123" s="72" t="s">
        <v>439</v>
      </c>
      <c r="I1123" s="1185">
        <v>264</v>
      </c>
      <c r="J1123" s="1185">
        <v>10300</v>
      </c>
      <c r="K1123" s="401"/>
      <c r="L1123" s="410"/>
      <c r="M1123" s="65">
        <f t="shared" si="85"/>
        <v>2719200</v>
      </c>
      <c r="N1123" s="66" t="s">
        <v>276</v>
      </c>
      <c r="O1123" s="66" t="s">
        <v>270</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customHeight="1">
      <c r="A1124" s="323" t="str">
        <f>IF(B1124&lt;&gt;"",IF(AND(B1124='IN-TC'!$S$4,OR(TH!N1124="1111",TH!O1124="1111")),TH!D1124,""),"")</f>
        <v/>
      </c>
      <c r="B1124" s="948">
        <f t="shared" si="83"/>
        <v>12</v>
      </c>
      <c r="C1124" s="1178">
        <v>42716</v>
      </c>
      <c r="D1124" s="64" t="s">
        <v>2650</v>
      </c>
      <c r="E1124" s="64">
        <f t="shared" si="86"/>
        <v>42716</v>
      </c>
      <c r="F1124" s="1141" t="s">
        <v>2495</v>
      </c>
      <c r="G1124" s="67"/>
      <c r="H1124" s="72" t="s">
        <v>439</v>
      </c>
      <c r="I1124" s="1185">
        <v>10400</v>
      </c>
      <c r="J1124" s="1185">
        <v>7500</v>
      </c>
      <c r="K1124" s="401"/>
      <c r="L1124" s="410"/>
      <c r="M1124" s="65">
        <f t="shared" si="85"/>
        <v>78000000</v>
      </c>
      <c r="N1124" s="66" t="s">
        <v>276</v>
      </c>
      <c r="O1124" s="66" t="s">
        <v>270</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customHeight="1">
      <c r="A1125" s="323" t="str">
        <f>IF(B1125&lt;&gt;"",IF(AND(B1125='IN-TC'!$S$4,OR(TH!N1125="1111",TH!O1125="1111")),TH!D1125,""),"")</f>
        <v/>
      </c>
      <c r="B1125" s="948">
        <f t="shared" si="83"/>
        <v>12</v>
      </c>
      <c r="C1125" s="1178">
        <v>42719</v>
      </c>
      <c r="D1125" s="64" t="s">
        <v>2885</v>
      </c>
      <c r="E1125" s="64">
        <f t="shared" si="86"/>
        <v>42719</v>
      </c>
      <c r="F1125" s="1141" t="s">
        <v>2495</v>
      </c>
      <c r="G1125" s="67"/>
      <c r="H1125" s="72" t="s">
        <v>439</v>
      </c>
      <c r="I1125" s="1185">
        <v>9600</v>
      </c>
      <c r="J1125" s="1185">
        <v>7500</v>
      </c>
      <c r="K1125" s="401"/>
      <c r="L1125" s="410"/>
      <c r="M1125" s="65">
        <f t="shared" si="85"/>
        <v>72000000</v>
      </c>
      <c r="N1125" s="66" t="s">
        <v>276</v>
      </c>
      <c r="O1125" s="66" t="s">
        <v>270</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customHeight="1">
      <c r="A1126" s="323" t="str">
        <f>IF(B1126&lt;&gt;"",IF(AND(B1126='IN-TC'!$S$4,OR(TH!N1126="1111",TH!O1126="1111")),TH!D1126,""),"")</f>
        <v/>
      </c>
      <c r="B1126" s="948">
        <f t="shared" si="83"/>
        <v>12</v>
      </c>
      <c r="C1126" s="1178">
        <v>42723</v>
      </c>
      <c r="D1126" s="64" t="s">
        <v>2651</v>
      </c>
      <c r="E1126" s="64">
        <f t="shared" si="86"/>
        <v>42723</v>
      </c>
      <c r="F1126" s="1141" t="s">
        <v>2495</v>
      </c>
      <c r="G1126" s="67"/>
      <c r="H1126" s="72" t="s">
        <v>439</v>
      </c>
      <c r="I1126" s="1185">
        <v>12180</v>
      </c>
      <c r="J1126" s="1185">
        <v>7500</v>
      </c>
      <c r="K1126" s="401"/>
      <c r="L1126" s="410"/>
      <c r="M1126" s="65">
        <f t="shared" si="85"/>
        <v>91350000</v>
      </c>
      <c r="N1126" s="66" t="s">
        <v>276</v>
      </c>
      <c r="O1126" s="66" t="s">
        <v>270</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customHeight="1">
      <c r="A1127" s="323" t="str">
        <f>IF(B1127&lt;&gt;"",IF(AND(B1127='IN-TC'!$S$4,OR(TH!N1127="1111",TH!O1127="1111")),TH!D1127,""),"")</f>
        <v/>
      </c>
      <c r="B1127" s="948">
        <f t="shared" si="83"/>
        <v>12</v>
      </c>
      <c r="C1127" s="1178">
        <v>42726</v>
      </c>
      <c r="D1127" s="64" t="s">
        <v>2652</v>
      </c>
      <c r="E1127" s="64">
        <f t="shared" si="86"/>
        <v>42726</v>
      </c>
      <c r="F1127" s="1141" t="s">
        <v>2495</v>
      </c>
      <c r="G1127" s="67"/>
      <c r="H1127" s="72" t="s">
        <v>439</v>
      </c>
      <c r="I1127" s="1185">
        <v>12089</v>
      </c>
      <c r="J1127" s="1185">
        <v>7500</v>
      </c>
      <c r="K1127" s="401"/>
      <c r="L1127" s="410"/>
      <c r="M1127" s="65">
        <f t="shared" si="85"/>
        <v>90667500</v>
      </c>
      <c r="N1127" s="66" t="s">
        <v>276</v>
      </c>
      <c r="O1127" s="66" t="s">
        <v>270</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customHeight="1">
      <c r="A1128" s="323" t="str">
        <f>IF(B1128&lt;&gt;"",IF(AND(B1128='IN-TC'!$S$4,OR(TH!N1128="1111",TH!O1128="1111")),TH!D1128,""),"")</f>
        <v/>
      </c>
      <c r="B1128" s="948">
        <f t="shared" si="83"/>
        <v>12</v>
      </c>
      <c r="C1128" s="1178">
        <v>42726</v>
      </c>
      <c r="D1128" s="64" t="s">
        <v>2652</v>
      </c>
      <c r="E1128" s="64">
        <f t="shared" si="86"/>
        <v>42726</v>
      </c>
      <c r="F1128" s="1141" t="s">
        <v>2593</v>
      </c>
      <c r="G1128" s="67"/>
      <c r="H1128" s="72" t="s">
        <v>439</v>
      </c>
      <c r="I1128" s="1185">
        <v>84000</v>
      </c>
      <c r="J1128" s="1185">
        <v>300</v>
      </c>
      <c r="K1128" s="401"/>
      <c r="L1128" s="410"/>
      <c r="M1128" s="65">
        <f t="shared" si="85"/>
        <v>25200000</v>
      </c>
      <c r="N1128" s="66" t="s">
        <v>276</v>
      </c>
      <c r="O1128" s="66" t="s">
        <v>270</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customHeight="1">
      <c r="A1129" s="323" t="str">
        <f>IF(B1129&lt;&gt;"",IF(AND(B1129='IN-TC'!$S$4,OR(TH!N1129="1111",TH!O1129="1111")),TH!D1129,""),"")</f>
        <v/>
      </c>
      <c r="B1129" s="948">
        <f t="shared" si="83"/>
        <v>12</v>
      </c>
      <c r="C1129" s="1178">
        <v>42727</v>
      </c>
      <c r="D1129" s="64" t="s">
        <v>2653</v>
      </c>
      <c r="E1129" s="64">
        <f t="shared" si="86"/>
        <v>42727</v>
      </c>
      <c r="F1129" s="1141" t="s">
        <v>349</v>
      </c>
      <c r="G1129" s="67"/>
      <c r="H1129" s="72" t="s">
        <v>439</v>
      </c>
      <c r="I1129" s="1177">
        <v>1000</v>
      </c>
      <c r="J1129" s="1181">
        <v>14728</v>
      </c>
      <c r="K1129" s="401"/>
      <c r="L1129" s="410"/>
      <c r="M1129" s="65">
        <f t="shared" si="85"/>
        <v>14728000</v>
      </c>
      <c r="N1129" s="66" t="s">
        <v>276</v>
      </c>
      <c r="O1129" s="66" t="s">
        <v>270</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customHeight="1">
      <c r="A1130" s="323" t="str">
        <f>IF(B1130&lt;&gt;"",IF(AND(B1130='IN-TC'!$S$4,OR(TH!N1130="1111",TH!O1130="1111")),TH!D1130,""),"")</f>
        <v/>
      </c>
      <c r="B1130" s="948">
        <f t="shared" si="83"/>
        <v>12</v>
      </c>
      <c r="C1130" s="1178">
        <v>42730</v>
      </c>
      <c r="D1130" s="64" t="s">
        <v>2654</v>
      </c>
      <c r="E1130" s="64">
        <f t="shared" si="86"/>
        <v>42730</v>
      </c>
      <c r="F1130" s="1141" t="s">
        <v>2495</v>
      </c>
      <c r="G1130" s="67"/>
      <c r="H1130" s="72" t="s">
        <v>439</v>
      </c>
      <c r="I1130" s="1185">
        <v>10800</v>
      </c>
      <c r="J1130" s="1185">
        <v>7500</v>
      </c>
      <c r="K1130" s="401"/>
      <c r="L1130" s="410"/>
      <c r="M1130" s="65">
        <f t="shared" si="85"/>
        <v>81000000</v>
      </c>
      <c r="N1130" s="66" t="s">
        <v>276</v>
      </c>
      <c r="O1130" s="66" t="s">
        <v>270</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customHeight="1">
      <c r="A1131" s="323" t="str">
        <f>IF(B1131&lt;&gt;"",IF(AND(B1131='IN-TC'!$S$4,OR(TH!N1131="1111",TH!O1131="1111")),TH!D1131,""),"")</f>
        <v/>
      </c>
      <c r="B1131" s="948">
        <f t="shared" si="83"/>
        <v>12</v>
      </c>
      <c r="C1131" s="1178">
        <v>42731</v>
      </c>
      <c r="D1131" s="64" t="s">
        <v>2909</v>
      </c>
      <c r="E1131" s="64">
        <f t="shared" si="86"/>
        <v>42731</v>
      </c>
      <c r="F1131" s="1141" t="s">
        <v>2495</v>
      </c>
      <c r="G1131" s="67"/>
      <c r="H1131" s="72" t="s">
        <v>439</v>
      </c>
      <c r="I1131" s="1185">
        <v>1575</v>
      </c>
      <c r="J1131" s="1185">
        <v>7500</v>
      </c>
      <c r="K1131" s="401"/>
      <c r="L1131" s="410"/>
      <c r="M1131" s="65">
        <f t="shared" si="85"/>
        <v>11812500</v>
      </c>
      <c r="N1131" s="66" t="s">
        <v>276</v>
      </c>
      <c r="O1131" s="66" t="s">
        <v>270</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customHeight="1">
      <c r="A1132" s="323" t="str">
        <f>IF(B1132&lt;&gt;"",IF(AND(B1132='IN-TC'!$S$4,OR(TH!N1536="1111",TH!O1536="1111")),TH!D1536,""),"")</f>
        <v/>
      </c>
      <c r="B1132" s="63">
        <f t="shared" si="83"/>
        <v>10</v>
      </c>
      <c r="C1132" s="1335">
        <v>42658</v>
      </c>
      <c r="D1132" s="90" t="s">
        <v>2265</v>
      </c>
      <c r="E1132" s="90">
        <f t="shared" si="86"/>
        <v>42658</v>
      </c>
      <c r="F1132" s="91" t="s">
        <v>1952</v>
      </c>
      <c r="G1132" s="91" t="s">
        <v>2311</v>
      </c>
      <c r="H1132" s="92" t="s">
        <v>1198</v>
      </c>
      <c r="I1132" s="916">
        <v>34798</v>
      </c>
      <c r="J1132" s="1108">
        <v>18000</v>
      </c>
      <c r="K1132" s="1110"/>
      <c r="L1132" s="1109"/>
      <c r="M1132" s="93">
        <f t="shared" ref="M1132:M1165" si="87">ROUND(I1132*J1132,0)</f>
        <v>626364000</v>
      </c>
      <c r="N1132" s="83" t="s">
        <v>276</v>
      </c>
      <c r="O1132" s="83" t="s">
        <v>268</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row>
    <row r="1133" spans="1:30" ht="15.75" customHeight="1">
      <c r="A1133" s="323" t="str">
        <f>IF(B1133&lt;&gt;"",IF(AND(B1133='IN-TC'!$S$4,OR(TH!N1133="1111",TH!O1133="1111")),TH!D1133,""),"")</f>
        <v/>
      </c>
      <c r="B1133" s="63">
        <f t="shared" si="83"/>
        <v>1</v>
      </c>
      <c r="C1133" s="78">
        <f t="shared" ref="C1133:C1144" si="88">E1133</f>
        <v>42374</v>
      </c>
      <c r="D1133" s="78" t="s">
        <v>917</v>
      </c>
      <c r="E1133" s="78">
        <v>42374</v>
      </c>
      <c r="F1133" s="79" t="s">
        <v>669</v>
      </c>
      <c r="G1133" s="79"/>
      <c r="H1133" s="85" t="s">
        <v>418</v>
      </c>
      <c r="I1133" s="407">
        <v>7560</v>
      </c>
      <c r="J1133" s="407">
        <v>15500</v>
      </c>
      <c r="K1133" s="398"/>
      <c r="L1133" s="407"/>
      <c r="M1133" s="81">
        <f t="shared" si="87"/>
        <v>117180000</v>
      </c>
      <c r="N1133" s="82" t="s">
        <v>268</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customHeight="1">
      <c r="A1134" s="323" t="str">
        <f>IF(B1134&lt;&gt;"",IF(AND(B1134='IN-TC'!$S$4,OR(TH!N1134="1111",TH!O1134="1111")),TH!D1134,""),"")</f>
        <v/>
      </c>
      <c r="B1134" s="63">
        <f t="shared" ref="B1134:B1197" si="89">IF(C1134&lt;&gt;"",MONTH(C1134),"")</f>
        <v>1</v>
      </c>
      <c r="C1134" s="78">
        <f t="shared" si="88"/>
        <v>42374</v>
      </c>
      <c r="D1134" s="78" t="s">
        <v>918</v>
      </c>
      <c r="E1134" s="78">
        <v>42374</v>
      </c>
      <c r="F1134" s="79" t="s">
        <v>669</v>
      </c>
      <c r="G1134" s="79"/>
      <c r="H1134" s="80" t="s">
        <v>421</v>
      </c>
      <c r="I1134" s="406">
        <v>7450</v>
      </c>
      <c r="J1134" s="407">
        <v>15500</v>
      </c>
      <c r="K1134" s="397"/>
      <c r="L1134" s="406"/>
      <c r="M1134" s="81">
        <f t="shared" si="87"/>
        <v>115475000</v>
      </c>
      <c r="N1134" s="82" t="s">
        <v>268</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customHeight="1">
      <c r="A1135" s="323" t="str">
        <f>IF(B1135&lt;&gt;"",IF(AND(B1135='IN-TC'!$S$4,OR(TH!N1135="1111",TH!O1135="1111")),TH!D1135,""),"")</f>
        <v/>
      </c>
      <c r="B1135" s="63">
        <f t="shared" si="89"/>
        <v>1</v>
      </c>
      <c r="C1135" s="78">
        <f t="shared" si="88"/>
        <v>42374</v>
      </c>
      <c r="D1135" s="78" t="s">
        <v>919</v>
      </c>
      <c r="E1135" s="78">
        <v>42374</v>
      </c>
      <c r="F1135" s="79" t="s">
        <v>669</v>
      </c>
      <c r="G1135" s="79"/>
      <c r="H1135" s="80" t="s">
        <v>423</v>
      </c>
      <c r="I1135" s="406">
        <v>7510</v>
      </c>
      <c r="J1135" s="407">
        <v>15500</v>
      </c>
      <c r="K1135" s="397"/>
      <c r="L1135" s="406"/>
      <c r="M1135" s="81">
        <f t="shared" si="87"/>
        <v>116405000</v>
      </c>
      <c r="N1135" s="82" t="s">
        <v>268</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customHeight="1">
      <c r="A1136" s="323" t="str">
        <f>IF(B1136&lt;&gt;"",IF(AND(B1136='IN-TC'!$S$4,OR(TH!N1136="1111",TH!O1136="1111")),TH!D1136,""),"")</f>
        <v/>
      </c>
      <c r="B1136" s="63">
        <f t="shared" si="89"/>
        <v>1</v>
      </c>
      <c r="C1136" s="78">
        <f t="shared" si="88"/>
        <v>42380</v>
      </c>
      <c r="D1136" s="78" t="s">
        <v>920</v>
      </c>
      <c r="E1136" s="78">
        <v>42380</v>
      </c>
      <c r="F1136" s="79" t="s">
        <v>669</v>
      </c>
      <c r="G1136" s="79"/>
      <c r="H1136" s="80" t="s">
        <v>421</v>
      </c>
      <c r="I1136" s="406">
        <v>7980</v>
      </c>
      <c r="J1136" s="407">
        <v>15500</v>
      </c>
      <c r="K1136" s="397"/>
      <c r="L1136" s="406"/>
      <c r="M1136" s="81">
        <f t="shared" si="87"/>
        <v>123690000</v>
      </c>
      <c r="N1136" s="82" t="s">
        <v>268</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customHeight="1">
      <c r="A1137" s="323" t="str">
        <f>IF(B1137&lt;&gt;"",IF(AND(B1137='IN-TC'!$S$4,OR(TH!N1137="1111",TH!O1137="1111")),TH!D1137,""),"")</f>
        <v/>
      </c>
      <c r="B1137" s="63">
        <f t="shared" si="89"/>
        <v>1</v>
      </c>
      <c r="C1137" s="78">
        <f t="shared" si="88"/>
        <v>42380</v>
      </c>
      <c r="D1137" s="78" t="s">
        <v>921</v>
      </c>
      <c r="E1137" s="78">
        <v>42380</v>
      </c>
      <c r="F1137" s="79" t="s">
        <v>669</v>
      </c>
      <c r="G1137" s="79"/>
      <c r="H1137" s="80" t="s">
        <v>425</v>
      </c>
      <c r="I1137" s="406">
        <v>7460</v>
      </c>
      <c r="J1137" s="407">
        <v>15500</v>
      </c>
      <c r="K1137" s="397"/>
      <c r="L1137" s="406"/>
      <c r="M1137" s="81">
        <f t="shared" si="87"/>
        <v>115630000</v>
      </c>
      <c r="N1137" s="82" t="s">
        <v>268</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96.75" customHeight="1">
      <c r="A1138" s="323" t="str">
        <f>IF(B1138&lt;&gt;"",IF(AND(B1138='IN-TC'!$S$4,OR(TH!N1138="1111",TH!O1138="1111")),TH!D1138,""),"")</f>
        <v/>
      </c>
      <c r="B1138" s="63">
        <f t="shared" si="89"/>
        <v>1</v>
      </c>
      <c r="C1138" s="78">
        <f t="shared" si="88"/>
        <v>42380</v>
      </c>
      <c r="D1138" s="78" t="s">
        <v>922</v>
      </c>
      <c r="E1138" s="78">
        <v>42380</v>
      </c>
      <c r="F1138" s="79" t="s">
        <v>669</v>
      </c>
      <c r="G1138" s="79"/>
      <c r="H1138" s="80" t="s">
        <v>427</v>
      </c>
      <c r="I1138" s="406">
        <v>7780</v>
      </c>
      <c r="J1138" s="407">
        <v>15500</v>
      </c>
      <c r="K1138" s="397"/>
      <c r="L1138" s="406"/>
      <c r="M1138" s="81">
        <f t="shared" si="87"/>
        <v>120590000</v>
      </c>
      <c r="N1138" s="82" t="s">
        <v>268</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customHeight="1">
      <c r="A1139" s="323" t="str">
        <f>IF(B1139&lt;&gt;"",IF(AND(B1139='IN-TC'!$S$4,OR(TH!N1139="1111",TH!O1139="1111")),TH!D1139,""),"")</f>
        <v/>
      </c>
      <c r="B1139" s="63">
        <f t="shared" si="89"/>
        <v>1</v>
      </c>
      <c r="C1139" s="78">
        <f t="shared" si="88"/>
        <v>42384</v>
      </c>
      <c r="D1139" s="78" t="s">
        <v>923</v>
      </c>
      <c r="E1139" s="78">
        <v>42384</v>
      </c>
      <c r="F1139" s="79" t="s">
        <v>669</v>
      </c>
      <c r="G1139" s="79"/>
      <c r="H1139" s="80" t="s">
        <v>428</v>
      </c>
      <c r="I1139" s="406">
        <v>7589</v>
      </c>
      <c r="J1139" s="407">
        <v>15500</v>
      </c>
      <c r="K1139" s="397"/>
      <c r="L1139" s="406"/>
      <c r="M1139" s="81">
        <f t="shared" si="87"/>
        <v>117629500</v>
      </c>
      <c r="N1139" s="82" t="s">
        <v>268</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customHeight="1">
      <c r="A1140" s="323" t="str">
        <f>IF(B1140&lt;&gt;"",IF(AND(B1140='IN-TC'!$S$4,OR(TH!N1140="1111",TH!O1140="1111")),TH!D1140,""),"")</f>
        <v/>
      </c>
      <c r="B1140" s="63">
        <f t="shared" si="89"/>
        <v>1</v>
      </c>
      <c r="C1140" s="78">
        <f t="shared" si="88"/>
        <v>42384</v>
      </c>
      <c r="D1140" s="78" t="s">
        <v>924</v>
      </c>
      <c r="E1140" s="78">
        <v>42384</v>
      </c>
      <c r="F1140" s="79" t="s">
        <v>669</v>
      </c>
      <c r="G1140" s="79"/>
      <c r="H1140" s="80" t="s">
        <v>423</v>
      </c>
      <c r="I1140" s="406">
        <v>7980</v>
      </c>
      <c r="J1140" s="407">
        <v>15500</v>
      </c>
      <c r="K1140" s="397"/>
      <c r="L1140" s="406"/>
      <c r="M1140" s="81">
        <f t="shared" si="87"/>
        <v>123690000</v>
      </c>
      <c r="N1140" s="82" t="s">
        <v>268</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customHeight="1">
      <c r="A1141" s="323" t="str">
        <f>IF(B1141&lt;&gt;"",IF(AND(B1141='IN-TC'!$S$4,OR(TH!N1141="1111",TH!O1141="1111")),TH!D1141,""),"")</f>
        <v/>
      </c>
      <c r="B1141" s="63">
        <f t="shared" si="89"/>
        <v>1</v>
      </c>
      <c r="C1141" s="78">
        <f t="shared" si="88"/>
        <v>42384</v>
      </c>
      <c r="D1141" s="78" t="s">
        <v>925</v>
      </c>
      <c r="E1141" s="78">
        <v>42384</v>
      </c>
      <c r="F1141" s="79" t="s">
        <v>669</v>
      </c>
      <c r="G1141" s="79"/>
      <c r="H1141" s="80" t="s">
        <v>425</v>
      </c>
      <c r="I1141" s="406">
        <v>7860</v>
      </c>
      <c r="J1141" s="407">
        <v>15500</v>
      </c>
      <c r="K1141" s="397"/>
      <c r="L1141" s="406"/>
      <c r="M1141" s="81">
        <f t="shared" si="87"/>
        <v>121830000</v>
      </c>
      <c r="N1141" s="82" t="s">
        <v>268</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customHeight="1">
      <c r="A1142" s="323" t="str">
        <f>IF(B1142&lt;&gt;"",IF(AND(B1142='IN-TC'!$S$4,OR(TH!N1142="1111",TH!O1142="1111")),TH!D1142,""),"")</f>
        <v/>
      </c>
      <c r="B1142" s="63">
        <f t="shared" si="89"/>
        <v>1</v>
      </c>
      <c r="C1142" s="78">
        <f t="shared" si="88"/>
        <v>42390</v>
      </c>
      <c r="D1142" s="78" t="s">
        <v>926</v>
      </c>
      <c r="E1142" s="78">
        <v>42390</v>
      </c>
      <c r="F1142" s="79" t="s">
        <v>669</v>
      </c>
      <c r="G1142" s="79"/>
      <c r="H1142" s="80" t="s">
        <v>434</v>
      </c>
      <c r="I1142" s="406">
        <v>9180</v>
      </c>
      <c r="J1142" s="407">
        <v>15500</v>
      </c>
      <c r="K1142" s="397"/>
      <c r="L1142" s="406"/>
      <c r="M1142" s="81">
        <f t="shared" si="87"/>
        <v>142290000</v>
      </c>
      <c r="N1142" s="82" t="s">
        <v>268</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customHeight="1">
      <c r="A1143" s="323" t="str">
        <f>IF(B1143&lt;&gt;"",IF(AND(B1143='IN-TC'!$S$4,OR(TH!N1143="1111",TH!O1143="1111")),TH!D1143,""),"")</f>
        <v/>
      </c>
      <c r="B1143" s="63">
        <f t="shared" si="89"/>
        <v>1</v>
      </c>
      <c r="C1143" s="78">
        <f t="shared" si="88"/>
        <v>42390</v>
      </c>
      <c r="D1143" s="78" t="s">
        <v>927</v>
      </c>
      <c r="E1143" s="78">
        <v>42390</v>
      </c>
      <c r="F1143" s="79" t="s">
        <v>669</v>
      </c>
      <c r="G1143" s="79"/>
      <c r="H1143" s="80" t="s">
        <v>436</v>
      </c>
      <c r="I1143" s="406">
        <v>7786</v>
      </c>
      <c r="J1143" s="407">
        <v>15500</v>
      </c>
      <c r="K1143" s="397"/>
      <c r="L1143" s="406"/>
      <c r="M1143" s="81">
        <f t="shared" si="87"/>
        <v>120683000</v>
      </c>
      <c r="N1143" s="82" t="s">
        <v>268</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customHeight="1">
      <c r="A1144" s="323" t="str">
        <f>IF(B1144&lt;&gt;"",IF(AND(B1144='IN-TC'!$S$4,OR(TH!N1144="1111",TH!O1144="1111")),TH!D1144,""),"")</f>
        <v/>
      </c>
      <c r="B1144" s="63">
        <f t="shared" si="89"/>
        <v>1</v>
      </c>
      <c r="C1144" s="78">
        <f t="shared" si="88"/>
        <v>42390</v>
      </c>
      <c r="D1144" s="78" t="s">
        <v>933</v>
      </c>
      <c r="E1144" s="78">
        <v>42390</v>
      </c>
      <c r="F1144" s="79" t="s">
        <v>669</v>
      </c>
      <c r="G1144" s="79"/>
      <c r="H1144" s="80" t="s">
        <v>423</v>
      </c>
      <c r="I1144" s="406">
        <v>9715</v>
      </c>
      <c r="J1144" s="407">
        <v>15500</v>
      </c>
      <c r="K1144" s="397"/>
      <c r="L1144" s="406"/>
      <c r="M1144" s="81">
        <f t="shared" si="87"/>
        <v>150582500</v>
      </c>
      <c r="N1144" s="82" t="s">
        <v>268</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customHeight="1">
      <c r="A1145" s="323" t="str">
        <f>IF(B1145&lt;&gt;"",IF(AND(B1145='IN-TC'!$S$4,OR(TH!N1145="1111",TH!O1145="1111")),TH!D1145,""),"")</f>
        <v/>
      </c>
      <c r="B1145" s="63">
        <f t="shared" si="89"/>
        <v>1</v>
      </c>
      <c r="C1145" s="90">
        <v>42371</v>
      </c>
      <c r="D1145" s="90" t="s">
        <v>670</v>
      </c>
      <c r="E1145" s="90">
        <v>42371</v>
      </c>
      <c r="F1145" s="91" t="s">
        <v>668</v>
      </c>
      <c r="G1145" s="91"/>
      <c r="H1145" s="92" t="s">
        <v>439</v>
      </c>
      <c r="I1145" s="1109">
        <v>38400</v>
      </c>
      <c r="J1145" s="1109">
        <v>18500</v>
      </c>
      <c r="K1145" s="1110"/>
      <c r="L1145" s="1109"/>
      <c r="M1145" s="93">
        <f t="shared" si="87"/>
        <v>710400000</v>
      </c>
      <c r="N1145" s="83" t="s">
        <v>276</v>
      </c>
      <c r="O1145" s="83" t="s">
        <v>268</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customHeight="1">
      <c r="A1146" s="323" t="str">
        <f>IF(B1146&lt;&gt;"",IF(AND(B1146='IN-TC'!$S$4,OR(TH!N1146="1111",TH!O1146="1111")),TH!D1146,""),"")</f>
        <v/>
      </c>
      <c r="B1146" s="63">
        <f t="shared" si="89"/>
        <v>1</v>
      </c>
      <c r="C1146" s="90">
        <v>42372</v>
      </c>
      <c r="D1146" s="90" t="s">
        <v>677</v>
      </c>
      <c r="E1146" s="90">
        <v>42374</v>
      </c>
      <c r="F1146" s="91" t="s">
        <v>669</v>
      </c>
      <c r="G1146" s="91"/>
      <c r="H1146" s="92" t="s">
        <v>439</v>
      </c>
      <c r="I1146" s="1109">
        <v>26500</v>
      </c>
      <c r="J1146" s="1109">
        <v>14500</v>
      </c>
      <c r="K1146" s="1110"/>
      <c r="L1146" s="1109"/>
      <c r="M1146" s="93">
        <f t="shared" si="87"/>
        <v>384250000</v>
      </c>
      <c r="N1146" s="83" t="s">
        <v>276</v>
      </c>
      <c r="O1146" s="83" t="s">
        <v>268</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customHeight="1">
      <c r="A1147" s="323" t="str">
        <f>IF(B1147&lt;&gt;"",IF(AND(B1147='IN-TC'!$S$4,OR(TH!N1147="1111",TH!O1147="1111")),TH!D1147,""),"")</f>
        <v/>
      </c>
      <c r="B1147" s="63">
        <f t="shared" si="89"/>
        <v>1</v>
      </c>
      <c r="C1147" s="90">
        <v>42374</v>
      </c>
      <c r="D1147" s="90" t="s">
        <v>678</v>
      </c>
      <c r="E1147" s="90">
        <v>42374</v>
      </c>
      <c r="F1147" s="91" t="s">
        <v>669</v>
      </c>
      <c r="G1147" s="91"/>
      <c r="H1147" s="92" t="s">
        <v>439</v>
      </c>
      <c r="I1147" s="414">
        <v>22520</v>
      </c>
      <c r="J1147" s="1108">
        <v>15500</v>
      </c>
      <c r="K1147" s="405"/>
      <c r="L1147" s="414"/>
      <c r="M1147" s="93">
        <f t="shared" si="87"/>
        <v>349060000</v>
      </c>
      <c r="N1147" s="83" t="s">
        <v>276</v>
      </c>
      <c r="O1147" s="83" t="s">
        <v>268</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customHeight="1">
      <c r="A1148" s="323" t="str">
        <f>IF(B1148&lt;&gt;"",IF(AND(B1148='IN-TC'!$S$4,OR(TH!N1148="1111",TH!O1148="1111")),TH!D1148,""),"")</f>
        <v/>
      </c>
      <c r="B1148" s="63">
        <f t="shared" si="89"/>
        <v>1</v>
      </c>
      <c r="C1148" s="90">
        <v>42380</v>
      </c>
      <c r="D1148" s="90" t="s">
        <v>679</v>
      </c>
      <c r="E1148" s="90">
        <v>42380</v>
      </c>
      <c r="F1148" s="91" t="s">
        <v>669</v>
      </c>
      <c r="G1148" s="91"/>
      <c r="H1148" s="92" t="s">
        <v>439</v>
      </c>
      <c r="I1148" s="414">
        <v>23220</v>
      </c>
      <c r="J1148" s="1108">
        <v>15500</v>
      </c>
      <c r="K1148" s="405"/>
      <c r="L1148" s="414"/>
      <c r="M1148" s="93">
        <f t="shared" si="87"/>
        <v>359910000</v>
      </c>
      <c r="N1148" s="83" t="s">
        <v>276</v>
      </c>
      <c r="O1148" s="83" t="s">
        <v>268</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customHeight="1">
      <c r="A1149" s="323" t="str">
        <f>IF(B1149&lt;&gt;"",IF(AND(B1149='IN-TC'!$S$4,OR(TH!N1149="1111",TH!O1149="1111")),TH!D1149,""),"")</f>
        <v/>
      </c>
      <c r="B1149" s="63">
        <f t="shared" si="89"/>
        <v>1</v>
      </c>
      <c r="C1149" s="90">
        <v>42382</v>
      </c>
      <c r="D1149" s="90" t="s">
        <v>680</v>
      </c>
      <c r="E1149" s="90">
        <v>42382</v>
      </c>
      <c r="F1149" s="91" t="s">
        <v>669</v>
      </c>
      <c r="G1149" s="91"/>
      <c r="H1149" s="92" t="s">
        <v>439</v>
      </c>
      <c r="I1149" s="1109">
        <v>26500</v>
      </c>
      <c r="J1149" s="1109">
        <v>14500</v>
      </c>
      <c r="K1149" s="1110"/>
      <c r="L1149" s="1109"/>
      <c r="M1149" s="93">
        <f t="shared" si="87"/>
        <v>384250000</v>
      </c>
      <c r="N1149" s="83" t="s">
        <v>276</v>
      </c>
      <c r="O1149" s="83" t="s">
        <v>268</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customHeight="1">
      <c r="A1150" s="323" t="str">
        <f>IF(B1150&lt;&gt;"",IF(AND(B1150='IN-TC'!$S$4,OR(TH!N1150="1111",TH!O1150="1111")),TH!D1150,""),"")</f>
        <v/>
      </c>
      <c r="B1150" s="63">
        <f t="shared" si="89"/>
        <v>1</v>
      </c>
      <c r="C1150" s="90">
        <v>42384</v>
      </c>
      <c r="D1150" s="90" t="s">
        <v>681</v>
      </c>
      <c r="E1150" s="90">
        <v>42384</v>
      </c>
      <c r="F1150" s="91" t="s">
        <v>669</v>
      </c>
      <c r="G1150" s="91"/>
      <c r="H1150" s="92" t="s">
        <v>439</v>
      </c>
      <c r="I1150" s="1109">
        <v>23429</v>
      </c>
      <c r="J1150" s="1108">
        <v>15500</v>
      </c>
      <c r="K1150" s="1110"/>
      <c r="L1150" s="1109"/>
      <c r="M1150" s="93">
        <f t="shared" si="87"/>
        <v>363149500</v>
      </c>
      <c r="N1150" s="83" t="s">
        <v>276</v>
      </c>
      <c r="O1150" s="83" t="s">
        <v>268</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customHeight="1">
      <c r="A1151" s="323" t="str">
        <f>IF(B1151&lt;&gt;"",IF(AND(B1151='IN-TC'!$S$4,OR(TH!N1151="1111",TH!O1151="1111")),TH!D1151,""),"")</f>
        <v/>
      </c>
      <c r="B1151" s="63">
        <f t="shared" si="89"/>
        <v>1</v>
      </c>
      <c r="C1151" s="90">
        <v>42386</v>
      </c>
      <c r="D1151" s="90" t="s">
        <v>928</v>
      </c>
      <c r="E1151" s="90">
        <v>42386</v>
      </c>
      <c r="F1151" s="91" t="s">
        <v>669</v>
      </c>
      <c r="G1151" s="1089"/>
      <c r="H1151" s="92" t="s">
        <v>439</v>
      </c>
      <c r="I1151" s="1109">
        <v>26500</v>
      </c>
      <c r="J1151" s="1109">
        <v>14500</v>
      </c>
      <c r="K1151" s="1110"/>
      <c r="L1151" s="1109"/>
      <c r="M1151" s="93">
        <f t="shared" si="87"/>
        <v>384250000</v>
      </c>
      <c r="N1151" s="83" t="s">
        <v>276</v>
      </c>
      <c r="O1151" s="83" t="s">
        <v>268</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customHeight="1">
      <c r="A1152" s="323" t="str">
        <f>IF(B1152&lt;&gt;"",IF(AND(B1152='IN-TC'!$S$4,OR(TH!N1152="1111",TH!O1152="1111")),TH!D1152,""),"")</f>
        <v/>
      </c>
      <c r="B1152" s="63">
        <f t="shared" si="89"/>
        <v>1</v>
      </c>
      <c r="C1152" s="90">
        <v>42390</v>
      </c>
      <c r="D1152" s="90" t="s">
        <v>929</v>
      </c>
      <c r="E1152" s="90">
        <v>42390</v>
      </c>
      <c r="F1152" s="91" t="s">
        <v>669</v>
      </c>
      <c r="G1152" s="91"/>
      <c r="H1152" s="92" t="s">
        <v>439</v>
      </c>
      <c r="I1152" s="414">
        <v>26681</v>
      </c>
      <c r="J1152" s="1108">
        <v>15500</v>
      </c>
      <c r="K1152" s="405"/>
      <c r="L1152" s="414"/>
      <c r="M1152" s="93">
        <f t="shared" si="87"/>
        <v>413555500</v>
      </c>
      <c r="N1152" s="83" t="s">
        <v>276</v>
      </c>
      <c r="O1152" s="83" t="s">
        <v>268</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286" customFormat="1" ht="15.75" customHeight="1">
      <c r="A1153" s="1277" t="str">
        <f>IF(B1153&lt;&gt;"",IF(AND(B1153='IN-TC'!$S$4,OR(TH!N1153="1111",TH!O1153="1111")),TH!D1153,""),"")</f>
        <v/>
      </c>
      <c r="B1153" s="1278">
        <f t="shared" si="89"/>
        <v>1</v>
      </c>
      <c r="C1153" s="1279">
        <v>42392</v>
      </c>
      <c r="D1153" s="1279" t="s">
        <v>930</v>
      </c>
      <c r="E1153" s="1279">
        <v>42392</v>
      </c>
      <c r="F1153" s="1280" t="s">
        <v>669</v>
      </c>
      <c r="G1153" s="1280"/>
      <c r="H1153" s="1281" t="s">
        <v>439</v>
      </c>
      <c r="I1153" s="1282">
        <v>26500</v>
      </c>
      <c r="J1153" s="1282">
        <v>14500</v>
      </c>
      <c r="K1153" s="1283"/>
      <c r="L1153" s="1282"/>
      <c r="M1153" s="1284">
        <f t="shared" si="87"/>
        <v>384250000</v>
      </c>
      <c r="N1153" s="1285" t="s">
        <v>276</v>
      </c>
      <c r="O1153" s="1285" t="s">
        <v>268</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customHeight="1">
      <c r="A1154" s="323" t="str">
        <f>IF(B1154&lt;&gt;"",IF(AND(B1154='IN-TC'!$S$4,OR(TH!N1154="1111",TH!O1154="1111")),TH!D1154,""),"")</f>
        <v/>
      </c>
      <c r="B1154" s="63">
        <f t="shared" si="89"/>
        <v>1</v>
      </c>
      <c r="C1154" s="90">
        <v>42394</v>
      </c>
      <c r="D1154" s="90" t="s">
        <v>931</v>
      </c>
      <c r="E1154" s="90">
        <v>42394</v>
      </c>
      <c r="F1154" s="91" t="s">
        <v>669</v>
      </c>
      <c r="G1154" s="91"/>
      <c r="H1154" s="92" t="s">
        <v>439</v>
      </c>
      <c r="I1154" s="414">
        <v>26000</v>
      </c>
      <c r="J1154" s="414">
        <v>14500</v>
      </c>
      <c r="K1154" s="405"/>
      <c r="L1154" s="414"/>
      <c r="M1154" s="93">
        <f t="shared" si="87"/>
        <v>377000000</v>
      </c>
      <c r="N1154" s="83" t="s">
        <v>276</v>
      </c>
      <c r="O1154" s="83" t="s">
        <v>268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customHeight="1">
      <c r="A1155" s="323" t="str">
        <f>IF(B1155&lt;&gt;"",IF(AND(B1155='IN-TC'!$S$4,OR(TH!N1155="1111",TH!O1155="1111")),TH!D1155,""),"")</f>
        <v/>
      </c>
      <c r="B1155" s="63">
        <f t="shared" si="89"/>
        <v>1</v>
      </c>
      <c r="C1155" s="78">
        <f t="shared" ref="C1155:C1166" si="90">E1155</f>
        <v>42392</v>
      </c>
      <c r="D1155" s="78" t="s">
        <v>934</v>
      </c>
      <c r="E1155" s="78">
        <v>42392</v>
      </c>
      <c r="F1155" s="79" t="s">
        <v>669</v>
      </c>
      <c r="G1155" s="79"/>
      <c r="H1155" s="85" t="s">
        <v>418</v>
      </c>
      <c r="I1155" s="407">
        <v>7580</v>
      </c>
      <c r="J1155" s="407">
        <v>15500</v>
      </c>
      <c r="K1155" s="398"/>
      <c r="L1155" s="407"/>
      <c r="M1155" s="81">
        <f t="shared" si="87"/>
        <v>117490000</v>
      </c>
      <c r="N1155" s="82" t="s">
        <v>268</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customHeight="1">
      <c r="A1156" s="323" t="str">
        <f>IF(B1156&lt;&gt;"",IF(AND(B1156='IN-TC'!$S$4,OR(TH!N1156="1111",TH!O1156="1111")),TH!D1156,""),"")</f>
        <v/>
      </c>
      <c r="B1156" s="63">
        <f t="shared" si="89"/>
        <v>1</v>
      </c>
      <c r="C1156" s="78">
        <f t="shared" si="90"/>
        <v>42392</v>
      </c>
      <c r="D1156" s="78" t="s">
        <v>935</v>
      </c>
      <c r="E1156" s="78">
        <v>42392</v>
      </c>
      <c r="F1156" s="79" t="s">
        <v>669</v>
      </c>
      <c r="G1156" s="79"/>
      <c r="H1156" s="80" t="s">
        <v>421</v>
      </c>
      <c r="I1156" s="406">
        <v>7840</v>
      </c>
      <c r="J1156" s="407">
        <v>15500</v>
      </c>
      <c r="K1156" s="397"/>
      <c r="L1156" s="406"/>
      <c r="M1156" s="81">
        <f t="shared" si="87"/>
        <v>121520000</v>
      </c>
      <c r="N1156" s="82" t="s">
        <v>268</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customHeight="1">
      <c r="A1157" s="323" t="str">
        <f>IF(B1157&lt;&gt;"",IF(AND(B1157='IN-TC'!$S$4,OR(TH!N1157="1111",TH!O1157="1111")),TH!D1157,""),"")</f>
        <v/>
      </c>
      <c r="B1157" s="63">
        <f t="shared" si="89"/>
        <v>1</v>
      </c>
      <c r="C1157" s="78">
        <f t="shared" si="90"/>
        <v>42392</v>
      </c>
      <c r="D1157" s="78" t="s">
        <v>936</v>
      </c>
      <c r="E1157" s="78">
        <v>42392</v>
      </c>
      <c r="F1157" s="79" t="s">
        <v>669</v>
      </c>
      <c r="G1157" s="79"/>
      <c r="H1157" s="80" t="s">
        <v>423</v>
      </c>
      <c r="I1157" s="406">
        <v>7460</v>
      </c>
      <c r="J1157" s="407">
        <v>15500</v>
      </c>
      <c r="K1157" s="397"/>
      <c r="L1157" s="406"/>
      <c r="M1157" s="81">
        <f t="shared" si="87"/>
        <v>115630000</v>
      </c>
      <c r="N1157" s="82" t="s">
        <v>268</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customHeight="1">
      <c r="A1158" s="323" t="str">
        <f>IF(B1158&lt;&gt;"",IF(AND(B1158='IN-TC'!$S$4,OR(TH!N1158="1111",TH!O1158="1111")),TH!D1158,""),"")</f>
        <v/>
      </c>
      <c r="B1158" s="63">
        <f t="shared" si="89"/>
        <v>1</v>
      </c>
      <c r="C1158" s="78">
        <f t="shared" si="90"/>
        <v>42392</v>
      </c>
      <c r="D1158" s="78" t="s">
        <v>937</v>
      </c>
      <c r="E1158" s="78">
        <v>42392</v>
      </c>
      <c r="F1158" s="79" t="s">
        <v>669</v>
      </c>
      <c r="G1158" s="79"/>
      <c r="H1158" s="80" t="s">
        <v>434</v>
      </c>
      <c r="I1158" s="406">
        <v>7740</v>
      </c>
      <c r="J1158" s="407">
        <v>15500</v>
      </c>
      <c r="K1158" s="397"/>
      <c r="L1158" s="406"/>
      <c r="M1158" s="81">
        <f t="shared" si="87"/>
        <v>119970000</v>
      </c>
      <c r="N1158" s="82" t="s">
        <v>268</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customHeight="1">
      <c r="A1159" s="323" t="str">
        <f>IF(B1159&lt;&gt;"",IF(AND(B1159='IN-TC'!$S$4,OR(TH!N1159="1111",TH!O1159="1111")),TH!D1159,""),"")</f>
        <v/>
      </c>
      <c r="B1159" s="63">
        <f t="shared" si="89"/>
        <v>1</v>
      </c>
      <c r="C1159" s="78">
        <f t="shared" si="90"/>
        <v>42396</v>
      </c>
      <c r="D1159" s="78" t="s">
        <v>938</v>
      </c>
      <c r="E1159" s="78">
        <v>42396</v>
      </c>
      <c r="F1159" s="79" t="s">
        <v>669</v>
      </c>
      <c r="G1159" s="79"/>
      <c r="H1159" s="80" t="s">
        <v>425</v>
      </c>
      <c r="I1159" s="406">
        <v>7456</v>
      </c>
      <c r="J1159" s="407">
        <v>15500</v>
      </c>
      <c r="K1159" s="397"/>
      <c r="L1159" s="406"/>
      <c r="M1159" s="81">
        <f t="shared" si="87"/>
        <v>115568000</v>
      </c>
      <c r="N1159" s="82" t="s">
        <v>268</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customHeight="1">
      <c r="A1160" s="323" t="str">
        <f>IF(B1160&lt;&gt;"",IF(AND(B1160='IN-TC'!$S$4,OR(TH!N1160="1111",TH!O1160="1111")),TH!D1160,""),"")</f>
        <v/>
      </c>
      <c r="B1160" s="63">
        <f t="shared" si="89"/>
        <v>1</v>
      </c>
      <c r="C1160" s="78">
        <f t="shared" si="90"/>
        <v>42396</v>
      </c>
      <c r="D1160" s="78" t="s">
        <v>939</v>
      </c>
      <c r="E1160" s="78">
        <v>42396</v>
      </c>
      <c r="F1160" s="79" t="s">
        <v>669</v>
      </c>
      <c r="G1160" s="79"/>
      <c r="H1160" s="80" t="s">
        <v>427</v>
      </c>
      <c r="I1160" s="406">
        <v>7016</v>
      </c>
      <c r="J1160" s="407">
        <v>15500</v>
      </c>
      <c r="K1160" s="397"/>
      <c r="L1160" s="406"/>
      <c r="M1160" s="81">
        <f t="shared" si="87"/>
        <v>108748000</v>
      </c>
      <c r="N1160" s="82" t="s">
        <v>268</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customHeight="1">
      <c r="A1161" s="323" t="str">
        <f>IF(B1161&lt;&gt;"",IF(AND(B1161='IN-TC'!$S$4,OR(TH!N1161="1111",TH!O1161="1111")),TH!D1161,""),"")</f>
        <v/>
      </c>
      <c r="B1161" s="63">
        <f t="shared" si="89"/>
        <v>1</v>
      </c>
      <c r="C1161" s="78">
        <f t="shared" si="90"/>
        <v>42396</v>
      </c>
      <c r="D1161" s="78" t="s">
        <v>940</v>
      </c>
      <c r="E1161" s="78">
        <v>42396</v>
      </c>
      <c r="F1161" s="79" t="s">
        <v>669</v>
      </c>
      <c r="G1161" s="79"/>
      <c r="H1161" s="80" t="s">
        <v>428</v>
      </c>
      <c r="I1161" s="406">
        <v>6980</v>
      </c>
      <c r="J1161" s="407">
        <v>15500</v>
      </c>
      <c r="K1161" s="397"/>
      <c r="L1161" s="406"/>
      <c r="M1161" s="81">
        <f t="shared" si="87"/>
        <v>108190000</v>
      </c>
      <c r="N1161" s="82" t="s">
        <v>268</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customHeight="1">
      <c r="A1162" s="323" t="str">
        <f>IF(B1162&lt;&gt;"",IF(AND(B1162='IN-TC'!$S$4,OR(TH!N1162="1111",TH!O1162="1111")),TH!D1162,""),"")</f>
        <v/>
      </c>
      <c r="B1162" s="63">
        <f t="shared" si="89"/>
        <v>1</v>
      </c>
      <c r="C1162" s="78">
        <f t="shared" si="90"/>
        <v>42396</v>
      </c>
      <c r="D1162" s="78" t="s">
        <v>941</v>
      </c>
      <c r="E1162" s="78">
        <v>42396</v>
      </c>
      <c r="F1162" s="79" t="s">
        <v>669</v>
      </c>
      <c r="G1162" s="79"/>
      <c r="H1162" s="80" t="s">
        <v>423</v>
      </c>
      <c r="I1162" s="406">
        <v>7125</v>
      </c>
      <c r="J1162" s="407">
        <v>15500</v>
      </c>
      <c r="K1162" s="397"/>
      <c r="L1162" s="406"/>
      <c r="M1162" s="81">
        <f t="shared" si="87"/>
        <v>110437500</v>
      </c>
      <c r="N1162" s="82" t="s">
        <v>268</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customHeight="1">
      <c r="A1163" s="323" t="str">
        <f>IF(B1163&lt;&gt;"",IF(AND(B1163='IN-TC'!$S$4,OR(TH!N1163="1111",TH!O1163="1111")),TH!D1163,""),"")</f>
        <v/>
      </c>
      <c r="B1163" s="63">
        <f t="shared" si="89"/>
        <v>1</v>
      </c>
      <c r="C1163" s="78">
        <f t="shared" si="90"/>
        <v>42400</v>
      </c>
      <c r="D1163" s="78" t="s">
        <v>942</v>
      </c>
      <c r="E1163" s="78">
        <v>42400</v>
      </c>
      <c r="F1163" s="79" t="s">
        <v>669</v>
      </c>
      <c r="G1163" s="79"/>
      <c r="H1163" s="80" t="s">
        <v>421</v>
      </c>
      <c r="I1163" s="406">
        <v>7041</v>
      </c>
      <c r="J1163" s="407">
        <v>15500</v>
      </c>
      <c r="K1163" s="397"/>
      <c r="L1163" s="406"/>
      <c r="M1163" s="81">
        <f t="shared" si="87"/>
        <v>109135500</v>
      </c>
      <c r="N1163" s="82" t="s">
        <v>268</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customHeight="1">
      <c r="A1164" s="323" t="str">
        <f>IF(B1164&lt;&gt;"",IF(AND(B1164='IN-TC'!$S$4,OR(TH!N1164="1111",TH!O1164="1111")),TH!D1164,""),"")</f>
        <v/>
      </c>
      <c r="B1164" s="63">
        <f t="shared" si="89"/>
        <v>1</v>
      </c>
      <c r="C1164" s="78">
        <f t="shared" si="90"/>
        <v>42400</v>
      </c>
      <c r="D1164" s="78" t="s">
        <v>943</v>
      </c>
      <c r="E1164" s="78">
        <v>42400</v>
      </c>
      <c r="F1164" s="79" t="s">
        <v>669</v>
      </c>
      <c r="G1164" s="79"/>
      <c r="H1164" s="80" t="s">
        <v>423</v>
      </c>
      <c r="I1164" s="406">
        <v>7046</v>
      </c>
      <c r="J1164" s="407">
        <v>15500</v>
      </c>
      <c r="K1164" s="397"/>
      <c r="L1164" s="406"/>
      <c r="M1164" s="81">
        <f t="shared" si="87"/>
        <v>109213000</v>
      </c>
      <c r="N1164" s="82" t="s">
        <v>268</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customHeight="1">
      <c r="A1165" s="323" t="str">
        <f>IF(B1165&lt;&gt;"",IF(AND(B1165='IN-TC'!$S$4,OR(TH!N1165="1111",TH!O1165="1111")),TH!D1165,""),"")</f>
        <v/>
      </c>
      <c r="B1165" s="63">
        <f t="shared" si="89"/>
        <v>1</v>
      </c>
      <c r="C1165" s="78">
        <f t="shared" si="90"/>
        <v>42400</v>
      </c>
      <c r="D1165" s="78" t="s">
        <v>944</v>
      </c>
      <c r="E1165" s="78">
        <v>42400</v>
      </c>
      <c r="F1165" s="79" t="s">
        <v>669</v>
      </c>
      <c r="G1165" s="79"/>
      <c r="H1165" s="80" t="s">
        <v>428</v>
      </c>
      <c r="I1165" s="406">
        <v>7049</v>
      </c>
      <c r="J1165" s="407">
        <v>15500</v>
      </c>
      <c r="K1165" s="397"/>
      <c r="L1165" s="406"/>
      <c r="M1165" s="81">
        <f t="shared" si="87"/>
        <v>109259500</v>
      </c>
      <c r="N1165" s="82" t="s">
        <v>268</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customHeight="1">
      <c r="A1166" s="323" t="str">
        <f>IF(B1166&lt;&gt;"",IF(AND(B1166='IN-TC'!$S$4,OR(TH!N2193="1111",TH!O2193="1111")),TH!D2193,""),"")</f>
        <v/>
      </c>
      <c r="B1166" s="63">
        <f t="shared" si="89"/>
        <v>1</v>
      </c>
      <c r="C1166" s="64">
        <f t="shared" si="90"/>
        <v>42400</v>
      </c>
      <c r="D1166" s="64" t="s">
        <v>945</v>
      </c>
      <c r="E1166" s="64">
        <v>42400</v>
      </c>
      <c r="F1166" s="72" t="s">
        <v>932</v>
      </c>
      <c r="G1166" s="67" t="s">
        <v>337</v>
      </c>
      <c r="H1166" s="72" t="s">
        <v>432</v>
      </c>
      <c r="I1166" s="408"/>
      <c r="J1166" s="408"/>
      <c r="K1166" s="399"/>
      <c r="L1166" s="408"/>
      <c r="M1166" s="65">
        <v>118838500</v>
      </c>
      <c r="N1166" s="66" t="s">
        <v>8</v>
      </c>
      <c r="O1166" s="66" t="s">
        <v>266</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customHeight="1">
      <c r="A1167" s="323" t="str">
        <f>IF(B1167&lt;&gt;"",IF(AND(B1167='IN-TC'!$S$4,OR(TH!N1167="1111",TH!O1167="1111")),TH!D1167,""),"")</f>
        <v/>
      </c>
      <c r="B1167" s="63">
        <f t="shared" si="89"/>
        <v>2</v>
      </c>
      <c r="C1167" s="90">
        <v>42401</v>
      </c>
      <c r="D1167" s="90" t="s">
        <v>670</v>
      </c>
      <c r="E1167" s="90">
        <f t="shared" ref="E1167:E1172" si="91">C1167</f>
        <v>42401</v>
      </c>
      <c r="F1167" s="91" t="s">
        <v>1952</v>
      </c>
      <c r="G1167" s="91"/>
      <c r="H1167" s="92" t="s">
        <v>439</v>
      </c>
      <c r="I1167" s="1109">
        <v>19157</v>
      </c>
      <c r="J1167" s="1108">
        <v>17500</v>
      </c>
      <c r="K1167" s="1110"/>
      <c r="L1167" s="1109"/>
      <c r="M1167" s="93">
        <f t="shared" ref="M1167:M1182" si="92">ROUND(I1167*J1167,0)</f>
        <v>335247500</v>
      </c>
      <c r="N1167" s="83" t="s">
        <v>276</v>
      </c>
      <c r="O1167" s="83" t="s">
        <v>268</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customHeight="1">
      <c r="A1168" s="323" t="str">
        <f>IF(B1168&lt;&gt;"",IF(AND(B1168='IN-TC'!$S$4,OR(TH!N1168="1111",TH!O1168="1111")),TH!D1168,""),"")</f>
        <v/>
      </c>
      <c r="B1168" s="63">
        <f t="shared" si="89"/>
        <v>2</v>
      </c>
      <c r="C1168" s="90">
        <v>42408</v>
      </c>
      <c r="D1168" s="90" t="s">
        <v>677</v>
      </c>
      <c r="E1168" s="90">
        <f t="shared" si="91"/>
        <v>42408</v>
      </c>
      <c r="F1168" s="91" t="s">
        <v>1952</v>
      </c>
      <c r="G1168" s="91"/>
      <c r="H1168" s="92" t="s">
        <v>439</v>
      </c>
      <c r="I1168" s="414">
        <v>19558</v>
      </c>
      <c r="J1168" s="1108">
        <v>17500</v>
      </c>
      <c r="K1168" s="405"/>
      <c r="L1168" s="414"/>
      <c r="M1168" s="93">
        <f t="shared" si="92"/>
        <v>342265000</v>
      </c>
      <c r="N1168" s="83" t="s">
        <v>276</v>
      </c>
      <c r="O1168" s="83" t="s">
        <v>268</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customHeight="1">
      <c r="A1169" s="323" t="str">
        <f>IF(B1169&lt;&gt;"",IF(AND(B1169='IN-TC'!$S$4,OR(TH!N1169="1111",TH!O1169="1111")),TH!D1169,""),"")</f>
        <v/>
      </c>
      <c r="B1169" s="63">
        <f t="shared" si="89"/>
        <v>2</v>
      </c>
      <c r="C1169" s="90">
        <v>42415</v>
      </c>
      <c r="D1169" s="90" t="s">
        <v>678</v>
      </c>
      <c r="E1169" s="90">
        <f t="shared" si="91"/>
        <v>42415</v>
      </c>
      <c r="F1169" s="91" t="s">
        <v>1952</v>
      </c>
      <c r="G1169" s="91"/>
      <c r="H1169" s="92" t="s">
        <v>439</v>
      </c>
      <c r="I1169" s="1109">
        <v>19422</v>
      </c>
      <c r="J1169" s="1108">
        <v>17500</v>
      </c>
      <c r="K1169" s="1110"/>
      <c r="L1169" s="1109"/>
      <c r="M1169" s="93">
        <f t="shared" si="92"/>
        <v>339885000</v>
      </c>
      <c r="N1169" s="83" t="s">
        <v>276</v>
      </c>
      <c r="O1169" s="83" t="s">
        <v>268</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customHeight="1">
      <c r="A1170" s="323" t="str">
        <f>IF(B1170&lt;&gt;"",IF(AND(B1170='IN-TC'!$S$4,OR(TH!N1170="1111",TH!O1170="1111")),TH!D1170,""),"")</f>
        <v/>
      </c>
      <c r="B1170" s="63">
        <f t="shared" si="89"/>
        <v>2</v>
      </c>
      <c r="C1170" s="90">
        <v>42415</v>
      </c>
      <c r="D1170" s="90" t="s">
        <v>678</v>
      </c>
      <c r="E1170" s="90">
        <f t="shared" si="91"/>
        <v>42415</v>
      </c>
      <c r="F1170" s="91" t="s">
        <v>669</v>
      </c>
      <c r="G1170" s="91"/>
      <c r="H1170" s="92" t="s">
        <v>439</v>
      </c>
      <c r="I1170" s="1109">
        <v>30620</v>
      </c>
      <c r="J1170" s="1108">
        <v>15500</v>
      </c>
      <c r="K1170" s="1110"/>
      <c r="L1170" s="1109"/>
      <c r="M1170" s="93">
        <f t="shared" si="92"/>
        <v>474610000</v>
      </c>
      <c r="N1170" s="83" t="s">
        <v>276</v>
      </c>
      <c r="O1170" s="83" t="s">
        <v>268</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customHeight="1">
      <c r="A1171" s="323" t="str">
        <f>IF(B1171&lt;&gt;"",IF(AND(B1171='IN-TC'!$S$4,OR(TH!N1171="1111",TH!O1171="1111")),TH!D1171,""),"")</f>
        <v/>
      </c>
      <c r="B1171" s="63">
        <f t="shared" si="89"/>
        <v>2</v>
      </c>
      <c r="C1171" s="90">
        <v>42418</v>
      </c>
      <c r="D1171" s="90" t="s">
        <v>679</v>
      </c>
      <c r="E1171" s="90">
        <f t="shared" si="91"/>
        <v>42418</v>
      </c>
      <c r="F1171" s="91" t="s">
        <v>669</v>
      </c>
      <c r="G1171" s="1089"/>
      <c r="H1171" s="92" t="s">
        <v>439</v>
      </c>
      <c r="I1171" s="1109">
        <v>28577</v>
      </c>
      <c r="J1171" s="1108">
        <v>15500</v>
      </c>
      <c r="K1171" s="1110"/>
      <c r="L1171" s="1109"/>
      <c r="M1171" s="93">
        <f t="shared" si="92"/>
        <v>442943500</v>
      </c>
      <c r="N1171" s="83" t="s">
        <v>276</v>
      </c>
      <c r="O1171" s="83" t="s">
        <v>268</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customHeight="1">
      <c r="A1172" s="323" t="str">
        <f>IF(B1172&lt;&gt;"",IF(AND(B1172='IN-TC'!$S$4,OR(TH!N1172="1111",TH!O1172="1111")),TH!D1172,""),"")</f>
        <v/>
      </c>
      <c r="B1172" s="63">
        <f t="shared" si="89"/>
        <v>2</v>
      </c>
      <c r="C1172" s="90">
        <v>42423</v>
      </c>
      <c r="D1172" s="90" t="s">
        <v>680</v>
      </c>
      <c r="E1172" s="90">
        <f t="shared" si="91"/>
        <v>42423</v>
      </c>
      <c r="F1172" s="91" t="s">
        <v>669</v>
      </c>
      <c r="G1172" s="91"/>
      <c r="H1172" s="92" t="s">
        <v>439</v>
      </c>
      <c r="I1172" s="414">
        <v>28803</v>
      </c>
      <c r="J1172" s="1108">
        <v>15500</v>
      </c>
      <c r="K1172" s="405"/>
      <c r="L1172" s="414"/>
      <c r="M1172" s="93">
        <f t="shared" si="92"/>
        <v>446446500</v>
      </c>
      <c r="N1172" s="83" t="s">
        <v>276</v>
      </c>
      <c r="O1172" s="83" t="s">
        <v>268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customHeight="1">
      <c r="A1173" s="323" t="str">
        <f>IF(B1173&lt;&gt;"",IF(AND(B1173='IN-TC'!$S$4,OR(TH!N1173="1111",TH!O1173="1111")),TH!D1173,""),"")</f>
        <v/>
      </c>
      <c r="B1173" s="63">
        <f t="shared" si="89"/>
        <v>2</v>
      </c>
      <c r="C1173" s="78">
        <f t="shared" ref="C1173:C1181" si="93">E1173</f>
        <v>42401</v>
      </c>
      <c r="D1173" s="78" t="s">
        <v>917</v>
      </c>
      <c r="E1173" s="78">
        <v>42401</v>
      </c>
      <c r="F1173" s="79" t="s">
        <v>1952</v>
      </c>
      <c r="G1173" s="79"/>
      <c r="H1173" s="80" t="s">
        <v>371</v>
      </c>
      <c r="I1173" s="406">
        <v>6540</v>
      </c>
      <c r="J1173" s="407">
        <v>17500</v>
      </c>
      <c r="K1173" s="397"/>
      <c r="L1173" s="406"/>
      <c r="M1173" s="81">
        <f t="shared" si="92"/>
        <v>114450000</v>
      </c>
      <c r="N1173" s="82" t="s">
        <v>268</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customHeight="1">
      <c r="A1174" s="323" t="str">
        <f>IF(B1174&lt;&gt;"",IF(AND(B1174='IN-TC'!$S$4,OR(TH!N1174="1111",TH!O1174="1111")),TH!D1174,""),"")</f>
        <v/>
      </c>
      <c r="B1174" s="63">
        <f t="shared" si="89"/>
        <v>2</v>
      </c>
      <c r="C1174" s="78">
        <f t="shared" si="93"/>
        <v>42401</v>
      </c>
      <c r="D1174" s="78" t="s">
        <v>918</v>
      </c>
      <c r="E1174" s="78">
        <v>42401</v>
      </c>
      <c r="F1174" s="79" t="s">
        <v>1952</v>
      </c>
      <c r="G1174" s="79"/>
      <c r="H1174" s="85" t="s">
        <v>376</v>
      </c>
      <c r="I1174" s="407">
        <v>6358</v>
      </c>
      <c r="J1174" s="407">
        <v>17500</v>
      </c>
      <c r="K1174" s="398"/>
      <c r="L1174" s="407"/>
      <c r="M1174" s="81">
        <f t="shared" si="92"/>
        <v>111265000</v>
      </c>
      <c r="N1174" s="82" t="s">
        <v>268</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customHeight="1">
      <c r="A1175" s="323" t="str">
        <f>IF(B1175&lt;&gt;"",IF(AND(B1175='IN-TC'!$S$4,OR(TH!N1175="1111",TH!O1175="1111")),TH!D1175,""),"")</f>
        <v/>
      </c>
      <c r="B1175" s="63">
        <f t="shared" si="89"/>
        <v>2</v>
      </c>
      <c r="C1175" s="78">
        <f t="shared" si="93"/>
        <v>42401</v>
      </c>
      <c r="D1175" s="78" t="s">
        <v>919</v>
      </c>
      <c r="E1175" s="78">
        <v>42401</v>
      </c>
      <c r="F1175" s="79" t="s">
        <v>1952</v>
      </c>
      <c r="G1175" s="79"/>
      <c r="H1175" s="80" t="s">
        <v>378</v>
      </c>
      <c r="I1175" s="406">
        <v>6259</v>
      </c>
      <c r="J1175" s="407">
        <v>17500</v>
      </c>
      <c r="K1175" s="397"/>
      <c r="L1175" s="406"/>
      <c r="M1175" s="81">
        <f t="shared" si="92"/>
        <v>109532500</v>
      </c>
      <c r="N1175" s="82" t="s">
        <v>268</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customHeight="1">
      <c r="A1176" s="323" t="str">
        <f>IF(B1176&lt;&gt;"",IF(AND(B1176='IN-TC'!$S$4,OR(TH!N1176="1111",TH!O1176="1111")),TH!D1176,""),"")</f>
        <v/>
      </c>
      <c r="B1176" s="63">
        <f t="shared" si="89"/>
        <v>2</v>
      </c>
      <c r="C1176" s="78">
        <f t="shared" si="93"/>
        <v>42408</v>
      </c>
      <c r="D1176" s="78" t="s">
        <v>920</v>
      </c>
      <c r="E1176" s="78">
        <v>42408</v>
      </c>
      <c r="F1176" s="79" t="s">
        <v>1952</v>
      </c>
      <c r="G1176" s="79"/>
      <c r="H1176" s="80" t="s">
        <v>384</v>
      </c>
      <c r="I1176" s="406">
        <v>6583</v>
      </c>
      <c r="J1176" s="407">
        <v>17500</v>
      </c>
      <c r="K1176" s="397"/>
      <c r="L1176" s="406"/>
      <c r="M1176" s="81">
        <f t="shared" si="92"/>
        <v>115202500</v>
      </c>
      <c r="N1176" s="82" t="s">
        <v>268</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customHeight="1">
      <c r="A1177" s="323" t="str">
        <f>IF(B1177&lt;&gt;"",IF(AND(B1177='IN-TC'!$S$4,OR(TH!N1177="1111",TH!O1177="1111")),TH!D1177,""),"")</f>
        <v/>
      </c>
      <c r="B1177" s="63">
        <f t="shared" si="89"/>
        <v>2</v>
      </c>
      <c r="C1177" s="78">
        <f t="shared" si="93"/>
        <v>42408</v>
      </c>
      <c r="D1177" s="78" t="s">
        <v>921</v>
      </c>
      <c r="E1177" s="78">
        <v>42408</v>
      </c>
      <c r="F1177" s="79" t="s">
        <v>1952</v>
      </c>
      <c r="G1177" s="79"/>
      <c r="H1177" s="80" t="s">
        <v>386</v>
      </c>
      <c r="I1177" s="406">
        <v>6930</v>
      </c>
      <c r="J1177" s="407">
        <v>17500</v>
      </c>
      <c r="K1177" s="397"/>
      <c r="L1177" s="406"/>
      <c r="M1177" s="81">
        <f t="shared" si="92"/>
        <v>121275000</v>
      </c>
      <c r="N1177" s="82" t="s">
        <v>268</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customHeight="1">
      <c r="A1178" s="323" t="str">
        <f>IF(B1178&lt;&gt;"",IF(AND(B1178='IN-TC'!$S$4,OR(TH!N1178="1111",TH!O1178="1111")),TH!D1178,""),"")</f>
        <v/>
      </c>
      <c r="B1178" s="63">
        <f t="shared" si="89"/>
        <v>2</v>
      </c>
      <c r="C1178" s="78">
        <f t="shared" si="93"/>
        <v>42408</v>
      </c>
      <c r="D1178" s="78" t="s">
        <v>922</v>
      </c>
      <c r="E1178" s="78">
        <v>42408</v>
      </c>
      <c r="F1178" s="79" t="s">
        <v>1952</v>
      </c>
      <c r="G1178" s="79"/>
      <c r="H1178" s="80" t="s">
        <v>388</v>
      </c>
      <c r="I1178" s="406">
        <v>6045</v>
      </c>
      <c r="J1178" s="407">
        <v>17500</v>
      </c>
      <c r="K1178" s="397"/>
      <c r="L1178" s="406"/>
      <c r="M1178" s="81">
        <f t="shared" si="92"/>
        <v>105787500</v>
      </c>
      <c r="N1178" s="82" t="s">
        <v>268</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customHeight="1">
      <c r="A1179" s="323" t="str">
        <f>IF(B1179&lt;&gt;"",IF(AND(B1179='IN-TC'!$S$4,OR(TH!N1179="1111",TH!O1179="1111")),TH!D1179,""),"")</f>
        <v/>
      </c>
      <c r="B1179" s="63">
        <f t="shared" si="89"/>
        <v>2</v>
      </c>
      <c r="C1179" s="78">
        <f t="shared" si="93"/>
        <v>42415</v>
      </c>
      <c r="D1179" s="78" t="s">
        <v>923</v>
      </c>
      <c r="E1179" s="78">
        <v>42415</v>
      </c>
      <c r="F1179" s="79" t="s">
        <v>1952</v>
      </c>
      <c r="G1179" s="79"/>
      <c r="H1179" s="80" t="s">
        <v>381</v>
      </c>
      <c r="I1179" s="406">
        <v>6647</v>
      </c>
      <c r="J1179" s="407">
        <v>17500</v>
      </c>
      <c r="K1179" s="397"/>
      <c r="L1179" s="406"/>
      <c r="M1179" s="81">
        <f t="shared" si="92"/>
        <v>116322500</v>
      </c>
      <c r="N1179" s="82" t="s">
        <v>268</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customHeight="1">
      <c r="A1180" s="323" t="str">
        <f>IF(B1180&lt;&gt;"",IF(AND(B1180='IN-TC'!$S$4,OR(TH!N1180="1111",TH!O1180="1111")),TH!D1180,""),"")</f>
        <v/>
      </c>
      <c r="B1180" s="63">
        <f t="shared" si="89"/>
        <v>2</v>
      </c>
      <c r="C1180" s="78">
        <f t="shared" si="93"/>
        <v>42415</v>
      </c>
      <c r="D1180" s="78" t="s">
        <v>924</v>
      </c>
      <c r="E1180" s="78">
        <v>42415</v>
      </c>
      <c r="F1180" s="79" t="s">
        <v>1952</v>
      </c>
      <c r="G1180" s="79"/>
      <c r="H1180" s="80" t="s">
        <v>378</v>
      </c>
      <c r="I1180" s="407">
        <v>6123</v>
      </c>
      <c r="J1180" s="407">
        <v>17500</v>
      </c>
      <c r="K1180" s="398"/>
      <c r="L1180" s="407"/>
      <c r="M1180" s="81">
        <f t="shared" si="92"/>
        <v>107152500</v>
      </c>
      <c r="N1180" s="82" t="s">
        <v>268</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customHeight="1">
      <c r="A1181" s="323" t="str">
        <f>IF(B1181&lt;&gt;"",IF(AND(B1181='IN-TC'!$S$4,OR(TH!N1181="1111",TH!O1181="1111")),TH!D1181,""),"")</f>
        <v/>
      </c>
      <c r="B1181" s="63">
        <f t="shared" si="89"/>
        <v>2</v>
      </c>
      <c r="C1181" s="78">
        <f t="shared" si="93"/>
        <v>42415</v>
      </c>
      <c r="D1181" s="78" t="s">
        <v>925</v>
      </c>
      <c r="E1181" s="78">
        <v>42415</v>
      </c>
      <c r="F1181" s="79" t="s">
        <v>1952</v>
      </c>
      <c r="G1181" s="79"/>
      <c r="H1181" s="80" t="s">
        <v>384</v>
      </c>
      <c r="I1181" s="406">
        <v>6652</v>
      </c>
      <c r="J1181" s="407">
        <v>17500</v>
      </c>
      <c r="K1181" s="397"/>
      <c r="L1181" s="406"/>
      <c r="M1181" s="81">
        <f t="shared" si="92"/>
        <v>116410000</v>
      </c>
      <c r="N1181" s="82" t="s">
        <v>268</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customHeight="1">
      <c r="A1182" s="323" t="str">
        <f>IF(B1182&lt;&gt;"",IF(AND(B1182='IN-TC'!$S$4,OR(TH!N1182="1111",TH!O1182="1111")),TH!D1182,""),"")</f>
        <v/>
      </c>
      <c r="B1182" s="63">
        <f t="shared" si="89"/>
        <v>2</v>
      </c>
      <c r="C1182" s="90">
        <v>42423</v>
      </c>
      <c r="D1182" s="90" t="s">
        <v>680</v>
      </c>
      <c r="E1182" s="90">
        <f>C1182</f>
        <v>42423</v>
      </c>
      <c r="F1182" s="91" t="s">
        <v>1952</v>
      </c>
      <c r="G1182" s="91"/>
      <c r="H1182" s="92" t="s">
        <v>439</v>
      </c>
      <c r="I1182" s="414">
        <v>25063</v>
      </c>
      <c r="J1182" s="1108">
        <v>17500</v>
      </c>
      <c r="K1182" s="405"/>
      <c r="L1182" s="414"/>
      <c r="M1182" s="93">
        <f t="shared" si="92"/>
        <v>438602500</v>
      </c>
      <c r="N1182" s="83" t="s">
        <v>276</v>
      </c>
      <c r="O1182" s="83" t="s">
        <v>268</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customHeight="1">
      <c r="A1183" s="323" t="str">
        <f>IF(B1183&lt;&gt;"",IF(AND(B1183='IN-TC'!$S$4,OR(TH!N2198="1111",TH!O2198="1111")),TH!D2198,""),"")</f>
        <v/>
      </c>
      <c r="B1183" s="63">
        <f t="shared" si="89"/>
        <v>1</v>
      </c>
      <c r="C1183" s="64">
        <f t="shared" ref="C1183:C1193" si="94">E1183</f>
        <v>42400</v>
      </c>
      <c r="D1183" s="64" t="s">
        <v>945</v>
      </c>
      <c r="E1183" s="64">
        <v>42400</v>
      </c>
      <c r="F1183" s="72" t="s">
        <v>932</v>
      </c>
      <c r="G1183" s="67" t="s">
        <v>337</v>
      </c>
      <c r="H1183" s="72" t="s">
        <v>418</v>
      </c>
      <c r="I1183" s="408"/>
      <c r="J1183" s="408"/>
      <c r="K1183" s="399"/>
      <c r="L1183" s="408"/>
      <c r="M1183" s="65">
        <v>234670000</v>
      </c>
      <c r="N1183" s="66" t="s">
        <v>8</v>
      </c>
      <c r="O1183" s="66" t="s">
        <v>266</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customHeight="1">
      <c r="A1184" s="323" t="str">
        <f>IF(B1184&lt;&gt;"",IF(AND(B1184='IN-TC'!$S$4,OR(TH!N2195="1111",TH!O2195="1111")),TH!D2195,""),"")</f>
        <v/>
      </c>
      <c r="B1184" s="63">
        <f t="shared" si="89"/>
        <v>1</v>
      </c>
      <c r="C1184" s="64">
        <f t="shared" si="94"/>
        <v>42400</v>
      </c>
      <c r="D1184" s="64" t="s">
        <v>945</v>
      </c>
      <c r="E1184" s="64">
        <v>42400</v>
      </c>
      <c r="F1184" s="72" t="s">
        <v>932</v>
      </c>
      <c r="G1184" s="67" t="s">
        <v>337</v>
      </c>
      <c r="H1184" s="72" t="s">
        <v>425</v>
      </c>
      <c r="I1184" s="408"/>
      <c r="J1184" s="408"/>
      <c r="K1184" s="399"/>
      <c r="L1184" s="408"/>
      <c r="M1184" s="65">
        <v>353028000</v>
      </c>
      <c r="N1184" s="66" t="s">
        <v>8</v>
      </c>
      <c r="O1184" s="66" t="s">
        <v>266</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customHeight="1">
      <c r="A1185" s="323" t="str">
        <f>IF(B1185&lt;&gt;"",IF(AND(B1185='IN-TC'!$S$4,OR(TH!N2192="1111",TH!O2192="1111")),TH!D2192,""),"")</f>
        <v/>
      </c>
      <c r="B1185" s="63">
        <f t="shared" si="89"/>
        <v>1</v>
      </c>
      <c r="C1185" s="64">
        <f t="shared" si="94"/>
        <v>42400</v>
      </c>
      <c r="D1185" s="64" t="s">
        <v>945</v>
      </c>
      <c r="E1185" s="64">
        <v>42400</v>
      </c>
      <c r="F1185" s="72" t="s">
        <v>932</v>
      </c>
      <c r="G1185" s="67" t="s">
        <v>337</v>
      </c>
      <c r="H1185" s="72" t="s">
        <v>427</v>
      </c>
      <c r="I1185" s="408"/>
      <c r="J1185" s="408"/>
      <c r="K1185" s="399"/>
      <c r="L1185" s="408"/>
      <c r="M1185" s="65">
        <v>229338000</v>
      </c>
      <c r="N1185" s="66" t="s">
        <v>8</v>
      </c>
      <c r="O1185" s="66" t="s">
        <v>266</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customHeight="1">
      <c r="A1186" s="323" t="str">
        <f>IF(B1186&lt;&gt;"",IF(AND(B1186='IN-TC'!$S$4,OR(TH!N2191="1111",TH!O2191="1111")),TH!D2191,""),"")</f>
        <v/>
      </c>
      <c r="B1186" s="63">
        <f t="shared" si="89"/>
        <v>1</v>
      </c>
      <c r="C1186" s="64">
        <f t="shared" si="94"/>
        <v>42400</v>
      </c>
      <c r="D1186" s="64" t="s">
        <v>945</v>
      </c>
      <c r="E1186" s="64">
        <v>42400</v>
      </c>
      <c r="F1186" s="72" t="s">
        <v>932</v>
      </c>
      <c r="G1186" s="67" t="s">
        <v>337</v>
      </c>
      <c r="H1186" s="72" t="s">
        <v>434</v>
      </c>
      <c r="I1186" s="408"/>
      <c r="J1186" s="408"/>
      <c r="K1186" s="399"/>
      <c r="L1186" s="408"/>
      <c r="M1186" s="65">
        <v>262260000</v>
      </c>
      <c r="N1186" s="66" t="s">
        <v>8</v>
      </c>
      <c r="O1186" s="66" t="s">
        <v>266</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customHeight="1">
      <c r="A1187" s="323" t="str">
        <f>IF(B1187&lt;&gt;"",IF(AND(B1187='IN-TC'!$S$4,OR(TH!N1187="1111",TH!O1187="1111")),TH!D1187,""),"")</f>
        <v/>
      </c>
      <c r="B1187" s="63">
        <f t="shared" si="89"/>
        <v>2</v>
      </c>
      <c r="C1187" s="78">
        <f t="shared" si="94"/>
        <v>42423</v>
      </c>
      <c r="D1187" s="78" t="s">
        <v>935</v>
      </c>
      <c r="E1187" s="78">
        <v>42423</v>
      </c>
      <c r="F1187" s="79" t="s">
        <v>1952</v>
      </c>
      <c r="G1187" s="79"/>
      <c r="H1187" s="80" t="s">
        <v>378</v>
      </c>
      <c r="I1187" s="406">
        <v>7540</v>
      </c>
      <c r="J1187" s="407">
        <v>17500</v>
      </c>
      <c r="K1187" s="397"/>
      <c r="L1187" s="406"/>
      <c r="M1187" s="81">
        <f>ROUND(I1187*J1187,0)</f>
        <v>131950000</v>
      </c>
      <c r="N1187" s="82" t="s">
        <v>268</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customHeight="1">
      <c r="A1188" s="323" t="str">
        <f>IF(B1188&lt;&gt;"",IF(AND(B1188='IN-TC'!$S$4,OR(TH!N1188="1111",TH!O1188="1111")),TH!D1188,""),"")</f>
        <v/>
      </c>
      <c r="B1188" s="63">
        <f t="shared" si="89"/>
        <v>2</v>
      </c>
      <c r="C1188" s="78">
        <f t="shared" si="94"/>
        <v>42423</v>
      </c>
      <c r="D1188" s="78" t="s">
        <v>936</v>
      </c>
      <c r="E1188" s="78">
        <v>42423</v>
      </c>
      <c r="F1188" s="79" t="s">
        <v>1952</v>
      </c>
      <c r="G1188" s="79"/>
      <c r="H1188" s="80" t="s">
        <v>371</v>
      </c>
      <c r="I1188" s="406">
        <v>7820</v>
      </c>
      <c r="J1188" s="407">
        <v>17500</v>
      </c>
      <c r="K1188" s="397"/>
      <c r="L1188" s="406"/>
      <c r="M1188" s="81">
        <f>ROUND(I1188*J1188,0)</f>
        <v>136850000</v>
      </c>
      <c r="N1188" s="82" t="s">
        <v>268</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customHeight="1">
      <c r="A1189" s="323" t="str">
        <f>IF(B1189&lt;&gt;"",IF(AND(B1189='IN-TC'!$S$4,OR(TH!N1189="1111",TH!O1189="1111")),TH!D1189,""),"")</f>
        <v/>
      </c>
      <c r="B1189" s="63">
        <f t="shared" si="89"/>
        <v>2</v>
      </c>
      <c r="C1189" s="78">
        <f t="shared" si="94"/>
        <v>42423</v>
      </c>
      <c r="D1189" s="78" t="s">
        <v>937</v>
      </c>
      <c r="E1189" s="78">
        <v>42423</v>
      </c>
      <c r="F1189" s="79" t="s">
        <v>1952</v>
      </c>
      <c r="G1189" s="79"/>
      <c r="H1189" s="85" t="s">
        <v>376</v>
      </c>
      <c r="I1189" s="406">
        <v>9703</v>
      </c>
      <c r="J1189" s="407">
        <v>17500</v>
      </c>
      <c r="K1189" s="397"/>
      <c r="L1189" s="406"/>
      <c r="M1189" s="81">
        <f>ROUND(I1189*J1189,0)</f>
        <v>169802500</v>
      </c>
      <c r="N1189" s="82" t="s">
        <v>268</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customHeight="1">
      <c r="A1190" s="323" t="str">
        <f>IF(B1190&lt;&gt;"",IF(AND(B1190='IN-TC'!$S$4,OR(TH!N1184="1111",TH!O1184="1111")),TH!D1184,""),"")</f>
        <v/>
      </c>
      <c r="B1190" s="63">
        <f t="shared" si="89"/>
        <v>2</v>
      </c>
      <c r="C1190" s="78">
        <f t="shared" si="94"/>
        <v>42417</v>
      </c>
      <c r="D1190" s="78" t="s">
        <v>927</v>
      </c>
      <c r="E1190" s="78">
        <v>42417</v>
      </c>
      <c r="F1190" s="79" t="s">
        <v>669</v>
      </c>
      <c r="G1190" s="79"/>
      <c r="H1190" s="80" t="s">
        <v>425</v>
      </c>
      <c r="I1190" s="406">
        <v>7150</v>
      </c>
      <c r="J1190" s="407">
        <v>15500</v>
      </c>
      <c r="K1190" s="397"/>
      <c r="L1190" s="406"/>
      <c r="M1190" s="81">
        <f>ROUND(I1190*J1190,0)</f>
        <v>110825000</v>
      </c>
      <c r="N1190" s="82" t="s">
        <v>268</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customHeight="1">
      <c r="A1191" s="323" t="str">
        <f>IF(B1191&lt;&gt;"",IF(AND(B1191='IN-TC'!$S$4,OR(TH!N1185="1111",TH!O1185="1111")),TH!D1185,""),"")</f>
        <v/>
      </c>
      <c r="B1191" s="63">
        <f t="shared" si="89"/>
        <v>2</v>
      </c>
      <c r="C1191" s="78">
        <f t="shared" si="94"/>
        <v>42417</v>
      </c>
      <c r="D1191" s="78" t="s">
        <v>933</v>
      </c>
      <c r="E1191" s="78">
        <v>42417</v>
      </c>
      <c r="F1191" s="79" t="s">
        <v>669</v>
      </c>
      <c r="G1191" s="79"/>
      <c r="H1191" s="80" t="s">
        <v>427</v>
      </c>
      <c r="I1191" s="406">
        <v>6970</v>
      </c>
      <c r="J1191" s="407">
        <v>15500</v>
      </c>
      <c r="K1191" s="397"/>
      <c r="L1191" s="406"/>
      <c r="M1191" s="81">
        <f>ROUND(I1191*J1191,0)</f>
        <v>108035000</v>
      </c>
      <c r="N1191" s="82" t="s">
        <v>268</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customHeight="1">
      <c r="A1192" s="323" t="str">
        <f>IF(B1192&lt;&gt;"",IF(AND(B1192='IN-TC'!$S$4,OR(TH!N2196="1111",TH!O2196="1111")),TH!D2196,""),"")</f>
        <v/>
      </c>
      <c r="B1192" s="63">
        <f t="shared" si="89"/>
        <v>1</v>
      </c>
      <c r="C1192" s="64">
        <f t="shared" si="94"/>
        <v>42400</v>
      </c>
      <c r="D1192" s="64" t="s">
        <v>945</v>
      </c>
      <c r="E1192" s="64">
        <v>42400</v>
      </c>
      <c r="F1192" s="72" t="s">
        <v>932</v>
      </c>
      <c r="G1192" s="67" t="s">
        <v>337</v>
      </c>
      <c r="H1192" s="329" t="s">
        <v>428</v>
      </c>
      <c r="I1192" s="410"/>
      <c r="J1192" s="410"/>
      <c r="K1192" s="401"/>
      <c r="L1192" s="410"/>
      <c r="M1192" s="65">
        <v>335079000</v>
      </c>
      <c r="N1192" s="66" t="s">
        <v>8</v>
      </c>
      <c r="O1192" s="66" t="s">
        <v>266</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customHeight="1">
      <c r="A1193" s="323" t="str">
        <f>IF(B1193&lt;&gt;"",IF(AND(B1193='IN-TC'!$S$4,OR(TH!N1360="1111",TH!O1360="1111")),TH!D1360,""),"")</f>
        <v/>
      </c>
      <c r="B1193" s="63">
        <f t="shared" si="89"/>
        <v>8</v>
      </c>
      <c r="C1193" s="90">
        <f t="shared" si="94"/>
        <v>42592</v>
      </c>
      <c r="D1193" s="90" t="s">
        <v>681</v>
      </c>
      <c r="E1193" s="90">
        <v>42592</v>
      </c>
      <c r="F1193" s="91" t="s">
        <v>1937</v>
      </c>
      <c r="G1193" s="92" t="s">
        <v>2914</v>
      </c>
      <c r="H1193" s="92" t="s">
        <v>1525</v>
      </c>
      <c r="I1193" s="1109">
        <v>2200</v>
      </c>
      <c r="J1193" s="1108">
        <v>11165</v>
      </c>
      <c r="K1193" s="1110">
        <f>M1193/L1193</f>
        <v>1100</v>
      </c>
      <c r="L1193" s="1109">
        <v>22330</v>
      </c>
      <c r="M1193" s="93">
        <f>ROUND(I1193*J1193,0)</f>
        <v>24563000</v>
      </c>
      <c r="N1193" s="83" t="s">
        <v>576</v>
      </c>
      <c r="O1193" s="83" t="s">
        <v>268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customHeight="1">
      <c r="A1194" s="323" t="str">
        <f>IF(B1194&lt;&gt;"",IF(AND(B1194='IN-TC'!$S$4,OR(TH!N283="1111",TH!O283="1111")),TH!D283,""),"")</f>
        <v/>
      </c>
      <c r="B1194" s="63">
        <f t="shared" si="89"/>
        <v>8</v>
      </c>
      <c r="C1194" s="1087">
        <v>42606</v>
      </c>
      <c r="D1194" s="1087" t="s">
        <v>1891</v>
      </c>
      <c r="E1194" s="1087">
        <f>C1194</f>
        <v>42606</v>
      </c>
      <c r="F1194" s="1155" t="s">
        <v>1892</v>
      </c>
      <c r="G1194" s="1131" t="s">
        <v>1894</v>
      </c>
      <c r="H1194" s="92" t="s">
        <v>1525</v>
      </c>
      <c r="I1194" s="414">
        <v>8100</v>
      </c>
      <c r="J1194" s="1132">
        <v>1</v>
      </c>
      <c r="K1194" s="405">
        <f>I1194*J1194</f>
        <v>8100</v>
      </c>
      <c r="L1194" s="414">
        <v>22260</v>
      </c>
      <c r="M1194" s="1133">
        <f>ROUND(K1194*L1194,0)</f>
        <v>180306000</v>
      </c>
      <c r="N1194" s="1134" t="s">
        <v>576</v>
      </c>
      <c r="O1194" s="1134" t="s">
        <v>292</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customHeight="1">
      <c r="A1195" s="323" t="str">
        <f>IF(B1195&lt;&gt;"",IF(AND(B1195='IN-TC'!$S$4,OR(TH!N1195="1111",TH!O1195="1111")),TH!D1195,""),"")</f>
        <v/>
      </c>
      <c r="B1195" s="63">
        <f t="shared" si="89"/>
        <v>3</v>
      </c>
      <c r="C1195" s="90">
        <v>42430</v>
      </c>
      <c r="D1195" s="90" t="s">
        <v>670</v>
      </c>
      <c r="E1195" s="90">
        <f>C1195</f>
        <v>42430</v>
      </c>
      <c r="F1195" s="91" t="s">
        <v>669</v>
      </c>
      <c r="G1195" s="91"/>
      <c r="H1195" s="92" t="s">
        <v>439</v>
      </c>
      <c r="I1195" s="1109">
        <v>28613</v>
      </c>
      <c r="J1195" s="1108">
        <v>15500</v>
      </c>
      <c r="K1195" s="1110"/>
      <c r="L1195" s="1109"/>
      <c r="M1195" s="93">
        <f>ROUND(I1195*J1195,0)</f>
        <v>443501500</v>
      </c>
      <c r="N1195" s="83" t="s">
        <v>276</v>
      </c>
      <c r="O1195" s="83" t="s">
        <v>268</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customHeight="1">
      <c r="A1196" s="323" t="str">
        <f>IF(B1196&lt;&gt;"",IF(AND(B1196='IN-TC'!$S$4,OR(TH!N1196="1111",TH!O1196="1111")),TH!D1196,""),"")</f>
        <v/>
      </c>
      <c r="B1196" s="63">
        <f t="shared" si="89"/>
        <v>3</v>
      </c>
      <c r="C1196" s="90">
        <v>42430</v>
      </c>
      <c r="D1196" s="90" t="s">
        <v>670</v>
      </c>
      <c r="E1196" s="90">
        <f>C1196</f>
        <v>42430</v>
      </c>
      <c r="F1196" s="91" t="s">
        <v>1952</v>
      </c>
      <c r="G1196" s="91"/>
      <c r="H1196" s="92" t="s">
        <v>439</v>
      </c>
      <c r="I1196" s="1109">
        <v>19157</v>
      </c>
      <c r="J1196" s="1108">
        <v>17500</v>
      </c>
      <c r="K1196" s="1110"/>
      <c r="L1196" s="1109"/>
      <c r="M1196" s="93">
        <f>ROUND(I1196*J1196,0)</f>
        <v>335247500</v>
      </c>
      <c r="N1196" s="83" t="s">
        <v>276</v>
      </c>
      <c r="O1196" s="83" t="s">
        <v>268</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customHeight="1">
      <c r="A1197" s="323" t="str">
        <f>IF(B1197&lt;&gt;"",IF(AND(B1197='IN-TC'!$S$4,OR(TH!N1197="1111",TH!O1197="1111")),TH!D1197,""),"")</f>
        <v/>
      </c>
      <c r="B1197" s="63">
        <f t="shared" si="89"/>
        <v>3</v>
      </c>
      <c r="C1197" s="90">
        <v>42436</v>
      </c>
      <c r="D1197" s="90" t="s">
        <v>677</v>
      </c>
      <c r="E1197" s="90">
        <f>C1197</f>
        <v>42436</v>
      </c>
      <c r="F1197" s="91" t="s">
        <v>669</v>
      </c>
      <c r="G1197" s="1089"/>
      <c r="H1197" s="92" t="s">
        <v>439</v>
      </c>
      <c r="I1197" s="1109">
        <v>20887</v>
      </c>
      <c r="J1197" s="1108">
        <v>15500</v>
      </c>
      <c r="K1197" s="1110"/>
      <c r="L1197" s="1109"/>
      <c r="M1197" s="93">
        <f>ROUND(I1197*J1197,0)</f>
        <v>323748500</v>
      </c>
      <c r="N1197" s="83" t="s">
        <v>276</v>
      </c>
      <c r="O1197" s="83" t="s">
        <v>268</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customHeight="1">
      <c r="A1198" s="323" t="str">
        <f>IF(B1198&lt;&gt;"",IF(AND(B1198='IN-TC'!$S$4,OR(TH!N1198="1111",TH!O1198="1111")),TH!D1198,""),"")</f>
        <v/>
      </c>
      <c r="B1198" s="63">
        <f t="shared" ref="B1198:B1261" si="95">IF(C1198&lt;&gt;"",MONTH(C1198),"")</f>
        <v>3</v>
      </c>
      <c r="C1198" s="90">
        <v>42438</v>
      </c>
      <c r="D1198" s="90" t="s">
        <v>678</v>
      </c>
      <c r="E1198" s="90">
        <f>C1198</f>
        <v>42438</v>
      </c>
      <c r="F1198" s="91" t="s">
        <v>1952</v>
      </c>
      <c r="G1198" s="91"/>
      <c r="H1198" s="92" t="s">
        <v>439</v>
      </c>
      <c r="I1198" s="414">
        <v>19558</v>
      </c>
      <c r="J1198" s="1108">
        <v>17500</v>
      </c>
      <c r="K1198" s="405"/>
      <c r="L1198" s="414"/>
      <c r="M1198" s="93">
        <f>ROUND(I1198*J1198,0)</f>
        <v>342265000</v>
      </c>
      <c r="N1198" s="83" t="s">
        <v>276</v>
      </c>
      <c r="O1198" s="83" t="s">
        <v>268</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customHeight="1">
      <c r="A1199" s="323" t="str">
        <f>IF(B1199&lt;&gt;"",IF(AND(B1199='IN-TC'!$S$4,OR(TH!N2210="1111",TH!O2210="1111")),TH!D2210,""),"")</f>
        <v/>
      </c>
      <c r="B1199" s="63">
        <f t="shared" si="95"/>
        <v>2</v>
      </c>
      <c r="C1199" s="64">
        <f t="shared" ref="C1199:C1215" si="96">E1199</f>
        <v>42429</v>
      </c>
      <c r="D1199" s="64" t="s">
        <v>2204</v>
      </c>
      <c r="E1199" s="64">
        <v>42429</v>
      </c>
      <c r="F1199" s="72" t="s">
        <v>932</v>
      </c>
      <c r="G1199" s="67" t="s">
        <v>331</v>
      </c>
      <c r="H1199" s="329" t="s">
        <v>371</v>
      </c>
      <c r="I1199" s="408"/>
      <c r="J1199" s="408"/>
      <c r="K1199" s="399"/>
      <c r="L1199" s="408"/>
      <c r="M1199" s="65">
        <v>251300000</v>
      </c>
      <c r="N1199" s="66" t="s">
        <v>8</v>
      </c>
      <c r="O1199" s="66" t="s">
        <v>266</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customHeight="1">
      <c r="A1200" s="323" t="str">
        <f>IF(B1200&lt;&gt;"",IF(AND(B1200='IN-TC'!$S$4,OR(TH!N2205="1111",TH!O2205="1111")),TH!D2205,""),"")</f>
        <v/>
      </c>
      <c r="B1200" s="63">
        <f t="shared" si="95"/>
        <v>2</v>
      </c>
      <c r="C1200" s="64">
        <f t="shared" si="96"/>
        <v>42429</v>
      </c>
      <c r="D1200" s="64" t="s">
        <v>2204</v>
      </c>
      <c r="E1200" s="64">
        <v>42429</v>
      </c>
      <c r="F1200" s="72" t="s">
        <v>932</v>
      </c>
      <c r="G1200" s="67" t="s">
        <v>331</v>
      </c>
      <c r="H1200" s="329" t="s">
        <v>376</v>
      </c>
      <c r="I1200" s="408"/>
      <c r="J1200" s="408"/>
      <c r="K1200" s="399"/>
      <c r="L1200" s="408"/>
      <c r="M1200" s="65">
        <v>281067500</v>
      </c>
      <c r="N1200" s="66" t="s">
        <v>8</v>
      </c>
      <c r="O1200" s="66" t="s">
        <v>266</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customHeight="1">
      <c r="A1201" s="323" t="str">
        <f>IF(B1201&lt;&gt;"",IF(AND(B1201='IN-TC'!$S$4,OR(TH!N2209="1111",TH!O2209="1111")),TH!D2209,""),"")</f>
        <v/>
      </c>
      <c r="B1201" s="63">
        <f t="shared" si="95"/>
        <v>2</v>
      </c>
      <c r="C1201" s="64">
        <f t="shared" si="96"/>
        <v>42429</v>
      </c>
      <c r="D1201" s="64" t="s">
        <v>2204</v>
      </c>
      <c r="E1201" s="64">
        <v>42429</v>
      </c>
      <c r="F1201" s="72" t="s">
        <v>932</v>
      </c>
      <c r="G1201" s="67" t="s">
        <v>331</v>
      </c>
      <c r="H1201" s="329" t="s">
        <v>378</v>
      </c>
      <c r="I1201" s="410"/>
      <c r="J1201" s="410"/>
      <c r="K1201" s="401"/>
      <c r="L1201" s="410"/>
      <c r="M1201" s="65">
        <v>348635000</v>
      </c>
      <c r="N1201" s="66" t="s">
        <v>8</v>
      </c>
      <c r="O1201" s="66" t="s">
        <v>266</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customHeight="1">
      <c r="A1202" s="323" t="str">
        <f>IF(B1202&lt;&gt;"",IF(AND(B1202='IN-TC'!$S$4,OR(TH!N1202="1111",TH!O1202="1111")),TH!D1202,""),"")</f>
        <v/>
      </c>
      <c r="B1202" s="63">
        <f t="shared" si="95"/>
        <v>3</v>
      </c>
      <c r="C1202" s="78">
        <f t="shared" si="96"/>
        <v>42437</v>
      </c>
      <c r="D1202" s="78" t="s">
        <v>920</v>
      </c>
      <c r="E1202" s="78">
        <v>42437</v>
      </c>
      <c r="F1202" s="79" t="s">
        <v>668</v>
      </c>
      <c r="G1202" s="79"/>
      <c r="H1202" s="80" t="s">
        <v>357</v>
      </c>
      <c r="I1202" s="406">
        <v>4013</v>
      </c>
      <c r="J1202" s="407">
        <v>18500</v>
      </c>
      <c r="K1202" s="397"/>
      <c r="L1202" s="406"/>
      <c r="M1202" s="81">
        <f>ROUND(I1202*J1202,0)</f>
        <v>74240500</v>
      </c>
      <c r="N1202" s="82" t="s">
        <v>268</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customHeight="1">
      <c r="A1203" s="323" t="str">
        <f>IF(B1203&lt;&gt;"",IF(AND(B1203='IN-TC'!$S$4,OR(TH!N1203="1111",TH!O1203="1111")),TH!D1203,""),"")</f>
        <v/>
      </c>
      <c r="B1203" s="63">
        <f t="shared" si="95"/>
        <v>3</v>
      </c>
      <c r="C1203" s="78">
        <f t="shared" si="96"/>
        <v>42437</v>
      </c>
      <c r="D1203" s="78" t="s">
        <v>921</v>
      </c>
      <c r="E1203" s="78">
        <v>42437</v>
      </c>
      <c r="F1203" s="79" t="s">
        <v>668</v>
      </c>
      <c r="G1203" s="79"/>
      <c r="H1203" s="85" t="s">
        <v>339</v>
      </c>
      <c r="I1203" s="407">
        <v>3980</v>
      </c>
      <c r="J1203" s="407">
        <v>18500</v>
      </c>
      <c r="K1203" s="398"/>
      <c r="L1203" s="407"/>
      <c r="M1203" s="81">
        <f>ROUND(I1203*J1203,0)</f>
        <v>73630000</v>
      </c>
      <c r="N1203" s="82" t="s">
        <v>268</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customHeight="1">
      <c r="A1204" s="323" t="str">
        <f>IF(B1204&lt;&gt;"",IF(AND(B1204='IN-TC'!$S$4,OR(TH!N1204="1111",TH!O1204="1111")),TH!D1204,""),"")</f>
        <v/>
      </c>
      <c r="B1204" s="63">
        <f t="shared" si="95"/>
        <v>3</v>
      </c>
      <c r="C1204" s="78">
        <f t="shared" si="96"/>
        <v>42437</v>
      </c>
      <c r="D1204" s="78" t="s">
        <v>922</v>
      </c>
      <c r="E1204" s="78">
        <v>42437</v>
      </c>
      <c r="F1204" s="79" t="s">
        <v>668</v>
      </c>
      <c r="G1204" s="79"/>
      <c r="H1204" s="80" t="s">
        <v>342</v>
      </c>
      <c r="I1204" s="406">
        <v>4013</v>
      </c>
      <c r="J1204" s="407">
        <v>18500</v>
      </c>
      <c r="K1204" s="397"/>
      <c r="L1204" s="406"/>
      <c r="M1204" s="81">
        <f>ROUND(I1204*J1204,0)</f>
        <v>74240500</v>
      </c>
      <c r="N1204" s="82" t="s">
        <v>268</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customHeight="1">
      <c r="A1205" s="323" t="str">
        <f>IF(B1205&lt;&gt;"",IF(AND(B1205='IN-TC'!$S$4,OR(TH!N1205="1111",TH!O1205="1111")),TH!D1205,""),"")</f>
        <v/>
      </c>
      <c r="B1205" s="63">
        <f t="shared" si="95"/>
        <v>3</v>
      </c>
      <c r="C1205" s="78">
        <f t="shared" si="96"/>
        <v>42437</v>
      </c>
      <c r="D1205" s="78" t="s">
        <v>923</v>
      </c>
      <c r="E1205" s="78">
        <v>42437</v>
      </c>
      <c r="F1205" s="79" t="s">
        <v>668</v>
      </c>
      <c r="G1205" s="79"/>
      <c r="H1205" s="80" t="s">
        <v>354</v>
      </c>
      <c r="I1205" s="406">
        <v>4170</v>
      </c>
      <c r="J1205" s="407">
        <v>18500</v>
      </c>
      <c r="K1205" s="397"/>
      <c r="L1205" s="406"/>
      <c r="M1205" s="81">
        <f>ROUND(I1205*J1205,0)</f>
        <v>77145000</v>
      </c>
      <c r="N1205" s="82" t="s">
        <v>268</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customHeight="1">
      <c r="A1206" s="323" t="str">
        <f>IF(B1206&lt;&gt;"",IF(AND(B1206='IN-TC'!$S$4,OR(TH!N2207="1111",TH!O2207="1111")),TH!D2207,""),"")</f>
        <v/>
      </c>
      <c r="B1206" s="63">
        <f t="shared" si="95"/>
        <v>2</v>
      </c>
      <c r="C1206" s="64">
        <f t="shared" si="96"/>
        <v>42429</v>
      </c>
      <c r="D1206" s="64" t="s">
        <v>2204</v>
      </c>
      <c r="E1206" s="64">
        <v>42429</v>
      </c>
      <c r="F1206" s="72" t="s">
        <v>932</v>
      </c>
      <c r="G1206" s="67" t="s">
        <v>331</v>
      </c>
      <c r="H1206" s="329" t="s">
        <v>384</v>
      </c>
      <c r="I1206" s="408"/>
      <c r="J1206" s="408"/>
      <c r="K1206" s="399"/>
      <c r="L1206" s="408"/>
      <c r="M1206" s="65">
        <v>231612500</v>
      </c>
      <c r="N1206" s="66" t="s">
        <v>8</v>
      </c>
      <c r="O1206" s="66" t="s">
        <v>266</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customHeight="1">
      <c r="A1207" s="323" t="str">
        <f>IF(B1207&lt;&gt;"",IF(AND(B1207='IN-TC'!$S$4,OR(TH!N2208="1111",TH!O2208="1111")),TH!D2208,""),"")</f>
        <v/>
      </c>
      <c r="B1207" s="63">
        <f t="shared" si="95"/>
        <v>2</v>
      </c>
      <c r="C1207" s="64">
        <f t="shared" si="96"/>
        <v>42429</v>
      </c>
      <c r="D1207" s="64" t="s">
        <v>2204</v>
      </c>
      <c r="E1207" s="64">
        <v>42429</v>
      </c>
      <c r="F1207" s="72" t="s">
        <v>932</v>
      </c>
      <c r="G1207" s="67" t="s">
        <v>331</v>
      </c>
      <c r="H1207" s="329" t="s">
        <v>386</v>
      </c>
      <c r="I1207" s="408"/>
      <c r="J1207" s="408"/>
      <c r="K1207" s="399"/>
      <c r="L1207" s="408"/>
      <c r="M1207" s="65">
        <v>121275000</v>
      </c>
      <c r="N1207" s="66" t="s">
        <v>8</v>
      </c>
      <c r="O1207" s="66" t="s">
        <v>266</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customHeight="1">
      <c r="A1208" s="323" t="str">
        <f>IF(B1208&lt;&gt;"",IF(AND(B1208='IN-TC'!$S$4,OR(TH!N2211="1111",TH!O2211="1111")),TH!D2211,""),"")</f>
        <v/>
      </c>
      <c r="B1208" s="63">
        <f t="shared" si="95"/>
        <v>2</v>
      </c>
      <c r="C1208" s="64">
        <f t="shared" si="96"/>
        <v>42429</v>
      </c>
      <c r="D1208" s="64" t="s">
        <v>2204</v>
      </c>
      <c r="E1208" s="64">
        <v>42429</v>
      </c>
      <c r="F1208" s="72" t="s">
        <v>932</v>
      </c>
      <c r="G1208" s="67" t="s">
        <v>331</v>
      </c>
      <c r="H1208" s="329" t="s">
        <v>388</v>
      </c>
      <c r="I1208" s="408"/>
      <c r="J1208" s="408"/>
      <c r="K1208" s="399"/>
      <c r="L1208" s="408"/>
      <c r="M1208" s="65">
        <v>105787500</v>
      </c>
      <c r="N1208" s="66" t="s">
        <v>8</v>
      </c>
      <c r="O1208" s="66" t="s">
        <v>266</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customHeight="1">
      <c r="A1209" s="323" t="str">
        <f>IF(B1209&lt;&gt;"",IF(AND(B1209='IN-TC'!$S$4,OR(TH!N2206="1111",TH!O2206="1111")),TH!D2206,""),"")</f>
        <v/>
      </c>
      <c r="B1209" s="63">
        <f t="shared" si="95"/>
        <v>2</v>
      </c>
      <c r="C1209" s="64">
        <f t="shared" si="96"/>
        <v>42429</v>
      </c>
      <c r="D1209" s="64" t="s">
        <v>2204</v>
      </c>
      <c r="E1209" s="64">
        <v>42429</v>
      </c>
      <c r="F1209" s="72" t="s">
        <v>932</v>
      </c>
      <c r="G1209" s="67" t="s">
        <v>331</v>
      </c>
      <c r="H1209" s="329" t="s">
        <v>381</v>
      </c>
      <c r="I1209" s="408"/>
      <c r="J1209" s="408"/>
      <c r="K1209" s="399"/>
      <c r="L1209" s="408"/>
      <c r="M1209" s="65">
        <v>116322500</v>
      </c>
      <c r="N1209" s="66" t="s">
        <v>8</v>
      </c>
      <c r="O1209" s="66" t="s">
        <v>266</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customHeight="1">
      <c r="A1210" s="323" t="str">
        <f>IF(B1210&lt;&gt;"",IF(AND(B1210='IN-TC'!$S$4,OR(TH!N1201="1111",TH!O1201="1111")),TH!D1201,""),"")</f>
        <v/>
      </c>
      <c r="B1210" s="63">
        <f t="shared" si="95"/>
        <v>3</v>
      </c>
      <c r="C1210" s="78">
        <f t="shared" si="96"/>
        <v>42430</v>
      </c>
      <c r="D1210" s="78" t="s">
        <v>919</v>
      </c>
      <c r="E1210" s="78">
        <v>42430</v>
      </c>
      <c r="F1210" s="79" t="s">
        <v>1952</v>
      </c>
      <c r="G1210" s="79"/>
      <c r="H1210" s="80" t="s">
        <v>378</v>
      </c>
      <c r="I1210" s="406">
        <v>6259</v>
      </c>
      <c r="J1210" s="407">
        <v>17500</v>
      </c>
      <c r="K1210" s="397"/>
      <c r="L1210" s="406"/>
      <c r="M1210" s="81">
        <f t="shared" ref="M1210:M1222" si="97">ROUND(I1210*J1210,0)</f>
        <v>109532500</v>
      </c>
      <c r="N1210" s="82" t="s">
        <v>268</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customHeight="1">
      <c r="A1211" s="323" t="str">
        <f>IF(B1211&lt;&gt;"",IF(AND(B1211='IN-TC'!$S$4,OR(TH!N1206="1111",TH!O1206="1111")),TH!D1206,""),"")</f>
        <v/>
      </c>
      <c r="B1211" s="63">
        <f t="shared" si="95"/>
        <v>3</v>
      </c>
      <c r="C1211" s="78">
        <f t="shared" si="96"/>
        <v>42438</v>
      </c>
      <c r="D1211" s="78" t="s">
        <v>924</v>
      </c>
      <c r="E1211" s="78">
        <v>42438</v>
      </c>
      <c r="F1211" s="79" t="s">
        <v>1952</v>
      </c>
      <c r="G1211" s="79"/>
      <c r="H1211" s="80" t="s">
        <v>384</v>
      </c>
      <c r="I1211" s="406">
        <v>6583</v>
      </c>
      <c r="J1211" s="407">
        <v>17500</v>
      </c>
      <c r="K1211" s="397"/>
      <c r="L1211" s="406"/>
      <c r="M1211" s="81">
        <f t="shared" si="97"/>
        <v>115202500</v>
      </c>
      <c r="N1211" s="82" t="s">
        <v>268</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customHeight="1">
      <c r="A1212" s="323" t="str">
        <f>IF(B1212&lt;&gt;"",IF(AND(B1212='IN-TC'!$S$4,OR(TH!N1212="1111",TH!O1212="1111")),TH!D1212,""),"")</f>
        <v/>
      </c>
      <c r="B1212" s="63">
        <f t="shared" si="95"/>
        <v>3</v>
      </c>
      <c r="C1212" s="78">
        <f t="shared" si="96"/>
        <v>42448</v>
      </c>
      <c r="D1212" s="78" t="s">
        <v>935</v>
      </c>
      <c r="E1212" s="78">
        <v>42448</v>
      </c>
      <c r="F1212" s="79" t="s">
        <v>668</v>
      </c>
      <c r="G1212" s="79"/>
      <c r="H1212" s="80" t="s">
        <v>357</v>
      </c>
      <c r="I1212" s="406">
        <v>4301</v>
      </c>
      <c r="J1212" s="407">
        <v>18500</v>
      </c>
      <c r="K1212" s="397"/>
      <c r="L1212" s="406"/>
      <c r="M1212" s="81">
        <f t="shared" si="97"/>
        <v>79568500</v>
      </c>
      <c r="N1212" s="82" t="s">
        <v>268</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customHeight="1">
      <c r="A1213" s="323" t="str">
        <f>IF(B1213&lt;&gt;"",IF(AND(B1213='IN-TC'!$S$4,OR(TH!N1213="1111",TH!O1213="1111")),TH!D1213,""),"")</f>
        <v/>
      </c>
      <c r="B1213" s="63">
        <f t="shared" si="95"/>
        <v>3</v>
      </c>
      <c r="C1213" s="78">
        <f t="shared" si="96"/>
        <v>42448</v>
      </c>
      <c r="D1213" s="78" t="s">
        <v>936</v>
      </c>
      <c r="E1213" s="78">
        <v>42448</v>
      </c>
      <c r="F1213" s="79" t="s">
        <v>668</v>
      </c>
      <c r="G1213" s="79"/>
      <c r="H1213" s="80" t="s">
        <v>360</v>
      </c>
      <c r="I1213" s="406">
        <v>4102</v>
      </c>
      <c r="J1213" s="407">
        <v>18500</v>
      </c>
      <c r="K1213" s="397"/>
      <c r="L1213" s="406"/>
      <c r="M1213" s="81">
        <f t="shared" si="97"/>
        <v>75887000</v>
      </c>
      <c r="N1213" s="82" t="s">
        <v>268</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customHeight="1">
      <c r="A1214" s="323" t="str">
        <f>IF(B1214&lt;&gt;"",IF(AND(B1214='IN-TC'!$S$4,OR(TH!N1214="1111",TH!O1214="1111")),TH!D1214,""),"")</f>
        <v/>
      </c>
      <c r="B1214" s="63">
        <f t="shared" si="95"/>
        <v>3</v>
      </c>
      <c r="C1214" s="78">
        <f t="shared" si="96"/>
        <v>42448</v>
      </c>
      <c r="D1214" s="78" t="s">
        <v>937</v>
      </c>
      <c r="E1214" s="78">
        <v>42448</v>
      </c>
      <c r="F1214" s="79" t="s">
        <v>668</v>
      </c>
      <c r="G1214" s="79"/>
      <c r="H1214" s="80" t="s">
        <v>354</v>
      </c>
      <c r="I1214" s="406">
        <v>3950</v>
      </c>
      <c r="J1214" s="407">
        <v>18500</v>
      </c>
      <c r="K1214" s="397"/>
      <c r="L1214" s="406"/>
      <c r="M1214" s="81">
        <f t="shared" si="97"/>
        <v>73075000</v>
      </c>
      <c r="N1214" s="82" t="s">
        <v>268</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customHeight="1">
      <c r="A1215" s="323" t="str">
        <f>IF(B1215&lt;&gt;"",IF(AND(B1215='IN-TC'!$S$4,OR(TH!N1215="1111",TH!O1215="1111")),TH!D1215,""),"")</f>
        <v/>
      </c>
      <c r="B1215" s="63">
        <f t="shared" si="95"/>
        <v>3</v>
      </c>
      <c r="C1215" s="78">
        <f t="shared" si="96"/>
        <v>42448</v>
      </c>
      <c r="D1215" s="78" t="s">
        <v>938</v>
      </c>
      <c r="E1215" s="78">
        <v>42448</v>
      </c>
      <c r="F1215" s="79" t="s">
        <v>668</v>
      </c>
      <c r="G1215" s="79"/>
      <c r="H1215" s="80" t="s">
        <v>342</v>
      </c>
      <c r="I1215" s="406">
        <v>3471</v>
      </c>
      <c r="J1215" s="407">
        <v>18500</v>
      </c>
      <c r="K1215" s="397"/>
      <c r="L1215" s="406"/>
      <c r="M1215" s="81">
        <f t="shared" si="97"/>
        <v>64213500</v>
      </c>
      <c r="N1215" s="82" t="s">
        <v>268</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customHeight="1">
      <c r="A1216" s="323" t="str">
        <f>IF(B1216&lt;&gt;"",IF(AND(B1216='IN-TC'!$S$4,OR(TH!N1216="1111",TH!O1216="1111")),TH!D1216,""),"")</f>
        <v/>
      </c>
      <c r="B1216" s="63">
        <f t="shared" si="95"/>
        <v>3</v>
      </c>
      <c r="C1216" s="90">
        <v>42439</v>
      </c>
      <c r="D1216" s="90" t="s">
        <v>679</v>
      </c>
      <c r="E1216" s="90">
        <f>C1216</f>
        <v>42439</v>
      </c>
      <c r="F1216" s="91" t="s">
        <v>668</v>
      </c>
      <c r="G1216" s="91"/>
      <c r="H1216" s="92" t="s">
        <v>439</v>
      </c>
      <c r="I1216" s="1109">
        <v>21136</v>
      </c>
      <c r="J1216" s="1108">
        <v>18500</v>
      </c>
      <c r="K1216" s="1110"/>
      <c r="L1216" s="1109"/>
      <c r="M1216" s="93">
        <f t="shared" si="97"/>
        <v>391016000</v>
      </c>
      <c r="N1216" s="83" t="s">
        <v>276</v>
      </c>
      <c r="O1216" s="83" t="s">
        <v>268</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customHeight="1">
      <c r="A1217" s="323" t="str">
        <f>IF(B1217&lt;&gt;"",IF(AND(B1217='IN-TC'!$S$4,OR(TH!N1217="1111",TH!O1217="1111")),TH!D1217,""),"")</f>
        <v/>
      </c>
      <c r="B1217" s="63">
        <f t="shared" si="95"/>
        <v>3</v>
      </c>
      <c r="C1217" s="90">
        <v>42446</v>
      </c>
      <c r="D1217" s="90" t="s">
        <v>680</v>
      </c>
      <c r="E1217" s="90">
        <f>C1217</f>
        <v>42446</v>
      </c>
      <c r="F1217" s="91" t="s">
        <v>1952</v>
      </c>
      <c r="G1217" s="91"/>
      <c r="H1217" s="92" t="s">
        <v>439</v>
      </c>
      <c r="I1217" s="1109">
        <v>19422</v>
      </c>
      <c r="J1217" s="1108">
        <v>17500</v>
      </c>
      <c r="K1217" s="1110"/>
      <c r="L1217" s="1109"/>
      <c r="M1217" s="93">
        <f t="shared" si="97"/>
        <v>339885000</v>
      </c>
      <c r="N1217" s="83" t="s">
        <v>276</v>
      </c>
      <c r="O1217" s="83" t="s">
        <v>268</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customHeight="1">
      <c r="A1218" s="323" t="str">
        <f>IF(B1218&lt;&gt;"",IF(AND(B1218='IN-TC'!$S$4,OR(TH!N1218="1111",TH!O1218="1111")),TH!D1218,""),"")</f>
        <v/>
      </c>
      <c r="B1218" s="63">
        <f t="shared" si="95"/>
        <v>3</v>
      </c>
      <c r="C1218" s="90">
        <v>42449</v>
      </c>
      <c r="D1218" s="90" t="s">
        <v>681</v>
      </c>
      <c r="E1218" s="90">
        <f>C1218</f>
        <v>42449</v>
      </c>
      <c r="F1218" s="91" t="s">
        <v>668</v>
      </c>
      <c r="G1218" s="91"/>
      <c r="H1218" s="92" t="s">
        <v>439</v>
      </c>
      <c r="I1218" s="414">
        <v>18864</v>
      </c>
      <c r="J1218" s="1108">
        <v>18500</v>
      </c>
      <c r="K1218" s="405"/>
      <c r="L1218" s="414"/>
      <c r="M1218" s="93">
        <f t="shared" si="97"/>
        <v>348984000</v>
      </c>
      <c r="N1218" s="83" t="s">
        <v>276</v>
      </c>
      <c r="O1218" s="83" t="s">
        <v>268</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customHeight="1">
      <c r="A1219" s="323" t="str">
        <f>IF(B1219&lt;&gt;"",IF(AND(B1219='IN-TC'!$S$4,OR(TH!N1210="1111",TH!O1210="1111")),TH!D1210,""),"")</f>
        <v/>
      </c>
      <c r="B1219" s="63">
        <f t="shared" si="95"/>
        <v>3</v>
      </c>
      <c r="C1219" s="78">
        <f>E1219</f>
        <v>42446</v>
      </c>
      <c r="D1219" s="78" t="s">
        <v>933</v>
      </c>
      <c r="E1219" s="78">
        <v>42446</v>
      </c>
      <c r="F1219" s="79" t="s">
        <v>1952</v>
      </c>
      <c r="G1219" s="79"/>
      <c r="H1219" s="80" t="s">
        <v>378</v>
      </c>
      <c r="I1219" s="407">
        <v>6123</v>
      </c>
      <c r="J1219" s="407">
        <v>17500</v>
      </c>
      <c r="K1219" s="398"/>
      <c r="L1219" s="407"/>
      <c r="M1219" s="81">
        <f t="shared" si="97"/>
        <v>107152500</v>
      </c>
      <c r="N1219" s="82" t="s">
        <v>268</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customHeight="1">
      <c r="A1220" s="323" t="str">
        <f>IF(B1220&lt;&gt;"",IF(AND(B1220='IN-TC'!$S$4,OR(TH!N1199="1111",TH!O1199="1111")),TH!D1199,""),"")</f>
        <v/>
      </c>
      <c r="B1220" s="63">
        <f t="shared" si="95"/>
        <v>3</v>
      </c>
      <c r="C1220" s="78">
        <f>E1220</f>
        <v>42430</v>
      </c>
      <c r="D1220" s="78" t="s">
        <v>917</v>
      </c>
      <c r="E1220" s="78">
        <v>42430</v>
      </c>
      <c r="F1220" s="79" t="s">
        <v>1952</v>
      </c>
      <c r="G1220" s="79"/>
      <c r="H1220" s="80" t="s">
        <v>371</v>
      </c>
      <c r="I1220" s="406">
        <v>6540</v>
      </c>
      <c r="J1220" s="407">
        <v>17500</v>
      </c>
      <c r="K1220" s="397"/>
      <c r="L1220" s="406"/>
      <c r="M1220" s="81">
        <f t="shared" si="97"/>
        <v>114450000</v>
      </c>
      <c r="N1220" s="82" t="s">
        <v>268</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customHeight="1">
      <c r="A1221" s="323" t="str">
        <f>IF(B1221&lt;&gt;"",IF(AND(B1221='IN-TC'!$S$4,OR(TH!N1200="1111",TH!O1200="1111")),TH!D1200,""),"")</f>
        <v/>
      </c>
      <c r="B1221" s="63">
        <f t="shared" si="95"/>
        <v>3</v>
      </c>
      <c r="C1221" s="78">
        <f>E1221</f>
        <v>42430</v>
      </c>
      <c r="D1221" s="78" t="s">
        <v>918</v>
      </c>
      <c r="E1221" s="78">
        <v>42430</v>
      </c>
      <c r="F1221" s="79" t="s">
        <v>1952</v>
      </c>
      <c r="G1221" s="79"/>
      <c r="H1221" s="85" t="s">
        <v>376</v>
      </c>
      <c r="I1221" s="407">
        <v>6358</v>
      </c>
      <c r="J1221" s="407">
        <v>17500</v>
      </c>
      <c r="K1221" s="398"/>
      <c r="L1221" s="407"/>
      <c r="M1221" s="81">
        <f t="shared" si="97"/>
        <v>111265000</v>
      </c>
      <c r="N1221" s="82" t="s">
        <v>268</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customHeight="1">
      <c r="A1222" s="323" t="str">
        <f>IF(B1222&lt;&gt;"",IF(AND(B1222='IN-TC'!$S$4,OR(TH!N1222="1111",TH!O1222="1111")),TH!D1222,""),"")</f>
        <v/>
      </c>
      <c r="B1222" s="63">
        <f t="shared" si="95"/>
        <v>3</v>
      </c>
      <c r="C1222" s="90">
        <v>42454</v>
      </c>
      <c r="D1222" s="90" t="s">
        <v>928</v>
      </c>
      <c r="E1222" s="90">
        <f>C1222</f>
        <v>42454</v>
      </c>
      <c r="F1222" s="91" t="s">
        <v>1952</v>
      </c>
      <c r="G1222" s="91"/>
      <c r="H1222" s="92" t="s">
        <v>439</v>
      </c>
      <c r="I1222" s="414">
        <v>25063</v>
      </c>
      <c r="J1222" s="1108">
        <v>17500</v>
      </c>
      <c r="K1222" s="405"/>
      <c r="L1222" s="414"/>
      <c r="M1222" s="93">
        <f t="shared" si="97"/>
        <v>438602500</v>
      </c>
      <c r="N1222" s="83" t="s">
        <v>276</v>
      </c>
      <c r="O1222" s="83" t="s">
        <v>268</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customHeight="1">
      <c r="A1223" s="323" t="str">
        <f>IF(B1223&lt;&gt;"",IF(AND(B1223='IN-TC'!$S$4,OR(TH!N2216="1111",TH!O2216="1111")),TH!D2216,""),"")</f>
        <v/>
      </c>
      <c r="B1223" s="63">
        <f t="shared" si="95"/>
        <v>3</v>
      </c>
      <c r="C1223" s="64">
        <f t="shared" ref="C1223:C1238" si="98">E1223</f>
        <v>42460</v>
      </c>
      <c r="D1223" s="64" t="s">
        <v>2205</v>
      </c>
      <c r="E1223" s="64">
        <v>42460</v>
      </c>
      <c r="F1223" s="72" t="s">
        <v>932</v>
      </c>
      <c r="G1223" s="67" t="s">
        <v>331</v>
      </c>
      <c r="H1223" s="329" t="s">
        <v>357</v>
      </c>
      <c r="I1223" s="408"/>
      <c r="J1223" s="408"/>
      <c r="K1223" s="399"/>
      <c r="L1223" s="408"/>
      <c r="M1223" s="65">
        <v>153809000</v>
      </c>
      <c r="N1223" s="66" t="s">
        <v>8</v>
      </c>
      <c r="O1223" s="66" t="s">
        <v>266</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customHeight="1">
      <c r="A1224" s="323" t="str">
        <f>IF(B1224&lt;&gt;"",IF(AND(B1224='IN-TC'!$S$4,OR(TH!N2215="1111",TH!O2215="1111")),TH!D2215,""),"")</f>
        <v/>
      </c>
      <c r="B1224" s="63">
        <f t="shared" si="95"/>
        <v>3</v>
      </c>
      <c r="C1224" s="64">
        <f t="shared" si="98"/>
        <v>42460</v>
      </c>
      <c r="D1224" s="64" t="s">
        <v>2205</v>
      </c>
      <c r="E1224" s="64">
        <v>42460</v>
      </c>
      <c r="F1224" s="72" t="s">
        <v>932</v>
      </c>
      <c r="G1224" s="67" t="s">
        <v>331</v>
      </c>
      <c r="H1224" s="329" t="s">
        <v>339</v>
      </c>
      <c r="I1224" s="408"/>
      <c r="J1224" s="408"/>
      <c r="K1224" s="399"/>
      <c r="L1224" s="408"/>
      <c r="M1224" s="65">
        <v>73630000</v>
      </c>
      <c r="N1224" s="66" t="s">
        <v>8</v>
      </c>
      <c r="O1224" s="66" t="s">
        <v>266</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customHeight="1">
      <c r="A1225" s="323" t="str">
        <f>IF(B1225&lt;&gt;"",IF(AND(B1225='IN-TC'!$S$4,OR(TH!N1225="1111",TH!O1225="1111")),TH!D1225,""),"")</f>
        <v/>
      </c>
      <c r="B1225" s="63">
        <f t="shared" si="95"/>
        <v>4</v>
      </c>
      <c r="C1225" s="78">
        <f t="shared" si="98"/>
        <v>42461</v>
      </c>
      <c r="D1225" s="78" t="s">
        <v>919</v>
      </c>
      <c r="E1225" s="78">
        <v>42461</v>
      </c>
      <c r="F1225" s="79" t="s">
        <v>668</v>
      </c>
      <c r="G1225" s="79"/>
      <c r="H1225" s="80" t="s">
        <v>342</v>
      </c>
      <c r="I1225" s="406">
        <v>3982</v>
      </c>
      <c r="J1225" s="407">
        <v>18500</v>
      </c>
      <c r="K1225" s="397"/>
      <c r="L1225" s="406"/>
      <c r="M1225" s="81">
        <f>ROUND(I1225*J1225,0)</f>
        <v>73667000</v>
      </c>
      <c r="N1225" s="82" t="s">
        <v>268</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customHeight="1">
      <c r="A1226" s="323" t="str">
        <f>IF(B1226&lt;&gt;"",IF(AND(B1226='IN-TC'!$S$4,OR(TH!N2214="1111",TH!O2214="1111")),TH!D2214,""),"")</f>
        <v/>
      </c>
      <c r="B1226" s="63">
        <f t="shared" si="95"/>
        <v>3</v>
      </c>
      <c r="C1226" s="64">
        <f t="shared" si="98"/>
        <v>42460</v>
      </c>
      <c r="D1226" s="64" t="s">
        <v>2205</v>
      </c>
      <c r="E1226" s="64">
        <v>42460</v>
      </c>
      <c r="F1226" s="72" t="s">
        <v>932</v>
      </c>
      <c r="G1226" s="67" t="s">
        <v>331</v>
      </c>
      <c r="H1226" s="329" t="s">
        <v>354</v>
      </c>
      <c r="I1226" s="410"/>
      <c r="J1226" s="410"/>
      <c r="K1226" s="401"/>
      <c r="L1226" s="410"/>
      <c r="M1226" s="65">
        <v>150220000</v>
      </c>
      <c r="N1226" s="66" t="s">
        <v>8</v>
      </c>
      <c r="O1226" s="66" t="s">
        <v>266</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customHeight="1">
      <c r="A1227" s="323" t="str">
        <f>IF(B1227&lt;&gt;"",IF(AND(B1227='IN-TC'!$S$4,OR(TH!N1223="1111",TH!O1223="1111")),TH!D1223,""),"")</f>
        <v/>
      </c>
      <c r="B1227" s="63">
        <f t="shared" si="95"/>
        <v>4</v>
      </c>
      <c r="C1227" s="78">
        <f t="shared" si="98"/>
        <v>42461</v>
      </c>
      <c r="D1227" s="78" t="s">
        <v>917</v>
      </c>
      <c r="E1227" s="78">
        <v>42461</v>
      </c>
      <c r="F1227" s="79" t="s">
        <v>668</v>
      </c>
      <c r="G1227" s="79"/>
      <c r="H1227" s="80" t="s">
        <v>357</v>
      </c>
      <c r="I1227" s="406">
        <v>3986</v>
      </c>
      <c r="J1227" s="407">
        <v>18500</v>
      </c>
      <c r="K1227" s="397"/>
      <c r="L1227" s="406"/>
      <c r="M1227" s="81">
        <f>ROUND(I1227*J1227,0)</f>
        <v>73741000</v>
      </c>
      <c r="N1227" s="82" t="s">
        <v>268</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customHeight="1">
      <c r="A1228" s="323" t="str">
        <f>IF(B1228&lt;&gt;"",IF(AND(B1228='IN-TC'!$S$4,OR(TH!N2219="1111",TH!O2219="1111")),TH!D2219,""),"")</f>
        <v/>
      </c>
      <c r="B1228" s="63">
        <f t="shared" si="95"/>
        <v>3</v>
      </c>
      <c r="C1228" s="64">
        <f t="shared" si="98"/>
        <v>42460</v>
      </c>
      <c r="D1228" s="64" t="s">
        <v>2205</v>
      </c>
      <c r="E1228" s="64">
        <v>42460</v>
      </c>
      <c r="F1228" s="72" t="s">
        <v>932</v>
      </c>
      <c r="G1228" s="67" t="s">
        <v>331</v>
      </c>
      <c r="H1228" s="329" t="s">
        <v>360</v>
      </c>
      <c r="I1228" s="410"/>
      <c r="J1228" s="410"/>
      <c r="K1228" s="401"/>
      <c r="L1228" s="410"/>
      <c r="M1228" s="65">
        <v>75887000</v>
      </c>
      <c r="N1228" s="66" t="s">
        <v>8</v>
      </c>
      <c r="O1228" s="66" t="s">
        <v>266</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customHeight="1">
      <c r="A1229" s="323" t="str">
        <f>IF(B1229&lt;&gt;"",IF(AND(B1229='IN-TC'!$S$4,OR(TH!N1226="1111",TH!O1226="1111")),TH!D1226,""),"")</f>
        <v/>
      </c>
      <c r="B1229" s="63">
        <f t="shared" si="95"/>
        <v>4</v>
      </c>
      <c r="C1229" s="78">
        <f t="shared" si="98"/>
        <v>42464</v>
      </c>
      <c r="D1229" s="78" t="s">
        <v>920</v>
      </c>
      <c r="E1229" s="78">
        <v>42464</v>
      </c>
      <c r="F1229" s="79" t="s">
        <v>668</v>
      </c>
      <c r="G1229" s="79"/>
      <c r="H1229" s="80" t="s">
        <v>354</v>
      </c>
      <c r="I1229" s="406">
        <v>4572</v>
      </c>
      <c r="J1229" s="407">
        <v>18500</v>
      </c>
      <c r="K1229" s="397"/>
      <c r="L1229" s="406"/>
      <c r="M1229" s="81">
        <f>ROUND(I1229*J1229,0)</f>
        <v>84582000</v>
      </c>
      <c r="N1229" s="82" t="s">
        <v>268</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customHeight="1">
      <c r="A1230" s="323" t="str">
        <f>IF(B1230&lt;&gt;"",IF(AND(B1230='IN-TC'!$S$4,OR(TH!N1230="1111",TH!O1230="1111")),TH!D1230,""),"")</f>
        <v/>
      </c>
      <c r="B1230" s="63">
        <f t="shared" si="95"/>
        <v>4</v>
      </c>
      <c r="C1230" s="90">
        <f t="shared" si="98"/>
        <v>42461</v>
      </c>
      <c r="D1230" s="90" t="s">
        <v>670</v>
      </c>
      <c r="E1230" s="90">
        <v>42461</v>
      </c>
      <c r="F1230" s="91" t="s">
        <v>668</v>
      </c>
      <c r="G1230" s="91"/>
      <c r="H1230" s="92" t="s">
        <v>439</v>
      </c>
      <c r="I1230" s="1109">
        <v>12147</v>
      </c>
      <c r="J1230" s="1108">
        <v>18500</v>
      </c>
      <c r="K1230" s="1110"/>
      <c r="L1230" s="1109"/>
      <c r="M1230" s="93">
        <f>ROUND(I1230*J1230,0)</f>
        <v>224719500</v>
      </c>
      <c r="N1230" s="83" t="s">
        <v>276</v>
      </c>
      <c r="O1230" s="83" t="s">
        <v>268</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customHeight="1">
      <c r="A1231" s="323" t="str">
        <f>IF(B1231&lt;&gt;"",IF(AND(B1231='IN-TC'!$S$4,OR(TH!N1231="1111",TH!O1231="1111")),TH!D1231,""),"")</f>
        <v/>
      </c>
      <c r="B1231" s="63">
        <f t="shared" si="95"/>
        <v>4</v>
      </c>
      <c r="C1231" s="90">
        <f t="shared" si="98"/>
        <v>42464</v>
      </c>
      <c r="D1231" s="90" t="s">
        <v>677</v>
      </c>
      <c r="E1231" s="90">
        <v>42464</v>
      </c>
      <c r="F1231" s="91" t="s">
        <v>668</v>
      </c>
      <c r="G1231" s="91"/>
      <c r="H1231" s="92" t="s">
        <v>439</v>
      </c>
      <c r="I1231" s="414">
        <v>9352</v>
      </c>
      <c r="J1231" s="1108">
        <v>18500</v>
      </c>
      <c r="K1231" s="405"/>
      <c r="L1231" s="414"/>
      <c r="M1231" s="93">
        <f>ROUND(I1231*J1231,0)</f>
        <v>173012000</v>
      </c>
      <c r="N1231" s="83" t="s">
        <v>276</v>
      </c>
      <c r="O1231" s="83" t="s">
        <v>268</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customHeight="1">
      <c r="A1232" s="323" t="str">
        <f>IF(B1232&lt;&gt;"",IF(AND(B1232='IN-TC'!$S$4,OR(TH!N1232="1111",TH!O1232="1111")),TH!D1232,""),"")</f>
        <v/>
      </c>
      <c r="B1232" s="63">
        <f t="shared" si="95"/>
        <v>4</v>
      </c>
      <c r="C1232" s="90">
        <f t="shared" si="98"/>
        <v>42470</v>
      </c>
      <c r="D1232" s="90" t="s">
        <v>678</v>
      </c>
      <c r="E1232" s="90">
        <v>42470</v>
      </c>
      <c r="F1232" s="91" t="s">
        <v>668</v>
      </c>
      <c r="G1232" s="91"/>
      <c r="H1232" s="92" t="s">
        <v>439</v>
      </c>
      <c r="I1232" s="414">
        <v>8901</v>
      </c>
      <c r="J1232" s="1108">
        <v>18500</v>
      </c>
      <c r="K1232" s="405"/>
      <c r="L1232" s="414"/>
      <c r="M1232" s="93">
        <f>ROUND(I1232*J1232,0)</f>
        <v>164668500</v>
      </c>
      <c r="N1232" s="83" t="s">
        <v>276</v>
      </c>
      <c r="O1232" s="83" t="s">
        <v>268</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customHeight="1">
      <c r="A1233" s="323" t="str">
        <f>IF(B1233&lt;&gt;"",IF(AND(B1233='IN-TC'!$S$4,OR(TH!N1192="1111",TH!O1192="1111")),TH!D1192,""),"")</f>
        <v/>
      </c>
      <c r="B1233" s="63">
        <f t="shared" si="95"/>
        <v>2</v>
      </c>
      <c r="C1233" s="78">
        <f t="shared" si="98"/>
        <v>42424</v>
      </c>
      <c r="D1233" s="78" t="s">
        <v>940</v>
      </c>
      <c r="E1233" s="78">
        <v>42424</v>
      </c>
      <c r="F1233" s="79" t="s">
        <v>669</v>
      </c>
      <c r="G1233" s="79"/>
      <c r="H1233" s="80" t="s">
        <v>428</v>
      </c>
      <c r="I1233" s="406">
        <f>7046-947</f>
        <v>6099</v>
      </c>
      <c r="J1233" s="407">
        <v>15500</v>
      </c>
      <c r="K1233" s="397"/>
      <c r="L1233" s="406"/>
      <c r="M1233" s="81">
        <f>ROUND(I1233*J1233,0)</f>
        <v>94534500</v>
      </c>
      <c r="N1233" s="82" t="s">
        <v>268</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customHeight="1">
      <c r="A1234" s="323" t="str">
        <f>IF(B1234&lt;&gt;"",IF(AND(B1234='IN-TC'!$S$4,OR(TH!N2194="1111",TH!O2194="1111")),TH!D2194,""),"")</f>
        <v/>
      </c>
      <c r="B1234" s="63">
        <f t="shared" si="95"/>
        <v>1</v>
      </c>
      <c r="C1234" s="64">
        <f t="shared" si="98"/>
        <v>42400</v>
      </c>
      <c r="D1234" s="64" t="s">
        <v>945</v>
      </c>
      <c r="E1234" s="64">
        <v>42400</v>
      </c>
      <c r="F1234" s="72" t="s">
        <v>932</v>
      </c>
      <c r="G1234" s="67" t="s">
        <v>337</v>
      </c>
      <c r="H1234" s="72" t="s">
        <v>423</v>
      </c>
      <c r="I1234" s="408"/>
      <c r="J1234" s="408"/>
      <c r="K1234" s="399"/>
      <c r="L1234" s="408"/>
      <c r="M1234" s="65">
        <v>725958000</v>
      </c>
      <c r="N1234" s="66" t="s">
        <v>8</v>
      </c>
      <c r="O1234" s="66" t="s">
        <v>266</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customHeight="1">
      <c r="A1235" s="323" t="str">
        <f>IF(B1235&lt;&gt;"",IF(AND(B1235='IN-TC'!$S$4,OR(TH!N2199="1111",TH!O2199="1111")),TH!D2199,""),"")</f>
        <v/>
      </c>
      <c r="B1235" s="63">
        <f t="shared" si="95"/>
        <v>1</v>
      </c>
      <c r="C1235" s="64">
        <f t="shared" si="98"/>
        <v>42400</v>
      </c>
      <c r="D1235" s="64" t="s">
        <v>945</v>
      </c>
      <c r="E1235" s="64">
        <v>42400</v>
      </c>
      <c r="F1235" s="72" t="s">
        <v>932</v>
      </c>
      <c r="G1235" s="67" t="s">
        <v>337</v>
      </c>
      <c r="H1235" s="329" t="s">
        <v>421</v>
      </c>
      <c r="I1235" s="410"/>
      <c r="J1235" s="410"/>
      <c r="K1235" s="401"/>
      <c r="L1235" s="410"/>
      <c r="M1235" s="65">
        <v>469820500</v>
      </c>
      <c r="N1235" s="66" t="s">
        <v>8</v>
      </c>
      <c r="O1235" s="66" t="s">
        <v>266</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customHeight="1">
      <c r="A1236" s="323" t="str">
        <f>IF(B1236&lt;&gt;"",IF(AND(B1236='IN-TC'!$S$4,OR(TH!N1234="1111",TH!O1234="1111")),TH!D1234,""),"")</f>
        <v/>
      </c>
      <c r="B1236" s="63">
        <f t="shared" si="95"/>
        <v>4</v>
      </c>
      <c r="C1236" s="78">
        <f t="shared" si="98"/>
        <v>42475</v>
      </c>
      <c r="D1236" s="78" t="s">
        <v>925</v>
      </c>
      <c r="E1236" s="78">
        <v>42475</v>
      </c>
      <c r="F1236" s="79" t="s">
        <v>669</v>
      </c>
      <c r="G1236" s="79"/>
      <c r="H1236" s="80" t="s">
        <v>423</v>
      </c>
      <c r="I1236" s="406">
        <v>9850</v>
      </c>
      <c r="J1236" s="407">
        <v>15500</v>
      </c>
      <c r="K1236" s="397"/>
      <c r="L1236" s="406"/>
      <c r="M1236" s="81">
        <f>ROUND(I1236*J1236,0)</f>
        <v>152675000</v>
      </c>
      <c r="N1236" s="82" t="s">
        <v>268</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customHeight="1">
      <c r="A1237" s="323" t="str">
        <f>IF(B1237&lt;&gt;"",IF(AND(B1237='IN-TC'!$S$4,OR(TH!N2203="1111",TH!O2203="1111")),TH!D2203,""),"")</f>
        <v/>
      </c>
      <c r="B1237" s="63">
        <f t="shared" si="95"/>
        <v>2</v>
      </c>
      <c r="C1237" s="64">
        <f t="shared" si="98"/>
        <v>42429</v>
      </c>
      <c r="D1237" s="64" t="s">
        <v>1073</v>
      </c>
      <c r="E1237" s="64">
        <v>42429</v>
      </c>
      <c r="F1237" s="72" t="s">
        <v>932</v>
      </c>
      <c r="G1237" s="67" t="s">
        <v>337</v>
      </c>
      <c r="H1237" s="72" t="s">
        <v>428</v>
      </c>
      <c r="I1237" s="408"/>
      <c r="J1237" s="408"/>
      <c r="K1237" s="399"/>
      <c r="L1237" s="408"/>
      <c r="M1237" s="65">
        <v>94534500</v>
      </c>
      <c r="N1237" s="66" t="s">
        <v>8</v>
      </c>
      <c r="O1237" s="66" t="s">
        <v>266</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customHeight="1">
      <c r="A1238" s="323" t="str">
        <f>IF(B1238&lt;&gt;"",IF(AND(B1238='IN-TC'!$S$4,OR(TH!N1166="1111",TH!O1166="1111")),TH!D1166,""),"")</f>
        <v/>
      </c>
      <c r="B1238" s="63">
        <f t="shared" si="95"/>
        <v>1</v>
      </c>
      <c r="C1238" s="78">
        <f t="shared" si="98"/>
        <v>42400</v>
      </c>
      <c r="D1238" s="78" t="s">
        <v>1940</v>
      </c>
      <c r="E1238" s="78">
        <v>42400</v>
      </c>
      <c r="F1238" s="79" t="s">
        <v>669</v>
      </c>
      <c r="G1238" s="79"/>
      <c r="H1238" s="80" t="s">
        <v>432</v>
      </c>
      <c r="I1238" s="406">
        <v>7667</v>
      </c>
      <c r="J1238" s="407">
        <v>15500</v>
      </c>
      <c r="K1238" s="397"/>
      <c r="L1238" s="406"/>
      <c r="M1238" s="81">
        <f t="shared" ref="M1238:M1252" si="99">ROUND(I1238*J1238,0)</f>
        <v>118838500</v>
      </c>
      <c r="N1238" s="82" t="s">
        <v>268</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customHeight="1">
      <c r="A1239" s="323" t="str">
        <f>IF(B1239&lt;&gt;"",IF(AND(B1239='IN-TC'!$S$4,OR(TH!N1239="1111",TH!O1239="1111")),TH!D1239,""),"")</f>
        <v/>
      </c>
      <c r="B1239" s="63">
        <f t="shared" si="95"/>
        <v>5</v>
      </c>
      <c r="C1239" s="90">
        <v>42492</v>
      </c>
      <c r="D1239" s="90" t="s">
        <v>670</v>
      </c>
      <c r="E1239" s="90">
        <f t="shared" ref="E1239:E1245" si="100">C1239</f>
        <v>42492</v>
      </c>
      <c r="F1239" s="91" t="s">
        <v>669</v>
      </c>
      <c r="G1239" s="91"/>
      <c r="H1239" s="92" t="s">
        <v>439</v>
      </c>
      <c r="I1239" s="1109">
        <v>27581</v>
      </c>
      <c r="J1239" s="1108">
        <v>15500</v>
      </c>
      <c r="K1239" s="1110"/>
      <c r="L1239" s="1109"/>
      <c r="M1239" s="93">
        <f t="shared" si="99"/>
        <v>427505500</v>
      </c>
      <c r="N1239" s="83" t="s">
        <v>276</v>
      </c>
      <c r="O1239" s="83" t="s">
        <v>268</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customHeight="1">
      <c r="A1240" s="323" t="str">
        <f>IF(B1240&lt;&gt;"",IF(AND(B1240='IN-TC'!$S$4,OR(TH!N1240="1111",TH!O1240="1111")),TH!D1240,""),"")</f>
        <v/>
      </c>
      <c r="B1240" s="63">
        <f t="shared" si="95"/>
        <v>5</v>
      </c>
      <c r="C1240" s="90">
        <v>42492</v>
      </c>
      <c r="D1240" s="90" t="s">
        <v>670</v>
      </c>
      <c r="E1240" s="90">
        <f t="shared" si="100"/>
        <v>42492</v>
      </c>
      <c r="F1240" s="91" t="s">
        <v>1931</v>
      </c>
      <c r="G1240" s="91"/>
      <c r="H1240" s="92" t="s">
        <v>439</v>
      </c>
      <c r="I1240" s="1109">
        <v>4400</v>
      </c>
      <c r="J1240" s="1108">
        <v>29500</v>
      </c>
      <c r="K1240" s="1110"/>
      <c r="L1240" s="1109"/>
      <c r="M1240" s="93">
        <f t="shared" si="99"/>
        <v>129800000</v>
      </c>
      <c r="N1240" s="83" t="s">
        <v>276</v>
      </c>
      <c r="O1240" s="83" t="s">
        <v>268</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customHeight="1">
      <c r="A1241" s="323" t="str">
        <f>IF(B1241&lt;&gt;"",IF(AND(B1241='IN-TC'!$S$4,OR(TH!N1241="1111",TH!O1241="1111")),TH!D1241,""),"")</f>
        <v/>
      </c>
      <c r="B1241" s="63">
        <f t="shared" si="95"/>
        <v>5</v>
      </c>
      <c r="C1241" s="90">
        <v>42492</v>
      </c>
      <c r="D1241" s="90" t="s">
        <v>670</v>
      </c>
      <c r="E1241" s="90">
        <f t="shared" si="100"/>
        <v>42492</v>
      </c>
      <c r="F1241" s="91" t="s">
        <v>1932</v>
      </c>
      <c r="G1241" s="91"/>
      <c r="H1241" s="92" t="s">
        <v>439</v>
      </c>
      <c r="I1241" s="1109">
        <v>3000</v>
      </c>
      <c r="J1241" s="1108">
        <v>28000</v>
      </c>
      <c r="K1241" s="1110"/>
      <c r="L1241" s="1109"/>
      <c r="M1241" s="93">
        <f t="shared" si="99"/>
        <v>84000000</v>
      </c>
      <c r="N1241" s="83" t="s">
        <v>276</v>
      </c>
      <c r="O1241" s="83" t="s">
        <v>268</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customHeight="1">
      <c r="A1242" s="323" t="str">
        <f>IF(B1242&lt;&gt;"",IF(AND(B1242='IN-TC'!$S$4,OR(TH!N1242="1111",TH!O1242="1111")),TH!D1242,""),"")</f>
        <v/>
      </c>
      <c r="B1242" s="63">
        <f t="shared" si="95"/>
        <v>5</v>
      </c>
      <c r="C1242" s="90">
        <v>42492</v>
      </c>
      <c r="D1242" s="90" t="s">
        <v>670</v>
      </c>
      <c r="E1242" s="90">
        <f t="shared" si="100"/>
        <v>42492</v>
      </c>
      <c r="F1242" s="91" t="s">
        <v>668</v>
      </c>
      <c r="G1242" s="91"/>
      <c r="H1242" s="92" t="s">
        <v>439</v>
      </c>
      <c r="I1242" s="1109">
        <v>8500</v>
      </c>
      <c r="J1242" s="1108">
        <v>18500</v>
      </c>
      <c r="K1242" s="1110"/>
      <c r="L1242" s="1109"/>
      <c r="M1242" s="93">
        <f t="shared" si="99"/>
        <v>157250000</v>
      </c>
      <c r="N1242" s="83" t="s">
        <v>276</v>
      </c>
      <c r="O1242" s="83" t="s">
        <v>268</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customHeight="1">
      <c r="A1243" s="323" t="str">
        <f>IF(B1243&lt;&gt;"",IF(AND(B1243='IN-TC'!$S$4,OR(TH!N1243="1111",TH!O1243="1111")),TH!D1243,""),"")</f>
        <v/>
      </c>
      <c r="B1243" s="63">
        <f t="shared" si="95"/>
        <v>5</v>
      </c>
      <c r="C1243" s="90">
        <v>42494</v>
      </c>
      <c r="D1243" s="90" t="s">
        <v>677</v>
      </c>
      <c r="E1243" s="90">
        <f t="shared" si="100"/>
        <v>42494</v>
      </c>
      <c r="F1243" s="91" t="s">
        <v>668</v>
      </c>
      <c r="G1243" s="91"/>
      <c r="H1243" s="92" t="s">
        <v>439</v>
      </c>
      <c r="I1243" s="414">
        <v>19195</v>
      </c>
      <c r="J1243" s="1108">
        <v>18500</v>
      </c>
      <c r="K1243" s="405"/>
      <c r="L1243" s="414"/>
      <c r="M1243" s="93">
        <f t="shared" si="99"/>
        <v>355107500</v>
      </c>
      <c r="N1243" s="83" t="s">
        <v>276</v>
      </c>
      <c r="O1243" s="83" t="s">
        <v>268</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customHeight="1">
      <c r="A1244" s="323" t="str">
        <f>IF(B1244&lt;&gt;"",IF(AND(B1244='IN-TC'!$S$4,OR(TH!N1244="1111",TH!O1244="1111")),TH!D1244,""),"")</f>
        <v/>
      </c>
      <c r="B1244" s="63">
        <f t="shared" si="95"/>
        <v>5</v>
      </c>
      <c r="C1244" s="90">
        <v>42497</v>
      </c>
      <c r="D1244" s="90" t="s">
        <v>678</v>
      </c>
      <c r="E1244" s="90">
        <f t="shared" si="100"/>
        <v>42497</v>
      </c>
      <c r="F1244" s="91" t="s">
        <v>669</v>
      </c>
      <c r="G1244" s="1089"/>
      <c r="H1244" s="92" t="s">
        <v>439</v>
      </c>
      <c r="I1244" s="1109">
        <v>28309</v>
      </c>
      <c r="J1244" s="1108">
        <v>15500</v>
      </c>
      <c r="K1244" s="1110"/>
      <c r="L1244" s="1109"/>
      <c r="M1244" s="93">
        <f t="shared" si="99"/>
        <v>438789500</v>
      </c>
      <c r="N1244" s="83" t="s">
        <v>276</v>
      </c>
      <c r="O1244" s="83" t="s">
        <v>268</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customHeight="1">
      <c r="A1245" s="323" t="str">
        <f>IF(B1245&lt;&gt;"",IF(AND(B1245='IN-TC'!$S$4,OR(TH!N1245="1111",TH!O1245="1111")),TH!D1245,""),"")</f>
        <v/>
      </c>
      <c r="B1245" s="63">
        <f t="shared" si="95"/>
        <v>5</v>
      </c>
      <c r="C1245" s="90">
        <v>42500</v>
      </c>
      <c r="D1245" s="90" t="s">
        <v>679</v>
      </c>
      <c r="E1245" s="90">
        <f t="shared" si="100"/>
        <v>42500</v>
      </c>
      <c r="F1245" s="91" t="s">
        <v>668</v>
      </c>
      <c r="G1245" s="91"/>
      <c r="H1245" s="92" t="s">
        <v>439</v>
      </c>
      <c r="I1245" s="414">
        <v>19205</v>
      </c>
      <c r="J1245" s="1108">
        <v>18500</v>
      </c>
      <c r="K1245" s="405"/>
      <c r="L1245" s="414"/>
      <c r="M1245" s="93">
        <f t="shared" si="99"/>
        <v>355292500</v>
      </c>
      <c r="N1245" s="83" t="s">
        <v>276</v>
      </c>
      <c r="O1245" s="83" t="s">
        <v>268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customHeight="1">
      <c r="A1246" s="323" t="str">
        <f>IF(B1246&lt;&gt;"",IF(AND(B1246='IN-TC'!$S$4,OR(TH!N1246="1111",TH!O1246="1111")),TH!D1246,""),"")</f>
        <v/>
      </c>
      <c r="B1246" s="63">
        <f t="shared" si="95"/>
        <v>4</v>
      </c>
      <c r="C1246" s="78">
        <f t="shared" ref="C1246:C1277" si="101">E1246</f>
        <v>42489</v>
      </c>
      <c r="D1246" s="78" t="s">
        <v>935</v>
      </c>
      <c r="E1246" s="78">
        <v>42489</v>
      </c>
      <c r="F1246" s="79" t="s">
        <v>1931</v>
      </c>
      <c r="G1246" s="79"/>
      <c r="H1246" s="80" t="s">
        <v>342</v>
      </c>
      <c r="I1246" s="406">
        <v>4400</v>
      </c>
      <c r="J1246" s="407">
        <v>29500</v>
      </c>
      <c r="K1246" s="397"/>
      <c r="L1246" s="406"/>
      <c r="M1246" s="81">
        <f t="shared" si="99"/>
        <v>129800000</v>
      </c>
      <c r="N1246" s="82" t="s">
        <v>268</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customHeight="1">
      <c r="A1247" s="323" t="str">
        <f>IF(B1247&lt;&gt;"",IF(AND(B1247='IN-TC'!$S$4,OR(TH!N1247="1111",TH!O1247="1111")),TH!D1247,""),"")</f>
        <v/>
      </c>
      <c r="B1247" s="63">
        <f t="shared" si="95"/>
        <v>4</v>
      </c>
      <c r="C1247" s="78">
        <f t="shared" si="101"/>
        <v>42489</v>
      </c>
      <c r="D1247" s="78" t="s">
        <v>935</v>
      </c>
      <c r="E1247" s="78">
        <v>42489</v>
      </c>
      <c r="F1247" s="79" t="s">
        <v>1932</v>
      </c>
      <c r="G1247" s="79"/>
      <c r="H1247" s="80" t="s">
        <v>342</v>
      </c>
      <c r="I1247" s="407">
        <v>3000</v>
      </c>
      <c r="J1247" s="407">
        <v>28000</v>
      </c>
      <c r="K1247" s="398"/>
      <c r="L1247" s="407"/>
      <c r="M1247" s="81">
        <f t="shared" si="99"/>
        <v>84000000</v>
      </c>
      <c r="N1247" s="82" t="s">
        <v>268</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customHeight="1">
      <c r="A1248" s="323" t="str">
        <f>IF(B1248&lt;&gt;"",IF(AND(B1248='IN-TC'!$S$4,OR(TH!N1229="1111",TH!O1229="1111")),TH!D1229,""),"")</f>
        <v/>
      </c>
      <c r="B1248" s="63">
        <f t="shared" si="95"/>
        <v>4</v>
      </c>
      <c r="C1248" s="78">
        <f t="shared" si="101"/>
        <v>42470</v>
      </c>
      <c r="D1248" s="78" t="s">
        <v>923</v>
      </c>
      <c r="E1248" s="78">
        <v>42470</v>
      </c>
      <c r="F1248" s="79" t="s">
        <v>668</v>
      </c>
      <c r="G1248" s="79"/>
      <c r="H1248" s="80" t="s">
        <v>354</v>
      </c>
      <c r="I1248" s="406">
        <v>4795</v>
      </c>
      <c r="J1248" s="407">
        <v>18500</v>
      </c>
      <c r="K1248" s="397"/>
      <c r="L1248" s="406"/>
      <c r="M1248" s="81">
        <f t="shared" si="99"/>
        <v>88707500</v>
      </c>
      <c r="N1248" s="82" t="s">
        <v>268</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customHeight="1">
      <c r="A1249" s="323" t="str">
        <f>IF(B1249&lt;&gt;"",IF(AND(B1249='IN-TC'!$S$4,OR(TH!N1224="1111",TH!O1224="1111")),TH!D1224,""),"")</f>
        <v/>
      </c>
      <c r="B1249" s="63">
        <f t="shared" si="95"/>
        <v>4</v>
      </c>
      <c r="C1249" s="78">
        <f t="shared" si="101"/>
        <v>42461</v>
      </c>
      <c r="D1249" s="78" t="s">
        <v>918</v>
      </c>
      <c r="E1249" s="78">
        <v>42461</v>
      </c>
      <c r="F1249" s="79" t="s">
        <v>668</v>
      </c>
      <c r="G1249" s="79"/>
      <c r="H1249" s="85" t="s">
        <v>339</v>
      </c>
      <c r="I1249" s="407">
        <v>4179</v>
      </c>
      <c r="J1249" s="407">
        <v>18500</v>
      </c>
      <c r="K1249" s="398"/>
      <c r="L1249" s="407"/>
      <c r="M1249" s="81">
        <f t="shared" si="99"/>
        <v>77311500</v>
      </c>
      <c r="N1249" s="82" t="s">
        <v>268</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customHeight="1">
      <c r="A1250" s="323" t="str">
        <f>IF(B1250&lt;&gt;"",IF(AND(B1250='IN-TC'!$S$4,OR(TH!N1250="1111",TH!O1250="1111")),TH!D1250,""),"")</f>
        <v/>
      </c>
      <c r="B1250" s="63">
        <f t="shared" si="95"/>
        <v>5</v>
      </c>
      <c r="C1250" s="78">
        <f t="shared" si="101"/>
        <v>42494</v>
      </c>
      <c r="D1250" s="78" t="s">
        <v>919</v>
      </c>
      <c r="E1250" s="78">
        <v>42494</v>
      </c>
      <c r="F1250" s="79" t="s">
        <v>668</v>
      </c>
      <c r="G1250" s="79"/>
      <c r="H1250" s="80" t="s">
        <v>342</v>
      </c>
      <c r="I1250" s="406">
        <v>4790</v>
      </c>
      <c r="J1250" s="407">
        <v>18500</v>
      </c>
      <c r="K1250" s="397"/>
      <c r="L1250" s="406"/>
      <c r="M1250" s="81">
        <f t="shared" si="99"/>
        <v>88615000</v>
      </c>
      <c r="N1250" s="82" t="s">
        <v>268</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customHeight="1">
      <c r="A1251" s="323" t="str">
        <f>IF(B1251&lt;&gt;"",IF(AND(B1251='IN-TC'!$S$4,OR(TH!N1228="1111",TH!O1228="1111")),TH!D1228,""),"")</f>
        <v/>
      </c>
      <c r="B1251" s="63">
        <f t="shared" si="95"/>
        <v>4</v>
      </c>
      <c r="C1251" s="78">
        <f t="shared" si="101"/>
        <v>42470</v>
      </c>
      <c r="D1251" s="78" t="s">
        <v>922</v>
      </c>
      <c r="E1251" s="78">
        <v>42470</v>
      </c>
      <c r="F1251" s="79" t="s">
        <v>668</v>
      </c>
      <c r="G1251" s="79"/>
      <c r="H1251" s="80" t="s">
        <v>360</v>
      </c>
      <c r="I1251" s="406">
        <v>4106</v>
      </c>
      <c r="J1251" s="407">
        <v>18500</v>
      </c>
      <c r="K1251" s="397"/>
      <c r="L1251" s="406"/>
      <c r="M1251" s="81">
        <f t="shared" si="99"/>
        <v>75961000</v>
      </c>
      <c r="N1251" s="82" t="s">
        <v>268</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customHeight="1">
      <c r="A1252" s="323" t="str">
        <f>IF(B1252&lt;&gt;"",IF(AND(B1252='IN-TC'!$S$4,OR(TH!N1227="1111",TH!O1227="1111")),TH!D1227,""),"")</f>
        <v/>
      </c>
      <c r="B1252" s="63">
        <f t="shared" si="95"/>
        <v>4</v>
      </c>
      <c r="C1252" s="78">
        <f t="shared" si="101"/>
        <v>42464</v>
      </c>
      <c r="D1252" s="78" t="s">
        <v>921</v>
      </c>
      <c r="E1252" s="78">
        <v>42464</v>
      </c>
      <c r="F1252" s="79" t="s">
        <v>668</v>
      </c>
      <c r="G1252" s="79"/>
      <c r="H1252" s="80" t="s">
        <v>357</v>
      </c>
      <c r="I1252" s="406">
        <v>4780</v>
      </c>
      <c r="J1252" s="407">
        <v>18500</v>
      </c>
      <c r="K1252" s="397"/>
      <c r="L1252" s="406"/>
      <c r="M1252" s="81">
        <f t="shared" si="99"/>
        <v>88430000</v>
      </c>
      <c r="N1252" s="82" t="s">
        <v>268</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customHeight="1">
      <c r="A1253" s="323" t="str">
        <f>IF(B1253&lt;&gt;"",IF(AND(B1253='IN-TC'!$S$4,OR(TH!N2229="1111",TH!O2229="1111")),TH!D2229,""),"")</f>
        <v/>
      </c>
      <c r="B1253" s="63">
        <f t="shared" si="95"/>
        <v>4</v>
      </c>
      <c r="C1253" s="64">
        <f t="shared" si="101"/>
        <v>42490</v>
      </c>
      <c r="D1253" s="64" t="s">
        <v>2207</v>
      </c>
      <c r="E1253" s="64">
        <v>42490</v>
      </c>
      <c r="F1253" s="72" t="s">
        <v>932</v>
      </c>
      <c r="G1253" s="67" t="s">
        <v>331</v>
      </c>
      <c r="H1253" s="329" t="s">
        <v>339</v>
      </c>
      <c r="I1253" s="408"/>
      <c r="J1253" s="408"/>
      <c r="K1253" s="399"/>
      <c r="L1253" s="408"/>
      <c r="M1253" s="65">
        <v>77311500</v>
      </c>
      <c r="N1253" s="66" t="s">
        <v>8</v>
      </c>
      <c r="O1253" s="66" t="s">
        <v>266</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customHeight="1">
      <c r="A1254" s="323" t="str">
        <f>IF(B1254&lt;&gt;"",IF(AND(B1254='IN-TC'!$S$4,OR(TH!N2228="1111",TH!O2228="1111")),TH!D2228,""),"")</f>
        <v/>
      </c>
      <c r="B1254" s="63">
        <f t="shared" si="95"/>
        <v>4</v>
      </c>
      <c r="C1254" s="64">
        <f t="shared" si="101"/>
        <v>42490</v>
      </c>
      <c r="D1254" s="64" t="s">
        <v>2207</v>
      </c>
      <c r="E1254" s="64">
        <v>42490</v>
      </c>
      <c r="F1254" s="72" t="s">
        <v>932</v>
      </c>
      <c r="G1254" s="67" t="s">
        <v>331</v>
      </c>
      <c r="H1254" s="329" t="s">
        <v>354</v>
      </c>
      <c r="I1254" s="408"/>
      <c r="J1254" s="408"/>
      <c r="K1254" s="399"/>
      <c r="L1254" s="408"/>
      <c r="M1254" s="65">
        <v>173289500</v>
      </c>
      <c r="N1254" s="66" t="s">
        <v>8</v>
      </c>
      <c r="O1254" s="66" t="s">
        <v>266</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customHeight="1">
      <c r="A1255" s="323" t="str">
        <f>IF(B1255&lt;&gt;"",IF(AND(B1255='IN-TC'!$S$4,OR(TH!N1249="1111",TH!O1249="1111")),TH!D1249,""),"")</f>
        <v/>
      </c>
      <c r="B1255" s="63">
        <f t="shared" si="95"/>
        <v>5</v>
      </c>
      <c r="C1255" s="78">
        <f t="shared" si="101"/>
        <v>42491</v>
      </c>
      <c r="D1255" s="78" t="s">
        <v>918</v>
      </c>
      <c r="E1255" s="78">
        <v>42491</v>
      </c>
      <c r="F1255" s="79" t="s">
        <v>668</v>
      </c>
      <c r="G1255" s="79"/>
      <c r="H1255" s="85" t="s">
        <v>339</v>
      </c>
      <c r="I1255" s="407">
        <v>4074</v>
      </c>
      <c r="J1255" s="407">
        <v>18500</v>
      </c>
      <c r="K1255" s="398"/>
      <c r="L1255" s="407"/>
      <c r="M1255" s="81">
        <f>ROUND(I1255*J1255,0)</f>
        <v>75369000</v>
      </c>
      <c r="N1255" s="82" t="s">
        <v>268</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customHeight="1">
      <c r="A1256" s="323" t="str">
        <f>IF(B1256&lt;&gt;"",IF(AND(B1256='IN-TC'!$S$4,OR(TH!N2232="1111",TH!O2232="1111")),TH!D2232,""),"")</f>
        <v/>
      </c>
      <c r="B1256" s="63">
        <f t="shared" si="95"/>
        <v>4</v>
      </c>
      <c r="C1256" s="64">
        <f t="shared" si="101"/>
        <v>42490</v>
      </c>
      <c r="D1256" s="64" t="s">
        <v>2207</v>
      </c>
      <c r="E1256" s="64">
        <v>42490</v>
      </c>
      <c r="F1256" s="72" t="s">
        <v>932</v>
      </c>
      <c r="G1256" s="67" t="s">
        <v>331</v>
      </c>
      <c r="H1256" s="329" t="s">
        <v>360</v>
      </c>
      <c r="I1256" s="410"/>
      <c r="J1256" s="410"/>
      <c r="K1256" s="401"/>
      <c r="L1256" s="410"/>
      <c r="M1256" s="65">
        <v>75961000</v>
      </c>
      <c r="N1256" s="66" t="s">
        <v>8</v>
      </c>
      <c r="O1256" s="66" t="s">
        <v>266</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customHeight="1">
      <c r="A1257" s="323" t="str">
        <f>IF(B1257&lt;&gt;"",IF(AND(B1257='IN-TC'!$S$4,OR(TH!N2230="1111",TH!O2230="1111")),TH!D2230,""),"")</f>
        <v/>
      </c>
      <c r="B1257" s="63">
        <f t="shared" si="95"/>
        <v>4</v>
      </c>
      <c r="C1257" s="64">
        <f t="shared" si="101"/>
        <v>42490</v>
      </c>
      <c r="D1257" s="64" t="s">
        <v>2207</v>
      </c>
      <c r="E1257" s="64">
        <v>42490</v>
      </c>
      <c r="F1257" s="72" t="s">
        <v>932</v>
      </c>
      <c r="G1257" s="67" t="s">
        <v>331</v>
      </c>
      <c r="H1257" s="329" t="s">
        <v>357</v>
      </c>
      <c r="I1257" s="408"/>
      <c r="J1257" s="408"/>
      <c r="K1257" s="399"/>
      <c r="L1257" s="408"/>
      <c r="M1257" s="65">
        <v>162171000</v>
      </c>
      <c r="N1257" s="66" t="s">
        <v>8</v>
      </c>
      <c r="O1257" s="66" t="s">
        <v>266</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customHeight="1">
      <c r="A1258" s="323" t="str">
        <f>IF(B1258&lt;&gt;"",IF(AND(B1258='IN-TC'!$S$4,OR(TH!N1183="1111",TH!O1183="1111")),TH!D1183,""),"")</f>
        <v/>
      </c>
      <c r="B1258" s="63">
        <f t="shared" si="95"/>
        <v>2</v>
      </c>
      <c r="C1258" s="78">
        <f t="shared" si="101"/>
        <v>42417</v>
      </c>
      <c r="D1258" s="78" t="s">
        <v>926</v>
      </c>
      <c r="E1258" s="78">
        <v>42417</v>
      </c>
      <c r="F1258" s="79" t="s">
        <v>669</v>
      </c>
      <c r="G1258" s="79"/>
      <c r="H1258" s="85" t="s">
        <v>418</v>
      </c>
      <c r="I1258" s="407">
        <v>7043</v>
      </c>
      <c r="J1258" s="407">
        <v>15500</v>
      </c>
      <c r="K1258" s="398"/>
      <c r="L1258" s="407"/>
      <c r="M1258" s="81">
        <f>ROUND(I1258*J1258,0)</f>
        <v>109166500</v>
      </c>
      <c r="N1258" s="82" t="s">
        <v>268</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customHeight="1">
      <c r="A1259" s="323" t="str">
        <f>IF(B1259&lt;&gt;"",IF(AND(B1259='IN-TC'!$S$4,OR(TH!N1235="1111",TH!O1235="1111")),TH!D1235,""),"")</f>
        <v/>
      </c>
      <c r="B1259" s="63">
        <f t="shared" si="95"/>
        <v>4</v>
      </c>
      <c r="C1259" s="78">
        <f t="shared" si="101"/>
        <v>42475</v>
      </c>
      <c r="D1259" s="78" t="s">
        <v>926</v>
      </c>
      <c r="E1259" s="78">
        <v>42475</v>
      </c>
      <c r="F1259" s="79" t="s">
        <v>669</v>
      </c>
      <c r="G1259" s="79"/>
      <c r="H1259" s="80" t="s">
        <v>421</v>
      </c>
      <c r="I1259" s="406">
        <v>8759</v>
      </c>
      <c r="J1259" s="407">
        <v>15500</v>
      </c>
      <c r="K1259" s="397"/>
      <c r="L1259" s="406"/>
      <c r="M1259" s="81">
        <f>ROUND(I1259*J1259,0)</f>
        <v>135764500</v>
      </c>
      <c r="N1259" s="82" t="s">
        <v>268</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customHeight="1">
      <c r="A1260" s="323" t="str">
        <f>IF(B1260&lt;&gt;"",IF(AND(B1260='IN-TC'!$S$4,OR(TH!N1236="1111",TH!O1236="1111")),TH!D1236,""),"")</f>
        <v/>
      </c>
      <c r="B1260" s="63">
        <f t="shared" si="95"/>
        <v>4</v>
      </c>
      <c r="C1260" s="78">
        <f t="shared" si="101"/>
        <v>42484</v>
      </c>
      <c r="D1260" s="78" t="s">
        <v>927</v>
      </c>
      <c r="E1260" s="78">
        <v>42484</v>
      </c>
      <c r="F1260" s="79" t="s">
        <v>669</v>
      </c>
      <c r="G1260" s="79"/>
      <c r="H1260" s="80" t="s">
        <v>423</v>
      </c>
      <c r="I1260" s="406">
        <v>9450</v>
      </c>
      <c r="J1260" s="407">
        <v>15500</v>
      </c>
      <c r="K1260" s="397"/>
      <c r="L1260" s="406"/>
      <c r="M1260" s="81">
        <f>ROUND(I1260*J1260,0)</f>
        <v>146475000</v>
      </c>
      <c r="N1260" s="82" t="s">
        <v>268</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customHeight="1">
      <c r="A1261" s="323" t="str">
        <f>IF(B1261&lt;&gt;"",IF(AND(B1261='IN-TC'!$S$4,OR(TH!N1238="1111",TH!O1238="1111")),TH!D1238,""),"")</f>
        <v/>
      </c>
      <c r="B1261" s="63">
        <f t="shared" si="95"/>
        <v>4</v>
      </c>
      <c r="C1261" s="78">
        <f t="shared" si="101"/>
        <v>42484</v>
      </c>
      <c r="D1261" s="78" t="s">
        <v>934</v>
      </c>
      <c r="E1261" s="78">
        <v>42484</v>
      </c>
      <c r="F1261" s="79" t="s">
        <v>669</v>
      </c>
      <c r="G1261" s="79"/>
      <c r="H1261" s="80" t="s">
        <v>432</v>
      </c>
      <c r="I1261" s="406">
        <v>9239</v>
      </c>
      <c r="J1261" s="407">
        <v>15500</v>
      </c>
      <c r="K1261" s="397"/>
      <c r="L1261" s="406"/>
      <c r="M1261" s="81">
        <f>ROUND(I1261*J1261,0)</f>
        <v>143204500</v>
      </c>
      <c r="N1261" s="82" t="s">
        <v>268</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customHeight="1">
      <c r="A1262" s="323" t="str">
        <f>IF(B1262&lt;&gt;"",IF(AND(B1262='IN-TC'!$S$4,OR(TH!N2197="1111",TH!O2197="1111")),TH!D2197,""),"")</f>
        <v/>
      </c>
      <c r="B1262" s="63">
        <f t="shared" ref="B1262:B1325" si="102">IF(C1262&lt;&gt;"",MONTH(C1262),"")</f>
        <v>1</v>
      </c>
      <c r="C1262" s="64">
        <f t="shared" si="101"/>
        <v>42400</v>
      </c>
      <c r="D1262" s="64" t="s">
        <v>945</v>
      </c>
      <c r="E1262" s="64">
        <v>42400</v>
      </c>
      <c r="F1262" s="72" t="s">
        <v>932</v>
      </c>
      <c r="G1262" s="67" t="s">
        <v>337</v>
      </c>
      <c r="H1262" s="72" t="s">
        <v>436</v>
      </c>
      <c r="I1262" s="408"/>
      <c r="J1262" s="408"/>
      <c r="K1262" s="399"/>
      <c r="L1262" s="408"/>
      <c r="M1262" s="65">
        <v>120683000</v>
      </c>
      <c r="N1262" s="66" t="s">
        <v>8</v>
      </c>
      <c r="O1262" s="66" t="s">
        <v>266</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customHeight="1">
      <c r="A1263" s="323" t="str">
        <f>IF(B1263&lt;&gt;"",IF(AND(B1263='IN-TC'!$S$4,OR(TH!N1191="1111",TH!O1191="1111")),TH!D1191,""),"")</f>
        <v/>
      </c>
      <c r="B1263" s="63">
        <f t="shared" si="102"/>
        <v>2</v>
      </c>
      <c r="C1263" s="78">
        <f t="shared" si="101"/>
        <v>42424</v>
      </c>
      <c r="D1263" s="78" t="s">
        <v>939</v>
      </c>
      <c r="E1263" s="78">
        <v>42424</v>
      </c>
      <c r="F1263" s="79" t="s">
        <v>669</v>
      </c>
      <c r="G1263" s="79"/>
      <c r="H1263" s="80" t="s">
        <v>427</v>
      </c>
      <c r="I1263" s="406">
        <v>7328</v>
      </c>
      <c r="J1263" s="407">
        <v>15500</v>
      </c>
      <c r="K1263" s="397"/>
      <c r="L1263" s="406"/>
      <c r="M1263" s="81">
        <f>ROUND(I1263*J1263,0)</f>
        <v>113584000</v>
      </c>
      <c r="N1263" s="82" t="s">
        <v>268</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customHeight="1">
      <c r="A1264" s="323" t="str">
        <f>IF(B1264&lt;&gt;"",IF(AND(B1264='IN-TC'!$S$4,OR(TH!N1233="1111",TH!O1233="1111")),TH!D1233,""),"")</f>
        <v/>
      </c>
      <c r="B1264" s="63">
        <f t="shared" si="102"/>
        <v>4</v>
      </c>
      <c r="C1264" s="78">
        <f t="shared" si="101"/>
        <v>42475</v>
      </c>
      <c r="D1264" s="78" t="s">
        <v>924</v>
      </c>
      <c r="E1264" s="78">
        <v>42475</v>
      </c>
      <c r="F1264" s="79" t="s">
        <v>669</v>
      </c>
      <c r="G1264" s="79"/>
      <c r="H1264" s="80" t="s">
        <v>428</v>
      </c>
      <c r="I1264" s="406">
        <v>8972</v>
      </c>
      <c r="J1264" s="407">
        <v>15500</v>
      </c>
      <c r="K1264" s="397"/>
      <c r="L1264" s="406"/>
      <c r="M1264" s="81">
        <f>ROUND(I1264*J1264,0)</f>
        <v>139066000</v>
      </c>
      <c r="N1264" s="82" t="s">
        <v>268</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customHeight="1">
      <c r="A1265" s="323" t="str">
        <f>IF(B1265&lt;&gt;"",IF(AND(B1265='IN-TC'!$S$4,OR(TH!N2224="1111",TH!O2224="1111")),TH!D2224,""),"")</f>
        <v/>
      </c>
      <c r="B1265" s="63">
        <f t="shared" si="102"/>
        <v>4</v>
      </c>
      <c r="C1265" s="64">
        <f t="shared" si="101"/>
        <v>42490</v>
      </c>
      <c r="D1265" s="64" t="s">
        <v>2206</v>
      </c>
      <c r="E1265" s="64">
        <v>42490</v>
      </c>
      <c r="F1265" s="72" t="s">
        <v>932</v>
      </c>
      <c r="G1265" s="67" t="s">
        <v>337</v>
      </c>
      <c r="H1265" s="329" t="s">
        <v>432</v>
      </c>
      <c r="I1265" s="410"/>
      <c r="J1265" s="410"/>
      <c r="K1265" s="401"/>
      <c r="L1265" s="410"/>
      <c r="M1265" s="65">
        <v>143204500</v>
      </c>
      <c r="N1265" s="66" t="s">
        <v>8</v>
      </c>
      <c r="O1265" s="66" t="s">
        <v>266</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customHeight="1">
      <c r="A1266" s="323" t="str">
        <f>IF(B1266&lt;&gt;"",IF(AND(B1266='IN-TC'!$S$4,OR(TH!N1262="1111",TH!O1262="1111")),TH!D1262,""),"")</f>
        <v/>
      </c>
      <c r="B1266" s="63">
        <f t="shared" si="102"/>
        <v>5</v>
      </c>
      <c r="C1266" s="78">
        <f t="shared" si="101"/>
        <v>42505</v>
      </c>
      <c r="D1266" s="78" t="s">
        <v>936</v>
      </c>
      <c r="E1266" s="78">
        <v>42505</v>
      </c>
      <c r="F1266" s="79" t="s">
        <v>669</v>
      </c>
      <c r="G1266" s="79"/>
      <c r="H1266" s="80" t="s">
        <v>436</v>
      </c>
      <c r="I1266" s="406">
        <v>7982</v>
      </c>
      <c r="J1266" s="407">
        <v>15500</v>
      </c>
      <c r="K1266" s="397"/>
      <c r="L1266" s="406"/>
      <c r="M1266" s="81">
        <f>ROUND(I1266*J1266,0)</f>
        <v>123721000</v>
      </c>
      <c r="N1266" s="82" t="s">
        <v>268</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customHeight="1">
      <c r="A1267" s="323" t="str">
        <f>IF(B1267&lt;&gt;"",IF(AND(B1267='IN-TC'!$S$4,OR(TH!N1237="1111",TH!O1237="1111")),TH!D1237,""),"")</f>
        <v/>
      </c>
      <c r="B1267" s="63">
        <f t="shared" si="102"/>
        <v>4</v>
      </c>
      <c r="C1267" s="78">
        <f t="shared" si="101"/>
        <v>42484</v>
      </c>
      <c r="D1267" s="78" t="s">
        <v>933</v>
      </c>
      <c r="E1267" s="78">
        <v>42484</v>
      </c>
      <c r="F1267" s="79" t="s">
        <v>669</v>
      </c>
      <c r="G1267" s="79"/>
      <c r="H1267" s="80" t="s">
        <v>428</v>
      </c>
      <c r="I1267" s="406">
        <v>9620</v>
      </c>
      <c r="J1267" s="407">
        <v>15500</v>
      </c>
      <c r="K1267" s="397"/>
      <c r="L1267" s="406"/>
      <c r="M1267" s="81">
        <f>ROUND(I1267*J1267,0)</f>
        <v>149110000</v>
      </c>
      <c r="N1267" s="82" t="s">
        <v>268</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customHeight="1">
      <c r="A1268" s="323" t="str">
        <f>IF(B1268&lt;&gt;"",IF(AND(B1268='IN-TC'!$S$4,OR(TH!N2225="1111",TH!O2225="1111")),TH!D2225,""),"")</f>
        <v/>
      </c>
      <c r="B1268" s="63">
        <f t="shared" si="102"/>
        <v>4</v>
      </c>
      <c r="C1268" s="64">
        <f t="shared" si="101"/>
        <v>42490</v>
      </c>
      <c r="D1268" s="64" t="s">
        <v>2206</v>
      </c>
      <c r="E1268" s="64">
        <v>42490</v>
      </c>
      <c r="F1268" s="72" t="s">
        <v>932</v>
      </c>
      <c r="G1268" s="67" t="s">
        <v>337</v>
      </c>
      <c r="H1268" s="329" t="s">
        <v>423</v>
      </c>
      <c r="I1268" s="408"/>
      <c r="J1268" s="408"/>
      <c r="K1268" s="399"/>
      <c r="L1268" s="408"/>
      <c r="M1268" s="65">
        <v>299150000</v>
      </c>
      <c r="N1268" s="66" t="s">
        <v>8</v>
      </c>
      <c r="O1268" s="66" t="s">
        <v>266</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customHeight="1">
      <c r="A1269" s="323" t="str">
        <f>IF(B1269&lt;&gt;"",IF(AND(B1269='IN-TC'!$S$4,OR(TH!N2227="1111",TH!O2227="1111")),TH!D2227,""),"")</f>
        <v/>
      </c>
      <c r="B1269" s="63">
        <f t="shared" si="102"/>
        <v>4</v>
      </c>
      <c r="C1269" s="64">
        <f t="shared" si="101"/>
        <v>42490</v>
      </c>
      <c r="D1269" s="64" t="s">
        <v>2206</v>
      </c>
      <c r="E1269" s="64">
        <v>42490</v>
      </c>
      <c r="F1269" s="72" t="s">
        <v>932</v>
      </c>
      <c r="G1269" s="67" t="s">
        <v>337</v>
      </c>
      <c r="H1269" s="329" t="s">
        <v>421</v>
      </c>
      <c r="I1269" s="410"/>
      <c r="J1269" s="410"/>
      <c r="K1269" s="401"/>
      <c r="L1269" s="410"/>
      <c r="M1269" s="65">
        <v>135764500</v>
      </c>
      <c r="N1269" s="66" t="s">
        <v>8</v>
      </c>
      <c r="O1269" s="66" t="s">
        <v>266</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customHeight="1">
      <c r="A1270" s="323" t="str">
        <f>IF(B1270&lt;&gt;"",IF(AND(B1270='IN-TC'!$S$4,OR(TH!N1266="1111",TH!O1266="1111")),TH!D1266,""),"")</f>
        <v/>
      </c>
      <c r="B1270" s="63">
        <f t="shared" si="102"/>
        <v>5</v>
      </c>
      <c r="C1270" s="78">
        <f t="shared" si="101"/>
        <v>42511</v>
      </c>
      <c r="D1270" s="78" t="s">
        <v>940</v>
      </c>
      <c r="E1270" s="78">
        <v>42511</v>
      </c>
      <c r="F1270" s="79" t="s">
        <v>669</v>
      </c>
      <c r="G1270" s="79"/>
      <c r="H1270" s="80" t="s">
        <v>436</v>
      </c>
      <c r="I1270" s="406">
        <v>7015</v>
      </c>
      <c r="J1270" s="407">
        <v>15500</v>
      </c>
      <c r="K1270" s="397"/>
      <c r="L1270" s="406"/>
      <c r="M1270" s="81">
        <f>ROUND(I1270*J1270,0)</f>
        <v>108732500</v>
      </c>
      <c r="N1270" s="82" t="s">
        <v>268</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customHeight="1">
      <c r="A1271" s="323" t="str">
        <f>IF(B1271&lt;&gt;"",IF(AND(B1271='IN-TC'!$S$4,OR(TH!N2226="1111",TH!O2226="1111")),TH!D2226,""),"")</f>
        <v/>
      </c>
      <c r="B1271" s="63">
        <f t="shared" si="102"/>
        <v>4</v>
      </c>
      <c r="C1271" s="64">
        <f t="shared" si="101"/>
        <v>42490</v>
      </c>
      <c r="D1271" s="64" t="s">
        <v>2206</v>
      </c>
      <c r="E1271" s="64">
        <v>42490</v>
      </c>
      <c r="F1271" s="72" t="s">
        <v>932</v>
      </c>
      <c r="G1271" s="67" t="s">
        <v>337</v>
      </c>
      <c r="H1271" s="329" t="s">
        <v>428</v>
      </c>
      <c r="I1271" s="408"/>
      <c r="J1271" s="408"/>
      <c r="K1271" s="399"/>
      <c r="L1271" s="408"/>
      <c r="M1271" s="65">
        <v>288176000</v>
      </c>
      <c r="N1271" s="66" t="s">
        <v>8</v>
      </c>
      <c r="O1271" s="66" t="s">
        <v>266</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customHeight="1">
      <c r="A1272" s="323" t="str">
        <f>IF(B1272&lt;&gt;"",IF(AND(B1272='IN-TC'!$S$4,OR(TH!N1261="1111",TH!O1261="1111")),TH!D1261,""),"")</f>
        <v/>
      </c>
      <c r="B1272" s="63">
        <f t="shared" si="102"/>
        <v>5</v>
      </c>
      <c r="C1272" s="78">
        <f t="shared" si="101"/>
        <v>42505</v>
      </c>
      <c r="D1272" s="78" t="s">
        <v>935</v>
      </c>
      <c r="E1272" s="78">
        <v>42505</v>
      </c>
      <c r="F1272" s="79" t="s">
        <v>669</v>
      </c>
      <c r="G1272" s="79"/>
      <c r="H1272" s="80" t="s">
        <v>432</v>
      </c>
      <c r="I1272" s="406">
        <v>7019</v>
      </c>
      <c r="J1272" s="407">
        <v>15500</v>
      </c>
      <c r="K1272" s="397"/>
      <c r="L1272" s="406"/>
      <c r="M1272" s="81">
        <f t="shared" ref="M1272:M1305" si="103">ROUND(I1272*J1272,0)</f>
        <v>108794500</v>
      </c>
      <c r="N1272" s="82" t="s">
        <v>268</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customHeight="1">
      <c r="A1273" s="323" t="str">
        <f>IF(B1273&lt;&gt;"",IF(AND(B1273='IN-TC'!$S$4,OR(TH!N1264="1111",TH!O1264="1111")),TH!D1264,""),"")</f>
        <v/>
      </c>
      <c r="B1273" s="63">
        <f t="shared" si="102"/>
        <v>5</v>
      </c>
      <c r="C1273" s="78">
        <f t="shared" si="101"/>
        <v>42511</v>
      </c>
      <c r="D1273" s="78" t="s">
        <v>938</v>
      </c>
      <c r="E1273" s="78">
        <v>42511</v>
      </c>
      <c r="F1273" s="79" t="s">
        <v>669</v>
      </c>
      <c r="G1273" s="79"/>
      <c r="H1273" s="80" t="s">
        <v>428</v>
      </c>
      <c r="I1273" s="406">
        <v>7410</v>
      </c>
      <c r="J1273" s="407">
        <v>15500</v>
      </c>
      <c r="K1273" s="397"/>
      <c r="L1273" s="406"/>
      <c r="M1273" s="81">
        <f t="shared" si="103"/>
        <v>114855000</v>
      </c>
      <c r="N1273" s="82" t="s">
        <v>268</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customHeight="1">
      <c r="A1274" s="323" t="str">
        <f>IF(B1274&lt;&gt;"",IF(AND(B1274='IN-TC'!$S$4,OR(TH!N1265="1111",TH!O1265="1111")),TH!D1265,""),"")</f>
        <v/>
      </c>
      <c r="B1274" s="63">
        <f t="shared" si="102"/>
        <v>5</v>
      </c>
      <c r="C1274" s="78">
        <f t="shared" si="101"/>
        <v>42511</v>
      </c>
      <c r="D1274" s="78" t="s">
        <v>939</v>
      </c>
      <c r="E1274" s="78">
        <v>42511</v>
      </c>
      <c r="F1274" s="79" t="s">
        <v>669</v>
      </c>
      <c r="G1274" s="79"/>
      <c r="H1274" s="80" t="s">
        <v>432</v>
      </c>
      <c r="I1274" s="406">
        <v>7201</v>
      </c>
      <c r="J1274" s="407">
        <v>15500</v>
      </c>
      <c r="K1274" s="397"/>
      <c r="L1274" s="406"/>
      <c r="M1274" s="81">
        <f t="shared" si="103"/>
        <v>111615500</v>
      </c>
      <c r="N1274" s="82" t="s">
        <v>268</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customHeight="1">
      <c r="A1275" s="323" t="str">
        <f>IF(B1275&lt;&gt;"",IF(AND(B1275='IN-TC'!$S$4,OR(TH!N1253="1111",TH!O1253="1111")),TH!D1253,""),"")</f>
        <v/>
      </c>
      <c r="B1275" s="63">
        <f t="shared" si="102"/>
        <v>5</v>
      </c>
      <c r="C1275" s="78">
        <f t="shared" si="101"/>
        <v>42494</v>
      </c>
      <c r="D1275" s="78" t="s">
        <v>922</v>
      </c>
      <c r="E1275" s="78">
        <v>42494</v>
      </c>
      <c r="F1275" s="79" t="s">
        <v>668</v>
      </c>
      <c r="G1275" s="79"/>
      <c r="H1275" s="85" t="s">
        <v>339</v>
      </c>
      <c r="I1275" s="406">
        <v>4586</v>
      </c>
      <c r="J1275" s="407">
        <v>18500</v>
      </c>
      <c r="K1275" s="397"/>
      <c r="L1275" s="406"/>
      <c r="M1275" s="81">
        <f t="shared" si="103"/>
        <v>84841000</v>
      </c>
      <c r="N1275" s="82" t="s">
        <v>268</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customHeight="1">
      <c r="A1276" s="323" t="str">
        <f>IF(B1276&lt;&gt;"",IF(AND(B1276='IN-TC'!$S$4,OR(TH!N1276="1111",TH!O1276="1111")),TH!D1276,""),"")</f>
        <v/>
      </c>
      <c r="B1276" s="63">
        <f t="shared" si="102"/>
        <v>5</v>
      </c>
      <c r="C1276" s="78">
        <f t="shared" si="101"/>
        <v>42521</v>
      </c>
      <c r="D1276" s="78" t="s">
        <v>1945</v>
      </c>
      <c r="E1276" s="78">
        <v>42521</v>
      </c>
      <c r="F1276" s="79" t="s">
        <v>668</v>
      </c>
      <c r="G1276" s="79"/>
      <c r="H1276" s="80" t="s">
        <v>342</v>
      </c>
      <c r="I1276" s="406">
        <v>3980</v>
      </c>
      <c r="J1276" s="407">
        <v>18500</v>
      </c>
      <c r="K1276" s="397"/>
      <c r="L1276" s="406"/>
      <c r="M1276" s="81">
        <f t="shared" si="103"/>
        <v>73630000</v>
      </c>
      <c r="N1276" s="82" t="s">
        <v>268</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customHeight="1">
      <c r="A1277" s="323" t="str">
        <f>IF(B1277&lt;&gt;"",IF(AND(B1277='IN-TC'!$S$4,OR(TH!N1251="1111",TH!O1251="1111")),TH!D1251,""),"")</f>
        <v/>
      </c>
      <c r="B1277" s="63">
        <f t="shared" si="102"/>
        <v>5</v>
      </c>
      <c r="C1277" s="78">
        <f t="shared" si="101"/>
        <v>42494</v>
      </c>
      <c r="D1277" s="78" t="s">
        <v>920</v>
      </c>
      <c r="E1277" s="78">
        <v>42494</v>
      </c>
      <c r="F1277" s="79" t="s">
        <v>668</v>
      </c>
      <c r="G1277" s="79"/>
      <c r="H1277" s="80" t="s">
        <v>360</v>
      </c>
      <c r="I1277" s="406">
        <v>4859</v>
      </c>
      <c r="J1277" s="407">
        <v>18500</v>
      </c>
      <c r="K1277" s="397"/>
      <c r="L1277" s="406"/>
      <c r="M1277" s="81">
        <f t="shared" si="103"/>
        <v>89891500</v>
      </c>
      <c r="N1277" s="82" t="s">
        <v>268</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customHeight="1">
      <c r="A1278" s="323" t="str">
        <f>IF(B1278&lt;&gt;"",IF(AND(B1278='IN-TC'!$S$4,OR(TH!N1278="1111",TH!O1278="1111")),TH!D1278,""),"")</f>
        <v/>
      </c>
      <c r="B1278" s="63">
        <f t="shared" si="102"/>
        <v>6</v>
      </c>
      <c r="C1278" s="90">
        <v>42522</v>
      </c>
      <c r="D1278" s="90" t="s">
        <v>670</v>
      </c>
      <c r="E1278" s="90">
        <f t="shared" ref="E1278:E1288" si="104">C1278</f>
        <v>42522</v>
      </c>
      <c r="F1278" s="91" t="s">
        <v>669</v>
      </c>
      <c r="G1278" s="91"/>
      <c r="H1278" s="92" t="s">
        <v>439</v>
      </c>
      <c r="I1278" s="1109">
        <v>37132</v>
      </c>
      <c r="J1278" s="1108">
        <v>15500</v>
      </c>
      <c r="K1278" s="1110"/>
      <c r="L1278" s="1109"/>
      <c r="M1278" s="93">
        <f t="shared" si="103"/>
        <v>575546000</v>
      </c>
      <c r="N1278" s="83" t="s">
        <v>276</v>
      </c>
      <c r="O1278" s="83" t="s">
        <v>268</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customHeight="1">
      <c r="A1279" s="323" t="str">
        <f>IF(B1279&lt;&gt;"",IF(AND(B1279='IN-TC'!$S$4,OR(TH!N1279="1111",TH!O1279="1111")),TH!D1279,""),"")</f>
        <v/>
      </c>
      <c r="B1279" s="63">
        <f t="shared" si="102"/>
        <v>6</v>
      </c>
      <c r="C1279" s="90">
        <v>42522</v>
      </c>
      <c r="D1279" s="90" t="s">
        <v>670</v>
      </c>
      <c r="E1279" s="90">
        <f t="shared" si="104"/>
        <v>42522</v>
      </c>
      <c r="F1279" s="91" t="s">
        <v>668</v>
      </c>
      <c r="G1279" s="91"/>
      <c r="H1279" s="92" t="s">
        <v>439</v>
      </c>
      <c r="I1279" s="1109">
        <v>11583</v>
      </c>
      <c r="J1279" s="1108">
        <v>18500</v>
      </c>
      <c r="K1279" s="1110"/>
      <c r="L1279" s="1109"/>
      <c r="M1279" s="93">
        <f t="shared" si="103"/>
        <v>214285500</v>
      </c>
      <c r="N1279" s="83" t="s">
        <v>276</v>
      </c>
      <c r="O1279" s="83" t="s">
        <v>268</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customHeight="1">
      <c r="A1280" s="323" t="str">
        <f>IF(B1280&lt;&gt;"",IF(AND(B1280='IN-TC'!$S$4,OR(TH!N1280="1111",TH!O1280="1111")),TH!D1280,""),"")</f>
        <v/>
      </c>
      <c r="B1280" s="63">
        <f t="shared" si="102"/>
        <v>6</v>
      </c>
      <c r="C1280" s="90">
        <v>42522</v>
      </c>
      <c r="D1280" s="90" t="s">
        <v>677</v>
      </c>
      <c r="E1280" s="90">
        <f t="shared" si="104"/>
        <v>42522</v>
      </c>
      <c r="F1280" s="91" t="s">
        <v>1937</v>
      </c>
      <c r="G1280" s="91"/>
      <c r="H1280" s="92" t="s">
        <v>439</v>
      </c>
      <c r="I1280" s="1109">
        <v>1750</v>
      </c>
      <c r="J1280" s="1108">
        <v>11165</v>
      </c>
      <c r="K1280" s="1110"/>
      <c r="L1280" s="1109"/>
      <c r="M1280" s="93">
        <f t="shared" si="103"/>
        <v>19538750</v>
      </c>
      <c r="N1280" s="83" t="s">
        <v>276</v>
      </c>
      <c r="O1280" s="83" t="s">
        <v>268</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customHeight="1">
      <c r="A1281" s="323" t="str">
        <f>IF(B1281&lt;&gt;"",IF(AND(B1281='IN-TC'!$S$4,OR(TH!N1281="1111",TH!O1281="1111")),TH!D1281,""),"")</f>
        <v/>
      </c>
      <c r="B1281" s="63">
        <f t="shared" si="102"/>
        <v>6</v>
      </c>
      <c r="C1281" s="90">
        <v>42522</v>
      </c>
      <c r="D1281" s="90" t="s">
        <v>677</v>
      </c>
      <c r="E1281" s="90">
        <f t="shared" si="104"/>
        <v>42522</v>
      </c>
      <c r="F1281" s="91" t="s">
        <v>1938</v>
      </c>
      <c r="G1281" s="91"/>
      <c r="H1281" s="92" t="s">
        <v>439</v>
      </c>
      <c r="I1281" s="414">
        <v>5390</v>
      </c>
      <c r="J1281" s="1108">
        <v>11165</v>
      </c>
      <c r="K1281" s="405"/>
      <c r="L1281" s="414"/>
      <c r="M1281" s="93">
        <f t="shared" si="103"/>
        <v>60179350</v>
      </c>
      <c r="N1281" s="83" t="s">
        <v>276</v>
      </c>
      <c r="O1281" s="83" t="s">
        <v>268</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customHeight="1">
      <c r="A1282" s="323" t="str">
        <f>IF(B1282&lt;&gt;"",IF(AND(B1282='IN-TC'!$S$4,OR(TH!N1282="1111",TH!O1282="1111")),TH!D1282,""),"")</f>
        <v/>
      </c>
      <c r="B1282" s="63">
        <f t="shared" si="102"/>
        <v>6</v>
      </c>
      <c r="C1282" s="90">
        <v>42522</v>
      </c>
      <c r="D1282" s="90" t="s">
        <v>678</v>
      </c>
      <c r="E1282" s="90">
        <f t="shared" si="104"/>
        <v>42522</v>
      </c>
      <c r="F1282" s="91" t="s">
        <v>1936</v>
      </c>
      <c r="G1282" s="91"/>
      <c r="H1282" s="92" t="s">
        <v>439</v>
      </c>
      <c r="I1282" s="1109">
        <v>9390</v>
      </c>
      <c r="J1282" s="1108">
        <v>105000</v>
      </c>
      <c r="K1282" s="1110"/>
      <c r="L1282" s="1109"/>
      <c r="M1282" s="93">
        <f t="shared" si="103"/>
        <v>985950000</v>
      </c>
      <c r="N1282" s="83" t="s">
        <v>276</v>
      </c>
      <c r="O1282" s="83" t="s">
        <v>268</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customHeight="1">
      <c r="A1283" s="323" t="str">
        <f>IF(B1283&lt;&gt;"",IF(AND(B1283='IN-TC'!$S$4,OR(TH!N1283="1111",TH!O1283="1111")),TH!D1283,""),"")</f>
        <v/>
      </c>
      <c r="B1283" s="63">
        <f t="shared" si="102"/>
        <v>6</v>
      </c>
      <c r="C1283" s="90">
        <v>42523</v>
      </c>
      <c r="D1283" s="90" t="s">
        <v>679</v>
      </c>
      <c r="E1283" s="90">
        <f t="shared" si="104"/>
        <v>42523</v>
      </c>
      <c r="F1283" s="91" t="s">
        <v>669</v>
      </c>
      <c r="G1283" s="1089"/>
      <c r="H1283" s="92" t="s">
        <v>439</v>
      </c>
      <c r="I1283" s="1109">
        <v>36105</v>
      </c>
      <c r="J1283" s="1108">
        <v>15500</v>
      </c>
      <c r="K1283" s="1110"/>
      <c r="L1283" s="1109"/>
      <c r="M1283" s="93">
        <f t="shared" si="103"/>
        <v>559627500</v>
      </c>
      <c r="N1283" s="83" t="s">
        <v>276</v>
      </c>
      <c r="O1283" s="83" t="s">
        <v>268</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customHeight="1">
      <c r="A1284" s="323" t="str">
        <f>IF(B1284&lt;&gt;"",IF(AND(B1284='IN-TC'!$S$4,OR(TH!N1284="1111",TH!O1284="1111")),TH!D1284,""),"")</f>
        <v/>
      </c>
      <c r="B1284" s="63">
        <f t="shared" si="102"/>
        <v>6</v>
      </c>
      <c r="C1284" s="90">
        <v>42524</v>
      </c>
      <c r="D1284" s="90" t="s">
        <v>680</v>
      </c>
      <c r="E1284" s="90">
        <f t="shared" si="104"/>
        <v>42524</v>
      </c>
      <c r="F1284" s="91" t="s">
        <v>669</v>
      </c>
      <c r="G1284" s="91"/>
      <c r="H1284" s="92" t="s">
        <v>439</v>
      </c>
      <c r="I1284" s="414">
        <v>36763</v>
      </c>
      <c r="J1284" s="1108">
        <v>15500</v>
      </c>
      <c r="K1284" s="405"/>
      <c r="L1284" s="414"/>
      <c r="M1284" s="93">
        <f t="shared" si="103"/>
        <v>569826500</v>
      </c>
      <c r="N1284" s="83" t="s">
        <v>276</v>
      </c>
      <c r="O1284" s="83" t="s">
        <v>268</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customHeight="1">
      <c r="A1285" s="323" t="str">
        <f>IF(B1285&lt;&gt;"",IF(AND(B1285='IN-TC'!$S$4,OR(TH!N1285="1111",TH!O1285="1111")),TH!D1285,""),"")</f>
        <v/>
      </c>
      <c r="B1285" s="63">
        <f t="shared" si="102"/>
        <v>6</v>
      </c>
      <c r="C1285" s="90">
        <v>42525</v>
      </c>
      <c r="D1285" s="90" t="s">
        <v>681</v>
      </c>
      <c r="E1285" s="90">
        <f t="shared" si="104"/>
        <v>42525</v>
      </c>
      <c r="F1285" s="91" t="s">
        <v>668</v>
      </c>
      <c r="G1285" s="91"/>
      <c r="H1285" s="92" t="s">
        <v>439</v>
      </c>
      <c r="I1285" s="414">
        <v>10857</v>
      </c>
      <c r="J1285" s="1108">
        <v>18500</v>
      </c>
      <c r="K1285" s="405"/>
      <c r="L1285" s="414"/>
      <c r="M1285" s="93">
        <f t="shared" si="103"/>
        <v>200854500</v>
      </c>
      <c r="N1285" s="83" t="s">
        <v>276</v>
      </c>
      <c r="O1285" s="83" t="s">
        <v>268</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customHeight="1">
      <c r="A1286" s="323" t="str">
        <f>IF(B1286&lt;&gt;"",IF(AND(B1286='IN-TC'!$S$4,OR(TH!N1286="1111",TH!O1286="1111")),TH!D1286,""),"")</f>
        <v/>
      </c>
      <c r="B1286" s="63">
        <f t="shared" si="102"/>
        <v>6</v>
      </c>
      <c r="C1286" s="90">
        <v>42526</v>
      </c>
      <c r="D1286" s="90" t="s">
        <v>928</v>
      </c>
      <c r="E1286" s="90">
        <f t="shared" si="104"/>
        <v>42526</v>
      </c>
      <c r="F1286" s="91" t="s">
        <v>1936</v>
      </c>
      <c r="G1286" s="1089"/>
      <c r="H1286" s="92" t="s">
        <v>439</v>
      </c>
      <c r="I1286" s="1109">
        <v>5786</v>
      </c>
      <c r="J1286" s="1108">
        <v>105000</v>
      </c>
      <c r="K1286" s="1110"/>
      <c r="L1286" s="1109"/>
      <c r="M1286" s="93">
        <f t="shared" si="103"/>
        <v>607530000</v>
      </c>
      <c r="N1286" s="83" t="s">
        <v>276</v>
      </c>
      <c r="O1286" s="83" t="s">
        <v>268</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customHeight="1">
      <c r="A1287" s="323" t="str">
        <f>IF(B1287&lt;&gt;"",IF(AND(B1287='IN-TC'!$S$4,OR(TH!N1287="1111",TH!O1287="1111")),TH!D1287,""),"")</f>
        <v/>
      </c>
      <c r="B1287" s="63">
        <f t="shared" si="102"/>
        <v>6</v>
      </c>
      <c r="C1287" s="90">
        <v>42527</v>
      </c>
      <c r="D1287" s="90" t="s">
        <v>929</v>
      </c>
      <c r="E1287" s="90">
        <f t="shared" si="104"/>
        <v>42527</v>
      </c>
      <c r="F1287" s="91" t="s">
        <v>669</v>
      </c>
      <c r="G1287" s="91"/>
      <c r="H1287" s="92" t="s">
        <v>439</v>
      </c>
      <c r="I1287" s="1109">
        <v>13500</v>
      </c>
      <c r="J1287" s="1108">
        <v>15500</v>
      </c>
      <c r="K1287" s="1110"/>
      <c r="L1287" s="1109"/>
      <c r="M1287" s="93">
        <f t="shared" si="103"/>
        <v>209250000</v>
      </c>
      <c r="N1287" s="83" t="s">
        <v>276</v>
      </c>
      <c r="O1287" s="83" t="s">
        <v>268</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customHeight="1">
      <c r="A1288" s="323" t="str">
        <f>IF(B1288&lt;&gt;"",IF(AND(B1288='IN-TC'!$S$4,OR(TH!N1288="1111",TH!O1288="1111")),TH!D1288,""),"")</f>
        <v/>
      </c>
      <c r="B1288" s="63">
        <f t="shared" si="102"/>
        <v>6</v>
      </c>
      <c r="C1288" s="90">
        <v>42528</v>
      </c>
      <c r="D1288" s="90" t="s">
        <v>930</v>
      </c>
      <c r="E1288" s="90">
        <f t="shared" si="104"/>
        <v>42528</v>
      </c>
      <c r="F1288" s="91" t="s">
        <v>1936</v>
      </c>
      <c r="G1288" s="91"/>
      <c r="H1288" s="92" t="s">
        <v>439</v>
      </c>
      <c r="I1288" s="414">
        <v>8992</v>
      </c>
      <c r="J1288" s="1108">
        <v>105000</v>
      </c>
      <c r="K1288" s="405"/>
      <c r="L1288" s="414"/>
      <c r="M1288" s="93">
        <f t="shared" si="103"/>
        <v>944160000</v>
      </c>
      <c r="N1288" s="83" t="s">
        <v>276</v>
      </c>
      <c r="O1288" s="83" t="s">
        <v>268</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customHeight="1">
      <c r="A1289" s="323" t="str">
        <f>IF(B1289&lt;&gt;"",IF(AND(B1289='IN-TC'!$S$4,OR(TH!N1270="1111",TH!O1270="1111")),TH!D1270,""),"")</f>
        <v/>
      </c>
      <c r="B1289" s="63">
        <f t="shared" si="102"/>
        <v>5</v>
      </c>
      <c r="C1289" s="78">
        <f t="shared" ref="C1289:C1308" si="105">E1289</f>
        <v>42516</v>
      </c>
      <c r="D1289" s="78" t="s">
        <v>944</v>
      </c>
      <c r="E1289" s="78">
        <v>42516</v>
      </c>
      <c r="F1289" s="79" t="s">
        <v>669</v>
      </c>
      <c r="G1289" s="79"/>
      <c r="H1289" s="80" t="s">
        <v>436</v>
      </c>
      <c r="I1289" s="406">
        <v>7420</v>
      </c>
      <c r="J1289" s="407">
        <v>15500</v>
      </c>
      <c r="K1289" s="397"/>
      <c r="L1289" s="406"/>
      <c r="M1289" s="81">
        <f t="shared" si="103"/>
        <v>115010000</v>
      </c>
      <c r="N1289" s="82" t="s">
        <v>268</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customHeight="1">
      <c r="A1290" s="323" t="str">
        <f>IF(B1290&lt;&gt;"",IF(AND(B1290='IN-TC'!$S$4,OR(TH!N1290="1111",TH!O1290="1111")),TH!D1290,""),"")</f>
        <v/>
      </c>
      <c r="B1290" s="63">
        <f t="shared" si="102"/>
        <v>6</v>
      </c>
      <c r="C1290" s="78">
        <f t="shared" si="105"/>
        <v>42522</v>
      </c>
      <c r="D1290" s="78" t="s">
        <v>918</v>
      </c>
      <c r="E1290" s="78">
        <v>42522</v>
      </c>
      <c r="F1290" s="79" t="s">
        <v>1936</v>
      </c>
      <c r="G1290" s="79"/>
      <c r="H1290" s="80" t="s">
        <v>1947</v>
      </c>
      <c r="I1290" s="406">
        <v>2589</v>
      </c>
      <c r="J1290" s="407">
        <v>105000</v>
      </c>
      <c r="K1290" s="397"/>
      <c r="L1290" s="406"/>
      <c r="M1290" s="81">
        <f t="shared" si="103"/>
        <v>271845000</v>
      </c>
      <c r="N1290" s="82" t="s">
        <v>268</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customHeight="1">
      <c r="A1291" s="323" t="str">
        <f>IF(B1291&lt;&gt;"",IF(AND(B1291='IN-TC'!$S$4,OR(TH!N1291="1111",TH!O1291="1111")),TH!D1291,""),"")</f>
        <v/>
      </c>
      <c r="B1291" s="63">
        <f t="shared" si="102"/>
        <v>6</v>
      </c>
      <c r="C1291" s="78">
        <f t="shared" si="105"/>
        <v>42522</v>
      </c>
      <c r="D1291" s="78" t="s">
        <v>919</v>
      </c>
      <c r="E1291" s="78">
        <v>42522</v>
      </c>
      <c r="F1291" s="79" t="s">
        <v>1936</v>
      </c>
      <c r="G1291" s="79"/>
      <c r="H1291" s="80" t="s">
        <v>1948</v>
      </c>
      <c r="I1291" s="406">
        <v>2472</v>
      </c>
      <c r="J1291" s="407">
        <v>105000</v>
      </c>
      <c r="K1291" s="397"/>
      <c r="L1291" s="406"/>
      <c r="M1291" s="81">
        <f t="shared" si="103"/>
        <v>259560000</v>
      </c>
      <c r="N1291" s="82" t="s">
        <v>268</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customHeight="1">
      <c r="A1292" s="323" t="str">
        <f>IF(B1292&lt;&gt;"",IF(AND(B1292='IN-TC'!$S$4,OR(TH!N1292="1111",TH!O1292="1111")),TH!D1292,""),"")</f>
        <v/>
      </c>
      <c r="B1292" s="63">
        <f t="shared" si="102"/>
        <v>6</v>
      </c>
      <c r="C1292" s="78">
        <f t="shared" si="105"/>
        <v>42522</v>
      </c>
      <c r="D1292" s="78" t="s">
        <v>920</v>
      </c>
      <c r="E1292" s="78">
        <v>42522</v>
      </c>
      <c r="F1292" s="79" t="s">
        <v>1936</v>
      </c>
      <c r="G1292" s="79"/>
      <c r="H1292" s="80" t="s">
        <v>1949</v>
      </c>
      <c r="I1292" s="406">
        <v>1579</v>
      </c>
      <c r="J1292" s="407">
        <v>105000</v>
      </c>
      <c r="K1292" s="397"/>
      <c r="L1292" s="406"/>
      <c r="M1292" s="81">
        <f t="shared" si="103"/>
        <v>165795000</v>
      </c>
      <c r="N1292" s="82" t="s">
        <v>268</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customHeight="1">
      <c r="A1293" s="323" t="str">
        <f>IF(B1293&lt;&gt;"",IF(AND(B1293='IN-TC'!$S$4,OR(TH!N1293="1111",TH!O1293="1111")),TH!D1293,""),"")</f>
        <v/>
      </c>
      <c r="B1293" s="63">
        <f t="shared" si="102"/>
        <v>6</v>
      </c>
      <c r="C1293" s="78">
        <f t="shared" si="105"/>
        <v>42525</v>
      </c>
      <c r="D1293" s="78" t="s">
        <v>921</v>
      </c>
      <c r="E1293" s="78">
        <v>42525</v>
      </c>
      <c r="F1293" s="79" t="s">
        <v>668</v>
      </c>
      <c r="G1293" s="79"/>
      <c r="H1293" s="80" t="s">
        <v>342</v>
      </c>
      <c r="I1293" s="406">
        <v>4012</v>
      </c>
      <c r="J1293" s="407">
        <v>18500</v>
      </c>
      <c r="K1293" s="397"/>
      <c r="L1293" s="406"/>
      <c r="M1293" s="81">
        <f t="shared" si="103"/>
        <v>74222000</v>
      </c>
      <c r="N1293" s="82" t="s">
        <v>268</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customHeight="1">
      <c r="A1294" s="323" t="str">
        <f>IF(B1294&lt;&gt;"",IF(AND(B1294='IN-TC'!$S$4,OR(TH!N1248="1111",TH!O1248="1111")),TH!D1248,""),"")</f>
        <v/>
      </c>
      <c r="B1294" s="63">
        <f t="shared" si="102"/>
        <v>5</v>
      </c>
      <c r="C1294" s="78">
        <f t="shared" si="105"/>
        <v>42491</v>
      </c>
      <c r="D1294" s="78" t="s">
        <v>917</v>
      </c>
      <c r="E1294" s="78">
        <v>42491</v>
      </c>
      <c r="F1294" s="79" t="s">
        <v>668</v>
      </c>
      <c r="G1294" s="79"/>
      <c r="H1294" s="80" t="s">
        <v>354</v>
      </c>
      <c r="I1294" s="406">
        <v>4426</v>
      </c>
      <c r="J1294" s="407">
        <v>18500</v>
      </c>
      <c r="K1294" s="397"/>
      <c r="L1294" s="406"/>
      <c r="M1294" s="81">
        <f t="shared" si="103"/>
        <v>81881000</v>
      </c>
      <c r="N1294" s="82" t="s">
        <v>268</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customHeight="1">
      <c r="A1295" s="323" t="str">
        <f>IF(B1295&lt;&gt;"",IF(AND(B1295='IN-TC'!$S$4,OR(TH!N1252="1111",TH!O1252="1111")),TH!D1252,""),"")</f>
        <v/>
      </c>
      <c r="B1295" s="63">
        <f t="shared" si="102"/>
        <v>5</v>
      </c>
      <c r="C1295" s="78">
        <f t="shared" si="105"/>
        <v>42494</v>
      </c>
      <c r="D1295" s="78" t="s">
        <v>921</v>
      </c>
      <c r="E1295" s="78">
        <v>42494</v>
      </c>
      <c r="F1295" s="79" t="s">
        <v>668</v>
      </c>
      <c r="G1295" s="79"/>
      <c r="H1295" s="80" t="s">
        <v>357</v>
      </c>
      <c r="I1295" s="406">
        <v>4960</v>
      </c>
      <c r="J1295" s="407">
        <v>18500</v>
      </c>
      <c r="K1295" s="397"/>
      <c r="L1295" s="406"/>
      <c r="M1295" s="81">
        <f t="shared" si="103"/>
        <v>91760000</v>
      </c>
      <c r="N1295" s="82" t="s">
        <v>268</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customHeight="1">
      <c r="A1296" s="323" t="str">
        <f>IF(B1296&lt;&gt;"",IF(AND(B1296='IN-TC'!$S$4,OR(TH!N1296="1111",TH!O1296="1111")),TH!D1296,""),"")</f>
        <v/>
      </c>
      <c r="B1296" s="63">
        <f t="shared" si="102"/>
        <v>6</v>
      </c>
      <c r="C1296" s="78">
        <f t="shared" si="105"/>
        <v>42526</v>
      </c>
      <c r="D1296" s="78" t="s">
        <v>924</v>
      </c>
      <c r="E1296" s="78">
        <v>42526</v>
      </c>
      <c r="F1296" s="79" t="s">
        <v>1936</v>
      </c>
      <c r="G1296" s="79"/>
      <c r="H1296" s="80" t="s">
        <v>1950</v>
      </c>
      <c r="I1296" s="406">
        <v>1790</v>
      </c>
      <c r="J1296" s="407">
        <v>105000</v>
      </c>
      <c r="K1296" s="397"/>
      <c r="L1296" s="406"/>
      <c r="M1296" s="81">
        <f t="shared" si="103"/>
        <v>187950000</v>
      </c>
      <c r="N1296" s="82" t="s">
        <v>268</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customHeight="1">
      <c r="A1297" s="323" t="str">
        <f>IF(B1297&lt;&gt;"",IF(AND(B1297='IN-TC'!$S$4,OR(TH!N1297="1111",TH!O1297="1111")),TH!D1297,""),"")</f>
        <v/>
      </c>
      <c r="B1297" s="63">
        <f t="shared" si="102"/>
        <v>6</v>
      </c>
      <c r="C1297" s="78">
        <f t="shared" si="105"/>
        <v>42526</v>
      </c>
      <c r="D1297" s="78" t="s">
        <v>925</v>
      </c>
      <c r="E1297" s="78">
        <v>42526</v>
      </c>
      <c r="F1297" s="79" t="s">
        <v>1936</v>
      </c>
      <c r="G1297" s="79"/>
      <c r="H1297" s="80" t="s">
        <v>1947</v>
      </c>
      <c r="I1297" s="406">
        <v>1980</v>
      </c>
      <c r="J1297" s="407">
        <v>105000</v>
      </c>
      <c r="K1297" s="397"/>
      <c r="L1297" s="406"/>
      <c r="M1297" s="81">
        <f t="shared" si="103"/>
        <v>207900000</v>
      </c>
      <c r="N1297" s="82" t="s">
        <v>268</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customHeight="1">
      <c r="A1298" s="323" t="str">
        <f>IF(B1298&lt;&gt;"",IF(AND(B1298='IN-TC'!$S$4,OR(TH!N1298="1111",TH!O1298="1111")),TH!D1298,""),"")</f>
        <v/>
      </c>
      <c r="B1298" s="63">
        <f t="shared" si="102"/>
        <v>6</v>
      </c>
      <c r="C1298" s="78">
        <f t="shared" si="105"/>
        <v>42526</v>
      </c>
      <c r="D1298" s="78" t="s">
        <v>926</v>
      </c>
      <c r="E1298" s="78">
        <v>42526</v>
      </c>
      <c r="F1298" s="79" t="s">
        <v>1936</v>
      </c>
      <c r="G1298" s="79"/>
      <c r="H1298" s="80" t="s">
        <v>1949</v>
      </c>
      <c r="I1298" s="406">
        <v>2016</v>
      </c>
      <c r="J1298" s="407">
        <v>105000</v>
      </c>
      <c r="K1298" s="397"/>
      <c r="L1298" s="406"/>
      <c r="M1298" s="81">
        <f t="shared" si="103"/>
        <v>211680000</v>
      </c>
      <c r="N1298" s="82" t="s">
        <v>268</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customHeight="1">
      <c r="A1299" s="323" t="str">
        <f>IF(B1299&lt;&gt;"",IF(AND(B1299='IN-TC'!$S$4,OR(TH!N1299="1111",TH!O1299="1111")),TH!D1299,""),"")</f>
        <v/>
      </c>
      <c r="B1299" s="63">
        <f t="shared" si="102"/>
        <v>6</v>
      </c>
      <c r="C1299" s="78">
        <f t="shared" si="105"/>
        <v>42528</v>
      </c>
      <c r="D1299" s="78" t="s">
        <v>927</v>
      </c>
      <c r="E1299" s="78">
        <v>42528</v>
      </c>
      <c r="F1299" s="79" t="s">
        <v>1936</v>
      </c>
      <c r="G1299" s="79"/>
      <c r="H1299" s="80" t="s">
        <v>1949</v>
      </c>
      <c r="I1299" s="406">
        <v>1980</v>
      </c>
      <c r="J1299" s="407">
        <v>105000</v>
      </c>
      <c r="K1299" s="397"/>
      <c r="L1299" s="406"/>
      <c r="M1299" s="81">
        <f t="shared" si="103"/>
        <v>207900000</v>
      </c>
      <c r="N1299" s="82" t="s">
        <v>268</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customHeight="1">
      <c r="A1300" s="323" t="str">
        <f>IF(B1300&lt;&gt;"",IF(AND(B1300='IN-TC'!$S$4,OR(TH!N1300="1111",TH!O1300="1111")),TH!D1300,""),"")</f>
        <v/>
      </c>
      <c r="B1300" s="63">
        <f t="shared" si="102"/>
        <v>6</v>
      </c>
      <c r="C1300" s="78">
        <f t="shared" si="105"/>
        <v>42528</v>
      </c>
      <c r="D1300" s="78" t="s">
        <v>933</v>
      </c>
      <c r="E1300" s="78">
        <v>42528</v>
      </c>
      <c r="F1300" s="79" t="s">
        <v>1936</v>
      </c>
      <c r="G1300" s="79"/>
      <c r="H1300" s="80" t="s">
        <v>1950</v>
      </c>
      <c r="I1300" s="406">
        <v>2540</v>
      </c>
      <c r="J1300" s="407">
        <v>105000</v>
      </c>
      <c r="K1300" s="397"/>
      <c r="L1300" s="406"/>
      <c r="M1300" s="81">
        <f t="shared" si="103"/>
        <v>266700000</v>
      </c>
      <c r="N1300" s="82" t="s">
        <v>268</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customHeight="1">
      <c r="A1301" s="323" t="str">
        <f>IF(B1301&lt;&gt;"",IF(AND(B1301='IN-TC'!$S$4,OR(TH!N1301="1111",TH!O1301="1111")),TH!D1301,""),"")</f>
        <v/>
      </c>
      <c r="B1301" s="63">
        <f t="shared" si="102"/>
        <v>6</v>
      </c>
      <c r="C1301" s="78">
        <f t="shared" si="105"/>
        <v>42528</v>
      </c>
      <c r="D1301" s="78" t="s">
        <v>934</v>
      </c>
      <c r="E1301" s="78">
        <v>42528</v>
      </c>
      <c r="F1301" s="79" t="s">
        <v>1936</v>
      </c>
      <c r="G1301" s="79"/>
      <c r="H1301" s="80" t="s">
        <v>1948</v>
      </c>
      <c r="I1301" s="406">
        <v>1940</v>
      </c>
      <c r="J1301" s="407">
        <v>105000</v>
      </c>
      <c r="K1301" s="397"/>
      <c r="L1301" s="406"/>
      <c r="M1301" s="81">
        <f t="shared" si="103"/>
        <v>203700000</v>
      </c>
      <c r="N1301" s="82" t="s">
        <v>268</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customHeight="1">
      <c r="A1302" s="323" t="str">
        <f>IF(B1302&lt;&gt;"",IF(AND(B1302='IN-TC'!$S$4,OR(TH!N1302="1111",TH!O1302="1111")),TH!D1302,""),"")</f>
        <v/>
      </c>
      <c r="B1302" s="63">
        <f t="shared" si="102"/>
        <v>6</v>
      </c>
      <c r="C1302" s="78">
        <f t="shared" si="105"/>
        <v>42528</v>
      </c>
      <c r="D1302" s="78" t="s">
        <v>935</v>
      </c>
      <c r="E1302" s="78">
        <v>42528</v>
      </c>
      <c r="F1302" s="79" t="s">
        <v>1936</v>
      </c>
      <c r="G1302" s="79"/>
      <c r="H1302" s="80" t="s">
        <v>1947</v>
      </c>
      <c r="I1302" s="406">
        <v>2532</v>
      </c>
      <c r="J1302" s="407">
        <v>105000</v>
      </c>
      <c r="K1302" s="397"/>
      <c r="L1302" s="406"/>
      <c r="M1302" s="81">
        <f t="shared" si="103"/>
        <v>265860000</v>
      </c>
      <c r="N1302" s="82" t="s">
        <v>268</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customHeight="1">
      <c r="A1303" s="323" t="str">
        <f>IF(B1303&lt;&gt;"",IF(AND(B1303='IN-TC'!$S$4,OR(TH!N1255="1111",TH!O1255="1111")),TH!D1255,""),"")</f>
        <v/>
      </c>
      <c r="B1303" s="63">
        <f t="shared" si="102"/>
        <v>5</v>
      </c>
      <c r="C1303" s="78">
        <f t="shared" si="105"/>
        <v>42500</v>
      </c>
      <c r="D1303" s="78" t="s">
        <v>924</v>
      </c>
      <c r="E1303" s="78">
        <v>42500</v>
      </c>
      <c r="F1303" s="79" t="s">
        <v>668</v>
      </c>
      <c r="G1303" s="79"/>
      <c r="H1303" s="85" t="s">
        <v>339</v>
      </c>
      <c r="I1303" s="406">
        <v>4972</v>
      </c>
      <c r="J1303" s="407">
        <v>18500</v>
      </c>
      <c r="K1303" s="397"/>
      <c r="L1303" s="406"/>
      <c r="M1303" s="81">
        <f t="shared" si="103"/>
        <v>91982000</v>
      </c>
      <c r="N1303" s="82" t="s">
        <v>268</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customHeight="1">
      <c r="A1304" s="323" t="str">
        <f>IF(B1304&lt;&gt;"",IF(AND(B1304='IN-TC'!$S$4,OR(TH!N1304="1111",TH!O1304="1111")),TH!D1304,""),"")</f>
        <v/>
      </c>
      <c r="B1304" s="63">
        <f t="shared" si="102"/>
        <v>6</v>
      </c>
      <c r="C1304" s="78">
        <f t="shared" si="105"/>
        <v>42536</v>
      </c>
      <c r="D1304" s="78" t="s">
        <v>937</v>
      </c>
      <c r="E1304" s="78">
        <v>42536</v>
      </c>
      <c r="F1304" s="79" t="s">
        <v>668</v>
      </c>
      <c r="G1304" s="79"/>
      <c r="H1304" s="80" t="s">
        <v>342</v>
      </c>
      <c r="I1304" s="406">
        <v>6680</v>
      </c>
      <c r="J1304" s="407">
        <v>18500</v>
      </c>
      <c r="K1304" s="397"/>
      <c r="L1304" s="406"/>
      <c r="M1304" s="81">
        <f t="shared" si="103"/>
        <v>123580000</v>
      </c>
      <c r="N1304" s="82" t="s">
        <v>268</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customHeight="1">
      <c r="A1305" s="323" t="str">
        <f>IF(B1305&lt;&gt;"",IF(AND(B1305='IN-TC'!$S$4,OR(TH!N1256="1111",TH!O1256="1111")),TH!D1256,""),"")</f>
        <v/>
      </c>
      <c r="B1305" s="63">
        <f t="shared" si="102"/>
        <v>5</v>
      </c>
      <c r="C1305" s="78">
        <f t="shared" si="105"/>
        <v>42500</v>
      </c>
      <c r="D1305" s="78" t="s">
        <v>925</v>
      </c>
      <c r="E1305" s="78">
        <v>42500</v>
      </c>
      <c r="F1305" s="79" t="s">
        <v>668</v>
      </c>
      <c r="G1305" s="79"/>
      <c r="H1305" s="80" t="s">
        <v>360</v>
      </c>
      <c r="I1305" s="406">
        <v>4860</v>
      </c>
      <c r="J1305" s="407">
        <v>18500</v>
      </c>
      <c r="K1305" s="397"/>
      <c r="L1305" s="406"/>
      <c r="M1305" s="81">
        <f t="shared" si="103"/>
        <v>89910000</v>
      </c>
      <c r="N1305" s="82" t="s">
        <v>268</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customHeight="1">
      <c r="A1306" s="323" t="str">
        <f>IF(B1306&lt;&gt;"",IF(AND(B1306='IN-TC'!$S$4,OR(TH!N2218="1111",TH!O2218="1111")),TH!D2218,""),"")</f>
        <v/>
      </c>
      <c r="B1306" s="63">
        <f t="shared" si="102"/>
        <v>3</v>
      </c>
      <c r="C1306" s="64">
        <f t="shared" si="105"/>
        <v>42460</v>
      </c>
      <c r="D1306" s="64" t="s">
        <v>2205</v>
      </c>
      <c r="E1306" s="64">
        <v>42460</v>
      </c>
      <c r="F1306" s="72" t="s">
        <v>932</v>
      </c>
      <c r="G1306" s="67" t="s">
        <v>331</v>
      </c>
      <c r="H1306" s="329" t="s">
        <v>342</v>
      </c>
      <c r="I1306" s="408"/>
      <c r="J1306" s="408"/>
      <c r="K1306" s="399"/>
      <c r="L1306" s="408"/>
      <c r="M1306" s="65">
        <v>138454000</v>
      </c>
      <c r="N1306" s="66" t="s">
        <v>8</v>
      </c>
      <c r="O1306" s="66" t="s">
        <v>266</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customHeight="1">
      <c r="A1307" s="323" t="str">
        <f>IF(B1307&lt;&gt;"",IF(AND(B1307='IN-TC'!$S$4,OR(TH!N1254="1111",TH!O1254="1111")),TH!D1254,""),"")</f>
        <v/>
      </c>
      <c r="B1307" s="63">
        <f t="shared" si="102"/>
        <v>5</v>
      </c>
      <c r="C1307" s="78">
        <f t="shared" si="105"/>
        <v>42500</v>
      </c>
      <c r="D1307" s="78" t="s">
        <v>923</v>
      </c>
      <c r="E1307" s="78">
        <v>42500</v>
      </c>
      <c r="F1307" s="79" t="s">
        <v>668</v>
      </c>
      <c r="G1307" s="79"/>
      <c r="H1307" s="80" t="s">
        <v>354</v>
      </c>
      <c r="I1307" s="406">
        <v>4860</v>
      </c>
      <c r="J1307" s="407">
        <v>18500</v>
      </c>
      <c r="K1307" s="397"/>
      <c r="L1307" s="406"/>
      <c r="M1307" s="81">
        <f t="shared" ref="M1307:M1318" si="106">ROUND(I1307*J1307,0)</f>
        <v>89910000</v>
      </c>
      <c r="N1307" s="82" t="s">
        <v>268</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customHeight="1">
      <c r="A1308" s="323" t="str">
        <f>IF(B1308&lt;&gt;"",IF(AND(B1308='IN-TC'!$S$4,OR(TH!N1257="1111",TH!O1257="1111")),TH!D1257,""),"")</f>
        <v/>
      </c>
      <c r="B1308" s="63">
        <f t="shared" si="102"/>
        <v>5</v>
      </c>
      <c r="C1308" s="78">
        <f t="shared" si="105"/>
        <v>42500</v>
      </c>
      <c r="D1308" s="78" t="s">
        <v>926</v>
      </c>
      <c r="E1308" s="78">
        <v>42500</v>
      </c>
      <c r="F1308" s="79" t="s">
        <v>668</v>
      </c>
      <c r="G1308" s="79"/>
      <c r="H1308" s="80" t="s">
        <v>357</v>
      </c>
      <c r="I1308" s="406">
        <v>4513</v>
      </c>
      <c r="J1308" s="407">
        <v>18500</v>
      </c>
      <c r="K1308" s="397"/>
      <c r="L1308" s="406"/>
      <c r="M1308" s="81">
        <f t="shared" si="106"/>
        <v>83490500</v>
      </c>
      <c r="N1308" s="82" t="s">
        <v>268</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customHeight="1">
      <c r="A1309" s="323" t="str">
        <f>IF(B1309&lt;&gt;"",IF(AND(B1309='IN-TC'!$S$4,OR(TH!N1309="1111",TH!O1309="1111")),TH!D1309,""),"")</f>
        <v/>
      </c>
      <c r="B1309" s="63">
        <f t="shared" si="102"/>
        <v>7</v>
      </c>
      <c r="C1309" s="90">
        <v>42552</v>
      </c>
      <c r="D1309" s="90" t="s">
        <v>670</v>
      </c>
      <c r="E1309" s="90">
        <v>42552</v>
      </c>
      <c r="F1309" s="91" t="s">
        <v>668</v>
      </c>
      <c r="G1309" s="91"/>
      <c r="H1309" s="92" t="s">
        <v>439</v>
      </c>
      <c r="I1309" s="1109">
        <v>19353</v>
      </c>
      <c r="J1309" s="1108">
        <v>18500</v>
      </c>
      <c r="K1309" s="1110"/>
      <c r="L1309" s="1109"/>
      <c r="M1309" s="93">
        <f t="shared" si="106"/>
        <v>358030500</v>
      </c>
      <c r="N1309" s="83" t="s">
        <v>276</v>
      </c>
      <c r="O1309" s="83" t="s">
        <v>268</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customHeight="1">
      <c r="A1310" s="323" t="str">
        <f>IF(B1310&lt;&gt;"",IF(AND(B1310='IN-TC'!$S$4,OR(TH!N1310="1111",TH!O1310="1111")),TH!D1310,""),"")</f>
        <v/>
      </c>
      <c r="B1310" s="63">
        <f t="shared" si="102"/>
        <v>7</v>
      </c>
      <c r="C1310" s="90">
        <v>42552</v>
      </c>
      <c r="D1310" s="90" t="s">
        <v>670</v>
      </c>
      <c r="E1310" s="90">
        <v>42552</v>
      </c>
      <c r="F1310" s="91" t="s">
        <v>1951</v>
      </c>
      <c r="G1310" s="91"/>
      <c r="H1310" s="92" t="s">
        <v>439</v>
      </c>
      <c r="I1310" s="1109">
        <v>10120</v>
      </c>
      <c r="J1310" s="1108">
        <v>25000</v>
      </c>
      <c r="K1310" s="1110"/>
      <c r="L1310" s="1109"/>
      <c r="M1310" s="93">
        <f t="shared" si="106"/>
        <v>253000000</v>
      </c>
      <c r="N1310" s="83" t="s">
        <v>276</v>
      </c>
      <c r="O1310" s="83" t="s">
        <v>268</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customHeight="1">
      <c r="A1311" s="323" t="str">
        <f>IF(B1311&lt;&gt;"",IF(AND(B1311='IN-TC'!$S$4,OR(TH!N1311="1111",TH!O1311="1111")),TH!D1311,""),"")</f>
        <v/>
      </c>
      <c r="B1311" s="63">
        <f t="shared" si="102"/>
        <v>7</v>
      </c>
      <c r="C1311" s="90">
        <v>42558</v>
      </c>
      <c r="D1311" s="90" t="s">
        <v>677</v>
      </c>
      <c r="E1311" s="90">
        <v>42558</v>
      </c>
      <c r="F1311" s="91" t="s">
        <v>1951</v>
      </c>
      <c r="G1311" s="91"/>
      <c r="H1311" s="92" t="s">
        <v>439</v>
      </c>
      <c r="I1311" s="414">
        <v>10310</v>
      </c>
      <c r="J1311" s="1108">
        <v>25000</v>
      </c>
      <c r="K1311" s="405"/>
      <c r="L1311" s="414"/>
      <c r="M1311" s="93">
        <f t="shared" si="106"/>
        <v>257750000</v>
      </c>
      <c r="N1311" s="83" t="s">
        <v>276</v>
      </c>
      <c r="O1311" s="83" t="s">
        <v>268</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customHeight="1">
      <c r="A1312" s="323" t="str">
        <f>IF(B1312&lt;&gt;"",IF(AND(B1312='IN-TC'!$S$4,OR(TH!N1312="1111",TH!O1312="1111")),TH!D1312,""),"")</f>
        <v/>
      </c>
      <c r="B1312" s="63">
        <f t="shared" si="102"/>
        <v>7</v>
      </c>
      <c r="C1312" s="90">
        <v>42558</v>
      </c>
      <c r="D1312" s="90" t="s">
        <v>677</v>
      </c>
      <c r="E1312" s="90">
        <v>42558</v>
      </c>
      <c r="F1312" s="91" t="s">
        <v>668</v>
      </c>
      <c r="G1312" s="91"/>
      <c r="H1312" s="92" t="s">
        <v>439</v>
      </c>
      <c r="I1312" s="414">
        <v>19047</v>
      </c>
      <c r="J1312" s="1108">
        <v>18500</v>
      </c>
      <c r="K1312" s="405"/>
      <c r="L1312" s="414"/>
      <c r="M1312" s="93">
        <f t="shared" si="106"/>
        <v>352369500</v>
      </c>
      <c r="N1312" s="83" t="s">
        <v>276</v>
      </c>
      <c r="O1312" s="83" t="s">
        <v>268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customHeight="1">
      <c r="A1313" s="323" t="str">
        <f>IF(B1313&lt;&gt;"",IF(AND(B1313='IN-TC'!$S$4,OR(TH!N1313="1111",TH!O1313="1111")),TH!D1313,""),"")</f>
        <v/>
      </c>
      <c r="B1313" s="63">
        <f t="shared" si="102"/>
        <v>6</v>
      </c>
      <c r="C1313" s="78">
        <f>E1313</f>
        <v>42544</v>
      </c>
      <c r="D1313" s="78" t="s">
        <v>942</v>
      </c>
      <c r="E1313" s="78">
        <v>42544</v>
      </c>
      <c r="F1313" s="79" t="s">
        <v>1951</v>
      </c>
      <c r="G1313" s="79"/>
      <c r="H1313" s="80" t="s">
        <v>391</v>
      </c>
      <c r="I1313" s="406">
        <v>4580</v>
      </c>
      <c r="J1313" s="407">
        <v>25000</v>
      </c>
      <c r="K1313" s="397"/>
      <c r="L1313" s="406"/>
      <c r="M1313" s="81">
        <f t="shared" si="106"/>
        <v>114500000</v>
      </c>
      <c r="N1313" s="82" t="s">
        <v>268</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customHeight="1">
      <c r="A1314" s="323" t="str">
        <f>IF(B1314&lt;&gt;"",IF(AND(B1314='IN-TC'!$S$4,OR(TH!N1314="1111",TH!O1314="1111")),TH!D1314,""),"")</f>
        <v/>
      </c>
      <c r="B1314" s="63">
        <f t="shared" si="102"/>
        <v>6</v>
      </c>
      <c r="C1314" s="78">
        <f>E1314</f>
        <v>42544</v>
      </c>
      <c r="D1314" s="78" t="s">
        <v>943</v>
      </c>
      <c r="E1314" s="78">
        <v>42544</v>
      </c>
      <c r="F1314" s="79" t="s">
        <v>1951</v>
      </c>
      <c r="G1314" s="79"/>
      <c r="H1314" s="80" t="s">
        <v>395</v>
      </c>
      <c r="I1314" s="406">
        <v>5540</v>
      </c>
      <c r="J1314" s="407">
        <v>25000</v>
      </c>
      <c r="K1314" s="397"/>
      <c r="L1314" s="406"/>
      <c r="M1314" s="81">
        <f t="shared" si="106"/>
        <v>138500000</v>
      </c>
      <c r="N1314" s="82" t="s">
        <v>268</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customHeight="1">
      <c r="A1315" s="323" t="str">
        <f>IF(B1315&lt;&gt;"",IF(AND(B1315='IN-TC'!$S$4,OR(TH!N1315="1111",TH!O1315="1111")),TH!D1315,""),"")</f>
        <v/>
      </c>
      <c r="B1315" s="63">
        <f t="shared" si="102"/>
        <v>6</v>
      </c>
      <c r="C1315" s="78">
        <f>E1315</f>
        <v>42547</v>
      </c>
      <c r="D1315" s="78" t="s">
        <v>944</v>
      </c>
      <c r="E1315" s="78">
        <v>42547</v>
      </c>
      <c r="F1315" s="79" t="s">
        <v>1951</v>
      </c>
      <c r="G1315" s="79"/>
      <c r="H1315" s="80" t="s">
        <v>396</v>
      </c>
      <c r="I1315" s="406">
        <v>4980</v>
      </c>
      <c r="J1315" s="407">
        <v>25000</v>
      </c>
      <c r="K1315" s="397"/>
      <c r="L1315" s="406"/>
      <c r="M1315" s="81">
        <f t="shared" si="106"/>
        <v>124500000</v>
      </c>
      <c r="N1315" s="82" t="s">
        <v>268</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customHeight="1">
      <c r="A1316" s="323" t="str">
        <f>IF(B1316&lt;&gt;"",IF(AND(B1316='IN-TC'!$S$4,OR(TH!N1316="1111",TH!O1316="1111")),TH!D1316,""),"")</f>
        <v/>
      </c>
      <c r="B1316" s="63">
        <f t="shared" si="102"/>
        <v>6</v>
      </c>
      <c r="C1316" s="78">
        <f>E1316</f>
        <v>42547</v>
      </c>
      <c r="D1316" s="78" t="s">
        <v>1940</v>
      </c>
      <c r="E1316" s="78">
        <v>42547</v>
      </c>
      <c r="F1316" s="79" t="s">
        <v>1951</v>
      </c>
      <c r="G1316" s="79"/>
      <c r="H1316" s="80" t="s">
        <v>395</v>
      </c>
      <c r="I1316" s="406">
        <v>5330</v>
      </c>
      <c r="J1316" s="407">
        <v>25000</v>
      </c>
      <c r="K1316" s="397"/>
      <c r="L1316" s="406"/>
      <c r="M1316" s="81">
        <f t="shared" si="106"/>
        <v>133250000</v>
      </c>
      <c r="N1316" s="82" t="s">
        <v>268</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customHeight="1">
      <c r="A1317" s="323" t="str">
        <f>IF(B1317&lt;&gt;"",IF(AND(B1317='IN-TC'!$S$4,OR(TH!N1317="1111",TH!O1317="1111")),TH!D1317,""),"")</f>
        <v/>
      </c>
      <c r="B1317" s="63">
        <f t="shared" si="102"/>
        <v>7</v>
      </c>
      <c r="C1317" s="90">
        <v>42561</v>
      </c>
      <c r="D1317" s="90" t="s">
        <v>678</v>
      </c>
      <c r="E1317" s="90">
        <v>42561</v>
      </c>
      <c r="F1317" s="91" t="s">
        <v>1937</v>
      </c>
      <c r="G1317" s="91"/>
      <c r="H1317" s="92" t="s">
        <v>439</v>
      </c>
      <c r="I1317" s="1109">
        <v>900</v>
      </c>
      <c r="J1317" s="1108">
        <v>11165</v>
      </c>
      <c r="K1317" s="1110"/>
      <c r="L1317" s="1109"/>
      <c r="M1317" s="93">
        <f t="shared" si="106"/>
        <v>10048500</v>
      </c>
      <c r="N1317" s="83" t="s">
        <v>276</v>
      </c>
      <c r="O1317" s="83" t="s">
        <v>268</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customHeight="1">
      <c r="A1318" s="323" t="str">
        <f>IF(B1318&lt;&gt;"",IF(AND(B1318='IN-TC'!$S$4,OR(TH!N1318="1111",TH!O1318="1111")),TH!D1318,""),"")</f>
        <v/>
      </c>
      <c r="B1318" s="63">
        <f t="shared" si="102"/>
        <v>7</v>
      </c>
      <c r="C1318" s="90">
        <v>42561</v>
      </c>
      <c r="D1318" s="90" t="s">
        <v>678</v>
      </c>
      <c r="E1318" s="90">
        <v>42561</v>
      </c>
      <c r="F1318" s="91" t="s">
        <v>1952</v>
      </c>
      <c r="G1318" s="91"/>
      <c r="H1318" s="92" t="s">
        <v>439</v>
      </c>
      <c r="I1318" s="1109">
        <v>26352</v>
      </c>
      <c r="J1318" s="1108">
        <v>18000</v>
      </c>
      <c r="K1318" s="1110"/>
      <c r="L1318" s="1109"/>
      <c r="M1318" s="93">
        <f t="shared" si="106"/>
        <v>474336000</v>
      </c>
      <c r="N1318" s="83" t="s">
        <v>276</v>
      </c>
      <c r="O1318" s="83" t="s">
        <v>268</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customHeight="1">
      <c r="A1319" s="323" t="str">
        <f>IF(B1319&lt;&gt;"",IF(AND(B1319='IN-TC'!$S$4,OR(TH!N2231="1111",TH!O2231="1111")),TH!D2231,""),"")</f>
        <v/>
      </c>
      <c r="B1319" s="63">
        <f t="shared" si="102"/>
        <v>4</v>
      </c>
      <c r="C1319" s="64">
        <f>E1319</f>
        <v>42490</v>
      </c>
      <c r="D1319" s="64" t="s">
        <v>2207</v>
      </c>
      <c r="E1319" s="64">
        <v>42490</v>
      </c>
      <c r="F1319" s="72" t="s">
        <v>932</v>
      </c>
      <c r="G1319" s="67" t="s">
        <v>331</v>
      </c>
      <c r="H1319" s="329" t="s">
        <v>342</v>
      </c>
      <c r="I1319" s="408"/>
      <c r="J1319" s="408"/>
      <c r="K1319" s="399"/>
      <c r="L1319" s="408"/>
      <c r="M1319" s="65">
        <v>287467000</v>
      </c>
      <c r="N1319" s="66" t="s">
        <v>8</v>
      </c>
      <c r="O1319" s="66" t="s">
        <v>266</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customHeight="1">
      <c r="A1320" s="323" t="str">
        <f>IF(B1320&lt;&gt;"",IF(AND(B1320='IN-TC'!$S$4,OR(TH!N1277="1111",TH!O1277="1111")),TH!D1277,""),"")</f>
        <v/>
      </c>
      <c r="B1320" s="63">
        <f t="shared" si="102"/>
        <v>5</v>
      </c>
      <c r="C1320" s="78">
        <f>E1320</f>
        <v>42521</v>
      </c>
      <c r="D1320" s="78" t="s">
        <v>1946</v>
      </c>
      <c r="E1320" s="78">
        <v>42521</v>
      </c>
      <c r="F1320" s="79" t="s">
        <v>668</v>
      </c>
      <c r="G1320" s="79"/>
      <c r="H1320" s="80" t="s">
        <v>360</v>
      </c>
      <c r="I1320" s="406">
        <v>3590</v>
      </c>
      <c r="J1320" s="407">
        <v>18500</v>
      </c>
      <c r="K1320" s="397"/>
      <c r="L1320" s="406"/>
      <c r="M1320" s="81">
        <f>ROUND(I1320*J1320,0)</f>
        <v>66415000</v>
      </c>
      <c r="N1320" s="82" t="s">
        <v>268</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customHeight="1">
      <c r="A1321" s="323" t="str">
        <f>IF(B1321&lt;&gt;"",IF(AND(B1321='IN-TC'!$S$4,OR(TH!N2240="1111",TH!O2240="1111")),TH!D2240,""),"")</f>
        <v/>
      </c>
      <c r="B1321" s="63">
        <f t="shared" si="102"/>
        <v>5</v>
      </c>
      <c r="C1321" s="64">
        <f>E1321</f>
        <v>42521</v>
      </c>
      <c r="D1321" s="64" t="s">
        <v>2209</v>
      </c>
      <c r="E1321" s="64">
        <v>42521</v>
      </c>
      <c r="F1321" s="72" t="s">
        <v>932</v>
      </c>
      <c r="G1321" s="67" t="s">
        <v>331</v>
      </c>
      <c r="H1321" s="329" t="s">
        <v>354</v>
      </c>
      <c r="I1321" s="410"/>
      <c r="J1321" s="410"/>
      <c r="K1321" s="401"/>
      <c r="L1321" s="410"/>
      <c r="M1321" s="65">
        <v>171791000</v>
      </c>
      <c r="N1321" s="66" t="s">
        <v>8</v>
      </c>
      <c r="O1321" s="66" t="s">
        <v>266</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customHeight="1">
      <c r="A1322" s="323" t="str">
        <f>IF(B1322&lt;&gt;"",IF(AND(B1322='IN-TC'!$S$4,OR(TH!N2242="1111",TH!O2242="1111")),TH!D2242,""),"")</f>
        <v/>
      </c>
      <c r="B1322" s="63">
        <f t="shared" si="102"/>
        <v>5</v>
      </c>
      <c r="C1322" s="64">
        <f>E1322</f>
        <v>42521</v>
      </c>
      <c r="D1322" s="64" t="s">
        <v>2209</v>
      </c>
      <c r="E1322" s="64">
        <v>42521</v>
      </c>
      <c r="F1322" s="72" t="s">
        <v>932</v>
      </c>
      <c r="G1322" s="67" t="s">
        <v>331</v>
      </c>
      <c r="H1322" s="329" t="s">
        <v>357</v>
      </c>
      <c r="I1322" s="408"/>
      <c r="J1322" s="408"/>
      <c r="K1322" s="399"/>
      <c r="L1322" s="408"/>
      <c r="M1322" s="65">
        <v>175250500</v>
      </c>
      <c r="N1322" s="66" t="s">
        <v>8</v>
      </c>
      <c r="O1322" s="66" t="s">
        <v>266</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customHeight="1">
      <c r="A1323" s="323" t="str">
        <f>IF(B1323&lt;&gt;"",IF(AND(B1323='IN-TC'!$S$4,OR(TH!N1323="1111",TH!O1323="1111")),TH!D1323,""),"")</f>
        <v/>
      </c>
      <c r="B1323" s="63">
        <f t="shared" si="102"/>
        <v>7</v>
      </c>
      <c r="C1323" s="90">
        <v>42567</v>
      </c>
      <c r="D1323" s="90" t="s">
        <v>679</v>
      </c>
      <c r="E1323" s="90">
        <v>42567</v>
      </c>
      <c r="F1323" s="91" t="s">
        <v>668</v>
      </c>
      <c r="G1323" s="91"/>
      <c r="H1323" s="92" t="s">
        <v>439</v>
      </c>
      <c r="I1323" s="1109">
        <v>14960</v>
      </c>
      <c r="J1323" s="1108">
        <v>18500</v>
      </c>
      <c r="K1323" s="1110"/>
      <c r="L1323" s="1109"/>
      <c r="M1323" s="93">
        <f>ROUND(I1323*J1323,0)</f>
        <v>276760000</v>
      </c>
      <c r="N1323" s="83" t="s">
        <v>276</v>
      </c>
      <c r="O1323" s="83" t="s">
        <v>268</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customHeight="1">
      <c r="A1324" s="323" t="str">
        <f>IF(B1324&lt;&gt;"",IF(AND(B1324='IN-TC'!$S$4,OR(TH!N1324="1111",TH!O1324="1111")),TH!D1324,""),"")</f>
        <v/>
      </c>
      <c r="B1324" s="63">
        <f t="shared" si="102"/>
        <v>7</v>
      </c>
      <c r="C1324" s="90">
        <v>42567</v>
      </c>
      <c r="D1324" s="90" t="s">
        <v>679</v>
      </c>
      <c r="E1324" s="90">
        <v>42567</v>
      </c>
      <c r="F1324" s="91" t="s">
        <v>1952</v>
      </c>
      <c r="G1324" s="1089"/>
      <c r="H1324" s="92" t="s">
        <v>439</v>
      </c>
      <c r="I1324" s="1109">
        <v>27575</v>
      </c>
      <c r="J1324" s="1108">
        <v>18000</v>
      </c>
      <c r="K1324" s="1110"/>
      <c r="L1324" s="1109"/>
      <c r="M1324" s="93">
        <f>ROUND(I1324*J1324,0)</f>
        <v>496350000</v>
      </c>
      <c r="N1324" s="83" t="s">
        <v>276</v>
      </c>
      <c r="O1324" s="83" t="s">
        <v>268</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customHeight="1">
      <c r="A1325" s="323" t="str">
        <f>IF(B1325&lt;&gt;"",IF(AND(B1325='IN-TC'!$S$4,OR(TH!N1259="1111",TH!O1259="1111")),TH!D1259,""),"")</f>
        <v/>
      </c>
      <c r="B1325" s="63">
        <f t="shared" si="102"/>
        <v>5</v>
      </c>
      <c r="C1325" s="78">
        <f>E1325</f>
        <v>42505</v>
      </c>
      <c r="D1325" s="78" t="s">
        <v>933</v>
      </c>
      <c r="E1325" s="78">
        <v>42505</v>
      </c>
      <c r="F1325" s="79" t="s">
        <v>669</v>
      </c>
      <c r="G1325" s="79"/>
      <c r="H1325" s="80" t="s">
        <v>421</v>
      </c>
      <c r="I1325" s="406">
        <v>7046</v>
      </c>
      <c r="J1325" s="407">
        <v>15500</v>
      </c>
      <c r="K1325" s="397"/>
      <c r="L1325" s="406"/>
      <c r="M1325" s="81">
        <f>ROUND(I1325*J1325,0)</f>
        <v>109213000</v>
      </c>
      <c r="N1325" s="82" t="s">
        <v>268</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customHeight="1">
      <c r="A1326" s="323" t="str">
        <f>IF(B1326&lt;&gt;"",IF(AND(B1326='IN-TC'!$S$4,OR(TH!N2237="1111",TH!O2237="1111")),TH!D2237,""),"")</f>
        <v/>
      </c>
      <c r="B1326" s="63">
        <f t="shared" ref="B1326:B1389" si="107">IF(C1326&lt;&gt;"",MONTH(C1326),"")</f>
        <v>5</v>
      </c>
      <c r="C1326" s="64">
        <f>E1326</f>
        <v>42521</v>
      </c>
      <c r="D1326" s="64" t="s">
        <v>2208</v>
      </c>
      <c r="E1326" s="64">
        <v>42521</v>
      </c>
      <c r="F1326" s="72" t="s">
        <v>932</v>
      </c>
      <c r="G1326" s="67" t="s">
        <v>337</v>
      </c>
      <c r="H1326" s="329" t="s">
        <v>436</v>
      </c>
      <c r="I1326" s="410"/>
      <c r="J1326" s="410"/>
      <c r="K1326" s="401"/>
      <c r="L1326" s="410"/>
      <c r="M1326" s="65">
        <v>347463500</v>
      </c>
      <c r="N1326" s="66" t="s">
        <v>8</v>
      </c>
      <c r="O1326" s="66" t="s">
        <v>266</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customHeight="1">
      <c r="A1327" s="323" t="str">
        <f>IF(B1327&lt;&gt;"",IF(AND(B1327='IN-TC'!$S$4,OR(TH!N1267="1111",TH!O1267="1111")),TH!D1267,""),"")</f>
        <v/>
      </c>
      <c r="B1327" s="63">
        <f t="shared" si="107"/>
        <v>5</v>
      </c>
      <c r="C1327" s="78">
        <f>E1327</f>
        <v>42511</v>
      </c>
      <c r="D1327" s="78" t="s">
        <v>941</v>
      </c>
      <c r="E1327" s="78">
        <v>42511</v>
      </c>
      <c r="F1327" s="79" t="s">
        <v>669</v>
      </c>
      <c r="G1327" s="79"/>
      <c r="H1327" s="80" t="s">
        <v>428</v>
      </c>
      <c r="I1327" s="406">
        <v>7049</v>
      </c>
      <c r="J1327" s="407">
        <v>15500</v>
      </c>
      <c r="K1327" s="397"/>
      <c r="L1327" s="406"/>
      <c r="M1327" s="81">
        <f>ROUND(I1327*J1327,0)</f>
        <v>109259500</v>
      </c>
      <c r="N1327" s="82" t="s">
        <v>268</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customHeight="1">
      <c r="A1328" s="323" t="str">
        <f>IF(B1328&lt;&gt;"",IF(AND(B1328='IN-TC'!$S$4,OR(TH!N1272="1111",TH!O1272="1111")),TH!D1272,""),"")</f>
        <v/>
      </c>
      <c r="B1328" s="63">
        <f t="shared" si="107"/>
        <v>5</v>
      </c>
      <c r="C1328" s="78">
        <f>E1328</f>
        <v>42516</v>
      </c>
      <c r="D1328" s="78" t="s">
        <v>1941</v>
      </c>
      <c r="E1328" s="78">
        <v>42516</v>
      </c>
      <c r="F1328" s="79" t="s">
        <v>669</v>
      </c>
      <c r="G1328" s="79"/>
      <c r="H1328" s="80" t="s">
        <v>432</v>
      </c>
      <c r="I1328" s="406">
        <v>7465</v>
      </c>
      <c r="J1328" s="407">
        <v>15500</v>
      </c>
      <c r="K1328" s="397"/>
      <c r="L1328" s="406"/>
      <c r="M1328" s="81">
        <f>ROUND(I1328*J1328,0)</f>
        <v>115707500</v>
      </c>
      <c r="N1328" s="82" t="s">
        <v>268</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customHeight="1">
      <c r="A1329" s="323" t="str">
        <f>IF(B1329&lt;&gt;"",IF(AND(B1329='IN-TC'!$S$4,OR(TH!N1329="1111",TH!O1329="1111")),TH!D1329,""),"")</f>
        <v/>
      </c>
      <c r="B1329" s="63">
        <f t="shared" si="107"/>
        <v>7</v>
      </c>
      <c r="C1329" s="90">
        <v>42570</v>
      </c>
      <c r="D1329" s="90" t="s">
        <v>680</v>
      </c>
      <c r="E1329" s="90">
        <v>42570</v>
      </c>
      <c r="F1329" s="91" t="s">
        <v>669</v>
      </c>
      <c r="G1329" s="91"/>
      <c r="H1329" s="92" t="s">
        <v>439</v>
      </c>
      <c r="I1329" s="1109">
        <v>22950</v>
      </c>
      <c r="J1329" s="1108">
        <v>16000</v>
      </c>
      <c r="K1329" s="1110"/>
      <c r="L1329" s="1109"/>
      <c r="M1329" s="93">
        <f>ROUND(I1329*J1329,0)</f>
        <v>367200000</v>
      </c>
      <c r="N1329" s="83" t="s">
        <v>276</v>
      </c>
      <c r="O1329" s="83" t="s">
        <v>268</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customHeight="1">
      <c r="A1330" s="323" t="str">
        <f>IF(B1330&lt;&gt;"",IF(AND(B1330='IN-TC'!$S$4,OR(TH!N1330="1111",TH!O1330="1111")),TH!D1330,""),"")</f>
        <v/>
      </c>
      <c r="B1330" s="63">
        <f t="shared" si="107"/>
        <v>7</v>
      </c>
      <c r="C1330" s="90">
        <v>42570</v>
      </c>
      <c r="D1330" s="90" t="s">
        <v>680</v>
      </c>
      <c r="E1330" s="90">
        <v>42570</v>
      </c>
      <c r="F1330" s="91" t="s">
        <v>1952</v>
      </c>
      <c r="G1330" s="91"/>
      <c r="H1330" s="92" t="s">
        <v>439</v>
      </c>
      <c r="I1330" s="414">
        <v>29273</v>
      </c>
      <c r="J1330" s="1108">
        <v>18000</v>
      </c>
      <c r="K1330" s="405"/>
      <c r="L1330" s="414"/>
      <c r="M1330" s="93">
        <f>ROUND(I1330*J1330,0)</f>
        <v>526914000</v>
      </c>
      <c r="N1330" s="83" t="s">
        <v>276</v>
      </c>
      <c r="O1330" s="83" t="s">
        <v>268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customHeight="1">
      <c r="A1331" s="323" t="str">
        <f>IF(B1331&lt;&gt;"",IF(AND(B1331='IN-TC'!$S$4,OR(TH!N2243="1111",TH!O2243="1111")),TH!D2243,""),"")</f>
        <v/>
      </c>
      <c r="B1331" s="63">
        <f t="shared" si="107"/>
        <v>5</v>
      </c>
      <c r="C1331" s="64">
        <f>E1331</f>
        <v>42521</v>
      </c>
      <c r="D1331" s="64" t="s">
        <v>2209</v>
      </c>
      <c r="E1331" s="64">
        <v>42521</v>
      </c>
      <c r="F1331" s="72" t="s">
        <v>932</v>
      </c>
      <c r="G1331" s="67" t="s">
        <v>331</v>
      </c>
      <c r="H1331" s="329" t="s">
        <v>342</v>
      </c>
      <c r="I1331" s="408"/>
      <c r="J1331" s="408"/>
      <c r="K1331" s="399"/>
      <c r="L1331" s="408"/>
      <c r="M1331" s="65">
        <v>162245000</v>
      </c>
      <c r="N1331" s="66" t="s">
        <v>8</v>
      </c>
      <c r="O1331" s="66" t="s">
        <v>266</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customHeight="1">
      <c r="A1332" s="323" t="str">
        <f>IF(B1332&lt;&gt;"",IF(AND(B1332='IN-TC'!$S$4,OR(TH!N1306="1111",TH!O1306="1111")),TH!D1306,""),"")</f>
        <v/>
      </c>
      <c r="B1332" s="63">
        <f t="shared" si="107"/>
        <v>6</v>
      </c>
      <c r="C1332" s="78">
        <f>E1332</f>
        <v>42540</v>
      </c>
      <c r="D1332" s="78" t="s">
        <v>939</v>
      </c>
      <c r="E1332" s="78">
        <v>42540</v>
      </c>
      <c r="F1332" s="79" t="s">
        <v>668</v>
      </c>
      <c r="G1332" s="79"/>
      <c r="H1332" s="80" t="s">
        <v>342</v>
      </c>
      <c r="I1332" s="406">
        <v>6450</v>
      </c>
      <c r="J1332" s="407">
        <v>18500</v>
      </c>
      <c r="K1332" s="397"/>
      <c r="L1332" s="406"/>
      <c r="M1332" s="81">
        <f t="shared" ref="M1332:M1339" si="108">ROUND(I1332*J1332,0)</f>
        <v>119325000</v>
      </c>
      <c r="N1332" s="82" t="s">
        <v>268</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customHeight="1">
      <c r="A1333" s="323" t="str">
        <f>IF(B1333&lt;&gt;"",IF(AND(B1333='IN-TC'!$S$4,OR(TH!N1333="1111",TH!O1333="1111")),TH!D1333,""),"")</f>
        <v/>
      </c>
      <c r="B1333" s="63">
        <f t="shared" si="107"/>
        <v>7</v>
      </c>
      <c r="C1333" s="90">
        <v>42571</v>
      </c>
      <c r="D1333" s="90" t="s">
        <v>681</v>
      </c>
      <c r="E1333" s="90">
        <v>42571</v>
      </c>
      <c r="F1333" s="91" t="s">
        <v>1931</v>
      </c>
      <c r="G1333" s="91"/>
      <c r="H1333" s="92" t="s">
        <v>439</v>
      </c>
      <c r="I1333" s="1109">
        <v>5450</v>
      </c>
      <c r="J1333" s="1108">
        <v>26000</v>
      </c>
      <c r="K1333" s="1110"/>
      <c r="L1333" s="1109"/>
      <c r="M1333" s="93">
        <f t="shared" si="108"/>
        <v>141700000</v>
      </c>
      <c r="N1333" s="83" t="s">
        <v>276</v>
      </c>
      <c r="O1333" s="83" t="s">
        <v>268</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customHeight="1">
      <c r="A1334" s="323" t="str">
        <f>IF(B1334&lt;&gt;"",IF(AND(B1334='IN-TC'!$S$4,OR(TH!N1334="1111",TH!O1334="1111")),TH!D1334,""),"")</f>
        <v/>
      </c>
      <c r="B1334" s="63">
        <f t="shared" si="107"/>
        <v>7</v>
      </c>
      <c r="C1334" s="90">
        <v>42571</v>
      </c>
      <c r="D1334" s="90" t="s">
        <v>681</v>
      </c>
      <c r="E1334" s="90">
        <v>42571</v>
      </c>
      <c r="F1334" s="91" t="s">
        <v>1934</v>
      </c>
      <c r="G1334" s="91"/>
      <c r="H1334" s="92" t="s">
        <v>439</v>
      </c>
      <c r="I1334" s="1109">
        <v>1950</v>
      </c>
      <c r="J1334" s="1108">
        <v>34500</v>
      </c>
      <c r="K1334" s="1110"/>
      <c r="L1334" s="1109"/>
      <c r="M1334" s="93">
        <f t="shared" si="108"/>
        <v>67275000</v>
      </c>
      <c r="N1334" s="83" t="s">
        <v>276</v>
      </c>
      <c r="O1334" s="83" t="s">
        <v>268</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customHeight="1">
      <c r="A1335" s="323" t="str">
        <f>IF(B1335&lt;&gt;"",IF(AND(B1335='IN-TC'!$S$4,OR(TH!N1221="1111",TH!O1221="1111")),TH!D1221,""),"")</f>
        <v/>
      </c>
      <c r="B1335" s="63">
        <f t="shared" si="107"/>
        <v>3</v>
      </c>
      <c r="C1335" s="78">
        <f t="shared" ref="C1335:C1359" si="109">E1335</f>
        <v>42454</v>
      </c>
      <c r="D1335" s="78" t="s">
        <v>941</v>
      </c>
      <c r="E1335" s="78">
        <v>42454</v>
      </c>
      <c r="F1335" s="79" t="s">
        <v>1952</v>
      </c>
      <c r="G1335" s="79"/>
      <c r="H1335" s="85" t="s">
        <v>376</v>
      </c>
      <c r="I1335" s="406">
        <v>9223</v>
      </c>
      <c r="J1335" s="407">
        <v>17500</v>
      </c>
      <c r="K1335" s="397"/>
      <c r="L1335" s="406"/>
      <c r="M1335" s="81">
        <f t="shared" si="108"/>
        <v>161402500</v>
      </c>
      <c r="N1335" s="82" t="s">
        <v>268</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customHeight="1">
      <c r="A1336" s="323" t="str">
        <f>IF(B1336&lt;&gt;"",IF(AND(B1336='IN-TC'!$S$4,OR(TH!N1219="1111",TH!O1219="1111")),TH!D1219,""),"")</f>
        <v/>
      </c>
      <c r="B1336" s="63">
        <f t="shared" si="107"/>
        <v>3</v>
      </c>
      <c r="C1336" s="78">
        <f t="shared" si="109"/>
        <v>42454</v>
      </c>
      <c r="D1336" s="78" t="s">
        <v>939</v>
      </c>
      <c r="E1336" s="78">
        <v>42454</v>
      </c>
      <c r="F1336" s="79" t="s">
        <v>1952</v>
      </c>
      <c r="G1336" s="79"/>
      <c r="H1336" s="80" t="s">
        <v>378</v>
      </c>
      <c r="I1336" s="406">
        <v>7890</v>
      </c>
      <c r="J1336" s="407">
        <v>17500</v>
      </c>
      <c r="K1336" s="397"/>
      <c r="L1336" s="406"/>
      <c r="M1336" s="81">
        <f t="shared" si="108"/>
        <v>138075000</v>
      </c>
      <c r="N1336" s="82" t="s">
        <v>268</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customHeight="1">
      <c r="A1337" s="323" t="str">
        <f>IF(B1337&lt;&gt;"",IF(AND(B1337='IN-TC'!$S$4,OR(TH!N1337="1111",TH!O1337="1111")),TH!D1337,""),"")</f>
        <v/>
      </c>
      <c r="B1337" s="63">
        <f t="shared" si="107"/>
        <v>7</v>
      </c>
      <c r="C1337" s="78">
        <f t="shared" si="109"/>
        <v>42561</v>
      </c>
      <c r="D1337" s="78" t="s">
        <v>924</v>
      </c>
      <c r="E1337" s="78">
        <v>42561</v>
      </c>
      <c r="F1337" s="79" t="s">
        <v>1952</v>
      </c>
      <c r="G1337" s="79" t="s">
        <v>331</v>
      </c>
      <c r="H1337" s="80" t="s">
        <v>1953</v>
      </c>
      <c r="I1337" s="406">
        <v>8742</v>
      </c>
      <c r="J1337" s="407">
        <v>18000</v>
      </c>
      <c r="K1337" s="397"/>
      <c r="L1337" s="406"/>
      <c r="M1337" s="81">
        <f t="shared" si="108"/>
        <v>157356000</v>
      </c>
      <c r="N1337" s="82" t="s">
        <v>268</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customHeight="1">
      <c r="A1338" s="323" t="str">
        <f>IF(B1338&lt;&gt;"",IF(AND(B1338='IN-TC'!$S$4,OR(TH!N1211="1111",TH!O1211="1111")),TH!D1211,""),"")</f>
        <v/>
      </c>
      <c r="B1338" s="63">
        <f t="shared" si="107"/>
        <v>3</v>
      </c>
      <c r="C1338" s="78">
        <f t="shared" si="109"/>
        <v>42446</v>
      </c>
      <c r="D1338" s="78" t="s">
        <v>934</v>
      </c>
      <c r="E1338" s="78">
        <v>42446</v>
      </c>
      <c r="F1338" s="79" t="s">
        <v>1952</v>
      </c>
      <c r="G1338" s="79"/>
      <c r="H1338" s="80" t="s">
        <v>384</v>
      </c>
      <c r="I1338" s="406">
        <v>6652</v>
      </c>
      <c r="J1338" s="407">
        <v>17500</v>
      </c>
      <c r="K1338" s="397"/>
      <c r="L1338" s="406"/>
      <c r="M1338" s="81">
        <f t="shared" si="108"/>
        <v>116410000</v>
      </c>
      <c r="N1338" s="82" t="s">
        <v>268</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customHeight="1">
      <c r="A1339" s="323" t="str">
        <f>IF(B1339&lt;&gt;"",IF(AND(B1339='IN-TC'!$S$4,OR(TH!N1207="1111",TH!O1207="1111")),TH!D1207,""),"")</f>
        <v/>
      </c>
      <c r="B1339" s="63">
        <f t="shared" si="107"/>
        <v>3</v>
      </c>
      <c r="C1339" s="78">
        <f t="shared" si="109"/>
        <v>42438</v>
      </c>
      <c r="D1339" s="78" t="s">
        <v>925</v>
      </c>
      <c r="E1339" s="78">
        <v>42438</v>
      </c>
      <c r="F1339" s="79" t="s">
        <v>1952</v>
      </c>
      <c r="G1339" s="79"/>
      <c r="H1339" s="80" t="s">
        <v>386</v>
      </c>
      <c r="I1339" s="406">
        <v>6930</v>
      </c>
      <c r="J1339" s="407">
        <v>17500</v>
      </c>
      <c r="K1339" s="397"/>
      <c r="L1339" s="406"/>
      <c r="M1339" s="81">
        <f t="shared" si="108"/>
        <v>121275000</v>
      </c>
      <c r="N1339" s="82" t="s">
        <v>268</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customHeight="1">
      <c r="A1340" s="323" t="str">
        <f>IF(B1340&lt;&gt;"",IF(AND(B1340='IN-TC'!$S$4,OR(TH!N2212="1111",TH!O2212="1111")),TH!D2212,""),"")</f>
        <v/>
      </c>
      <c r="B1340" s="63">
        <f t="shared" si="107"/>
        <v>3</v>
      </c>
      <c r="C1340" s="64">
        <f t="shared" si="109"/>
        <v>42460</v>
      </c>
      <c r="D1340" s="64" t="s">
        <v>2205</v>
      </c>
      <c r="E1340" s="64">
        <v>42460</v>
      </c>
      <c r="F1340" s="72" t="s">
        <v>932</v>
      </c>
      <c r="G1340" s="67" t="s">
        <v>331</v>
      </c>
      <c r="H1340" s="329" t="s">
        <v>376</v>
      </c>
      <c r="I1340" s="408"/>
      <c r="J1340" s="408"/>
      <c r="K1340" s="399"/>
      <c r="L1340" s="408"/>
      <c r="M1340" s="65">
        <v>272667500</v>
      </c>
      <c r="N1340" s="66" t="s">
        <v>8</v>
      </c>
      <c r="O1340" s="66" t="s">
        <v>266</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customHeight="1">
      <c r="A1341" s="323" t="str">
        <f>IF(B1341&lt;&gt;"",IF(AND(B1341='IN-TC'!$S$4,OR(TH!N2221="1111",TH!O2221="1111")),TH!D2221,""),"")</f>
        <v/>
      </c>
      <c r="B1341" s="63">
        <f t="shared" si="107"/>
        <v>3</v>
      </c>
      <c r="C1341" s="64">
        <f t="shared" si="109"/>
        <v>42460</v>
      </c>
      <c r="D1341" s="64" t="s">
        <v>2205</v>
      </c>
      <c r="E1341" s="64">
        <v>42460</v>
      </c>
      <c r="F1341" s="72" t="s">
        <v>932</v>
      </c>
      <c r="G1341" s="67" t="s">
        <v>331</v>
      </c>
      <c r="H1341" s="329" t="s">
        <v>378</v>
      </c>
      <c r="I1341" s="408"/>
      <c r="J1341" s="408"/>
      <c r="K1341" s="399"/>
      <c r="L1341" s="408"/>
      <c r="M1341" s="65">
        <v>354760000</v>
      </c>
      <c r="N1341" s="66" t="s">
        <v>8</v>
      </c>
      <c r="O1341" s="66" t="s">
        <v>266</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customHeight="1">
      <c r="A1342" s="323" t="str">
        <f>IF(B1342&lt;&gt;"",IF(AND(B1342='IN-TC'!$S$4,OR(TH!N1342="1111",TH!O1342="1111")),TH!D1342,""),"")</f>
        <v/>
      </c>
      <c r="B1342" s="63">
        <f t="shared" si="107"/>
        <v>7</v>
      </c>
      <c r="C1342" s="78">
        <f t="shared" si="109"/>
        <v>42570</v>
      </c>
      <c r="D1342" s="78" t="s">
        <v>934</v>
      </c>
      <c r="E1342" s="78">
        <v>42570</v>
      </c>
      <c r="F1342" s="79" t="s">
        <v>1952</v>
      </c>
      <c r="G1342" s="79" t="s">
        <v>331</v>
      </c>
      <c r="H1342" s="80" t="s">
        <v>1953</v>
      </c>
      <c r="I1342" s="406">
        <v>9750</v>
      </c>
      <c r="J1342" s="407">
        <v>18000</v>
      </c>
      <c r="K1342" s="397"/>
      <c r="L1342" s="406"/>
      <c r="M1342" s="81">
        <f>ROUND(I1342*J1342,0)</f>
        <v>175500000</v>
      </c>
      <c r="N1342" s="82" t="s">
        <v>268</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customHeight="1">
      <c r="A1343" s="323" t="str">
        <f>IF(B1343&lt;&gt;"",IF(AND(B1343='IN-TC'!$S$4,OR(TH!N2217="1111",TH!O2217="1111")),TH!D2217,""),"")</f>
        <v/>
      </c>
      <c r="B1343" s="63">
        <f t="shared" si="107"/>
        <v>3</v>
      </c>
      <c r="C1343" s="64">
        <f t="shared" si="109"/>
        <v>42460</v>
      </c>
      <c r="D1343" s="64" t="s">
        <v>2205</v>
      </c>
      <c r="E1343" s="64">
        <v>42460</v>
      </c>
      <c r="F1343" s="72" t="s">
        <v>932</v>
      </c>
      <c r="G1343" s="67" t="s">
        <v>331</v>
      </c>
      <c r="H1343" s="329" t="s">
        <v>384</v>
      </c>
      <c r="I1343" s="408"/>
      <c r="J1343" s="408"/>
      <c r="K1343" s="399"/>
      <c r="L1343" s="408"/>
      <c r="M1343" s="65">
        <v>231612500</v>
      </c>
      <c r="N1343" s="66" t="s">
        <v>8</v>
      </c>
      <c r="O1343" s="66" t="s">
        <v>266</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customHeight="1">
      <c r="A1344" s="323" t="str">
        <f>IF(B1344&lt;&gt;"",IF(AND(B1344='IN-TC'!$S$4,OR(TH!N1260="1111",TH!O1260="1111")),TH!D1260,""),"")</f>
        <v/>
      </c>
      <c r="B1344" s="63">
        <f t="shared" si="107"/>
        <v>5</v>
      </c>
      <c r="C1344" s="78">
        <f t="shared" si="109"/>
        <v>42505</v>
      </c>
      <c r="D1344" s="78" t="s">
        <v>934</v>
      </c>
      <c r="E1344" s="78">
        <v>42505</v>
      </c>
      <c r="F1344" s="79" t="s">
        <v>669</v>
      </c>
      <c r="G1344" s="79"/>
      <c r="H1344" s="80" t="s">
        <v>423</v>
      </c>
      <c r="I1344" s="406">
        <v>7596</v>
      </c>
      <c r="J1344" s="407">
        <v>15500</v>
      </c>
      <c r="K1344" s="397"/>
      <c r="L1344" s="406"/>
      <c r="M1344" s="81">
        <f>ROUND(I1344*J1344,0)</f>
        <v>117738000</v>
      </c>
      <c r="N1344" s="82" t="s">
        <v>268</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customHeight="1">
      <c r="A1345" s="323" t="str">
        <f>IF(B1345&lt;&gt;"",IF(AND(B1345='IN-TC'!$S$4,OR(TH!N2248="1111",TH!O2248="1111")),TH!D2248,""),"")</f>
        <v/>
      </c>
      <c r="B1345" s="63">
        <f t="shared" si="107"/>
        <v>6</v>
      </c>
      <c r="C1345" s="64">
        <f t="shared" si="109"/>
        <v>42551</v>
      </c>
      <c r="D1345" s="64" t="s">
        <v>2210</v>
      </c>
      <c r="E1345" s="64">
        <v>42551</v>
      </c>
      <c r="F1345" s="72" t="s">
        <v>932</v>
      </c>
      <c r="G1345" s="67" t="s">
        <v>337</v>
      </c>
      <c r="H1345" s="329" t="s">
        <v>1949</v>
      </c>
      <c r="I1345" s="408"/>
      <c r="J1345" s="408"/>
      <c r="K1345" s="399"/>
      <c r="L1345" s="408"/>
      <c r="M1345" s="65">
        <v>585375000</v>
      </c>
      <c r="N1345" s="66" t="s">
        <v>8</v>
      </c>
      <c r="O1345" s="66" t="s">
        <v>266</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customHeight="1">
      <c r="A1346" s="323" t="str">
        <f>IF(B1346&lt;&gt;"",IF(AND(B1346='IN-TC'!$S$4,OR(TH!N2247="1111",TH!O2247="1111")),TH!D2247,""),"")</f>
        <v/>
      </c>
      <c r="B1346" s="63">
        <f t="shared" si="107"/>
        <v>6</v>
      </c>
      <c r="C1346" s="64">
        <f t="shared" si="109"/>
        <v>42551</v>
      </c>
      <c r="D1346" s="64" t="s">
        <v>2210</v>
      </c>
      <c r="E1346" s="64">
        <v>42551</v>
      </c>
      <c r="F1346" s="72" t="s">
        <v>932</v>
      </c>
      <c r="G1346" s="67" t="s">
        <v>337</v>
      </c>
      <c r="H1346" s="329" t="s">
        <v>1950</v>
      </c>
      <c r="I1346" s="408"/>
      <c r="J1346" s="408"/>
      <c r="K1346" s="399"/>
      <c r="L1346" s="408"/>
      <c r="M1346" s="65">
        <v>454650000</v>
      </c>
      <c r="N1346" s="66" t="s">
        <v>8</v>
      </c>
      <c r="O1346" s="66" t="s">
        <v>266</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customHeight="1">
      <c r="A1347" s="323" t="str">
        <f>IF(B1347&lt;&gt;"",IF(AND(B1347='IN-TC'!$S$4,OR(TH!N1269="1111",TH!O1269="1111")),TH!D1269,""),"")</f>
        <v/>
      </c>
      <c r="B1347" s="63">
        <f t="shared" si="107"/>
        <v>5</v>
      </c>
      <c r="C1347" s="78">
        <f t="shared" si="109"/>
        <v>42516</v>
      </c>
      <c r="D1347" s="78" t="s">
        <v>943</v>
      </c>
      <c r="E1347" s="78">
        <v>42516</v>
      </c>
      <c r="F1347" s="79" t="s">
        <v>669</v>
      </c>
      <c r="G1347" s="79"/>
      <c r="H1347" s="80" t="s">
        <v>421</v>
      </c>
      <c r="I1347" s="406">
        <v>7186</v>
      </c>
      <c r="J1347" s="407">
        <v>15500</v>
      </c>
      <c r="K1347" s="397"/>
      <c r="L1347" s="406"/>
      <c r="M1347" s="81">
        <f>ROUND(I1347*J1347,0)</f>
        <v>111383000</v>
      </c>
      <c r="N1347" s="82" t="s">
        <v>268</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customHeight="1">
      <c r="A1348" s="323" t="str">
        <f>IF(B1348&lt;&gt;"",IF(AND(B1348='IN-TC'!$S$4,OR(TH!N1346="1111",TH!O1346="1111")),TH!D1346,""),"")</f>
        <v/>
      </c>
      <c r="B1348" s="63">
        <f t="shared" si="107"/>
        <v>7</v>
      </c>
      <c r="C1348" s="78">
        <f t="shared" si="109"/>
        <v>42572</v>
      </c>
      <c r="D1348" s="78" t="s">
        <v>938</v>
      </c>
      <c r="E1348" s="78">
        <v>42572</v>
      </c>
      <c r="F1348" s="79" t="s">
        <v>1935</v>
      </c>
      <c r="G1348" s="79" t="s">
        <v>337</v>
      </c>
      <c r="H1348" s="80" t="s">
        <v>1950</v>
      </c>
      <c r="I1348" s="406">
        <v>7560</v>
      </c>
      <c r="J1348" s="407">
        <v>19000</v>
      </c>
      <c r="K1348" s="397"/>
      <c r="L1348" s="406"/>
      <c r="M1348" s="81">
        <f>ROUND(I1348*J1348,0)</f>
        <v>143640000</v>
      </c>
      <c r="N1348" s="82" t="s">
        <v>268</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customHeight="1">
      <c r="A1349" s="323" t="str">
        <f>IF(B1349&lt;&gt;"",IF(AND(B1349='IN-TC'!$S$4,OR(TH!N2204="1111",TH!O2204="1111")),TH!D2204,""),"")</f>
        <v/>
      </c>
      <c r="B1349" s="63">
        <f t="shared" si="107"/>
        <v>2</v>
      </c>
      <c r="C1349" s="64">
        <f t="shared" si="109"/>
        <v>42429</v>
      </c>
      <c r="D1349" s="64" t="s">
        <v>1073</v>
      </c>
      <c r="E1349" s="64">
        <v>42429</v>
      </c>
      <c r="F1349" s="72" t="s">
        <v>932</v>
      </c>
      <c r="G1349" s="67" t="s">
        <v>337</v>
      </c>
      <c r="H1349" s="329" t="s">
        <v>418</v>
      </c>
      <c r="I1349" s="410"/>
      <c r="J1349" s="410"/>
      <c r="K1349" s="401"/>
      <c r="L1349" s="410"/>
      <c r="M1349" s="65">
        <v>109166500</v>
      </c>
      <c r="N1349" s="66" t="s">
        <v>8</v>
      </c>
      <c r="O1349" s="66" t="s">
        <v>266</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customHeight="1">
      <c r="A1350" s="323" t="str">
        <f>IF(B1350&lt;&gt;"",IF(AND(B1350='IN-TC'!$S$4,OR(TH!N1348="1111",TH!O1348="1111")),TH!D1348,""),"")</f>
        <v/>
      </c>
      <c r="B1350" s="63">
        <f t="shared" si="107"/>
        <v>7</v>
      </c>
      <c r="C1350" s="78">
        <f t="shared" si="109"/>
        <v>42575</v>
      </c>
      <c r="D1350" s="78" t="s">
        <v>940</v>
      </c>
      <c r="E1350" s="78">
        <v>42575</v>
      </c>
      <c r="F1350" s="79" t="s">
        <v>1935</v>
      </c>
      <c r="G1350" s="79" t="s">
        <v>337</v>
      </c>
      <c r="H1350" s="80" t="s">
        <v>1950</v>
      </c>
      <c r="I1350" s="406">
        <v>7980</v>
      </c>
      <c r="J1350" s="407">
        <v>19000</v>
      </c>
      <c r="K1350" s="397"/>
      <c r="L1350" s="406"/>
      <c r="M1350" s="81">
        <f t="shared" ref="M1350:M1359" si="110">ROUND(I1350*J1350,0)</f>
        <v>151620000</v>
      </c>
      <c r="N1350" s="82" t="s">
        <v>268</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customHeight="1">
      <c r="A1351" s="323" t="str">
        <f>IF(B1351&lt;&gt;"",IF(AND(B1351='IN-TC'!$S$4,OR(TH!N1258="1111",TH!O1258="1111")),TH!D1258,""),"")</f>
        <v/>
      </c>
      <c r="B1351" s="63">
        <f t="shared" si="107"/>
        <v>5</v>
      </c>
      <c r="C1351" s="78">
        <f t="shared" si="109"/>
        <v>42505</v>
      </c>
      <c r="D1351" s="78" t="s">
        <v>927</v>
      </c>
      <c r="E1351" s="78">
        <v>42505</v>
      </c>
      <c r="F1351" s="79" t="s">
        <v>669</v>
      </c>
      <c r="G1351" s="79"/>
      <c r="H1351" s="85" t="s">
        <v>418</v>
      </c>
      <c r="I1351" s="407">
        <v>7489</v>
      </c>
      <c r="J1351" s="407">
        <v>15500</v>
      </c>
      <c r="K1351" s="398"/>
      <c r="L1351" s="407"/>
      <c r="M1351" s="81">
        <f t="shared" si="110"/>
        <v>116079500</v>
      </c>
      <c r="N1351" s="82" t="s">
        <v>268</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customHeight="1">
      <c r="A1352" s="323" t="str">
        <f>IF(B1352&lt;&gt;"",IF(AND(B1352='IN-TC'!$S$4,OR(TH!N1268="1111",TH!O1268="1111")),TH!D1268,""),"")</f>
        <v/>
      </c>
      <c r="B1352" s="63">
        <f t="shared" si="107"/>
        <v>5</v>
      </c>
      <c r="C1352" s="78">
        <f t="shared" si="109"/>
        <v>42516</v>
      </c>
      <c r="D1352" s="78" t="s">
        <v>942</v>
      </c>
      <c r="E1352" s="78">
        <v>42516</v>
      </c>
      <c r="F1352" s="79" t="s">
        <v>669</v>
      </c>
      <c r="G1352" s="79"/>
      <c r="H1352" s="80" t="s">
        <v>423</v>
      </c>
      <c r="I1352" s="406">
        <v>7152</v>
      </c>
      <c r="J1352" s="407">
        <v>15500</v>
      </c>
      <c r="K1352" s="397"/>
      <c r="L1352" s="406"/>
      <c r="M1352" s="81">
        <f t="shared" si="110"/>
        <v>110856000</v>
      </c>
      <c r="N1352" s="82" t="s">
        <v>268</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customHeight="1">
      <c r="A1353" s="323" t="str">
        <f>IF(B1353&lt;&gt;"",IF(AND(B1353='IN-TC'!$S$4,OR(TH!N1353="1111",TH!O1353="1111")),TH!D1353,""),"")</f>
        <v/>
      </c>
      <c r="B1353" s="63">
        <f t="shared" si="107"/>
        <v>8</v>
      </c>
      <c r="C1353" s="90">
        <f t="shared" si="109"/>
        <v>42583</v>
      </c>
      <c r="D1353" s="90" t="s">
        <v>670</v>
      </c>
      <c r="E1353" s="90">
        <v>42583</v>
      </c>
      <c r="F1353" s="91" t="s">
        <v>1935</v>
      </c>
      <c r="G1353" s="91"/>
      <c r="H1353" s="92" t="s">
        <v>439</v>
      </c>
      <c r="I1353" s="1109">
        <v>23114</v>
      </c>
      <c r="J1353" s="1108">
        <v>19000</v>
      </c>
      <c r="K1353" s="1110"/>
      <c r="L1353" s="1109"/>
      <c r="M1353" s="93">
        <f t="shared" si="110"/>
        <v>439166000</v>
      </c>
      <c r="N1353" s="83" t="s">
        <v>276</v>
      </c>
      <c r="O1353" s="83" t="s">
        <v>268</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customHeight="1">
      <c r="A1354" s="323" t="str">
        <f>IF(B1354&lt;&gt;"",IF(AND(B1354='IN-TC'!$S$4,OR(TH!N1354="1111",TH!O1354="1111")),TH!D1354,""),"")</f>
        <v/>
      </c>
      <c r="B1354" s="63">
        <f t="shared" si="107"/>
        <v>8</v>
      </c>
      <c r="C1354" s="90">
        <f t="shared" si="109"/>
        <v>42583</v>
      </c>
      <c r="D1354" s="90" t="s">
        <v>670</v>
      </c>
      <c r="E1354" s="90">
        <v>42583</v>
      </c>
      <c r="F1354" s="91" t="s">
        <v>1952</v>
      </c>
      <c r="G1354" s="91"/>
      <c r="H1354" s="92" t="s">
        <v>439</v>
      </c>
      <c r="I1354" s="1109">
        <v>25146</v>
      </c>
      <c r="J1354" s="1108">
        <v>18000</v>
      </c>
      <c r="K1354" s="1110"/>
      <c r="L1354" s="1109"/>
      <c r="M1354" s="93">
        <f t="shared" si="110"/>
        <v>452628000</v>
      </c>
      <c r="N1354" s="83" t="s">
        <v>276</v>
      </c>
      <c r="O1354" s="83" t="s">
        <v>268</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customHeight="1">
      <c r="A1355" s="323" t="str">
        <f>IF(B1355&lt;&gt;"",IF(AND(B1355='IN-TC'!$S$4,OR(TH!N1355="1111",TH!O1355="1111")),TH!D1355,""),"")</f>
        <v/>
      </c>
      <c r="B1355" s="63">
        <f t="shared" si="107"/>
        <v>8</v>
      </c>
      <c r="C1355" s="90">
        <f t="shared" si="109"/>
        <v>42588</v>
      </c>
      <c r="D1355" s="90" t="s">
        <v>677</v>
      </c>
      <c r="E1355" s="90">
        <v>42588</v>
      </c>
      <c r="F1355" s="91" t="s">
        <v>1952</v>
      </c>
      <c r="G1355" s="1089"/>
      <c r="H1355" s="92" t="s">
        <v>439</v>
      </c>
      <c r="I1355" s="1109">
        <v>28886</v>
      </c>
      <c r="J1355" s="1108">
        <v>18000</v>
      </c>
      <c r="K1355" s="1110"/>
      <c r="L1355" s="1109"/>
      <c r="M1355" s="93">
        <f t="shared" si="110"/>
        <v>519948000</v>
      </c>
      <c r="N1355" s="83" t="s">
        <v>276</v>
      </c>
      <c r="O1355" s="83" t="s">
        <v>268</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customHeight="1">
      <c r="A1356" s="323" t="str">
        <f>IF(B1356&lt;&gt;"",IF(AND(B1356='IN-TC'!$S$4,OR(TH!N1356="1111",TH!O1356="1111")),TH!D1356,""),"")</f>
        <v/>
      </c>
      <c r="B1356" s="63">
        <f t="shared" si="107"/>
        <v>8</v>
      </c>
      <c r="C1356" s="90">
        <f t="shared" si="109"/>
        <v>42588</v>
      </c>
      <c r="D1356" s="90" t="s">
        <v>677</v>
      </c>
      <c r="E1356" s="90">
        <v>42588</v>
      </c>
      <c r="F1356" s="91" t="s">
        <v>1935</v>
      </c>
      <c r="G1356" s="91"/>
      <c r="H1356" s="92" t="s">
        <v>439</v>
      </c>
      <c r="I1356" s="1109">
        <v>23130</v>
      </c>
      <c r="J1356" s="1108">
        <v>19000</v>
      </c>
      <c r="K1356" s="1110"/>
      <c r="L1356" s="1109"/>
      <c r="M1356" s="93">
        <f t="shared" si="110"/>
        <v>439470000</v>
      </c>
      <c r="N1356" s="83" t="s">
        <v>276</v>
      </c>
      <c r="O1356" s="83" t="s">
        <v>268</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customHeight="1">
      <c r="A1357" s="323" t="str">
        <f>IF(B1357&lt;&gt;"",IF(AND(B1357='IN-TC'!$S$4,OR(TH!N1357="1111",TH!O1357="1111")),TH!D1357,""),"")</f>
        <v/>
      </c>
      <c r="B1357" s="63">
        <f t="shared" si="107"/>
        <v>8</v>
      </c>
      <c r="C1357" s="90">
        <f t="shared" si="109"/>
        <v>42591</v>
      </c>
      <c r="D1357" s="90" t="s">
        <v>678</v>
      </c>
      <c r="E1357" s="90">
        <v>42591</v>
      </c>
      <c r="F1357" s="91" t="s">
        <v>1935</v>
      </c>
      <c r="G1357" s="91"/>
      <c r="H1357" s="92" t="s">
        <v>439</v>
      </c>
      <c r="I1357" s="1109">
        <v>23756</v>
      </c>
      <c r="J1357" s="1108">
        <v>19000</v>
      </c>
      <c r="K1357" s="1110"/>
      <c r="L1357" s="1109"/>
      <c r="M1357" s="93">
        <f t="shared" si="110"/>
        <v>451364000</v>
      </c>
      <c r="N1357" s="83" t="s">
        <v>276</v>
      </c>
      <c r="O1357" s="83" t="s">
        <v>268</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customHeight="1">
      <c r="A1358" s="323" t="str">
        <f>IF(B1358&lt;&gt;"",IF(AND(B1358='IN-TC'!$S$4,OR(TH!N1358="1111",TH!O1358="1111")),TH!D1358,""),"")</f>
        <v/>
      </c>
      <c r="B1358" s="63">
        <f t="shared" si="107"/>
        <v>8</v>
      </c>
      <c r="C1358" s="90">
        <f t="shared" si="109"/>
        <v>42592</v>
      </c>
      <c r="D1358" s="90" t="s">
        <v>679</v>
      </c>
      <c r="E1358" s="90">
        <v>42592</v>
      </c>
      <c r="F1358" s="91" t="s">
        <v>1937</v>
      </c>
      <c r="G1358" s="91"/>
      <c r="H1358" s="92" t="s">
        <v>439</v>
      </c>
      <c r="I1358" s="1109">
        <v>11250</v>
      </c>
      <c r="J1358" s="1108">
        <v>11165</v>
      </c>
      <c r="K1358" s="1110"/>
      <c r="L1358" s="1109"/>
      <c r="M1358" s="93">
        <f t="shared" si="110"/>
        <v>125606250</v>
      </c>
      <c r="N1358" s="83" t="s">
        <v>276</v>
      </c>
      <c r="O1358" s="83" t="s">
        <v>268</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customHeight="1">
      <c r="A1359" s="323" t="str">
        <f>IF(B1359&lt;&gt;"",IF(AND(B1359='IN-TC'!$S$4,OR(TH!N1359="1111",TH!O1359="1111")),TH!D1359,""),"")</f>
        <v/>
      </c>
      <c r="B1359" s="63">
        <f t="shared" si="107"/>
        <v>8</v>
      </c>
      <c r="C1359" s="90">
        <f t="shared" si="109"/>
        <v>42592</v>
      </c>
      <c r="D1359" s="90" t="s">
        <v>680</v>
      </c>
      <c r="E1359" s="90">
        <v>42592</v>
      </c>
      <c r="F1359" s="91" t="s">
        <v>1952</v>
      </c>
      <c r="G1359" s="91"/>
      <c r="H1359" s="92" t="s">
        <v>439</v>
      </c>
      <c r="I1359" s="414">
        <v>29168</v>
      </c>
      <c r="J1359" s="1108">
        <v>18000</v>
      </c>
      <c r="K1359" s="405"/>
      <c r="L1359" s="414"/>
      <c r="M1359" s="93">
        <f t="shared" si="110"/>
        <v>525024000</v>
      </c>
      <c r="N1359" s="83" t="s">
        <v>276</v>
      </c>
      <c r="O1359" s="83" t="s">
        <v>268</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customHeight="1">
      <c r="A1360" s="323" t="str">
        <f>IF(B1360&lt;&gt;"",IF(AND(B1360='IN-TC'!$S$4,OR(TH!N284="1111",TH!O284="1111")),TH!D284,""),"")</f>
        <v/>
      </c>
      <c r="B1360" s="63">
        <f t="shared" si="107"/>
        <v>8</v>
      </c>
      <c r="C1360" s="1087">
        <v>42606</v>
      </c>
      <c r="D1360" s="1087" t="s">
        <v>1891</v>
      </c>
      <c r="E1360" s="1087">
        <f>C1360</f>
        <v>42606</v>
      </c>
      <c r="F1360" s="1155" t="s">
        <v>1893</v>
      </c>
      <c r="G1360" s="1131" t="s">
        <v>1894</v>
      </c>
      <c r="H1360" s="92" t="s">
        <v>1525</v>
      </c>
      <c r="I1360" s="414">
        <v>3150</v>
      </c>
      <c r="J1360" s="1132">
        <v>1</v>
      </c>
      <c r="K1360" s="405">
        <f>I1360*J1360</f>
        <v>3150</v>
      </c>
      <c r="L1360" s="414">
        <v>22260</v>
      </c>
      <c r="M1360" s="1133">
        <f>ROUND(K1360*L1360,0)</f>
        <v>70119000</v>
      </c>
      <c r="N1360" s="1134" t="s">
        <v>576</v>
      </c>
      <c r="O1360" s="1134" t="s">
        <v>292</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customHeight="1">
      <c r="A1361" s="323" t="str">
        <f>IF(B1361&lt;&gt;"",IF(AND(B1361='IN-TC'!$S$4,OR(TH!N3649="1111",TH!O3649="1111")),TH!D3649,""),"")</f>
        <v/>
      </c>
      <c r="B1361" s="63">
        <f t="shared" si="107"/>
        <v>8</v>
      </c>
      <c r="C1361" s="64">
        <v>42606</v>
      </c>
      <c r="D1361" s="64" t="s">
        <v>687</v>
      </c>
      <c r="E1361" s="64">
        <f>C1361</f>
        <v>42606</v>
      </c>
      <c r="F1361" s="72" t="s">
        <v>1436</v>
      </c>
      <c r="G1361" s="79" t="s">
        <v>902</v>
      </c>
      <c r="H1361" s="1103" t="s">
        <v>1525</v>
      </c>
      <c r="I1361" s="408"/>
      <c r="J1361" s="408"/>
      <c r="K1361" s="399">
        <v>1974.3</v>
      </c>
      <c r="L1361" s="408">
        <v>22270</v>
      </c>
      <c r="M1361" s="65">
        <f>ROUND(K1361*L1361,0)</f>
        <v>43967661</v>
      </c>
      <c r="N1361" s="82" t="s">
        <v>260</v>
      </c>
      <c r="O1361" s="82" t="s">
        <v>576</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customHeight="1">
      <c r="A1362" s="323" t="str">
        <f>IF(B1362&lt;&gt;"",IF(AND(B1362='IN-TC'!$S$4,OR(TH!N1362="1111",TH!O1362="1111")),TH!D1362,""),"")</f>
        <v/>
      </c>
      <c r="B1362" s="63">
        <f t="shared" si="107"/>
        <v>8</v>
      </c>
      <c r="C1362" s="90">
        <f t="shared" ref="C1362:C1372" si="111">E1362</f>
        <v>42602</v>
      </c>
      <c r="D1362" s="90" t="s">
        <v>929</v>
      </c>
      <c r="E1362" s="90">
        <v>42602</v>
      </c>
      <c r="F1362" s="91" t="s">
        <v>1933</v>
      </c>
      <c r="G1362" s="91"/>
      <c r="H1362" s="92" t="s">
        <v>439</v>
      </c>
      <c r="I1362" s="1109">
        <v>2500</v>
      </c>
      <c r="J1362" s="1108">
        <v>46000</v>
      </c>
      <c r="K1362" s="1110"/>
      <c r="L1362" s="1109"/>
      <c r="M1362" s="93">
        <f>ROUND(I1362*J1362,0)</f>
        <v>115000000</v>
      </c>
      <c r="N1362" s="83" t="s">
        <v>276</v>
      </c>
      <c r="O1362" s="83" t="s">
        <v>268</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customHeight="1">
      <c r="A1363" s="323" t="str">
        <f>IF(B1363&lt;&gt;"",IF(AND(B1363='IN-TC'!$S$4,OR(TH!N1335="1111",TH!O1335="1111")),TH!D1335,""),"")</f>
        <v/>
      </c>
      <c r="B1363" s="63">
        <f t="shared" si="107"/>
        <v>7</v>
      </c>
      <c r="C1363" s="78">
        <f t="shared" si="111"/>
        <v>42561</v>
      </c>
      <c r="D1363" s="78" t="s">
        <v>922</v>
      </c>
      <c r="E1363" s="78">
        <v>42561</v>
      </c>
      <c r="F1363" s="79" t="s">
        <v>1952</v>
      </c>
      <c r="G1363" s="79" t="s">
        <v>331</v>
      </c>
      <c r="H1363" s="85" t="s">
        <v>376</v>
      </c>
      <c r="I1363" s="407">
        <v>8530</v>
      </c>
      <c r="J1363" s="407">
        <v>18000</v>
      </c>
      <c r="K1363" s="398"/>
      <c r="L1363" s="407"/>
      <c r="M1363" s="81">
        <f>ROUND(I1363*J1363,0)</f>
        <v>153540000</v>
      </c>
      <c r="N1363" s="82" t="s">
        <v>268</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customHeight="1">
      <c r="A1364" s="323" t="str">
        <f>IF(B1364&lt;&gt;"",IF(AND(B1364='IN-TC'!$S$4,OR(TH!N1336="1111",TH!O1336="1111")),TH!D1336,""),"")</f>
        <v/>
      </c>
      <c r="B1364" s="63">
        <f t="shared" si="107"/>
        <v>7</v>
      </c>
      <c r="C1364" s="78">
        <f t="shared" si="111"/>
        <v>42561</v>
      </c>
      <c r="D1364" s="78" t="s">
        <v>923</v>
      </c>
      <c r="E1364" s="78">
        <v>42561</v>
      </c>
      <c r="F1364" s="79" t="s">
        <v>1952</v>
      </c>
      <c r="G1364" s="79" t="s">
        <v>331</v>
      </c>
      <c r="H1364" s="80" t="s">
        <v>378</v>
      </c>
      <c r="I1364" s="406">
        <v>9080</v>
      </c>
      <c r="J1364" s="407">
        <v>18000</v>
      </c>
      <c r="K1364" s="397"/>
      <c r="L1364" s="406"/>
      <c r="M1364" s="81">
        <f>ROUND(I1364*J1364,0)</f>
        <v>163440000</v>
      </c>
      <c r="N1364" s="82" t="s">
        <v>268</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customHeight="1">
      <c r="A1365" s="323" t="str">
        <f>IF(B1365&lt;&gt;"",IF(AND(B1365='IN-TC'!$S$4,OR(TH!N2271="1111",TH!O2271="1111")),TH!D2271,""),"")</f>
        <v/>
      </c>
      <c r="B1365" s="63">
        <f t="shared" si="107"/>
        <v>7</v>
      </c>
      <c r="C1365" s="64">
        <f t="shared" si="111"/>
        <v>42582</v>
      </c>
      <c r="D1365" s="64" t="s">
        <v>2213</v>
      </c>
      <c r="E1365" s="64">
        <v>42582</v>
      </c>
      <c r="F1365" s="72" t="s">
        <v>932</v>
      </c>
      <c r="G1365" s="67" t="s">
        <v>331</v>
      </c>
      <c r="H1365" s="329" t="s">
        <v>1953</v>
      </c>
      <c r="I1365" s="410"/>
      <c r="J1365" s="410"/>
      <c r="K1365" s="401"/>
      <c r="L1365" s="410"/>
      <c r="M1365" s="65">
        <v>332856000</v>
      </c>
      <c r="N1365" s="66" t="s">
        <v>8</v>
      </c>
      <c r="O1365" s="66" t="s">
        <v>266</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customHeight="1">
      <c r="A1366" s="323" t="str">
        <f>IF(B1366&lt;&gt;"",IF(AND(B1366='IN-TC'!$S$4,OR(TH!N1338="1111",TH!O1338="1111")),TH!D1338,""),"")</f>
        <v/>
      </c>
      <c r="B1366" s="63">
        <f t="shared" si="107"/>
        <v>7</v>
      </c>
      <c r="C1366" s="78">
        <f t="shared" si="111"/>
        <v>42567</v>
      </c>
      <c r="D1366" s="78" t="s">
        <v>925</v>
      </c>
      <c r="E1366" s="78">
        <v>42567</v>
      </c>
      <c r="F1366" s="79" t="s">
        <v>1952</v>
      </c>
      <c r="G1366" s="79" t="s">
        <v>331</v>
      </c>
      <c r="H1366" s="80" t="s">
        <v>384</v>
      </c>
      <c r="I1366" s="406">
        <v>8075</v>
      </c>
      <c r="J1366" s="407">
        <v>18000</v>
      </c>
      <c r="K1366" s="397"/>
      <c r="L1366" s="406"/>
      <c r="M1366" s="81">
        <f>ROUND(I1366*J1366,0)</f>
        <v>145350000</v>
      </c>
      <c r="N1366" s="82" t="s">
        <v>268</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customHeight="1">
      <c r="A1367" s="323" t="str">
        <f>IF(B1367&lt;&gt;"",IF(AND(B1367='IN-TC'!$S$4,OR(TH!N2220="1111",TH!O2220="1111")),TH!D2220,""),"")</f>
        <v/>
      </c>
      <c r="B1367" s="63">
        <f t="shared" si="107"/>
        <v>3</v>
      </c>
      <c r="C1367" s="64">
        <f t="shared" si="111"/>
        <v>42460</v>
      </c>
      <c r="D1367" s="64" t="s">
        <v>2205</v>
      </c>
      <c r="E1367" s="64">
        <v>42460</v>
      </c>
      <c r="F1367" s="72" t="s">
        <v>932</v>
      </c>
      <c r="G1367" s="67" t="s">
        <v>331</v>
      </c>
      <c r="H1367" s="329" t="s">
        <v>386</v>
      </c>
      <c r="I1367" s="408"/>
      <c r="J1367" s="408"/>
      <c r="K1367" s="399"/>
      <c r="L1367" s="408"/>
      <c r="M1367" s="65">
        <v>121275000</v>
      </c>
      <c r="N1367" s="66" t="s">
        <v>8</v>
      </c>
      <c r="O1367" s="66" t="s">
        <v>266</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customHeight="1">
      <c r="A1368" s="323" t="str">
        <f>IF(B1368&lt;&gt;"",IF(AND(B1368='IN-TC'!$S$4,OR(TH!N1340="1111",TH!O1340="1111")),TH!D1340,""),"")</f>
        <v/>
      </c>
      <c r="B1368" s="63">
        <f t="shared" si="107"/>
        <v>7</v>
      </c>
      <c r="C1368" s="78">
        <f t="shared" si="111"/>
        <v>42567</v>
      </c>
      <c r="D1368" s="78" t="s">
        <v>927</v>
      </c>
      <c r="E1368" s="78">
        <v>42567</v>
      </c>
      <c r="F1368" s="79" t="s">
        <v>1952</v>
      </c>
      <c r="G1368" s="79" t="s">
        <v>331</v>
      </c>
      <c r="H1368" s="80" t="s">
        <v>376</v>
      </c>
      <c r="I1368" s="406">
        <v>9520</v>
      </c>
      <c r="J1368" s="407">
        <v>18000</v>
      </c>
      <c r="K1368" s="397"/>
      <c r="L1368" s="406"/>
      <c r="M1368" s="81">
        <f t="shared" ref="M1368:M1376" si="112">ROUND(I1368*J1368,0)</f>
        <v>171360000</v>
      </c>
      <c r="N1368" s="82" t="s">
        <v>268</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customHeight="1">
      <c r="A1369" s="323" t="str">
        <f>IF(B1369&lt;&gt;"",IF(AND(B1369='IN-TC'!$S$4,OR(TH!N1341="1111",TH!O1341="1111")),TH!D1341,""),"")</f>
        <v/>
      </c>
      <c r="B1369" s="63">
        <f t="shared" si="107"/>
        <v>7</v>
      </c>
      <c r="C1369" s="78">
        <f t="shared" si="111"/>
        <v>42570</v>
      </c>
      <c r="D1369" s="78" t="s">
        <v>933</v>
      </c>
      <c r="E1369" s="78">
        <v>42570</v>
      </c>
      <c r="F1369" s="79" t="s">
        <v>1952</v>
      </c>
      <c r="G1369" s="79" t="s">
        <v>331</v>
      </c>
      <c r="H1369" s="80" t="s">
        <v>378</v>
      </c>
      <c r="I1369" s="406">
        <v>9981</v>
      </c>
      <c r="J1369" s="407">
        <v>18000</v>
      </c>
      <c r="K1369" s="397"/>
      <c r="L1369" s="406"/>
      <c r="M1369" s="81">
        <f t="shared" si="112"/>
        <v>179658000</v>
      </c>
      <c r="N1369" s="82" t="s">
        <v>268</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customHeight="1">
      <c r="A1370" s="323" t="str">
        <f>IF(B1370&lt;&gt;"",IF(AND(B1370='IN-TC'!$S$4,OR(TH!N1365="1111",TH!O1365="1111")),TH!D1365,""),"")</f>
        <v/>
      </c>
      <c r="B1370" s="63">
        <f t="shared" si="107"/>
        <v>8</v>
      </c>
      <c r="C1370" s="78">
        <f t="shared" si="111"/>
        <v>42583</v>
      </c>
      <c r="D1370" s="78" t="s">
        <v>919</v>
      </c>
      <c r="E1370" s="78">
        <v>42583</v>
      </c>
      <c r="F1370" s="79" t="s">
        <v>1952</v>
      </c>
      <c r="G1370" s="79"/>
      <c r="H1370" s="80" t="s">
        <v>1953</v>
      </c>
      <c r="I1370" s="406">
        <v>8746</v>
      </c>
      <c r="J1370" s="407">
        <v>18000</v>
      </c>
      <c r="K1370" s="397"/>
      <c r="L1370" s="406"/>
      <c r="M1370" s="81">
        <f t="shared" si="112"/>
        <v>157428000</v>
      </c>
      <c r="N1370" s="82" t="s">
        <v>268</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c r="A1371" s="323" t="str">
        <f>IF(B1371&lt;&gt;"",IF(AND(B1371='IN-TC'!$S$4,OR(TH!N1343="1111",TH!O1343="1111")),TH!D1343,""),"")</f>
        <v/>
      </c>
      <c r="B1371" s="63">
        <f t="shared" si="107"/>
        <v>7</v>
      </c>
      <c r="C1371" s="78">
        <f t="shared" si="111"/>
        <v>42570</v>
      </c>
      <c r="D1371" s="78" t="s">
        <v>935</v>
      </c>
      <c r="E1371" s="78">
        <v>42570</v>
      </c>
      <c r="F1371" s="79" t="s">
        <v>1952</v>
      </c>
      <c r="G1371" s="79" t="s">
        <v>331</v>
      </c>
      <c r="H1371" s="80" t="s">
        <v>384</v>
      </c>
      <c r="I1371" s="406">
        <v>9542</v>
      </c>
      <c r="J1371" s="407">
        <v>18000</v>
      </c>
      <c r="K1371" s="397"/>
      <c r="L1371" s="406"/>
      <c r="M1371" s="81">
        <f t="shared" si="112"/>
        <v>171756000</v>
      </c>
      <c r="N1371" s="82" t="s">
        <v>268</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customHeight="1">
      <c r="A1372" s="323" t="str">
        <f>IF(B1372&lt;&gt;"",IF(AND(B1372='IN-TC'!$S$4,OR(TH!N1372="1111",TH!O1372="1111")),TH!D1372,""),"")</f>
        <v/>
      </c>
      <c r="B1372" s="63">
        <f t="shared" si="107"/>
        <v>8</v>
      </c>
      <c r="C1372" s="78">
        <f t="shared" si="111"/>
        <v>42602</v>
      </c>
      <c r="D1372" s="78" t="s">
        <v>926</v>
      </c>
      <c r="E1372" s="78">
        <v>42602</v>
      </c>
      <c r="F1372" s="79" t="s">
        <v>1933</v>
      </c>
      <c r="G1372" s="79"/>
      <c r="H1372" s="80" t="s">
        <v>402</v>
      </c>
      <c r="I1372" s="406">
        <v>2500</v>
      </c>
      <c r="J1372" s="407">
        <v>46000</v>
      </c>
      <c r="K1372" s="397"/>
      <c r="L1372" s="406"/>
      <c r="M1372" s="81">
        <f t="shared" si="112"/>
        <v>115000000</v>
      </c>
      <c r="N1372" s="82" t="s">
        <v>268</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customHeight="1">
      <c r="A1373" s="323" t="str">
        <f>IF(B1373&lt;&gt;"",IF(AND(B1373='IN-TC'!$S$4,OR(TH!N1373="1111",TH!O1373="1111")),TH!D1373,""),"")</f>
        <v/>
      </c>
      <c r="B1373" s="63">
        <f t="shared" si="107"/>
        <v>9</v>
      </c>
      <c r="C1373" s="78">
        <v>42614</v>
      </c>
      <c r="D1373" s="78" t="s">
        <v>917</v>
      </c>
      <c r="E1373" s="78">
        <f>C1373</f>
        <v>42614</v>
      </c>
      <c r="F1373" s="79" t="s">
        <v>2225</v>
      </c>
      <c r="G1373" s="79" t="s">
        <v>337</v>
      </c>
      <c r="H1373" s="80" t="s">
        <v>417</v>
      </c>
      <c r="I1373" s="406">
        <v>4875</v>
      </c>
      <c r="J1373" s="407">
        <v>28500</v>
      </c>
      <c r="K1373" s="397"/>
      <c r="L1373" s="406"/>
      <c r="M1373" s="81">
        <f t="shared" si="112"/>
        <v>138937500</v>
      </c>
      <c r="N1373" s="82" t="s">
        <v>268</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customHeight="1">
      <c r="A1374" s="323" t="str">
        <f>IF(B1374&lt;&gt;"",IF(AND(B1374='IN-TC'!$S$4,OR(TH!N1374="1111",TH!O1374="1111")),TH!D1374,""),"")</f>
        <v/>
      </c>
      <c r="B1374" s="63">
        <f t="shared" si="107"/>
        <v>9</v>
      </c>
      <c r="C1374" s="78">
        <v>42614</v>
      </c>
      <c r="D1374" s="78" t="s">
        <v>918</v>
      </c>
      <c r="E1374" s="78">
        <f>C1374</f>
        <v>42614</v>
      </c>
      <c r="F1374" s="79" t="s">
        <v>2225</v>
      </c>
      <c r="G1374" s="79" t="s">
        <v>337</v>
      </c>
      <c r="H1374" s="80" t="s">
        <v>407</v>
      </c>
      <c r="I1374" s="406">
        <v>4500</v>
      </c>
      <c r="J1374" s="407">
        <v>28500</v>
      </c>
      <c r="K1374" s="397"/>
      <c r="L1374" s="406"/>
      <c r="M1374" s="81">
        <f t="shared" si="112"/>
        <v>128250000</v>
      </c>
      <c r="N1374" s="82" t="s">
        <v>268</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customHeight="1">
      <c r="A1375" s="323" t="str">
        <f>IF(B1375&lt;&gt;"",IF(AND(B1375='IN-TC'!$S$4,OR(TH!N1375="1111",TH!O1375="1111")),TH!D1375,""),"")</f>
        <v/>
      </c>
      <c r="B1375" s="63">
        <f t="shared" si="107"/>
        <v>9</v>
      </c>
      <c r="C1375" s="78">
        <v>42614</v>
      </c>
      <c r="D1375" s="78" t="s">
        <v>919</v>
      </c>
      <c r="E1375" s="78">
        <f>C1375</f>
        <v>42614</v>
      </c>
      <c r="F1375" s="79" t="s">
        <v>2225</v>
      </c>
      <c r="G1375" s="79" t="s">
        <v>337</v>
      </c>
      <c r="H1375" s="80" t="s">
        <v>409</v>
      </c>
      <c r="I1375" s="406">
        <v>3190</v>
      </c>
      <c r="J1375" s="407">
        <v>28500</v>
      </c>
      <c r="K1375" s="397"/>
      <c r="L1375" s="406"/>
      <c r="M1375" s="81">
        <f t="shared" si="112"/>
        <v>90915000</v>
      </c>
      <c r="N1375" s="82" t="s">
        <v>268</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customHeight="1">
      <c r="A1376" s="323" t="str">
        <f>IF(B1376&lt;&gt;"",IF(AND(B1376='IN-TC'!$S$4,OR(TH!N1376="1111",TH!O1376="1111")),TH!D1376,""),"")</f>
        <v/>
      </c>
      <c r="B1376" s="63">
        <f t="shared" si="107"/>
        <v>9</v>
      </c>
      <c r="C1376" s="90">
        <v>42616</v>
      </c>
      <c r="D1376" s="90" t="s">
        <v>670</v>
      </c>
      <c r="E1376" s="90">
        <f>C1376</f>
        <v>42616</v>
      </c>
      <c r="F1376" s="91" t="s">
        <v>2225</v>
      </c>
      <c r="G1376" s="91"/>
      <c r="H1376" s="92" t="s">
        <v>439</v>
      </c>
      <c r="I1376" s="1109">
        <v>12565</v>
      </c>
      <c r="J1376" s="1108">
        <v>28500</v>
      </c>
      <c r="K1376" s="1110"/>
      <c r="L1376" s="1109"/>
      <c r="M1376" s="93">
        <f t="shared" si="112"/>
        <v>358102500</v>
      </c>
      <c r="N1376" s="83" t="s">
        <v>276</v>
      </c>
      <c r="O1376" s="83" t="s">
        <v>268</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customHeight="1">
      <c r="A1377" s="323" t="str">
        <f>IF(B1377&lt;&gt;"",IF(AND(B1377='IN-TC'!$S$4,OR(TH!N2266="1111",TH!O2266="1111")),TH!D2266,""),"")</f>
        <v/>
      </c>
      <c r="B1377" s="63">
        <f t="shared" si="107"/>
        <v>7</v>
      </c>
      <c r="C1377" s="64">
        <f t="shared" ref="C1377:C1383" si="113">E1377</f>
        <v>42582</v>
      </c>
      <c r="D1377" s="64" t="s">
        <v>2213</v>
      </c>
      <c r="E1377" s="64">
        <v>42582</v>
      </c>
      <c r="F1377" s="72" t="s">
        <v>932</v>
      </c>
      <c r="G1377" s="67" t="s">
        <v>331</v>
      </c>
      <c r="H1377" s="329" t="s">
        <v>376</v>
      </c>
      <c r="I1377" s="408"/>
      <c r="J1377" s="408"/>
      <c r="K1377" s="399"/>
      <c r="L1377" s="408"/>
      <c r="M1377" s="65">
        <v>324900000</v>
      </c>
      <c r="N1377" s="66" t="s">
        <v>8</v>
      </c>
      <c r="O1377" s="66" t="s">
        <v>266</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customHeight="1">
      <c r="A1378" s="323" t="str">
        <f>IF(B1378&lt;&gt;"",IF(AND(B1378='IN-TC'!$S$4,OR(TH!N2270="1111",TH!O2270="1111")),TH!D2270,""),"")</f>
        <v/>
      </c>
      <c r="B1378" s="63">
        <f t="shared" si="107"/>
        <v>7</v>
      </c>
      <c r="C1378" s="64">
        <f t="shared" si="113"/>
        <v>42582</v>
      </c>
      <c r="D1378" s="64" t="s">
        <v>2213</v>
      </c>
      <c r="E1378" s="64">
        <v>42582</v>
      </c>
      <c r="F1378" s="72" t="s">
        <v>932</v>
      </c>
      <c r="G1378" s="67" t="s">
        <v>331</v>
      </c>
      <c r="H1378" s="329" t="s">
        <v>378</v>
      </c>
      <c r="I1378" s="410"/>
      <c r="J1378" s="410"/>
      <c r="K1378" s="401"/>
      <c r="L1378" s="410"/>
      <c r="M1378" s="65">
        <v>343098000</v>
      </c>
      <c r="N1378" s="66" t="s">
        <v>8</v>
      </c>
      <c r="O1378" s="66" t="s">
        <v>266</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customHeight="1">
      <c r="A1379" s="323" t="str">
        <f>IF(B1379&lt;&gt;"",IF(AND(B1379='IN-TC'!$S$4,OR(TH!N1370="1111",TH!O1370="1111")),TH!D1370,""),"")</f>
        <v/>
      </c>
      <c r="B1379" s="63">
        <f t="shared" si="107"/>
        <v>8</v>
      </c>
      <c r="C1379" s="78">
        <f t="shared" si="113"/>
        <v>42592</v>
      </c>
      <c r="D1379" s="78" t="s">
        <v>924</v>
      </c>
      <c r="E1379" s="78">
        <v>42592</v>
      </c>
      <c r="F1379" s="79" t="s">
        <v>1952</v>
      </c>
      <c r="G1379" s="79"/>
      <c r="H1379" s="80" t="s">
        <v>1953</v>
      </c>
      <c r="I1379" s="406">
        <v>9760</v>
      </c>
      <c r="J1379" s="407">
        <v>18000</v>
      </c>
      <c r="K1379" s="397"/>
      <c r="L1379" s="406"/>
      <c r="M1379" s="81">
        <f>ROUND(I1379*J1379,0)</f>
        <v>175680000</v>
      </c>
      <c r="N1379" s="82" t="s">
        <v>268</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customHeight="1">
      <c r="A1380" s="323" t="str">
        <f>IF(B1380&lt;&gt;"",IF(AND(B1380='IN-TC'!$S$4,OR(TH!N2267="1111",TH!O2267="1111")),TH!D2267,""),"")</f>
        <v/>
      </c>
      <c r="B1380" s="63">
        <f t="shared" si="107"/>
        <v>7</v>
      </c>
      <c r="C1380" s="64">
        <f t="shared" si="113"/>
        <v>42582</v>
      </c>
      <c r="D1380" s="64" t="s">
        <v>2213</v>
      </c>
      <c r="E1380" s="64">
        <v>42582</v>
      </c>
      <c r="F1380" s="72" t="s">
        <v>932</v>
      </c>
      <c r="G1380" s="67" t="s">
        <v>331</v>
      </c>
      <c r="H1380" s="329" t="s">
        <v>384</v>
      </c>
      <c r="I1380" s="408"/>
      <c r="J1380" s="408"/>
      <c r="K1380" s="399"/>
      <c r="L1380" s="408"/>
      <c r="M1380" s="65">
        <v>317106000</v>
      </c>
      <c r="N1380" s="66" t="s">
        <v>8</v>
      </c>
      <c r="O1380" s="66" t="s">
        <v>266</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customHeight="1">
      <c r="A1381" s="323" t="str">
        <f>IF(B1381&lt;&gt;"",IF(AND(B1381='IN-TC'!$S$4,OR(TH!N1339="1111",TH!O1339="1111")),TH!D1339,""),"")</f>
        <v/>
      </c>
      <c r="B1381" s="63">
        <f t="shared" si="107"/>
        <v>7</v>
      </c>
      <c r="C1381" s="78">
        <f t="shared" si="113"/>
        <v>42567</v>
      </c>
      <c r="D1381" s="78" t="s">
        <v>926</v>
      </c>
      <c r="E1381" s="78">
        <v>42567</v>
      </c>
      <c r="F1381" s="79" t="s">
        <v>1952</v>
      </c>
      <c r="G1381" s="79" t="s">
        <v>331</v>
      </c>
      <c r="H1381" s="80" t="s">
        <v>386</v>
      </c>
      <c r="I1381" s="406">
        <v>9980</v>
      </c>
      <c r="J1381" s="407">
        <v>18000</v>
      </c>
      <c r="K1381" s="397"/>
      <c r="L1381" s="406"/>
      <c r="M1381" s="81">
        <f>ROUND(I1381*J1381,0)</f>
        <v>179640000</v>
      </c>
      <c r="N1381" s="82" t="s">
        <v>268</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customHeight="1">
      <c r="A1382" s="323" t="str">
        <f>IF(B1382&lt;&gt;"",IF(AND(B1382='IN-TC'!$S$4,OR(TH!N1363="1111",TH!O1363="1111")),TH!D1363,""),"")</f>
        <v/>
      </c>
      <c r="B1382" s="63">
        <f t="shared" si="107"/>
        <v>8</v>
      </c>
      <c r="C1382" s="78">
        <f t="shared" si="113"/>
        <v>42583</v>
      </c>
      <c r="D1382" s="78" t="s">
        <v>917</v>
      </c>
      <c r="E1382" s="78">
        <v>42583</v>
      </c>
      <c r="F1382" s="79" t="s">
        <v>1952</v>
      </c>
      <c r="G1382" s="79"/>
      <c r="H1382" s="85" t="s">
        <v>376</v>
      </c>
      <c r="I1382" s="407">
        <v>7450</v>
      </c>
      <c r="J1382" s="407">
        <v>18000</v>
      </c>
      <c r="K1382" s="398"/>
      <c r="L1382" s="407"/>
      <c r="M1382" s="81">
        <f>ROUND(I1382*J1382,0)</f>
        <v>134100000</v>
      </c>
      <c r="N1382" s="82" t="s">
        <v>268</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customHeight="1">
      <c r="A1383" s="323" t="str">
        <f>IF(B1383&lt;&gt;"",IF(AND(B1383='IN-TC'!$S$4,OR(TH!N1364="1111",TH!O1364="1111")),TH!D1364,""),"")</f>
        <v/>
      </c>
      <c r="B1383" s="63">
        <f t="shared" si="107"/>
        <v>8</v>
      </c>
      <c r="C1383" s="78">
        <f t="shared" si="113"/>
        <v>42583</v>
      </c>
      <c r="D1383" s="78" t="s">
        <v>918</v>
      </c>
      <c r="E1383" s="78">
        <v>42583</v>
      </c>
      <c r="F1383" s="79" t="s">
        <v>1952</v>
      </c>
      <c r="G1383" s="79"/>
      <c r="H1383" s="80" t="s">
        <v>378</v>
      </c>
      <c r="I1383" s="406">
        <v>8950</v>
      </c>
      <c r="J1383" s="407">
        <v>18000</v>
      </c>
      <c r="K1383" s="397"/>
      <c r="L1383" s="406"/>
      <c r="M1383" s="81">
        <f>ROUND(I1383*J1383,0)</f>
        <v>161100000</v>
      </c>
      <c r="N1383" s="82" t="s">
        <v>268</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customHeight="1">
      <c r="A1384" s="323" t="str">
        <f>IF(B1384&lt;&gt;"",IF(AND(B1384='IN-TC'!$S$4,OR(TH!N2273="1111",TH!O2273="1111")),TH!D2273,""),"")</f>
        <v/>
      </c>
      <c r="B1384" s="63">
        <f t="shared" si="107"/>
        <v>8</v>
      </c>
      <c r="C1384" s="64">
        <v>42613</v>
      </c>
      <c r="D1384" s="64" t="s">
        <v>2214</v>
      </c>
      <c r="E1384" s="64">
        <v>42613</v>
      </c>
      <c r="F1384" s="72" t="s">
        <v>932</v>
      </c>
      <c r="G1384" s="67" t="s">
        <v>331</v>
      </c>
      <c r="H1384" s="329" t="s">
        <v>1953</v>
      </c>
      <c r="I1384" s="408"/>
      <c r="J1384" s="408"/>
      <c r="K1384" s="399"/>
      <c r="L1384" s="408"/>
      <c r="M1384" s="65">
        <v>333108000</v>
      </c>
      <c r="N1384" s="66" t="s">
        <v>8</v>
      </c>
      <c r="O1384" s="66" t="s">
        <v>266</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customHeight="1">
      <c r="A1385" s="323" t="str">
        <f>IF(B1385&lt;&gt;"",IF(AND(B1385='IN-TC'!$S$4,OR(TH!N1366="1111",TH!O1366="1111")),TH!D1366,""),"")</f>
        <v/>
      </c>
      <c r="B1385" s="63">
        <f t="shared" si="107"/>
        <v>8</v>
      </c>
      <c r="C1385" s="78">
        <f>E1385</f>
        <v>42588</v>
      </c>
      <c r="D1385" s="78" t="s">
        <v>920</v>
      </c>
      <c r="E1385" s="78">
        <v>42588</v>
      </c>
      <c r="F1385" s="79" t="s">
        <v>1952</v>
      </c>
      <c r="G1385" s="79"/>
      <c r="H1385" s="80" t="s">
        <v>384</v>
      </c>
      <c r="I1385" s="406">
        <v>9486</v>
      </c>
      <c r="J1385" s="407">
        <v>18000</v>
      </c>
      <c r="K1385" s="397"/>
      <c r="L1385" s="406"/>
      <c r="M1385" s="81">
        <f t="shared" ref="M1385:M1391" si="114">ROUND(I1385*J1385,0)</f>
        <v>170748000</v>
      </c>
      <c r="N1385" s="82" t="s">
        <v>268</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customHeight="1">
      <c r="A1386" s="323" t="str">
        <f>IF(B1386&lt;&gt;"",IF(AND(B1386='IN-TC'!$S$4,OR(TH!N1220="1111",TH!O1220="1111")),TH!D1220,""),"")</f>
        <v/>
      </c>
      <c r="B1386" s="63">
        <f t="shared" si="107"/>
        <v>3</v>
      </c>
      <c r="C1386" s="78">
        <f>E1386</f>
        <v>42454</v>
      </c>
      <c r="D1386" s="78" t="s">
        <v>940</v>
      </c>
      <c r="E1386" s="78">
        <v>42454</v>
      </c>
      <c r="F1386" s="79" t="s">
        <v>1952</v>
      </c>
      <c r="G1386" s="79"/>
      <c r="H1386" s="80" t="s">
        <v>371</v>
      </c>
      <c r="I1386" s="406">
        <v>7950</v>
      </c>
      <c r="J1386" s="407">
        <v>17500</v>
      </c>
      <c r="K1386" s="397"/>
      <c r="L1386" s="406"/>
      <c r="M1386" s="81">
        <f t="shared" si="114"/>
        <v>139125000</v>
      </c>
      <c r="N1386" s="82" t="s">
        <v>268</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customHeight="1">
      <c r="A1387" s="323" t="str">
        <f>IF(B1387&lt;&gt;"",IF(AND(B1387='IN-TC'!$S$4,OR(TH!N1387="1111",TH!O1387="1111")),TH!D1387,""),"")</f>
        <v/>
      </c>
      <c r="B1387" s="63">
        <f t="shared" si="107"/>
        <v>9</v>
      </c>
      <c r="C1387" s="90">
        <v>42618</v>
      </c>
      <c r="D1387" s="90" t="s">
        <v>677</v>
      </c>
      <c r="E1387" s="90">
        <f>C1387</f>
        <v>42618</v>
      </c>
      <c r="F1387" s="91" t="s">
        <v>1952</v>
      </c>
      <c r="G1387" s="91"/>
      <c r="H1387" s="92" t="s">
        <v>439</v>
      </c>
      <c r="I1387" s="1109">
        <v>24155</v>
      </c>
      <c r="J1387" s="1108">
        <v>18000</v>
      </c>
      <c r="K1387" s="1110"/>
      <c r="L1387" s="1109"/>
      <c r="M1387" s="93">
        <f t="shared" si="114"/>
        <v>434790000</v>
      </c>
      <c r="N1387" s="83" t="s">
        <v>276</v>
      </c>
      <c r="O1387" s="83" t="s">
        <v>268</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customHeight="1">
      <c r="A1388" s="323" t="str">
        <f>IF(B1388&lt;&gt;"",IF(AND(B1388='IN-TC'!$S$4,OR(TH!N1388="1111",TH!O1388="1111")),TH!D1388,""),"")</f>
        <v/>
      </c>
      <c r="B1388" s="63">
        <f t="shared" si="107"/>
        <v>9</v>
      </c>
      <c r="C1388" s="90">
        <v>42623</v>
      </c>
      <c r="D1388" s="90" t="s">
        <v>678</v>
      </c>
      <c r="E1388" s="90">
        <f>C1388</f>
        <v>42623</v>
      </c>
      <c r="F1388" s="91" t="s">
        <v>1952</v>
      </c>
      <c r="G1388" s="91"/>
      <c r="H1388" s="92" t="s">
        <v>439</v>
      </c>
      <c r="I1388" s="1109">
        <v>27083</v>
      </c>
      <c r="J1388" s="1108">
        <v>18000</v>
      </c>
      <c r="K1388" s="1110"/>
      <c r="L1388" s="1109"/>
      <c r="M1388" s="93">
        <f t="shared" si="114"/>
        <v>487494000</v>
      </c>
      <c r="N1388" s="83" t="s">
        <v>276</v>
      </c>
      <c r="O1388" s="83" t="s">
        <v>268</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customHeight="1">
      <c r="A1389" s="323" t="str">
        <f>IF(B1389&lt;&gt;"",IF(AND(B1389='IN-TC'!$S$4,OR(TH!N1389="1111",TH!O1389="1111")),TH!D1389,""),"")</f>
        <v/>
      </c>
      <c r="B1389" s="63">
        <f t="shared" si="107"/>
        <v>9</v>
      </c>
      <c r="C1389" s="90">
        <v>42625</v>
      </c>
      <c r="D1389" s="90" t="s">
        <v>679</v>
      </c>
      <c r="E1389" s="90">
        <f>C1389</f>
        <v>42625</v>
      </c>
      <c r="F1389" s="91" t="s">
        <v>1952</v>
      </c>
      <c r="G1389" s="91"/>
      <c r="H1389" s="92" t="s">
        <v>439</v>
      </c>
      <c r="I1389" s="1109">
        <v>38402</v>
      </c>
      <c r="J1389" s="1108">
        <v>18000</v>
      </c>
      <c r="K1389" s="1110"/>
      <c r="L1389" s="1109"/>
      <c r="M1389" s="93">
        <f t="shared" si="114"/>
        <v>691236000</v>
      </c>
      <c r="N1389" s="83" t="s">
        <v>276</v>
      </c>
      <c r="O1389" s="83" t="s">
        <v>268</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customHeight="1">
      <c r="A1390" s="323" t="str">
        <f>IF(B1390&lt;&gt;"",IF(AND(B1390='IN-TC'!$S$4,OR(TH!N1319="1111",TH!O1319="1111")),TH!D1319,""),"")</f>
        <v/>
      </c>
      <c r="B1390" s="63">
        <f t="shared" ref="B1390:B1453" si="115">IF(C1390&lt;&gt;"",MONTH(C1390),"")</f>
        <v>6</v>
      </c>
      <c r="C1390" s="78">
        <f>E1390</f>
        <v>42548</v>
      </c>
      <c r="D1390" s="78" t="s">
        <v>1941</v>
      </c>
      <c r="E1390" s="78">
        <v>42548</v>
      </c>
      <c r="F1390" s="79" t="s">
        <v>668</v>
      </c>
      <c r="G1390" s="79"/>
      <c r="H1390" s="80" t="s">
        <v>342</v>
      </c>
      <c r="I1390" s="406">
        <v>3040</v>
      </c>
      <c r="J1390" s="407">
        <v>18500</v>
      </c>
      <c r="K1390" s="397"/>
      <c r="L1390" s="406"/>
      <c r="M1390" s="81">
        <f t="shared" si="114"/>
        <v>56240000</v>
      </c>
      <c r="N1390" s="82" t="s">
        <v>268</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customHeight="1">
      <c r="A1391" s="323" t="str">
        <f>IF(B1391&lt;&gt;"",IF(AND(B1391='IN-TC'!$S$4,OR(TH!N1391="1111",TH!O1391="1111")),TH!D1391,""),"")</f>
        <v/>
      </c>
      <c r="B1391" s="63">
        <f t="shared" si="115"/>
        <v>9</v>
      </c>
      <c r="C1391" s="90">
        <v>42626</v>
      </c>
      <c r="D1391" s="90" t="s">
        <v>680</v>
      </c>
      <c r="E1391" s="90">
        <f>C1391</f>
        <v>42626</v>
      </c>
      <c r="F1391" s="91" t="s">
        <v>1931</v>
      </c>
      <c r="G1391" s="91"/>
      <c r="H1391" s="92" t="s">
        <v>439</v>
      </c>
      <c r="I1391" s="1109">
        <v>7250</v>
      </c>
      <c r="J1391" s="1108">
        <v>28000</v>
      </c>
      <c r="K1391" s="1110"/>
      <c r="L1391" s="1109"/>
      <c r="M1391" s="93">
        <f t="shared" si="114"/>
        <v>203000000</v>
      </c>
      <c r="N1391" s="83" t="s">
        <v>276</v>
      </c>
      <c r="O1391" s="83" t="s">
        <v>268</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customHeight="1">
      <c r="A1392" s="323" t="str">
        <f>IF(B1392&lt;&gt;"",IF(AND(B1392='IN-TC'!$S$4,OR(TH!N2239="1111",TH!O2239="1111")),TH!D2239,""),"")</f>
        <v/>
      </c>
      <c r="B1392" s="63">
        <f t="shared" si="115"/>
        <v>5</v>
      </c>
      <c r="C1392" s="64">
        <f>E1392</f>
        <v>42521</v>
      </c>
      <c r="D1392" s="64" t="s">
        <v>2208</v>
      </c>
      <c r="E1392" s="64">
        <v>42521</v>
      </c>
      <c r="F1392" s="72" t="s">
        <v>932</v>
      </c>
      <c r="G1392" s="67" t="s">
        <v>337</v>
      </c>
      <c r="H1392" s="329" t="s">
        <v>421</v>
      </c>
      <c r="I1392" s="408"/>
      <c r="J1392" s="408"/>
      <c r="K1392" s="399"/>
      <c r="L1392" s="408"/>
      <c r="M1392" s="65">
        <v>220596000</v>
      </c>
      <c r="N1392" s="66" t="s">
        <v>8</v>
      </c>
      <c r="O1392" s="66" t="s">
        <v>266</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customHeight="1">
      <c r="A1393" s="323" t="str">
        <f>IF(B1393&lt;&gt;"",IF(AND(B1393='IN-TC'!$S$4,OR(TH!N1289="1111",TH!O1289="1111")),TH!D1289,""),"")</f>
        <v/>
      </c>
      <c r="B1393" s="63">
        <f t="shared" si="115"/>
        <v>6</v>
      </c>
      <c r="C1393" s="78">
        <f>E1393</f>
        <v>42522</v>
      </c>
      <c r="D1393" s="78" t="s">
        <v>917</v>
      </c>
      <c r="E1393" s="78">
        <v>42522</v>
      </c>
      <c r="F1393" s="79" t="s">
        <v>1936</v>
      </c>
      <c r="G1393" s="79"/>
      <c r="H1393" s="80" t="s">
        <v>436</v>
      </c>
      <c r="I1393" s="407">
        <v>2750</v>
      </c>
      <c r="J1393" s="407">
        <v>105000</v>
      </c>
      <c r="K1393" s="398"/>
      <c r="L1393" s="407"/>
      <c r="M1393" s="81">
        <f>ROUND(I1393*J1393,0)</f>
        <v>288750000</v>
      </c>
      <c r="N1393" s="82" t="s">
        <v>268</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customHeight="1">
      <c r="A1394" s="323" t="str">
        <f>IF(B1394&lt;&gt;"",IF(AND(B1394='IN-TC'!$S$4,OR(TH!N1394="1111",TH!O1394="1111")),TH!D1394,""),"")</f>
        <v/>
      </c>
      <c r="B1394" s="63">
        <f t="shared" si="115"/>
        <v>9</v>
      </c>
      <c r="C1394" s="90">
        <v>42626</v>
      </c>
      <c r="D1394" s="90" t="s">
        <v>680</v>
      </c>
      <c r="E1394" s="90">
        <f>C1394</f>
        <v>42626</v>
      </c>
      <c r="F1394" s="91" t="s">
        <v>669</v>
      </c>
      <c r="G1394" s="91"/>
      <c r="H1394" s="92" t="s">
        <v>439</v>
      </c>
      <c r="I1394" s="1109">
        <v>12690</v>
      </c>
      <c r="J1394" s="1108">
        <v>16000</v>
      </c>
      <c r="K1394" s="1110"/>
      <c r="L1394" s="1109"/>
      <c r="M1394" s="93">
        <f>ROUND(I1394*J1394,0)</f>
        <v>203040000</v>
      </c>
      <c r="N1394" s="83" t="s">
        <v>276</v>
      </c>
      <c r="O1394" s="83" t="s">
        <v>268</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customHeight="1">
      <c r="A1395" s="323" t="str">
        <f>IF(B1395&lt;&gt;"",IF(AND(B1395='IN-TC'!$S$4,OR(TH!N2256="1111",TH!O2256="1111")),TH!D2256,""),"")</f>
        <v/>
      </c>
      <c r="B1395" s="63">
        <f t="shared" si="115"/>
        <v>6</v>
      </c>
      <c r="C1395" s="64">
        <f>E1395</f>
        <v>42551</v>
      </c>
      <c r="D1395" s="64" t="s">
        <v>2211</v>
      </c>
      <c r="E1395" s="64">
        <v>42551</v>
      </c>
      <c r="F1395" s="72" t="s">
        <v>932</v>
      </c>
      <c r="G1395" s="67" t="s">
        <v>331</v>
      </c>
      <c r="H1395" s="329" t="s">
        <v>342</v>
      </c>
      <c r="I1395" s="408"/>
      <c r="J1395" s="408"/>
      <c r="K1395" s="399"/>
      <c r="L1395" s="408"/>
      <c r="M1395" s="65">
        <v>373367000</v>
      </c>
      <c r="N1395" s="66" t="s">
        <v>8</v>
      </c>
      <c r="O1395" s="66" t="s">
        <v>266</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customHeight="1">
      <c r="A1396" s="323" t="str">
        <f>IF(B1396&lt;&gt;"",IF(AND(B1396='IN-TC'!$S$4,OR(TH!N1396="1111",TH!O1396="1111")),TH!D1396,""),"")</f>
        <v/>
      </c>
      <c r="B1396" s="63">
        <f t="shared" si="115"/>
        <v>9</v>
      </c>
      <c r="C1396" s="90">
        <v>42626</v>
      </c>
      <c r="D1396" s="90" t="s">
        <v>680</v>
      </c>
      <c r="E1396" s="90">
        <f>C1396</f>
        <v>42626</v>
      </c>
      <c r="F1396" s="91" t="s">
        <v>1934</v>
      </c>
      <c r="G1396" s="91"/>
      <c r="H1396" s="92" t="s">
        <v>439</v>
      </c>
      <c r="I1396" s="1109">
        <v>4700</v>
      </c>
      <c r="J1396" s="1108">
        <v>35000</v>
      </c>
      <c r="K1396" s="1110"/>
      <c r="L1396" s="1109"/>
      <c r="M1396" s="93">
        <f>ROUND(I1396*J1396,0)</f>
        <v>164500000</v>
      </c>
      <c r="N1396" s="83" t="s">
        <v>276</v>
      </c>
      <c r="O1396" s="83" t="s">
        <v>268</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customHeight="1">
      <c r="A1397" s="323" t="str">
        <f>IF(B1397&lt;&gt;"",IF(AND(B1397='IN-TC'!$S$4,OR(TH!N2244="1111",TH!O2244="1111")),TH!D2244,""),"")</f>
        <v/>
      </c>
      <c r="B1397" s="63">
        <f t="shared" si="115"/>
        <v>5</v>
      </c>
      <c r="C1397" s="64">
        <f>E1397</f>
        <v>42521</v>
      </c>
      <c r="D1397" s="64" t="s">
        <v>2209</v>
      </c>
      <c r="E1397" s="64">
        <v>42521</v>
      </c>
      <c r="F1397" s="72" t="s">
        <v>932</v>
      </c>
      <c r="G1397" s="67" t="s">
        <v>331</v>
      </c>
      <c r="H1397" s="329" t="s">
        <v>360</v>
      </c>
      <c r="I1397" s="408"/>
      <c r="J1397" s="408"/>
      <c r="K1397" s="399"/>
      <c r="L1397" s="408"/>
      <c r="M1397" s="65">
        <v>246216500</v>
      </c>
      <c r="N1397" s="66" t="s">
        <v>8</v>
      </c>
      <c r="O1397" s="66" t="s">
        <v>266</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customHeight="1">
      <c r="A1398" s="323" t="str">
        <f>IF(B1398&lt;&gt;"",IF(AND(B1398='IN-TC'!$S$4,OR(TH!N1294="1111",TH!O1294="1111")),TH!D1294,""),"")</f>
        <v/>
      </c>
      <c r="B1398" s="63">
        <f t="shared" si="115"/>
        <v>6</v>
      </c>
      <c r="C1398" s="78">
        <f>E1398</f>
        <v>42525</v>
      </c>
      <c r="D1398" s="78" t="s">
        <v>922</v>
      </c>
      <c r="E1398" s="78">
        <v>42525</v>
      </c>
      <c r="F1398" s="79" t="s">
        <v>668</v>
      </c>
      <c r="G1398" s="79"/>
      <c r="H1398" s="80" t="s">
        <v>354</v>
      </c>
      <c r="I1398" s="406">
        <v>3520</v>
      </c>
      <c r="J1398" s="407">
        <v>18500</v>
      </c>
      <c r="K1398" s="397"/>
      <c r="L1398" s="406"/>
      <c r="M1398" s="81">
        <f t="shared" ref="M1398:M1426" si="116">ROUND(I1398*J1398,0)</f>
        <v>65120000</v>
      </c>
      <c r="N1398" s="82" t="s">
        <v>268</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customHeight="1">
      <c r="A1399" s="323" t="str">
        <f>IF(B1399&lt;&gt;"",IF(AND(B1399='IN-TC'!$S$4,OR(TH!N1295="1111",TH!O1295="1111")),TH!D1295,""),"")</f>
        <v/>
      </c>
      <c r="B1399" s="63">
        <f t="shared" si="115"/>
        <v>6</v>
      </c>
      <c r="C1399" s="78">
        <f>E1399</f>
        <v>42525</v>
      </c>
      <c r="D1399" s="78" t="s">
        <v>923</v>
      </c>
      <c r="E1399" s="78">
        <v>42525</v>
      </c>
      <c r="F1399" s="79" t="s">
        <v>668</v>
      </c>
      <c r="G1399" s="79"/>
      <c r="H1399" s="80" t="s">
        <v>357</v>
      </c>
      <c r="I1399" s="406">
        <v>3325</v>
      </c>
      <c r="J1399" s="407">
        <v>18500</v>
      </c>
      <c r="K1399" s="397"/>
      <c r="L1399" s="406"/>
      <c r="M1399" s="81">
        <f t="shared" si="116"/>
        <v>61512500</v>
      </c>
      <c r="N1399" s="82" t="s">
        <v>268</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customHeight="1">
      <c r="A1400" s="323" t="str">
        <f>IF(B1400&lt;&gt;"",IF(AND(B1400='IN-TC'!$S$4,OR(TH!N1400="1111",TH!O1400="1111")),TH!D1400,""),"")</f>
        <v/>
      </c>
      <c r="B1400" s="63">
        <f t="shared" si="115"/>
        <v>9</v>
      </c>
      <c r="C1400" s="90">
        <v>42626</v>
      </c>
      <c r="D1400" s="90" t="s">
        <v>680</v>
      </c>
      <c r="E1400" s="90">
        <f>C1400</f>
        <v>42626</v>
      </c>
      <c r="F1400" s="91" t="s">
        <v>668</v>
      </c>
      <c r="G1400" s="91"/>
      <c r="H1400" s="92" t="s">
        <v>439</v>
      </c>
      <c r="I1400" s="1109">
        <v>17000</v>
      </c>
      <c r="J1400" s="1108">
        <v>18000</v>
      </c>
      <c r="K1400" s="1110"/>
      <c r="L1400" s="1109"/>
      <c r="M1400" s="93">
        <f t="shared" si="116"/>
        <v>306000000</v>
      </c>
      <c r="N1400" s="83" t="s">
        <v>276</v>
      </c>
      <c r="O1400" s="83" t="s">
        <v>268</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customHeight="1">
      <c r="A1401" s="323" t="str">
        <f>IF(B1401&lt;&gt;"",IF(AND(B1401='IN-TC'!$S$4,OR(TH!N1401="1111",TH!O1401="1111")),TH!D1401,""),"")</f>
        <v/>
      </c>
      <c r="B1401" s="63">
        <f t="shared" si="115"/>
        <v>9</v>
      </c>
      <c r="C1401" s="78">
        <v>42628</v>
      </c>
      <c r="D1401" s="78" t="s">
        <v>942</v>
      </c>
      <c r="E1401" s="78">
        <v>42626</v>
      </c>
      <c r="F1401" s="79" t="s">
        <v>2225</v>
      </c>
      <c r="G1401" s="79" t="s">
        <v>337</v>
      </c>
      <c r="H1401" s="80" t="s">
        <v>409</v>
      </c>
      <c r="I1401" s="406">
        <v>6420</v>
      </c>
      <c r="J1401" s="407">
        <v>28500</v>
      </c>
      <c r="K1401" s="397"/>
      <c r="L1401" s="406"/>
      <c r="M1401" s="81">
        <f t="shared" si="116"/>
        <v>182970000</v>
      </c>
      <c r="N1401" s="82" t="s">
        <v>268</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customHeight="1">
      <c r="A1402" s="323" t="str">
        <f>IF(B1402&lt;&gt;"",IF(AND(B1402='IN-TC'!$S$4,OR(TH!N1402="1111",TH!O1402="1111")),TH!D1402,""),"")</f>
        <v/>
      </c>
      <c r="B1402" s="63">
        <f t="shared" si="115"/>
        <v>9</v>
      </c>
      <c r="C1402" s="78">
        <v>42628</v>
      </c>
      <c r="D1402" s="78" t="s">
        <v>943</v>
      </c>
      <c r="E1402" s="78">
        <v>42626</v>
      </c>
      <c r="F1402" s="79" t="s">
        <v>2225</v>
      </c>
      <c r="G1402" s="79" t="s">
        <v>337</v>
      </c>
      <c r="H1402" s="80" t="s">
        <v>417</v>
      </c>
      <c r="I1402" s="406">
        <v>6230</v>
      </c>
      <c r="J1402" s="407">
        <v>28500</v>
      </c>
      <c r="K1402" s="397"/>
      <c r="L1402" s="406"/>
      <c r="M1402" s="81">
        <f t="shared" si="116"/>
        <v>177555000</v>
      </c>
      <c r="N1402" s="82" t="s">
        <v>268</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customHeight="1">
      <c r="A1403" s="323" t="str">
        <f>IF(B1403&lt;&gt;"",IF(AND(B1403='IN-TC'!$S$4,OR(TH!N1403="1111",TH!O1403="1111")),TH!D1403,""),"")</f>
        <v/>
      </c>
      <c r="B1403" s="63">
        <f t="shared" si="115"/>
        <v>9</v>
      </c>
      <c r="C1403" s="78">
        <v>42628</v>
      </c>
      <c r="D1403" s="78" t="s">
        <v>944</v>
      </c>
      <c r="E1403" s="78">
        <v>42626</v>
      </c>
      <c r="F1403" s="79" t="s">
        <v>2225</v>
      </c>
      <c r="G1403" s="79" t="s">
        <v>337</v>
      </c>
      <c r="H1403" s="80" t="s">
        <v>407</v>
      </c>
      <c r="I1403" s="406">
        <v>6850</v>
      </c>
      <c r="J1403" s="407">
        <v>28500</v>
      </c>
      <c r="K1403" s="397"/>
      <c r="L1403" s="406"/>
      <c r="M1403" s="81">
        <f t="shared" si="116"/>
        <v>195225000</v>
      </c>
      <c r="N1403" s="82" t="s">
        <v>268</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customHeight="1">
      <c r="A1404" s="323" t="str">
        <f>IF(B1404&lt;&gt;"",IF(AND(B1404='IN-TC'!$S$4,OR(TH!N1404="1111",TH!O1404="1111")),TH!D1404,""),"")</f>
        <v/>
      </c>
      <c r="B1404" s="63">
        <f t="shared" si="115"/>
        <v>9</v>
      </c>
      <c r="C1404" s="78">
        <v>42629</v>
      </c>
      <c r="D1404" s="78" t="s">
        <v>1940</v>
      </c>
      <c r="E1404" s="78">
        <v>42628</v>
      </c>
      <c r="F1404" s="79" t="s">
        <v>2225</v>
      </c>
      <c r="G1404" s="79" t="s">
        <v>337</v>
      </c>
      <c r="H1404" s="80" t="s">
        <v>404</v>
      </c>
      <c r="I1404" s="406">
        <v>6760</v>
      </c>
      <c r="J1404" s="407">
        <v>28500</v>
      </c>
      <c r="K1404" s="397"/>
      <c r="L1404" s="406"/>
      <c r="M1404" s="81">
        <f t="shared" si="116"/>
        <v>192660000</v>
      </c>
      <c r="N1404" s="82" t="s">
        <v>268</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customHeight="1">
      <c r="A1405" s="323" t="str">
        <f>IF(B1405&lt;&gt;"",IF(AND(B1405='IN-TC'!$S$4,OR(TH!N1405="1111",TH!O1405="1111")),TH!D1405,""),"")</f>
        <v/>
      </c>
      <c r="B1405" s="63">
        <f t="shared" si="115"/>
        <v>9</v>
      </c>
      <c r="C1405" s="78">
        <v>42629</v>
      </c>
      <c r="D1405" s="78" t="s">
        <v>1941</v>
      </c>
      <c r="E1405" s="78">
        <v>42628</v>
      </c>
      <c r="F1405" s="79" t="s">
        <v>2225</v>
      </c>
      <c r="G1405" s="79" t="s">
        <v>337</v>
      </c>
      <c r="H1405" s="80" t="s">
        <v>411</v>
      </c>
      <c r="I1405" s="406">
        <v>6470</v>
      </c>
      <c r="J1405" s="407">
        <v>28500</v>
      </c>
      <c r="K1405" s="397"/>
      <c r="L1405" s="406"/>
      <c r="M1405" s="81">
        <f t="shared" si="116"/>
        <v>184395000</v>
      </c>
      <c r="N1405" s="82" t="s">
        <v>268</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customHeight="1">
      <c r="A1406" s="323" t="str">
        <f>IF(B1406&lt;&gt;"",IF(AND(B1406='IN-TC'!$S$4,OR(TH!N1406="1111",TH!O1406="1111")),TH!D1406,""),"")</f>
        <v/>
      </c>
      <c r="B1406" s="63">
        <f t="shared" si="115"/>
        <v>9</v>
      </c>
      <c r="C1406" s="78">
        <v>42629</v>
      </c>
      <c r="D1406" s="78" t="s">
        <v>1942</v>
      </c>
      <c r="E1406" s="78">
        <v>42628</v>
      </c>
      <c r="F1406" s="79" t="s">
        <v>2225</v>
      </c>
      <c r="G1406" s="79" t="s">
        <v>337</v>
      </c>
      <c r="H1406" s="80" t="s">
        <v>414</v>
      </c>
      <c r="I1406" s="406">
        <v>6740</v>
      </c>
      <c r="J1406" s="407">
        <v>28500</v>
      </c>
      <c r="K1406" s="397"/>
      <c r="L1406" s="406"/>
      <c r="M1406" s="81">
        <f t="shared" si="116"/>
        <v>192090000</v>
      </c>
      <c r="N1406" s="82" t="s">
        <v>268</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customHeight="1">
      <c r="A1407" s="323" t="str">
        <f>IF(B1407&lt;&gt;"",IF(AND(B1407='IN-TC'!$S$4,OR(TH!N1407="1111",TH!O1407="1111")),TH!D1407,""),"")</f>
        <v/>
      </c>
      <c r="B1407" s="63">
        <f t="shared" si="115"/>
        <v>9</v>
      </c>
      <c r="C1407" s="78">
        <v>42630</v>
      </c>
      <c r="D1407" s="78" t="s">
        <v>1943</v>
      </c>
      <c r="E1407" s="78">
        <v>42629</v>
      </c>
      <c r="F1407" s="79" t="s">
        <v>2225</v>
      </c>
      <c r="G1407" s="79" t="s">
        <v>337</v>
      </c>
      <c r="H1407" s="80" t="s">
        <v>417</v>
      </c>
      <c r="I1407" s="406">
        <v>5570</v>
      </c>
      <c r="J1407" s="407">
        <v>28500</v>
      </c>
      <c r="K1407" s="397"/>
      <c r="L1407" s="406"/>
      <c r="M1407" s="81">
        <f t="shared" si="116"/>
        <v>158745000</v>
      </c>
      <c r="N1407" s="82" t="s">
        <v>268</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customHeight="1">
      <c r="A1408" s="323" t="str">
        <f>IF(B1408&lt;&gt;"",IF(AND(B1408='IN-TC'!$S$4,OR(TH!N1408="1111",TH!O1408="1111")),TH!D1408,""),"")</f>
        <v/>
      </c>
      <c r="B1408" s="63">
        <f t="shared" si="115"/>
        <v>9</v>
      </c>
      <c r="C1408" s="78">
        <v>42630</v>
      </c>
      <c r="D1408" s="78" t="s">
        <v>1944</v>
      </c>
      <c r="E1408" s="78">
        <v>42629</v>
      </c>
      <c r="F1408" s="79" t="s">
        <v>2225</v>
      </c>
      <c r="G1408" s="79" t="s">
        <v>337</v>
      </c>
      <c r="H1408" s="80" t="s">
        <v>407</v>
      </c>
      <c r="I1408" s="406">
        <v>5890</v>
      </c>
      <c r="J1408" s="407">
        <v>28500</v>
      </c>
      <c r="K1408" s="397"/>
      <c r="L1408" s="406"/>
      <c r="M1408" s="81">
        <f t="shared" si="116"/>
        <v>167865000</v>
      </c>
      <c r="N1408" s="82" t="s">
        <v>268</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customHeight="1">
      <c r="A1409" s="323" t="str">
        <f>IF(B1409&lt;&gt;"",IF(AND(B1409='IN-TC'!$S$4,OR(TH!N1409="1111",TH!O1409="1111")),TH!D1409,""),"")</f>
        <v/>
      </c>
      <c r="B1409" s="63">
        <f t="shared" si="115"/>
        <v>9</v>
      </c>
      <c r="C1409" s="78">
        <v>42630</v>
      </c>
      <c r="D1409" s="78" t="s">
        <v>1945</v>
      </c>
      <c r="E1409" s="78">
        <v>42629</v>
      </c>
      <c r="F1409" s="79" t="s">
        <v>2225</v>
      </c>
      <c r="G1409" s="79" t="s">
        <v>337</v>
      </c>
      <c r="H1409" s="80" t="s">
        <v>409</v>
      </c>
      <c r="I1409" s="406">
        <v>6750</v>
      </c>
      <c r="J1409" s="407">
        <v>28500</v>
      </c>
      <c r="K1409" s="397"/>
      <c r="L1409" s="406"/>
      <c r="M1409" s="81">
        <f t="shared" si="116"/>
        <v>192375000</v>
      </c>
      <c r="N1409" s="82" t="s">
        <v>268</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customHeight="1">
      <c r="A1410" s="323" t="str">
        <f>IF(B1410&lt;&gt;"",IF(AND(B1410='IN-TC'!$S$4,OR(TH!N1410="1111",TH!O1410="1111")),TH!D1410,""),"")</f>
        <v/>
      </c>
      <c r="B1410" s="63">
        <f t="shared" si="115"/>
        <v>9</v>
      </c>
      <c r="C1410" s="78">
        <v>42632</v>
      </c>
      <c r="D1410" s="78" t="s">
        <v>1946</v>
      </c>
      <c r="E1410" s="78">
        <v>42631</v>
      </c>
      <c r="F1410" s="79" t="s">
        <v>2225</v>
      </c>
      <c r="G1410" s="79" t="s">
        <v>337</v>
      </c>
      <c r="H1410" s="80" t="s">
        <v>404</v>
      </c>
      <c r="I1410" s="406">
        <v>6580</v>
      </c>
      <c r="J1410" s="407">
        <v>28500</v>
      </c>
      <c r="K1410" s="397"/>
      <c r="L1410" s="406"/>
      <c r="M1410" s="81">
        <f t="shared" si="116"/>
        <v>187530000</v>
      </c>
      <c r="N1410" s="82" t="s">
        <v>268</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customHeight="1">
      <c r="A1411" s="323" t="str">
        <f>IF(B1411&lt;&gt;"",IF(AND(B1411='IN-TC'!$S$4,OR(TH!N1411="1111",TH!O1411="1111")),TH!D1411,""),"")</f>
        <v/>
      </c>
      <c r="B1411" s="63">
        <f t="shared" si="115"/>
        <v>9</v>
      </c>
      <c r="C1411" s="78">
        <v>42632</v>
      </c>
      <c r="D1411" s="78" t="s">
        <v>2226</v>
      </c>
      <c r="E1411" s="78">
        <v>42631</v>
      </c>
      <c r="F1411" s="79" t="s">
        <v>2225</v>
      </c>
      <c r="G1411" s="79" t="s">
        <v>337</v>
      </c>
      <c r="H1411" s="80" t="s">
        <v>411</v>
      </c>
      <c r="I1411" s="406">
        <v>6210</v>
      </c>
      <c r="J1411" s="407">
        <v>28500</v>
      </c>
      <c r="K1411" s="397"/>
      <c r="L1411" s="406"/>
      <c r="M1411" s="81">
        <f t="shared" si="116"/>
        <v>176985000</v>
      </c>
      <c r="N1411" s="82" t="s">
        <v>268</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customHeight="1">
      <c r="A1412" s="323" t="str">
        <f>IF(B1412&lt;&gt;"",IF(AND(B1412='IN-TC'!$S$4,OR(TH!N1412="1111",TH!O1412="1111")),TH!D1412,""),"")</f>
        <v/>
      </c>
      <c r="B1412" s="63">
        <f t="shared" si="115"/>
        <v>9</v>
      </c>
      <c r="C1412" s="78">
        <v>42632</v>
      </c>
      <c r="D1412" s="78" t="s">
        <v>2227</v>
      </c>
      <c r="E1412" s="78">
        <v>42631</v>
      </c>
      <c r="F1412" s="79" t="s">
        <v>2225</v>
      </c>
      <c r="G1412" s="79" t="s">
        <v>337</v>
      </c>
      <c r="H1412" s="80" t="s">
        <v>414</v>
      </c>
      <c r="I1412" s="406">
        <v>6570</v>
      </c>
      <c r="J1412" s="407">
        <v>28500</v>
      </c>
      <c r="K1412" s="397"/>
      <c r="L1412" s="406"/>
      <c r="M1412" s="81">
        <f t="shared" si="116"/>
        <v>187245000</v>
      </c>
      <c r="N1412" s="82" t="s">
        <v>268</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customHeight="1">
      <c r="A1413" s="323" t="str">
        <f>IF(B1413&lt;&gt;"",IF(AND(B1413='IN-TC'!$S$4,OR(TH!N1413="1111",TH!O1413="1111")),TH!D1413,""),"")</f>
        <v/>
      </c>
      <c r="B1413" s="63">
        <f t="shared" si="115"/>
        <v>9</v>
      </c>
      <c r="C1413" s="78">
        <v>42633</v>
      </c>
      <c r="D1413" s="78" t="s">
        <v>2228</v>
      </c>
      <c r="E1413" s="78">
        <v>42632</v>
      </c>
      <c r="F1413" s="79" t="s">
        <v>2225</v>
      </c>
      <c r="G1413" s="79" t="s">
        <v>337</v>
      </c>
      <c r="H1413" s="80" t="s">
        <v>416</v>
      </c>
      <c r="I1413" s="406">
        <v>6230</v>
      </c>
      <c r="J1413" s="407">
        <v>28500</v>
      </c>
      <c r="K1413" s="397"/>
      <c r="L1413" s="406"/>
      <c r="M1413" s="81">
        <f t="shared" si="116"/>
        <v>177555000</v>
      </c>
      <c r="N1413" s="82" t="s">
        <v>268</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customHeight="1">
      <c r="A1414" s="323" t="str">
        <f>IF(B1414&lt;&gt;"",IF(AND(B1414='IN-TC'!$S$4,OR(TH!N1414="1111",TH!O1414="1111")),TH!D1414,""),"")</f>
        <v/>
      </c>
      <c r="B1414" s="63">
        <f t="shared" si="115"/>
        <v>9</v>
      </c>
      <c r="C1414" s="78">
        <v>42633</v>
      </c>
      <c r="D1414" s="78" t="s">
        <v>2229</v>
      </c>
      <c r="E1414" s="78">
        <v>42632</v>
      </c>
      <c r="F1414" s="79" t="s">
        <v>2225</v>
      </c>
      <c r="G1414" s="79" t="s">
        <v>337</v>
      </c>
      <c r="H1414" s="80" t="s">
        <v>417</v>
      </c>
      <c r="I1414" s="406">
        <v>6540</v>
      </c>
      <c r="J1414" s="407">
        <v>28500</v>
      </c>
      <c r="K1414" s="397"/>
      <c r="L1414" s="406"/>
      <c r="M1414" s="81">
        <f t="shared" si="116"/>
        <v>186390000</v>
      </c>
      <c r="N1414" s="82" t="s">
        <v>268</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customHeight="1">
      <c r="A1415" s="323" t="str">
        <f>IF(B1415&lt;&gt;"",IF(AND(B1415='IN-TC'!$S$4,OR(TH!N1415="1111",TH!O1415="1111")),TH!D1415,""),"")</f>
        <v/>
      </c>
      <c r="B1415" s="63">
        <f t="shared" si="115"/>
        <v>9</v>
      </c>
      <c r="C1415" s="78">
        <v>42633</v>
      </c>
      <c r="D1415" s="78" t="s">
        <v>2230</v>
      </c>
      <c r="E1415" s="78">
        <v>42632</v>
      </c>
      <c r="F1415" s="79" t="s">
        <v>2225</v>
      </c>
      <c r="G1415" s="79" t="s">
        <v>337</v>
      </c>
      <c r="H1415" s="80" t="s">
        <v>407</v>
      </c>
      <c r="I1415" s="406">
        <v>6680</v>
      </c>
      <c r="J1415" s="407">
        <v>28500</v>
      </c>
      <c r="K1415" s="397"/>
      <c r="L1415" s="406"/>
      <c r="M1415" s="81">
        <f t="shared" si="116"/>
        <v>190380000</v>
      </c>
      <c r="N1415" s="82" t="s">
        <v>268</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customHeight="1">
      <c r="A1416" s="323" t="str">
        <f>IF(B1416&lt;&gt;"",IF(AND(B1416='IN-TC'!$S$4,OR(TH!N1416="1111",TH!O1416="1111")),TH!D1416,""),"")</f>
        <v/>
      </c>
      <c r="B1416" s="63">
        <f t="shared" si="115"/>
        <v>9</v>
      </c>
      <c r="C1416" s="78">
        <v>42634</v>
      </c>
      <c r="D1416" s="78" t="s">
        <v>2231</v>
      </c>
      <c r="E1416" s="78">
        <v>42634</v>
      </c>
      <c r="F1416" s="79" t="s">
        <v>2225</v>
      </c>
      <c r="G1416" s="79" t="s">
        <v>337</v>
      </c>
      <c r="H1416" s="80" t="s">
        <v>409</v>
      </c>
      <c r="I1416" s="406">
        <v>6970</v>
      </c>
      <c r="J1416" s="407">
        <v>28500</v>
      </c>
      <c r="K1416" s="397"/>
      <c r="L1416" s="406"/>
      <c r="M1416" s="81">
        <f t="shared" si="116"/>
        <v>198645000</v>
      </c>
      <c r="N1416" s="82" t="s">
        <v>268</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customHeight="1">
      <c r="A1417" s="323" t="str">
        <f>IF(B1417&lt;&gt;"",IF(AND(B1417='IN-TC'!$S$4,OR(TH!N1417="1111",TH!O1417="1111")),TH!D1417,""),"")</f>
        <v/>
      </c>
      <c r="B1417" s="63">
        <f t="shared" si="115"/>
        <v>9</v>
      </c>
      <c r="C1417" s="78">
        <v>42634</v>
      </c>
      <c r="D1417" s="78" t="s">
        <v>2232</v>
      </c>
      <c r="E1417" s="78">
        <v>42634</v>
      </c>
      <c r="F1417" s="79" t="s">
        <v>2225</v>
      </c>
      <c r="G1417" s="79" t="s">
        <v>337</v>
      </c>
      <c r="H1417" s="80" t="s">
        <v>404</v>
      </c>
      <c r="I1417" s="406">
        <v>6890</v>
      </c>
      <c r="J1417" s="407">
        <v>28500</v>
      </c>
      <c r="K1417" s="397"/>
      <c r="L1417" s="406"/>
      <c r="M1417" s="81">
        <f t="shared" si="116"/>
        <v>196365000</v>
      </c>
      <c r="N1417" s="82" t="s">
        <v>268</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customHeight="1">
      <c r="A1418" s="323" t="str">
        <f>IF(B1418&lt;&gt;"",IF(AND(B1418='IN-TC'!$S$4,OR(TH!N1418="1111",TH!O1418="1111")),TH!D1418,""),"")</f>
        <v/>
      </c>
      <c r="B1418" s="63">
        <f t="shared" si="115"/>
        <v>9</v>
      </c>
      <c r="C1418" s="78">
        <v>42634</v>
      </c>
      <c r="D1418" s="78" t="s">
        <v>2233</v>
      </c>
      <c r="E1418" s="78">
        <v>42634</v>
      </c>
      <c r="F1418" s="79" t="s">
        <v>2225</v>
      </c>
      <c r="G1418" s="79" t="s">
        <v>337</v>
      </c>
      <c r="H1418" s="80" t="s">
        <v>411</v>
      </c>
      <c r="I1418" s="406">
        <v>6650</v>
      </c>
      <c r="J1418" s="407">
        <v>28500</v>
      </c>
      <c r="K1418" s="397"/>
      <c r="L1418" s="406"/>
      <c r="M1418" s="81">
        <f t="shared" si="116"/>
        <v>189525000</v>
      </c>
      <c r="N1418" s="82" t="s">
        <v>268</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customHeight="1">
      <c r="A1419" s="323" t="str">
        <f>IF(B1419&lt;&gt;"",IF(AND(B1419='IN-TC'!$S$4,OR(TH!N1419="1111",TH!O1419="1111")),TH!D1419,""),"")</f>
        <v/>
      </c>
      <c r="B1419" s="63">
        <f t="shared" si="115"/>
        <v>9</v>
      </c>
      <c r="C1419" s="90">
        <v>42628</v>
      </c>
      <c r="D1419" s="90" t="s">
        <v>681</v>
      </c>
      <c r="E1419" s="90">
        <v>42626</v>
      </c>
      <c r="F1419" s="91" t="s">
        <v>2225</v>
      </c>
      <c r="G1419" s="91"/>
      <c r="H1419" s="92" t="s">
        <v>439</v>
      </c>
      <c r="I1419" s="1109">
        <v>19500</v>
      </c>
      <c r="J1419" s="1108">
        <v>28500</v>
      </c>
      <c r="K1419" s="1110"/>
      <c r="L1419" s="1109"/>
      <c r="M1419" s="93">
        <f t="shared" si="116"/>
        <v>555750000</v>
      </c>
      <c r="N1419" s="83" t="s">
        <v>276</v>
      </c>
      <c r="O1419" s="83" t="s">
        <v>268</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customHeight="1">
      <c r="A1420" s="323" t="str">
        <f>IF(B1420&lt;&gt;"",IF(AND(B1420='IN-TC'!$S$4,OR(TH!N1420="1111",TH!O1420="1111")),TH!D1420,""),"")</f>
        <v/>
      </c>
      <c r="B1420" s="63">
        <f t="shared" si="115"/>
        <v>9</v>
      </c>
      <c r="C1420" s="90">
        <v>42630</v>
      </c>
      <c r="D1420" s="90" t="s">
        <v>928</v>
      </c>
      <c r="E1420" s="90">
        <v>42629</v>
      </c>
      <c r="F1420" s="91" t="s">
        <v>2225</v>
      </c>
      <c r="G1420" s="91"/>
      <c r="H1420" s="92" t="s">
        <v>439</v>
      </c>
      <c r="I1420" s="1109">
        <v>19970</v>
      </c>
      <c r="J1420" s="1108">
        <v>28500</v>
      </c>
      <c r="K1420" s="1110"/>
      <c r="L1420" s="1109"/>
      <c r="M1420" s="93">
        <f t="shared" si="116"/>
        <v>569145000</v>
      </c>
      <c r="N1420" s="83" t="s">
        <v>276</v>
      </c>
      <c r="O1420" s="83" t="s">
        <v>268</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customHeight="1">
      <c r="A1421" s="323" t="str">
        <f>IF(B1421&lt;&gt;"",IF(AND(B1421='IN-TC'!$S$4,OR(TH!N1421="1111",TH!O1421="1111")),TH!D1421,""),"")</f>
        <v/>
      </c>
      <c r="B1421" s="63">
        <f t="shared" si="115"/>
        <v>9</v>
      </c>
      <c r="C1421" s="90">
        <v>42632</v>
      </c>
      <c r="D1421" s="90" t="s">
        <v>929</v>
      </c>
      <c r="E1421" s="90">
        <v>42632</v>
      </c>
      <c r="F1421" s="91" t="s">
        <v>2225</v>
      </c>
      <c r="G1421" s="91"/>
      <c r="H1421" s="92" t="s">
        <v>439</v>
      </c>
      <c r="I1421" s="1109">
        <v>18210</v>
      </c>
      <c r="J1421" s="1108">
        <v>28500</v>
      </c>
      <c r="K1421" s="1110"/>
      <c r="L1421" s="1109"/>
      <c r="M1421" s="93">
        <f t="shared" si="116"/>
        <v>518985000</v>
      </c>
      <c r="N1421" s="83" t="s">
        <v>276</v>
      </c>
      <c r="O1421" s="83" t="s">
        <v>268</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customHeight="1">
      <c r="A1422" s="323" t="str">
        <f>IF(B1422&lt;&gt;"",IF(AND(B1422='IN-TC'!$S$4,OR(TH!N1422="1111",TH!O1422="1111")),TH!D1422,""),"")</f>
        <v/>
      </c>
      <c r="B1422" s="63">
        <f t="shared" si="115"/>
        <v>9</v>
      </c>
      <c r="C1422" s="90">
        <v>42634</v>
      </c>
      <c r="D1422" s="90" t="s">
        <v>930</v>
      </c>
      <c r="E1422" s="90">
        <v>42634</v>
      </c>
      <c r="F1422" s="91" t="s">
        <v>2225</v>
      </c>
      <c r="G1422" s="91"/>
      <c r="H1422" s="92" t="s">
        <v>439</v>
      </c>
      <c r="I1422" s="1109">
        <v>19360</v>
      </c>
      <c r="J1422" s="1108">
        <v>28500</v>
      </c>
      <c r="K1422" s="1110"/>
      <c r="L1422" s="1109"/>
      <c r="M1422" s="93">
        <f t="shared" si="116"/>
        <v>551760000</v>
      </c>
      <c r="N1422" s="83" t="s">
        <v>276</v>
      </c>
      <c r="O1422" s="83" t="s">
        <v>268</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customHeight="1">
      <c r="A1423" s="323" t="str">
        <f>IF(B1423&lt;&gt;"",IF(AND(B1423='IN-TC'!$S$4,OR(TH!N1423="1111",TH!O1423="1111")),TH!D1423,""),"")</f>
        <v/>
      </c>
      <c r="B1423" s="63">
        <f t="shared" si="115"/>
        <v>9</v>
      </c>
      <c r="C1423" s="90">
        <v>42636</v>
      </c>
      <c r="D1423" s="90" t="s">
        <v>931</v>
      </c>
      <c r="E1423" s="90">
        <v>42638</v>
      </c>
      <c r="F1423" s="91" t="s">
        <v>2225</v>
      </c>
      <c r="G1423" s="91"/>
      <c r="H1423" s="92" t="s">
        <v>439</v>
      </c>
      <c r="I1423" s="1109">
        <v>19450</v>
      </c>
      <c r="J1423" s="1108">
        <v>28500</v>
      </c>
      <c r="K1423" s="1110"/>
      <c r="L1423" s="1109"/>
      <c r="M1423" s="93">
        <f t="shared" si="116"/>
        <v>554325000</v>
      </c>
      <c r="N1423" s="83" t="s">
        <v>276</v>
      </c>
      <c r="O1423" s="83" t="s">
        <v>268</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customHeight="1">
      <c r="A1424" s="323" t="str">
        <f>IF(B1424&lt;&gt;"",IF(AND(B1424='IN-TC'!$S$4,OR(TH!N1424="1111",TH!O1424="1111")),TH!D1424,""),"")</f>
        <v/>
      </c>
      <c r="B1424" s="63">
        <f t="shared" si="115"/>
        <v>9</v>
      </c>
      <c r="C1424" s="90">
        <v>42637</v>
      </c>
      <c r="D1424" s="90" t="s">
        <v>2263</v>
      </c>
      <c r="E1424" s="90">
        <v>42640</v>
      </c>
      <c r="F1424" s="91" t="s">
        <v>2225</v>
      </c>
      <c r="G1424" s="91"/>
      <c r="H1424" s="92" t="s">
        <v>439</v>
      </c>
      <c r="I1424" s="1109">
        <v>20510</v>
      </c>
      <c r="J1424" s="1108">
        <v>28500</v>
      </c>
      <c r="K1424" s="1110"/>
      <c r="L1424" s="1109"/>
      <c r="M1424" s="93">
        <f t="shared" si="116"/>
        <v>584535000</v>
      </c>
      <c r="N1424" s="83" t="s">
        <v>276</v>
      </c>
      <c r="O1424" s="83" t="s">
        <v>268</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customHeight="1">
      <c r="A1425" s="323" t="str">
        <f>IF(B1425&lt;&gt;"",IF(AND(B1425='IN-TC'!$S$4,OR(TH!N1208="1111",TH!O1208="1111")),TH!D1208,""),"")</f>
        <v/>
      </c>
      <c r="B1425" s="63">
        <f t="shared" si="115"/>
        <v>3</v>
      </c>
      <c r="C1425" s="78">
        <f t="shared" ref="C1425:C1433" si="117">E1425</f>
        <v>42438</v>
      </c>
      <c r="D1425" s="78" t="s">
        <v>926</v>
      </c>
      <c r="E1425" s="78">
        <v>42438</v>
      </c>
      <c r="F1425" s="79" t="s">
        <v>1952</v>
      </c>
      <c r="G1425" s="79"/>
      <c r="H1425" s="80" t="s">
        <v>388</v>
      </c>
      <c r="I1425" s="406">
        <v>6045</v>
      </c>
      <c r="J1425" s="407">
        <v>17500</v>
      </c>
      <c r="K1425" s="397"/>
      <c r="L1425" s="406"/>
      <c r="M1425" s="81">
        <f t="shared" si="116"/>
        <v>105787500</v>
      </c>
      <c r="N1425" s="82" t="s">
        <v>268</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customHeight="1">
      <c r="A1426" s="323" t="str">
        <f>IF(B1426&lt;&gt;"",IF(AND(B1426='IN-TC'!$S$4,OR(TH!N1209="1111",TH!O1209="1111")),TH!D1209,""),"")</f>
        <v/>
      </c>
      <c r="B1426" s="63">
        <f t="shared" si="115"/>
        <v>3</v>
      </c>
      <c r="C1426" s="78">
        <f t="shared" si="117"/>
        <v>42446</v>
      </c>
      <c r="D1426" s="78" t="s">
        <v>927</v>
      </c>
      <c r="E1426" s="78">
        <v>42446</v>
      </c>
      <c r="F1426" s="79" t="s">
        <v>1952</v>
      </c>
      <c r="G1426" s="79"/>
      <c r="H1426" s="80" t="s">
        <v>381</v>
      </c>
      <c r="I1426" s="406">
        <v>6647</v>
      </c>
      <c r="J1426" s="407">
        <v>17500</v>
      </c>
      <c r="K1426" s="397"/>
      <c r="L1426" s="406"/>
      <c r="M1426" s="81">
        <f t="shared" si="116"/>
        <v>116322500</v>
      </c>
      <c r="N1426" s="82" t="s">
        <v>268</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customHeight="1">
      <c r="A1427" s="323" t="str">
        <f>IF(B1427&lt;&gt;"",IF(AND(B1427='IN-TC'!$S$4,OR(TH!N2269="1111",TH!O2269="1111")),TH!D2269,""),"")</f>
        <v/>
      </c>
      <c r="B1427" s="63">
        <f t="shared" si="115"/>
        <v>7</v>
      </c>
      <c r="C1427" s="64">
        <f t="shared" si="117"/>
        <v>42582</v>
      </c>
      <c r="D1427" s="64" t="s">
        <v>2213</v>
      </c>
      <c r="E1427" s="64">
        <v>42582</v>
      </c>
      <c r="F1427" s="72" t="s">
        <v>932</v>
      </c>
      <c r="G1427" s="67" t="s">
        <v>331</v>
      </c>
      <c r="H1427" s="329" t="s">
        <v>386</v>
      </c>
      <c r="I1427" s="408"/>
      <c r="J1427" s="408"/>
      <c r="K1427" s="399"/>
      <c r="L1427" s="408"/>
      <c r="M1427" s="65">
        <v>179640000</v>
      </c>
      <c r="N1427" s="66" t="s">
        <v>8</v>
      </c>
      <c r="O1427" s="66" t="s">
        <v>266</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customHeight="1">
      <c r="A1428" s="323" t="str">
        <f>IF(B1428&lt;&gt;"",IF(AND(B1428='IN-TC'!$S$4,OR(TH!N2222="1111",TH!O2222="1111")),TH!D2222,""),"")</f>
        <v/>
      </c>
      <c r="B1428" s="63">
        <f t="shared" si="115"/>
        <v>3</v>
      </c>
      <c r="C1428" s="64">
        <f t="shared" si="117"/>
        <v>42460</v>
      </c>
      <c r="D1428" s="64" t="s">
        <v>2205</v>
      </c>
      <c r="E1428" s="64">
        <v>42460</v>
      </c>
      <c r="F1428" s="72" t="s">
        <v>932</v>
      </c>
      <c r="G1428" s="67" t="s">
        <v>331</v>
      </c>
      <c r="H1428" s="329" t="s">
        <v>371</v>
      </c>
      <c r="I1428" s="408"/>
      <c r="J1428" s="408"/>
      <c r="K1428" s="399"/>
      <c r="L1428" s="408"/>
      <c r="M1428" s="65">
        <v>253575000</v>
      </c>
      <c r="N1428" s="66" t="s">
        <v>8</v>
      </c>
      <c r="O1428" s="66" t="s">
        <v>266</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customHeight="1">
      <c r="A1429" s="323" t="str">
        <f>IF(B1429&lt;&gt;"",IF(AND(B1429='IN-TC'!$S$4,OR(TH!N1331="1111",TH!O1331="1111")),TH!D1331,""),"")</f>
        <v/>
      </c>
      <c r="B1429" s="63">
        <f t="shared" si="115"/>
        <v>7</v>
      </c>
      <c r="C1429" s="78">
        <f t="shared" si="117"/>
        <v>42560</v>
      </c>
      <c r="D1429" s="78" t="s">
        <v>921</v>
      </c>
      <c r="E1429" s="78">
        <v>42560</v>
      </c>
      <c r="F1429" s="79" t="s">
        <v>1931</v>
      </c>
      <c r="G1429" s="79" t="s">
        <v>331</v>
      </c>
      <c r="H1429" s="80" t="s">
        <v>342</v>
      </c>
      <c r="I1429" s="406">
        <v>5450</v>
      </c>
      <c r="J1429" s="407">
        <v>26000</v>
      </c>
      <c r="K1429" s="397"/>
      <c r="L1429" s="406"/>
      <c r="M1429" s="81">
        <f t="shared" ref="M1429:M1435" si="118">ROUND(I1429*J1429,0)</f>
        <v>141700000</v>
      </c>
      <c r="N1429" s="82" t="s">
        <v>268</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customHeight="1">
      <c r="A1430" s="323" t="str">
        <f>IF(B1430&lt;&gt;"",IF(AND(B1430='IN-TC'!$S$4,OR(TH!N1305="1111",TH!O1305="1111")),TH!D1305,""),"")</f>
        <v/>
      </c>
      <c r="B1430" s="63">
        <f t="shared" si="115"/>
        <v>6</v>
      </c>
      <c r="C1430" s="78">
        <f t="shared" si="117"/>
        <v>42536</v>
      </c>
      <c r="D1430" s="78" t="s">
        <v>938</v>
      </c>
      <c r="E1430" s="78">
        <v>42536</v>
      </c>
      <c r="F1430" s="79" t="s">
        <v>668</v>
      </c>
      <c r="G1430" s="79"/>
      <c r="H1430" s="80" t="s">
        <v>360</v>
      </c>
      <c r="I1430" s="406">
        <v>5923</v>
      </c>
      <c r="J1430" s="407">
        <v>18500</v>
      </c>
      <c r="K1430" s="397"/>
      <c r="L1430" s="406"/>
      <c r="M1430" s="81">
        <f t="shared" si="118"/>
        <v>109575500</v>
      </c>
      <c r="N1430" s="82" t="s">
        <v>268</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customHeight="1">
      <c r="A1431" s="323" t="str">
        <f>IF(B1431&lt;&gt;"",IF(AND(B1431='IN-TC'!$S$4,OR(TH!N1307="1111",TH!O1307="1111")),TH!D1307,""),"")</f>
        <v/>
      </c>
      <c r="B1431" s="63">
        <f t="shared" si="115"/>
        <v>6</v>
      </c>
      <c r="C1431" s="78">
        <f t="shared" si="117"/>
        <v>42540</v>
      </c>
      <c r="D1431" s="78" t="s">
        <v>940</v>
      </c>
      <c r="E1431" s="78">
        <v>42540</v>
      </c>
      <c r="F1431" s="79" t="s">
        <v>668</v>
      </c>
      <c r="G1431" s="79"/>
      <c r="H1431" s="80" t="s">
        <v>354</v>
      </c>
      <c r="I1431" s="406">
        <v>6580</v>
      </c>
      <c r="J1431" s="407">
        <v>18500</v>
      </c>
      <c r="K1431" s="397"/>
      <c r="L1431" s="406"/>
      <c r="M1431" s="81">
        <f t="shared" si="118"/>
        <v>121730000</v>
      </c>
      <c r="N1431" s="82" t="s">
        <v>268</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customHeight="1">
      <c r="A1432" s="323" t="str">
        <f>IF(B1432&lt;&gt;"",IF(AND(B1432='IN-TC'!$S$4,OR(TH!N1368="1111",TH!O1368="1111")),TH!D1368,""),"")</f>
        <v/>
      </c>
      <c r="B1432" s="63">
        <f t="shared" si="115"/>
        <v>8</v>
      </c>
      <c r="C1432" s="78">
        <f t="shared" si="117"/>
        <v>42588</v>
      </c>
      <c r="D1432" s="78" t="s">
        <v>922</v>
      </c>
      <c r="E1432" s="78">
        <v>42588</v>
      </c>
      <c r="F1432" s="79" t="s">
        <v>1952</v>
      </c>
      <c r="G1432" s="79"/>
      <c r="H1432" s="80" t="s">
        <v>376</v>
      </c>
      <c r="I1432" s="406">
        <v>9820</v>
      </c>
      <c r="J1432" s="407">
        <v>18000</v>
      </c>
      <c r="K1432" s="397"/>
      <c r="L1432" s="406"/>
      <c r="M1432" s="81">
        <f t="shared" si="118"/>
        <v>176760000</v>
      </c>
      <c r="N1432" s="82" t="s">
        <v>268</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customHeight="1">
      <c r="A1433" s="323" t="str">
        <f>IF(B1433&lt;&gt;"",IF(AND(B1433='IN-TC'!$S$4,OR(TH!N1369="1111",TH!O1369="1111")),TH!D1369,""),"")</f>
        <v/>
      </c>
      <c r="B1433" s="63">
        <f t="shared" si="115"/>
        <v>8</v>
      </c>
      <c r="C1433" s="78">
        <f t="shared" si="117"/>
        <v>42592</v>
      </c>
      <c r="D1433" s="78" t="s">
        <v>923</v>
      </c>
      <c r="E1433" s="78">
        <v>42592</v>
      </c>
      <c r="F1433" s="79" t="s">
        <v>1952</v>
      </c>
      <c r="G1433" s="79"/>
      <c r="H1433" s="80" t="s">
        <v>378</v>
      </c>
      <c r="I1433" s="406">
        <v>9980</v>
      </c>
      <c r="J1433" s="407">
        <v>18000</v>
      </c>
      <c r="K1433" s="397"/>
      <c r="L1433" s="406"/>
      <c r="M1433" s="81">
        <f t="shared" si="118"/>
        <v>179640000</v>
      </c>
      <c r="N1433" s="82" t="s">
        <v>268</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customHeight="1">
      <c r="A1434" s="323" t="str">
        <f>IF(B1434&lt;&gt;"",IF(AND(B1434='IN-TC'!$S$4,OR(TH!N1379="1111",TH!O1379="1111")),TH!D1379,""),"")</f>
        <v/>
      </c>
      <c r="B1434" s="63">
        <f t="shared" si="115"/>
        <v>9</v>
      </c>
      <c r="C1434" s="78">
        <v>42616</v>
      </c>
      <c r="D1434" s="78" t="s">
        <v>922</v>
      </c>
      <c r="E1434" s="78">
        <f>C1434</f>
        <v>42616</v>
      </c>
      <c r="F1434" s="79" t="s">
        <v>1952</v>
      </c>
      <c r="G1434" s="79" t="s">
        <v>331</v>
      </c>
      <c r="H1434" s="80" t="s">
        <v>1953</v>
      </c>
      <c r="I1434" s="414">
        <v>7985</v>
      </c>
      <c r="J1434" s="407">
        <v>18000</v>
      </c>
      <c r="K1434" s="397"/>
      <c r="L1434" s="406"/>
      <c r="M1434" s="81">
        <f t="shared" si="118"/>
        <v>143730000</v>
      </c>
      <c r="N1434" s="82" t="s">
        <v>268</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customHeight="1">
      <c r="A1435" s="323" t="str">
        <f>IF(B1435&lt;&gt;"",IF(AND(B1435='IN-TC'!$S$4,OR(TH!N1371="1111",TH!O1371="1111")),TH!D1371,""),"")</f>
        <v/>
      </c>
      <c r="B1435" s="63">
        <f t="shared" si="115"/>
        <v>8</v>
      </c>
      <c r="C1435" s="78">
        <f>E1435</f>
        <v>42592</v>
      </c>
      <c r="D1435" s="78" t="s">
        <v>925</v>
      </c>
      <c r="E1435" s="78">
        <v>42592</v>
      </c>
      <c r="F1435" s="79" t="s">
        <v>1952</v>
      </c>
      <c r="G1435" s="79"/>
      <c r="H1435" s="80" t="s">
        <v>384</v>
      </c>
      <c r="I1435" s="406">
        <v>9428</v>
      </c>
      <c r="J1435" s="407">
        <v>18000</v>
      </c>
      <c r="K1435" s="397"/>
      <c r="L1435" s="406"/>
      <c r="M1435" s="81">
        <f t="shared" si="118"/>
        <v>169704000</v>
      </c>
      <c r="N1435" s="82" t="s">
        <v>268</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customHeight="1">
      <c r="A1436" s="323" t="str">
        <f>IF(B1436&lt;&gt;"",IF(AND(B1436='IN-TC'!$S$4,OR(TH!N2223="1111",TH!O2223="1111")),TH!D2223,""),"")</f>
        <v/>
      </c>
      <c r="B1436" s="63">
        <f t="shared" si="115"/>
        <v>3</v>
      </c>
      <c r="C1436" s="64">
        <f>E1436</f>
        <v>42460</v>
      </c>
      <c r="D1436" s="64" t="s">
        <v>2205</v>
      </c>
      <c r="E1436" s="64">
        <v>42460</v>
      </c>
      <c r="F1436" s="72" t="s">
        <v>932</v>
      </c>
      <c r="G1436" s="67" t="s">
        <v>331</v>
      </c>
      <c r="H1436" s="329" t="s">
        <v>388</v>
      </c>
      <c r="I1436" s="408"/>
      <c r="J1436" s="408"/>
      <c r="K1436" s="399"/>
      <c r="L1436" s="408"/>
      <c r="M1436" s="65">
        <v>105787500</v>
      </c>
      <c r="N1436" s="66" t="s">
        <v>8</v>
      </c>
      <c r="O1436" s="66" t="s">
        <v>266</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customHeight="1">
      <c r="A1437" s="323" t="str">
        <f>IF(B1437&lt;&gt;"",IF(AND(B1437='IN-TC'!$S$4,OR(TH!N1386="1111",TH!O1386="1111")),TH!D1386,""),"")</f>
        <v/>
      </c>
      <c r="B1437" s="63">
        <f t="shared" si="115"/>
        <v>9</v>
      </c>
      <c r="C1437" s="78">
        <v>42619</v>
      </c>
      <c r="D1437" s="78" t="s">
        <v>934</v>
      </c>
      <c r="E1437" s="78">
        <f>C1437</f>
        <v>42619</v>
      </c>
      <c r="F1437" s="79" t="s">
        <v>1952</v>
      </c>
      <c r="G1437" s="79" t="s">
        <v>331</v>
      </c>
      <c r="H1437" s="80" t="s">
        <v>371</v>
      </c>
      <c r="I1437" s="414">
        <v>8671</v>
      </c>
      <c r="J1437" s="407">
        <v>18000</v>
      </c>
      <c r="K1437" s="397"/>
      <c r="L1437" s="406"/>
      <c r="M1437" s="81">
        <f>ROUND(I1437*J1437,0)</f>
        <v>156078000</v>
      </c>
      <c r="N1437" s="82" t="s">
        <v>268</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customHeight="1">
      <c r="A1438" s="323" t="str">
        <f>IF(B1438&lt;&gt;"",IF(AND(B1438='IN-TC'!$S$4,OR(TH!N2213="1111",TH!O2213="1111")),TH!D2213,""),"")</f>
        <v/>
      </c>
      <c r="B1438" s="63">
        <f t="shared" si="115"/>
        <v>3</v>
      </c>
      <c r="C1438" s="64">
        <f>E1438</f>
        <v>42460</v>
      </c>
      <c r="D1438" s="64" t="s">
        <v>2205</v>
      </c>
      <c r="E1438" s="64">
        <v>42460</v>
      </c>
      <c r="F1438" s="72" t="s">
        <v>932</v>
      </c>
      <c r="G1438" s="67" t="s">
        <v>331</v>
      </c>
      <c r="H1438" s="329" t="s">
        <v>381</v>
      </c>
      <c r="I1438" s="408"/>
      <c r="J1438" s="408"/>
      <c r="K1438" s="399"/>
      <c r="L1438" s="408"/>
      <c r="M1438" s="65">
        <v>116322500</v>
      </c>
      <c r="N1438" s="66" t="s">
        <v>8</v>
      </c>
      <c r="O1438" s="66" t="s">
        <v>266</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customHeight="1">
      <c r="A1439" s="323" t="str">
        <f>IF(B1439&lt;&gt;"",IF(AND(B1439='IN-TC'!$S$4,OR(TH!N1367="1111",TH!O1367="1111")),TH!D1367,""),"")</f>
        <v/>
      </c>
      <c r="B1439" s="63">
        <f t="shared" si="115"/>
        <v>8</v>
      </c>
      <c r="C1439" s="78">
        <f>E1439</f>
        <v>42588</v>
      </c>
      <c r="D1439" s="78" t="s">
        <v>921</v>
      </c>
      <c r="E1439" s="78">
        <v>42588</v>
      </c>
      <c r="F1439" s="79" t="s">
        <v>1952</v>
      </c>
      <c r="G1439" s="79"/>
      <c r="H1439" s="80" t="s">
        <v>386</v>
      </c>
      <c r="I1439" s="406">
        <v>9580</v>
      </c>
      <c r="J1439" s="407">
        <v>18000</v>
      </c>
      <c r="K1439" s="397"/>
      <c r="L1439" s="406"/>
      <c r="M1439" s="81">
        <f>ROUND(I1439*J1439,0)</f>
        <v>172440000</v>
      </c>
      <c r="N1439" s="82" t="s">
        <v>268</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customHeight="1">
      <c r="A1440" s="323" t="str">
        <f>IF(B1440&lt;&gt;"",IF(AND(B1440='IN-TC'!$S$4,OR(TH!N1308="1111",TH!O1308="1111")),TH!D1308,""),"")</f>
        <v/>
      </c>
      <c r="B1440" s="63">
        <f t="shared" si="115"/>
        <v>6</v>
      </c>
      <c r="C1440" s="78">
        <f>E1440</f>
        <v>42540</v>
      </c>
      <c r="D1440" s="78" t="s">
        <v>941</v>
      </c>
      <c r="E1440" s="78">
        <v>42540</v>
      </c>
      <c r="F1440" s="79" t="s">
        <v>668</v>
      </c>
      <c r="G1440" s="79"/>
      <c r="H1440" s="80" t="s">
        <v>357</v>
      </c>
      <c r="I1440" s="406">
        <v>6017</v>
      </c>
      <c r="J1440" s="407">
        <v>18500</v>
      </c>
      <c r="K1440" s="397"/>
      <c r="L1440" s="406"/>
      <c r="M1440" s="81">
        <f>ROUND(I1440*J1440,0)</f>
        <v>111314500</v>
      </c>
      <c r="N1440" s="82" t="s">
        <v>268</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customHeight="1">
      <c r="A1441" s="323" t="str">
        <f>IF(B1441&lt;&gt;"",IF(AND(B1441='IN-TC'!$S$4,OR(TH!N1275="1111",TH!O1275="1111")),TH!D1275,""),"")</f>
        <v/>
      </c>
      <c r="B1441" s="63">
        <f t="shared" si="115"/>
        <v>5</v>
      </c>
      <c r="C1441" s="78">
        <f>E1441</f>
        <v>42521</v>
      </c>
      <c r="D1441" s="78" t="s">
        <v>1944</v>
      </c>
      <c r="E1441" s="78">
        <v>42521</v>
      </c>
      <c r="F1441" s="79" t="s">
        <v>668</v>
      </c>
      <c r="G1441" s="79"/>
      <c r="H1441" s="85" t="s">
        <v>339</v>
      </c>
      <c r="I1441" s="406">
        <v>4013</v>
      </c>
      <c r="J1441" s="407">
        <v>18500</v>
      </c>
      <c r="K1441" s="397"/>
      <c r="L1441" s="406"/>
      <c r="M1441" s="81">
        <f>ROUND(I1441*J1441,0)</f>
        <v>74240500</v>
      </c>
      <c r="N1441" s="82" t="s">
        <v>268</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customHeight="1">
      <c r="A1442" s="323" t="str">
        <f>IF(B1442&lt;&gt;"",IF(AND(B1442='IN-TC'!$S$4,OR(TH!N1332="1111",TH!O1332="1111")),TH!D1332,""),"")</f>
        <v/>
      </c>
      <c r="B1442" s="63">
        <f t="shared" si="115"/>
        <v>7</v>
      </c>
      <c r="C1442" s="78">
        <f>E1442</f>
        <v>42560</v>
      </c>
      <c r="D1442" s="78" t="s">
        <v>921</v>
      </c>
      <c r="E1442" s="78">
        <v>42560</v>
      </c>
      <c r="F1442" s="79" t="s">
        <v>1934</v>
      </c>
      <c r="G1442" s="79" t="s">
        <v>331</v>
      </c>
      <c r="H1442" s="80" t="s">
        <v>342</v>
      </c>
      <c r="I1442" s="407">
        <v>1950</v>
      </c>
      <c r="J1442" s="407">
        <v>34500</v>
      </c>
      <c r="K1442" s="398"/>
      <c r="L1442" s="407"/>
      <c r="M1442" s="81">
        <f>ROUND(I1442*J1442,0)</f>
        <v>67275000</v>
      </c>
      <c r="N1442" s="82" t="s">
        <v>268</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customHeight="1">
      <c r="A1443" s="323" t="str">
        <f>IF(B1443&lt;&gt;"",IF(AND(B1443='IN-TC'!$S$4,OR(TH!N2274="1111",TH!O2274="1111")),TH!D2274,""),"")</f>
        <v/>
      </c>
      <c r="B1443" s="63">
        <f t="shared" si="115"/>
        <v>8</v>
      </c>
      <c r="C1443" s="64">
        <v>42613</v>
      </c>
      <c r="D1443" s="64" t="s">
        <v>2214</v>
      </c>
      <c r="E1443" s="64">
        <v>42613</v>
      </c>
      <c r="F1443" s="72" t="s">
        <v>932</v>
      </c>
      <c r="G1443" s="67" t="s">
        <v>331</v>
      </c>
      <c r="H1443" s="329" t="s">
        <v>384</v>
      </c>
      <c r="I1443" s="408"/>
      <c r="J1443" s="408"/>
      <c r="K1443" s="399"/>
      <c r="L1443" s="408"/>
      <c r="M1443" s="65">
        <v>340452000</v>
      </c>
      <c r="N1443" s="66" t="s">
        <v>8</v>
      </c>
      <c r="O1443" s="66" t="s">
        <v>266</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customHeight="1">
      <c r="A1444" s="323" t="str">
        <f>IF(B1444&lt;&gt;"",IF(AND(B1444='IN-TC'!$S$4,OR(TH!N1384="1111",TH!O1384="1111")),TH!D1384,""),"")</f>
        <v/>
      </c>
      <c r="B1444" s="63">
        <f t="shared" si="115"/>
        <v>9</v>
      </c>
      <c r="C1444" s="78">
        <v>42619</v>
      </c>
      <c r="D1444" s="78" t="s">
        <v>927</v>
      </c>
      <c r="E1444" s="78">
        <f>C1444</f>
        <v>42619</v>
      </c>
      <c r="F1444" s="79" t="s">
        <v>1952</v>
      </c>
      <c r="G1444" s="79" t="s">
        <v>331</v>
      </c>
      <c r="H1444" s="80" t="s">
        <v>1953</v>
      </c>
      <c r="I1444" s="414">
        <v>9986</v>
      </c>
      <c r="J1444" s="407">
        <v>18000</v>
      </c>
      <c r="K1444" s="397"/>
      <c r="L1444" s="406"/>
      <c r="M1444" s="81">
        <f>ROUND(I1444*J1444,0)</f>
        <v>179748000</v>
      </c>
      <c r="N1444" s="82" t="s">
        <v>268</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customHeight="1">
      <c r="A1445" s="323" t="str">
        <f>IF(B1445&lt;&gt;"",IF(AND(B1445='IN-TC'!$S$4,OR(TH!N2272="1111",TH!O2272="1111")),TH!D2272,""),"")</f>
        <v/>
      </c>
      <c r="B1445" s="63">
        <f t="shared" si="115"/>
        <v>8</v>
      </c>
      <c r="C1445" s="64">
        <v>42613</v>
      </c>
      <c r="D1445" s="64" t="s">
        <v>2214</v>
      </c>
      <c r="E1445" s="64">
        <v>42613</v>
      </c>
      <c r="F1445" s="72" t="s">
        <v>932</v>
      </c>
      <c r="G1445" s="67" t="s">
        <v>331</v>
      </c>
      <c r="H1445" s="329" t="s">
        <v>376</v>
      </c>
      <c r="I1445" s="408"/>
      <c r="J1445" s="408"/>
      <c r="K1445" s="399"/>
      <c r="L1445" s="408"/>
      <c r="M1445" s="65">
        <v>310860000</v>
      </c>
      <c r="N1445" s="66" t="s">
        <v>8</v>
      </c>
      <c r="O1445" s="66" t="s">
        <v>266</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customHeight="1">
      <c r="A1446" s="323" t="str">
        <f>IF(B1446&lt;&gt;"",IF(AND(B1446='IN-TC'!$S$4,OR(TH!N1425="1111",TH!O1425="1111")),TH!D1425,""),"")</f>
        <v/>
      </c>
      <c r="B1446" s="63">
        <f t="shared" si="115"/>
        <v>9</v>
      </c>
      <c r="C1446" s="78">
        <v>42643</v>
      </c>
      <c r="D1446" s="78" t="s">
        <v>2234</v>
      </c>
      <c r="E1446" s="78">
        <f>C1446</f>
        <v>42643</v>
      </c>
      <c r="F1446" s="79" t="s">
        <v>1952</v>
      </c>
      <c r="G1446" s="79" t="s">
        <v>331</v>
      </c>
      <c r="H1446" s="80" t="s">
        <v>388</v>
      </c>
      <c r="I1446" s="1238">
        <v>9365</v>
      </c>
      <c r="J1446" s="407">
        <v>18500</v>
      </c>
      <c r="K1446" s="397"/>
      <c r="L1446" s="406"/>
      <c r="M1446" s="81">
        <f>ROUND(I1446*J1446,0)</f>
        <v>173252500</v>
      </c>
      <c r="N1446" s="82" t="s">
        <v>268</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customHeight="1">
      <c r="A1447" s="323" t="str">
        <f>IF(B1447&lt;&gt;"",IF(AND(B1447='IN-TC'!$S$4,OR(TH!N1428="1111",TH!O1428="1111")),TH!D1428,""),"")</f>
        <v/>
      </c>
      <c r="B1447" s="63">
        <f t="shared" si="115"/>
        <v>9</v>
      </c>
      <c r="C1447" s="78">
        <v>42643</v>
      </c>
      <c r="D1447" s="78" t="s">
        <v>2237</v>
      </c>
      <c r="E1447" s="78">
        <f>C1447</f>
        <v>42643</v>
      </c>
      <c r="F1447" s="79" t="s">
        <v>1952</v>
      </c>
      <c r="G1447" s="79" t="s">
        <v>331</v>
      </c>
      <c r="H1447" s="80" t="s">
        <v>371</v>
      </c>
      <c r="I1447" s="1238">
        <v>9450</v>
      </c>
      <c r="J1447" s="407">
        <v>18500</v>
      </c>
      <c r="K1447" s="397"/>
      <c r="L1447" s="406"/>
      <c r="M1447" s="81">
        <f>ROUND(I1447*J1447,0)</f>
        <v>174825000</v>
      </c>
      <c r="N1447" s="82" t="s">
        <v>268</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customHeight="1">
      <c r="A1448" s="323" t="str">
        <f>IF(B1448&lt;&gt;"",IF(AND(B1448='IN-TC'!$S$4,OR(TH!N2275="1111",TH!O2275="1111")),TH!D2275,""),"")</f>
        <v/>
      </c>
      <c r="B1448" s="63">
        <f t="shared" si="115"/>
        <v>8</v>
      </c>
      <c r="C1448" s="64">
        <v>42613</v>
      </c>
      <c r="D1448" s="64" t="s">
        <v>2214</v>
      </c>
      <c r="E1448" s="64">
        <v>42613</v>
      </c>
      <c r="F1448" s="72" t="s">
        <v>932</v>
      </c>
      <c r="G1448" s="67" t="s">
        <v>331</v>
      </c>
      <c r="H1448" s="329" t="s">
        <v>386</v>
      </c>
      <c r="I1448" s="410"/>
      <c r="J1448" s="410"/>
      <c r="K1448" s="401"/>
      <c r="L1448" s="410"/>
      <c r="M1448" s="65">
        <v>172440000</v>
      </c>
      <c r="N1448" s="66" t="s">
        <v>8</v>
      </c>
      <c r="O1448" s="66" t="s">
        <v>266</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customHeight="1">
      <c r="A1449" s="323" t="str">
        <f>IF(B1449&lt;&gt;"",IF(AND(B1449='IN-TC'!$S$4,OR(TH!N2294="1111",TH!O2294="1111")),TH!D2294,""),"")</f>
        <v/>
      </c>
      <c r="B1449" s="63">
        <f t="shared" si="115"/>
        <v>9</v>
      </c>
      <c r="C1449" s="64">
        <v>42643</v>
      </c>
      <c r="D1449" s="64" t="s">
        <v>2272</v>
      </c>
      <c r="E1449" s="64">
        <v>42643</v>
      </c>
      <c r="F1449" s="72" t="s">
        <v>932</v>
      </c>
      <c r="G1449" s="67" t="s">
        <v>331</v>
      </c>
      <c r="H1449" s="329" t="s">
        <v>388</v>
      </c>
      <c r="I1449" s="408"/>
      <c r="J1449" s="408"/>
      <c r="K1449" s="399"/>
      <c r="L1449" s="408"/>
      <c r="M1449" s="65">
        <v>173252500</v>
      </c>
      <c r="N1449" s="66" t="s">
        <v>8</v>
      </c>
      <c r="O1449" s="66" t="s">
        <v>266</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customHeight="1">
      <c r="A1450" s="323" t="str">
        <f>IF(B1450&lt;&gt;"",IF(AND(B1450='IN-TC'!$S$4,OR(TH!N1377="1111",TH!O1377="1111")),TH!D1377,""),"")</f>
        <v/>
      </c>
      <c r="B1450" s="63">
        <f t="shared" si="115"/>
        <v>9</v>
      </c>
      <c r="C1450" s="78">
        <v>42616</v>
      </c>
      <c r="D1450" s="78" t="s">
        <v>920</v>
      </c>
      <c r="E1450" s="78">
        <f>C1450</f>
        <v>42616</v>
      </c>
      <c r="F1450" s="79" t="s">
        <v>1952</v>
      </c>
      <c r="G1450" s="79" t="s">
        <v>331</v>
      </c>
      <c r="H1450" s="85" t="s">
        <v>376</v>
      </c>
      <c r="I1450" s="414">
        <v>7850</v>
      </c>
      <c r="J1450" s="407">
        <v>18000</v>
      </c>
      <c r="K1450" s="397"/>
      <c r="L1450" s="406"/>
      <c r="M1450" s="81">
        <f>ROUND(I1450*J1450,0)</f>
        <v>141300000</v>
      </c>
      <c r="N1450" s="82" t="s">
        <v>268</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customHeight="1">
      <c r="A1451" s="323" t="str">
        <f>IF(B1451&lt;&gt;"",IF(AND(B1451='IN-TC'!$S$4,OR(TH!N1380="1111",TH!O1380="1111")),TH!D1380,""),"")</f>
        <v/>
      </c>
      <c r="B1451" s="63">
        <f t="shared" si="115"/>
        <v>9</v>
      </c>
      <c r="C1451" s="78">
        <v>42618</v>
      </c>
      <c r="D1451" s="78" t="s">
        <v>923</v>
      </c>
      <c r="E1451" s="78">
        <f>C1451</f>
        <v>42618</v>
      </c>
      <c r="F1451" s="79" t="s">
        <v>1952</v>
      </c>
      <c r="G1451" s="79" t="s">
        <v>331</v>
      </c>
      <c r="H1451" s="80" t="s">
        <v>384</v>
      </c>
      <c r="I1451" s="414">
        <v>8783</v>
      </c>
      <c r="J1451" s="407">
        <v>18000</v>
      </c>
      <c r="K1451" s="397"/>
      <c r="L1451" s="406"/>
      <c r="M1451" s="81">
        <f>ROUND(I1451*J1451,0)</f>
        <v>158094000</v>
      </c>
      <c r="N1451" s="82" t="s">
        <v>268</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customHeight="1">
      <c r="A1452" s="323" t="str">
        <f>IF(B1452&lt;&gt;"",IF(AND(B1452='IN-TC'!$S$4,OR(TH!N2291="1111",TH!O2291="1111")),TH!D2291,""),"")</f>
        <v/>
      </c>
      <c r="B1452" s="63">
        <f t="shared" si="115"/>
        <v>9</v>
      </c>
      <c r="C1452" s="64">
        <v>42643</v>
      </c>
      <c r="D1452" s="64" t="s">
        <v>2272</v>
      </c>
      <c r="E1452" s="64">
        <v>42643</v>
      </c>
      <c r="F1452" s="72" t="s">
        <v>932</v>
      </c>
      <c r="G1452" s="67" t="s">
        <v>331</v>
      </c>
      <c r="H1452" s="72" t="s">
        <v>371</v>
      </c>
      <c r="I1452" s="410"/>
      <c r="J1452" s="410"/>
      <c r="K1452" s="401"/>
      <c r="L1452" s="410"/>
      <c r="M1452" s="65">
        <v>330903000</v>
      </c>
      <c r="N1452" s="66" t="s">
        <v>8</v>
      </c>
      <c r="O1452" s="66" t="s">
        <v>266</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customHeight="1">
      <c r="A1453" s="323" t="str">
        <f>IF(B1453&lt;&gt;"",IF(AND(B1453='IN-TC'!$S$4,OR(TH!N1381="1111",TH!O1381="1111")),TH!D1381,""),"")</f>
        <v/>
      </c>
      <c r="B1453" s="63">
        <f t="shared" si="115"/>
        <v>9</v>
      </c>
      <c r="C1453" s="78">
        <v>42618</v>
      </c>
      <c r="D1453" s="78" t="s">
        <v>924</v>
      </c>
      <c r="E1453" s="78">
        <f>C1453</f>
        <v>42618</v>
      </c>
      <c r="F1453" s="79" t="s">
        <v>1952</v>
      </c>
      <c r="G1453" s="79" t="s">
        <v>331</v>
      </c>
      <c r="H1453" s="80" t="s">
        <v>386</v>
      </c>
      <c r="I1453" s="414">
        <v>8540</v>
      </c>
      <c r="J1453" s="407">
        <v>18000</v>
      </c>
      <c r="K1453" s="397"/>
      <c r="L1453" s="406"/>
      <c r="M1453" s="81">
        <f>ROUND(I1453*J1453,0)</f>
        <v>153720000</v>
      </c>
      <c r="N1453" s="82" t="s">
        <v>268</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customHeight="1">
      <c r="A1454" s="323" t="str">
        <f>IF(B1454&lt;&gt;"",IF(AND(B1454='IN-TC'!$S$4,OR(TH!N2276="1111",TH!O2276="1111")),TH!D2276,""),"")</f>
        <v/>
      </c>
      <c r="B1454" s="63">
        <f t="shared" ref="B1454:B1517" si="119">IF(C1454&lt;&gt;"",MONTH(C1454),"")</f>
        <v>8</v>
      </c>
      <c r="C1454" s="64">
        <v>42613</v>
      </c>
      <c r="D1454" s="64" t="s">
        <v>2214</v>
      </c>
      <c r="E1454" s="64">
        <v>42613</v>
      </c>
      <c r="F1454" s="72" t="s">
        <v>932</v>
      </c>
      <c r="G1454" s="67" t="s">
        <v>331</v>
      </c>
      <c r="H1454" s="329" t="s">
        <v>378</v>
      </c>
      <c r="I1454" s="408"/>
      <c r="J1454" s="408"/>
      <c r="K1454" s="399"/>
      <c r="L1454" s="408"/>
      <c r="M1454" s="65">
        <v>340740000</v>
      </c>
      <c r="N1454" s="66" t="s">
        <v>8</v>
      </c>
      <c r="O1454" s="66" t="s">
        <v>266</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customHeight="1">
      <c r="A1455" s="323" t="str">
        <f>IF(B1455&lt;&gt;"",IF(AND(B1455='IN-TC'!$S$4,OR(TH!N1320="1111",TH!O1320="1111")),TH!D1320,""),"")</f>
        <v/>
      </c>
      <c r="B1455" s="63">
        <f t="shared" si="119"/>
        <v>6</v>
      </c>
      <c r="C1455" s="78">
        <f>E1455</f>
        <v>42548</v>
      </c>
      <c r="D1455" s="78" t="s">
        <v>1942</v>
      </c>
      <c r="E1455" s="78">
        <v>42548</v>
      </c>
      <c r="F1455" s="79" t="s">
        <v>668</v>
      </c>
      <c r="G1455" s="79"/>
      <c r="H1455" s="80" t="s">
        <v>360</v>
      </c>
      <c r="I1455" s="406">
        <v>3150</v>
      </c>
      <c r="J1455" s="407">
        <v>18500</v>
      </c>
      <c r="K1455" s="397"/>
      <c r="L1455" s="406"/>
      <c r="M1455" s="81">
        <f>ROUND(I1455*J1455,0)</f>
        <v>58275000</v>
      </c>
      <c r="N1455" s="82" t="s">
        <v>268</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customHeight="1">
      <c r="A1456" s="323" t="str">
        <f>IF(B1456&lt;&gt;"",IF(AND(B1456='IN-TC'!$S$4,OR(TH!N1321="1111",TH!O1321="1111")),TH!D1321,""),"")</f>
        <v/>
      </c>
      <c r="B1456" s="63">
        <f t="shared" si="119"/>
        <v>6</v>
      </c>
      <c r="C1456" s="78">
        <f>E1456</f>
        <v>42551</v>
      </c>
      <c r="D1456" s="78" t="s">
        <v>1943</v>
      </c>
      <c r="E1456" s="78">
        <v>42551</v>
      </c>
      <c r="F1456" s="79" t="s">
        <v>668</v>
      </c>
      <c r="G1456" s="79"/>
      <c r="H1456" s="80" t="s">
        <v>354</v>
      </c>
      <c r="I1456" s="406">
        <v>4160</v>
      </c>
      <c r="J1456" s="407">
        <v>18500</v>
      </c>
      <c r="K1456" s="397"/>
      <c r="L1456" s="406"/>
      <c r="M1456" s="81">
        <f>ROUND(I1456*J1456,0)</f>
        <v>76960000</v>
      </c>
      <c r="N1456" s="82" t="s">
        <v>268</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customHeight="1">
      <c r="A1457" s="323" t="str">
        <f>IF(B1457&lt;&gt;"",IF(AND(B1457='IN-TC'!$S$4,OR(TH!N1436="1111",TH!O1436="1111")),TH!D1436,""),"")</f>
        <v/>
      </c>
      <c r="B1457" s="63">
        <f t="shared" si="119"/>
        <v>10</v>
      </c>
      <c r="C1457" s="78">
        <v>42646</v>
      </c>
      <c r="D1457" s="78" t="s">
        <v>924</v>
      </c>
      <c r="E1457" s="78">
        <f>C1457</f>
        <v>42646</v>
      </c>
      <c r="F1457" s="79" t="s">
        <v>1952</v>
      </c>
      <c r="G1457" s="79"/>
      <c r="H1457" s="80" t="s">
        <v>388</v>
      </c>
      <c r="I1457" s="1238">
        <v>9290</v>
      </c>
      <c r="J1457" s="407">
        <v>18500</v>
      </c>
      <c r="K1457" s="397"/>
      <c r="L1457" s="406"/>
      <c r="M1457" s="81">
        <f>ROUND(I1457*J1457,0)</f>
        <v>171865000</v>
      </c>
      <c r="N1457" s="82" t="s">
        <v>268</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customHeight="1">
      <c r="A1458" s="323" t="str">
        <f>IF(B1458&lt;&gt;"",IF(AND(B1458='IN-TC'!$S$4,OR(TH!N1426="1111",TH!O1426="1111")),TH!D1426,""),"")</f>
        <v/>
      </c>
      <c r="B1458" s="63">
        <f t="shared" si="119"/>
        <v>9</v>
      </c>
      <c r="C1458" s="78">
        <v>42643</v>
      </c>
      <c r="D1458" s="78" t="s">
        <v>2235</v>
      </c>
      <c r="E1458" s="78">
        <f>C1458</f>
        <v>42643</v>
      </c>
      <c r="F1458" s="79" t="s">
        <v>1952</v>
      </c>
      <c r="G1458" s="79" t="s">
        <v>331</v>
      </c>
      <c r="H1458" s="80" t="s">
        <v>381</v>
      </c>
      <c r="I1458" s="1238">
        <v>9350</v>
      </c>
      <c r="J1458" s="407">
        <v>18500</v>
      </c>
      <c r="K1458" s="397"/>
      <c r="L1458" s="406"/>
      <c r="M1458" s="81">
        <f>ROUND(I1458*J1458,0)</f>
        <v>172975000</v>
      </c>
      <c r="N1458" s="82" t="s">
        <v>268</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customHeight="1">
      <c r="A1459" s="323" t="str">
        <f>IF(B1459&lt;&gt;"",IF(AND(B1459='IN-TC'!$S$4,OR(TH!N1382="1111",TH!O1382="1111")),TH!D1382,""),"")</f>
        <v/>
      </c>
      <c r="B1459" s="63">
        <f t="shared" si="119"/>
        <v>9</v>
      </c>
      <c r="C1459" s="78">
        <v>42618</v>
      </c>
      <c r="D1459" s="78" t="s">
        <v>925</v>
      </c>
      <c r="E1459" s="78">
        <f>C1459</f>
        <v>42618</v>
      </c>
      <c r="F1459" s="79" t="s">
        <v>1952</v>
      </c>
      <c r="G1459" s="79" t="s">
        <v>331</v>
      </c>
      <c r="H1459" s="80" t="s">
        <v>376</v>
      </c>
      <c r="I1459" s="414">
        <v>9760</v>
      </c>
      <c r="J1459" s="407">
        <v>18000</v>
      </c>
      <c r="K1459" s="397"/>
      <c r="L1459" s="406"/>
      <c r="M1459" s="81">
        <f>ROUND(I1459*J1459,0)</f>
        <v>175680000</v>
      </c>
      <c r="N1459" s="82" t="s">
        <v>268</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customHeight="1">
      <c r="A1460" s="323" t="str">
        <f>IF(B1460&lt;&gt;"",IF(AND(B1460='IN-TC'!$S$4,OR(TH!N2288="1111",TH!O2288="1111")),TH!D2288,""),"")</f>
        <v/>
      </c>
      <c r="B1460" s="63">
        <f t="shared" si="119"/>
        <v>9</v>
      </c>
      <c r="C1460" s="64">
        <v>42643</v>
      </c>
      <c r="D1460" s="64" t="s">
        <v>2272</v>
      </c>
      <c r="E1460" s="64">
        <v>42643</v>
      </c>
      <c r="F1460" s="72" t="s">
        <v>932</v>
      </c>
      <c r="G1460" s="67" t="s">
        <v>331</v>
      </c>
      <c r="H1460" s="72" t="s">
        <v>1953</v>
      </c>
      <c r="I1460" s="408"/>
      <c r="J1460" s="408"/>
      <c r="K1460" s="399"/>
      <c r="L1460" s="408"/>
      <c r="M1460" s="65">
        <v>323478000</v>
      </c>
      <c r="N1460" s="66" t="s">
        <v>8</v>
      </c>
      <c r="O1460" s="66" t="s">
        <v>266</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customHeight="1">
      <c r="A1461" s="323" t="str">
        <f>IF(B1461&lt;&gt;"",IF(AND(B1461='IN-TC'!$S$4,OR(TH!N1385="1111",TH!O1385="1111")),TH!D1385,""),"")</f>
        <v/>
      </c>
      <c r="B1461" s="63">
        <f t="shared" si="119"/>
        <v>9</v>
      </c>
      <c r="C1461" s="78">
        <v>42619</v>
      </c>
      <c r="D1461" s="78" t="s">
        <v>933</v>
      </c>
      <c r="E1461" s="78">
        <f>C1461</f>
        <v>42619</v>
      </c>
      <c r="F1461" s="79" t="s">
        <v>1952</v>
      </c>
      <c r="G1461" s="79" t="s">
        <v>331</v>
      </c>
      <c r="H1461" s="80" t="s">
        <v>384</v>
      </c>
      <c r="I1461" s="414">
        <v>9965</v>
      </c>
      <c r="J1461" s="407">
        <v>18000</v>
      </c>
      <c r="K1461" s="397"/>
      <c r="L1461" s="406"/>
      <c r="M1461" s="81">
        <f>ROUND(I1461*J1461,0)</f>
        <v>179370000</v>
      </c>
      <c r="N1461" s="82" t="s">
        <v>268</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customHeight="1">
      <c r="A1462" s="323" t="str">
        <f>IF(B1462&lt;&gt;"",IF(AND(B1462='IN-TC'!$S$4,OR(TH!N1437="1111",TH!O1437="1111")),TH!D1437,""),"")</f>
        <v/>
      </c>
      <c r="B1462" s="63">
        <f t="shared" si="119"/>
        <v>10</v>
      </c>
      <c r="C1462" s="78">
        <v>42646</v>
      </c>
      <c r="D1462" s="78" t="s">
        <v>925</v>
      </c>
      <c r="E1462" s="78">
        <f>C1462</f>
        <v>42646</v>
      </c>
      <c r="F1462" s="79" t="s">
        <v>1952</v>
      </c>
      <c r="G1462" s="79"/>
      <c r="H1462" s="80" t="s">
        <v>371</v>
      </c>
      <c r="I1462" s="1238">
        <v>9520</v>
      </c>
      <c r="J1462" s="407">
        <v>18500</v>
      </c>
      <c r="K1462" s="397"/>
      <c r="L1462" s="406"/>
      <c r="M1462" s="81">
        <f>ROUND(I1462*J1462,0)</f>
        <v>176120000</v>
      </c>
      <c r="N1462" s="82" t="s">
        <v>268</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customHeight="1">
      <c r="A1463" s="323" t="str">
        <f>IF(B1463&lt;&gt;"",IF(AND(B1463='IN-TC'!$S$4,OR(TH!N1427="1111",TH!O1427="1111")),TH!D1427,""),"")</f>
        <v/>
      </c>
      <c r="B1463" s="63">
        <f t="shared" si="119"/>
        <v>9</v>
      </c>
      <c r="C1463" s="78">
        <v>42643</v>
      </c>
      <c r="D1463" s="78" t="s">
        <v>2236</v>
      </c>
      <c r="E1463" s="78">
        <f>C1463</f>
        <v>42643</v>
      </c>
      <c r="F1463" s="79" t="s">
        <v>1952</v>
      </c>
      <c r="G1463" s="79" t="s">
        <v>331</v>
      </c>
      <c r="H1463" s="80" t="s">
        <v>386</v>
      </c>
      <c r="I1463" s="1238">
        <v>9468</v>
      </c>
      <c r="J1463" s="407">
        <v>18500</v>
      </c>
      <c r="K1463" s="397"/>
      <c r="L1463" s="406"/>
      <c r="M1463" s="81">
        <f>ROUND(I1463*J1463,0)</f>
        <v>175158000</v>
      </c>
      <c r="N1463" s="82" t="s">
        <v>268</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customHeight="1">
      <c r="A1464" s="323" t="str">
        <f>IF(B1464&lt;&gt;"",IF(AND(B1464='IN-TC'!$S$4,OR(TH!N1378="1111",TH!O1378="1111")),TH!D1378,""),"")</f>
        <v/>
      </c>
      <c r="B1464" s="63">
        <f t="shared" si="119"/>
        <v>9</v>
      </c>
      <c r="C1464" s="78">
        <v>42616</v>
      </c>
      <c r="D1464" s="78" t="s">
        <v>921</v>
      </c>
      <c r="E1464" s="78">
        <f>C1464</f>
        <v>42616</v>
      </c>
      <c r="F1464" s="79" t="s">
        <v>1952</v>
      </c>
      <c r="G1464" s="79" t="s">
        <v>331</v>
      </c>
      <c r="H1464" s="80" t="s">
        <v>378</v>
      </c>
      <c r="I1464" s="414">
        <v>8320</v>
      </c>
      <c r="J1464" s="407">
        <v>18000</v>
      </c>
      <c r="K1464" s="397"/>
      <c r="L1464" s="406"/>
      <c r="M1464" s="81">
        <f>ROUND(I1464*J1464,0)</f>
        <v>149760000</v>
      </c>
      <c r="N1464" s="82" t="s">
        <v>268</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customHeight="1">
      <c r="A1465" s="323" t="str">
        <f>IF(B1465&lt;&gt;"",IF(AND(B1465='IN-TC'!$S$4,OR(TH!N1434="1111",TH!O1434="1111")),TH!D1434,""),"")</f>
        <v/>
      </c>
      <c r="B1465" s="63">
        <f t="shared" si="119"/>
        <v>10</v>
      </c>
      <c r="C1465" s="78">
        <v>42644</v>
      </c>
      <c r="D1465" s="78" t="s">
        <v>922</v>
      </c>
      <c r="E1465" s="78">
        <f>C1465</f>
        <v>42644</v>
      </c>
      <c r="F1465" s="79" t="s">
        <v>1952</v>
      </c>
      <c r="G1465" s="79"/>
      <c r="H1465" s="80" t="s">
        <v>1953</v>
      </c>
      <c r="I1465" s="1238">
        <v>9210</v>
      </c>
      <c r="J1465" s="407">
        <v>18500</v>
      </c>
      <c r="K1465" s="397"/>
      <c r="L1465" s="406"/>
      <c r="M1465" s="81">
        <f>ROUND(I1465*J1465,0)</f>
        <v>170385000</v>
      </c>
      <c r="N1465" s="82" t="s">
        <v>268</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customHeight="1">
      <c r="A1466" s="323" t="str">
        <f>IF(B1466&lt;&gt;"",IF(AND(B1466='IN-TC'!$S$4,OR(TH!N2293="1111",TH!O2293="1111")),TH!D2293,""),"")</f>
        <v/>
      </c>
      <c r="B1466" s="63">
        <f t="shared" si="119"/>
        <v>9</v>
      </c>
      <c r="C1466" s="64">
        <v>42643</v>
      </c>
      <c r="D1466" s="64" t="s">
        <v>2272</v>
      </c>
      <c r="E1466" s="64">
        <v>42643</v>
      </c>
      <c r="F1466" s="72" t="s">
        <v>932</v>
      </c>
      <c r="G1466" s="67" t="s">
        <v>331</v>
      </c>
      <c r="H1466" s="329" t="s">
        <v>381</v>
      </c>
      <c r="I1466" s="408"/>
      <c r="J1466" s="408"/>
      <c r="K1466" s="399"/>
      <c r="L1466" s="408"/>
      <c r="M1466" s="65">
        <v>172975000</v>
      </c>
      <c r="N1466" s="66" t="s">
        <v>8</v>
      </c>
      <c r="O1466" s="66" t="s">
        <v>266</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customHeight="1">
      <c r="A1467" s="323" t="str">
        <f>IF(B1467&lt;&gt;"",IF(AND(B1467='IN-TC'!$S$4,OR(TH!N1446="1111",TH!O1446="1111")),TH!D1446,""),"")</f>
        <v/>
      </c>
      <c r="B1467" s="63">
        <f t="shared" si="119"/>
        <v>10</v>
      </c>
      <c r="C1467" s="78">
        <v>42647</v>
      </c>
      <c r="D1467" s="78" t="s">
        <v>939</v>
      </c>
      <c r="E1467" s="78">
        <f>C1467</f>
        <v>42647</v>
      </c>
      <c r="F1467" s="79" t="s">
        <v>1952</v>
      </c>
      <c r="G1467" s="79"/>
      <c r="H1467" s="80" t="s">
        <v>388</v>
      </c>
      <c r="I1467" s="414">
        <v>10530</v>
      </c>
      <c r="J1467" s="407">
        <v>18500</v>
      </c>
      <c r="K1467" s="397"/>
      <c r="L1467" s="406"/>
      <c r="M1467" s="81">
        <f>ROUND(I1467*J1467,0)</f>
        <v>194805000</v>
      </c>
      <c r="N1467" s="82" t="s">
        <v>268</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customHeight="1">
      <c r="A1468" s="323" t="str">
        <f>IF(B1468&lt;&gt;"",IF(AND(B1468='IN-TC'!$S$4,OR(TH!N2286="1111",TH!O2286="1111")),TH!D2286,""),"")</f>
        <v/>
      </c>
      <c r="B1468" s="63">
        <f t="shared" si="119"/>
        <v>9</v>
      </c>
      <c r="C1468" s="64">
        <v>42643</v>
      </c>
      <c r="D1468" s="64" t="s">
        <v>2272</v>
      </c>
      <c r="E1468" s="64">
        <v>42643</v>
      </c>
      <c r="F1468" s="72" t="s">
        <v>932</v>
      </c>
      <c r="G1468" s="67" t="s">
        <v>331</v>
      </c>
      <c r="H1468" s="72" t="s">
        <v>376</v>
      </c>
      <c r="I1468" s="408"/>
      <c r="J1468" s="408"/>
      <c r="K1468" s="399"/>
      <c r="L1468" s="408"/>
      <c r="M1468" s="65">
        <v>316980000</v>
      </c>
      <c r="N1468" s="66" t="s">
        <v>8</v>
      </c>
      <c r="O1468" s="66" t="s">
        <v>266</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customHeight="1">
      <c r="A1469" s="323" t="str">
        <f>IF(B1469&lt;&gt;"",IF(AND(B1469='IN-TC'!$S$4,OR(TH!N1383="1111",TH!O1383="1111")),TH!D1383,""),"")</f>
        <v/>
      </c>
      <c r="B1469" s="63">
        <f t="shared" si="119"/>
        <v>9</v>
      </c>
      <c r="C1469" s="78">
        <v>42619</v>
      </c>
      <c r="D1469" s="78" t="s">
        <v>926</v>
      </c>
      <c r="E1469" s="78">
        <f>C1469</f>
        <v>42619</v>
      </c>
      <c r="F1469" s="79" t="s">
        <v>1952</v>
      </c>
      <c r="G1469" s="79" t="s">
        <v>331</v>
      </c>
      <c r="H1469" s="80" t="s">
        <v>378</v>
      </c>
      <c r="I1469" s="414">
        <v>9780</v>
      </c>
      <c r="J1469" s="407">
        <v>18000</v>
      </c>
      <c r="K1469" s="397"/>
      <c r="L1469" s="406"/>
      <c r="M1469" s="81">
        <f>ROUND(I1469*J1469,0)</f>
        <v>176040000</v>
      </c>
      <c r="N1469" s="82" t="s">
        <v>268</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customHeight="1">
      <c r="A1470" s="323" t="str">
        <f>IF(B1470&lt;&gt;"",IF(AND(B1470='IN-TC'!$S$4,OR(TH!N2289="1111",TH!O2289="1111")),TH!D2289,""),"")</f>
        <v/>
      </c>
      <c r="B1470" s="63">
        <f t="shared" si="119"/>
        <v>9</v>
      </c>
      <c r="C1470" s="64">
        <v>42643</v>
      </c>
      <c r="D1470" s="64" t="s">
        <v>2272</v>
      </c>
      <c r="E1470" s="64">
        <v>42643</v>
      </c>
      <c r="F1470" s="72" t="s">
        <v>932</v>
      </c>
      <c r="G1470" s="67" t="s">
        <v>331</v>
      </c>
      <c r="H1470" s="72" t="s">
        <v>384</v>
      </c>
      <c r="I1470" s="408"/>
      <c r="J1470" s="408"/>
      <c r="K1470" s="399"/>
      <c r="L1470" s="408"/>
      <c r="M1470" s="65">
        <v>337464000</v>
      </c>
      <c r="N1470" s="66" t="s">
        <v>8</v>
      </c>
      <c r="O1470" s="66" t="s">
        <v>266</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customHeight="1">
      <c r="A1471" s="323" t="str">
        <f>IF(B1471&lt;&gt;"",IF(AND(B1471='IN-TC'!$S$4,OR(TH!N1447="1111",TH!O1447="1111")),TH!D1447,""),"")</f>
        <v/>
      </c>
      <c r="B1471" s="63">
        <f t="shared" si="119"/>
        <v>10</v>
      </c>
      <c r="C1471" s="78">
        <v>42648</v>
      </c>
      <c r="D1471" s="78" t="s">
        <v>940</v>
      </c>
      <c r="E1471" s="78">
        <f>C1471</f>
        <v>42648</v>
      </c>
      <c r="F1471" s="79" t="s">
        <v>1952</v>
      </c>
      <c r="G1471" s="79"/>
      <c r="H1471" s="80" t="s">
        <v>371</v>
      </c>
      <c r="I1471" s="414">
        <v>10656</v>
      </c>
      <c r="J1471" s="407">
        <v>18500</v>
      </c>
      <c r="K1471" s="397"/>
      <c r="L1471" s="406"/>
      <c r="M1471" s="81">
        <f>ROUND(I1471*J1471,0)</f>
        <v>197136000</v>
      </c>
      <c r="N1471" s="82" t="s">
        <v>268</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customHeight="1">
      <c r="A1472" s="323" t="str">
        <f>IF(B1472&lt;&gt;"",IF(AND(B1472='IN-TC'!$S$4,OR(TH!N2290="1111",TH!O2290="1111")),TH!D2290,""),"")</f>
        <v/>
      </c>
      <c r="B1472" s="63">
        <f t="shared" si="119"/>
        <v>9</v>
      </c>
      <c r="C1472" s="64">
        <v>42643</v>
      </c>
      <c r="D1472" s="64" t="s">
        <v>2272</v>
      </c>
      <c r="E1472" s="64">
        <v>42643</v>
      </c>
      <c r="F1472" s="72" t="s">
        <v>932</v>
      </c>
      <c r="G1472" s="67" t="s">
        <v>331</v>
      </c>
      <c r="H1472" s="72" t="s">
        <v>386</v>
      </c>
      <c r="I1472" s="408"/>
      <c r="J1472" s="408"/>
      <c r="K1472" s="399"/>
      <c r="L1472" s="408"/>
      <c r="M1472" s="65">
        <v>328878000</v>
      </c>
      <c r="N1472" s="66" t="s">
        <v>8</v>
      </c>
      <c r="O1472" s="66" t="s">
        <v>266</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customHeight="1">
      <c r="A1473" s="323" t="str">
        <f>IF(B1473&lt;&gt;"",IF(AND(B1473='IN-TC'!$S$4,OR(TH!N1438="1111",TH!O1438="1111")),TH!D1438,""),"")</f>
        <v/>
      </c>
      <c r="B1473" s="63">
        <f t="shared" si="119"/>
        <v>10</v>
      </c>
      <c r="C1473" s="78">
        <v>42646</v>
      </c>
      <c r="D1473" s="78" t="s">
        <v>926</v>
      </c>
      <c r="E1473" s="78">
        <f t="shared" ref="E1473:E1480" si="120">C1473</f>
        <v>42646</v>
      </c>
      <c r="F1473" s="79" t="s">
        <v>1952</v>
      </c>
      <c r="G1473" s="79"/>
      <c r="H1473" s="80" t="s">
        <v>381</v>
      </c>
      <c r="I1473" s="1238">
        <v>9320</v>
      </c>
      <c r="J1473" s="407">
        <v>18500</v>
      </c>
      <c r="K1473" s="397"/>
      <c r="L1473" s="406"/>
      <c r="M1473" s="81">
        <f t="shared" ref="M1473:M1480" si="121">ROUND(I1473*J1473,0)</f>
        <v>172420000</v>
      </c>
      <c r="N1473" s="82" t="s">
        <v>268</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customHeight="1">
      <c r="A1474" s="323" t="str">
        <f>IF(B1474&lt;&gt;"",IF(AND(B1474='IN-TC'!$S$4,OR(TH!N1449="1111",TH!O1449="1111")),TH!D1449,""),"")</f>
        <v/>
      </c>
      <c r="B1474" s="63">
        <f t="shared" si="119"/>
        <v>10</v>
      </c>
      <c r="C1474" s="78">
        <v>42648</v>
      </c>
      <c r="D1474" s="78" t="s">
        <v>942</v>
      </c>
      <c r="E1474" s="78">
        <f t="shared" si="120"/>
        <v>42648</v>
      </c>
      <c r="F1474" s="79" t="s">
        <v>1952</v>
      </c>
      <c r="G1474" s="79"/>
      <c r="H1474" s="80" t="s">
        <v>388</v>
      </c>
      <c r="I1474" s="414">
        <v>10280</v>
      </c>
      <c r="J1474" s="407">
        <v>18500</v>
      </c>
      <c r="K1474" s="397"/>
      <c r="L1474" s="406"/>
      <c r="M1474" s="81">
        <f t="shared" si="121"/>
        <v>190180000</v>
      </c>
      <c r="N1474" s="82" t="s">
        <v>268</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customHeight="1">
      <c r="A1475" s="323" t="str">
        <f>IF(B1475&lt;&gt;"",IF(AND(B1475='IN-TC'!$S$4,OR(TH!N1458="1111",TH!O1458="1111")),TH!D1458,""),"")</f>
        <v/>
      </c>
      <c r="B1475" s="63">
        <f t="shared" si="119"/>
        <v>10</v>
      </c>
      <c r="C1475" s="78">
        <v>42650</v>
      </c>
      <c r="D1475" s="78" t="s">
        <v>1946</v>
      </c>
      <c r="E1475" s="78">
        <f t="shared" si="120"/>
        <v>42650</v>
      </c>
      <c r="F1475" s="79" t="s">
        <v>1952</v>
      </c>
      <c r="G1475" s="79"/>
      <c r="H1475" s="80" t="s">
        <v>381</v>
      </c>
      <c r="I1475" s="414">
        <v>10400</v>
      </c>
      <c r="J1475" s="407">
        <v>18500</v>
      </c>
      <c r="K1475" s="397"/>
      <c r="L1475" s="406"/>
      <c r="M1475" s="81">
        <f t="shared" si="121"/>
        <v>192400000</v>
      </c>
      <c r="N1475" s="82" t="s">
        <v>268</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customHeight="1">
      <c r="A1476" s="323" t="str">
        <f>IF(B1476&lt;&gt;"",IF(AND(B1476='IN-TC'!$S$4,OR(TH!N1432="1111",TH!O1432="1111")),TH!D1432,""),"")</f>
        <v/>
      </c>
      <c r="B1476" s="63">
        <f t="shared" si="119"/>
        <v>10</v>
      </c>
      <c r="C1476" s="78">
        <v>42644</v>
      </c>
      <c r="D1476" s="78" t="s">
        <v>920</v>
      </c>
      <c r="E1476" s="78">
        <f t="shared" si="120"/>
        <v>42644</v>
      </c>
      <c r="F1476" s="79" t="s">
        <v>1952</v>
      </c>
      <c r="G1476" s="79"/>
      <c r="H1476" s="85" t="s">
        <v>376</v>
      </c>
      <c r="I1476" s="1238">
        <v>9450</v>
      </c>
      <c r="J1476" s="407">
        <v>18500</v>
      </c>
      <c r="K1476" s="397"/>
      <c r="L1476" s="406"/>
      <c r="M1476" s="81">
        <f t="shared" si="121"/>
        <v>174825000</v>
      </c>
      <c r="N1476" s="82" t="s">
        <v>268</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customHeight="1">
      <c r="A1477" s="323" t="str">
        <f>IF(B1477&lt;&gt;"",IF(AND(B1477='IN-TC'!$S$4,OR(TH!N1444="1111",TH!O1444="1111")),TH!D1444,""),"")</f>
        <v/>
      </c>
      <c r="B1477" s="63">
        <f t="shared" si="119"/>
        <v>10</v>
      </c>
      <c r="C1477" s="78">
        <v>42647</v>
      </c>
      <c r="D1477" s="78" t="s">
        <v>937</v>
      </c>
      <c r="E1477" s="78">
        <f t="shared" si="120"/>
        <v>42647</v>
      </c>
      <c r="F1477" s="79" t="s">
        <v>1952</v>
      </c>
      <c r="G1477" s="79"/>
      <c r="H1477" s="80" t="s">
        <v>1953</v>
      </c>
      <c r="I1477" s="414">
        <v>10500</v>
      </c>
      <c r="J1477" s="407">
        <v>18500</v>
      </c>
      <c r="K1477" s="397"/>
      <c r="L1477" s="406"/>
      <c r="M1477" s="81">
        <f t="shared" si="121"/>
        <v>194250000</v>
      </c>
      <c r="N1477" s="82" t="s">
        <v>268</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customHeight="1">
      <c r="A1478" s="323" t="str">
        <f>IF(B1478&lt;&gt;"",IF(AND(B1478='IN-TC'!$S$4,OR(TH!N1435="1111",TH!O1435="1111")),TH!D1435,""),"")</f>
        <v/>
      </c>
      <c r="B1478" s="63">
        <f t="shared" si="119"/>
        <v>10</v>
      </c>
      <c r="C1478" s="78">
        <v>42644</v>
      </c>
      <c r="D1478" s="78" t="s">
        <v>923</v>
      </c>
      <c r="E1478" s="78">
        <f t="shared" si="120"/>
        <v>42644</v>
      </c>
      <c r="F1478" s="79" t="s">
        <v>1952</v>
      </c>
      <c r="G1478" s="79"/>
      <c r="H1478" s="80" t="s">
        <v>384</v>
      </c>
      <c r="I1478" s="1238">
        <v>9372</v>
      </c>
      <c r="J1478" s="407">
        <v>18500</v>
      </c>
      <c r="K1478" s="397"/>
      <c r="L1478" s="406"/>
      <c r="M1478" s="81">
        <f t="shared" si="121"/>
        <v>173382000</v>
      </c>
      <c r="N1478" s="82" t="s">
        <v>268</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customHeight="1">
      <c r="A1479" s="323" t="str">
        <f>IF(B1479&lt;&gt;"",IF(AND(B1479='IN-TC'!$S$4,OR(TH!N1452="1111",TH!O1452="1111")),TH!D1452,""),"")</f>
        <v/>
      </c>
      <c r="B1479" s="63">
        <f t="shared" si="119"/>
        <v>10</v>
      </c>
      <c r="C1479" s="78">
        <v>42649</v>
      </c>
      <c r="D1479" s="78" t="s">
        <v>1940</v>
      </c>
      <c r="E1479" s="78">
        <f t="shared" si="120"/>
        <v>42649</v>
      </c>
      <c r="F1479" s="79" t="s">
        <v>1952</v>
      </c>
      <c r="G1479" s="79"/>
      <c r="H1479" s="80" t="s">
        <v>371</v>
      </c>
      <c r="I1479" s="414">
        <v>10350</v>
      </c>
      <c r="J1479" s="407">
        <v>18500</v>
      </c>
      <c r="K1479" s="397"/>
      <c r="L1479" s="406"/>
      <c r="M1479" s="81">
        <f t="shared" si="121"/>
        <v>191475000</v>
      </c>
      <c r="N1479" s="82" t="s">
        <v>268</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customHeight="1">
      <c r="A1480" s="323" t="str">
        <f>IF(B1480&lt;&gt;"",IF(AND(B1480='IN-TC'!$S$4,OR(TH!N1439="1111",TH!O1439="1111")),TH!D1439,""),"")</f>
        <v/>
      </c>
      <c r="B1480" s="63">
        <f t="shared" si="119"/>
        <v>10</v>
      </c>
      <c r="C1480" s="78">
        <v>42646</v>
      </c>
      <c r="D1480" s="78" t="s">
        <v>927</v>
      </c>
      <c r="E1480" s="78">
        <f t="shared" si="120"/>
        <v>42646</v>
      </c>
      <c r="F1480" s="79" t="s">
        <v>1952</v>
      </c>
      <c r="G1480" s="79"/>
      <c r="H1480" s="80" t="s">
        <v>386</v>
      </c>
      <c r="I1480" s="1238">
        <v>9275</v>
      </c>
      <c r="J1480" s="407">
        <v>18500</v>
      </c>
      <c r="K1480" s="397"/>
      <c r="L1480" s="406"/>
      <c r="M1480" s="81">
        <f t="shared" si="121"/>
        <v>171587500</v>
      </c>
      <c r="N1480" s="82" t="s">
        <v>268</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customHeight="1">
      <c r="A1481" s="323" t="str">
        <f>IF(B1481&lt;&gt;"",IF(AND(B1481='IN-TC'!$S$4,OR(TH!N2287="1111",TH!O2287="1111")),TH!D2287,""),"")</f>
        <v/>
      </c>
      <c r="B1481" s="63">
        <f t="shared" si="119"/>
        <v>9</v>
      </c>
      <c r="C1481" s="64">
        <v>42643</v>
      </c>
      <c r="D1481" s="64" t="s">
        <v>2272</v>
      </c>
      <c r="E1481" s="64">
        <v>42643</v>
      </c>
      <c r="F1481" s="72" t="s">
        <v>932</v>
      </c>
      <c r="G1481" s="67" t="s">
        <v>331</v>
      </c>
      <c r="H1481" s="72" t="s">
        <v>378</v>
      </c>
      <c r="I1481" s="410"/>
      <c r="J1481" s="410"/>
      <c r="K1481" s="401"/>
      <c r="L1481" s="410"/>
      <c r="M1481" s="65">
        <v>325800000</v>
      </c>
      <c r="N1481" s="66" t="s">
        <v>8</v>
      </c>
      <c r="O1481" s="66" t="s">
        <v>266</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customHeight="1">
      <c r="A1482" s="323" t="str">
        <f>IF(B1482&lt;&gt;"",IF(AND(B1482='IN-TC'!$S$4,OR(TH!N1457="1111",TH!O1457="1111")),TH!D1457,""),"")</f>
        <v/>
      </c>
      <c r="B1482" s="63">
        <f t="shared" si="119"/>
        <v>10</v>
      </c>
      <c r="C1482" s="78">
        <v>42650</v>
      </c>
      <c r="D1482" s="78" t="s">
        <v>1945</v>
      </c>
      <c r="E1482" s="78">
        <f t="shared" ref="E1482:E1501" si="122">C1482</f>
        <v>42650</v>
      </c>
      <c r="F1482" s="79" t="s">
        <v>1952</v>
      </c>
      <c r="G1482" s="79"/>
      <c r="H1482" s="80" t="s">
        <v>388</v>
      </c>
      <c r="I1482" s="414">
        <v>10225</v>
      </c>
      <c r="J1482" s="407">
        <v>18500</v>
      </c>
      <c r="K1482" s="397"/>
      <c r="L1482" s="406"/>
      <c r="M1482" s="81">
        <f t="shared" ref="M1482:M1501" si="123">ROUND(I1482*J1482,0)</f>
        <v>189162500</v>
      </c>
      <c r="N1482" s="82" t="s">
        <v>268</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customHeight="1">
      <c r="A1483" s="323" t="str">
        <f>IF(B1483&lt;&gt;"",IF(AND(B1483='IN-TC'!$S$4,OR(TH!N1466="1111",TH!O1466="1111")),TH!D1466,""),"")</f>
        <v/>
      </c>
      <c r="B1483" s="63">
        <f t="shared" si="119"/>
        <v>10</v>
      </c>
      <c r="C1483" s="78">
        <v>42652</v>
      </c>
      <c r="D1483" s="78" t="s">
        <v>2233</v>
      </c>
      <c r="E1483" s="78">
        <f t="shared" si="122"/>
        <v>42652</v>
      </c>
      <c r="F1483" s="79" t="s">
        <v>1952</v>
      </c>
      <c r="G1483" s="79"/>
      <c r="H1483" s="80" t="s">
        <v>381</v>
      </c>
      <c r="I1483" s="409">
        <v>11530</v>
      </c>
      <c r="J1483" s="407">
        <v>18000</v>
      </c>
      <c r="K1483" s="397"/>
      <c r="L1483" s="406"/>
      <c r="M1483" s="81">
        <f t="shared" si="123"/>
        <v>207540000</v>
      </c>
      <c r="N1483" s="82" t="s">
        <v>268</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customHeight="1">
      <c r="A1484" s="323" t="str">
        <f>IF(B1484&lt;&gt;"",IF(AND(B1484='IN-TC'!$S$4,OR(TH!N1445="1111",TH!O1445="1111")),TH!D1445,""),"")</f>
        <v/>
      </c>
      <c r="B1484" s="63">
        <f t="shared" si="119"/>
        <v>10</v>
      </c>
      <c r="C1484" s="78">
        <v>42647</v>
      </c>
      <c r="D1484" s="78" t="s">
        <v>938</v>
      </c>
      <c r="E1484" s="78">
        <f t="shared" si="122"/>
        <v>42647</v>
      </c>
      <c r="F1484" s="79" t="s">
        <v>1952</v>
      </c>
      <c r="G1484" s="79"/>
      <c r="H1484" s="85" t="s">
        <v>376</v>
      </c>
      <c r="I1484" s="414">
        <v>10405</v>
      </c>
      <c r="J1484" s="407">
        <v>18500</v>
      </c>
      <c r="K1484" s="397"/>
      <c r="L1484" s="406"/>
      <c r="M1484" s="81">
        <f t="shared" si="123"/>
        <v>192492500</v>
      </c>
      <c r="N1484" s="82" t="s">
        <v>268</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customHeight="1">
      <c r="A1485" s="323" t="str">
        <f>IF(B1485&lt;&gt;"",IF(AND(B1485='IN-TC'!$S$4,OR(TH!N1460="1111",TH!O1460="1111")),TH!D1460,""),"")</f>
        <v/>
      </c>
      <c r="B1485" s="63">
        <f t="shared" si="119"/>
        <v>10</v>
      </c>
      <c r="C1485" s="78">
        <v>42650</v>
      </c>
      <c r="D1485" s="78" t="s">
        <v>2227</v>
      </c>
      <c r="E1485" s="78">
        <f t="shared" si="122"/>
        <v>42650</v>
      </c>
      <c r="F1485" s="79" t="s">
        <v>1952</v>
      </c>
      <c r="G1485" s="79"/>
      <c r="H1485" s="80" t="s">
        <v>1953</v>
      </c>
      <c r="I1485" s="414">
        <v>10435</v>
      </c>
      <c r="J1485" s="407">
        <v>18500</v>
      </c>
      <c r="K1485" s="397"/>
      <c r="L1485" s="406"/>
      <c r="M1485" s="81">
        <f t="shared" si="123"/>
        <v>193047500</v>
      </c>
      <c r="N1485" s="82" t="s">
        <v>268</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customHeight="1">
      <c r="A1486" s="323" t="str">
        <f>IF(B1486&lt;&gt;"",IF(AND(B1486='IN-TC'!$S$4,OR(TH!N1443="1111",TH!O1443="1111")),TH!D1443,""),"")</f>
        <v/>
      </c>
      <c r="B1486" s="63">
        <f t="shared" si="119"/>
        <v>10</v>
      </c>
      <c r="C1486" s="78">
        <v>42647</v>
      </c>
      <c r="D1486" s="78" t="s">
        <v>936</v>
      </c>
      <c r="E1486" s="78">
        <f t="shared" si="122"/>
        <v>42647</v>
      </c>
      <c r="F1486" s="79" t="s">
        <v>1952</v>
      </c>
      <c r="G1486" s="79"/>
      <c r="H1486" s="80" t="s">
        <v>384</v>
      </c>
      <c r="I1486" s="414">
        <v>10420</v>
      </c>
      <c r="J1486" s="407">
        <v>18500</v>
      </c>
      <c r="K1486" s="397"/>
      <c r="L1486" s="406"/>
      <c r="M1486" s="81">
        <f t="shared" si="123"/>
        <v>192770000</v>
      </c>
      <c r="N1486" s="82" t="s">
        <v>268</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customHeight="1">
      <c r="A1487" s="323" t="str">
        <f>IF(B1487&lt;&gt;"",IF(AND(B1487='IN-TC'!$S$4,OR(TH!N1450="1111",TH!O1450="1111")),TH!D1450,""),"")</f>
        <v/>
      </c>
      <c r="B1487" s="63">
        <f t="shared" si="119"/>
        <v>10</v>
      </c>
      <c r="C1487" s="78">
        <v>42648</v>
      </c>
      <c r="D1487" s="78" t="s">
        <v>943</v>
      </c>
      <c r="E1487" s="78">
        <f t="shared" si="122"/>
        <v>42648</v>
      </c>
      <c r="F1487" s="79" t="s">
        <v>1952</v>
      </c>
      <c r="G1487" s="79"/>
      <c r="H1487" s="80" t="s">
        <v>376</v>
      </c>
      <c r="I1487" s="414">
        <v>10470</v>
      </c>
      <c r="J1487" s="407">
        <v>18500</v>
      </c>
      <c r="K1487" s="397"/>
      <c r="L1487" s="406"/>
      <c r="M1487" s="81">
        <f t="shared" si="123"/>
        <v>193695000</v>
      </c>
      <c r="N1487" s="82" t="s">
        <v>268</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customHeight="1">
      <c r="A1488" s="323" t="str">
        <f>IF(B1488&lt;&gt;"",IF(AND(B1488='IN-TC'!$S$4,OR(TH!N1465="1111",TH!O1465="1111")),TH!D1465,""),"")</f>
        <v/>
      </c>
      <c r="B1488" s="63">
        <f t="shared" si="119"/>
        <v>10</v>
      </c>
      <c r="C1488" s="78">
        <v>42652</v>
      </c>
      <c r="D1488" s="78" t="s">
        <v>2232</v>
      </c>
      <c r="E1488" s="78">
        <f t="shared" si="122"/>
        <v>42652</v>
      </c>
      <c r="F1488" s="79" t="s">
        <v>1952</v>
      </c>
      <c r="G1488" s="79"/>
      <c r="H1488" s="80" t="s">
        <v>1953</v>
      </c>
      <c r="I1488" s="409">
        <v>11480</v>
      </c>
      <c r="J1488" s="407">
        <v>18000</v>
      </c>
      <c r="K1488" s="397"/>
      <c r="L1488" s="406"/>
      <c r="M1488" s="81">
        <f t="shared" si="123"/>
        <v>206640000</v>
      </c>
      <c r="N1488" s="82" t="s">
        <v>268</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customHeight="1">
      <c r="A1489" s="323" t="str">
        <f>IF(B1489&lt;&gt;"",IF(AND(B1489='IN-TC'!$S$4,OR(TH!N1451="1111",TH!O1451="1111")),TH!D1451,""),"")</f>
        <v/>
      </c>
      <c r="B1489" s="63">
        <f t="shared" si="119"/>
        <v>10</v>
      </c>
      <c r="C1489" s="78">
        <v>42649</v>
      </c>
      <c r="D1489" s="78" t="s">
        <v>944</v>
      </c>
      <c r="E1489" s="78">
        <f t="shared" si="122"/>
        <v>42649</v>
      </c>
      <c r="F1489" s="79" t="s">
        <v>1952</v>
      </c>
      <c r="G1489" s="79"/>
      <c r="H1489" s="80" t="s">
        <v>384</v>
      </c>
      <c r="I1489" s="414">
        <v>10360</v>
      </c>
      <c r="J1489" s="407">
        <v>18500</v>
      </c>
      <c r="K1489" s="397"/>
      <c r="L1489" s="406"/>
      <c r="M1489" s="81">
        <f t="shared" si="123"/>
        <v>191660000</v>
      </c>
      <c r="N1489" s="82" t="s">
        <v>268</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customHeight="1">
      <c r="A1490" s="323" t="str">
        <f>IF(B1490&lt;&gt;"",IF(AND(B1490='IN-TC'!$S$4,OR(TH!N1448="1111",TH!O1448="1111")),TH!D1448,""),"")</f>
        <v/>
      </c>
      <c r="B1490" s="63">
        <f t="shared" si="119"/>
        <v>10</v>
      </c>
      <c r="C1490" s="78">
        <v>42648</v>
      </c>
      <c r="D1490" s="78" t="s">
        <v>941</v>
      </c>
      <c r="E1490" s="78">
        <f t="shared" si="122"/>
        <v>42648</v>
      </c>
      <c r="F1490" s="79" t="s">
        <v>1952</v>
      </c>
      <c r="G1490" s="79"/>
      <c r="H1490" s="80" t="s">
        <v>386</v>
      </c>
      <c r="I1490" s="414">
        <v>10464</v>
      </c>
      <c r="J1490" s="407">
        <v>18500</v>
      </c>
      <c r="K1490" s="397"/>
      <c r="L1490" s="406"/>
      <c r="M1490" s="81">
        <f t="shared" si="123"/>
        <v>193584000</v>
      </c>
      <c r="N1490" s="82" t="s">
        <v>268</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customHeight="1">
      <c r="A1491" s="323" t="str">
        <f>IF(B1491&lt;&gt;"",IF(AND(B1491='IN-TC'!$S$4,OR(TH!N1433="1111",TH!O1433="1111")),TH!D1433,""),"")</f>
        <v/>
      </c>
      <c r="B1491" s="63">
        <f t="shared" si="119"/>
        <v>10</v>
      </c>
      <c r="C1491" s="78">
        <v>42644</v>
      </c>
      <c r="D1491" s="78" t="s">
        <v>921</v>
      </c>
      <c r="E1491" s="78">
        <f t="shared" si="122"/>
        <v>42644</v>
      </c>
      <c r="F1491" s="79" t="s">
        <v>1952</v>
      </c>
      <c r="G1491" s="79"/>
      <c r="H1491" s="80" t="s">
        <v>378</v>
      </c>
      <c r="I1491" s="1238">
        <v>9250</v>
      </c>
      <c r="J1491" s="407">
        <v>18500</v>
      </c>
      <c r="K1491" s="397"/>
      <c r="L1491" s="406"/>
      <c r="M1491" s="81">
        <f t="shared" si="123"/>
        <v>171125000</v>
      </c>
      <c r="N1491" s="82" t="s">
        <v>268</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customHeight="1">
      <c r="A1492" s="323" t="str">
        <f>IF(B1492&lt;&gt;"",IF(AND(B1492='IN-TC'!$S$4,OR(TH!N1467="1111",TH!O1467="1111")),TH!D1467,""),"")</f>
        <v/>
      </c>
      <c r="B1492" s="63">
        <f t="shared" si="119"/>
        <v>10</v>
      </c>
      <c r="C1492" s="78">
        <v>42652</v>
      </c>
      <c r="D1492" s="78" t="s">
        <v>2234</v>
      </c>
      <c r="E1492" s="78">
        <f t="shared" si="122"/>
        <v>42652</v>
      </c>
      <c r="F1492" s="79" t="s">
        <v>1952</v>
      </c>
      <c r="G1492" s="79"/>
      <c r="H1492" s="80" t="s">
        <v>388</v>
      </c>
      <c r="I1492" s="409">
        <v>11480</v>
      </c>
      <c r="J1492" s="407">
        <v>18000</v>
      </c>
      <c r="K1492" s="397"/>
      <c r="L1492" s="406"/>
      <c r="M1492" s="81">
        <f t="shared" si="123"/>
        <v>206640000</v>
      </c>
      <c r="N1492" s="82" t="s">
        <v>268</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customHeight="1">
      <c r="A1493" s="323" t="str">
        <f>IF(B1493&lt;&gt;"",IF(AND(B1493='IN-TC'!$S$4,OR(TH!N1473="1111",TH!O1473="1111")),TH!D1473,""),"")</f>
        <v/>
      </c>
      <c r="B1493" s="63">
        <f t="shared" si="119"/>
        <v>10</v>
      </c>
      <c r="C1493" s="78">
        <v>42654</v>
      </c>
      <c r="D1493" s="78" t="s">
        <v>2240</v>
      </c>
      <c r="E1493" s="78">
        <f t="shared" si="122"/>
        <v>42654</v>
      </c>
      <c r="F1493" s="79" t="s">
        <v>1952</v>
      </c>
      <c r="G1493" s="79"/>
      <c r="H1493" s="80" t="s">
        <v>381</v>
      </c>
      <c r="I1493" s="409">
        <v>11982</v>
      </c>
      <c r="J1493" s="407">
        <v>18000</v>
      </c>
      <c r="K1493" s="397"/>
      <c r="L1493" s="406"/>
      <c r="M1493" s="81">
        <f t="shared" si="123"/>
        <v>215676000</v>
      </c>
      <c r="N1493" s="82" t="s">
        <v>268</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customHeight="1">
      <c r="A1494" s="323" t="str">
        <f>IF(B1494&lt;&gt;"",IF(AND(B1494='IN-TC'!$S$4,OR(TH!N1462="1111",TH!O1462="1111")),TH!D1462,""),"")</f>
        <v/>
      </c>
      <c r="B1494" s="63">
        <f t="shared" si="119"/>
        <v>10</v>
      </c>
      <c r="C1494" s="78">
        <v>42651</v>
      </c>
      <c r="D1494" s="78" t="s">
        <v>2229</v>
      </c>
      <c r="E1494" s="78">
        <f t="shared" si="122"/>
        <v>42651</v>
      </c>
      <c r="F1494" s="79" t="s">
        <v>1952</v>
      </c>
      <c r="G1494" s="79"/>
      <c r="H1494" s="80" t="s">
        <v>371</v>
      </c>
      <c r="I1494" s="409">
        <v>11525</v>
      </c>
      <c r="J1494" s="407">
        <v>18000</v>
      </c>
      <c r="K1494" s="397"/>
      <c r="L1494" s="406"/>
      <c r="M1494" s="81">
        <f t="shared" si="123"/>
        <v>207450000</v>
      </c>
      <c r="N1494" s="82" t="s">
        <v>268</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customHeight="1">
      <c r="A1495" s="323" t="str">
        <f>IF(B1495&lt;&gt;"",IF(AND(B1495='IN-TC'!$S$4,OR(TH!N1459="1111",TH!O1459="1111")),TH!D1459,""),"")</f>
        <v/>
      </c>
      <c r="B1495" s="63">
        <f t="shared" si="119"/>
        <v>10</v>
      </c>
      <c r="C1495" s="78">
        <v>42650</v>
      </c>
      <c r="D1495" s="78" t="s">
        <v>2226</v>
      </c>
      <c r="E1495" s="78">
        <f t="shared" si="122"/>
        <v>42650</v>
      </c>
      <c r="F1495" s="79" t="s">
        <v>1952</v>
      </c>
      <c r="G1495" s="79"/>
      <c r="H1495" s="80" t="s">
        <v>376</v>
      </c>
      <c r="I1495" s="414">
        <v>10280</v>
      </c>
      <c r="J1495" s="407">
        <v>18500</v>
      </c>
      <c r="K1495" s="397"/>
      <c r="L1495" s="406"/>
      <c r="M1495" s="81">
        <f t="shared" si="123"/>
        <v>190180000</v>
      </c>
      <c r="N1495" s="82" t="s">
        <v>268</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customHeight="1">
      <c r="A1496" s="323" t="str">
        <f>IF(B1496&lt;&gt;"",IF(AND(B1496='IN-TC'!$S$4,OR(TH!N1477="1111",TH!O1477="1111")),TH!D1477,""),"")</f>
        <v/>
      </c>
      <c r="B1496" s="63">
        <f t="shared" si="119"/>
        <v>10</v>
      </c>
      <c r="C1496" s="78">
        <v>42656</v>
      </c>
      <c r="D1496" s="78" t="s">
        <v>2244</v>
      </c>
      <c r="E1496" s="78">
        <f t="shared" si="122"/>
        <v>42656</v>
      </c>
      <c r="F1496" s="79" t="s">
        <v>1952</v>
      </c>
      <c r="G1496" s="79"/>
      <c r="H1496" s="80" t="s">
        <v>1953</v>
      </c>
      <c r="I1496" s="409">
        <v>11520</v>
      </c>
      <c r="J1496" s="407">
        <v>18000</v>
      </c>
      <c r="K1496" s="397"/>
      <c r="L1496" s="406"/>
      <c r="M1496" s="81">
        <f t="shared" si="123"/>
        <v>207360000</v>
      </c>
      <c r="N1496" s="82" t="s">
        <v>268</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customHeight="1">
      <c r="A1497" s="323" t="str">
        <f>IF(B1497&lt;&gt;"",IF(AND(B1497='IN-TC'!$S$4,OR(TH!N1461="1111",TH!O1461="1111")),TH!D1461,""),"")</f>
        <v/>
      </c>
      <c r="B1497" s="63">
        <f t="shared" si="119"/>
        <v>10</v>
      </c>
      <c r="C1497" s="78">
        <v>42651</v>
      </c>
      <c r="D1497" s="78" t="s">
        <v>2228</v>
      </c>
      <c r="E1497" s="78">
        <f t="shared" si="122"/>
        <v>42651</v>
      </c>
      <c r="F1497" s="79" t="s">
        <v>1952</v>
      </c>
      <c r="G1497" s="79"/>
      <c r="H1497" s="80" t="s">
        <v>384</v>
      </c>
      <c r="I1497" s="409">
        <v>11972</v>
      </c>
      <c r="J1497" s="407">
        <v>18000</v>
      </c>
      <c r="K1497" s="397"/>
      <c r="L1497" s="406"/>
      <c r="M1497" s="81">
        <f t="shared" si="123"/>
        <v>215496000</v>
      </c>
      <c r="N1497" s="82" t="s">
        <v>268</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customHeight="1">
      <c r="A1498" s="323" t="str">
        <f>IF(B1498&lt;&gt;"",IF(AND(B1498='IN-TC'!$S$4,OR(TH!N1474="1111",TH!O1474="1111")),TH!D1474,""),"")</f>
        <v/>
      </c>
      <c r="B1498" s="63">
        <f t="shared" si="119"/>
        <v>10</v>
      </c>
      <c r="C1498" s="78">
        <v>42654</v>
      </c>
      <c r="D1498" s="78" t="s">
        <v>2241</v>
      </c>
      <c r="E1498" s="78">
        <f t="shared" si="122"/>
        <v>42654</v>
      </c>
      <c r="F1498" s="79" t="s">
        <v>1952</v>
      </c>
      <c r="G1498" s="79"/>
      <c r="H1498" s="80" t="s">
        <v>388</v>
      </c>
      <c r="I1498" s="409">
        <v>11702</v>
      </c>
      <c r="J1498" s="407">
        <v>18000</v>
      </c>
      <c r="K1498" s="397"/>
      <c r="L1498" s="406"/>
      <c r="M1498" s="81">
        <f t="shared" si="123"/>
        <v>210636000</v>
      </c>
      <c r="N1498" s="82" t="s">
        <v>268</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customHeight="1">
      <c r="A1499" s="323" t="str">
        <f>IF(B1499&lt;&gt;"",IF(AND(B1499='IN-TC'!$S$4,OR(TH!N1454="1111",TH!O1454="1111")),TH!D1454,""),"")</f>
        <v/>
      </c>
      <c r="B1499" s="63">
        <f t="shared" si="119"/>
        <v>10</v>
      </c>
      <c r="C1499" s="78">
        <v>42649</v>
      </c>
      <c r="D1499" s="78" t="s">
        <v>1942</v>
      </c>
      <c r="E1499" s="78">
        <f t="shared" si="122"/>
        <v>42649</v>
      </c>
      <c r="F1499" s="79" t="s">
        <v>1952</v>
      </c>
      <c r="G1499" s="79"/>
      <c r="H1499" s="80" t="s">
        <v>378</v>
      </c>
      <c r="I1499" s="414">
        <v>10200</v>
      </c>
      <c r="J1499" s="407">
        <v>18500</v>
      </c>
      <c r="K1499" s="397"/>
      <c r="L1499" s="406"/>
      <c r="M1499" s="81">
        <f t="shared" si="123"/>
        <v>188700000</v>
      </c>
      <c r="N1499" s="82" t="s">
        <v>268</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customHeight="1">
      <c r="A1500" s="323" t="str">
        <f>IF(B1500&lt;&gt;"",IF(AND(B1500='IN-TC'!$S$4,OR(TH!N1475="1111",TH!O1475="1111")),TH!D1475,""),"")</f>
        <v/>
      </c>
      <c r="B1500" s="63">
        <f t="shared" si="119"/>
        <v>10</v>
      </c>
      <c r="C1500" s="78">
        <v>42656</v>
      </c>
      <c r="D1500" s="78" t="s">
        <v>2242</v>
      </c>
      <c r="E1500" s="78">
        <f t="shared" si="122"/>
        <v>42656</v>
      </c>
      <c r="F1500" s="79" t="s">
        <v>1952</v>
      </c>
      <c r="G1500" s="79"/>
      <c r="H1500" s="80" t="s">
        <v>381</v>
      </c>
      <c r="I1500" s="409">
        <v>11678</v>
      </c>
      <c r="J1500" s="407">
        <v>18000</v>
      </c>
      <c r="K1500" s="397"/>
      <c r="L1500" s="406"/>
      <c r="M1500" s="81">
        <f t="shared" si="123"/>
        <v>210204000</v>
      </c>
      <c r="N1500" s="82" t="s">
        <v>268</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customHeight="1">
      <c r="A1501" s="323" t="str">
        <f>IF(B1501&lt;&gt;"",IF(AND(B1501='IN-TC'!$S$4,OR(TH!N1471="1111",TH!O1471="1111")),TH!D1471,""),"")</f>
        <v/>
      </c>
      <c r="B1501" s="63">
        <f t="shared" si="119"/>
        <v>10</v>
      </c>
      <c r="C1501" s="78">
        <v>42653</v>
      </c>
      <c r="D1501" s="78" t="s">
        <v>2238</v>
      </c>
      <c r="E1501" s="78">
        <f t="shared" si="122"/>
        <v>42653</v>
      </c>
      <c r="F1501" s="79" t="s">
        <v>1952</v>
      </c>
      <c r="G1501" s="79"/>
      <c r="H1501" s="80" t="s">
        <v>371</v>
      </c>
      <c r="I1501" s="409">
        <v>11708</v>
      </c>
      <c r="J1501" s="407">
        <v>18000</v>
      </c>
      <c r="K1501" s="397"/>
      <c r="L1501" s="406"/>
      <c r="M1501" s="81">
        <f t="shared" si="123"/>
        <v>210744000</v>
      </c>
      <c r="N1501" s="82" t="s">
        <v>268</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customHeight="1">
      <c r="A1502" s="323" t="str">
        <f>IF(B1502&lt;&gt;"",IF(AND(B1502='IN-TC'!$S$4,OR(TH!N2235="1111",TH!O2235="1111")),TH!D2235,""),"")</f>
        <v/>
      </c>
      <c r="B1502" s="63">
        <f t="shared" si="119"/>
        <v>5</v>
      </c>
      <c r="C1502" s="64">
        <f>E1502</f>
        <v>42521</v>
      </c>
      <c r="D1502" s="64" t="s">
        <v>2208</v>
      </c>
      <c r="E1502" s="64">
        <v>42521</v>
      </c>
      <c r="F1502" s="72" t="s">
        <v>932</v>
      </c>
      <c r="G1502" s="67" t="s">
        <v>337</v>
      </c>
      <c r="H1502" s="329" t="s">
        <v>423</v>
      </c>
      <c r="I1502" s="408"/>
      <c r="J1502" s="408"/>
      <c r="K1502" s="399"/>
      <c r="L1502" s="408"/>
      <c r="M1502" s="65">
        <v>228594000</v>
      </c>
      <c r="N1502" s="66" t="s">
        <v>8</v>
      </c>
      <c r="O1502" s="66" t="s">
        <v>266</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customHeight="1">
      <c r="A1503" s="323" t="str">
        <f>IF(B1503&lt;&gt;"",IF(AND(B1503='IN-TC'!$S$4,OR(TH!N1345="1111",TH!O1345="1111")),TH!D1345,""),"")</f>
        <v/>
      </c>
      <c r="B1503" s="63">
        <f t="shared" si="119"/>
        <v>7</v>
      </c>
      <c r="C1503" s="78">
        <f>E1503</f>
        <v>42572</v>
      </c>
      <c r="D1503" s="78" t="s">
        <v>937</v>
      </c>
      <c r="E1503" s="78">
        <v>42572</v>
      </c>
      <c r="F1503" s="79" t="s">
        <v>1935</v>
      </c>
      <c r="G1503" s="79" t="s">
        <v>337</v>
      </c>
      <c r="H1503" s="80" t="s">
        <v>1949</v>
      </c>
      <c r="I1503" s="406">
        <v>7974</v>
      </c>
      <c r="J1503" s="407">
        <v>19000</v>
      </c>
      <c r="K1503" s="397"/>
      <c r="L1503" s="406"/>
      <c r="M1503" s="81">
        <f t="shared" ref="M1503:M1509" si="124">ROUND(I1503*J1503,0)</f>
        <v>151506000</v>
      </c>
      <c r="N1503" s="82" t="s">
        <v>268</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customHeight="1">
      <c r="A1504" s="323" t="str">
        <f>IF(B1504&lt;&gt;"",IF(AND(B1504='IN-TC'!$S$4,OR(TH!N1350="1111",TH!O1350="1111")),TH!D1350,""),"")</f>
        <v/>
      </c>
      <c r="B1504" s="63">
        <f t="shared" si="119"/>
        <v>7</v>
      </c>
      <c r="C1504" s="78">
        <f>E1504</f>
        <v>42580</v>
      </c>
      <c r="D1504" s="78" t="s">
        <v>942</v>
      </c>
      <c r="E1504" s="78">
        <v>42580</v>
      </c>
      <c r="F1504" s="79" t="s">
        <v>1935</v>
      </c>
      <c r="G1504" s="79" t="s">
        <v>337</v>
      </c>
      <c r="H1504" s="80" t="s">
        <v>1950</v>
      </c>
      <c r="I1504" s="406">
        <v>7950</v>
      </c>
      <c r="J1504" s="407">
        <v>19000</v>
      </c>
      <c r="K1504" s="397"/>
      <c r="L1504" s="406"/>
      <c r="M1504" s="81">
        <f t="shared" si="124"/>
        <v>151050000</v>
      </c>
      <c r="N1504" s="82" t="s">
        <v>268</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customHeight="1">
      <c r="A1505" s="323" t="str">
        <f>IF(B1505&lt;&gt;"",IF(AND(B1505='IN-TC'!$S$4,OR(TH!N1325="1111",TH!O1325="1111")),TH!D1325,""),"")</f>
        <v/>
      </c>
      <c r="B1505" s="63">
        <f t="shared" si="119"/>
        <v>7</v>
      </c>
      <c r="C1505" s="78">
        <f>E1505</f>
        <v>42552</v>
      </c>
      <c r="D1505" s="78" t="s">
        <v>917</v>
      </c>
      <c r="E1505" s="78">
        <v>42552</v>
      </c>
      <c r="F1505" s="79" t="s">
        <v>669</v>
      </c>
      <c r="G1505" s="79" t="s">
        <v>337</v>
      </c>
      <c r="H1505" s="80" t="s">
        <v>421</v>
      </c>
      <c r="I1505" s="406">
        <v>5420</v>
      </c>
      <c r="J1505" s="407">
        <v>16000</v>
      </c>
      <c r="K1505" s="397"/>
      <c r="L1505" s="406"/>
      <c r="M1505" s="81">
        <f t="shared" si="124"/>
        <v>86720000</v>
      </c>
      <c r="N1505" s="82" t="s">
        <v>268</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customHeight="1">
      <c r="A1506" s="323" t="str">
        <f>IF(B1506&lt;&gt;"",IF(AND(B1506='IN-TC'!$S$4,OR(TH!N1470="1111",TH!O1470="1111")),TH!D1470,""),"")</f>
        <v/>
      </c>
      <c r="B1506" s="63">
        <f t="shared" si="119"/>
        <v>10</v>
      </c>
      <c r="C1506" s="78">
        <v>42653</v>
      </c>
      <c r="D1506" s="78" t="s">
        <v>2237</v>
      </c>
      <c r="E1506" s="78">
        <f>C1506</f>
        <v>42653</v>
      </c>
      <c r="F1506" s="79" t="s">
        <v>1952</v>
      </c>
      <c r="G1506" s="79"/>
      <c r="H1506" s="80" t="s">
        <v>384</v>
      </c>
      <c r="I1506" s="409">
        <v>11756</v>
      </c>
      <c r="J1506" s="407">
        <v>18000</v>
      </c>
      <c r="K1506" s="397"/>
      <c r="L1506" s="406"/>
      <c r="M1506" s="81">
        <f t="shared" si="124"/>
        <v>211608000</v>
      </c>
      <c r="N1506" s="82" t="s">
        <v>268</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customHeight="1">
      <c r="A1507" s="323" t="str">
        <f>IF(B1507&lt;&gt;"",IF(AND(B1507='IN-TC'!$S$4,OR(TH!N1482="1111",TH!O1482="1111")),TH!D1482,""),"")</f>
        <v/>
      </c>
      <c r="B1507" s="63">
        <f t="shared" si="119"/>
        <v>10</v>
      </c>
      <c r="C1507" s="78">
        <v>42657</v>
      </c>
      <c r="D1507" s="78" t="s">
        <v>2249</v>
      </c>
      <c r="E1507" s="78">
        <f>C1507</f>
        <v>42657</v>
      </c>
      <c r="F1507" s="79" t="s">
        <v>1952</v>
      </c>
      <c r="G1507" s="79"/>
      <c r="H1507" s="80" t="s">
        <v>388</v>
      </c>
      <c r="I1507" s="409">
        <v>11599</v>
      </c>
      <c r="J1507" s="407">
        <v>18000</v>
      </c>
      <c r="K1507" s="397"/>
      <c r="L1507" s="406"/>
      <c r="M1507" s="81">
        <f t="shared" si="124"/>
        <v>208782000</v>
      </c>
      <c r="N1507" s="82" t="s">
        <v>268</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customHeight="1">
      <c r="A1508" s="323" t="str">
        <f>IF(B1508&lt;&gt;"",IF(AND(B1508='IN-TC'!$S$4,OR(TH!N1453="1111",TH!O1453="1111")),TH!D1453,""),"")</f>
        <v/>
      </c>
      <c r="B1508" s="63">
        <f t="shared" si="119"/>
        <v>10</v>
      </c>
      <c r="C1508" s="78">
        <v>42649</v>
      </c>
      <c r="D1508" s="78" t="s">
        <v>1941</v>
      </c>
      <c r="E1508" s="78">
        <f>C1508</f>
        <v>42649</v>
      </c>
      <c r="F1508" s="79" t="s">
        <v>1952</v>
      </c>
      <c r="G1508" s="79"/>
      <c r="H1508" s="80" t="s">
        <v>386</v>
      </c>
      <c r="I1508" s="414">
        <v>10425</v>
      </c>
      <c r="J1508" s="407">
        <v>18500</v>
      </c>
      <c r="K1508" s="397"/>
      <c r="L1508" s="406"/>
      <c r="M1508" s="81">
        <f t="shared" si="124"/>
        <v>192862500</v>
      </c>
      <c r="N1508" s="82" t="s">
        <v>268</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customHeight="1">
      <c r="A1509" s="323" t="str">
        <f>IF(B1509&lt;&gt;"",IF(AND(B1509='IN-TC'!$S$4,OR(TH!N1485="1111",TH!O1485="1111")),TH!D1485,""),"")</f>
        <v/>
      </c>
      <c r="B1509" s="63">
        <f t="shared" si="119"/>
        <v>10</v>
      </c>
      <c r="C1509" s="78">
        <v>42658</v>
      </c>
      <c r="D1509" s="78" t="s">
        <v>2252</v>
      </c>
      <c r="E1509" s="78">
        <f>C1509</f>
        <v>42658</v>
      </c>
      <c r="F1509" s="79" t="s">
        <v>1952</v>
      </c>
      <c r="G1509" s="79"/>
      <c r="H1509" s="80" t="s">
        <v>1953</v>
      </c>
      <c r="I1509" s="409">
        <v>11725</v>
      </c>
      <c r="J1509" s="407">
        <v>18000</v>
      </c>
      <c r="K1509" s="397"/>
      <c r="L1509" s="406"/>
      <c r="M1509" s="81">
        <f t="shared" si="124"/>
        <v>211050000</v>
      </c>
      <c r="N1509" s="82" t="s">
        <v>268</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customHeight="1">
      <c r="A1510" s="323" t="str">
        <f>IF(B1510&lt;&gt;"",IF(AND(B1510='IN-TC'!$S$4,OR(TH!N2260="1111",TH!O2260="1111")),TH!D2260,""),"")</f>
        <v/>
      </c>
      <c r="B1510" s="63">
        <f t="shared" si="119"/>
        <v>7</v>
      </c>
      <c r="C1510" s="64">
        <f>E1510</f>
        <v>42582</v>
      </c>
      <c r="D1510" s="64" t="s">
        <v>2212</v>
      </c>
      <c r="E1510" s="64">
        <v>42582</v>
      </c>
      <c r="F1510" s="72" t="s">
        <v>932</v>
      </c>
      <c r="G1510" s="67" t="s">
        <v>337</v>
      </c>
      <c r="H1510" s="329" t="s">
        <v>1950</v>
      </c>
      <c r="I1510" s="408"/>
      <c r="J1510" s="408"/>
      <c r="K1510" s="399"/>
      <c r="L1510" s="408"/>
      <c r="M1510" s="65">
        <v>446310000</v>
      </c>
      <c r="N1510" s="66" t="s">
        <v>8</v>
      </c>
      <c r="O1510" s="66" t="s">
        <v>266</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customHeight="1">
      <c r="A1511" s="323" t="str">
        <f>IF(B1511&lt;&gt;"",IF(AND(B1511='IN-TC'!$S$4,OR(TH!N2238="1111",TH!O2238="1111")),TH!D2238,""),"")</f>
        <v/>
      </c>
      <c r="B1511" s="63">
        <f t="shared" si="119"/>
        <v>5</v>
      </c>
      <c r="C1511" s="64">
        <f>E1511</f>
        <v>42521</v>
      </c>
      <c r="D1511" s="64" t="s">
        <v>2208</v>
      </c>
      <c r="E1511" s="64">
        <v>42521</v>
      </c>
      <c r="F1511" s="72" t="s">
        <v>932</v>
      </c>
      <c r="G1511" s="67" t="s">
        <v>337</v>
      </c>
      <c r="H1511" s="329" t="s">
        <v>418</v>
      </c>
      <c r="I1511" s="408"/>
      <c r="J1511" s="408"/>
      <c r="K1511" s="399"/>
      <c r="L1511" s="408"/>
      <c r="M1511" s="65">
        <v>116079500</v>
      </c>
      <c r="N1511" s="66" t="s">
        <v>8</v>
      </c>
      <c r="O1511" s="66" t="s">
        <v>266</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customHeight="1">
      <c r="A1512" s="323" t="str">
        <f>IF(B1512&lt;&gt;"",IF(AND(B1512='IN-TC'!$S$4,OR(TH!N2261="1111",TH!O2261="1111")),TH!D2261,""),"")</f>
        <v/>
      </c>
      <c r="B1512" s="63">
        <f t="shared" si="119"/>
        <v>7</v>
      </c>
      <c r="C1512" s="64">
        <f>E1512</f>
        <v>42582</v>
      </c>
      <c r="D1512" s="64" t="s">
        <v>2212</v>
      </c>
      <c r="E1512" s="64">
        <v>42582</v>
      </c>
      <c r="F1512" s="72" t="s">
        <v>932</v>
      </c>
      <c r="G1512" s="67" t="s">
        <v>337</v>
      </c>
      <c r="H1512" s="329" t="s">
        <v>1949</v>
      </c>
      <c r="I1512" s="408"/>
      <c r="J1512" s="408"/>
      <c r="K1512" s="399"/>
      <c r="L1512" s="408"/>
      <c r="M1512" s="65">
        <v>151506000</v>
      </c>
      <c r="N1512" s="66" t="s">
        <v>8</v>
      </c>
      <c r="O1512" s="66" t="s">
        <v>266</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customHeight="1">
      <c r="A1513" s="323" t="str">
        <f>IF(B1513&lt;&gt;"",IF(AND(B1513='IN-TC'!$S$4,OR(TH!N1468="1111",TH!O1468="1111")),TH!D1468,""),"")</f>
        <v/>
      </c>
      <c r="B1513" s="63">
        <f t="shared" si="119"/>
        <v>10</v>
      </c>
      <c r="C1513" s="78">
        <v>42652</v>
      </c>
      <c r="D1513" s="78" t="s">
        <v>2235</v>
      </c>
      <c r="E1513" s="78">
        <f>C1513</f>
        <v>42652</v>
      </c>
      <c r="F1513" s="79" t="s">
        <v>1952</v>
      </c>
      <c r="G1513" s="79"/>
      <c r="H1513" s="80" t="s">
        <v>376</v>
      </c>
      <c r="I1513" s="409">
        <v>11450</v>
      </c>
      <c r="J1513" s="407">
        <v>18000</v>
      </c>
      <c r="K1513" s="397"/>
      <c r="L1513" s="406"/>
      <c r="M1513" s="81">
        <f t="shared" ref="M1513:M1536" si="125">ROUND(I1513*J1513,0)</f>
        <v>206100000</v>
      </c>
      <c r="N1513" s="82" t="s">
        <v>268</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customHeight="1">
      <c r="A1514" s="323" t="str">
        <f>IF(B1514&lt;&gt;"",IF(AND(B1514='IN-TC'!$S$4,OR(TH!N1492="1111",TH!O1492="1111")),TH!D1492,""),"")</f>
        <v/>
      </c>
      <c r="B1514" s="63">
        <f t="shared" si="119"/>
        <v>10</v>
      </c>
      <c r="C1514" s="78">
        <v>42663</v>
      </c>
      <c r="D1514" s="78" t="s">
        <v>2259</v>
      </c>
      <c r="E1514" s="78">
        <f>C1514</f>
        <v>42663</v>
      </c>
      <c r="F1514" s="79" t="s">
        <v>1952</v>
      </c>
      <c r="G1514" s="79"/>
      <c r="H1514" s="80" t="s">
        <v>388</v>
      </c>
      <c r="I1514" s="409">
        <v>11248</v>
      </c>
      <c r="J1514" s="407">
        <v>18000</v>
      </c>
      <c r="K1514" s="397"/>
      <c r="L1514" s="406"/>
      <c r="M1514" s="81">
        <f t="shared" si="125"/>
        <v>202464000</v>
      </c>
      <c r="N1514" s="82" t="s">
        <v>268</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customHeight="1">
      <c r="A1515" s="323" t="str">
        <f>IF(B1515&lt;&gt;"",IF(AND(B1515='IN-TC'!$S$4,OR(TH!N1464="1111",TH!O1464="1111")),TH!D1464,""),"")</f>
        <v/>
      </c>
      <c r="B1515" s="63">
        <f t="shared" si="119"/>
        <v>10</v>
      </c>
      <c r="C1515" s="78">
        <v>42651</v>
      </c>
      <c r="D1515" s="78" t="s">
        <v>2231</v>
      </c>
      <c r="E1515" s="78">
        <f>C1515</f>
        <v>42651</v>
      </c>
      <c r="F1515" s="79" t="s">
        <v>1952</v>
      </c>
      <c r="G1515" s="79"/>
      <c r="H1515" s="80" t="s">
        <v>378</v>
      </c>
      <c r="I1515" s="409">
        <v>11985</v>
      </c>
      <c r="J1515" s="407">
        <v>18000</v>
      </c>
      <c r="K1515" s="397"/>
      <c r="L1515" s="406"/>
      <c r="M1515" s="81">
        <f t="shared" si="125"/>
        <v>215730000</v>
      </c>
      <c r="N1515" s="82" t="s">
        <v>268</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customHeight="1">
      <c r="A1516" s="323" t="str">
        <f>IF(B1516&lt;&gt;"",IF(AND(B1516='IN-TC'!$S$4,OR(TH!N1483="1111",TH!O1483="1111")),TH!D1483,""),"")</f>
        <v/>
      </c>
      <c r="B1516" s="63">
        <f t="shared" si="119"/>
        <v>10</v>
      </c>
      <c r="C1516" s="78">
        <v>42658</v>
      </c>
      <c r="D1516" s="78" t="s">
        <v>2250</v>
      </c>
      <c r="E1516" s="78">
        <f>C1516</f>
        <v>42658</v>
      </c>
      <c r="F1516" s="79" t="s">
        <v>1952</v>
      </c>
      <c r="G1516" s="79"/>
      <c r="H1516" s="80" t="s">
        <v>381</v>
      </c>
      <c r="I1516" s="409">
        <v>11556</v>
      </c>
      <c r="J1516" s="407">
        <v>18000</v>
      </c>
      <c r="K1516" s="397"/>
      <c r="L1516" s="406"/>
      <c r="M1516" s="81">
        <f t="shared" si="125"/>
        <v>208008000</v>
      </c>
      <c r="N1516" s="82" t="s">
        <v>268</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customHeight="1">
      <c r="A1517" s="323" t="str">
        <f>IF(B1517&lt;&gt;"",IF(AND(B1517='IN-TC'!$S$4,OR(TH!N1349="1111",TH!O1349="1111")),TH!D1349,""),"")</f>
        <v/>
      </c>
      <c r="B1517" s="63">
        <f t="shared" si="119"/>
        <v>7</v>
      </c>
      <c r="C1517" s="78">
        <f>E1517</f>
        <v>42575</v>
      </c>
      <c r="D1517" s="78" t="s">
        <v>941</v>
      </c>
      <c r="E1517" s="78">
        <v>42575</v>
      </c>
      <c r="F1517" s="79" t="s">
        <v>1935</v>
      </c>
      <c r="G1517" s="79" t="s">
        <v>337</v>
      </c>
      <c r="H1517" s="80" t="s">
        <v>418</v>
      </c>
      <c r="I1517" s="406">
        <v>7530</v>
      </c>
      <c r="J1517" s="407">
        <v>19000</v>
      </c>
      <c r="K1517" s="397"/>
      <c r="L1517" s="406"/>
      <c r="M1517" s="81">
        <f t="shared" si="125"/>
        <v>143070000</v>
      </c>
      <c r="N1517" s="82" t="s">
        <v>268</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customHeight="1">
      <c r="A1518" s="323" t="str">
        <f>IF(B1518&lt;&gt;"",IF(AND(B1518='IN-TC'!$S$4,OR(TH!N1344="1111",TH!O1344="1111")),TH!D1344,""),"")</f>
        <v/>
      </c>
      <c r="B1518" s="63">
        <f t="shared" ref="B1518:B1581" si="126">IF(C1518&lt;&gt;"",MONTH(C1518),"")</f>
        <v>7</v>
      </c>
      <c r="C1518" s="78">
        <f>E1518</f>
        <v>42572</v>
      </c>
      <c r="D1518" s="78" t="s">
        <v>936</v>
      </c>
      <c r="E1518" s="78">
        <v>42572</v>
      </c>
      <c r="F1518" s="79" t="s">
        <v>1935</v>
      </c>
      <c r="G1518" s="79" t="s">
        <v>337</v>
      </c>
      <c r="H1518" s="85" t="s">
        <v>423</v>
      </c>
      <c r="I1518" s="407">
        <v>7580</v>
      </c>
      <c r="J1518" s="407">
        <v>19000</v>
      </c>
      <c r="K1518" s="398"/>
      <c r="L1518" s="407"/>
      <c r="M1518" s="81">
        <f t="shared" si="125"/>
        <v>144020000</v>
      </c>
      <c r="N1518" s="82" t="s">
        <v>268</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customHeight="1">
      <c r="A1519" s="323" t="str">
        <f>IF(B1519&lt;&gt;"",IF(AND(B1519='IN-TC'!$S$4,OR(TH!N1347="1111",TH!O1347="1111")),TH!D1347,""),"")</f>
        <v/>
      </c>
      <c r="B1519" s="63">
        <f t="shared" si="126"/>
        <v>7</v>
      </c>
      <c r="C1519" s="78">
        <f>E1519</f>
        <v>42575</v>
      </c>
      <c r="D1519" s="78" t="s">
        <v>939</v>
      </c>
      <c r="E1519" s="78">
        <v>42575</v>
      </c>
      <c r="F1519" s="79" t="s">
        <v>1935</v>
      </c>
      <c r="G1519" s="79" t="s">
        <v>337</v>
      </c>
      <c r="H1519" s="80" t="s">
        <v>421</v>
      </c>
      <c r="I1519" s="406">
        <v>7620</v>
      </c>
      <c r="J1519" s="407">
        <v>19000</v>
      </c>
      <c r="K1519" s="397"/>
      <c r="L1519" s="406"/>
      <c r="M1519" s="81">
        <f t="shared" si="125"/>
        <v>144780000</v>
      </c>
      <c r="N1519" s="82" t="s">
        <v>268</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customHeight="1">
      <c r="A1520" s="323" t="str">
        <f>IF(B1520&lt;&gt;"",IF(AND(B1520='IN-TC'!$S$4,OR(TH!N1479="1111",TH!O1479="1111")),TH!D1479,""),"")</f>
        <v/>
      </c>
      <c r="B1520" s="63">
        <f t="shared" si="126"/>
        <v>10</v>
      </c>
      <c r="C1520" s="78">
        <v>42657</v>
      </c>
      <c r="D1520" s="78" t="s">
        <v>2246</v>
      </c>
      <c r="E1520" s="78">
        <f t="shared" ref="E1520:E1545" si="127">C1520</f>
        <v>42657</v>
      </c>
      <c r="F1520" s="79" t="s">
        <v>1952</v>
      </c>
      <c r="G1520" s="79"/>
      <c r="H1520" s="80" t="s">
        <v>371</v>
      </c>
      <c r="I1520" s="409">
        <v>11340</v>
      </c>
      <c r="J1520" s="407">
        <v>18000</v>
      </c>
      <c r="K1520" s="397"/>
      <c r="L1520" s="406"/>
      <c r="M1520" s="81">
        <f t="shared" si="125"/>
        <v>204120000</v>
      </c>
      <c r="N1520" s="82" t="s">
        <v>268</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customHeight="1">
      <c r="A1521" s="323" t="str">
        <f>IF(B1521&lt;&gt;"",IF(AND(B1521='IN-TC'!$S$4,OR(TH!N1478="1111",TH!O1478="1111")),TH!D1478,""),"")</f>
        <v/>
      </c>
      <c r="B1521" s="63">
        <f t="shared" si="126"/>
        <v>10</v>
      </c>
      <c r="C1521" s="78">
        <v>42656</v>
      </c>
      <c r="D1521" s="78" t="s">
        <v>2245</v>
      </c>
      <c r="E1521" s="78">
        <f t="shared" si="127"/>
        <v>42656</v>
      </c>
      <c r="F1521" s="79" t="s">
        <v>1952</v>
      </c>
      <c r="G1521" s="79"/>
      <c r="H1521" s="80" t="s">
        <v>384</v>
      </c>
      <c r="I1521" s="409">
        <v>11460</v>
      </c>
      <c r="J1521" s="407">
        <v>18000</v>
      </c>
      <c r="K1521" s="397"/>
      <c r="L1521" s="406"/>
      <c r="M1521" s="81">
        <f t="shared" si="125"/>
        <v>206280000</v>
      </c>
      <c r="N1521" s="82" t="s">
        <v>268</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customHeight="1">
      <c r="A1522" s="323" t="str">
        <f>IF(B1522&lt;&gt;"",IF(AND(B1522='IN-TC'!$S$4,OR(TH!N1498="1111",TH!O1498="1111")),TH!D1498,""),"")</f>
        <v/>
      </c>
      <c r="B1522" s="63">
        <f t="shared" si="126"/>
        <v>10</v>
      </c>
      <c r="C1522" s="78">
        <v>42668</v>
      </c>
      <c r="D1522" s="78" t="s">
        <v>2286</v>
      </c>
      <c r="E1522" s="78">
        <f t="shared" si="127"/>
        <v>42668</v>
      </c>
      <c r="F1522" s="79" t="s">
        <v>1952</v>
      </c>
      <c r="G1522" s="79"/>
      <c r="H1522" s="80" t="s">
        <v>388</v>
      </c>
      <c r="I1522" s="409">
        <v>11450</v>
      </c>
      <c r="J1522" s="407">
        <v>18000</v>
      </c>
      <c r="K1522" s="397"/>
      <c r="L1522" s="406"/>
      <c r="M1522" s="81">
        <f t="shared" si="125"/>
        <v>206100000</v>
      </c>
      <c r="N1522" s="82" t="s">
        <v>268</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customHeight="1">
      <c r="A1523" s="323" t="str">
        <f>IF(B1523&lt;&gt;"",IF(AND(B1523='IN-TC'!$S$4,OR(TH!N1463="1111",TH!O1463="1111")),TH!D1463,""),"")</f>
        <v/>
      </c>
      <c r="B1523" s="63">
        <f t="shared" si="126"/>
        <v>10</v>
      </c>
      <c r="C1523" s="78">
        <v>42651</v>
      </c>
      <c r="D1523" s="78" t="s">
        <v>2230</v>
      </c>
      <c r="E1523" s="78">
        <f t="shared" si="127"/>
        <v>42651</v>
      </c>
      <c r="F1523" s="79" t="s">
        <v>1952</v>
      </c>
      <c r="G1523" s="79"/>
      <c r="H1523" s="80" t="s">
        <v>386</v>
      </c>
      <c r="I1523" s="409">
        <v>12230</v>
      </c>
      <c r="J1523" s="407">
        <v>18000</v>
      </c>
      <c r="K1523" s="397"/>
      <c r="L1523" s="406"/>
      <c r="M1523" s="81">
        <f t="shared" si="125"/>
        <v>220140000</v>
      </c>
      <c r="N1523" s="82" t="s">
        <v>268</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customHeight="1">
      <c r="A1524" s="323" t="str">
        <f>IF(B1524&lt;&gt;"",IF(AND(B1524='IN-TC'!$S$4,OR(TH!N1524="1111",TH!O1524="1111")),TH!D1524,""),"")</f>
        <v/>
      </c>
      <c r="B1524" s="63">
        <f t="shared" si="126"/>
        <v>10</v>
      </c>
      <c r="C1524" s="90">
        <v>42644</v>
      </c>
      <c r="D1524" s="90" t="s">
        <v>670</v>
      </c>
      <c r="E1524" s="90">
        <f t="shared" si="127"/>
        <v>42644</v>
      </c>
      <c r="F1524" s="91" t="s">
        <v>1952</v>
      </c>
      <c r="G1524" s="91"/>
      <c r="H1524" s="92" t="s">
        <v>439</v>
      </c>
      <c r="I1524" s="1109">
        <v>28130</v>
      </c>
      <c r="J1524" s="1108">
        <v>18500</v>
      </c>
      <c r="K1524" s="1110"/>
      <c r="L1524" s="1109"/>
      <c r="M1524" s="93">
        <f t="shared" si="125"/>
        <v>520405000</v>
      </c>
      <c r="N1524" s="83" t="s">
        <v>276</v>
      </c>
      <c r="O1524" s="83" t="s">
        <v>268</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customHeight="1">
      <c r="A1525" s="323" t="str">
        <f>IF(B1525&lt;&gt;"",IF(AND(B1525='IN-TC'!$S$4,OR(TH!N1525="1111",TH!O1525="1111")),TH!D1525,""),"")</f>
        <v/>
      </c>
      <c r="B1525" s="63">
        <f t="shared" si="126"/>
        <v>10</v>
      </c>
      <c r="C1525" s="90">
        <v>42646</v>
      </c>
      <c r="D1525" s="90" t="s">
        <v>677</v>
      </c>
      <c r="E1525" s="90">
        <f t="shared" si="127"/>
        <v>42646</v>
      </c>
      <c r="F1525" s="91" t="s">
        <v>1952</v>
      </c>
      <c r="G1525" s="91"/>
      <c r="H1525" s="92" t="s">
        <v>439</v>
      </c>
      <c r="I1525" s="1109">
        <v>27970</v>
      </c>
      <c r="J1525" s="1108">
        <v>18500</v>
      </c>
      <c r="K1525" s="1110"/>
      <c r="L1525" s="1109"/>
      <c r="M1525" s="93">
        <f t="shared" si="125"/>
        <v>517445000</v>
      </c>
      <c r="N1525" s="83" t="s">
        <v>276</v>
      </c>
      <c r="O1525" s="83" t="s">
        <v>268</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customHeight="1">
      <c r="A1526" s="323" t="str">
        <f>IF(B1526&lt;&gt;"",IF(AND(B1526='IN-TC'!$S$4,OR(TH!N1526="1111",TH!O1526="1111")),TH!D1526,""),"")</f>
        <v/>
      </c>
      <c r="B1526" s="63">
        <f t="shared" si="126"/>
        <v>10</v>
      </c>
      <c r="C1526" s="90">
        <v>42647</v>
      </c>
      <c r="D1526" s="90" t="s">
        <v>678</v>
      </c>
      <c r="E1526" s="90">
        <f t="shared" si="127"/>
        <v>42647</v>
      </c>
      <c r="F1526" s="91" t="s">
        <v>1952</v>
      </c>
      <c r="G1526" s="91"/>
      <c r="H1526" s="92" t="s">
        <v>439</v>
      </c>
      <c r="I1526" s="1109">
        <v>28550</v>
      </c>
      <c r="J1526" s="1108">
        <v>18500</v>
      </c>
      <c r="K1526" s="1110"/>
      <c r="L1526" s="1109"/>
      <c r="M1526" s="93">
        <f t="shared" si="125"/>
        <v>528175000</v>
      </c>
      <c r="N1526" s="83" t="s">
        <v>276</v>
      </c>
      <c r="O1526" s="83" t="s">
        <v>268</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customHeight="1">
      <c r="A1527" s="323" t="str">
        <f>IF(B1527&lt;&gt;"",IF(AND(B1527='IN-TC'!$S$4,OR(TH!N1527="1111",TH!O1527="1111")),TH!D1527,""),"")</f>
        <v/>
      </c>
      <c r="B1527" s="63">
        <f t="shared" si="126"/>
        <v>10</v>
      </c>
      <c r="C1527" s="90">
        <v>42648</v>
      </c>
      <c r="D1527" s="90" t="s">
        <v>679</v>
      </c>
      <c r="E1527" s="90">
        <f t="shared" si="127"/>
        <v>42648</v>
      </c>
      <c r="F1527" s="91" t="s">
        <v>1952</v>
      </c>
      <c r="G1527" s="91"/>
      <c r="H1527" s="92" t="s">
        <v>439</v>
      </c>
      <c r="I1527" s="1109">
        <v>27670</v>
      </c>
      <c r="J1527" s="1108">
        <v>18500</v>
      </c>
      <c r="K1527" s="1110"/>
      <c r="L1527" s="1109"/>
      <c r="M1527" s="93">
        <f t="shared" si="125"/>
        <v>511895000</v>
      </c>
      <c r="N1527" s="83" t="s">
        <v>276</v>
      </c>
      <c r="O1527" s="83" t="s">
        <v>268</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customHeight="1">
      <c r="A1528" s="323" t="str">
        <f>IF(B1528&lt;&gt;"",IF(AND(B1528='IN-TC'!$S$4,OR(TH!N1528="1111",TH!O1528="1111")),TH!D1528,""),"")</f>
        <v/>
      </c>
      <c r="B1528" s="63">
        <f t="shared" si="126"/>
        <v>10</v>
      </c>
      <c r="C1528" s="90">
        <v>42649</v>
      </c>
      <c r="D1528" s="90" t="s">
        <v>680</v>
      </c>
      <c r="E1528" s="90">
        <f t="shared" si="127"/>
        <v>42649</v>
      </c>
      <c r="F1528" s="91" t="s">
        <v>668</v>
      </c>
      <c r="G1528" s="91"/>
      <c r="H1528" s="92" t="s">
        <v>439</v>
      </c>
      <c r="I1528" s="1109">
        <v>19360</v>
      </c>
      <c r="J1528" s="1108">
        <v>18000</v>
      </c>
      <c r="K1528" s="1110"/>
      <c r="L1528" s="1109"/>
      <c r="M1528" s="93">
        <f t="shared" si="125"/>
        <v>348480000</v>
      </c>
      <c r="N1528" s="83" t="s">
        <v>276</v>
      </c>
      <c r="O1528" s="83" t="s">
        <v>268</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customHeight="1">
      <c r="A1529" s="323" t="str">
        <f>IF(B1529&lt;&gt;"",IF(AND(B1529='IN-TC'!$S$4,OR(TH!N1529="1111",TH!O1529="1111")),TH!D1529,""),"")</f>
        <v/>
      </c>
      <c r="B1529" s="63">
        <f t="shared" si="126"/>
        <v>10</v>
      </c>
      <c r="C1529" s="90">
        <v>42650</v>
      </c>
      <c r="D1529" s="90" t="s">
        <v>681</v>
      </c>
      <c r="E1529" s="90">
        <f t="shared" si="127"/>
        <v>42650</v>
      </c>
      <c r="F1529" s="91" t="s">
        <v>668</v>
      </c>
      <c r="G1529" s="91"/>
      <c r="H1529" s="92" t="s">
        <v>439</v>
      </c>
      <c r="I1529" s="1109">
        <v>19040</v>
      </c>
      <c r="J1529" s="1108">
        <v>18000</v>
      </c>
      <c r="K1529" s="1110"/>
      <c r="L1529" s="1109"/>
      <c r="M1529" s="93">
        <f t="shared" si="125"/>
        <v>342720000</v>
      </c>
      <c r="N1529" s="83" t="s">
        <v>276</v>
      </c>
      <c r="O1529" s="83" t="s">
        <v>268</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customHeight="1">
      <c r="A1530" s="323" t="str">
        <f>IF(B1530&lt;&gt;"",IF(AND(B1530='IN-TC'!$S$4,OR(TH!N1530="1111",TH!O1530="1111")),TH!D1530,""),"")</f>
        <v/>
      </c>
      <c r="B1530" s="63">
        <f t="shared" si="126"/>
        <v>10</v>
      </c>
      <c r="C1530" s="90">
        <v>42650</v>
      </c>
      <c r="D1530" s="90" t="s">
        <v>928</v>
      </c>
      <c r="E1530" s="90">
        <f t="shared" si="127"/>
        <v>42650</v>
      </c>
      <c r="F1530" s="91" t="s">
        <v>1952</v>
      </c>
      <c r="G1530" s="91"/>
      <c r="H1530" s="92" t="s">
        <v>439</v>
      </c>
      <c r="I1530" s="1109">
        <v>38495</v>
      </c>
      <c r="J1530" s="1108">
        <v>18500</v>
      </c>
      <c r="K1530" s="1110"/>
      <c r="L1530" s="1109"/>
      <c r="M1530" s="93">
        <f t="shared" si="125"/>
        <v>712157500</v>
      </c>
      <c r="N1530" s="83" t="s">
        <v>276</v>
      </c>
      <c r="O1530" s="83" t="s">
        <v>268</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customHeight="1">
      <c r="A1531" s="323" t="str">
        <f>IF(B1531&lt;&gt;"",IF(AND(B1531='IN-TC'!$S$4,OR(TH!N1531="1111",TH!O1531="1111")),TH!D1531,""),"")</f>
        <v/>
      </c>
      <c r="B1531" s="63">
        <f t="shared" si="126"/>
        <v>10</v>
      </c>
      <c r="C1531" s="90">
        <v>42651</v>
      </c>
      <c r="D1531" s="90" t="s">
        <v>929</v>
      </c>
      <c r="E1531" s="90">
        <f t="shared" si="127"/>
        <v>42651</v>
      </c>
      <c r="F1531" s="91" t="s">
        <v>1952</v>
      </c>
      <c r="G1531" s="91"/>
      <c r="H1531" s="92" t="s">
        <v>439</v>
      </c>
      <c r="I1531" s="1109">
        <v>38973</v>
      </c>
      <c r="J1531" s="1108">
        <v>18500</v>
      </c>
      <c r="K1531" s="1110"/>
      <c r="L1531" s="1109"/>
      <c r="M1531" s="93">
        <f t="shared" si="125"/>
        <v>721000500</v>
      </c>
      <c r="N1531" s="83" t="s">
        <v>276</v>
      </c>
      <c r="O1531" s="83" t="s">
        <v>268</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customHeight="1">
      <c r="A1532" s="323" t="str">
        <f>IF(B1532&lt;&gt;"",IF(AND(B1532='IN-TC'!$S$4,OR(TH!N1532="1111",TH!O1532="1111")),TH!D1532,""),"")</f>
        <v/>
      </c>
      <c r="B1532" s="63">
        <f t="shared" si="126"/>
        <v>10</v>
      </c>
      <c r="C1532" s="90">
        <v>42653</v>
      </c>
      <c r="D1532" s="90" t="s">
        <v>930</v>
      </c>
      <c r="E1532" s="90">
        <f t="shared" si="127"/>
        <v>42653</v>
      </c>
      <c r="F1532" s="91" t="s">
        <v>1952</v>
      </c>
      <c r="G1532" s="91"/>
      <c r="H1532" s="92" t="s">
        <v>439</v>
      </c>
      <c r="I1532" s="1109">
        <v>39723</v>
      </c>
      <c r="J1532" s="1108">
        <v>18500</v>
      </c>
      <c r="K1532" s="1110"/>
      <c r="L1532" s="1109"/>
      <c r="M1532" s="93">
        <f t="shared" si="125"/>
        <v>734875500</v>
      </c>
      <c r="N1532" s="83" t="s">
        <v>276</v>
      </c>
      <c r="O1532" s="83" t="s">
        <v>268</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customHeight="1">
      <c r="A1533" s="323" t="str">
        <f>IF(B1533&lt;&gt;"",IF(AND(B1533='IN-TC'!$S$4,OR(TH!N494="1111",TH!O494="1111")),TH!D494,""),"")</f>
        <v>T07</v>
      </c>
      <c r="B1533" s="63">
        <f t="shared" si="126"/>
        <v>10</v>
      </c>
      <c r="C1533" s="78">
        <v>42660</v>
      </c>
      <c r="D1533" s="78" t="s">
        <v>685</v>
      </c>
      <c r="E1533" s="78">
        <f t="shared" si="127"/>
        <v>42660</v>
      </c>
      <c r="F1533" s="79" t="s">
        <v>455</v>
      </c>
      <c r="G1533" s="934" t="s">
        <v>1061</v>
      </c>
      <c r="H1533" s="80" t="s">
        <v>1198</v>
      </c>
      <c r="I1533" s="406">
        <v>26000</v>
      </c>
      <c r="J1533" s="406">
        <v>55000</v>
      </c>
      <c r="K1533" s="397"/>
      <c r="L1533" s="406"/>
      <c r="M1533" s="81">
        <f t="shared" si="125"/>
        <v>1430000000</v>
      </c>
      <c r="N1533" s="82" t="s">
        <v>278</v>
      </c>
      <c r="O1533" s="82" t="s">
        <v>8</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customHeight="1">
      <c r="A1534" s="323" t="str">
        <f>IF(B1534&lt;&gt;"",IF(AND(B1534='IN-TC'!$S$4,OR(TH!N1534="1111",TH!O1534="1111")),TH!D1534,""),"")</f>
        <v/>
      </c>
      <c r="B1534" s="63">
        <f t="shared" si="126"/>
        <v>10</v>
      </c>
      <c r="C1534" s="90">
        <v>42654</v>
      </c>
      <c r="D1534" s="90" t="s">
        <v>2263</v>
      </c>
      <c r="E1534" s="90">
        <f t="shared" si="127"/>
        <v>42654</v>
      </c>
      <c r="F1534" s="91" t="s">
        <v>1952</v>
      </c>
      <c r="G1534" s="91"/>
      <c r="H1534" s="92" t="s">
        <v>439</v>
      </c>
      <c r="I1534" s="1109">
        <v>49209</v>
      </c>
      <c r="J1534" s="1108">
        <v>18500</v>
      </c>
      <c r="K1534" s="1110"/>
      <c r="L1534" s="1109"/>
      <c r="M1534" s="93">
        <f t="shared" si="125"/>
        <v>910366500</v>
      </c>
      <c r="N1534" s="83" t="s">
        <v>276</v>
      </c>
      <c r="O1534" s="83" t="s">
        <v>268</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customHeight="1">
      <c r="A1535" s="323" t="str">
        <f>IF(B1535&lt;&gt;"",IF(AND(B1535='IN-TC'!$S$4,OR(TH!N1537="1111",TH!O1537="1111")),TH!D1537,""),"")</f>
        <v/>
      </c>
      <c r="B1535" s="63">
        <f t="shared" si="126"/>
        <v>10</v>
      </c>
      <c r="C1535" s="90">
        <v>42661</v>
      </c>
      <c r="D1535" s="90" t="s">
        <v>2266</v>
      </c>
      <c r="E1535" s="90">
        <f t="shared" si="127"/>
        <v>42661</v>
      </c>
      <c r="F1535" s="91" t="s">
        <v>1952</v>
      </c>
      <c r="G1535" s="91" t="s">
        <v>2311</v>
      </c>
      <c r="H1535" s="92" t="s">
        <v>1198</v>
      </c>
      <c r="I1535" s="916">
        <v>35000</v>
      </c>
      <c r="J1535" s="1108">
        <v>18000</v>
      </c>
      <c r="K1535" s="1110"/>
      <c r="L1535" s="1109"/>
      <c r="M1535" s="93">
        <f t="shared" si="125"/>
        <v>630000000</v>
      </c>
      <c r="N1535" s="83" t="s">
        <v>276</v>
      </c>
      <c r="O1535" s="83" t="s">
        <v>268</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customHeight="1">
      <c r="A1536" s="323" t="str">
        <f>IF(B1536&lt;&gt;"",IF(AND(B1536='IN-TC'!$S$4,OR(TH!N1538="1111",TH!O1538="1111")),TH!D1538,""),"")</f>
        <v/>
      </c>
      <c r="B1536" s="63">
        <f t="shared" si="126"/>
        <v>10</v>
      </c>
      <c r="C1536" s="90">
        <v>42662</v>
      </c>
      <c r="D1536" s="90" t="s">
        <v>2267</v>
      </c>
      <c r="E1536" s="90">
        <f t="shared" si="127"/>
        <v>42662</v>
      </c>
      <c r="F1536" s="91" t="s">
        <v>1952</v>
      </c>
      <c r="G1536" s="91" t="s">
        <v>2311</v>
      </c>
      <c r="H1536" s="92" t="s">
        <v>1198</v>
      </c>
      <c r="I1536" s="916">
        <v>35276</v>
      </c>
      <c r="J1536" s="1108">
        <v>18000</v>
      </c>
      <c r="K1536" s="1110"/>
      <c r="L1536" s="1109"/>
      <c r="M1536" s="93">
        <f t="shared" si="125"/>
        <v>634968000</v>
      </c>
      <c r="N1536" s="83" t="s">
        <v>276</v>
      </c>
      <c r="O1536" s="83" t="s">
        <v>268</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customHeight="1">
      <c r="A1537" s="323" t="str">
        <f>IF(B1537&lt;&gt;"",IF(AND(B1537='IN-TC'!$S$4,OR(TH!N4008="1111",TH!O4008="1111")),TH!D4008,""),"")</f>
        <v>C48</v>
      </c>
      <c r="B1537" s="63">
        <f t="shared" si="126"/>
        <v>10</v>
      </c>
      <c r="C1537" s="64">
        <v>42662</v>
      </c>
      <c r="D1537" s="64" t="s">
        <v>690</v>
      </c>
      <c r="E1537" s="64">
        <f t="shared" si="127"/>
        <v>42662</v>
      </c>
      <c r="F1537" s="72" t="s">
        <v>1429</v>
      </c>
      <c r="G1537" s="67" t="s">
        <v>1544</v>
      </c>
      <c r="H1537" s="329" t="s">
        <v>1198</v>
      </c>
      <c r="I1537" s="408"/>
      <c r="J1537" s="408"/>
      <c r="K1537" s="399"/>
      <c r="L1537" s="408"/>
      <c r="M1537" s="65">
        <v>42930000</v>
      </c>
      <c r="N1537" s="66" t="s">
        <v>70</v>
      </c>
      <c r="O1537" s="66" t="s">
        <v>25</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x</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customHeight="1">
      <c r="A1538" s="323" t="str">
        <f>IF(B1538&lt;&gt;"",IF(AND(B1538='IN-TC'!$S$4,OR(TH!N1539="1111",TH!O1539="1111")),TH!D1539,""),"")</f>
        <v/>
      </c>
      <c r="B1538" s="63">
        <f t="shared" si="126"/>
        <v>10</v>
      </c>
      <c r="C1538" s="90">
        <v>42664</v>
      </c>
      <c r="D1538" s="90" t="s">
        <v>2268</v>
      </c>
      <c r="E1538" s="90">
        <f t="shared" si="127"/>
        <v>42664</v>
      </c>
      <c r="F1538" s="91" t="s">
        <v>1952</v>
      </c>
      <c r="G1538" s="91" t="s">
        <v>2311</v>
      </c>
      <c r="H1538" s="92" t="s">
        <v>1198</v>
      </c>
      <c r="I1538" s="916">
        <v>34760</v>
      </c>
      <c r="J1538" s="1108">
        <v>18000</v>
      </c>
      <c r="K1538" s="1110"/>
      <c r="L1538" s="1109"/>
      <c r="M1538" s="93">
        <f>ROUND(I1538*J1538,0)</f>
        <v>625680000</v>
      </c>
      <c r="N1538" s="83" t="s">
        <v>276</v>
      </c>
      <c r="O1538" s="83" t="s">
        <v>268</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customHeight="1">
      <c r="A1539" s="323" t="str">
        <f>IF(B1539&lt;&gt;"",IF(AND(B1539='IN-TC'!$S$4,OR(TH!N1540="1111",TH!O1540="1111")),TH!D1540,""),"")</f>
        <v/>
      </c>
      <c r="B1539" s="63">
        <f t="shared" si="126"/>
        <v>10</v>
      </c>
      <c r="C1539" s="90">
        <v>42667</v>
      </c>
      <c r="D1539" s="90" t="s">
        <v>2269</v>
      </c>
      <c r="E1539" s="90">
        <f t="shared" si="127"/>
        <v>42667</v>
      </c>
      <c r="F1539" s="91" t="s">
        <v>1952</v>
      </c>
      <c r="G1539" s="91" t="s">
        <v>2311</v>
      </c>
      <c r="H1539" s="92" t="s">
        <v>1198</v>
      </c>
      <c r="I1539" s="916">
        <v>34570</v>
      </c>
      <c r="J1539" s="1108">
        <v>18000</v>
      </c>
      <c r="K1539" s="1110"/>
      <c r="L1539" s="1109"/>
      <c r="M1539" s="93">
        <f>ROUND(I1539*J1539,0)</f>
        <v>622260000</v>
      </c>
      <c r="N1539" s="83" t="s">
        <v>276</v>
      </c>
      <c r="O1539" s="83" t="s">
        <v>268</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customHeight="1">
      <c r="A1540" s="323" t="str">
        <f>IF(B1540&lt;&gt;"",IF(AND(B1540='IN-TC'!$S$4,OR(TH!N1541="1111",TH!O1541="1111")),TH!D1541,""),"")</f>
        <v/>
      </c>
      <c r="B1540" s="63">
        <f t="shared" si="126"/>
        <v>10</v>
      </c>
      <c r="C1540" s="90">
        <v>42669</v>
      </c>
      <c r="D1540" s="90" t="s">
        <v>2270</v>
      </c>
      <c r="E1540" s="90">
        <f t="shared" si="127"/>
        <v>42669</v>
      </c>
      <c r="F1540" s="91" t="s">
        <v>1952</v>
      </c>
      <c r="G1540" s="91" t="s">
        <v>2311</v>
      </c>
      <c r="H1540" s="92" t="s">
        <v>1198</v>
      </c>
      <c r="I1540" s="916">
        <v>34645</v>
      </c>
      <c r="J1540" s="1108">
        <v>18000</v>
      </c>
      <c r="K1540" s="1110"/>
      <c r="L1540" s="1109"/>
      <c r="M1540" s="93">
        <f>ROUND(I1540*J1540,0)</f>
        <v>623610000</v>
      </c>
      <c r="N1540" s="83" t="s">
        <v>276</v>
      </c>
      <c r="O1540" s="83" t="s">
        <v>268</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customHeight="1">
      <c r="A1541" s="323" t="str">
        <f>IF(B1541&lt;&gt;"",IF(AND(B1541='IN-TC'!$S$4,OR(TH!N1542="1111",TH!O1542="1111")),TH!D1542,""),"")</f>
        <v/>
      </c>
      <c r="B1541" s="63">
        <f t="shared" si="126"/>
        <v>10</v>
      </c>
      <c r="C1541" s="90">
        <v>42670</v>
      </c>
      <c r="D1541" s="90" t="s">
        <v>2840</v>
      </c>
      <c r="E1541" s="90">
        <f t="shared" si="127"/>
        <v>42670</v>
      </c>
      <c r="F1541" s="91" t="s">
        <v>1952</v>
      </c>
      <c r="G1541" s="91" t="s">
        <v>2311</v>
      </c>
      <c r="H1541" s="92" t="s">
        <v>1198</v>
      </c>
      <c r="I1541" s="916">
        <v>37500</v>
      </c>
      <c r="J1541" s="1108">
        <v>18000</v>
      </c>
      <c r="K1541" s="1110"/>
      <c r="L1541" s="1109"/>
      <c r="M1541" s="93">
        <f>ROUND(I1541*J1541,0)</f>
        <v>675000000</v>
      </c>
      <c r="N1541" s="83" t="s">
        <v>276</v>
      </c>
      <c r="O1541" s="83" t="s">
        <v>268</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customHeight="1">
      <c r="A1542" s="323" t="str">
        <f>IF(B1542&lt;&gt;"",IF(AND(B1542='IN-TC'!$S$4,OR(TH!N3921="1111",TH!O3921="1111")),TH!D3921,""),"")</f>
        <v>C26</v>
      </c>
      <c r="B1542" s="63">
        <f t="shared" si="126"/>
        <v>10</v>
      </c>
      <c r="C1542" s="64">
        <v>42670</v>
      </c>
      <c r="D1542" s="64" t="s">
        <v>690</v>
      </c>
      <c r="E1542" s="64">
        <f t="shared" si="127"/>
        <v>42670</v>
      </c>
      <c r="F1542" s="72" t="s">
        <v>1429</v>
      </c>
      <c r="G1542" s="67" t="s">
        <v>901</v>
      </c>
      <c r="H1542" s="72" t="s">
        <v>1198</v>
      </c>
      <c r="I1542" s="408"/>
      <c r="J1542" s="408"/>
      <c r="K1542" s="399"/>
      <c r="L1542" s="408"/>
      <c r="M1542" s="65">
        <v>25000000</v>
      </c>
      <c r="N1542" s="66" t="s">
        <v>70</v>
      </c>
      <c r="O1542" s="66" t="s">
        <v>25</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customHeight="1">
      <c r="A1543" s="323" t="str">
        <f>IF(B1543&lt;&gt;"",IF(AND(B1543='IN-TC'!$S$4,OR(TH!N1543="1111",TH!O1543="1111")),TH!D1543,""),"")</f>
        <v/>
      </c>
      <c r="B1543" s="63">
        <f t="shared" si="126"/>
        <v>10</v>
      </c>
      <c r="C1543" s="90">
        <v>42671</v>
      </c>
      <c r="D1543" s="90" t="s">
        <v>2841</v>
      </c>
      <c r="E1543" s="90">
        <f t="shared" si="127"/>
        <v>42671</v>
      </c>
      <c r="F1543" s="91" t="s">
        <v>1952</v>
      </c>
      <c r="G1543" s="91" t="s">
        <v>2311</v>
      </c>
      <c r="H1543" s="92" t="s">
        <v>1198</v>
      </c>
      <c r="I1543" s="916">
        <v>38500</v>
      </c>
      <c r="J1543" s="1108">
        <v>18000</v>
      </c>
      <c r="K1543" s="1110"/>
      <c r="L1543" s="1109"/>
      <c r="M1543" s="93">
        <f t="shared" ref="M1543:M1548" si="128">ROUND(I1543*J1543,0)</f>
        <v>693000000</v>
      </c>
      <c r="N1543" s="83" t="s">
        <v>276</v>
      </c>
      <c r="O1543" s="83" t="s">
        <v>268</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customHeight="1">
      <c r="A1544" s="323" t="str">
        <f>IF(B1544&lt;&gt;"",IF(AND(B1544='IN-TC'!$S$4,OR(TH!N497="1111",TH!O497="1111")),TH!D497,""),"")</f>
        <v/>
      </c>
      <c r="B1544" s="63">
        <f t="shared" si="126"/>
        <v>10</v>
      </c>
      <c r="C1544" s="78">
        <v>42672</v>
      </c>
      <c r="D1544" s="78" t="s">
        <v>1927</v>
      </c>
      <c r="E1544" s="78">
        <f t="shared" si="127"/>
        <v>42672</v>
      </c>
      <c r="F1544" s="79" t="s">
        <v>455</v>
      </c>
      <c r="G1544" s="934" t="s">
        <v>2275</v>
      </c>
      <c r="H1544" s="80" t="s">
        <v>1198</v>
      </c>
      <c r="I1544" s="406">
        <v>26000</v>
      </c>
      <c r="J1544" s="406">
        <v>55000</v>
      </c>
      <c r="K1544" s="397"/>
      <c r="L1544" s="406"/>
      <c r="M1544" s="81">
        <f t="shared" si="128"/>
        <v>1430000000</v>
      </c>
      <c r="N1544" s="82" t="s">
        <v>278</v>
      </c>
      <c r="O1544" s="82" t="s">
        <v>8</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customHeight="1">
      <c r="A1545" s="323" t="str">
        <f>IF(B1545&lt;&gt;"",IF(AND(B1545='IN-TC'!$S$4,OR(TH!N1544="1111",TH!O1544="1111")),TH!D1544,""),"")</f>
        <v/>
      </c>
      <c r="B1545" s="63">
        <f t="shared" si="126"/>
        <v>10</v>
      </c>
      <c r="C1545" s="90">
        <v>42672</v>
      </c>
      <c r="D1545" s="90" t="s">
        <v>2842</v>
      </c>
      <c r="E1545" s="90">
        <f t="shared" si="127"/>
        <v>42672</v>
      </c>
      <c r="F1545" s="91" t="s">
        <v>1952</v>
      </c>
      <c r="G1545" s="91" t="s">
        <v>2311</v>
      </c>
      <c r="H1545" s="92" t="s">
        <v>1198</v>
      </c>
      <c r="I1545" s="916">
        <v>39539</v>
      </c>
      <c r="J1545" s="1108">
        <v>18000</v>
      </c>
      <c r="K1545" s="1110"/>
      <c r="L1545" s="1109"/>
      <c r="M1545" s="93">
        <f t="shared" si="128"/>
        <v>711702000</v>
      </c>
      <c r="N1545" s="83" t="s">
        <v>276</v>
      </c>
      <c r="O1545" s="83" t="s">
        <v>268</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customHeight="1">
      <c r="A1546" s="323" t="str">
        <f>IF(B1546&lt;&gt;"",IF(AND(B1546='IN-TC'!$S$4,OR(TH!N1352="1111",TH!O1352="1111")),TH!D1352,""),"")</f>
        <v/>
      </c>
      <c r="B1546" s="63">
        <f t="shared" si="126"/>
        <v>7</v>
      </c>
      <c r="C1546" s="78">
        <f>E1546</f>
        <v>42580</v>
      </c>
      <c r="D1546" s="78" t="s">
        <v>944</v>
      </c>
      <c r="E1546" s="78">
        <v>42580</v>
      </c>
      <c r="F1546" s="79" t="s">
        <v>1935</v>
      </c>
      <c r="G1546" s="79" t="s">
        <v>337</v>
      </c>
      <c r="H1546" s="85" t="s">
        <v>423</v>
      </c>
      <c r="I1546" s="406">
        <v>7876</v>
      </c>
      <c r="J1546" s="407">
        <v>19000</v>
      </c>
      <c r="K1546" s="397"/>
      <c r="L1546" s="406"/>
      <c r="M1546" s="81">
        <f t="shared" si="128"/>
        <v>149644000</v>
      </c>
      <c r="N1546" s="82" t="s">
        <v>268</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customHeight="1">
      <c r="A1547" s="323" t="str">
        <f>IF(B1547&lt;&gt;"",IF(AND(B1547='IN-TC'!$S$4,OR(TH!N1503="1111",TH!O1503="1111")),TH!D1503,""),"")</f>
        <v/>
      </c>
      <c r="B1547" s="63">
        <f t="shared" si="126"/>
        <v>10</v>
      </c>
      <c r="C1547" s="78">
        <v>42668</v>
      </c>
      <c r="D1547" s="78" t="s">
        <v>2291</v>
      </c>
      <c r="E1547" s="78">
        <v>42671</v>
      </c>
      <c r="F1547" s="79" t="s">
        <v>1935</v>
      </c>
      <c r="G1547" s="79"/>
      <c r="H1547" s="80" t="s">
        <v>1949</v>
      </c>
      <c r="I1547" s="406">
        <v>8020</v>
      </c>
      <c r="J1547" s="407">
        <v>19000</v>
      </c>
      <c r="K1547" s="397"/>
      <c r="L1547" s="406"/>
      <c r="M1547" s="81">
        <f t="shared" si="128"/>
        <v>152380000</v>
      </c>
      <c r="N1547" s="82" t="s">
        <v>268</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customHeight="1">
      <c r="A1548" s="323" t="str">
        <f>IF(B1548&lt;&gt;"",IF(AND(B1548='IN-TC'!$S$4,OR(TH!N1504="1111",TH!O1504="1111")),TH!D1504,""),"")</f>
        <v/>
      </c>
      <c r="B1548" s="63">
        <f t="shared" si="126"/>
        <v>10</v>
      </c>
      <c r="C1548" s="78">
        <v>42668</v>
      </c>
      <c r="D1548" s="78" t="s">
        <v>2292</v>
      </c>
      <c r="E1548" s="78">
        <v>42671</v>
      </c>
      <c r="F1548" s="79" t="s">
        <v>1935</v>
      </c>
      <c r="G1548" s="79"/>
      <c r="H1548" s="80" t="s">
        <v>1950</v>
      </c>
      <c r="I1548" s="406">
        <v>8950</v>
      </c>
      <c r="J1548" s="407">
        <v>19000</v>
      </c>
      <c r="K1548" s="397"/>
      <c r="L1548" s="406"/>
      <c r="M1548" s="81">
        <f t="shared" si="128"/>
        <v>170050000</v>
      </c>
      <c r="N1548" s="82" t="s">
        <v>268</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customHeight="1">
      <c r="A1549" s="323" t="str">
        <f>IF(B1549&lt;&gt;"",IF(AND(B1549='IN-TC'!$S$4,OR(TH!N2265="1111",TH!O2265="1111")),TH!D2265,""),"")</f>
        <v/>
      </c>
      <c r="B1549" s="63">
        <f t="shared" si="126"/>
        <v>7</v>
      </c>
      <c r="C1549" s="64">
        <f>E1549</f>
        <v>42582</v>
      </c>
      <c r="D1549" s="64" t="s">
        <v>2212</v>
      </c>
      <c r="E1549" s="64">
        <v>42582</v>
      </c>
      <c r="F1549" s="72" t="s">
        <v>932</v>
      </c>
      <c r="G1549" s="67" t="s">
        <v>337</v>
      </c>
      <c r="H1549" s="329" t="s">
        <v>421</v>
      </c>
      <c r="I1549" s="408"/>
      <c r="J1549" s="408"/>
      <c r="K1549" s="399"/>
      <c r="L1549" s="408"/>
      <c r="M1549" s="65">
        <v>231500000</v>
      </c>
      <c r="N1549" s="66" t="s">
        <v>8</v>
      </c>
      <c r="O1549" s="66" t="s">
        <v>266</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customHeight="1">
      <c r="A1550" s="323" t="str">
        <f>IF(B1550&lt;&gt;"",IF(AND(B1550='IN-TC'!$S$4,OR(TH!N1507="1111",TH!O1507="1111")),TH!D1507,""),"")</f>
        <v/>
      </c>
      <c r="B1550" s="63">
        <f t="shared" si="126"/>
        <v>10</v>
      </c>
      <c r="C1550" s="78">
        <v>42670</v>
      </c>
      <c r="D1550" s="78" t="s">
        <v>2295</v>
      </c>
      <c r="E1550" s="78">
        <f t="shared" ref="E1550:E1565" si="129">C1550</f>
        <v>42670</v>
      </c>
      <c r="F1550" s="79" t="s">
        <v>1952</v>
      </c>
      <c r="G1550" s="79"/>
      <c r="H1550" s="80" t="s">
        <v>388</v>
      </c>
      <c r="I1550" s="409">
        <v>11490</v>
      </c>
      <c r="J1550" s="407">
        <v>18000</v>
      </c>
      <c r="K1550" s="397"/>
      <c r="L1550" s="406"/>
      <c r="M1550" s="81">
        <f t="shared" ref="M1550:M1571" si="130">ROUND(I1550*J1550,0)</f>
        <v>206820000</v>
      </c>
      <c r="N1550" s="82" t="s">
        <v>268</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customHeight="1">
      <c r="A1551" s="323" t="str">
        <f>IF(B1551&lt;&gt;"",IF(AND(B1551='IN-TC'!$S$4,OR(TH!N1494="1111",TH!O1494="1111")),TH!D1494,""),"")</f>
        <v/>
      </c>
      <c r="B1551" s="63">
        <f t="shared" si="126"/>
        <v>10</v>
      </c>
      <c r="C1551" s="78">
        <v>42665</v>
      </c>
      <c r="D1551" s="78" t="s">
        <v>2261</v>
      </c>
      <c r="E1551" s="78">
        <f t="shared" si="129"/>
        <v>42665</v>
      </c>
      <c r="F1551" s="79" t="s">
        <v>1952</v>
      </c>
      <c r="G1551" s="79"/>
      <c r="H1551" s="80" t="s">
        <v>371</v>
      </c>
      <c r="I1551" s="409">
        <v>11350</v>
      </c>
      <c r="J1551" s="407">
        <v>18000</v>
      </c>
      <c r="K1551" s="397"/>
      <c r="L1551" s="406"/>
      <c r="M1551" s="81">
        <f t="shared" si="130"/>
        <v>204300000</v>
      </c>
      <c r="N1551" s="82" t="s">
        <v>268</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customHeight="1">
      <c r="A1552" s="323" t="str">
        <f>IF(B1552&lt;&gt;"",IF(AND(B1552='IN-TC'!$S$4,OR(TH!N1476="1111",TH!O1476="1111")),TH!D1476,""),"")</f>
        <v/>
      </c>
      <c r="B1552" s="63">
        <f t="shared" si="126"/>
        <v>10</v>
      </c>
      <c r="C1552" s="78">
        <v>42656</v>
      </c>
      <c r="D1552" s="78" t="s">
        <v>2243</v>
      </c>
      <c r="E1552" s="78">
        <f t="shared" si="129"/>
        <v>42656</v>
      </c>
      <c r="F1552" s="79" t="s">
        <v>1952</v>
      </c>
      <c r="G1552" s="79"/>
      <c r="H1552" s="80" t="s">
        <v>376</v>
      </c>
      <c r="I1552" s="409">
        <v>11780</v>
      </c>
      <c r="J1552" s="407">
        <v>18000</v>
      </c>
      <c r="K1552" s="397"/>
      <c r="L1552" s="406"/>
      <c r="M1552" s="81">
        <f t="shared" si="130"/>
        <v>212040000</v>
      </c>
      <c r="N1552" s="82" t="s">
        <v>268</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customHeight="1">
      <c r="A1553" s="323" t="str">
        <f>IF(B1553&lt;&gt;"",IF(AND(B1553='IN-TC'!$S$4,OR(TH!N1493="1111",TH!O1493="1111")),TH!D1493,""),"")</f>
        <v/>
      </c>
      <c r="B1553" s="63">
        <f t="shared" si="126"/>
        <v>10</v>
      </c>
      <c r="C1553" s="78">
        <v>42663</v>
      </c>
      <c r="D1553" s="78" t="s">
        <v>2260</v>
      </c>
      <c r="E1553" s="78">
        <f t="shared" si="129"/>
        <v>42663</v>
      </c>
      <c r="F1553" s="79" t="s">
        <v>1952</v>
      </c>
      <c r="G1553" s="79"/>
      <c r="H1553" s="80" t="s">
        <v>381</v>
      </c>
      <c r="I1553" s="409">
        <v>11253</v>
      </c>
      <c r="J1553" s="407">
        <v>18000</v>
      </c>
      <c r="K1553" s="397"/>
      <c r="L1553" s="406"/>
      <c r="M1553" s="81">
        <f t="shared" si="130"/>
        <v>202554000</v>
      </c>
      <c r="N1553" s="82" t="s">
        <v>268</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customHeight="1">
      <c r="A1554" s="323" t="str">
        <f>IF(B1554&lt;&gt;"",IF(AND(B1554='IN-TC'!$S$4,OR(TH!N1469="1111",TH!O1469="1111")),TH!D1469,""),"")</f>
        <v/>
      </c>
      <c r="B1554" s="63">
        <f t="shared" si="126"/>
        <v>10</v>
      </c>
      <c r="C1554" s="78">
        <v>42653</v>
      </c>
      <c r="D1554" s="78" t="s">
        <v>2236</v>
      </c>
      <c r="E1554" s="78">
        <f t="shared" si="129"/>
        <v>42653</v>
      </c>
      <c r="F1554" s="79" t="s">
        <v>1952</v>
      </c>
      <c r="G1554" s="79"/>
      <c r="H1554" s="80" t="s">
        <v>378</v>
      </c>
      <c r="I1554" s="409">
        <v>11868</v>
      </c>
      <c r="J1554" s="407">
        <v>18000</v>
      </c>
      <c r="K1554" s="397"/>
      <c r="L1554" s="406"/>
      <c r="M1554" s="81">
        <f t="shared" si="130"/>
        <v>213624000</v>
      </c>
      <c r="N1554" s="82" t="s">
        <v>268</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customHeight="1">
      <c r="A1555" s="323" t="str">
        <f>IF(B1555&lt;&gt;"",IF(AND(B1555='IN-TC'!$S$4,OR(TH!N1472="1111",TH!O1472="1111")),TH!D1472,""),"")</f>
        <v/>
      </c>
      <c r="B1555" s="63">
        <f t="shared" si="126"/>
        <v>10</v>
      </c>
      <c r="C1555" s="78">
        <v>42654</v>
      </c>
      <c r="D1555" s="78" t="s">
        <v>2239</v>
      </c>
      <c r="E1555" s="78">
        <f t="shared" si="129"/>
        <v>42654</v>
      </c>
      <c r="F1555" s="79" t="s">
        <v>1952</v>
      </c>
      <c r="G1555" s="79"/>
      <c r="H1555" s="80" t="s">
        <v>386</v>
      </c>
      <c r="I1555" s="409">
        <v>11450</v>
      </c>
      <c r="J1555" s="407">
        <v>18000</v>
      </c>
      <c r="K1555" s="397"/>
      <c r="L1555" s="406"/>
      <c r="M1555" s="81">
        <f t="shared" si="130"/>
        <v>206100000</v>
      </c>
      <c r="N1555" s="82" t="s">
        <v>268</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customHeight="1">
      <c r="A1556" s="323" t="str">
        <f>IF(B1556&lt;&gt;"",IF(AND(B1556='IN-TC'!$S$4,OR(TH!N1484="1111",TH!O1484="1111")),TH!D1484,""),"")</f>
        <v/>
      </c>
      <c r="B1556" s="63">
        <f t="shared" si="126"/>
        <v>10</v>
      </c>
      <c r="C1556" s="78">
        <v>42658</v>
      </c>
      <c r="D1556" s="78" t="s">
        <v>2251</v>
      </c>
      <c r="E1556" s="78">
        <f t="shared" si="129"/>
        <v>42658</v>
      </c>
      <c r="F1556" s="79" t="s">
        <v>1952</v>
      </c>
      <c r="G1556" s="79"/>
      <c r="H1556" s="80" t="s">
        <v>376</v>
      </c>
      <c r="I1556" s="409">
        <v>11490</v>
      </c>
      <c r="J1556" s="407">
        <v>18000</v>
      </c>
      <c r="K1556" s="397"/>
      <c r="L1556" s="406"/>
      <c r="M1556" s="81">
        <f t="shared" si="130"/>
        <v>206820000</v>
      </c>
      <c r="N1556" s="82" t="s">
        <v>268</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customHeight="1">
      <c r="A1557" s="323" t="str">
        <f>IF(B1557&lt;&gt;"",IF(AND(B1557='IN-TC'!$S$4,OR(TH!N1500="1111",TH!O1500="1111")),TH!D1500,""),"")</f>
        <v/>
      </c>
      <c r="B1557" s="63">
        <f t="shared" si="126"/>
        <v>10</v>
      </c>
      <c r="C1557" s="78">
        <v>42668</v>
      </c>
      <c r="D1557" s="78" t="s">
        <v>2288</v>
      </c>
      <c r="E1557" s="78">
        <f t="shared" si="129"/>
        <v>42668</v>
      </c>
      <c r="F1557" s="79" t="s">
        <v>1952</v>
      </c>
      <c r="G1557" s="79"/>
      <c r="H1557" s="80" t="s">
        <v>381</v>
      </c>
      <c r="I1557" s="409">
        <v>11420</v>
      </c>
      <c r="J1557" s="407">
        <v>18000</v>
      </c>
      <c r="K1557" s="397"/>
      <c r="L1557" s="406"/>
      <c r="M1557" s="81">
        <f t="shared" si="130"/>
        <v>205560000</v>
      </c>
      <c r="N1557" s="82" t="s">
        <v>268</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customHeight="1">
      <c r="A1558" s="323" t="str">
        <f>IF(B1558&lt;&gt;"",IF(AND(B1558='IN-TC'!$S$4,OR(TH!N1488="1111",TH!O1488="1111")),TH!D1488,""),"")</f>
        <v/>
      </c>
      <c r="B1558" s="63">
        <f t="shared" si="126"/>
        <v>10</v>
      </c>
      <c r="C1558" s="78">
        <v>42661</v>
      </c>
      <c r="D1558" s="78" t="s">
        <v>2255</v>
      </c>
      <c r="E1558" s="78">
        <f t="shared" si="129"/>
        <v>42661</v>
      </c>
      <c r="F1558" s="79" t="s">
        <v>1952</v>
      </c>
      <c r="G1558" s="79"/>
      <c r="H1558" s="80" t="s">
        <v>1953</v>
      </c>
      <c r="I1558" s="409">
        <v>11350</v>
      </c>
      <c r="J1558" s="407">
        <v>18000</v>
      </c>
      <c r="K1558" s="397"/>
      <c r="L1558" s="406"/>
      <c r="M1558" s="81">
        <f t="shared" si="130"/>
        <v>204300000</v>
      </c>
      <c r="N1558" s="82" t="s">
        <v>268</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customHeight="1">
      <c r="A1559" s="323" t="str">
        <f>IF(B1559&lt;&gt;"",IF(AND(B1559='IN-TC'!$S$4,OR(TH!N1486="1111",TH!O1486="1111")),TH!D1486,""),"")</f>
        <v/>
      </c>
      <c r="B1559" s="63">
        <f t="shared" si="126"/>
        <v>10</v>
      </c>
      <c r="C1559" s="78">
        <v>42658</v>
      </c>
      <c r="D1559" s="78" t="s">
        <v>2253</v>
      </c>
      <c r="E1559" s="78">
        <f t="shared" si="129"/>
        <v>42658</v>
      </c>
      <c r="F1559" s="79" t="s">
        <v>1952</v>
      </c>
      <c r="G1559" s="79"/>
      <c r="H1559" s="80" t="s">
        <v>384</v>
      </c>
      <c r="I1559" s="409">
        <v>12248</v>
      </c>
      <c r="J1559" s="407">
        <v>18000</v>
      </c>
      <c r="K1559" s="397"/>
      <c r="L1559" s="406"/>
      <c r="M1559" s="81">
        <f t="shared" si="130"/>
        <v>220464000</v>
      </c>
      <c r="N1559" s="82" t="s">
        <v>268</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customHeight="1">
      <c r="A1560" s="323" t="str">
        <f>IF(B1560&lt;&gt;"",IF(AND(B1560='IN-TC'!$S$4,OR(TH!N1487="1111",TH!O1487="1111")),TH!D1487,""),"")</f>
        <v/>
      </c>
      <c r="B1560" s="63">
        <f t="shared" si="126"/>
        <v>10</v>
      </c>
      <c r="C1560" s="78">
        <v>42661</v>
      </c>
      <c r="D1560" s="78" t="s">
        <v>2254</v>
      </c>
      <c r="E1560" s="78">
        <f t="shared" si="129"/>
        <v>42661</v>
      </c>
      <c r="F1560" s="79" t="s">
        <v>1952</v>
      </c>
      <c r="G1560" s="79"/>
      <c r="H1560" s="80" t="s">
        <v>376</v>
      </c>
      <c r="I1560" s="409">
        <v>11253</v>
      </c>
      <c r="J1560" s="407">
        <v>18000</v>
      </c>
      <c r="K1560" s="397"/>
      <c r="L1560" s="406"/>
      <c r="M1560" s="81">
        <f t="shared" si="130"/>
        <v>202554000</v>
      </c>
      <c r="N1560" s="82" t="s">
        <v>268</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customHeight="1">
      <c r="A1561" s="323" t="str">
        <f>IF(B1561&lt;&gt;"",IF(AND(B1561='IN-TC'!$S$4,OR(TH!N1501="1111",TH!O1501="1111")),TH!D1501,""),"")</f>
        <v/>
      </c>
      <c r="B1561" s="63">
        <f t="shared" si="126"/>
        <v>10</v>
      </c>
      <c r="C1561" s="78">
        <v>42668</v>
      </c>
      <c r="D1561" s="78" t="s">
        <v>2289</v>
      </c>
      <c r="E1561" s="78">
        <f t="shared" si="129"/>
        <v>42668</v>
      </c>
      <c r="F1561" s="79" t="s">
        <v>1952</v>
      </c>
      <c r="G1561" s="79"/>
      <c r="H1561" s="80" t="s">
        <v>371</v>
      </c>
      <c r="I1561" s="409">
        <v>11560</v>
      </c>
      <c r="J1561" s="407">
        <v>18000</v>
      </c>
      <c r="K1561" s="397"/>
      <c r="L1561" s="406"/>
      <c r="M1561" s="81">
        <f t="shared" si="130"/>
        <v>208080000</v>
      </c>
      <c r="N1561" s="82" t="s">
        <v>268</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customHeight="1">
      <c r="A1562" s="323" t="str">
        <f>IF(B1562&lt;&gt;"",IF(AND(B1562='IN-TC'!$S$4,OR(TH!N1489="1111",TH!O1489="1111")),TH!D1489,""),"")</f>
        <v/>
      </c>
      <c r="B1562" s="63">
        <f t="shared" si="126"/>
        <v>10</v>
      </c>
      <c r="C1562" s="78">
        <v>42661</v>
      </c>
      <c r="D1562" s="78" t="s">
        <v>2256</v>
      </c>
      <c r="E1562" s="78">
        <f t="shared" si="129"/>
        <v>42661</v>
      </c>
      <c r="F1562" s="79" t="s">
        <v>1952</v>
      </c>
      <c r="G1562" s="79"/>
      <c r="H1562" s="80" t="s">
        <v>384</v>
      </c>
      <c r="I1562" s="409">
        <v>11856</v>
      </c>
      <c r="J1562" s="407">
        <v>18000</v>
      </c>
      <c r="K1562" s="397"/>
      <c r="L1562" s="406"/>
      <c r="M1562" s="81">
        <f t="shared" si="130"/>
        <v>213408000</v>
      </c>
      <c r="N1562" s="82" t="s">
        <v>268</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customHeight="1">
      <c r="A1563" s="323" t="str">
        <f>IF(B1563&lt;&gt;"",IF(AND(B1563='IN-TC'!$S$4,OR(TH!N1520="1111",TH!O1520="1111")),TH!D1520,""),"")</f>
        <v/>
      </c>
      <c r="B1563" s="63">
        <f t="shared" si="126"/>
        <v>10</v>
      </c>
      <c r="C1563" s="78">
        <v>42674</v>
      </c>
      <c r="D1563" s="78" t="s">
        <v>2633</v>
      </c>
      <c r="E1563" s="78">
        <f t="shared" si="129"/>
        <v>42674</v>
      </c>
      <c r="F1563" s="79" t="s">
        <v>1952</v>
      </c>
      <c r="G1563" s="79"/>
      <c r="H1563" s="80" t="s">
        <v>371</v>
      </c>
      <c r="I1563" s="409">
        <v>12256</v>
      </c>
      <c r="J1563" s="407">
        <v>18000</v>
      </c>
      <c r="K1563" s="397"/>
      <c r="L1563" s="406"/>
      <c r="M1563" s="81">
        <f t="shared" si="130"/>
        <v>220608000</v>
      </c>
      <c r="N1563" s="82" t="s">
        <v>268</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customHeight="1">
      <c r="A1564" s="323" t="str">
        <f>IF(B1564&lt;&gt;"",IF(AND(B1564='IN-TC'!$S$4,OR(TH!N1516="1111",TH!O1516="1111")),TH!D1516,""),"")</f>
        <v/>
      </c>
      <c r="B1564" s="63">
        <f t="shared" si="126"/>
        <v>10</v>
      </c>
      <c r="C1564" s="78">
        <v>42672</v>
      </c>
      <c r="D1564" s="78" t="s">
        <v>2304</v>
      </c>
      <c r="E1564" s="78">
        <f t="shared" si="129"/>
        <v>42672</v>
      </c>
      <c r="F1564" s="79" t="s">
        <v>1952</v>
      </c>
      <c r="G1564" s="79"/>
      <c r="H1564" s="80" t="s">
        <v>381</v>
      </c>
      <c r="I1564" s="409">
        <v>11498</v>
      </c>
      <c r="J1564" s="407">
        <v>18000</v>
      </c>
      <c r="K1564" s="397"/>
      <c r="L1564" s="406"/>
      <c r="M1564" s="81">
        <f t="shared" si="130"/>
        <v>206964000</v>
      </c>
      <c r="N1564" s="82" t="s">
        <v>268</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customHeight="1">
      <c r="A1565" s="323" t="str">
        <f>IF(B1565&lt;&gt;"",IF(AND(B1565='IN-TC'!$S$4,OR(TH!N1481="1111",TH!O1481="1111")),TH!D1481,""),"")</f>
        <v/>
      </c>
      <c r="B1565" s="63">
        <f t="shared" si="126"/>
        <v>10</v>
      </c>
      <c r="C1565" s="78">
        <v>42657</v>
      </c>
      <c r="D1565" s="78" t="s">
        <v>2248</v>
      </c>
      <c r="E1565" s="78">
        <f t="shared" si="129"/>
        <v>42657</v>
      </c>
      <c r="F1565" s="79" t="s">
        <v>1952</v>
      </c>
      <c r="G1565" s="79"/>
      <c r="H1565" s="80" t="s">
        <v>378</v>
      </c>
      <c r="I1565" s="409">
        <v>11420</v>
      </c>
      <c r="J1565" s="407">
        <v>18000</v>
      </c>
      <c r="K1565" s="397"/>
      <c r="L1565" s="406"/>
      <c r="M1565" s="81">
        <f t="shared" si="130"/>
        <v>205560000</v>
      </c>
      <c r="N1565" s="82" t="s">
        <v>268</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customHeight="1">
      <c r="A1566" s="323" t="str">
        <f>IF(B1566&lt;&gt;"",IF(AND(B1566='IN-TC'!$S$4,OR(TH!N1510="1111",TH!O1510="1111")),TH!D1510,""),"")</f>
        <v/>
      </c>
      <c r="B1566" s="63">
        <f t="shared" si="126"/>
        <v>10</v>
      </c>
      <c r="C1566" s="78">
        <v>42670</v>
      </c>
      <c r="D1566" s="78" t="s">
        <v>2298</v>
      </c>
      <c r="E1566" s="78">
        <v>42672</v>
      </c>
      <c r="F1566" s="79" t="s">
        <v>1935</v>
      </c>
      <c r="G1566" s="79"/>
      <c r="H1566" s="80" t="s">
        <v>1950</v>
      </c>
      <c r="I1566" s="406">
        <v>8503</v>
      </c>
      <c r="J1566" s="407">
        <v>19000</v>
      </c>
      <c r="K1566" s="397"/>
      <c r="L1566" s="406"/>
      <c r="M1566" s="81">
        <f t="shared" si="130"/>
        <v>161557000</v>
      </c>
      <c r="N1566" s="82" t="s">
        <v>268</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customHeight="1">
      <c r="A1567" s="323" t="str">
        <f>IF(B1567&lt;&gt;"",IF(AND(B1567='IN-TC'!$S$4,OR(TH!N1351="1111",TH!O1351="1111")),TH!D1351,""),"")</f>
        <v/>
      </c>
      <c r="B1567" s="63">
        <f t="shared" si="126"/>
        <v>7</v>
      </c>
      <c r="C1567" s="78">
        <f>E1567</f>
        <v>42580</v>
      </c>
      <c r="D1567" s="78" t="s">
        <v>943</v>
      </c>
      <c r="E1567" s="78">
        <v>42580</v>
      </c>
      <c r="F1567" s="79" t="s">
        <v>1935</v>
      </c>
      <c r="G1567" s="79" t="s">
        <v>337</v>
      </c>
      <c r="H1567" s="80" t="s">
        <v>418</v>
      </c>
      <c r="I1567" s="406">
        <v>7930</v>
      </c>
      <c r="J1567" s="407">
        <v>19000</v>
      </c>
      <c r="K1567" s="397"/>
      <c r="L1567" s="406"/>
      <c r="M1567" s="81">
        <f t="shared" si="130"/>
        <v>150670000</v>
      </c>
      <c r="N1567" s="82" t="s">
        <v>268</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customHeight="1">
      <c r="A1568" s="323" t="str">
        <f>IF(B1568&lt;&gt;"",IF(AND(B1568='IN-TC'!$S$4,OR(TH!N1512="1111",TH!O1512="1111")),TH!D1512,""),"")</f>
        <v/>
      </c>
      <c r="B1568" s="63">
        <f t="shared" si="126"/>
        <v>10</v>
      </c>
      <c r="C1568" s="78">
        <v>42670</v>
      </c>
      <c r="D1568" s="78" t="s">
        <v>2300</v>
      </c>
      <c r="E1568" s="78">
        <v>42672</v>
      </c>
      <c r="F1568" s="79" t="s">
        <v>1935</v>
      </c>
      <c r="G1568" s="79"/>
      <c r="H1568" s="80" t="s">
        <v>1949</v>
      </c>
      <c r="I1568" s="406">
        <v>8750</v>
      </c>
      <c r="J1568" s="407">
        <v>19000</v>
      </c>
      <c r="K1568" s="397"/>
      <c r="L1568" s="406"/>
      <c r="M1568" s="81">
        <f t="shared" si="130"/>
        <v>166250000</v>
      </c>
      <c r="N1568" s="82" t="s">
        <v>268</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customHeight="1">
      <c r="A1569" s="323" t="str">
        <f>IF(B1569&lt;&gt;"",IF(AND(B1569='IN-TC'!$S$4,OR(TH!N1190="1111",TH!O1190="1111")),TH!D1190,""),"")</f>
        <v/>
      </c>
      <c r="B1569" s="63">
        <f t="shared" si="126"/>
        <v>2</v>
      </c>
      <c r="C1569" s="78">
        <f>E1569</f>
        <v>42424</v>
      </c>
      <c r="D1569" s="78" t="s">
        <v>938</v>
      </c>
      <c r="E1569" s="78">
        <v>42424</v>
      </c>
      <c r="F1569" s="79" t="s">
        <v>669</v>
      </c>
      <c r="G1569" s="79"/>
      <c r="H1569" s="80" t="s">
        <v>425</v>
      </c>
      <c r="I1569" s="406">
        <v>7460</v>
      </c>
      <c r="J1569" s="407">
        <v>15500</v>
      </c>
      <c r="K1569" s="397"/>
      <c r="L1569" s="406"/>
      <c r="M1569" s="81">
        <f t="shared" si="130"/>
        <v>115630000</v>
      </c>
      <c r="N1569" s="82" t="s">
        <v>268</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customHeight="1">
      <c r="A1570" s="323" t="str">
        <f>IF(B1570&lt;&gt;"",IF(AND(B1570='IN-TC'!$S$4,OR(TH!N1514="1111",TH!O1514="1111")),TH!D1514,""),"")</f>
        <v/>
      </c>
      <c r="B1570" s="63">
        <f t="shared" si="126"/>
        <v>10</v>
      </c>
      <c r="C1570" s="78">
        <v>42672</v>
      </c>
      <c r="D1570" s="78" t="s">
        <v>2302</v>
      </c>
      <c r="E1570" s="78">
        <f>C1570</f>
        <v>42672</v>
      </c>
      <c r="F1570" s="79" t="s">
        <v>1952</v>
      </c>
      <c r="G1570" s="79"/>
      <c r="H1570" s="80" t="s">
        <v>388</v>
      </c>
      <c r="I1570" s="409">
        <v>11790</v>
      </c>
      <c r="J1570" s="407">
        <v>18000</v>
      </c>
      <c r="K1570" s="397"/>
      <c r="L1570" s="406"/>
      <c r="M1570" s="81">
        <f t="shared" si="130"/>
        <v>212220000</v>
      </c>
      <c r="N1570" s="82" t="s">
        <v>268</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customHeight="1">
      <c r="A1571" s="323" t="str">
        <f>IF(B1571&lt;&gt;"",IF(AND(B1571='IN-TC'!$S$4,OR(TH!N1480="1111",TH!O1480="1111")),TH!D1480,""),"")</f>
        <v/>
      </c>
      <c r="B1571" s="63">
        <f t="shared" si="126"/>
        <v>10</v>
      </c>
      <c r="C1571" s="78">
        <v>42657</v>
      </c>
      <c r="D1571" s="78" t="s">
        <v>2247</v>
      </c>
      <c r="E1571" s="78">
        <f>C1571</f>
        <v>42657</v>
      </c>
      <c r="F1571" s="79" t="s">
        <v>1952</v>
      </c>
      <c r="G1571" s="79"/>
      <c r="H1571" s="80" t="s">
        <v>386</v>
      </c>
      <c r="I1571" s="409">
        <v>11810</v>
      </c>
      <c r="J1571" s="407">
        <v>18000</v>
      </c>
      <c r="K1571" s="397"/>
      <c r="L1571" s="406"/>
      <c r="M1571" s="81">
        <f t="shared" si="130"/>
        <v>212580000</v>
      </c>
      <c r="N1571" s="82" t="s">
        <v>268</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customHeight="1">
      <c r="A1572" s="323" t="str">
        <f>IF(B1572&lt;&gt;"",IF(AND(B1572='IN-TC'!$S$4,OR(TH!N2309="1111",TH!O2309="1111")),TH!D2309,""),"")</f>
        <v/>
      </c>
      <c r="B1572" s="63">
        <f t="shared" si="126"/>
        <v>10</v>
      </c>
      <c r="C1572" s="64">
        <v>42674</v>
      </c>
      <c r="D1572" s="64" t="s">
        <v>2274</v>
      </c>
      <c r="E1572" s="64">
        <v>42674</v>
      </c>
      <c r="F1572" s="72" t="s">
        <v>932</v>
      </c>
      <c r="G1572" s="67" t="s">
        <v>331</v>
      </c>
      <c r="H1572" s="329" t="s">
        <v>371</v>
      </c>
      <c r="I1572" s="408"/>
      <c r="J1572" s="408"/>
      <c r="K1572" s="399"/>
      <c r="L1572" s="408"/>
      <c r="M1572" s="65">
        <v>1520033000</v>
      </c>
      <c r="N1572" s="66" t="s">
        <v>8</v>
      </c>
      <c r="O1572" s="66" t="s">
        <v>266</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customHeight="1">
      <c r="A1573" s="323" t="str">
        <f>IF(B1573&lt;&gt;"",IF(AND(B1573='IN-TC'!$S$4,OR(TH!N2311="1111",TH!O2311="1111")),TH!D2311,""),"")</f>
        <v/>
      </c>
      <c r="B1573" s="63">
        <f t="shared" si="126"/>
        <v>10</v>
      </c>
      <c r="C1573" s="64">
        <v>42674</v>
      </c>
      <c r="D1573" s="64" t="s">
        <v>2274</v>
      </c>
      <c r="E1573" s="64">
        <v>42674</v>
      </c>
      <c r="F1573" s="72" t="s">
        <v>932</v>
      </c>
      <c r="G1573" s="67" t="s">
        <v>331</v>
      </c>
      <c r="H1573" s="329" t="s">
        <v>381</v>
      </c>
      <c r="I1573" s="408"/>
      <c r="J1573" s="408"/>
      <c r="K1573" s="399"/>
      <c r="L1573" s="408"/>
      <c r="M1573" s="65">
        <v>1421326000</v>
      </c>
      <c r="N1573" s="66" t="s">
        <v>8</v>
      </c>
      <c r="O1573" s="66" t="s">
        <v>266</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customHeight="1">
      <c r="A1574" s="323" t="str">
        <f>IF(B1574&lt;&gt;"",IF(AND(B1574='IN-TC'!$S$4,OR(TH!N2304="1111",TH!O2304="1111")),TH!D2304,""),"")</f>
        <v/>
      </c>
      <c r="B1574" s="63">
        <f t="shared" si="126"/>
        <v>10</v>
      </c>
      <c r="C1574" s="64">
        <v>42674</v>
      </c>
      <c r="D1574" s="64" t="s">
        <v>2273</v>
      </c>
      <c r="E1574" s="64">
        <v>42674</v>
      </c>
      <c r="F1574" s="72" t="s">
        <v>932</v>
      </c>
      <c r="G1574" s="67" t="s">
        <v>337</v>
      </c>
      <c r="H1574" s="80" t="s">
        <v>1950</v>
      </c>
      <c r="I1574" s="408"/>
      <c r="J1574" s="408"/>
      <c r="K1574" s="399"/>
      <c r="L1574" s="408"/>
      <c r="M1574" s="65">
        <v>331607000</v>
      </c>
      <c r="N1574" s="66" t="s">
        <v>8</v>
      </c>
      <c r="O1574" s="66" t="s">
        <v>266</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customHeight="1">
      <c r="A1575" s="323" t="str">
        <f>IF(B1575&lt;&gt;"",IF(AND(B1575='IN-TC'!$S$4,OR(TH!N2259="1111",TH!O2259="1111")),TH!D2259,""),"")</f>
        <v/>
      </c>
      <c r="B1575" s="63">
        <f t="shared" si="126"/>
        <v>7</v>
      </c>
      <c r="C1575" s="64">
        <f>E1575</f>
        <v>42582</v>
      </c>
      <c r="D1575" s="64" t="s">
        <v>2212</v>
      </c>
      <c r="E1575" s="64">
        <v>42582</v>
      </c>
      <c r="F1575" s="72" t="s">
        <v>932</v>
      </c>
      <c r="G1575" s="67" t="s">
        <v>337</v>
      </c>
      <c r="H1575" s="329" t="s">
        <v>423</v>
      </c>
      <c r="I1575" s="410"/>
      <c r="J1575" s="410"/>
      <c r="K1575" s="401"/>
      <c r="L1575" s="410"/>
      <c r="M1575" s="65">
        <v>293664000</v>
      </c>
      <c r="N1575" s="66" t="s">
        <v>8</v>
      </c>
      <c r="O1575" s="66" t="s">
        <v>266</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customHeight="1">
      <c r="A1576" s="323" t="str">
        <f>IF(B1576&lt;&gt;"",IF(AND(B1576='IN-TC'!$S$4,OR(TH!N1392="1111",TH!O1392="1111")),TH!D1392,""),"")</f>
        <v/>
      </c>
      <c r="B1576" s="63">
        <f t="shared" si="126"/>
        <v>9</v>
      </c>
      <c r="C1576" s="78">
        <v>42622</v>
      </c>
      <c r="D1576" s="78" t="s">
        <v>936</v>
      </c>
      <c r="E1576" s="78">
        <f t="shared" ref="E1576:E1588" si="131">C1576</f>
        <v>42622</v>
      </c>
      <c r="F1576" s="79" t="s">
        <v>669</v>
      </c>
      <c r="G1576" s="79" t="s">
        <v>337</v>
      </c>
      <c r="H1576" s="80" t="s">
        <v>421</v>
      </c>
      <c r="I1576" s="406">
        <v>6520</v>
      </c>
      <c r="J1576" s="407">
        <v>16000</v>
      </c>
      <c r="K1576" s="397"/>
      <c r="L1576" s="406"/>
      <c r="M1576" s="81">
        <f t="shared" ref="M1576:M1588" si="132">ROUND(I1576*J1576,0)</f>
        <v>104320000</v>
      </c>
      <c r="N1576" s="82" t="s">
        <v>268</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customHeight="1">
      <c r="A1577" s="323" t="str">
        <f>IF(B1577&lt;&gt;"",IF(AND(B1577='IN-TC'!$S$4,OR(TH!N1495="1111",TH!O1495="1111")),TH!D1495,""),"")</f>
        <v/>
      </c>
      <c r="B1577" s="63">
        <f t="shared" si="126"/>
        <v>10</v>
      </c>
      <c r="C1577" s="78">
        <v>42665</v>
      </c>
      <c r="D1577" s="78" t="s">
        <v>2262</v>
      </c>
      <c r="E1577" s="78">
        <f t="shared" si="131"/>
        <v>42665</v>
      </c>
      <c r="F1577" s="79" t="s">
        <v>1952</v>
      </c>
      <c r="G1577" s="79"/>
      <c r="H1577" s="80" t="s">
        <v>376</v>
      </c>
      <c r="I1577" s="409">
        <v>11980</v>
      </c>
      <c r="J1577" s="407">
        <v>18000</v>
      </c>
      <c r="K1577" s="397"/>
      <c r="L1577" s="406"/>
      <c r="M1577" s="81">
        <f t="shared" si="132"/>
        <v>215640000</v>
      </c>
      <c r="N1577" s="82" t="s">
        <v>268</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customHeight="1">
      <c r="A1578" s="323" t="str">
        <f>IF(B1578&lt;&gt;"",IF(AND(B1578='IN-TC'!$S$4,OR(TH!N1496="1111",TH!O1496="1111")),TH!D1496,""),"")</f>
        <v/>
      </c>
      <c r="B1578" s="63">
        <f t="shared" si="126"/>
        <v>10</v>
      </c>
      <c r="C1578" s="78">
        <v>42665</v>
      </c>
      <c r="D1578" s="78" t="s">
        <v>2284</v>
      </c>
      <c r="E1578" s="78">
        <f t="shared" si="131"/>
        <v>42665</v>
      </c>
      <c r="F1578" s="79" t="s">
        <v>1952</v>
      </c>
      <c r="G1578" s="79"/>
      <c r="H1578" s="80" t="s">
        <v>1953</v>
      </c>
      <c r="I1578" s="409">
        <v>11840</v>
      </c>
      <c r="J1578" s="407">
        <v>18000</v>
      </c>
      <c r="K1578" s="397"/>
      <c r="L1578" s="406"/>
      <c r="M1578" s="81">
        <f t="shared" si="132"/>
        <v>213120000</v>
      </c>
      <c r="N1578" s="82" t="s">
        <v>268</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customHeight="1">
      <c r="A1579" s="323" t="str">
        <f>IF(B1579&lt;&gt;"",IF(AND(B1579='IN-TC'!$S$4,OR(TH!N1497="1111",TH!O1497="1111")),TH!D1497,""),"")</f>
        <v/>
      </c>
      <c r="B1579" s="63">
        <f t="shared" si="126"/>
        <v>10</v>
      </c>
      <c r="C1579" s="78">
        <v>42665</v>
      </c>
      <c r="D1579" s="78" t="s">
        <v>2285</v>
      </c>
      <c r="E1579" s="78">
        <f t="shared" si="131"/>
        <v>42665</v>
      </c>
      <c r="F1579" s="79" t="s">
        <v>1952</v>
      </c>
      <c r="G1579" s="79"/>
      <c r="H1579" s="80" t="s">
        <v>384</v>
      </c>
      <c r="I1579" s="409">
        <v>11420</v>
      </c>
      <c r="J1579" s="407">
        <v>18000</v>
      </c>
      <c r="K1579" s="397"/>
      <c r="L1579" s="406"/>
      <c r="M1579" s="81">
        <f t="shared" si="132"/>
        <v>205560000</v>
      </c>
      <c r="N1579" s="82" t="s">
        <v>268</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customHeight="1">
      <c r="A1580" s="323" t="str">
        <f>IF(B1580&lt;&gt;"",IF(AND(B1580='IN-TC'!$S$4,OR(TH!N1522="1111",TH!O1522="1111")),TH!D1522,""),"")</f>
        <v/>
      </c>
      <c r="B1580" s="63">
        <f t="shared" si="126"/>
        <v>10</v>
      </c>
      <c r="C1580" s="78">
        <v>42674</v>
      </c>
      <c r="D1580" s="78" t="s">
        <v>2635</v>
      </c>
      <c r="E1580" s="78">
        <f t="shared" si="131"/>
        <v>42674</v>
      </c>
      <c r="F1580" s="79" t="s">
        <v>1952</v>
      </c>
      <c r="G1580" s="79"/>
      <c r="H1580" s="80" t="s">
        <v>388</v>
      </c>
      <c r="I1580" s="409">
        <v>11625</v>
      </c>
      <c r="J1580" s="407">
        <v>18000</v>
      </c>
      <c r="K1580" s="397"/>
      <c r="L1580" s="406"/>
      <c r="M1580" s="81">
        <f t="shared" si="132"/>
        <v>209250000</v>
      </c>
      <c r="N1580" s="82" t="s">
        <v>268</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customHeight="1">
      <c r="A1581" s="323" t="str">
        <f>IF(B1581&lt;&gt;"",IF(AND(B1581='IN-TC'!$S$4,OR(TH!N1490="1111",TH!O1490="1111")),TH!D1490,""),"")</f>
        <v/>
      </c>
      <c r="B1581" s="63">
        <f t="shared" si="126"/>
        <v>10</v>
      </c>
      <c r="C1581" s="78">
        <v>42663</v>
      </c>
      <c r="D1581" s="78" t="s">
        <v>2257</v>
      </c>
      <c r="E1581" s="78">
        <f t="shared" si="131"/>
        <v>42663</v>
      </c>
      <c r="F1581" s="79" t="s">
        <v>1952</v>
      </c>
      <c r="G1581" s="79"/>
      <c r="H1581" s="80" t="s">
        <v>386</v>
      </c>
      <c r="I1581" s="409">
        <v>11490</v>
      </c>
      <c r="J1581" s="407">
        <v>18000</v>
      </c>
      <c r="K1581" s="397"/>
      <c r="L1581" s="406"/>
      <c r="M1581" s="81">
        <f t="shared" si="132"/>
        <v>206820000</v>
      </c>
      <c r="N1581" s="82" t="s">
        <v>268</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customHeight="1">
      <c r="A1582" s="323" t="str">
        <f>IF(B1582&lt;&gt;"",IF(AND(B1582='IN-TC'!$S$4,OR(TH!N1491="1111",TH!O1491="1111")),TH!D1491,""),"")</f>
        <v/>
      </c>
      <c r="B1582" s="63">
        <f t="shared" ref="B1582:B1645" si="133">IF(C1582&lt;&gt;"",MONTH(C1582),"")</f>
        <v>10</v>
      </c>
      <c r="C1582" s="78">
        <v>42663</v>
      </c>
      <c r="D1582" s="78" t="s">
        <v>2258</v>
      </c>
      <c r="E1582" s="78">
        <f t="shared" si="131"/>
        <v>42663</v>
      </c>
      <c r="F1582" s="79" t="s">
        <v>1952</v>
      </c>
      <c r="G1582" s="79"/>
      <c r="H1582" s="80" t="s">
        <v>378</v>
      </c>
      <c r="I1582" s="409">
        <v>11766</v>
      </c>
      <c r="J1582" s="407">
        <v>18000</v>
      </c>
      <c r="K1582" s="397"/>
      <c r="L1582" s="406"/>
      <c r="M1582" s="81">
        <f t="shared" si="132"/>
        <v>211788000</v>
      </c>
      <c r="N1582" s="82" t="s">
        <v>268</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customHeight="1">
      <c r="A1583" s="323" t="str">
        <f>IF(B1583&lt;&gt;"",IF(AND(B1583='IN-TC'!$S$4,OR(TH!N1553="1111",TH!O1553="1111")),TH!D1553,""),"")</f>
        <v/>
      </c>
      <c r="B1583" s="63">
        <f t="shared" si="133"/>
        <v>11</v>
      </c>
      <c r="C1583" s="78">
        <v>42675</v>
      </c>
      <c r="D1583" s="78" t="s">
        <v>924</v>
      </c>
      <c r="E1583" s="78">
        <f t="shared" si="131"/>
        <v>42675</v>
      </c>
      <c r="F1583" s="79" t="s">
        <v>1952</v>
      </c>
      <c r="G1583" s="79" t="s">
        <v>331</v>
      </c>
      <c r="H1583" s="80" t="s">
        <v>381</v>
      </c>
      <c r="I1583" s="409">
        <v>11450</v>
      </c>
      <c r="J1583" s="407">
        <v>18000</v>
      </c>
      <c r="K1583" s="397"/>
      <c r="L1583" s="406"/>
      <c r="M1583" s="81">
        <f t="shared" si="132"/>
        <v>206100000</v>
      </c>
      <c r="N1583" s="82" t="s">
        <v>268</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x</v>
      </c>
    </row>
    <row r="1584" spans="1:30" ht="15.75" customHeight="1">
      <c r="A1584" s="323" t="str">
        <f>IF(B1584&lt;&gt;"",IF(AND(B1584='IN-TC'!$S$4,OR(TH!N1509="1111",TH!O1509="1111")),TH!D1509,""),"")</f>
        <v/>
      </c>
      <c r="B1584" s="63">
        <f t="shared" si="133"/>
        <v>10</v>
      </c>
      <c r="C1584" s="78">
        <v>42670</v>
      </c>
      <c r="D1584" s="78" t="s">
        <v>2297</v>
      </c>
      <c r="E1584" s="78">
        <f t="shared" si="131"/>
        <v>42670</v>
      </c>
      <c r="F1584" s="79" t="s">
        <v>1952</v>
      </c>
      <c r="G1584" s="79"/>
      <c r="H1584" s="80" t="s">
        <v>1953</v>
      </c>
      <c r="I1584" s="409">
        <v>11560</v>
      </c>
      <c r="J1584" s="407">
        <v>18000</v>
      </c>
      <c r="K1584" s="397"/>
      <c r="L1584" s="406"/>
      <c r="M1584" s="81">
        <f t="shared" si="132"/>
        <v>208080000</v>
      </c>
      <c r="N1584" s="82" t="s">
        <v>268</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customHeight="1">
      <c r="A1585" s="323" t="str">
        <f>IF(B1585&lt;&gt;"",IF(AND(B1585='IN-TC'!$S$4,OR(TH!N1551="1111",TH!O1551="1111")),TH!D1551,""),"")</f>
        <v/>
      </c>
      <c r="B1585" s="63">
        <f t="shared" si="133"/>
        <v>11</v>
      </c>
      <c r="C1585" s="78">
        <v>42675</v>
      </c>
      <c r="D1585" s="78" t="s">
        <v>922</v>
      </c>
      <c r="E1585" s="78">
        <f t="shared" si="131"/>
        <v>42675</v>
      </c>
      <c r="F1585" s="79" t="s">
        <v>1952</v>
      </c>
      <c r="G1585" s="79" t="s">
        <v>331</v>
      </c>
      <c r="H1585" s="80" t="s">
        <v>371</v>
      </c>
      <c r="I1585" s="409">
        <v>11530</v>
      </c>
      <c r="J1585" s="407">
        <v>18000</v>
      </c>
      <c r="K1585" s="397"/>
      <c r="L1585" s="406"/>
      <c r="M1585" s="81">
        <f t="shared" si="132"/>
        <v>207540000</v>
      </c>
      <c r="N1585" s="82" t="s">
        <v>268</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x</v>
      </c>
    </row>
    <row r="1586" spans="1:30" ht="15.75" customHeight="1">
      <c r="A1586" s="323" t="str">
        <f>IF(B1586&lt;&gt;"",IF(AND(B1586='IN-TC'!$S$4,OR(TH!N1513="1111",TH!O1513="1111")),TH!D1513,""),"")</f>
        <v/>
      </c>
      <c r="B1586" s="63">
        <f t="shared" si="133"/>
        <v>10</v>
      </c>
      <c r="C1586" s="78">
        <v>42672</v>
      </c>
      <c r="D1586" s="78" t="s">
        <v>2301</v>
      </c>
      <c r="E1586" s="78">
        <f t="shared" si="131"/>
        <v>42672</v>
      </c>
      <c r="F1586" s="79" t="s">
        <v>1952</v>
      </c>
      <c r="G1586" s="79"/>
      <c r="H1586" s="80" t="s">
        <v>376</v>
      </c>
      <c r="I1586" s="409">
        <v>11980</v>
      </c>
      <c r="J1586" s="407">
        <v>18000</v>
      </c>
      <c r="K1586" s="397"/>
      <c r="L1586" s="406"/>
      <c r="M1586" s="81">
        <f t="shared" si="132"/>
        <v>215640000</v>
      </c>
      <c r="N1586" s="82" t="s">
        <v>268</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customHeight="1">
      <c r="A1587" s="323" t="str">
        <f>IF(B1587&lt;&gt;"",IF(AND(B1587='IN-TC'!$S$4,OR(TH!N1508="1111",TH!O1508="1111")),TH!D1508,""),"")</f>
        <v/>
      </c>
      <c r="B1587" s="63">
        <f t="shared" si="133"/>
        <v>10</v>
      </c>
      <c r="C1587" s="78">
        <v>42670</v>
      </c>
      <c r="D1587" s="78" t="s">
        <v>2296</v>
      </c>
      <c r="E1587" s="78">
        <f t="shared" si="131"/>
        <v>42670</v>
      </c>
      <c r="F1587" s="79" t="s">
        <v>1952</v>
      </c>
      <c r="G1587" s="79"/>
      <c r="H1587" s="80" t="s">
        <v>386</v>
      </c>
      <c r="I1587" s="409">
        <v>12266</v>
      </c>
      <c r="J1587" s="407">
        <v>18000</v>
      </c>
      <c r="K1587" s="397"/>
      <c r="L1587" s="406"/>
      <c r="M1587" s="81">
        <f t="shared" si="132"/>
        <v>220788000</v>
      </c>
      <c r="N1587" s="82" t="s">
        <v>268</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customHeight="1">
      <c r="A1588" s="323" t="str">
        <f>IF(B1588&lt;&gt;"",IF(AND(B1588='IN-TC'!$S$4,OR(TH!N1506="1111",TH!O1506="1111")),TH!D1506,""),"")</f>
        <v/>
      </c>
      <c r="B1588" s="63">
        <f t="shared" si="133"/>
        <v>10</v>
      </c>
      <c r="C1588" s="78">
        <v>42670</v>
      </c>
      <c r="D1588" s="78" t="s">
        <v>2294</v>
      </c>
      <c r="E1588" s="78">
        <f t="shared" si="131"/>
        <v>42670</v>
      </c>
      <c r="F1588" s="79" t="s">
        <v>1952</v>
      </c>
      <c r="G1588" s="79"/>
      <c r="H1588" s="80" t="s">
        <v>384</v>
      </c>
      <c r="I1588" s="409">
        <v>11256</v>
      </c>
      <c r="J1588" s="407">
        <v>18000</v>
      </c>
      <c r="K1588" s="397"/>
      <c r="L1588" s="406"/>
      <c r="M1588" s="81">
        <f t="shared" si="132"/>
        <v>202608000</v>
      </c>
      <c r="N1588" s="82" t="s">
        <v>268</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customHeight="1">
      <c r="A1589" s="323" t="str">
        <f>IF(B1589&lt;&gt;"",IF(AND(B1589='IN-TC'!$S$4,OR(TH!N2310="1111",TH!O2310="1111")),TH!D2310,""),"")</f>
        <v/>
      </c>
      <c r="B1589" s="63">
        <f t="shared" si="133"/>
        <v>10</v>
      </c>
      <c r="C1589" s="64">
        <v>42674</v>
      </c>
      <c r="D1589" s="64" t="s">
        <v>2274</v>
      </c>
      <c r="E1589" s="64">
        <v>42674</v>
      </c>
      <c r="F1589" s="72" t="s">
        <v>932</v>
      </c>
      <c r="G1589" s="67" t="s">
        <v>331</v>
      </c>
      <c r="H1589" s="329" t="s">
        <v>388</v>
      </c>
      <c r="I1589" s="408"/>
      <c r="J1589" s="408"/>
      <c r="K1589" s="399"/>
      <c r="L1589" s="408"/>
      <c r="M1589" s="65">
        <v>1408924500</v>
      </c>
      <c r="N1589" s="66" t="s">
        <v>8</v>
      </c>
      <c r="O1589" s="66" t="s">
        <v>266</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customHeight="1">
      <c r="A1590" s="323" t="str">
        <f>IF(B1590&lt;&gt;"",IF(AND(B1590='IN-TC'!$S$4,OR(TH!N1499="1111",TH!O1499="1111")),TH!D1499,""),"")</f>
        <v/>
      </c>
      <c r="B1590" s="63">
        <f t="shared" si="133"/>
        <v>10</v>
      </c>
      <c r="C1590" s="78">
        <v>42668</v>
      </c>
      <c r="D1590" s="78" t="s">
        <v>2287</v>
      </c>
      <c r="E1590" s="78">
        <f>C1590</f>
        <v>42668</v>
      </c>
      <c r="F1590" s="79" t="s">
        <v>1952</v>
      </c>
      <c r="G1590" s="79"/>
      <c r="H1590" s="80" t="s">
        <v>378</v>
      </c>
      <c r="I1590" s="409">
        <v>11560</v>
      </c>
      <c r="J1590" s="407">
        <v>18000</v>
      </c>
      <c r="K1590" s="397"/>
      <c r="L1590" s="406"/>
      <c r="M1590" s="81">
        <f>ROUND(I1590*J1590,0)</f>
        <v>208080000</v>
      </c>
      <c r="N1590" s="82" t="s">
        <v>268</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customHeight="1">
      <c r="A1591" s="323" t="str">
        <f>IF(B1591&lt;&gt;"",IF(AND(B1591='IN-TC'!$S$4,OR(TH!N1557="1111",TH!O1557="1111")),TH!D1557,""),"")</f>
        <v/>
      </c>
      <c r="B1591" s="63">
        <f t="shared" si="133"/>
        <v>11</v>
      </c>
      <c r="C1591" s="78">
        <v>42676</v>
      </c>
      <c r="D1591" s="78" t="s">
        <v>933</v>
      </c>
      <c r="E1591" s="78">
        <f>C1591</f>
        <v>42676</v>
      </c>
      <c r="F1591" s="79" t="s">
        <v>1952</v>
      </c>
      <c r="G1591" s="79" t="s">
        <v>331</v>
      </c>
      <c r="H1591" s="80" t="s">
        <v>381</v>
      </c>
      <c r="I1591" s="409">
        <v>11471</v>
      </c>
      <c r="J1591" s="407">
        <v>18000</v>
      </c>
      <c r="K1591" s="397"/>
      <c r="L1591" s="406"/>
      <c r="M1591" s="81">
        <f>ROUND(I1591*J1591,0)</f>
        <v>206478000</v>
      </c>
      <c r="N1591" s="82" t="s">
        <v>268</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x</v>
      </c>
    </row>
    <row r="1592" spans="1:30" ht="15.75" customHeight="1">
      <c r="A1592" s="323" t="str">
        <f>IF(B1592&lt;&gt;"",IF(AND(B1592='IN-TC'!$S$4,OR(TH!N2314="1111",TH!O2314="1111")),TH!D2314,""),"")</f>
        <v/>
      </c>
      <c r="B1592" s="63">
        <f t="shared" si="133"/>
        <v>10</v>
      </c>
      <c r="C1592" s="64">
        <v>42674</v>
      </c>
      <c r="D1592" s="64" t="s">
        <v>2274</v>
      </c>
      <c r="E1592" s="64">
        <v>42674</v>
      </c>
      <c r="F1592" s="72" t="s">
        <v>932</v>
      </c>
      <c r="G1592" s="67" t="s">
        <v>331</v>
      </c>
      <c r="H1592" s="329" t="s">
        <v>1953</v>
      </c>
      <c r="I1592" s="408"/>
      <c r="J1592" s="408"/>
      <c r="K1592" s="399"/>
      <c r="L1592" s="408"/>
      <c r="M1592" s="65">
        <v>1308232500</v>
      </c>
      <c r="N1592" s="66" t="s">
        <v>8</v>
      </c>
      <c r="O1592" s="66" t="s">
        <v>266</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customHeight="1">
      <c r="A1593" s="323" t="str">
        <f>IF(B1593&lt;&gt;"",IF(AND(B1593='IN-TC'!$S$4,OR(TH!N1561="1111",TH!O1561="1111")),TH!D1561,""),"")</f>
        <v/>
      </c>
      <c r="B1593" s="63">
        <f t="shared" si="133"/>
        <v>11</v>
      </c>
      <c r="C1593" s="78">
        <v>42677</v>
      </c>
      <c r="D1593" s="78" t="s">
        <v>937</v>
      </c>
      <c r="E1593" s="78">
        <f>C1593</f>
        <v>42677</v>
      </c>
      <c r="F1593" s="79" t="s">
        <v>1952</v>
      </c>
      <c r="G1593" s="79" t="s">
        <v>331</v>
      </c>
      <c r="H1593" s="80" t="s">
        <v>371</v>
      </c>
      <c r="I1593" s="409">
        <v>11450</v>
      </c>
      <c r="J1593" s="407">
        <v>18000</v>
      </c>
      <c r="K1593" s="397"/>
      <c r="L1593" s="406"/>
      <c r="M1593" s="81">
        <f>ROUND(I1593*J1593,0)</f>
        <v>206100000</v>
      </c>
      <c r="N1593" s="82" t="s">
        <v>268</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x</v>
      </c>
    </row>
    <row r="1594" spans="1:30" ht="15.75" customHeight="1">
      <c r="A1594" s="323" t="str">
        <f>IF(B1594&lt;&gt;"",IF(AND(B1594='IN-TC'!$S$4,OR(TH!N2312="1111",TH!O2312="1111")),TH!D2312,""),"")</f>
        <v/>
      </c>
      <c r="B1594" s="63">
        <f t="shared" si="133"/>
        <v>10</v>
      </c>
      <c r="C1594" s="64">
        <v>42674</v>
      </c>
      <c r="D1594" s="64" t="s">
        <v>2274</v>
      </c>
      <c r="E1594" s="64">
        <v>42674</v>
      </c>
      <c r="F1594" s="72" t="s">
        <v>932</v>
      </c>
      <c r="G1594" s="67" t="s">
        <v>331</v>
      </c>
      <c r="H1594" s="329" t="s">
        <v>376</v>
      </c>
      <c r="I1594" s="408"/>
      <c r="J1594" s="408"/>
      <c r="K1594" s="399"/>
      <c r="L1594" s="408"/>
      <c r="M1594" s="65">
        <v>1509986500</v>
      </c>
      <c r="N1594" s="66" t="s">
        <v>8</v>
      </c>
      <c r="O1594" s="66" t="s">
        <v>266</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customHeight="1">
      <c r="A1595" s="323" t="str">
        <f>IF(B1595&lt;&gt;"",IF(AND(B1595='IN-TC'!$S$4,OR(TH!N1523="1111",TH!O1523="1111")),TH!D1523,""),"")</f>
        <v/>
      </c>
      <c r="B1595" s="63">
        <f t="shared" si="133"/>
        <v>10</v>
      </c>
      <c r="C1595" s="78">
        <v>42674</v>
      </c>
      <c r="D1595" s="78" t="s">
        <v>2636</v>
      </c>
      <c r="E1595" s="78">
        <f>C1595</f>
        <v>42674</v>
      </c>
      <c r="F1595" s="79" t="s">
        <v>1952</v>
      </c>
      <c r="G1595" s="79"/>
      <c r="H1595" s="80" t="s">
        <v>386</v>
      </c>
      <c r="I1595" s="409">
        <v>12248</v>
      </c>
      <c r="J1595" s="407">
        <v>18000</v>
      </c>
      <c r="K1595" s="397"/>
      <c r="L1595" s="406"/>
      <c r="M1595" s="81">
        <f>ROUND(I1595*J1595,0)</f>
        <v>220464000</v>
      </c>
      <c r="N1595" s="82" t="s">
        <v>268</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customHeight="1">
      <c r="A1596" s="323" t="str">
        <f>IF(B1596&lt;&gt;"",IF(AND(B1596='IN-TC'!$S$4,OR(TH!N1521="1111",TH!O1521="1111")),TH!D1521,""),"")</f>
        <v/>
      </c>
      <c r="B1596" s="63">
        <f t="shared" si="133"/>
        <v>10</v>
      </c>
      <c r="C1596" s="78">
        <v>42674</v>
      </c>
      <c r="D1596" s="78" t="s">
        <v>2634</v>
      </c>
      <c r="E1596" s="78">
        <f>C1596</f>
        <v>42674</v>
      </c>
      <c r="F1596" s="79" t="s">
        <v>1952</v>
      </c>
      <c r="G1596" s="79"/>
      <c r="H1596" s="80" t="s">
        <v>384</v>
      </c>
      <c r="I1596" s="409">
        <v>11490</v>
      </c>
      <c r="J1596" s="407">
        <v>18000</v>
      </c>
      <c r="K1596" s="397"/>
      <c r="L1596" s="406"/>
      <c r="M1596" s="81">
        <f>ROUND(I1596*J1596,0)</f>
        <v>206820000</v>
      </c>
      <c r="N1596" s="82" t="s">
        <v>268</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customHeight="1">
      <c r="A1597" s="323" t="str">
        <f>IF(B1597&lt;&gt;"",IF(AND(B1597='IN-TC'!$S$4,OR(TH!N1550="1111",TH!O1550="1111")),TH!D1550,""),"")</f>
        <v/>
      </c>
      <c r="B1597" s="63">
        <f t="shared" si="133"/>
        <v>11</v>
      </c>
      <c r="C1597" s="78">
        <v>42675</v>
      </c>
      <c r="D1597" s="78" t="s">
        <v>921</v>
      </c>
      <c r="E1597" s="78">
        <f>C1597</f>
        <v>42675</v>
      </c>
      <c r="F1597" s="79" t="s">
        <v>1952</v>
      </c>
      <c r="G1597" s="79" t="s">
        <v>331</v>
      </c>
      <c r="H1597" s="80" t="s">
        <v>388</v>
      </c>
      <c r="I1597" s="409">
        <v>12280</v>
      </c>
      <c r="J1597" s="407">
        <v>18000</v>
      </c>
      <c r="K1597" s="397"/>
      <c r="L1597" s="406"/>
      <c r="M1597" s="81">
        <f>ROUND(I1597*J1597,0)</f>
        <v>221040000</v>
      </c>
      <c r="N1597" s="82" t="s">
        <v>268</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x</v>
      </c>
    </row>
    <row r="1598" spans="1:30" ht="15.75" customHeight="1">
      <c r="A1598" s="323" t="str">
        <f>IF(B1598&lt;&gt;"",IF(AND(B1598='IN-TC'!$S$4,OR(TH!N1515="1111",TH!O1515="1111")),TH!D1515,""),"")</f>
        <v/>
      </c>
      <c r="B1598" s="63">
        <f t="shared" si="133"/>
        <v>10</v>
      </c>
      <c r="C1598" s="78">
        <v>42672</v>
      </c>
      <c r="D1598" s="78" t="s">
        <v>2303</v>
      </c>
      <c r="E1598" s="78">
        <f>C1598</f>
        <v>42672</v>
      </c>
      <c r="F1598" s="79" t="s">
        <v>1952</v>
      </c>
      <c r="G1598" s="79"/>
      <c r="H1598" s="80" t="s">
        <v>378</v>
      </c>
      <c r="I1598" s="409">
        <v>11860</v>
      </c>
      <c r="J1598" s="407">
        <v>18000</v>
      </c>
      <c r="K1598" s="397"/>
      <c r="L1598" s="406"/>
      <c r="M1598" s="81">
        <f>ROUND(I1598*J1598,0)</f>
        <v>213480000</v>
      </c>
      <c r="N1598" s="82" t="s">
        <v>268</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customHeight="1">
      <c r="A1599" s="323" t="str">
        <f>IF(B1599&lt;&gt;"",IF(AND(B1599='IN-TC'!$S$4,OR(TH!N2307="1111",TH!O2307="1111")),TH!D2307,""),"")</f>
        <v/>
      </c>
      <c r="B1599" s="63">
        <f t="shared" si="133"/>
        <v>10</v>
      </c>
      <c r="C1599" s="64">
        <v>42674</v>
      </c>
      <c r="D1599" s="64" t="s">
        <v>2274</v>
      </c>
      <c r="E1599" s="64">
        <v>42674</v>
      </c>
      <c r="F1599" s="72" t="s">
        <v>932</v>
      </c>
      <c r="G1599" s="67" t="s">
        <v>331</v>
      </c>
      <c r="H1599" s="329" t="s">
        <v>384</v>
      </c>
      <c r="I1599" s="408"/>
      <c r="J1599" s="408"/>
      <c r="K1599" s="399"/>
      <c r="L1599" s="408"/>
      <c r="M1599" s="65">
        <v>1840056000</v>
      </c>
      <c r="N1599" s="66" t="s">
        <v>8</v>
      </c>
      <c r="O1599" s="66" t="s">
        <v>266</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customHeight="1">
      <c r="A1600" s="323" t="str">
        <f>IF(B1600&lt;&gt;"",IF(AND(B1600='IN-TC'!$S$4,OR(TH!N2313="1111",TH!O2313="1111")),TH!D2313,""),"")</f>
        <v/>
      </c>
      <c r="B1600" s="63">
        <f t="shared" si="133"/>
        <v>10</v>
      </c>
      <c r="C1600" s="64">
        <v>42674</v>
      </c>
      <c r="D1600" s="64" t="s">
        <v>2274</v>
      </c>
      <c r="E1600" s="64">
        <v>42674</v>
      </c>
      <c r="F1600" s="72" t="s">
        <v>932</v>
      </c>
      <c r="G1600" s="67" t="s">
        <v>331</v>
      </c>
      <c r="H1600" s="329" t="s">
        <v>378</v>
      </c>
      <c r="I1600" s="408"/>
      <c r="J1600" s="408"/>
      <c r="K1600" s="399"/>
      <c r="L1600" s="408"/>
      <c r="M1600" s="65">
        <v>1628087000</v>
      </c>
      <c r="N1600" s="66" t="s">
        <v>8</v>
      </c>
      <c r="O1600" s="66" t="s">
        <v>266</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customHeight="1">
      <c r="A1601" s="323" t="str">
        <f>IF(B1601&lt;&gt;"",IF(AND(B1601='IN-TC'!$S$4,OR(TH!N2308="1111",TH!O2308="1111")),TH!D2308,""),"")</f>
        <v/>
      </c>
      <c r="B1601" s="63">
        <f t="shared" si="133"/>
        <v>10</v>
      </c>
      <c r="C1601" s="64">
        <v>42674</v>
      </c>
      <c r="D1601" s="64" t="s">
        <v>2274</v>
      </c>
      <c r="E1601" s="64">
        <v>42674</v>
      </c>
      <c r="F1601" s="72" t="s">
        <v>932</v>
      </c>
      <c r="G1601" s="67" t="s">
        <v>331</v>
      </c>
      <c r="H1601" s="329" t="s">
        <v>386</v>
      </c>
      <c r="I1601" s="408"/>
      <c r="J1601" s="408"/>
      <c r="K1601" s="399"/>
      <c r="L1601" s="408"/>
      <c r="M1601" s="65">
        <v>1544926000</v>
      </c>
      <c r="N1601" s="66" t="s">
        <v>8</v>
      </c>
      <c r="O1601" s="66" t="s">
        <v>266</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customHeight="1">
      <c r="A1602" s="323" t="str">
        <f>IF(B1602&lt;&gt;"",IF(AND(B1602='IN-TC'!$S$4,OR(TH!N1570="1111",TH!O1570="1111")),TH!D1570,""),"")</f>
        <v/>
      </c>
      <c r="B1602" s="63">
        <f t="shared" si="133"/>
        <v>11</v>
      </c>
      <c r="C1602" s="78">
        <v>42679</v>
      </c>
      <c r="D1602" s="78" t="s">
        <v>1941</v>
      </c>
      <c r="E1602" s="78">
        <f t="shared" ref="E1602:E1641" si="134">C1602</f>
        <v>42679</v>
      </c>
      <c r="F1602" s="79" t="s">
        <v>1952</v>
      </c>
      <c r="G1602" s="79" t="s">
        <v>331</v>
      </c>
      <c r="H1602" s="80" t="s">
        <v>388</v>
      </c>
      <c r="I1602" s="409">
        <v>11450</v>
      </c>
      <c r="J1602" s="407">
        <v>18000</v>
      </c>
      <c r="K1602" s="397"/>
      <c r="L1602" s="406"/>
      <c r="M1602" s="81">
        <f t="shared" ref="M1602:M1641" si="135">ROUND(I1602*J1602,0)</f>
        <v>206100000</v>
      </c>
      <c r="N1602" s="82" t="s">
        <v>268</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x</v>
      </c>
    </row>
    <row r="1603" spans="1:30" ht="15.75" customHeight="1">
      <c r="A1603" s="323" t="str">
        <f>IF(B1603&lt;&gt;"",IF(AND(B1603='IN-TC'!$S$4,OR(TH!N1552="1111",TH!O1552="1111")),TH!D1552,""),"")</f>
        <v/>
      </c>
      <c r="B1603" s="63">
        <f t="shared" si="133"/>
        <v>11</v>
      </c>
      <c r="C1603" s="78">
        <v>42675</v>
      </c>
      <c r="D1603" s="78" t="s">
        <v>923</v>
      </c>
      <c r="E1603" s="78">
        <f t="shared" si="134"/>
        <v>42675</v>
      </c>
      <c r="F1603" s="79" t="s">
        <v>1952</v>
      </c>
      <c r="G1603" s="79" t="s">
        <v>331</v>
      </c>
      <c r="H1603" s="80" t="s">
        <v>376</v>
      </c>
      <c r="I1603" s="409">
        <v>11480</v>
      </c>
      <c r="J1603" s="407">
        <v>18000</v>
      </c>
      <c r="K1603" s="397"/>
      <c r="L1603" s="406"/>
      <c r="M1603" s="81">
        <f t="shared" si="135"/>
        <v>206640000</v>
      </c>
      <c r="N1603" s="82" t="s">
        <v>268</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x</v>
      </c>
    </row>
    <row r="1604" spans="1:30" ht="15.75" customHeight="1">
      <c r="A1604" s="323" t="str">
        <f>IF(B1604&lt;&gt;"",IF(AND(B1604='IN-TC'!$S$4,OR(TH!N1564="1111",TH!O1564="1111")),TH!D1564,""),"")</f>
        <v/>
      </c>
      <c r="B1604" s="63">
        <f t="shared" si="133"/>
        <v>11</v>
      </c>
      <c r="C1604" s="78">
        <v>42678</v>
      </c>
      <c r="D1604" s="78" t="s">
        <v>940</v>
      </c>
      <c r="E1604" s="78">
        <f t="shared" si="134"/>
        <v>42678</v>
      </c>
      <c r="F1604" s="79" t="s">
        <v>1952</v>
      </c>
      <c r="G1604" s="79" t="s">
        <v>331</v>
      </c>
      <c r="H1604" s="80" t="s">
        <v>381</v>
      </c>
      <c r="I1604" s="409">
        <v>11860</v>
      </c>
      <c r="J1604" s="407">
        <v>18000</v>
      </c>
      <c r="K1604" s="397"/>
      <c r="L1604" s="406"/>
      <c r="M1604" s="81">
        <f t="shared" si="135"/>
        <v>213480000</v>
      </c>
      <c r="N1604" s="82" t="s">
        <v>268</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x</v>
      </c>
    </row>
    <row r="1605" spans="1:30" ht="15.75" customHeight="1">
      <c r="A1605" s="323" t="str">
        <f>IF(B1605&lt;&gt;"",IF(AND(B1605='IN-TC'!$S$4,OR(TH!N1558="1111",TH!O1558="1111")),TH!D1558,""),"")</f>
        <v/>
      </c>
      <c r="B1605" s="63">
        <f t="shared" si="133"/>
        <v>11</v>
      </c>
      <c r="C1605" s="78">
        <v>42677</v>
      </c>
      <c r="D1605" s="78" t="s">
        <v>934</v>
      </c>
      <c r="E1605" s="78">
        <f t="shared" si="134"/>
        <v>42677</v>
      </c>
      <c r="F1605" s="79" t="s">
        <v>1952</v>
      </c>
      <c r="G1605" s="79" t="s">
        <v>331</v>
      </c>
      <c r="H1605" s="80" t="s">
        <v>1953</v>
      </c>
      <c r="I1605" s="409">
        <v>12396</v>
      </c>
      <c r="J1605" s="407">
        <v>18000</v>
      </c>
      <c r="K1605" s="397"/>
      <c r="L1605" s="406"/>
      <c r="M1605" s="81">
        <f t="shared" si="135"/>
        <v>223128000</v>
      </c>
      <c r="N1605" s="82" t="s">
        <v>268</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x</v>
      </c>
    </row>
    <row r="1606" spans="1:30" ht="15.75" customHeight="1">
      <c r="A1606" s="323" t="str">
        <f>IF(B1606&lt;&gt;"",IF(AND(B1606='IN-TC'!$S$4,OR(TH!N1563="1111",TH!O1563="1111")),TH!D1563,""),"")</f>
        <v/>
      </c>
      <c r="B1606" s="63">
        <f t="shared" si="133"/>
        <v>11</v>
      </c>
      <c r="C1606" s="78">
        <v>42678</v>
      </c>
      <c r="D1606" s="78" t="s">
        <v>939</v>
      </c>
      <c r="E1606" s="78">
        <f t="shared" si="134"/>
        <v>42678</v>
      </c>
      <c r="F1606" s="79" t="s">
        <v>1952</v>
      </c>
      <c r="G1606" s="79" t="s">
        <v>331</v>
      </c>
      <c r="H1606" s="80" t="s">
        <v>371</v>
      </c>
      <c r="I1606" s="409">
        <v>11460</v>
      </c>
      <c r="J1606" s="407">
        <v>18000</v>
      </c>
      <c r="K1606" s="397"/>
      <c r="L1606" s="406"/>
      <c r="M1606" s="81">
        <f t="shared" si="135"/>
        <v>206280000</v>
      </c>
      <c r="N1606" s="82" t="s">
        <v>268</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x</v>
      </c>
    </row>
    <row r="1607" spans="1:30" ht="15.75" customHeight="1">
      <c r="A1607" s="323" t="str">
        <f>IF(B1607&lt;&gt;"",IF(AND(B1607='IN-TC'!$S$4,OR(TH!N1580="1111",TH!O1580="1111")),TH!D1580,""),"")</f>
        <v/>
      </c>
      <c r="B1607" s="63">
        <f t="shared" si="133"/>
        <v>11</v>
      </c>
      <c r="C1607" s="78">
        <v>42681</v>
      </c>
      <c r="D1607" s="78" t="s">
        <v>2230</v>
      </c>
      <c r="E1607" s="78">
        <f t="shared" si="134"/>
        <v>42681</v>
      </c>
      <c r="F1607" s="79" t="s">
        <v>1952</v>
      </c>
      <c r="G1607" s="79" t="s">
        <v>331</v>
      </c>
      <c r="H1607" s="80" t="s">
        <v>388</v>
      </c>
      <c r="I1607" s="409">
        <v>12268</v>
      </c>
      <c r="J1607" s="407">
        <v>18000</v>
      </c>
      <c r="K1607" s="397"/>
      <c r="L1607" s="406"/>
      <c r="M1607" s="81">
        <f t="shared" si="135"/>
        <v>220824000</v>
      </c>
      <c r="N1607" s="82" t="s">
        <v>268</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x</v>
      </c>
    </row>
    <row r="1608" spans="1:30" ht="15.75" customHeight="1">
      <c r="A1608" s="323" t="str">
        <f>IF(B1608&lt;&gt;"",IF(AND(B1608='IN-TC'!$S$4,OR(TH!N1555="1111",TH!O1555="1111")),TH!D1555,""),"")</f>
        <v/>
      </c>
      <c r="B1608" s="63">
        <f t="shared" si="133"/>
        <v>11</v>
      </c>
      <c r="C1608" s="78">
        <v>42676</v>
      </c>
      <c r="D1608" s="78" t="s">
        <v>926</v>
      </c>
      <c r="E1608" s="78">
        <f t="shared" si="134"/>
        <v>42676</v>
      </c>
      <c r="F1608" s="79" t="s">
        <v>1952</v>
      </c>
      <c r="G1608" s="79" t="s">
        <v>331</v>
      </c>
      <c r="H1608" s="80" t="s">
        <v>386</v>
      </c>
      <c r="I1608" s="409">
        <v>12235</v>
      </c>
      <c r="J1608" s="407">
        <v>18000</v>
      </c>
      <c r="K1608" s="397"/>
      <c r="L1608" s="406"/>
      <c r="M1608" s="81">
        <f t="shared" si="135"/>
        <v>220230000</v>
      </c>
      <c r="N1608" s="82" t="s">
        <v>268</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x</v>
      </c>
    </row>
    <row r="1609" spans="1:30" ht="15.75" customHeight="1">
      <c r="A1609" s="323" t="str">
        <f>IF(B1609&lt;&gt;"",IF(AND(B1609='IN-TC'!$S$4,OR(TH!N1559="1111",TH!O1559="1111")),TH!D1559,""),"")</f>
        <v/>
      </c>
      <c r="B1609" s="63">
        <f t="shared" si="133"/>
        <v>11</v>
      </c>
      <c r="C1609" s="78">
        <v>42677</v>
      </c>
      <c r="D1609" s="78" t="s">
        <v>935</v>
      </c>
      <c r="E1609" s="78">
        <f t="shared" si="134"/>
        <v>42677</v>
      </c>
      <c r="F1609" s="79" t="s">
        <v>1952</v>
      </c>
      <c r="G1609" s="79" t="s">
        <v>331</v>
      </c>
      <c r="H1609" s="80" t="s">
        <v>384</v>
      </c>
      <c r="I1609" s="409">
        <v>11405</v>
      </c>
      <c r="J1609" s="407">
        <v>18000</v>
      </c>
      <c r="K1609" s="397"/>
      <c r="L1609" s="406"/>
      <c r="M1609" s="81">
        <f t="shared" si="135"/>
        <v>205290000</v>
      </c>
      <c r="N1609" s="82" t="s">
        <v>268</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x</v>
      </c>
    </row>
    <row r="1610" spans="1:30" ht="15.75" customHeight="1">
      <c r="A1610" s="323" t="str">
        <f>IF(B1610&lt;&gt;"",IF(AND(B1610='IN-TC'!$S$4,OR(TH!N1554="1111",TH!O1554="1111")),TH!D1554,""),"")</f>
        <v/>
      </c>
      <c r="B1610" s="63">
        <f t="shared" si="133"/>
        <v>11</v>
      </c>
      <c r="C1610" s="78">
        <v>42676</v>
      </c>
      <c r="D1610" s="78" t="s">
        <v>925</v>
      </c>
      <c r="E1610" s="78">
        <f t="shared" si="134"/>
        <v>42676</v>
      </c>
      <c r="F1610" s="79" t="s">
        <v>1952</v>
      </c>
      <c r="G1610" s="79" t="s">
        <v>331</v>
      </c>
      <c r="H1610" s="80" t="s">
        <v>378</v>
      </c>
      <c r="I1610" s="409">
        <v>12268</v>
      </c>
      <c r="J1610" s="407">
        <v>18000</v>
      </c>
      <c r="K1610" s="397"/>
      <c r="L1610" s="406"/>
      <c r="M1610" s="81">
        <f t="shared" si="135"/>
        <v>220824000</v>
      </c>
      <c r="N1610" s="82" t="s">
        <v>268</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x</v>
      </c>
    </row>
    <row r="1611" spans="1:30" ht="15.75" customHeight="1">
      <c r="A1611" s="323" t="str">
        <f>IF(B1611&lt;&gt;"",IF(AND(B1611='IN-TC'!$S$4,OR(TH!N1556="1111",TH!O1556="1111")),TH!D1556,""),"")</f>
        <v/>
      </c>
      <c r="B1611" s="63">
        <f t="shared" si="133"/>
        <v>11</v>
      </c>
      <c r="C1611" s="78">
        <v>42676</v>
      </c>
      <c r="D1611" s="78" t="s">
        <v>927</v>
      </c>
      <c r="E1611" s="78">
        <f t="shared" si="134"/>
        <v>42676</v>
      </c>
      <c r="F1611" s="79" t="s">
        <v>1952</v>
      </c>
      <c r="G1611" s="79" t="s">
        <v>331</v>
      </c>
      <c r="H1611" s="80" t="s">
        <v>376</v>
      </c>
      <c r="I1611" s="409">
        <v>11480</v>
      </c>
      <c r="J1611" s="407">
        <v>18000</v>
      </c>
      <c r="K1611" s="397"/>
      <c r="L1611" s="406"/>
      <c r="M1611" s="81">
        <f t="shared" si="135"/>
        <v>206640000</v>
      </c>
      <c r="N1611" s="82" t="s">
        <v>268</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x</v>
      </c>
    </row>
    <row r="1612" spans="1:30" ht="15.75" customHeight="1">
      <c r="A1612" s="323" t="str">
        <f>IF(B1612&lt;&gt;"",IF(AND(B1612='IN-TC'!$S$4,OR(TH!N1573="1111",TH!O1573="1111")),TH!D1573,""),"")</f>
        <v/>
      </c>
      <c r="B1612" s="63">
        <f t="shared" si="133"/>
        <v>11</v>
      </c>
      <c r="C1612" s="78">
        <v>42679</v>
      </c>
      <c r="D1612" s="78" t="s">
        <v>1944</v>
      </c>
      <c r="E1612" s="78">
        <f t="shared" si="134"/>
        <v>42679</v>
      </c>
      <c r="F1612" s="79" t="s">
        <v>1952</v>
      </c>
      <c r="G1612" s="79" t="s">
        <v>331</v>
      </c>
      <c r="H1612" s="80" t="s">
        <v>381</v>
      </c>
      <c r="I1612" s="409">
        <v>12350</v>
      </c>
      <c r="J1612" s="407">
        <v>18000</v>
      </c>
      <c r="K1612" s="397"/>
      <c r="L1612" s="406"/>
      <c r="M1612" s="81">
        <f t="shared" si="135"/>
        <v>222300000</v>
      </c>
      <c r="N1612" s="82" t="s">
        <v>268</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x</v>
      </c>
    </row>
    <row r="1613" spans="1:30" ht="15.75" customHeight="1">
      <c r="A1613" s="323" t="str">
        <f>IF(B1613&lt;&gt;"",IF(AND(B1613='IN-TC'!$S$4,OR(TH!N1578="1111",TH!O1578="1111")),TH!D1578,""),"")</f>
        <v/>
      </c>
      <c r="B1613" s="63">
        <f t="shared" si="133"/>
        <v>11</v>
      </c>
      <c r="C1613" s="78">
        <v>42681</v>
      </c>
      <c r="D1613" s="78" t="s">
        <v>2228</v>
      </c>
      <c r="E1613" s="78">
        <f t="shared" si="134"/>
        <v>42681</v>
      </c>
      <c r="F1613" s="79" t="s">
        <v>1952</v>
      </c>
      <c r="G1613" s="79" t="s">
        <v>331</v>
      </c>
      <c r="H1613" s="80" t="s">
        <v>1953</v>
      </c>
      <c r="I1613" s="409">
        <v>11480</v>
      </c>
      <c r="J1613" s="407">
        <v>18000</v>
      </c>
      <c r="K1613" s="397"/>
      <c r="L1613" s="406"/>
      <c r="M1613" s="81">
        <f t="shared" si="135"/>
        <v>206640000</v>
      </c>
      <c r="N1613" s="82" t="s">
        <v>268</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x</v>
      </c>
    </row>
    <row r="1614" spans="1:30" ht="15.75" customHeight="1">
      <c r="A1614" s="323" t="str">
        <f>IF(B1614&lt;&gt;"",IF(AND(B1614='IN-TC'!$S$4,OR(TH!N1572="1111",TH!O1572="1111")),TH!D1572,""),"")</f>
        <v/>
      </c>
      <c r="B1614" s="63">
        <f t="shared" si="133"/>
        <v>11</v>
      </c>
      <c r="C1614" s="78">
        <v>42679</v>
      </c>
      <c r="D1614" s="78" t="s">
        <v>1943</v>
      </c>
      <c r="E1614" s="78">
        <f t="shared" si="134"/>
        <v>42679</v>
      </c>
      <c r="F1614" s="79" t="s">
        <v>1952</v>
      </c>
      <c r="G1614" s="79" t="s">
        <v>331</v>
      </c>
      <c r="H1614" s="80" t="s">
        <v>371</v>
      </c>
      <c r="I1614" s="409">
        <v>12235</v>
      </c>
      <c r="J1614" s="407">
        <v>18000</v>
      </c>
      <c r="K1614" s="397"/>
      <c r="L1614" s="406"/>
      <c r="M1614" s="81">
        <f t="shared" si="135"/>
        <v>220230000</v>
      </c>
      <c r="N1614" s="82" t="s">
        <v>268</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x</v>
      </c>
    </row>
    <row r="1615" spans="1:30" ht="15.75" customHeight="1">
      <c r="A1615" s="323" t="str">
        <f>IF(B1615&lt;&gt;"",IF(AND(B1615='IN-TC'!$S$4,OR(TH!N1562="1111",TH!O1562="1111")),TH!D1562,""),"")</f>
        <v/>
      </c>
      <c r="B1615" s="63">
        <f t="shared" si="133"/>
        <v>11</v>
      </c>
      <c r="C1615" s="78">
        <v>42678</v>
      </c>
      <c r="D1615" s="78" t="s">
        <v>938</v>
      </c>
      <c r="E1615" s="78">
        <f t="shared" si="134"/>
        <v>42678</v>
      </c>
      <c r="F1615" s="79" t="s">
        <v>1952</v>
      </c>
      <c r="G1615" s="79" t="s">
        <v>331</v>
      </c>
      <c r="H1615" s="80" t="s">
        <v>384</v>
      </c>
      <c r="I1615" s="409">
        <v>11520</v>
      </c>
      <c r="J1615" s="407">
        <v>18000</v>
      </c>
      <c r="K1615" s="397"/>
      <c r="L1615" s="406"/>
      <c r="M1615" s="81">
        <f t="shared" si="135"/>
        <v>207360000</v>
      </c>
      <c r="N1615" s="82" t="s">
        <v>268</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x</v>
      </c>
    </row>
    <row r="1616" spans="1:30" ht="15.75" customHeight="1">
      <c r="A1616" s="323" t="str">
        <f>IF(B1616&lt;&gt;"",IF(AND(B1616='IN-TC'!$S$4,OR(TH!N1589="1111",TH!O1589="1111")),TH!D1589,""),"")</f>
        <v/>
      </c>
      <c r="B1616" s="63">
        <f t="shared" si="133"/>
        <v>11</v>
      </c>
      <c r="C1616" s="78">
        <v>42684</v>
      </c>
      <c r="D1616" s="78" t="s">
        <v>2239</v>
      </c>
      <c r="E1616" s="78">
        <f t="shared" si="134"/>
        <v>42684</v>
      </c>
      <c r="F1616" s="79" t="s">
        <v>1952</v>
      </c>
      <c r="G1616" s="79" t="s">
        <v>331</v>
      </c>
      <c r="H1616" s="80" t="s">
        <v>388</v>
      </c>
      <c r="I1616" s="409">
        <v>11970</v>
      </c>
      <c r="J1616" s="407">
        <v>18000</v>
      </c>
      <c r="K1616" s="397"/>
      <c r="L1616" s="406"/>
      <c r="M1616" s="81">
        <f t="shared" si="135"/>
        <v>215460000</v>
      </c>
      <c r="N1616" s="82" t="s">
        <v>268</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x</v>
      </c>
    </row>
    <row r="1617" spans="1:30" ht="15.75" customHeight="1">
      <c r="A1617" s="323" t="str">
        <f>IF(B1617&lt;&gt;"",IF(AND(B1617='IN-TC'!$S$4,OR(TH!N1565="1111",TH!O1565="1111")),TH!D1565,""),"")</f>
        <v/>
      </c>
      <c r="B1617" s="63">
        <f t="shared" si="133"/>
        <v>11</v>
      </c>
      <c r="C1617" s="78">
        <v>42678</v>
      </c>
      <c r="D1617" s="78" t="s">
        <v>941</v>
      </c>
      <c r="E1617" s="78">
        <f t="shared" si="134"/>
        <v>42678</v>
      </c>
      <c r="F1617" s="79" t="s">
        <v>1952</v>
      </c>
      <c r="G1617" s="79" t="s">
        <v>331</v>
      </c>
      <c r="H1617" s="80" t="s">
        <v>378</v>
      </c>
      <c r="I1617" s="409">
        <v>12250</v>
      </c>
      <c r="J1617" s="407">
        <v>18000</v>
      </c>
      <c r="K1617" s="397"/>
      <c r="L1617" s="406"/>
      <c r="M1617" s="81">
        <f t="shared" si="135"/>
        <v>220500000</v>
      </c>
      <c r="N1617" s="82" t="s">
        <v>268</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x</v>
      </c>
    </row>
    <row r="1618" spans="1:30" ht="15.75" customHeight="1">
      <c r="A1618" s="323" t="str">
        <f>IF(B1618&lt;&gt;"",IF(AND(B1618='IN-TC'!$S$4,OR(TH!N1571="1111",TH!O1571="1111")),TH!D1571,""),"")</f>
        <v/>
      </c>
      <c r="B1618" s="63">
        <f t="shared" si="133"/>
        <v>11</v>
      </c>
      <c r="C1618" s="78">
        <v>42679</v>
      </c>
      <c r="D1618" s="78" t="s">
        <v>1942</v>
      </c>
      <c r="E1618" s="78">
        <f t="shared" si="134"/>
        <v>42679</v>
      </c>
      <c r="F1618" s="79" t="s">
        <v>1952</v>
      </c>
      <c r="G1618" s="79" t="s">
        <v>331</v>
      </c>
      <c r="H1618" s="80" t="s">
        <v>386</v>
      </c>
      <c r="I1618" s="409">
        <v>12250</v>
      </c>
      <c r="J1618" s="407">
        <v>18000</v>
      </c>
      <c r="K1618" s="397"/>
      <c r="L1618" s="406"/>
      <c r="M1618" s="81">
        <f t="shared" si="135"/>
        <v>220500000</v>
      </c>
      <c r="N1618" s="82" t="s">
        <v>268</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x</v>
      </c>
    </row>
    <row r="1619" spans="1:30" ht="15.75" customHeight="1">
      <c r="A1619" s="323" t="str">
        <f>IF(B1619&lt;&gt;"",IF(AND(B1619='IN-TC'!$S$4,OR(TH!N1560="1111",TH!O1560="1111")),TH!D1560,""),"")</f>
        <v/>
      </c>
      <c r="B1619" s="63">
        <f t="shared" si="133"/>
        <v>11</v>
      </c>
      <c r="C1619" s="78">
        <v>42677</v>
      </c>
      <c r="D1619" s="78" t="s">
        <v>936</v>
      </c>
      <c r="E1619" s="78">
        <f t="shared" si="134"/>
        <v>42677</v>
      </c>
      <c r="F1619" s="79" t="s">
        <v>1952</v>
      </c>
      <c r="G1619" s="79" t="s">
        <v>331</v>
      </c>
      <c r="H1619" s="80" t="s">
        <v>376</v>
      </c>
      <c r="I1619" s="409">
        <v>12250</v>
      </c>
      <c r="J1619" s="407">
        <v>18000</v>
      </c>
      <c r="K1619" s="397"/>
      <c r="L1619" s="406"/>
      <c r="M1619" s="81">
        <f t="shared" si="135"/>
        <v>220500000</v>
      </c>
      <c r="N1619" s="82" t="s">
        <v>268</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x</v>
      </c>
    </row>
    <row r="1620" spans="1:30" ht="15.75" customHeight="1">
      <c r="A1620" s="323" t="str">
        <f>IF(B1620&lt;&gt;"",IF(AND(B1620='IN-TC'!$S$4,OR(TH!N1584="1111",TH!O1584="1111")),TH!D1584,""),"")</f>
        <v/>
      </c>
      <c r="B1620" s="63">
        <f t="shared" si="133"/>
        <v>11</v>
      </c>
      <c r="C1620" s="78">
        <v>42683</v>
      </c>
      <c r="D1620" s="78" t="s">
        <v>2234</v>
      </c>
      <c r="E1620" s="78">
        <f t="shared" si="134"/>
        <v>42683</v>
      </c>
      <c r="F1620" s="79" t="s">
        <v>1952</v>
      </c>
      <c r="G1620" s="79" t="s">
        <v>331</v>
      </c>
      <c r="H1620" s="80" t="s">
        <v>1953</v>
      </c>
      <c r="I1620" s="409">
        <v>12350</v>
      </c>
      <c r="J1620" s="407">
        <v>18000</v>
      </c>
      <c r="K1620" s="397"/>
      <c r="L1620" s="406"/>
      <c r="M1620" s="81">
        <f t="shared" si="135"/>
        <v>222300000</v>
      </c>
      <c r="N1620" s="82" t="s">
        <v>268</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x</v>
      </c>
    </row>
    <row r="1621" spans="1:30" ht="15.75" customHeight="1">
      <c r="A1621" s="323" t="str">
        <f>IF(B1621&lt;&gt;"",IF(AND(B1621='IN-TC'!$S$4,OR(TH!N1585="1111",TH!O1585="1111")),TH!D1585,""),"")</f>
        <v/>
      </c>
      <c r="B1621" s="63">
        <f t="shared" si="133"/>
        <v>11</v>
      </c>
      <c r="C1621" s="78">
        <v>42683</v>
      </c>
      <c r="D1621" s="78" t="s">
        <v>2235</v>
      </c>
      <c r="E1621" s="78">
        <f t="shared" si="134"/>
        <v>42683</v>
      </c>
      <c r="F1621" s="79" t="s">
        <v>1952</v>
      </c>
      <c r="G1621" s="79" t="s">
        <v>331</v>
      </c>
      <c r="H1621" s="80" t="s">
        <v>371</v>
      </c>
      <c r="I1621" s="409">
        <v>12930</v>
      </c>
      <c r="J1621" s="407">
        <v>18000</v>
      </c>
      <c r="K1621" s="397"/>
      <c r="L1621" s="406"/>
      <c r="M1621" s="81">
        <f t="shared" si="135"/>
        <v>232740000</v>
      </c>
      <c r="N1621" s="82" t="s">
        <v>268</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x</v>
      </c>
    </row>
    <row r="1622" spans="1:30" ht="15.75" customHeight="1">
      <c r="A1622" s="323" t="str">
        <f>IF(B1622&lt;&gt;"",IF(AND(B1622='IN-TC'!$S$4,OR(TH!N1577="1111",TH!O1577="1111")),TH!D1577,""),"")</f>
        <v/>
      </c>
      <c r="B1622" s="63">
        <f t="shared" si="133"/>
        <v>11</v>
      </c>
      <c r="C1622" s="78">
        <v>42681</v>
      </c>
      <c r="D1622" s="78" t="s">
        <v>2227</v>
      </c>
      <c r="E1622" s="78">
        <f t="shared" si="134"/>
        <v>42681</v>
      </c>
      <c r="F1622" s="79" t="s">
        <v>1952</v>
      </c>
      <c r="G1622" s="79" t="s">
        <v>331</v>
      </c>
      <c r="H1622" s="80" t="s">
        <v>376</v>
      </c>
      <c r="I1622" s="409">
        <v>11530</v>
      </c>
      <c r="J1622" s="407">
        <v>18000</v>
      </c>
      <c r="K1622" s="397"/>
      <c r="L1622" s="406"/>
      <c r="M1622" s="81">
        <f t="shared" si="135"/>
        <v>207540000</v>
      </c>
      <c r="N1622" s="82" t="s">
        <v>268</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x</v>
      </c>
    </row>
    <row r="1623" spans="1:30" ht="15.75" customHeight="1">
      <c r="A1623" s="323" t="str">
        <f>IF(B1623&lt;&gt;"",IF(AND(B1623='IN-TC'!$S$4,OR(TH!N1583="1111",TH!O1583="1111")),TH!D1583,""),"")</f>
        <v/>
      </c>
      <c r="B1623" s="63">
        <f t="shared" si="133"/>
        <v>11</v>
      </c>
      <c r="C1623" s="78">
        <v>42682</v>
      </c>
      <c r="D1623" s="78" t="s">
        <v>2233</v>
      </c>
      <c r="E1623" s="78">
        <f t="shared" si="134"/>
        <v>42682</v>
      </c>
      <c r="F1623" s="79" t="s">
        <v>1952</v>
      </c>
      <c r="G1623" s="79" t="s">
        <v>331</v>
      </c>
      <c r="H1623" s="80" t="s">
        <v>381</v>
      </c>
      <c r="I1623" s="409">
        <v>11790</v>
      </c>
      <c r="J1623" s="407">
        <v>18000</v>
      </c>
      <c r="K1623" s="397"/>
      <c r="L1623" s="406"/>
      <c r="M1623" s="81">
        <f t="shared" si="135"/>
        <v>212220000</v>
      </c>
      <c r="N1623" s="82" t="s">
        <v>268</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x</v>
      </c>
    </row>
    <row r="1624" spans="1:30" ht="15.75" customHeight="1">
      <c r="A1624" s="323"/>
      <c r="B1624" s="63">
        <f t="shared" si="133"/>
        <v>11</v>
      </c>
      <c r="C1624" s="78">
        <v>42685</v>
      </c>
      <c r="D1624" s="78" t="s">
        <v>2242</v>
      </c>
      <c r="E1624" s="78">
        <f t="shared" si="134"/>
        <v>42685</v>
      </c>
      <c r="F1624" s="79" t="s">
        <v>1952</v>
      </c>
      <c r="G1624" s="79" t="s">
        <v>331</v>
      </c>
      <c r="H1624" s="80" t="s">
        <v>1953</v>
      </c>
      <c r="I1624" s="409">
        <v>11603</v>
      </c>
      <c r="J1624" s="407">
        <v>18000</v>
      </c>
      <c r="K1624" s="397"/>
      <c r="L1624" s="406"/>
      <c r="M1624" s="81">
        <f t="shared" si="135"/>
        <v>208854000</v>
      </c>
      <c r="N1624" s="82" t="s">
        <v>268</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x</v>
      </c>
    </row>
    <row r="1625" spans="1:30" ht="15.75" customHeight="1">
      <c r="A1625" s="323"/>
      <c r="B1625" s="63">
        <f t="shared" si="133"/>
        <v>11</v>
      </c>
      <c r="C1625" s="78">
        <v>42685</v>
      </c>
      <c r="D1625" s="78" t="s">
        <v>2243</v>
      </c>
      <c r="E1625" s="78">
        <f t="shared" si="134"/>
        <v>42685</v>
      </c>
      <c r="F1625" s="79" t="s">
        <v>1952</v>
      </c>
      <c r="G1625" s="79" t="s">
        <v>331</v>
      </c>
      <c r="H1625" s="80" t="s">
        <v>371</v>
      </c>
      <c r="I1625" s="409">
        <v>11790</v>
      </c>
      <c r="J1625" s="407">
        <v>18000</v>
      </c>
      <c r="K1625" s="397"/>
      <c r="L1625" s="406"/>
      <c r="M1625" s="81">
        <f t="shared" si="135"/>
        <v>212220000</v>
      </c>
      <c r="N1625" s="82" t="s">
        <v>268</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x</v>
      </c>
    </row>
    <row r="1626" spans="1:30" ht="15.75" customHeight="1">
      <c r="A1626" s="323" t="str">
        <f>IF(B1626&lt;&gt;"",IF(AND(B1626='IN-TC'!$S$4,OR(TH!N1597="1111",TH!O1597="1111")),TH!D1597,""),"")</f>
        <v/>
      </c>
      <c r="B1626" s="63">
        <f t="shared" si="133"/>
        <v>11</v>
      </c>
      <c r="C1626" s="78">
        <v>42686</v>
      </c>
      <c r="D1626" s="78" t="s">
        <v>2247</v>
      </c>
      <c r="E1626" s="78">
        <f t="shared" si="134"/>
        <v>42686</v>
      </c>
      <c r="F1626" s="79" t="s">
        <v>1952</v>
      </c>
      <c r="G1626" s="79" t="s">
        <v>331</v>
      </c>
      <c r="H1626" s="80" t="s">
        <v>388</v>
      </c>
      <c r="I1626" s="409">
        <v>12500</v>
      </c>
      <c r="J1626" s="407">
        <v>18000</v>
      </c>
      <c r="K1626" s="397"/>
      <c r="L1626" s="406"/>
      <c r="M1626" s="81">
        <f t="shared" si="135"/>
        <v>225000000</v>
      </c>
      <c r="N1626" s="82" t="s">
        <v>268</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x</v>
      </c>
    </row>
    <row r="1627" spans="1:30" ht="15.75" customHeight="1">
      <c r="A1627" s="323" t="str">
        <f>IF(B1627&lt;&gt;"",IF(AND(B1627='IN-TC'!$S$4,OR(TH!N1579="1111",TH!O1579="1111")),TH!D1579,""),"")</f>
        <v/>
      </c>
      <c r="B1627" s="63">
        <f t="shared" si="133"/>
        <v>11</v>
      </c>
      <c r="C1627" s="78">
        <v>42681</v>
      </c>
      <c r="D1627" s="78" t="s">
        <v>2229</v>
      </c>
      <c r="E1627" s="78">
        <f t="shared" si="134"/>
        <v>42681</v>
      </c>
      <c r="F1627" s="79" t="s">
        <v>1952</v>
      </c>
      <c r="G1627" s="79" t="s">
        <v>331</v>
      </c>
      <c r="H1627" s="80" t="s">
        <v>384</v>
      </c>
      <c r="I1627" s="409">
        <v>11450</v>
      </c>
      <c r="J1627" s="407">
        <v>18000</v>
      </c>
      <c r="K1627" s="397"/>
      <c r="L1627" s="406"/>
      <c r="M1627" s="81">
        <f t="shared" si="135"/>
        <v>206100000</v>
      </c>
      <c r="N1627" s="82" t="s">
        <v>268</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x</v>
      </c>
    </row>
    <row r="1628" spans="1:30" ht="15.75" customHeight="1">
      <c r="A1628" s="323" t="str">
        <f>IF(B1628&lt;&gt;"",IF(AND(B1628='IN-TC'!$S$4,OR(TH!N1582="1111",TH!O1582="1111")),TH!D1582,""),"")</f>
        <v/>
      </c>
      <c r="B1628" s="63">
        <f t="shared" si="133"/>
        <v>11</v>
      </c>
      <c r="C1628" s="78">
        <v>42682</v>
      </c>
      <c r="D1628" s="78" t="s">
        <v>2232</v>
      </c>
      <c r="E1628" s="78">
        <f t="shared" si="134"/>
        <v>42682</v>
      </c>
      <c r="F1628" s="79" t="s">
        <v>1952</v>
      </c>
      <c r="G1628" s="79" t="s">
        <v>331</v>
      </c>
      <c r="H1628" s="80" t="s">
        <v>378</v>
      </c>
      <c r="I1628" s="409">
        <v>11480</v>
      </c>
      <c r="J1628" s="407">
        <v>18000</v>
      </c>
      <c r="K1628" s="397"/>
      <c r="L1628" s="406"/>
      <c r="M1628" s="81">
        <f t="shared" si="135"/>
        <v>206640000</v>
      </c>
      <c r="N1628" s="82" t="s">
        <v>268</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x</v>
      </c>
    </row>
    <row r="1629" spans="1:30" ht="15.75" customHeight="1">
      <c r="A1629" s="323" t="str">
        <f>IF(B1629&lt;&gt;"",IF(AND(B1629='IN-TC'!$S$4,OR(TH!N1581="1111",TH!O1581="1111")),TH!D1581,""),"")</f>
        <v/>
      </c>
      <c r="B1629" s="63">
        <f t="shared" si="133"/>
        <v>11</v>
      </c>
      <c r="C1629" s="78">
        <v>42682</v>
      </c>
      <c r="D1629" s="78" t="s">
        <v>2231</v>
      </c>
      <c r="E1629" s="78">
        <f t="shared" si="134"/>
        <v>42682</v>
      </c>
      <c r="F1629" s="79" t="s">
        <v>1952</v>
      </c>
      <c r="G1629" s="79" t="s">
        <v>331</v>
      </c>
      <c r="H1629" s="80" t="s">
        <v>386</v>
      </c>
      <c r="I1629" s="409">
        <v>11461</v>
      </c>
      <c r="J1629" s="407">
        <v>18000</v>
      </c>
      <c r="K1629" s="397"/>
      <c r="L1629" s="406"/>
      <c r="M1629" s="81">
        <f t="shared" si="135"/>
        <v>206298000</v>
      </c>
      <c r="N1629" s="82" t="s">
        <v>268</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x</v>
      </c>
    </row>
    <row r="1630" spans="1:30" ht="15.75" customHeight="1">
      <c r="A1630" s="323" t="str">
        <f>IF(B1630&lt;&gt;"",IF(AND(B1630='IN-TC'!$S$4,OR(TH!N1586="1111",TH!O1586="1111")),TH!D1586,""),"")</f>
        <v/>
      </c>
      <c r="B1630" s="63">
        <f t="shared" si="133"/>
        <v>11</v>
      </c>
      <c r="C1630" s="78">
        <v>42683</v>
      </c>
      <c r="D1630" s="78" t="s">
        <v>2236</v>
      </c>
      <c r="E1630" s="78">
        <f t="shared" si="134"/>
        <v>42683</v>
      </c>
      <c r="F1630" s="79" t="s">
        <v>1952</v>
      </c>
      <c r="G1630" s="79" t="s">
        <v>331</v>
      </c>
      <c r="H1630" s="80" t="s">
        <v>376</v>
      </c>
      <c r="I1630" s="409">
        <v>12980</v>
      </c>
      <c r="J1630" s="407">
        <v>18000</v>
      </c>
      <c r="K1630" s="397"/>
      <c r="L1630" s="406"/>
      <c r="M1630" s="81">
        <f t="shared" si="135"/>
        <v>233640000</v>
      </c>
      <c r="N1630" s="82" t="s">
        <v>268</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x</v>
      </c>
    </row>
    <row r="1631" spans="1:30" ht="15.75" customHeight="1">
      <c r="A1631" s="323" t="str">
        <f>IF(B1631&lt;&gt;"",IF(AND(B1631='IN-TC'!$S$4,OR(TH!N1605="1111",TH!O1605="1111")),TH!D1605,""),"")</f>
        <v/>
      </c>
      <c r="B1631" s="63">
        <f t="shared" si="133"/>
        <v>11</v>
      </c>
      <c r="C1631" s="78">
        <v>42689</v>
      </c>
      <c r="D1631" s="78" t="s">
        <v>2255</v>
      </c>
      <c r="E1631" s="78">
        <f t="shared" si="134"/>
        <v>42689</v>
      </c>
      <c r="F1631" s="79" t="s">
        <v>1952</v>
      </c>
      <c r="G1631" s="79" t="s">
        <v>331</v>
      </c>
      <c r="H1631" s="80" t="s">
        <v>1953</v>
      </c>
      <c r="I1631" s="409">
        <v>11980</v>
      </c>
      <c r="J1631" s="407">
        <v>18000</v>
      </c>
      <c r="K1631" s="397"/>
      <c r="L1631" s="406"/>
      <c r="M1631" s="81">
        <f t="shared" si="135"/>
        <v>215640000</v>
      </c>
      <c r="N1631" s="82" t="s">
        <v>268</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x</v>
      </c>
    </row>
    <row r="1632" spans="1:30" ht="15.75" customHeight="1">
      <c r="A1632" s="323" t="str">
        <f>IF(B1632&lt;&gt;"",IF(AND(B1632='IN-TC'!$S$4,OR(TH!N1606="1111",TH!O1606="1111")),TH!D1606,""),"")</f>
        <v/>
      </c>
      <c r="B1632" s="63">
        <f t="shared" si="133"/>
        <v>11</v>
      </c>
      <c r="C1632" s="78">
        <v>42689</v>
      </c>
      <c r="D1632" s="78" t="s">
        <v>2256</v>
      </c>
      <c r="E1632" s="78">
        <f t="shared" si="134"/>
        <v>42689</v>
      </c>
      <c r="F1632" s="79" t="s">
        <v>1952</v>
      </c>
      <c r="G1632" s="79" t="s">
        <v>331</v>
      </c>
      <c r="H1632" s="80" t="s">
        <v>371</v>
      </c>
      <c r="I1632" s="409">
        <v>11498</v>
      </c>
      <c r="J1632" s="407">
        <v>18000</v>
      </c>
      <c r="K1632" s="397"/>
      <c r="L1632" s="406"/>
      <c r="M1632" s="81">
        <f t="shared" si="135"/>
        <v>206964000</v>
      </c>
      <c r="N1632" s="82" t="s">
        <v>268</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x</v>
      </c>
    </row>
    <row r="1633" spans="1:30" ht="15.75" customHeight="1">
      <c r="A1633" s="323"/>
      <c r="B1633" s="63">
        <f t="shared" si="133"/>
        <v>11</v>
      </c>
      <c r="C1633" s="78">
        <v>42685</v>
      </c>
      <c r="D1633" s="78" t="s">
        <v>2241</v>
      </c>
      <c r="E1633" s="78">
        <f t="shared" si="134"/>
        <v>42685</v>
      </c>
      <c r="F1633" s="79" t="s">
        <v>1952</v>
      </c>
      <c r="G1633" s="79" t="s">
        <v>331</v>
      </c>
      <c r="H1633" s="80" t="s">
        <v>381</v>
      </c>
      <c r="I1633" s="409">
        <v>11960</v>
      </c>
      <c r="J1633" s="407">
        <v>18000</v>
      </c>
      <c r="K1633" s="397"/>
      <c r="L1633" s="406"/>
      <c r="M1633" s="81">
        <f t="shared" si="135"/>
        <v>215280000</v>
      </c>
      <c r="N1633" s="82" t="s">
        <v>268</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x</v>
      </c>
    </row>
    <row r="1634" spans="1:30" ht="15.75" customHeight="1">
      <c r="A1634" s="323"/>
      <c r="B1634" s="63">
        <f t="shared" si="133"/>
        <v>11</v>
      </c>
      <c r="C1634" s="78">
        <v>42685</v>
      </c>
      <c r="D1634" s="78" t="s">
        <v>2244</v>
      </c>
      <c r="E1634" s="78">
        <f t="shared" si="134"/>
        <v>42685</v>
      </c>
      <c r="F1634" s="79" t="s">
        <v>1952</v>
      </c>
      <c r="G1634" s="79" t="s">
        <v>331</v>
      </c>
      <c r="H1634" s="80" t="s">
        <v>376</v>
      </c>
      <c r="I1634" s="409">
        <v>12396</v>
      </c>
      <c r="J1634" s="407">
        <v>18000</v>
      </c>
      <c r="K1634" s="397"/>
      <c r="L1634" s="406"/>
      <c r="M1634" s="81">
        <f t="shared" si="135"/>
        <v>223128000</v>
      </c>
      <c r="N1634" s="82" t="s">
        <v>268</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x</v>
      </c>
    </row>
    <row r="1635" spans="1:30" ht="15.75" customHeight="1">
      <c r="A1635" s="323" t="str">
        <f>IF(B1635&lt;&gt;"",IF(AND(B1635='IN-TC'!$S$4,OR(TH!N1588="1111",TH!O1588="1111")),TH!D1588,""),"")</f>
        <v/>
      </c>
      <c r="B1635" s="63">
        <f t="shared" si="133"/>
        <v>11</v>
      </c>
      <c r="C1635" s="78">
        <v>42684</v>
      </c>
      <c r="D1635" s="78" t="s">
        <v>2238</v>
      </c>
      <c r="E1635" s="78">
        <f t="shared" si="134"/>
        <v>42684</v>
      </c>
      <c r="F1635" s="79" t="s">
        <v>1952</v>
      </c>
      <c r="G1635" s="79" t="s">
        <v>331</v>
      </c>
      <c r="H1635" s="80" t="s">
        <v>384</v>
      </c>
      <c r="I1635" s="409">
        <v>12503</v>
      </c>
      <c r="J1635" s="407">
        <v>18000</v>
      </c>
      <c r="K1635" s="397"/>
      <c r="L1635" s="406"/>
      <c r="M1635" s="81">
        <f t="shared" si="135"/>
        <v>225054000</v>
      </c>
      <c r="N1635" s="82" t="s">
        <v>268</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x</v>
      </c>
    </row>
    <row r="1636" spans="1:30" ht="15.75" customHeight="1">
      <c r="A1636" s="323" t="str">
        <f>IF(B1636&lt;&gt;"",IF(AND(B1636='IN-TC'!$S$4,OR(TH!N1602="1111",TH!O1602="1111")),TH!D1602,""),"")</f>
        <v/>
      </c>
      <c r="B1636" s="63">
        <f t="shared" si="133"/>
        <v>11</v>
      </c>
      <c r="C1636" s="78">
        <v>42688</v>
      </c>
      <c r="D1636" s="78" t="s">
        <v>2252</v>
      </c>
      <c r="E1636" s="78">
        <f t="shared" si="134"/>
        <v>42688</v>
      </c>
      <c r="F1636" s="79" t="s">
        <v>1952</v>
      </c>
      <c r="G1636" s="79" t="s">
        <v>331</v>
      </c>
      <c r="H1636" s="80" t="s">
        <v>388</v>
      </c>
      <c r="I1636" s="409">
        <v>11930</v>
      </c>
      <c r="J1636" s="407">
        <v>18000</v>
      </c>
      <c r="K1636" s="397"/>
      <c r="L1636" s="406"/>
      <c r="M1636" s="81">
        <f t="shared" si="135"/>
        <v>214740000</v>
      </c>
      <c r="N1636" s="82" t="s">
        <v>268</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x</v>
      </c>
    </row>
    <row r="1637" spans="1:30" ht="15.75" customHeight="1">
      <c r="A1637" s="323" t="str">
        <f>IF(B1637&lt;&gt;"",IF(AND(B1637='IN-TC'!$S$4,OR(TH!N1614="1111",TH!O1614="1111")),TH!D1614,""),"")</f>
        <v/>
      </c>
      <c r="B1637" s="63">
        <f t="shared" si="133"/>
        <v>11</v>
      </c>
      <c r="C1637" s="78">
        <v>42691</v>
      </c>
      <c r="D1637" s="78" t="s">
        <v>2285</v>
      </c>
      <c r="E1637" s="78">
        <f t="shared" si="134"/>
        <v>42691</v>
      </c>
      <c r="F1637" s="79" t="s">
        <v>1952</v>
      </c>
      <c r="G1637" s="79" t="s">
        <v>331</v>
      </c>
      <c r="H1637" s="80" t="s">
        <v>371</v>
      </c>
      <c r="I1637" s="406">
        <v>14530</v>
      </c>
      <c r="J1637" s="407">
        <v>17500</v>
      </c>
      <c r="K1637" s="397"/>
      <c r="L1637" s="406"/>
      <c r="M1637" s="81">
        <f t="shared" si="135"/>
        <v>254275000</v>
      </c>
      <c r="N1637" s="82" t="s">
        <v>268</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x</v>
      </c>
    </row>
    <row r="1638" spans="1:30" ht="15.75" customHeight="1">
      <c r="A1638" s="323" t="str">
        <f>IF(B1638&lt;&gt;"",IF(AND(B1638='IN-TC'!$S$4,OR(TH!N1590="1111",TH!O1590="1111")),TH!D1590,""),"")</f>
        <v/>
      </c>
      <c r="B1638" s="63">
        <f t="shared" si="133"/>
        <v>11</v>
      </c>
      <c r="C1638" s="78">
        <v>42684</v>
      </c>
      <c r="D1638" s="78" t="s">
        <v>2240</v>
      </c>
      <c r="E1638" s="78">
        <f t="shared" si="134"/>
        <v>42684</v>
      </c>
      <c r="F1638" s="79" t="s">
        <v>1952</v>
      </c>
      <c r="G1638" s="79" t="s">
        <v>331</v>
      </c>
      <c r="H1638" s="80" t="s">
        <v>378</v>
      </c>
      <c r="I1638" s="409">
        <v>11580</v>
      </c>
      <c r="J1638" s="407">
        <v>18000</v>
      </c>
      <c r="K1638" s="397"/>
      <c r="L1638" s="406"/>
      <c r="M1638" s="81">
        <f t="shared" si="135"/>
        <v>208440000</v>
      </c>
      <c r="N1638" s="82" t="s">
        <v>268</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x</v>
      </c>
    </row>
    <row r="1639" spans="1:30" ht="15.75" customHeight="1">
      <c r="A1639" s="323" t="str">
        <f>IF(B1639&lt;&gt;"",IF(AND(B1639='IN-TC'!$S$4,OR(TH!N1587="1111",TH!O1587="1111")),TH!D1587,""),"")</f>
        <v/>
      </c>
      <c r="B1639" s="63">
        <f t="shared" si="133"/>
        <v>11</v>
      </c>
      <c r="C1639" s="78">
        <v>42684</v>
      </c>
      <c r="D1639" s="78" t="s">
        <v>2237</v>
      </c>
      <c r="E1639" s="78">
        <f t="shared" si="134"/>
        <v>42684</v>
      </c>
      <c r="F1639" s="79" t="s">
        <v>1952</v>
      </c>
      <c r="G1639" s="79" t="s">
        <v>331</v>
      </c>
      <c r="H1639" s="80" t="s">
        <v>386</v>
      </c>
      <c r="I1639" s="409">
        <v>12500</v>
      </c>
      <c r="J1639" s="407">
        <v>18000</v>
      </c>
      <c r="K1639" s="397"/>
      <c r="L1639" s="406"/>
      <c r="M1639" s="81">
        <f t="shared" si="135"/>
        <v>225000000</v>
      </c>
      <c r="N1639" s="82" t="s">
        <v>268</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x</v>
      </c>
    </row>
    <row r="1640" spans="1:30" ht="15.75" customHeight="1">
      <c r="A1640" s="323" t="str">
        <f>IF(B1640&lt;&gt;"",IF(AND(B1640='IN-TC'!$S$4,OR(TH!N1604="1111",TH!O1604="1111")),TH!D1604,""),"")</f>
        <v/>
      </c>
      <c r="B1640" s="63">
        <f t="shared" si="133"/>
        <v>11</v>
      </c>
      <c r="C1640" s="78">
        <v>42689</v>
      </c>
      <c r="D1640" s="78" t="s">
        <v>2254</v>
      </c>
      <c r="E1640" s="78">
        <f t="shared" si="134"/>
        <v>42689</v>
      </c>
      <c r="F1640" s="79" t="s">
        <v>1952</v>
      </c>
      <c r="G1640" s="79" t="s">
        <v>331</v>
      </c>
      <c r="H1640" s="80" t="s">
        <v>381</v>
      </c>
      <c r="I1640" s="409">
        <v>12396</v>
      </c>
      <c r="J1640" s="407">
        <v>18000</v>
      </c>
      <c r="K1640" s="397"/>
      <c r="L1640" s="406"/>
      <c r="M1640" s="81">
        <f t="shared" si="135"/>
        <v>223128000</v>
      </c>
      <c r="N1640" s="82" t="s">
        <v>268</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x</v>
      </c>
    </row>
    <row r="1641" spans="1:30" ht="15.75" customHeight="1">
      <c r="A1641" s="323" t="str">
        <f>IF(B1641&lt;&gt;"",IF(AND(B1641='IN-TC'!$S$4,OR(TH!N1596="1111",TH!O1596="1111")),TH!D1596,""),"")</f>
        <v/>
      </c>
      <c r="B1641" s="63">
        <f t="shared" si="133"/>
        <v>11</v>
      </c>
      <c r="C1641" s="78">
        <v>42686</v>
      </c>
      <c r="D1641" s="78" t="s">
        <v>2246</v>
      </c>
      <c r="E1641" s="78">
        <f t="shared" si="134"/>
        <v>42686</v>
      </c>
      <c r="F1641" s="79" t="s">
        <v>1952</v>
      </c>
      <c r="G1641" s="79" t="s">
        <v>331</v>
      </c>
      <c r="H1641" s="80" t="s">
        <v>384</v>
      </c>
      <c r="I1641" s="409">
        <v>11546</v>
      </c>
      <c r="J1641" s="407">
        <v>18000</v>
      </c>
      <c r="K1641" s="397"/>
      <c r="L1641" s="406"/>
      <c r="M1641" s="81">
        <f t="shared" si="135"/>
        <v>207828000</v>
      </c>
      <c r="N1641" s="82" t="s">
        <v>268</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x</v>
      </c>
    </row>
    <row r="1642" spans="1:30" ht="15.75" customHeight="1">
      <c r="A1642" s="323" t="str">
        <f>IF(B1642&lt;&gt;"",IF(AND(B1642='IN-TC'!$S$4,OR(TH!N2280="1111",TH!O2280="1111")),TH!D2280,""),"")</f>
        <v/>
      </c>
      <c r="B1642" s="63">
        <f t="shared" si="133"/>
        <v>9</v>
      </c>
      <c r="C1642" s="64">
        <v>42643</v>
      </c>
      <c r="D1642" s="64" t="s">
        <v>2271</v>
      </c>
      <c r="E1642" s="64">
        <v>42643</v>
      </c>
      <c r="F1642" s="72" t="s">
        <v>932</v>
      </c>
      <c r="G1642" s="67" t="s">
        <v>337</v>
      </c>
      <c r="H1642" s="72" t="s">
        <v>409</v>
      </c>
      <c r="I1642" s="410"/>
      <c r="J1642" s="410"/>
      <c r="K1642" s="401"/>
      <c r="L1642" s="410"/>
      <c r="M1642" s="65">
        <v>664905000</v>
      </c>
      <c r="N1642" s="66" t="s">
        <v>8</v>
      </c>
      <c r="O1642" s="66" t="s">
        <v>266</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customHeight="1">
      <c r="A1643" s="323" t="str">
        <f>IF(B1643&lt;&gt;"",IF(AND(B1643='IN-TC'!$S$4,OR(TH!N2284="1111",TH!O2284="1111")),TH!D2284,""),"")</f>
        <v/>
      </c>
      <c r="B1643" s="63">
        <f t="shared" si="133"/>
        <v>9</v>
      </c>
      <c r="C1643" s="64">
        <v>42643</v>
      </c>
      <c r="D1643" s="64" t="s">
        <v>2271</v>
      </c>
      <c r="E1643" s="64">
        <v>42643</v>
      </c>
      <c r="F1643" s="72" t="s">
        <v>932</v>
      </c>
      <c r="G1643" s="67" t="s">
        <v>337</v>
      </c>
      <c r="H1643" s="329" t="s">
        <v>404</v>
      </c>
      <c r="I1643" s="408"/>
      <c r="J1643" s="408"/>
      <c r="K1643" s="399"/>
      <c r="L1643" s="408"/>
      <c r="M1643" s="65">
        <v>576555000</v>
      </c>
      <c r="N1643" s="66" t="s">
        <v>8</v>
      </c>
      <c r="O1643" s="66" t="s">
        <v>266</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customHeight="1">
      <c r="A1644" s="323" t="str">
        <f>IF(B1644&lt;&gt;"",IF(AND(B1644='IN-TC'!$S$4,OR(TH!N2285="1111",TH!O2285="1111")),TH!D2285,""),"")</f>
        <v/>
      </c>
      <c r="B1644" s="63">
        <f t="shared" si="133"/>
        <v>9</v>
      </c>
      <c r="C1644" s="64">
        <v>42643</v>
      </c>
      <c r="D1644" s="64" t="s">
        <v>2271</v>
      </c>
      <c r="E1644" s="64">
        <v>42643</v>
      </c>
      <c r="F1644" s="72" t="s">
        <v>932</v>
      </c>
      <c r="G1644" s="67" t="s">
        <v>337</v>
      </c>
      <c r="H1644" s="329" t="s">
        <v>411</v>
      </c>
      <c r="I1644" s="408"/>
      <c r="J1644" s="408"/>
      <c r="K1644" s="399"/>
      <c r="L1644" s="408"/>
      <c r="M1644" s="65">
        <v>550905000</v>
      </c>
      <c r="N1644" s="66" t="s">
        <v>8</v>
      </c>
      <c r="O1644" s="66" t="s">
        <v>266</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customHeight="1">
      <c r="A1645" s="323" t="str">
        <f>IF(B1645&lt;&gt;"",IF(AND(B1645='IN-TC'!$S$4,OR(TH!N2278="1111",TH!O2278="1111")),TH!D2278,""),"")</f>
        <v/>
      </c>
      <c r="B1645" s="63">
        <f t="shared" si="133"/>
        <v>9</v>
      </c>
      <c r="C1645" s="64">
        <v>42643</v>
      </c>
      <c r="D1645" s="64" t="s">
        <v>2271</v>
      </c>
      <c r="E1645" s="64">
        <v>42643</v>
      </c>
      <c r="F1645" s="72" t="s">
        <v>932</v>
      </c>
      <c r="G1645" s="67" t="s">
        <v>337</v>
      </c>
      <c r="H1645" s="72" t="s">
        <v>417</v>
      </c>
      <c r="I1645" s="408"/>
      <c r="J1645" s="408"/>
      <c r="K1645" s="399"/>
      <c r="L1645" s="408"/>
      <c r="M1645" s="65">
        <v>661627500</v>
      </c>
      <c r="N1645" s="66" t="s">
        <v>8</v>
      </c>
      <c r="O1645" s="66" t="s">
        <v>266</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customHeight="1">
      <c r="A1646" s="323" t="str">
        <f>IF(B1646&lt;&gt;"",IF(AND(B1646='IN-TC'!$S$4,OR(TH!N2279="1111",TH!O2279="1111")),TH!D2279,""),"")</f>
        <v/>
      </c>
      <c r="B1646" s="63">
        <f t="shared" ref="B1646:B1709" si="136">IF(C1646&lt;&gt;"",MONTH(C1646),"")</f>
        <v>9</v>
      </c>
      <c r="C1646" s="64">
        <v>42643</v>
      </c>
      <c r="D1646" s="64" t="s">
        <v>2271</v>
      </c>
      <c r="E1646" s="64">
        <v>42643</v>
      </c>
      <c r="F1646" s="72" t="s">
        <v>932</v>
      </c>
      <c r="G1646" s="67" t="s">
        <v>337</v>
      </c>
      <c r="H1646" s="72" t="s">
        <v>407</v>
      </c>
      <c r="I1646" s="408"/>
      <c r="J1646" s="408"/>
      <c r="K1646" s="399"/>
      <c r="L1646" s="408"/>
      <c r="M1646" s="65">
        <v>681720000</v>
      </c>
      <c r="N1646" s="66" t="s">
        <v>8</v>
      </c>
      <c r="O1646" s="66" t="s">
        <v>266</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customHeight="1">
      <c r="A1647" s="323" t="str">
        <f>IF(B1647&lt;&gt;"",IF(AND(B1647='IN-TC'!$S$4,OR(TH!N2268="1111",TH!O2268="1111")),TH!D2268,""),"")</f>
        <v/>
      </c>
      <c r="B1647" s="63">
        <f t="shared" si="136"/>
        <v>7</v>
      </c>
      <c r="C1647" s="64">
        <f>E1647</f>
        <v>42582</v>
      </c>
      <c r="D1647" s="64" t="s">
        <v>2213</v>
      </c>
      <c r="E1647" s="64">
        <v>42582</v>
      </c>
      <c r="F1647" s="72" t="s">
        <v>932</v>
      </c>
      <c r="G1647" s="67" t="s">
        <v>331</v>
      </c>
      <c r="H1647" s="329" t="s">
        <v>342</v>
      </c>
      <c r="I1647" s="410"/>
      <c r="J1647" s="410"/>
      <c r="K1647" s="401"/>
      <c r="L1647" s="410"/>
      <c r="M1647" s="65">
        <v>208975000</v>
      </c>
      <c r="N1647" s="66" t="s">
        <v>8</v>
      </c>
      <c r="O1647" s="66" t="s">
        <v>266</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customHeight="1">
      <c r="A1648" s="323" t="str">
        <f>IF(B1648&lt;&gt;"",IF(AND(B1648='IN-TC'!$S$4,OR(TH!N2257="1111",TH!O2257="1111")),TH!D2257,""),"")</f>
        <v/>
      </c>
      <c r="B1648" s="63">
        <f t="shared" si="136"/>
        <v>6</v>
      </c>
      <c r="C1648" s="64">
        <f>E1648</f>
        <v>42551</v>
      </c>
      <c r="D1648" s="64" t="s">
        <v>2211</v>
      </c>
      <c r="E1648" s="64">
        <v>42551</v>
      </c>
      <c r="F1648" s="72" t="s">
        <v>932</v>
      </c>
      <c r="G1648" s="67" t="s">
        <v>331</v>
      </c>
      <c r="H1648" s="329" t="s">
        <v>360</v>
      </c>
      <c r="I1648" s="408"/>
      <c r="J1648" s="408"/>
      <c r="K1648" s="399"/>
      <c r="L1648" s="408"/>
      <c r="M1648" s="65">
        <v>167850500</v>
      </c>
      <c r="N1648" s="66" t="s">
        <v>8</v>
      </c>
      <c r="O1648" s="66" t="s">
        <v>266</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customHeight="1">
      <c r="A1649" s="323" t="str">
        <f>IF(B1649&lt;&gt;"",IF(AND(B1649='IN-TC'!$S$4,OR(TH!N2253="1111",TH!O2253="1111")),TH!D2253,""),"")</f>
        <v/>
      </c>
      <c r="B1649" s="63">
        <f t="shared" si="136"/>
        <v>6</v>
      </c>
      <c r="C1649" s="64">
        <f>E1649</f>
        <v>42551</v>
      </c>
      <c r="D1649" s="64" t="s">
        <v>2211</v>
      </c>
      <c r="E1649" s="64">
        <v>42551</v>
      </c>
      <c r="F1649" s="72" t="s">
        <v>932</v>
      </c>
      <c r="G1649" s="67" t="s">
        <v>331</v>
      </c>
      <c r="H1649" s="329" t="s">
        <v>354</v>
      </c>
      <c r="I1649" s="408"/>
      <c r="J1649" s="408"/>
      <c r="K1649" s="399"/>
      <c r="L1649" s="408"/>
      <c r="M1649" s="65">
        <v>263810000</v>
      </c>
      <c r="N1649" s="66" t="s">
        <v>8</v>
      </c>
      <c r="O1649" s="66" t="s">
        <v>266</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customHeight="1">
      <c r="A1650" s="323" t="str">
        <f>IF(B1650&lt;&gt;"",IF(AND(B1650='IN-TC'!$S$4,OR(TH!N2241="1111",TH!O2241="1111")),TH!D2241,""),"")</f>
        <v/>
      </c>
      <c r="B1650" s="63">
        <f t="shared" si="136"/>
        <v>5</v>
      </c>
      <c r="C1650" s="64">
        <f>E1650</f>
        <v>42521</v>
      </c>
      <c r="D1650" s="64" t="s">
        <v>2209</v>
      </c>
      <c r="E1650" s="64">
        <v>42521</v>
      </c>
      <c r="F1650" s="72" t="s">
        <v>932</v>
      </c>
      <c r="G1650" s="67" t="s">
        <v>331</v>
      </c>
      <c r="H1650" s="329" t="s">
        <v>339</v>
      </c>
      <c r="I1650" s="408"/>
      <c r="J1650" s="408"/>
      <c r="K1650" s="399"/>
      <c r="L1650" s="408"/>
      <c r="M1650" s="65">
        <v>326432500</v>
      </c>
      <c r="N1650" s="66" t="s">
        <v>8</v>
      </c>
      <c r="O1650" s="66" t="s">
        <v>266</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customHeight="1">
      <c r="A1651" s="323" t="str">
        <f>IF(B1651&lt;&gt;"",IF(AND(B1651='IN-TC'!$S$4,OR(TH!N1612="1111",TH!O1612="1111")),TH!D1612,""),"")</f>
        <v/>
      </c>
      <c r="B1651" s="63">
        <f t="shared" si="136"/>
        <v>11</v>
      </c>
      <c r="C1651" s="78">
        <v>42691</v>
      </c>
      <c r="D1651" s="78" t="s">
        <v>2262</v>
      </c>
      <c r="E1651" s="78">
        <f>C1651</f>
        <v>42691</v>
      </c>
      <c r="F1651" s="79" t="s">
        <v>1952</v>
      </c>
      <c r="G1651" s="79" t="s">
        <v>331</v>
      </c>
      <c r="H1651" s="80" t="s">
        <v>381</v>
      </c>
      <c r="I1651" s="406">
        <v>14556</v>
      </c>
      <c r="J1651" s="407">
        <v>17500</v>
      </c>
      <c r="K1651" s="397"/>
      <c r="L1651" s="406"/>
      <c r="M1651" s="81">
        <f t="shared" ref="M1651:M1679" si="137">ROUND(I1651*J1651,0)</f>
        <v>254730000</v>
      </c>
      <c r="N1651" s="82" t="s">
        <v>268</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x</v>
      </c>
    </row>
    <row r="1652" spans="1:30" ht="15.75" customHeight="1">
      <c r="A1652" s="323" t="str">
        <f>IF(B1652&lt;&gt;"",IF(AND(B1652='IN-TC'!$S$4,OR(TH!N1599="1111",TH!O1599="1111")),TH!D1599,""),"")</f>
        <v/>
      </c>
      <c r="B1652" s="63">
        <f t="shared" si="136"/>
        <v>11</v>
      </c>
      <c r="C1652" s="78">
        <v>42688</v>
      </c>
      <c r="D1652" s="78" t="s">
        <v>2249</v>
      </c>
      <c r="E1652" s="78">
        <f>C1652</f>
        <v>42688</v>
      </c>
      <c r="F1652" s="79" t="s">
        <v>1952</v>
      </c>
      <c r="G1652" s="79" t="s">
        <v>331</v>
      </c>
      <c r="H1652" s="80" t="s">
        <v>384</v>
      </c>
      <c r="I1652" s="409">
        <v>11930</v>
      </c>
      <c r="J1652" s="407">
        <v>18000</v>
      </c>
      <c r="K1652" s="397"/>
      <c r="L1652" s="406"/>
      <c r="M1652" s="81">
        <f t="shared" si="137"/>
        <v>214740000</v>
      </c>
      <c r="N1652" s="82" t="s">
        <v>268</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x</v>
      </c>
    </row>
    <row r="1653" spans="1:30" ht="15.75" customHeight="1">
      <c r="A1653" s="323" t="str">
        <f>IF(B1653&lt;&gt;"",IF(AND(B1653='IN-TC'!$S$4,OR(TH!N1598="1111",TH!O1598="1111")),TH!D1598,""),"")</f>
        <v/>
      </c>
      <c r="B1653" s="63">
        <f t="shared" si="136"/>
        <v>11</v>
      </c>
      <c r="C1653" s="78">
        <v>42686</v>
      </c>
      <c r="D1653" s="78" t="s">
        <v>2248</v>
      </c>
      <c r="E1653" s="78">
        <f>C1653</f>
        <v>42686</v>
      </c>
      <c r="F1653" s="79" t="s">
        <v>1952</v>
      </c>
      <c r="G1653" s="79" t="s">
        <v>331</v>
      </c>
      <c r="H1653" s="80" t="s">
        <v>378</v>
      </c>
      <c r="I1653" s="409">
        <v>11850</v>
      </c>
      <c r="J1653" s="407">
        <v>18000</v>
      </c>
      <c r="K1653" s="397"/>
      <c r="L1653" s="406"/>
      <c r="M1653" s="81">
        <f t="shared" si="137"/>
        <v>213300000</v>
      </c>
      <c r="N1653" s="82" t="s">
        <v>268</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x</v>
      </c>
    </row>
    <row r="1654" spans="1:30" ht="15.75" customHeight="1">
      <c r="A1654" s="323" t="str">
        <f>IF(B1654&lt;&gt;"",IF(AND(B1654='IN-TC'!$S$4,OR(TH!N1595="1111",TH!O1595="1111")),TH!D1595,""),"")</f>
        <v/>
      </c>
      <c r="B1654" s="63">
        <f t="shared" si="136"/>
        <v>11</v>
      </c>
      <c r="C1654" s="78">
        <v>42686</v>
      </c>
      <c r="D1654" s="78" t="s">
        <v>2245</v>
      </c>
      <c r="E1654" s="78">
        <f>C1654</f>
        <v>42686</v>
      </c>
      <c r="F1654" s="79" t="s">
        <v>1952</v>
      </c>
      <c r="G1654" s="79" t="s">
        <v>331</v>
      </c>
      <c r="H1654" s="80" t="s">
        <v>386</v>
      </c>
      <c r="I1654" s="409">
        <v>11626</v>
      </c>
      <c r="J1654" s="407">
        <v>18000</v>
      </c>
      <c r="K1654" s="397"/>
      <c r="L1654" s="406"/>
      <c r="M1654" s="81">
        <f t="shared" si="137"/>
        <v>209268000</v>
      </c>
      <c r="N1654" s="82" t="s">
        <v>268</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x</v>
      </c>
    </row>
    <row r="1655" spans="1:30" ht="15.75" customHeight="1">
      <c r="A1655" s="323" t="str">
        <f>IF(B1655&lt;&gt;"",IF(AND(B1655='IN-TC'!$S$4,OR(TH!N1322="1111",TH!O1322="1111")),TH!D1322,""),"")</f>
        <v/>
      </c>
      <c r="B1655" s="63">
        <f t="shared" si="136"/>
        <v>6</v>
      </c>
      <c r="C1655" s="78">
        <f>E1655</f>
        <v>42551</v>
      </c>
      <c r="D1655" s="78" t="s">
        <v>1944</v>
      </c>
      <c r="E1655" s="78">
        <v>42551</v>
      </c>
      <c r="F1655" s="79" t="s">
        <v>668</v>
      </c>
      <c r="G1655" s="79"/>
      <c r="H1655" s="80" t="s">
        <v>357</v>
      </c>
      <c r="I1655" s="406">
        <v>4610</v>
      </c>
      <c r="J1655" s="407">
        <v>18500</v>
      </c>
      <c r="K1655" s="397"/>
      <c r="L1655" s="406"/>
      <c r="M1655" s="81">
        <f t="shared" si="137"/>
        <v>85285000</v>
      </c>
      <c r="N1655" s="82" t="s">
        <v>268</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customHeight="1">
      <c r="A1656" s="323" t="str">
        <f>IF(B1656&lt;&gt;"",IF(AND(B1656='IN-TC'!$S$4,OR(TH!N1398="1111",TH!O1398="1111")),TH!D1398,""),"")</f>
        <v/>
      </c>
      <c r="B1656" s="63">
        <f t="shared" si="136"/>
        <v>9</v>
      </c>
      <c r="C1656" s="78">
        <v>42626</v>
      </c>
      <c r="D1656" s="78" t="s">
        <v>940</v>
      </c>
      <c r="E1656" s="78">
        <v>42625</v>
      </c>
      <c r="F1656" s="79" t="s">
        <v>668</v>
      </c>
      <c r="G1656" s="79" t="s">
        <v>331</v>
      </c>
      <c r="H1656" s="80" t="s">
        <v>354</v>
      </c>
      <c r="I1656" s="406">
        <v>6550</v>
      </c>
      <c r="J1656" s="407">
        <v>18000</v>
      </c>
      <c r="K1656" s="397"/>
      <c r="L1656" s="406"/>
      <c r="M1656" s="81">
        <f t="shared" si="137"/>
        <v>117900000</v>
      </c>
      <c r="N1656" s="82" t="s">
        <v>268</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customHeight="1">
      <c r="A1657" s="323" t="str">
        <f>IF(B1657&lt;&gt;"",IF(AND(B1657='IN-TC'!$S$4,OR(TH!N1390="1111",TH!O1390="1111")),TH!D1390,""),"")</f>
        <v/>
      </c>
      <c r="B1657" s="63">
        <f t="shared" si="136"/>
        <v>9</v>
      </c>
      <c r="C1657" s="78">
        <v>42621</v>
      </c>
      <c r="D1657" s="78" t="s">
        <v>935</v>
      </c>
      <c r="E1657" s="78">
        <f>C1657</f>
        <v>42621</v>
      </c>
      <c r="F1657" s="79" t="s">
        <v>1931</v>
      </c>
      <c r="G1657" s="79" t="s">
        <v>331</v>
      </c>
      <c r="H1657" s="80" t="s">
        <v>342</v>
      </c>
      <c r="I1657" s="406">
        <v>7250</v>
      </c>
      <c r="J1657" s="407">
        <v>28000</v>
      </c>
      <c r="K1657" s="397"/>
      <c r="L1657" s="406"/>
      <c r="M1657" s="81">
        <f t="shared" si="137"/>
        <v>203000000</v>
      </c>
      <c r="N1657" s="82" t="s">
        <v>268</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customHeight="1">
      <c r="A1658" s="323" t="str">
        <f>IF(B1658&lt;&gt;"",IF(AND(B1658='IN-TC'!$S$4,OR(TH!N1303="1111",TH!O1303="1111")),TH!D1303,""),"")</f>
        <v/>
      </c>
      <c r="B1658" s="63">
        <f t="shared" si="136"/>
        <v>6</v>
      </c>
      <c r="C1658" s="78">
        <f>E1658</f>
        <v>42536</v>
      </c>
      <c r="D1658" s="78" t="s">
        <v>936</v>
      </c>
      <c r="E1658" s="78">
        <v>42536</v>
      </c>
      <c r="F1658" s="79" t="s">
        <v>668</v>
      </c>
      <c r="G1658" s="79"/>
      <c r="H1658" s="85" t="s">
        <v>339</v>
      </c>
      <c r="I1658" s="406">
        <v>6750</v>
      </c>
      <c r="J1658" s="407">
        <v>18500</v>
      </c>
      <c r="K1658" s="397"/>
      <c r="L1658" s="406"/>
      <c r="M1658" s="81">
        <f t="shared" si="137"/>
        <v>124875000</v>
      </c>
      <c r="N1658" s="82" t="s">
        <v>268</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customHeight="1">
      <c r="A1659" s="323" t="str">
        <f>IF(B1659&lt;&gt;"",IF(AND(B1659='IN-TC'!$S$4,OR(TH!N1621="1111",TH!O1621="1111")),TH!D1621,""),"")</f>
        <v/>
      </c>
      <c r="B1659" s="63">
        <f t="shared" si="136"/>
        <v>11</v>
      </c>
      <c r="C1659" s="78">
        <v>42693</v>
      </c>
      <c r="D1659" s="78" t="s">
        <v>2292</v>
      </c>
      <c r="E1659" s="78">
        <f t="shared" ref="E1659:E1675" si="138">C1659</f>
        <v>42693</v>
      </c>
      <c r="F1659" s="79" t="s">
        <v>1952</v>
      </c>
      <c r="G1659" s="79" t="s">
        <v>331</v>
      </c>
      <c r="H1659" s="80" t="s">
        <v>371</v>
      </c>
      <c r="I1659" s="406">
        <v>14520</v>
      </c>
      <c r="J1659" s="407">
        <v>17500</v>
      </c>
      <c r="K1659" s="397"/>
      <c r="L1659" s="406"/>
      <c r="M1659" s="81">
        <f t="shared" si="137"/>
        <v>254100000</v>
      </c>
      <c r="N1659" s="82" t="s">
        <v>268</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x</v>
      </c>
    </row>
    <row r="1660" spans="1:30" ht="15.75" customHeight="1">
      <c r="A1660" s="323" t="str">
        <f>IF(B1660&lt;&gt;"",IF(AND(B1660='IN-TC'!$S$4,OR(TH!N1613="1111",TH!O1613="1111")),TH!D1613,""),"")</f>
        <v/>
      </c>
      <c r="B1660" s="63">
        <f t="shared" si="136"/>
        <v>11</v>
      </c>
      <c r="C1660" s="78">
        <v>42691</v>
      </c>
      <c r="D1660" s="78" t="s">
        <v>2284</v>
      </c>
      <c r="E1660" s="78">
        <f t="shared" si="138"/>
        <v>42691</v>
      </c>
      <c r="F1660" s="79" t="s">
        <v>1952</v>
      </c>
      <c r="G1660" s="79" t="s">
        <v>331</v>
      </c>
      <c r="H1660" s="80" t="s">
        <v>1953</v>
      </c>
      <c r="I1660" s="406">
        <v>14458</v>
      </c>
      <c r="J1660" s="407">
        <v>17500</v>
      </c>
      <c r="K1660" s="397"/>
      <c r="L1660" s="406"/>
      <c r="M1660" s="81">
        <f t="shared" si="137"/>
        <v>253015000</v>
      </c>
      <c r="N1660" s="82" t="s">
        <v>268</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x</v>
      </c>
    </row>
    <row r="1661" spans="1:30" ht="15.75" customHeight="1">
      <c r="A1661" s="323" t="str">
        <f>IF(B1661&lt;&gt;"",IF(AND(B1661='IN-TC'!$S$4,OR(TH!N1607="1111",TH!O1607="1111")),TH!D1607,""),"")</f>
        <v/>
      </c>
      <c r="B1661" s="63">
        <f t="shared" si="136"/>
        <v>11</v>
      </c>
      <c r="C1661" s="78">
        <v>42690</v>
      </c>
      <c r="D1661" s="78" t="s">
        <v>2257</v>
      </c>
      <c r="E1661" s="78">
        <f t="shared" si="138"/>
        <v>42690</v>
      </c>
      <c r="F1661" s="79" t="s">
        <v>1952</v>
      </c>
      <c r="G1661" s="79" t="s">
        <v>331</v>
      </c>
      <c r="H1661" s="80" t="s">
        <v>388</v>
      </c>
      <c r="I1661" s="409">
        <v>11919</v>
      </c>
      <c r="J1661" s="407">
        <v>18000</v>
      </c>
      <c r="K1661" s="397"/>
      <c r="L1661" s="406"/>
      <c r="M1661" s="81">
        <f t="shared" si="137"/>
        <v>214542000</v>
      </c>
      <c r="N1661" s="82" t="s">
        <v>268</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x</v>
      </c>
    </row>
    <row r="1662" spans="1:30" ht="15.75" customHeight="1">
      <c r="A1662" s="323" t="str">
        <f>IF(B1662&lt;&gt;"",IF(AND(B1662='IN-TC'!$S$4,OR(TH!N1600="1111",TH!O1600="1111")),TH!D1600,""),"")</f>
        <v/>
      </c>
      <c r="B1662" s="63">
        <f t="shared" si="136"/>
        <v>11</v>
      </c>
      <c r="C1662" s="78">
        <v>42688</v>
      </c>
      <c r="D1662" s="78" t="s">
        <v>2250</v>
      </c>
      <c r="E1662" s="78">
        <f t="shared" si="138"/>
        <v>42688</v>
      </c>
      <c r="F1662" s="79" t="s">
        <v>1952</v>
      </c>
      <c r="G1662" s="79" t="s">
        <v>331</v>
      </c>
      <c r="H1662" s="80" t="s">
        <v>378</v>
      </c>
      <c r="I1662" s="409">
        <v>11982</v>
      </c>
      <c r="J1662" s="407">
        <v>18000</v>
      </c>
      <c r="K1662" s="397"/>
      <c r="L1662" s="406"/>
      <c r="M1662" s="81">
        <f t="shared" si="137"/>
        <v>215676000</v>
      </c>
      <c r="N1662" s="82" t="s">
        <v>268</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x</v>
      </c>
    </row>
    <row r="1663" spans="1:30" ht="15.75" customHeight="1">
      <c r="A1663" s="323" t="str">
        <f>IF(B1663&lt;&gt;"",IF(AND(B1663='IN-TC'!$S$4,OR(TH!N1625="1111",TH!O1625="1111")),TH!D1625,""),"")</f>
        <v/>
      </c>
      <c r="B1663" s="63">
        <f t="shared" si="136"/>
        <v>11</v>
      </c>
      <c r="C1663" s="78">
        <v>42694</v>
      </c>
      <c r="D1663" s="78" t="s">
        <v>2296</v>
      </c>
      <c r="E1663" s="78">
        <f t="shared" si="138"/>
        <v>42694</v>
      </c>
      <c r="F1663" s="79" t="s">
        <v>1952</v>
      </c>
      <c r="G1663" s="79" t="s">
        <v>331</v>
      </c>
      <c r="H1663" s="80" t="s">
        <v>371</v>
      </c>
      <c r="I1663" s="406">
        <v>14630</v>
      </c>
      <c r="J1663" s="407">
        <v>17500</v>
      </c>
      <c r="K1663" s="397"/>
      <c r="L1663" s="406"/>
      <c r="M1663" s="81">
        <f t="shared" si="137"/>
        <v>256025000</v>
      </c>
      <c r="N1663" s="82" t="s">
        <v>268</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x</v>
      </c>
    </row>
    <row r="1664" spans="1:30" ht="15.75" customHeight="1">
      <c r="A1664" s="323" t="str">
        <f>IF(B1664&lt;&gt;"",IF(AND(B1664='IN-TC'!$S$4,OR(TH!N1623="1111",TH!O1623="1111")),TH!D1623,""),"")</f>
        <v/>
      </c>
      <c r="B1664" s="63">
        <f t="shared" si="136"/>
        <v>11</v>
      </c>
      <c r="C1664" s="78">
        <v>42694</v>
      </c>
      <c r="D1664" s="78" t="s">
        <v>2294</v>
      </c>
      <c r="E1664" s="78">
        <f t="shared" si="138"/>
        <v>42694</v>
      </c>
      <c r="F1664" s="79" t="s">
        <v>1952</v>
      </c>
      <c r="G1664" s="79" t="s">
        <v>331</v>
      </c>
      <c r="H1664" s="80" t="s">
        <v>381</v>
      </c>
      <c r="I1664" s="406">
        <v>14850</v>
      </c>
      <c r="J1664" s="407">
        <v>17500</v>
      </c>
      <c r="K1664" s="397"/>
      <c r="L1664" s="406"/>
      <c r="M1664" s="81">
        <f t="shared" si="137"/>
        <v>259875000</v>
      </c>
      <c r="N1664" s="82" t="s">
        <v>268</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x</v>
      </c>
    </row>
    <row r="1665" spans="1:30" ht="15.75" customHeight="1">
      <c r="A1665" s="323" t="str">
        <f>IF(B1665&lt;&gt;"",IF(AND(B1665='IN-TC'!$S$4,OR(TH!N1609="1111",TH!O1609="1111")),TH!D1609,""),"")</f>
        <v/>
      </c>
      <c r="B1665" s="63">
        <f t="shared" si="136"/>
        <v>11</v>
      </c>
      <c r="C1665" s="78">
        <v>42690</v>
      </c>
      <c r="D1665" s="78" t="s">
        <v>2259</v>
      </c>
      <c r="E1665" s="78">
        <f t="shared" si="138"/>
        <v>42690</v>
      </c>
      <c r="F1665" s="79" t="s">
        <v>1952</v>
      </c>
      <c r="G1665" s="79" t="s">
        <v>331</v>
      </c>
      <c r="H1665" s="80" t="s">
        <v>384</v>
      </c>
      <c r="I1665" s="409">
        <v>11960</v>
      </c>
      <c r="J1665" s="407">
        <v>18000</v>
      </c>
      <c r="K1665" s="397"/>
      <c r="L1665" s="406"/>
      <c r="M1665" s="81">
        <f t="shared" si="137"/>
        <v>215280000</v>
      </c>
      <c r="N1665" s="82" t="s">
        <v>268</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x</v>
      </c>
    </row>
    <row r="1666" spans="1:30" ht="15.75" customHeight="1">
      <c r="A1666" s="323" t="str">
        <f>IF(B1666&lt;&gt;"",IF(AND(B1666='IN-TC'!$S$4,OR(TH!N1610="1111",TH!O1610="1111")),TH!D1610,""),"")</f>
        <v/>
      </c>
      <c r="B1666" s="63">
        <f t="shared" si="136"/>
        <v>11</v>
      </c>
      <c r="C1666" s="78">
        <v>42690</v>
      </c>
      <c r="D1666" s="78" t="s">
        <v>2260</v>
      </c>
      <c r="E1666" s="78">
        <f t="shared" si="138"/>
        <v>42690</v>
      </c>
      <c r="F1666" s="79" t="s">
        <v>1952</v>
      </c>
      <c r="G1666" s="79" t="s">
        <v>331</v>
      </c>
      <c r="H1666" s="80" t="s">
        <v>378</v>
      </c>
      <c r="I1666" s="409">
        <v>11860</v>
      </c>
      <c r="J1666" s="407">
        <v>18000</v>
      </c>
      <c r="K1666" s="397"/>
      <c r="L1666" s="406"/>
      <c r="M1666" s="81">
        <f t="shared" si="137"/>
        <v>213480000</v>
      </c>
      <c r="N1666" s="82" t="s">
        <v>268</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x</v>
      </c>
    </row>
    <row r="1667" spans="1:30" ht="15.75" customHeight="1">
      <c r="A1667" s="323" t="str">
        <f>IF(B1667&lt;&gt;"",IF(AND(B1667='IN-TC'!$S$4,OR(TH!N1601="1111",TH!O1601="1111")),TH!D1601,""),"")</f>
        <v/>
      </c>
      <c r="B1667" s="63">
        <f t="shared" si="136"/>
        <v>11</v>
      </c>
      <c r="C1667" s="78">
        <v>42688</v>
      </c>
      <c r="D1667" s="78" t="s">
        <v>2251</v>
      </c>
      <c r="E1667" s="78">
        <f t="shared" si="138"/>
        <v>42688</v>
      </c>
      <c r="F1667" s="79" t="s">
        <v>1952</v>
      </c>
      <c r="G1667" s="79" t="s">
        <v>331</v>
      </c>
      <c r="H1667" s="80" t="s">
        <v>386</v>
      </c>
      <c r="I1667" s="409">
        <v>11975</v>
      </c>
      <c r="J1667" s="407">
        <v>18000</v>
      </c>
      <c r="K1667" s="397"/>
      <c r="L1667" s="406"/>
      <c r="M1667" s="81">
        <f t="shared" si="137"/>
        <v>215550000</v>
      </c>
      <c r="N1667" s="82" t="s">
        <v>268</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x</v>
      </c>
    </row>
    <row r="1668" spans="1:30" ht="15.75" customHeight="1">
      <c r="A1668" s="323" t="str">
        <f>IF(B1668&lt;&gt;"",IF(AND(B1668='IN-TC'!$S$4,OR(TH!N1632="1111",TH!O1632="1111")),TH!D1632,""),"")</f>
        <v/>
      </c>
      <c r="B1668" s="63">
        <f t="shared" si="136"/>
        <v>11</v>
      </c>
      <c r="C1668" s="78">
        <v>42696</v>
      </c>
      <c r="D1668" s="78" t="s">
        <v>2303</v>
      </c>
      <c r="E1668" s="78">
        <f t="shared" si="138"/>
        <v>42696</v>
      </c>
      <c r="F1668" s="79" t="s">
        <v>1952</v>
      </c>
      <c r="G1668" s="79" t="s">
        <v>331</v>
      </c>
      <c r="H1668" s="80" t="s">
        <v>371</v>
      </c>
      <c r="I1668" s="406">
        <v>14360</v>
      </c>
      <c r="J1668" s="407">
        <v>17500</v>
      </c>
      <c r="K1668" s="397"/>
      <c r="L1668" s="406"/>
      <c r="M1668" s="81">
        <f t="shared" si="137"/>
        <v>251300000</v>
      </c>
      <c r="N1668" s="82" t="s">
        <v>268</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x</v>
      </c>
    </row>
    <row r="1669" spans="1:30" ht="15.75" customHeight="1">
      <c r="A1669" s="323" t="str">
        <f>IF(B1669&lt;&gt;"",IF(AND(B1669='IN-TC'!$S$4,OR(TH!N1603="1111",TH!O1603="1111")),TH!D1603,""),"")</f>
        <v/>
      </c>
      <c r="B1669" s="63">
        <f t="shared" si="136"/>
        <v>11</v>
      </c>
      <c r="C1669" s="78">
        <v>42689</v>
      </c>
      <c r="D1669" s="78" t="s">
        <v>2253</v>
      </c>
      <c r="E1669" s="78">
        <f t="shared" si="138"/>
        <v>42689</v>
      </c>
      <c r="F1669" s="79" t="s">
        <v>1952</v>
      </c>
      <c r="G1669" s="79" t="s">
        <v>331</v>
      </c>
      <c r="H1669" s="80" t="s">
        <v>376</v>
      </c>
      <c r="I1669" s="409">
        <v>12980</v>
      </c>
      <c r="J1669" s="407">
        <v>18000</v>
      </c>
      <c r="K1669" s="397"/>
      <c r="L1669" s="406"/>
      <c r="M1669" s="81">
        <f t="shared" si="137"/>
        <v>233640000</v>
      </c>
      <c r="N1669" s="82" t="s">
        <v>268</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x</v>
      </c>
    </row>
    <row r="1670" spans="1:30" ht="15.75" customHeight="1">
      <c r="A1670" s="323" t="str">
        <f>IF(B1670&lt;&gt;"",IF(AND(B1670='IN-TC'!$S$4,OR(TH!N1633="1111",TH!O1633="1111")),TH!D1633,""),"")</f>
        <v/>
      </c>
      <c r="B1670" s="63">
        <f t="shared" si="136"/>
        <v>11</v>
      </c>
      <c r="C1670" s="78">
        <v>42696</v>
      </c>
      <c r="D1670" s="78" t="s">
        <v>2304</v>
      </c>
      <c r="E1670" s="78">
        <f t="shared" si="138"/>
        <v>42696</v>
      </c>
      <c r="F1670" s="79" t="s">
        <v>1952</v>
      </c>
      <c r="G1670" s="79" t="s">
        <v>331</v>
      </c>
      <c r="H1670" s="80" t="s">
        <v>381</v>
      </c>
      <c r="I1670" s="406">
        <v>14850</v>
      </c>
      <c r="J1670" s="407">
        <v>17500</v>
      </c>
      <c r="K1670" s="397"/>
      <c r="L1670" s="406"/>
      <c r="M1670" s="81">
        <f t="shared" si="137"/>
        <v>259875000</v>
      </c>
      <c r="N1670" s="82" t="s">
        <v>268</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x</v>
      </c>
    </row>
    <row r="1671" spans="1:30" ht="15.75" customHeight="1">
      <c r="A1671" s="323"/>
      <c r="B1671" s="63">
        <f t="shared" si="136"/>
        <v>11</v>
      </c>
      <c r="C1671" s="78">
        <v>42692</v>
      </c>
      <c r="D1671" s="78" t="s">
        <v>2286</v>
      </c>
      <c r="E1671" s="78">
        <f t="shared" si="138"/>
        <v>42692</v>
      </c>
      <c r="F1671" s="79" t="s">
        <v>1952</v>
      </c>
      <c r="G1671" s="79" t="s">
        <v>331</v>
      </c>
      <c r="H1671" s="80" t="s">
        <v>384</v>
      </c>
      <c r="I1671" s="406">
        <v>14480</v>
      </c>
      <c r="J1671" s="407">
        <v>17500</v>
      </c>
      <c r="K1671" s="397"/>
      <c r="L1671" s="406"/>
      <c r="M1671" s="81">
        <f t="shared" si="137"/>
        <v>253400000</v>
      </c>
      <c r="N1671" s="82" t="s">
        <v>268</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x</v>
      </c>
    </row>
    <row r="1672" spans="1:30" ht="15.75" customHeight="1">
      <c r="A1672" s="323" t="str">
        <f>IF(B1672&lt;&gt;"",IF(AND(B1672='IN-TC'!$S$4,OR(TH!N1627="1111",TH!O1627="1111")),TH!D1627,""),"")</f>
        <v/>
      </c>
      <c r="B1672" s="63">
        <f t="shared" si="136"/>
        <v>11</v>
      </c>
      <c r="C1672" s="78">
        <v>42695</v>
      </c>
      <c r="D1672" s="78" t="s">
        <v>2298</v>
      </c>
      <c r="E1672" s="78">
        <f t="shared" si="138"/>
        <v>42695</v>
      </c>
      <c r="F1672" s="79" t="s">
        <v>1952</v>
      </c>
      <c r="G1672" s="79" t="s">
        <v>331</v>
      </c>
      <c r="H1672" s="80" t="s">
        <v>384</v>
      </c>
      <c r="I1672" s="406">
        <v>14850</v>
      </c>
      <c r="J1672" s="407">
        <v>17500</v>
      </c>
      <c r="K1672" s="397"/>
      <c r="L1672" s="406"/>
      <c r="M1672" s="81">
        <f t="shared" si="137"/>
        <v>259875000</v>
      </c>
      <c r="N1672" s="82" t="s">
        <v>268</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x</v>
      </c>
    </row>
    <row r="1673" spans="1:30" ht="15.75" customHeight="1">
      <c r="A1673" s="323" t="str">
        <f>IF(B1673&lt;&gt;"",IF(AND(B1673='IN-TC'!$S$4,OR(TH!N1646="1111",TH!O1646="1111")),TH!D1646,""),"")</f>
        <v/>
      </c>
      <c r="B1673" s="63">
        <f t="shared" si="136"/>
        <v>11</v>
      </c>
      <c r="C1673" s="78">
        <v>42700</v>
      </c>
      <c r="D1673" s="78" t="s">
        <v>2642</v>
      </c>
      <c r="E1673" s="78">
        <f t="shared" si="138"/>
        <v>42700</v>
      </c>
      <c r="F1673" s="79" t="s">
        <v>2225</v>
      </c>
      <c r="G1673" s="79" t="s">
        <v>337</v>
      </c>
      <c r="H1673" s="80" t="s">
        <v>407</v>
      </c>
      <c r="I1673" s="406">
        <v>6500</v>
      </c>
      <c r="J1673" s="407">
        <v>26000</v>
      </c>
      <c r="K1673" s="397"/>
      <c r="L1673" s="406"/>
      <c r="M1673" s="81">
        <f t="shared" si="137"/>
        <v>169000000</v>
      </c>
      <c r="N1673" s="82" t="s">
        <v>268</v>
      </c>
      <c r="O1673" s="8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x</v>
      </c>
    </row>
    <row r="1674" spans="1:30" ht="15.75" customHeight="1">
      <c r="A1674" s="1240"/>
      <c r="B1674" s="1241">
        <f t="shared" si="136"/>
        <v>11</v>
      </c>
      <c r="C1674" s="1242">
        <v>42704</v>
      </c>
      <c r="D1674" s="1242" t="s">
        <v>2879</v>
      </c>
      <c r="E1674" s="1242">
        <f t="shared" si="138"/>
        <v>42704</v>
      </c>
      <c r="F1674" s="1243" t="s">
        <v>2831</v>
      </c>
      <c r="G1674" s="1243"/>
      <c r="H1674" s="1244" t="s">
        <v>407</v>
      </c>
      <c r="I1674" s="1245">
        <v>600</v>
      </c>
      <c r="J1674" s="1246">
        <v>32000</v>
      </c>
      <c r="K1674" s="1247"/>
      <c r="L1674" s="1245"/>
      <c r="M1674" s="1248">
        <f t="shared" si="137"/>
        <v>19200000</v>
      </c>
      <c r="N1674" s="1249" t="s">
        <v>268</v>
      </c>
      <c r="O1674" s="1249"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x</v>
      </c>
    </row>
    <row r="1675" spans="1:30" ht="15.75" customHeight="1">
      <c r="A1675" s="323" t="str">
        <f>IF(B1675&lt;&gt;"",IF(AND(B1675='IN-TC'!$S$4,OR(TH!N1645="1111",TH!O1645="1111")),TH!D1645,""),"")</f>
        <v/>
      </c>
      <c r="B1675" s="63">
        <f t="shared" si="136"/>
        <v>11</v>
      </c>
      <c r="C1675" s="78">
        <v>42700</v>
      </c>
      <c r="D1675" s="78" t="s">
        <v>2641</v>
      </c>
      <c r="E1675" s="78">
        <f t="shared" si="138"/>
        <v>42700</v>
      </c>
      <c r="F1675" s="79" t="s">
        <v>2225</v>
      </c>
      <c r="G1675" s="79" t="s">
        <v>337</v>
      </c>
      <c r="H1675" s="80" t="s">
        <v>417</v>
      </c>
      <c r="I1675" s="406">
        <v>6280</v>
      </c>
      <c r="J1675" s="407">
        <v>26000</v>
      </c>
      <c r="K1675" s="397"/>
      <c r="L1675" s="406"/>
      <c r="M1675" s="81">
        <f t="shared" si="137"/>
        <v>163280000</v>
      </c>
      <c r="N1675" s="82" t="s">
        <v>268</v>
      </c>
      <c r="O1675" s="8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x</v>
      </c>
    </row>
    <row r="1676" spans="1:30" ht="15.75" customHeight="1">
      <c r="A1676" s="323" t="str">
        <f>IF(B1676&lt;&gt;"",IF(AND(B1676='IN-TC'!$S$4,OR(TH!N1502="1111",TH!O1502="1111")),TH!D1502,""),"")</f>
        <v/>
      </c>
      <c r="B1676" s="63">
        <f t="shared" si="136"/>
        <v>10</v>
      </c>
      <c r="C1676" s="78">
        <v>42668</v>
      </c>
      <c r="D1676" s="78" t="s">
        <v>2290</v>
      </c>
      <c r="E1676" s="78">
        <v>42671</v>
      </c>
      <c r="F1676" s="79" t="s">
        <v>1935</v>
      </c>
      <c r="G1676" s="79"/>
      <c r="H1676" s="85" t="s">
        <v>423</v>
      </c>
      <c r="I1676" s="406">
        <v>8790</v>
      </c>
      <c r="J1676" s="407">
        <v>19000</v>
      </c>
      <c r="K1676" s="397"/>
      <c r="L1676" s="406"/>
      <c r="M1676" s="81">
        <f t="shared" si="137"/>
        <v>167010000</v>
      </c>
      <c r="N1676" s="82" t="s">
        <v>268</v>
      </c>
      <c r="O1676" s="8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75" customHeight="1">
      <c r="A1677" s="323" t="str">
        <f>IF(B1677&lt;&gt;"",IF(AND(B1677='IN-TC'!$S$4,OR(TH!N1518="1111",TH!O1518="1111")),TH!D1518,""),"")</f>
        <v/>
      </c>
      <c r="B1677" s="63">
        <f t="shared" si="136"/>
        <v>10</v>
      </c>
      <c r="C1677" s="78">
        <v>42673</v>
      </c>
      <c r="D1677" s="78" t="s">
        <v>2306</v>
      </c>
      <c r="E1677" s="78">
        <v>42674</v>
      </c>
      <c r="F1677" s="79" t="s">
        <v>1935</v>
      </c>
      <c r="G1677" s="79"/>
      <c r="H1677" s="85" t="s">
        <v>423</v>
      </c>
      <c r="I1677" s="406">
        <v>6780</v>
      </c>
      <c r="J1677" s="407">
        <v>19000</v>
      </c>
      <c r="K1677" s="397"/>
      <c r="L1677" s="406"/>
      <c r="M1677" s="81">
        <f t="shared" si="137"/>
        <v>128820000</v>
      </c>
      <c r="N1677" s="82" t="s">
        <v>268</v>
      </c>
      <c r="O1677" s="8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 customHeight="1">
      <c r="A1678" s="323" t="str">
        <f>IF(B1678&lt;&gt;"",IF(AND(B1678='IN-TC'!$S$4,OR(TH!N1644="1111",TH!O1644="1111")),TH!D1644,""),"")</f>
        <v/>
      </c>
      <c r="B1678" s="63">
        <f t="shared" si="136"/>
        <v>11</v>
      </c>
      <c r="C1678" s="78">
        <v>42699</v>
      </c>
      <c r="D1678" s="78" t="s">
        <v>2640</v>
      </c>
      <c r="E1678" s="78">
        <f>C1678</f>
        <v>42699</v>
      </c>
      <c r="F1678" s="79" t="s">
        <v>2225</v>
      </c>
      <c r="G1678" s="79" t="s">
        <v>337</v>
      </c>
      <c r="H1678" s="80" t="s">
        <v>411</v>
      </c>
      <c r="I1678" s="406">
        <v>6590</v>
      </c>
      <c r="J1678" s="407">
        <v>26000</v>
      </c>
      <c r="K1678" s="397"/>
      <c r="L1678" s="406"/>
      <c r="M1678" s="81">
        <f t="shared" si="137"/>
        <v>171340000</v>
      </c>
      <c r="N1678" s="82" t="s">
        <v>268</v>
      </c>
      <c r="O1678" s="8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x</v>
      </c>
    </row>
    <row r="1679" spans="1:30" ht="15.75" customHeight="1">
      <c r="A1679" s="1170"/>
      <c r="B1679" s="1199">
        <f t="shared" si="136"/>
        <v>11</v>
      </c>
      <c r="C1679" s="1087">
        <v>42675</v>
      </c>
      <c r="D1679" s="90" t="s">
        <v>670</v>
      </c>
      <c r="E1679" s="90">
        <f>C1679</f>
        <v>42675</v>
      </c>
      <c r="F1679" s="1153" t="s">
        <v>1952</v>
      </c>
      <c r="G1679" s="1155"/>
      <c r="H1679" s="1153" t="s">
        <v>439</v>
      </c>
      <c r="I1679" s="414">
        <v>45990</v>
      </c>
      <c r="J1679" s="1108">
        <v>18000</v>
      </c>
      <c r="K1679" s="1110"/>
      <c r="L1679" s="1109"/>
      <c r="M1679" s="93">
        <f t="shared" si="137"/>
        <v>827820000</v>
      </c>
      <c r="N1679" s="83" t="s">
        <v>276</v>
      </c>
      <c r="O1679" s="83" t="s">
        <v>268</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customHeight="1">
      <c r="A1680" s="323" t="str">
        <f>IF(B1680&lt;&gt;"",IF(AND(B1680='IN-TC'!$S$4,OR(TH!N3891="1111",TH!O3891="1111")),TH!D3891,""),"")</f>
        <v>T03</v>
      </c>
      <c r="B1680" s="63">
        <f t="shared" si="136"/>
        <v>10</v>
      </c>
      <c r="C1680" s="90">
        <v>42674</v>
      </c>
      <c r="D1680" s="90" t="s">
        <v>1543</v>
      </c>
      <c r="E1680" s="90">
        <f>C1680</f>
        <v>42674</v>
      </c>
      <c r="F1680" s="72" t="s">
        <v>1876</v>
      </c>
      <c r="G1680" s="91"/>
      <c r="H1680" s="92" t="s">
        <v>1198</v>
      </c>
      <c r="I1680" s="414"/>
      <c r="J1680" s="414"/>
      <c r="K1680" s="405"/>
      <c r="L1680" s="414"/>
      <c r="M1680" s="93">
        <v>67930000</v>
      </c>
      <c r="N1680" s="83" t="s">
        <v>61</v>
      </c>
      <c r="O1680" s="83" t="s">
        <v>70</v>
      </c>
      <c r="P1680" s="82" t="str">
        <f>IF(AND('331-CT'!$E$7=TH!H1680,OR(N1680="331",O1680="331")),"x","")</f>
        <v/>
      </c>
      <c r="Q1680" s="82" t="str">
        <f>IF(AND(B1680='111'!$L$11,OR($N1680=$Q$7,$O1680=$Q$7)),"x","")</f>
        <v/>
      </c>
      <c r="R1680" s="82" t="str">
        <f>IF(AND($N1680=$Q$7,$B1680&lt;'111'!$L$11),"x","")</f>
        <v>x</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customHeight="1">
      <c r="A1681" s="323" t="str">
        <f>IF(B1681&lt;&gt;"",IF(AND(B1681='IN-TC'!$S$4,OR(TH!N1681="1111",TH!O1681="1111")),TH!D1681,""),"")</f>
        <v/>
      </c>
      <c r="B1681" s="63">
        <f t="shared" si="136"/>
        <v>11</v>
      </c>
      <c r="C1681" s="90">
        <v>42675</v>
      </c>
      <c r="D1681" s="90" t="s">
        <v>678</v>
      </c>
      <c r="E1681" s="90">
        <f>C1681</f>
        <v>42675</v>
      </c>
      <c r="F1681" s="91" t="s">
        <v>1935</v>
      </c>
      <c r="G1681" s="91"/>
      <c r="H1681" s="1153" t="s">
        <v>439</v>
      </c>
      <c r="I1681" s="1109">
        <v>34220</v>
      </c>
      <c r="J1681" s="1108">
        <v>19000</v>
      </c>
      <c r="K1681" s="1110"/>
      <c r="L1681" s="1109"/>
      <c r="M1681" s="93">
        <f t="shared" ref="M1681:M1706" si="139">ROUND(I1681*J1681,0)</f>
        <v>650180000</v>
      </c>
      <c r="N1681" s="83" t="s">
        <v>276</v>
      </c>
      <c r="O1681" s="83" t="s">
        <v>268</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customHeight="1">
      <c r="A1682" s="323" t="str">
        <f>IF(B1682&lt;&gt;"",IF(AND(B1682='IN-TC'!$S$4,OR(TH!N1682="1111",TH!O1682="1111")),TH!D1682,""),"")</f>
        <v/>
      </c>
      <c r="B1682" s="63">
        <f t="shared" si="136"/>
        <v>11</v>
      </c>
      <c r="C1682" s="90">
        <f>E1682</f>
        <v>42675</v>
      </c>
      <c r="D1682" s="90" t="s">
        <v>679</v>
      </c>
      <c r="E1682" s="90">
        <v>42675</v>
      </c>
      <c r="F1682" s="91" t="s">
        <v>669</v>
      </c>
      <c r="G1682" s="91"/>
      <c r="H1682" s="1153" t="s">
        <v>439</v>
      </c>
      <c r="I1682" s="1109">
        <v>40463</v>
      </c>
      <c r="J1682" s="1108">
        <v>16500</v>
      </c>
      <c r="K1682" s="1110"/>
      <c r="L1682" s="1109"/>
      <c r="M1682" s="93">
        <f t="shared" si="139"/>
        <v>667639500</v>
      </c>
      <c r="N1682" s="83" t="s">
        <v>276</v>
      </c>
      <c r="O1682" s="83" t="s">
        <v>268</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customHeight="1">
      <c r="A1683" s="323" t="str">
        <f>IF(B1683&lt;&gt;"",IF(AND(B1683='IN-TC'!$S$4,OR(TH!N1683="1111",TH!O1683="1111")),TH!D1683,""),"")</f>
        <v/>
      </c>
      <c r="B1683" s="63">
        <f t="shared" si="136"/>
        <v>11</v>
      </c>
      <c r="C1683" s="90">
        <v>42676</v>
      </c>
      <c r="D1683" s="90" t="s">
        <v>680</v>
      </c>
      <c r="E1683" s="90">
        <v>42677</v>
      </c>
      <c r="F1683" s="91" t="s">
        <v>1935</v>
      </c>
      <c r="G1683" s="91"/>
      <c r="H1683" s="1153" t="s">
        <v>439</v>
      </c>
      <c r="I1683" s="1109">
        <v>24143</v>
      </c>
      <c r="J1683" s="1108">
        <v>19000</v>
      </c>
      <c r="K1683" s="1110"/>
      <c r="L1683" s="1109"/>
      <c r="M1683" s="93">
        <f t="shared" si="139"/>
        <v>458717000</v>
      </c>
      <c r="N1683" s="83" t="s">
        <v>276</v>
      </c>
      <c r="O1683" s="83" t="s">
        <v>268</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customHeight="1">
      <c r="A1684" s="1170"/>
      <c r="B1684" s="1199">
        <f t="shared" si="136"/>
        <v>11</v>
      </c>
      <c r="C1684" s="1087">
        <v>42676</v>
      </c>
      <c r="D1684" s="1087" t="s">
        <v>681</v>
      </c>
      <c r="E1684" s="90">
        <f>C1684</f>
        <v>42676</v>
      </c>
      <c r="F1684" s="1153" t="s">
        <v>1952</v>
      </c>
      <c r="G1684" s="1155"/>
      <c r="H1684" s="1153" t="s">
        <v>439</v>
      </c>
      <c r="I1684" s="414">
        <v>46572</v>
      </c>
      <c r="J1684" s="1108">
        <v>18000</v>
      </c>
      <c r="K1684" s="1110"/>
      <c r="L1684" s="1109"/>
      <c r="M1684" s="93">
        <f t="shared" si="139"/>
        <v>838296000</v>
      </c>
      <c r="N1684" s="83" t="s">
        <v>276</v>
      </c>
      <c r="O1684" s="83" t="s">
        <v>268</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customHeight="1">
      <c r="A1685" s="323" t="str">
        <f>IF(B1685&lt;&gt;"",IF(AND(B1685='IN-TC'!$S$4,OR(TH!N1685="1111",TH!O1685="1111")),TH!D1685,""),"")</f>
        <v/>
      </c>
      <c r="B1685" s="63">
        <f t="shared" si="136"/>
        <v>11</v>
      </c>
      <c r="C1685" s="90">
        <v>42677</v>
      </c>
      <c r="D1685" s="90" t="s">
        <v>928</v>
      </c>
      <c r="E1685" s="90">
        <v>42679</v>
      </c>
      <c r="F1685" s="91" t="s">
        <v>1935</v>
      </c>
      <c r="G1685" s="91"/>
      <c r="H1685" s="1153" t="s">
        <v>439</v>
      </c>
      <c r="I1685" s="1109">
        <v>21637</v>
      </c>
      <c r="J1685" s="1108">
        <v>19000</v>
      </c>
      <c r="K1685" s="1110"/>
      <c r="L1685" s="1109"/>
      <c r="M1685" s="93">
        <f t="shared" si="139"/>
        <v>411103000</v>
      </c>
      <c r="N1685" s="83" t="s">
        <v>276</v>
      </c>
      <c r="O1685" s="83" t="s">
        <v>268</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customHeight="1">
      <c r="A1686" s="1170"/>
      <c r="B1686" s="1199">
        <f t="shared" si="136"/>
        <v>11</v>
      </c>
      <c r="C1686" s="1087">
        <v>42678</v>
      </c>
      <c r="D1686" s="1087" t="s">
        <v>929</v>
      </c>
      <c r="E1686" s="90">
        <f>C1686</f>
        <v>42678</v>
      </c>
      <c r="F1686" s="1153" t="s">
        <v>1952</v>
      </c>
      <c r="G1686" s="1155"/>
      <c r="H1686" s="1153" t="s">
        <v>439</v>
      </c>
      <c r="I1686" s="414">
        <v>47128</v>
      </c>
      <c r="J1686" s="1108">
        <v>18000</v>
      </c>
      <c r="K1686" s="1110"/>
      <c r="L1686" s="1109"/>
      <c r="M1686" s="93">
        <f t="shared" si="139"/>
        <v>848304000</v>
      </c>
      <c r="N1686" s="83" t="s">
        <v>276</v>
      </c>
      <c r="O1686" s="83" t="s">
        <v>268</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customHeight="1">
      <c r="A1687" s="323" t="str">
        <f>IF(B1687&lt;&gt;"",IF(AND(B1687='IN-TC'!$S$4,OR(TH!N1545="1111",TH!O1545="1111")),TH!D1545,""),"")</f>
        <v/>
      </c>
      <c r="B1687" s="63">
        <f t="shared" si="136"/>
        <v>10</v>
      </c>
      <c r="C1687" s="90">
        <v>42674</v>
      </c>
      <c r="D1687" s="90" t="s">
        <v>2308</v>
      </c>
      <c r="E1687" s="90">
        <f>C1687</f>
        <v>42674</v>
      </c>
      <c r="F1687" s="91" t="s">
        <v>1952</v>
      </c>
      <c r="G1687" s="91" t="s">
        <v>2311</v>
      </c>
      <c r="H1687" s="92" t="s">
        <v>1198</v>
      </c>
      <c r="I1687" s="916">
        <v>35240</v>
      </c>
      <c r="J1687" s="1108">
        <v>18000</v>
      </c>
      <c r="K1687" s="1110"/>
      <c r="L1687" s="1109"/>
      <c r="M1687" s="93">
        <f t="shared" si="139"/>
        <v>634320000</v>
      </c>
      <c r="N1687" s="83" t="s">
        <v>276</v>
      </c>
      <c r="O1687" s="83" t="s">
        <v>268</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customHeight="1">
      <c r="A1688" s="1170"/>
      <c r="B1688" s="1199">
        <f t="shared" si="136"/>
        <v>11</v>
      </c>
      <c r="C1688" s="1087">
        <v>42679</v>
      </c>
      <c r="D1688" s="1087" t="s">
        <v>931</v>
      </c>
      <c r="E1688" s="90">
        <f>C1688</f>
        <v>42679</v>
      </c>
      <c r="F1688" s="1153" t="s">
        <v>1952</v>
      </c>
      <c r="G1688" s="1155"/>
      <c r="H1688" s="1153" t="s">
        <v>439</v>
      </c>
      <c r="I1688" s="414">
        <v>49662</v>
      </c>
      <c r="J1688" s="1108">
        <v>18000</v>
      </c>
      <c r="K1688" s="1110"/>
      <c r="L1688" s="1109"/>
      <c r="M1688" s="93">
        <f t="shared" si="139"/>
        <v>893916000</v>
      </c>
      <c r="N1688" s="83" t="s">
        <v>276</v>
      </c>
      <c r="O1688" s="83" t="s">
        <v>268</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customHeight="1">
      <c r="A1689" s="323" t="str">
        <f>IF(B1689&lt;&gt;"",IF(AND(B1689='IN-TC'!$S$4,OR(TH!N1689="1111",TH!O1689="1111")),TH!D1689,""),"")</f>
        <v/>
      </c>
      <c r="B1689" s="63">
        <f t="shared" si="136"/>
        <v>11</v>
      </c>
      <c r="C1689" s="90">
        <f>E1689</f>
        <v>42679</v>
      </c>
      <c r="D1689" s="90" t="s">
        <v>2263</v>
      </c>
      <c r="E1689" s="90">
        <v>42679</v>
      </c>
      <c r="F1689" s="91" t="s">
        <v>669</v>
      </c>
      <c r="G1689" s="91"/>
      <c r="H1689" s="1153" t="s">
        <v>439</v>
      </c>
      <c r="I1689" s="1109">
        <v>39890</v>
      </c>
      <c r="J1689" s="1108">
        <v>16500</v>
      </c>
      <c r="K1689" s="1110"/>
      <c r="L1689" s="1109"/>
      <c r="M1689" s="93">
        <f t="shared" si="139"/>
        <v>658185000</v>
      </c>
      <c r="N1689" s="83" t="s">
        <v>276</v>
      </c>
      <c r="O1689" s="83" t="s">
        <v>268</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customHeight="1">
      <c r="A1690" s="323" t="str">
        <f>IF(B1690&lt;&gt;"",IF(AND(B1690='IN-TC'!$S$4,OR(TH!N1690="1111",TH!O1690="1111")),TH!D1690,""),"")</f>
        <v/>
      </c>
      <c r="B1690" s="63">
        <f t="shared" si="136"/>
        <v>11</v>
      </c>
      <c r="C1690" s="90">
        <f>E1690</f>
        <v>42681</v>
      </c>
      <c r="D1690" s="90" t="s">
        <v>2264</v>
      </c>
      <c r="E1690" s="90">
        <v>42681</v>
      </c>
      <c r="F1690" s="91" t="s">
        <v>669</v>
      </c>
      <c r="G1690" s="91"/>
      <c r="H1690" s="1153" t="s">
        <v>439</v>
      </c>
      <c r="I1690" s="1109">
        <v>29647</v>
      </c>
      <c r="J1690" s="1108">
        <v>16500</v>
      </c>
      <c r="K1690" s="1110"/>
      <c r="L1690" s="1109"/>
      <c r="M1690" s="93">
        <f t="shared" si="139"/>
        <v>489175500</v>
      </c>
      <c r="N1690" s="83" t="s">
        <v>276</v>
      </c>
      <c r="O1690" s="83" t="s">
        <v>268</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customHeight="1">
      <c r="A1691" s="1170"/>
      <c r="B1691" s="1199">
        <f t="shared" si="136"/>
        <v>11</v>
      </c>
      <c r="C1691" s="1087">
        <v>42681</v>
      </c>
      <c r="D1691" s="1087" t="s">
        <v>2265</v>
      </c>
      <c r="E1691" s="90">
        <f>C1691</f>
        <v>42681</v>
      </c>
      <c r="F1691" s="1153" t="s">
        <v>1952</v>
      </c>
      <c r="G1691" s="1155"/>
      <c r="H1691" s="1153" t="s">
        <v>439</v>
      </c>
      <c r="I1691" s="414">
        <v>47619</v>
      </c>
      <c r="J1691" s="1108">
        <v>18000</v>
      </c>
      <c r="K1691" s="1110"/>
      <c r="L1691" s="1109"/>
      <c r="M1691" s="93">
        <f t="shared" si="139"/>
        <v>857142000</v>
      </c>
      <c r="N1691" s="83" t="s">
        <v>276</v>
      </c>
      <c r="O1691" s="83" t="s">
        <v>268</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customHeight="1">
      <c r="A1692" s="323" t="str">
        <f>IF(B1692&lt;&gt;"",IF(AND(B1692='IN-TC'!$S$4,OR(TH!N970="1111",TH!O970="1111")),TH!D970,""),"")</f>
        <v/>
      </c>
      <c r="B1692" s="63">
        <f t="shared" si="136"/>
        <v>11</v>
      </c>
      <c r="C1692" s="1336">
        <f>E1692</f>
        <v>42675</v>
      </c>
      <c r="D1692" s="64" t="s">
        <v>672</v>
      </c>
      <c r="E1692" s="64">
        <v>42675</v>
      </c>
      <c r="F1692" s="1180" t="s">
        <v>2495</v>
      </c>
      <c r="G1692" s="91" t="s">
        <v>2311</v>
      </c>
      <c r="H1692" s="72" t="s">
        <v>1198</v>
      </c>
      <c r="I1692" s="1185">
        <v>4000</v>
      </c>
      <c r="J1692" s="1185">
        <v>4500</v>
      </c>
      <c r="K1692" s="401"/>
      <c r="L1692" s="410"/>
      <c r="M1692" s="65">
        <f t="shared" si="139"/>
        <v>18000000</v>
      </c>
      <c r="N1692" s="66" t="s">
        <v>276</v>
      </c>
      <c r="O1692" s="66" t="s">
        <v>270</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x</v>
      </c>
      <c r="AC1692" s="82" t="str">
        <f>IF(AND(OR(LEFT(TH!N1692,2)="15",LEFT(TH!O1692,2)="15"),TK!$E$7=TH!F1692),"x","")</f>
        <v/>
      </c>
      <c r="AD1692" s="82" t="str">
        <f>IF(AND(N1692="1521",MONTH(C1692)='BK-NL'!$M$11),"x","")</f>
        <v/>
      </c>
    </row>
    <row r="1693" spans="1:30" ht="15.75" customHeight="1">
      <c r="A1693" s="1170"/>
      <c r="B1693" s="1199">
        <f t="shared" si="136"/>
        <v>11</v>
      </c>
      <c r="C1693" s="1087">
        <v>42682</v>
      </c>
      <c r="D1693" s="1087" t="s">
        <v>2267</v>
      </c>
      <c r="E1693" s="90">
        <f t="shared" ref="E1693:E1712" si="140">C1693</f>
        <v>42682</v>
      </c>
      <c r="F1693" s="1153" t="s">
        <v>1952</v>
      </c>
      <c r="G1693" s="1155"/>
      <c r="H1693" s="1153" t="s">
        <v>439</v>
      </c>
      <c r="I1693" s="414">
        <v>33538</v>
      </c>
      <c r="J1693" s="1108">
        <v>18000</v>
      </c>
      <c r="K1693" s="1110"/>
      <c r="L1693" s="1109"/>
      <c r="M1693" s="93">
        <f t="shared" si="139"/>
        <v>603684000</v>
      </c>
      <c r="N1693" s="83" t="s">
        <v>276</v>
      </c>
      <c r="O1693" s="83" t="s">
        <v>268</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customHeight="1">
      <c r="A1694" s="1170"/>
      <c r="B1694" s="1199">
        <f t="shared" si="136"/>
        <v>11</v>
      </c>
      <c r="C1694" s="1087">
        <v>42684</v>
      </c>
      <c r="D1694" s="1087" t="s">
        <v>2268</v>
      </c>
      <c r="E1694" s="90">
        <f t="shared" si="140"/>
        <v>42684</v>
      </c>
      <c r="F1694" s="1153" t="s">
        <v>1952</v>
      </c>
      <c r="G1694" s="1155"/>
      <c r="H1694" s="1153" t="s">
        <v>439</v>
      </c>
      <c r="I1694" s="414">
        <v>39889</v>
      </c>
      <c r="J1694" s="1108">
        <v>18000</v>
      </c>
      <c r="K1694" s="1110"/>
      <c r="L1694" s="1109"/>
      <c r="M1694" s="93">
        <f t="shared" si="139"/>
        <v>718002000</v>
      </c>
      <c r="N1694" s="83" t="s">
        <v>276</v>
      </c>
      <c r="O1694" s="83" t="s">
        <v>268</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customHeight="1">
      <c r="A1695" s="1170"/>
      <c r="B1695" s="1199">
        <f t="shared" si="136"/>
        <v>11</v>
      </c>
      <c r="C1695" s="1087">
        <v>42675</v>
      </c>
      <c r="D1695" s="90" t="s">
        <v>677</v>
      </c>
      <c r="E1695" s="90">
        <f t="shared" si="140"/>
        <v>42675</v>
      </c>
      <c r="F1695" s="1153" t="s">
        <v>1952</v>
      </c>
      <c r="G1695" s="1155" t="s">
        <v>2311</v>
      </c>
      <c r="H1695" s="1153" t="s">
        <v>1198</v>
      </c>
      <c r="I1695" s="406">
        <v>40000</v>
      </c>
      <c r="J1695" s="1108">
        <v>18000</v>
      </c>
      <c r="K1695" s="1110"/>
      <c r="L1695" s="1109"/>
      <c r="M1695" s="93">
        <f t="shared" si="139"/>
        <v>720000000</v>
      </c>
      <c r="N1695" s="83" t="s">
        <v>276</v>
      </c>
      <c r="O1695" s="83" t="s">
        <v>268</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customHeight="1">
      <c r="A1696" s="1170"/>
      <c r="B1696" s="1199">
        <f t="shared" si="136"/>
        <v>11</v>
      </c>
      <c r="C1696" s="1087">
        <v>42685</v>
      </c>
      <c r="D1696" s="1087" t="s">
        <v>2270</v>
      </c>
      <c r="E1696" s="90">
        <f t="shared" si="140"/>
        <v>42685</v>
      </c>
      <c r="F1696" s="1153" t="s">
        <v>1952</v>
      </c>
      <c r="G1696" s="1155"/>
      <c r="H1696" s="1153" t="s">
        <v>439</v>
      </c>
      <c r="I1696" s="414">
        <v>39151</v>
      </c>
      <c r="J1696" s="1108">
        <v>18000</v>
      </c>
      <c r="K1696" s="1110"/>
      <c r="L1696" s="1109"/>
      <c r="M1696" s="93">
        <f t="shared" si="139"/>
        <v>704718000</v>
      </c>
      <c r="N1696" s="83" t="s">
        <v>276</v>
      </c>
      <c r="O1696" s="83" t="s">
        <v>268</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customHeight="1">
      <c r="A1697" s="1170"/>
      <c r="B1697" s="1199">
        <f t="shared" si="136"/>
        <v>11</v>
      </c>
      <c r="C1697" s="1087">
        <v>42686</v>
      </c>
      <c r="D1697" s="1087" t="s">
        <v>2840</v>
      </c>
      <c r="E1697" s="90">
        <f t="shared" si="140"/>
        <v>42686</v>
      </c>
      <c r="F1697" s="1153" t="s">
        <v>1952</v>
      </c>
      <c r="G1697" s="1155"/>
      <c r="H1697" s="1153" t="s">
        <v>439</v>
      </c>
      <c r="I1697" s="414">
        <v>36325</v>
      </c>
      <c r="J1697" s="1108">
        <v>18000</v>
      </c>
      <c r="K1697" s="1110"/>
      <c r="L1697" s="1109"/>
      <c r="M1697" s="93">
        <f t="shared" si="139"/>
        <v>653850000</v>
      </c>
      <c r="N1697" s="83" t="s">
        <v>276</v>
      </c>
      <c r="O1697" s="83" t="s">
        <v>268</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customHeight="1">
      <c r="A1698" s="1170"/>
      <c r="B1698" s="1199">
        <f t="shared" si="136"/>
        <v>11</v>
      </c>
      <c r="C1698" s="1087">
        <v>42688</v>
      </c>
      <c r="D1698" s="1087" t="s">
        <v>2841</v>
      </c>
      <c r="E1698" s="90">
        <f t="shared" si="140"/>
        <v>42688</v>
      </c>
      <c r="F1698" s="1153" t="s">
        <v>1952</v>
      </c>
      <c r="G1698" s="1155"/>
      <c r="H1698" s="1153" t="s">
        <v>439</v>
      </c>
      <c r="I1698" s="414">
        <v>28417</v>
      </c>
      <c r="J1698" s="1108">
        <v>18000</v>
      </c>
      <c r="K1698" s="1110"/>
      <c r="L1698" s="1109"/>
      <c r="M1698" s="93">
        <f t="shared" si="139"/>
        <v>511506000</v>
      </c>
      <c r="N1698" s="83" t="s">
        <v>276</v>
      </c>
      <c r="O1698" s="83" t="s">
        <v>268</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customHeight="1">
      <c r="A1699" s="1170"/>
      <c r="B1699" s="1199">
        <f t="shared" si="136"/>
        <v>11</v>
      </c>
      <c r="C1699" s="1087">
        <v>42689</v>
      </c>
      <c r="D1699" s="1087" t="s">
        <v>2842</v>
      </c>
      <c r="E1699" s="90">
        <f t="shared" si="140"/>
        <v>42689</v>
      </c>
      <c r="F1699" s="1153" t="s">
        <v>1952</v>
      </c>
      <c r="G1699" s="1155"/>
      <c r="H1699" s="1153" t="s">
        <v>439</v>
      </c>
      <c r="I1699" s="414">
        <v>40421</v>
      </c>
      <c r="J1699" s="1108">
        <v>18000</v>
      </c>
      <c r="K1699" s="1110"/>
      <c r="L1699" s="1109"/>
      <c r="M1699" s="93">
        <f t="shared" si="139"/>
        <v>727578000</v>
      </c>
      <c r="N1699" s="83" t="s">
        <v>276</v>
      </c>
      <c r="O1699" s="83" t="s">
        <v>268</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customHeight="1">
      <c r="A1700" s="1170"/>
      <c r="B1700" s="1199">
        <f t="shared" si="136"/>
        <v>11</v>
      </c>
      <c r="C1700" s="1087">
        <v>42690</v>
      </c>
      <c r="D1700" s="1087" t="s">
        <v>2308</v>
      </c>
      <c r="E1700" s="90">
        <f t="shared" si="140"/>
        <v>42690</v>
      </c>
      <c r="F1700" s="1153" t="s">
        <v>1952</v>
      </c>
      <c r="G1700" s="1155"/>
      <c r="H1700" s="1153" t="s">
        <v>2830</v>
      </c>
      <c r="I1700" s="414">
        <v>35750</v>
      </c>
      <c r="J1700" s="1108">
        <v>18000</v>
      </c>
      <c r="K1700" s="1110"/>
      <c r="L1700" s="1109"/>
      <c r="M1700" s="93">
        <f t="shared" si="139"/>
        <v>643500000</v>
      </c>
      <c r="N1700" s="83" t="s">
        <v>276</v>
      </c>
      <c r="O1700" s="83" t="s">
        <v>268</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customHeight="1">
      <c r="A1701" s="1170"/>
      <c r="B1701" s="1199">
        <f t="shared" si="136"/>
        <v>11</v>
      </c>
      <c r="C1701" s="1087">
        <v>42691</v>
      </c>
      <c r="D1701" s="1087" t="s">
        <v>2309</v>
      </c>
      <c r="E1701" s="90">
        <f t="shared" si="140"/>
        <v>42691</v>
      </c>
      <c r="F1701" s="1153" t="s">
        <v>1952</v>
      </c>
      <c r="G1701" s="1155"/>
      <c r="H1701" s="1153" t="s">
        <v>2830</v>
      </c>
      <c r="I1701" s="414">
        <v>27850</v>
      </c>
      <c r="J1701" s="1108">
        <v>18000</v>
      </c>
      <c r="K1701" s="1110"/>
      <c r="L1701" s="1109"/>
      <c r="M1701" s="93">
        <f t="shared" si="139"/>
        <v>501300000</v>
      </c>
      <c r="N1701" s="83" t="s">
        <v>276</v>
      </c>
      <c r="O1701" s="83" t="s">
        <v>268</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customHeight="1">
      <c r="A1702" s="1170"/>
      <c r="B1702" s="1199">
        <f t="shared" si="136"/>
        <v>11</v>
      </c>
      <c r="C1702" s="1087">
        <v>42692</v>
      </c>
      <c r="D1702" s="1087" t="s">
        <v>2843</v>
      </c>
      <c r="E1702" s="90">
        <f t="shared" si="140"/>
        <v>42692</v>
      </c>
      <c r="F1702" s="1153" t="s">
        <v>1952</v>
      </c>
      <c r="G1702" s="1155"/>
      <c r="H1702" s="1153" t="s">
        <v>2830</v>
      </c>
      <c r="I1702" s="414">
        <v>28750</v>
      </c>
      <c r="J1702" s="1108">
        <v>18000</v>
      </c>
      <c r="K1702" s="1110"/>
      <c r="L1702" s="1109"/>
      <c r="M1702" s="93">
        <f t="shared" si="139"/>
        <v>517500000</v>
      </c>
      <c r="N1702" s="83" t="s">
        <v>276</v>
      </c>
      <c r="O1702" s="83" t="s">
        <v>268</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customHeight="1">
      <c r="A1703" s="1170"/>
      <c r="B1703" s="1199">
        <f t="shared" si="136"/>
        <v>11</v>
      </c>
      <c r="C1703" s="1087">
        <v>42693</v>
      </c>
      <c r="D1703" s="1087" t="s">
        <v>2844</v>
      </c>
      <c r="E1703" s="90">
        <f t="shared" si="140"/>
        <v>42693</v>
      </c>
      <c r="F1703" s="1153" t="s">
        <v>1952</v>
      </c>
      <c r="G1703" s="1155"/>
      <c r="H1703" s="1153" t="s">
        <v>2830</v>
      </c>
      <c r="I1703" s="414">
        <v>30300</v>
      </c>
      <c r="J1703" s="1108">
        <v>18000</v>
      </c>
      <c r="K1703" s="1110"/>
      <c r="L1703" s="1109"/>
      <c r="M1703" s="93">
        <f t="shared" si="139"/>
        <v>545400000</v>
      </c>
      <c r="N1703" s="83" t="s">
        <v>276</v>
      </c>
      <c r="O1703" s="83" t="s">
        <v>268</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customHeight="1">
      <c r="A1704" s="1170"/>
      <c r="B1704" s="1199">
        <f t="shared" si="136"/>
        <v>11</v>
      </c>
      <c r="C1704" s="1087">
        <v>42695</v>
      </c>
      <c r="D1704" s="1087" t="s">
        <v>2310</v>
      </c>
      <c r="E1704" s="90">
        <f t="shared" si="140"/>
        <v>42695</v>
      </c>
      <c r="F1704" s="1153" t="s">
        <v>1952</v>
      </c>
      <c r="G1704" s="1155"/>
      <c r="H1704" s="1153" t="s">
        <v>2830</v>
      </c>
      <c r="I1704" s="414">
        <v>35000</v>
      </c>
      <c r="J1704" s="1108">
        <v>18000</v>
      </c>
      <c r="K1704" s="1110"/>
      <c r="L1704" s="1109"/>
      <c r="M1704" s="93">
        <f t="shared" si="139"/>
        <v>630000000</v>
      </c>
      <c r="N1704" s="83" t="s">
        <v>276</v>
      </c>
      <c r="O1704" s="83" t="s">
        <v>268</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customHeight="1">
      <c r="A1705" s="1170"/>
      <c r="B1705" s="1199">
        <f t="shared" si="136"/>
        <v>11</v>
      </c>
      <c r="C1705" s="1087">
        <v>42696</v>
      </c>
      <c r="D1705" s="1087" t="s">
        <v>2845</v>
      </c>
      <c r="E1705" s="90">
        <f t="shared" si="140"/>
        <v>42696</v>
      </c>
      <c r="F1705" s="1153" t="s">
        <v>1952</v>
      </c>
      <c r="G1705" s="1155"/>
      <c r="H1705" s="1153" t="s">
        <v>2830</v>
      </c>
      <c r="I1705" s="414">
        <v>36000</v>
      </c>
      <c r="J1705" s="1108">
        <v>18000</v>
      </c>
      <c r="K1705" s="1110"/>
      <c r="L1705" s="1109"/>
      <c r="M1705" s="93">
        <f t="shared" si="139"/>
        <v>648000000</v>
      </c>
      <c r="N1705" s="83" t="s">
        <v>276</v>
      </c>
      <c r="O1705" s="83" t="s">
        <v>268</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customHeight="1">
      <c r="A1706" s="1170"/>
      <c r="B1706" s="1199">
        <f t="shared" si="136"/>
        <v>11</v>
      </c>
      <c r="C1706" s="1087">
        <v>42697</v>
      </c>
      <c r="D1706" s="1087" t="s">
        <v>2846</v>
      </c>
      <c r="E1706" s="90">
        <f t="shared" si="140"/>
        <v>42697</v>
      </c>
      <c r="F1706" s="1153" t="s">
        <v>1952</v>
      </c>
      <c r="G1706" s="1155"/>
      <c r="H1706" s="1153" t="s">
        <v>2830</v>
      </c>
      <c r="I1706" s="414">
        <v>32000</v>
      </c>
      <c r="J1706" s="1108">
        <v>18000</v>
      </c>
      <c r="K1706" s="1110"/>
      <c r="L1706" s="1109"/>
      <c r="M1706" s="93">
        <f t="shared" si="139"/>
        <v>576000000</v>
      </c>
      <c r="N1706" s="83" t="s">
        <v>276</v>
      </c>
      <c r="O1706" s="83" t="s">
        <v>268</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customHeight="1">
      <c r="A1707" s="323" t="str">
        <f>IF(B1707&lt;&gt;"",IF(AND(B1707='IN-TC'!$S$4,OR(TH!N4041="1111",TH!O4041="1111")),TH!D4041,""),"")</f>
        <v/>
      </c>
      <c r="B1707" s="63">
        <f t="shared" si="136"/>
        <v>11</v>
      </c>
      <c r="C1707" s="64">
        <v>42676</v>
      </c>
      <c r="D1707" s="64" t="s">
        <v>886</v>
      </c>
      <c r="E1707" s="64">
        <f t="shared" si="140"/>
        <v>42676</v>
      </c>
      <c r="F1707" s="72" t="s">
        <v>2514</v>
      </c>
      <c r="G1707" s="67"/>
      <c r="H1707" s="72" t="s">
        <v>1198</v>
      </c>
      <c r="I1707" s="408"/>
      <c r="J1707" s="408"/>
      <c r="K1707" s="399"/>
      <c r="L1707" s="408"/>
      <c r="M1707" s="65">
        <v>38000000</v>
      </c>
      <c r="N1707" s="66" t="s">
        <v>61</v>
      </c>
      <c r="O1707" s="66" t="s">
        <v>70</v>
      </c>
      <c r="P1707" s="82" t="str">
        <f>IF(AND('331-CT'!$E$7=TH!H1707,OR(N1707="331",O1707="331")),"x","")</f>
        <v/>
      </c>
      <c r="Q1707" s="82" t="str">
        <f>IF(AND(B1707='111'!$L$11,OR($N1707=$Q$7,$O1707=$Q$7)),"x","")</f>
        <v/>
      </c>
      <c r="R1707" s="82" t="str">
        <f>IF(AND($N1707=$Q$7,$B1707&lt;'111'!$L$11),"x","")</f>
        <v>x</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customHeight="1">
      <c r="A1708" s="323" t="str">
        <f>IF(B1708&lt;&gt;"",IF(AND(B1708='IN-TC'!$S$4,OR(TH!N4169="1111",TH!O4169="1111")),TH!D4169,""),"")</f>
        <v/>
      </c>
      <c r="B1708" s="63">
        <f t="shared" si="136"/>
        <v>11</v>
      </c>
      <c r="C1708" s="64">
        <v>42676</v>
      </c>
      <c r="D1708" s="64" t="s">
        <v>690</v>
      </c>
      <c r="E1708" s="64">
        <f t="shared" si="140"/>
        <v>42676</v>
      </c>
      <c r="F1708" s="72" t="s">
        <v>1429</v>
      </c>
      <c r="G1708" s="67" t="s">
        <v>902</v>
      </c>
      <c r="H1708" s="72" t="s">
        <v>1198</v>
      </c>
      <c r="I1708" s="408"/>
      <c r="J1708" s="408"/>
      <c r="K1708" s="399"/>
      <c r="L1708" s="408"/>
      <c r="M1708" s="65">
        <v>38000000</v>
      </c>
      <c r="N1708" s="66" t="s">
        <v>70</v>
      </c>
      <c r="O1708" s="66" t="s">
        <v>25</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customHeight="1">
      <c r="A1709" s="323" t="str">
        <f>IF(B1709&lt;&gt;"",IF(AND(B1709='IN-TC'!$S$4,OR(TH!N1709="1111",TH!O1709="1111")),TH!D1709,""),"")</f>
        <v/>
      </c>
      <c r="B1709" s="63">
        <f t="shared" si="136"/>
        <v>11</v>
      </c>
      <c r="C1709" s="90">
        <v>42699</v>
      </c>
      <c r="D1709" s="90" t="s">
        <v>2849</v>
      </c>
      <c r="E1709" s="90">
        <f t="shared" si="140"/>
        <v>42699</v>
      </c>
      <c r="F1709" s="91" t="s">
        <v>2225</v>
      </c>
      <c r="G1709" s="91"/>
      <c r="H1709" s="1153" t="s">
        <v>439</v>
      </c>
      <c r="I1709" s="1109">
        <v>21000</v>
      </c>
      <c r="J1709" s="1108">
        <v>26000</v>
      </c>
      <c r="K1709" s="1110"/>
      <c r="L1709" s="1109"/>
      <c r="M1709" s="93">
        <f t="shared" ref="M1709:M1714" si="141">ROUND(I1709*J1709,0)</f>
        <v>546000000</v>
      </c>
      <c r="N1709" s="83" t="s">
        <v>276</v>
      </c>
      <c r="O1709" s="83" t="s">
        <v>268</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customHeight="1">
      <c r="A1710" s="323" t="str">
        <f>IF(B1710&lt;&gt;"",IF(AND(B1710='IN-TC'!$S$4,OR(TH!N1710="1111",TH!O1710="1111")),TH!D1710,""),"")</f>
        <v/>
      </c>
      <c r="B1710" s="63">
        <f t="shared" ref="B1710:B1773" si="142">IF(C1710&lt;&gt;"",MONTH(C1710),"")</f>
        <v>11</v>
      </c>
      <c r="C1710" s="90">
        <v>42700</v>
      </c>
      <c r="D1710" s="90" t="s">
        <v>2850</v>
      </c>
      <c r="E1710" s="90">
        <f t="shared" si="140"/>
        <v>42700</v>
      </c>
      <c r="F1710" s="91" t="s">
        <v>2225</v>
      </c>
      <c r="G1710" s="91"/>
      <c r="H1710" s="1153" t="s">
        <v>439</v>
      </c>
      <c r="I1710" s="1109">
        <v>12780</v>
      </c>
      <c r="J1710" s="1108">
        <v>26000</v>
      </c>
      <c r="K1710" s="1110"/>
      <c r="L1710" s="1109"/>
      <c r="M1710" s="93">
        <f t="shared" si="141"/>
        <v>332280000</v>
      </c>
      <c r="N1710" s="83" t="s">
        <v>276</v>
      </c>
      <c r="O1710" s="83" t="s">
        <v>268</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customHeight="1">
      <c r="A1711" s="323" t="str">
        <f>IF(B1711&lt;&gt;"",IF(AND(B1711='IN-TC'!$S$4,OR(TH!N1711="1111",TH!O1711="1111")),TH!D1711,""),"")</f>
        <v/>
      </c>
      <c r="B1711" s="63">
        <f t="shared" si="142"/>
        <v>11</v>
      </c>
      <c r="C1711" s="90">
        <v>42700</v>
      </c>
      <c r="D1711" s="90" t="s">
        <v>2851</v>
      </c>
      <c r="E1711" s="90">
        <f t="shared" si="140"/>
        <v>42700</v>
      </c>
      <c r="F1711" s="91" t="s">
        <v>668</v>
      </c>
      <c r="G1711" s="91"/>
      <c r="H1711" s="1153" t="s">
        <v>439</v>
      </c>
      <c r="I1711" s="1109">
        <v>18700</v>
      </c>
      <c r="J1711" s="1108">
        <v>18000</v>
      </c>
      <c r="K1711" s="1110"/>
      <c r="L1711" s="1109"/>
      <c r="M1711" s="93">
        <f t="shared" si="141"/>
        <v>336600000</v>
      </c>
      <c r="N1711" s="83" t="s">
        <v>276</v>
      </c>
      <c r="O1711" s="83" t="s">
        <v>268</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customHeight="1">
      <c r="A1712" s="323" t="str">
        <f>IF(B1712&lt;&gt;"",IF(AND(B1712='IN-TC'!$S$4,OR(TH!N506="1111",TH!O506="1111")),TH!D506,""),"")</f>
        <v/>
      </c>
      <c r="B1712" s="63">
        <f t="shared" si="142"/>
        <v>11</v>
      </c>
      <c r="C1712" s="78">
        <v>42677</v>
      </c>
      <c r="D1712" s="78" t="s">
        <v>684</v>
      </c>
      <c r="E1712" s="78">
        <f t="shared" si="140"/>
        <v>42677</v>
      </c>
      <c r="F1712" s="79" t="s">
        <v>455</v>
      </c>
      <c r="G1712" s="934" t="s">
        <v>2276</v>
      </c>
      <c r="H1712" s="80" t="s">
        <v>1198</v>
      </c>
      <c r="I1712" s="406">
        <v>26000</v>
      </c>
      <c r="J1712" s="406">
        <v>55000</v>
      </c>
      <c r="K1712" s="397"/>
      <c r="L1712" s="406"/>
      <c r="M1712" s="81">
        <f t="shared" si="141"/>
        <v>1430000000</v>
      </c>
      <c r="N1712" s="82" t="s">
        <v>278</v>
      </c>
      <c r="O1712" s="82" t="s">
        <v>8</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1" ht="15.75" customHeight="1">
      <c r="A1713" s="323" t="str">
        <f>IF(B1713&lt;&gt;"",IF(AND(B1713='IN-TC'!$S$4,OR(TH!N2099="1111",TH!O2099="1111")),TH!D2099,""),"")</f>
        <v/>
      </c>
      <c r="B1713" s="63">
        <f t="shared" si="142"/>
        <v>11</v>
      </c>
      <c r="C1713" s="78">
        <v>42677</v>
      </c>
      <c r="D1713" s="78" t="s">
        <v>570</v>
      </c>
      <c r="E1713" s="78">
        <v>42677</v>
      </c>
      <c r="F1713" s="80" t="s">
        <v>2277</v>
      </c>
      <c r="G1713" s="934" t="s">
        <v>2278</v>
      </c>
      <c r="H1713" s="80" t="s">
        <v>1198</v>
      </c>
      <c r="I1713" s="406">
        <v>52000</v>
      </c>
      <c r="J1713" s="406">
        <v>10000</v>
      </c>
      <c r="K1713" s="397"/>
      <c r="L1713" s="406"/>
      <c r="M1713" s="81">
        <f t="shared" si="141"/>
        <v>520000000</v>
      </c>
      <c r="N1713" s="82" t="s">
        <v>276</v>
      </c>
      <c r="O1713" s="82" t="s">
        <v>8</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c r="AE1713">
        <v>1</v>
      </c>
    </row>
    <row r="1714" spans="1:31" ht="15.75" customHeight="1">
      <c r="A1714" s="323" t="str">
        <f>IF(B1714&lt;&gt;"",IF(AND(B1714='IN-TC'!$S$4,OR(TH!N1714="1111",TH!O1714="1111")),TH!D1714,""),"")</f>
        <v/>
      </c>
      <c r="B1714" s="63">
        <f t="shared" si="142"/>
        <v>11</v>
      </c>
      <c r="C1714" s="90">
        <v>42702</v>
      </c>
      <c r="D1714" s="90" t="s">
        <v>2854</v>
      </c>
      <c r="E1714" s="90">
        <f>C1714</f>
        <v>42702</v>
      </c>
      <c r="F1714" s="91" t="s">
        <v>668</v>
      </c>
      <c r="G1714" s="91"/>
      <c r="H1714" s="1153" t="s">
        <v>439</v>
      </c>
      <c r="I1714" s="1109">
        <v>19700</v>
      </c>
      <c r="J1714" s="1108">
        <v>18000</v>
      </c>
      <c r="K1714" s="1110"/>
      <c r="L1714" s="1109"/>
      <c r="M1714" s="93">
        <f t="shared" si="141"/>
        <v>354600000</v>
      </c>
      <c r="N1714" s="83" t="s">
        <v>276</v>
      </c>
      <c r="O1714" s="83" t="s">
        <v>268</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1" ht="15.75" customHeight="1">
      <c r="A1715" s="323" t="str">
        <f>IF(B1715&lt;&gt;"",IF(AND(B1715='IN-TC'!$S$4,OR(TH!N2100="1111",TH!O2100="1111")),TH!D2100,""),"")</f>
        <v/>
      </c>
      <c r="B1715" s="63">
        <f t="shared" si="142"/>
        <v>11</v>
      </c>
      <c r="C1715" s="78">
        <v>42677</v>
      </c>
      <c r="D1715" s="78" t="s">
        <v>570</v>
      </c>
      <c r="E1715" s="78">
        <v>42677</v>
      </c>
      <c r="F1715" s="80" t="s">
        <v>2281</v>
      </c>
      <c r="G1715" s="934" t="s">
        <v>2278</v>
      </c>
      <c r="H1715" s="80" t="s">
        <v>1198</v>
      </c>
      <c r="I1715" s="406"/>
      <c r="J1715" s="406"/>
      <c r="K1715" s="397"/>
      <c r="L1715" s="406"/>
      <c r="M1715" s="81">
        <v>52000000</v>
      </c>
      <c r="N1715" s="82" t="s">
        <v>9</v>
      </c>
      <c r="O1715" s="82" t="s">
        <v>8</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x</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c r="AE1715">
        <v>1</v>
      </c>
    </row>
    <row r="1716" spans="1:31" ht="15.75" customHeight="1">
      <c r="A1716" s="1170"/>
      <c r="B1716" s="1199">
        <f t="shared" si="142"/>
        <v>11</v>
      </c>
      <c r="C1716" s="1087">
        <v>42678</v>
      </c>
      <c r="D1716" s="1087" t="s">
        <v>930</v>
      </c>
      <c r="E1716" s="90">
        <f t="shared" ref="E1716:E1755" si="143">C1716</f>
        <v>42678</v>
      </c>
      <c r="F1716" s="1153" t="s">
        <v>1952</v>
      </c>
      <c r="G1716" s="1155" t="s">
        <v>2311</v>
      </c>
      <c r="H1716" s="1153" t="s">
        <v>1198</v>
      </c>
      <c r="I1716" s="406">
        <v>38550</v>
      </c>
      <c r="J1716" s="1108">
        <v>18000</v>
      </c>
      <c r="K1716" s="1110"/>
      <c r="L1716" s="1109"/>
      <c r="M1716" s="93">
        <f t="shared" ref="M1716:M1746" si="144">ROUND(I1716*J1716,0)</f>
        <v>693900000</v>
      </c>
      <c r="N1716" s="83" t="s">
        <v>276</v>
      </c>
      <c r="O1716" s="83" t="s">
        <v>268</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1" ht="15.75" customHeight="1">
      <c r="A1717" s="323" t="str">
        <f>IF(B1717&lt;&gt;"",IF(AND(B1717='IN-TC'!$S$4,OR(TH!N1611="1111",TH!O1611="1111")),TH!D1611,""),"")</f>
        <v/>
      </c>
      <c r="B1717" s="63">
        <f t="shared" si="142"/>
        <v>11</v>
      </c>
      <c r="C1717" s="78">
        <v>42691</v>
      </c>
      <c r="D1717" s="78" t="s">
        <v>2261</v>
      </c>
      <c r="E1717" s="78">
        <f t="shared" si="143"/>
        <v>42691</v>
      </c>
      <c r="F1717" s="79" t="s">
        <v>1952</v>
      </c>
      <c r="G1717" s="79" t="s">
        <v>331</v>
      </c>
      <c r="H1717" s="80" t="s">
        <v>376</v>
      </c>
      <c r="I1717" s="406">
        <v>14800</v>
      </c>
      <c r="J1717" s="407">
        <v>17500</v>
      </c>
      <c r="K1717" s="397"/>
      <c r="L1717" s="406"/>
      <c r="M1717" s="81">
        <f t="shared" si="144"/>
        <v>259000000</v>
      </c>
      <c r="N1717" s="82" t="s">
        <v>268</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1" ht="15.75" customHeight="1">
      <c r="A1718" s="323"/>
      <c r="B1718" s="63">
        <f t="shared" si="142"/>
        <v>11</v>
      </c>
      <c r="C1718" s="78">
        <v>42692</v>
      </c>
      <c r="D1718" s="78" t="s">
        <v>2288</v>
      </c>
      <c r="E1718" s="78">
        <f t="shared" si="143"/>
        <v>42692</v>
      </c>
      <c r="F1718" s="79" t="s">
        <v>1952</v>
      </c>
      <c r="G1718" s="79" t="s">
        <v>331</v>
      </c>
      <c r="H1718" s="80" t="s">
        <v>378</v>
      </c>
      <c r="I1718" s="406">
        <v>14456</v>
      </c>
      <c r="J1718" s="407">
        <v>17500</v>
      </c>
      <c r="K1718" s="397"/>
      <c r="L1718" s="406"/>
      <c r="M1718" s="81">
        <f t="shared" si="144"/>
        <v>252980000</v>
      </c>
      <c r="N1718" s="82" t="s">
        <v>268</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1" ht="15.75" customHeight="1">
      <c r="A1719" s="323" t="str">
        <f>IF(B1719&lt;&gt;"",IF(AND(B1719='IN-TC'!$S$4,OR(TH!N1620="1111",TH!O1620="1111")),TH!D1620,""),"")</f>
        <v/>
      </c>
      <c r="B1719" s="63">
        <f t="shared" si="142"/>
        <v>11</v>
      </c>
      <c r="C1719" s="78">
        <v>42693</v>
      </c>
      <c r="D1719" s="78" t="s">
        <v>2291</v>
      </c>
      <c r="E1719" s="78">
        <f t="shared" si="143"/>
        <v>42693</v>
      </c>
      <c r="F1719" s="79" t="s">
        <v>1952</v>
      </c>
      <c r="G1719" s="79" t="s">
        <v>331</v>
      </c>
      <c r="H1719" s="80" t="s">
        <v>1953</v>
      </c>
      <c r="I1719" s="406">
        <v>14680</v>
      </c>
      <c r="J1719" s="407">
        <v>17500</v>
      </c>
      <c r="K1719" s="397"/>
      <c r="L1719" s="406"/>
      <c r="M1719" s="81">
        <f t="shared" si="144"/>
        <v>256900000</v>
      </c>
      <c r="N1719" s="82" t="s">
        <v>268</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1" ht="15.75" customHeight="1">
      <c r="A1720" s="323" t="str">
        <f>IF(B1720&lt;&gt;"",IF(AND(B1720='IN-TC'!$S$4,OR(TH!N1635="1111",TH!O1635="1111")),TH!D1635,""),"")</f>
        <v/>
      </c>
      <c r="B1720" s="63">
        <f t="shared" si="142"/>
        <v>11</v>
      </c>
      <c r="C1720" s="78">
        <v>42698</v>
      </c>
      <c r="D1720" s="78" t="s">
        <v>2306</v>
      </c>
      <c r="E1720" s="78">
        <f t="shared" si="143"/>
        <v>42698</v>
      </c>
      <c r="F1720" s="79" t="s">
        <v>1952</v>
      </c>
      <c r="G1720" s="79" t="s">
        <v>331</v>
      </c>
      <c r="H1720" s="80" t="s">
        <v>384</v>
      </c>
      <c r="I1720" s="406">
        <v>14630</v>
      </c>
      <c r="J1720" s="407">
        <v>17500</v>
      </c>
      <c r="K1720" s="397"/>
      <c r="L1720" s="406"/>
      <c r="M1720" s="81">
        <f t="shared" si="144"/>
        <v>256025000</v>
      </c>
      <c r="N1720" s="82" t="s">
        <v>268</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1" ht="15.75" customHeight="1">
      <c r="A1721" s="323"/>
      <c r="B1721" s="63">
        <f t="shared" si="142"/>
        <v>11</v>
      </c>
      <c r="C1721" s="78">
        <v>42692</v>
      </c>
      <c r="D1721" s="78" t="s">
        <v>2287</v>
      </c>
      <c r="E1721" s="78">
        <f t="shared" si="143"/>
        <v>42692</v>
      </c>
      <c r="F1721" s="79" t="s">
        <v>1952</v>
      </c>
      <c r="G1721" s="79" t="s">
        <v>331</v>
      </c>
      <c r="H1721" s="80" t="s">
        <v>388</v>
      </c>
      <c r="I1721" s="406">
        <v>14520</v>
      </c>
      <c r="J1721" s="407">
        <v>17500</v>
      </c>
      <c r="K1721" s="397"/>
      <c r="L1721" s="406"/>
      <c r="M1721" s="81">
        <f t="shared" si="144"/>
        <v>254100000</v>
      </c>
      <c r="N1721" s="82" t="s">
        <v>268</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1" ht="15.75" customHeight="1">
      <c r="A1722" s="323" t="str">
        <f>IF(B1722&lt;&gt;"",IF(AND(B1722='IN-TC'!$S$4,OR(TH!N1637="1111",TH!O1637="1111")),TH!D1637,""),"")</f>
        <v/>
      </c>
      <c r="B1722" s="63">
        <f t="shared" si="142"/>
        <v>11</v>
      </c>
      <c r="C1722" s="78">
        <v>42698</v>
      </c>
      <c r="D1722" s="78" t="s">
        <v>2633</v>
      </c>
      <c r="E1722" s="78">
        <f t="shared" si="143"/>
        <v>42698</v>
      </c>
      <c r="F1722" s="79" t="s">
        <v>1952</v>
      </c>
      <c r="G1722" s="79" t="s">
        <v>331</v>
      </c>
      <c r="H1722" s="80" t="s">
        <v>371</v>
      </c>
      <c r="I1722" s="406">
        <v>14556</v>
      </c>
      <c r="J1722" s="407">
        <v>17500</v>
      </c>
      <c r="K1722" s="397"/>
      <c r="L1722" s="406"/>
      <c r="M1722" s="81">
        <f t="shared" si="144"/>
        <v>254730000</v>
      </c>
      <c r="N1722" s="82" t="s">
        <v>268</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1" ht="15.75" customHeight="1">
      <c r="A1723" s="323" t="str">
        <f>IF(B1723&lt;&gt;"",IF(AND(B1723='IN-TC'!$S$4,OR(TH!N1640="1111",TH!O1640="1111")),TH!D1640,""),"")</f>
        <v/>
      </c>
      <c r="B1723" s="63">
        <f t="shared" si="142"/>
        <v>11</v>
      </c>
      <c r="C1723" s="78">
        <v>42699</v>
      </c>
      <c r="D1723" s="78" t="s">
        <v>2636</v>
      </c>
      <c r="E1723" s="78">
        <f t="shared" si="143"/>
        <v>42699</v>
      </c>
      <c r="F1723" s="79" t="s">
        <v>1952</v>
      </c>
      <c r="G1723" s="79" t="s">
        <v>331</v>
      </c>
      <c r="H1723" s="80" t="s">
        <v>381</v>
      </c>
      <c r="I1723" s="406">
        <v>14480</v>
      </c>
      <c r="J1723" s="407">
        <v>17500</v>
      </c>
      <c r="K1723" s="397"/>
      <c r="L1723" s="406"/>
      <c r="M1723" s="81">
        <f t="shared" si="144"/>
        <v>253400000</v>
      </c>
      <c r="N1723" s="82" t="s">
        <v>268</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1" ht="15.75" customHeight="1">
      <c r="A1724" s="323" t="str">
        <f>IF(B1724&lt;&gt;"",IF(AND(B1724='IN-TC'!$S$4,OR(TH!N1608="1111",TH!O1608="1111")),TH!D1608,""),"")</f>
        <v/>
      </c>
      <c r="B1724" s="63">
        <f t="shared" si="142"/>
        <v>11</v>
      </c>
      <c r="C1724" s="78">
        <v>42690</v>
      </c>
      <c r="D1724" s="78" t="s">
        <v>2258</v>
      </c>
      <c r="E1724" s="78">
        <f t="shared" si="143"/>
        <v>42690</v>
      </c>
      <c r="F1724" s="79" t="s">
        <v>1952</v>
      </c>
      <c r="G1724" s="79" t="s">
        <v>331</v>
      </c>
      <c r="H1724" s="80" t="s">
        <v>386</v>
      </c>
      <c r="I1724" s="409">
        <v>11880</v>
      </c>
      <c r="J1724" s="407">
        <v>18000</v>
      </c>
      <c r="K1724" s="397"/>
      <c r="L1724" s="406"/>
      <c r="M1724" s="81">
        <f t="shared" si="144"/>
        <v>213840000</v>
      </c>
      <c r="N1724" s="82" t="s">
        <v>268</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1" ht="15.75" customHeight="1">
      <c r="A1725" s="323" t="str">
        <f>IF(B1725&lt;&gt;"",IF(AND(B1725='IN-TC'!$S$4,OR(TH!N1619="1111",TH!O1619="1111")),TH!D1619,""),"")</f>
        <v/>
      </c>
      <c r="B1725" s="63">
        <f t="shared" si="142"/>
        <v>11</v>
      </c>
      <c r="C1725" s="78">
        <v>42693</v>
      </c>
      <c r="D1725" s="78" t="s">
        <v>2290</v>
      </c>
      <c r="E1725" s="78">
        <f t="shared" si="143"/>
        <v>42693</v>
      </c>
      <c r="F1725" s="79" t="s">
        <v>1952</v>
      </c>
      <c r="G1725" s="79" t="s">
        <v>331</v>
      </c>
      <c r="H1725" s="80" t="s">
        <v>376</v>
      </c>
      <c r="I1725" s="406">
        <v>14530</v>
      </c>
      <c r="J1725" s="407">
        <v>17500</v>
      </c>
      <c r="K1725" s="397"/>
      <c r="L1725" s="406"/>
      <c r="M1725" s="81">
        <f t="shared" si="144"/>
        <v>254275000</v>
      </c>
      <c r="N1725" s="82" t="s">
        <v>268</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1" ht="15.75" customHeight="1">
      <c r="A1726" s="323" t="str">
        <f>IF(B1726&lt;&gt;"",IF(AND(B1726='IN-TC'!$S$4,OR(TH!N1628="1111",TH!O1628="1111")),TH!D1628,""),"")</f>
        <v/>
      </c>
      <c r="B1726" s="63">
        <f t="shared" si="142"/>
        <v>11</v>
      </c>
      <c r="C1726" s="78">
        <v>42695</v>
      </c>
      <c r="D1726" s="78" t="s">
        <v>2299</v>
      </c>
      <c r="E1726" s="78">
        <f t="shared" si="143"/>
        <v>42695</v>
      </c>
      <c r="F1726" s="79" t="s">
        <v>1952</v>
      </c>
      <c r="G1726" s="79" t="s">
        <v>331</v>
      </c>
      <c r="H1726" s="80" t="s">
        <v>378</v>
      </c>
      <c r="I1726" s="406">
        <v>14450</v>
      </c>
      <c r="J1726" s="407">
        <v>17500</v>
      </c>
      <c r="K1726" s="397"/>
      <c r="L1726" s="406"/>
      <c r="M1726" s="81">
        <f t="shared" si="144"/>
        <v>252875000</v>
      </c>
      <c r="N1726" s="82" t="s">
        <v>268</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1" ht="15.75" customHeight="1">
      <c r="A1727" s="323" t="str">
        <f>IF(B1727&lt;&gt;"",IF(AND(B1727='IN-TC'!$S$4,OR(TH!N1624="1111",TH!O1624="1111")),TH!D1624,""),"")</f>
        <v/>
      </c>
      <c r="B1727" s="63">
        <f t="shared" si="142"/>
        <v>11</v>
      </c>
      <c r="C1727" s="78">
        <v>42694</v>
      </c>
      <c r="D1727" s="78" t="s">
        <v>2295</v>
      </c>
      <c r="E1727" s="78">
        <f t="shared" si="143"/>
        <v>42694</v>
      </c>
      <c r="F1727" s="79" t="s">
        <v>1952</v>
      </c>
      <c r="G1727" s="79" t="s">
        <v>331</v>
      </c>
      <c r="H1727" s="80" t="s">
        <v>1953</v>
      </c>
      <c r="I1727" s="406">
        <v>14450</v>
      </c>
      <c r="J1727" s="407">
        <v>17500</v>
      </c>
      <c r="K1727" s="397"/>
      <c r="L1727" s="406"/>
      <c r="M1727" s="81">
        <f t="shared" si="144"/>
        <v>252875000</v>
      </c>
      <c r="N1727" s="82" t="s">
        <v>268</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1" ht="15.75" customHeight="1">
      <c r="A1728" s="323" t="str">
        <f>IF(B1728&lt;&gt;"",IF(AND(B1728='IN-TC'!$S$4,OR(TH!N1641="1111",TH!O1641="1111")),TH!D1641,""),"")</f>
        <v/>
      </c>
      <c r="B1728" s="63">
        <f t="shared" si="142"/>
        <v>11</v>
      </c>
      <c r="C1728" s="78">
        <v>42699</v>
      </c>
      <c r="D1728" s="78" t="s">
        <v>2637</v>
      </c>
      <c r="E1728" s="78">
        <f t="shared" si="143"/>
        <v>42699</v>
      </c>
      <c r="F1728" s="79" t="s">
        <v>1952</v>
      </c>
      <c r="G1728" s="79" t="s">
        <v>331</v>
      </c>
      <c r="H1728" s="80" t="s">
        <v>384</v>
      </c>
      <c r="I1728" s="406">
        <v>14520</v>
      </c>
      <c r="J1728" s="407">
        <v>17500</v>
      </c>
      <c r="K1728" s="397"/>
      <c r="L1728" s="406"/>
      <c r="M1728" s="81">
        <f t="shared" si="144"/>
        <v>254100000</v>
      </c>
      <c r="N1728" s="82" t="s">
        <v>268</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customHeight="1">
      <c r="A1729" s="323" t="str">
        <f>IF(B1729&lt;&gt;"",IF(AND(B1729='IN-TC'!$S$4,OR(TH!N1626="1111",TH!O1626="1111")),TH!D1626,""),"")</f>
        <v/>
      </c>
      <c r="B1729" s="63">
        <f t="shared" si="142"/>
        <v>11</v>
      </c>
      <c r="C1729" s="78">
        <v>42695</v>
      </c>
      <c r="D1729" s="78" t="s">
        <v>2297</v>
      </c>
      <c r="E1729" s="78">
        <f t="shared" si="143"/>
        <v>42695</v>
      </c>
      <c r="F1729" s="79" t="s">
        <v>1952</v>
      </c>
      <c r="G1729" s="79" t="s">
        <v>331</v>
      </c>
      <c r="H1729" s="80" t="s">
        <v>388</v>
      </c>
      <c r="I1729" s="406">
        <v>14800</v>
      </c>
      <c r="J1729" s="407">
        <v>17500</v>
      </c>
      <c r="K1729" s="397"/>
      <c r="L1729" s="406"/>
      <c r="M1729" s="81">
        <f t="shared" si="144"/>
        <v>259000000</v>
      </c>
      <c r="N1729" s="82" t="s">
        <v>268</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customHeight="1">
      <c r="A1730" s="323" t="str">
        <f>IF(B1730&lt;&gt;"",IF(AND(B1730='IN-TC'!$S$4,OR(TH!N1659="1111",TH!O1659="1111")),TH!D1659,""),"")</f>
        <v/>
      </c>
      <c r="B1730" s="63">
        <f t="shared" si="142"/>
        <v>11</v>
      </c>
      <c r="C1730" s="78">
        <v>42702</v>
      </c>
      <c r="D1730" s="78" t="s">
        <v>2865</v>
      </c>
      <c r="E1730" s="78">
        <f t="shared" si="143"/>
        <v>42702</v>
      </c>
      <c r="F1730" s="79" t="s">
        <v>1952</v>
      </c>
      <c r="G1730" s="79" t="s">
        <v>331</v>
      </c>
      <c r="H1730" s="80" t="s">
        <v>371</v>
      </c>
      <c r="I1730" s="406">
        <v>14520</v>
      </c>
      <c r="J1730" s="407">
        <v>17500</v>
      </c>
      <c r="K1730" s="397"/>
      <c r="L1730" s="406"/>
      <c r="M1730" s="81">
        <f t="shared" si="144"/>
        <v>254100000</v>
      </c>
      <c r="N1730" s="82" t="s">
        <v>268</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customHeight="1">
      <c r="A1731" s="323" t="str">
        <f>IF(B1731&lt;&gt;"",IF(AND(B1731='IN-TC'!$S$4,OR(TH!N1651="1111",TH!O1651="1111")),TH!D1651,""),"")</f>
        <v/>
      </c>
      <c r="B1731" s="63">
        <f t="shared" si="142"/>
        <v>11</v>
      </c>
      <c r="C1731" s="78">
        <v>42700</v>
      </c>
      <c r="D1731" s="78" t="s">
        <v>2857</v>
      </c>
      <c r="E1731" s="78">
        <f t="shared" si="143"/>
        <v>42700</v>
      </c>
      <c r="F1731" s="79" t="s">
        <v>1952</v>
      </c>
      <c r="G1731" s="79" t="s">
        <v>331</v>
      </c>
      <c r="H1731" s="80" t="s">
        <v>381</v>
      </c>
      <c r="I1731" s="406">
        <v>14850</v>
      </c>
      <c r="J1731" s="407">
        <v>17500</v>
      </c>
      <c r="K1731" s="397"/>
      <c r="L1731" s="406"/>
      <c r="M1731" s="81">
        <f t="shared" si="144"/>
        <v>259875000</v>
      </c>
      <c r="N1731" s="82" t="s">
        <v>268</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customHeight="1">
      <c r="A1732" s="323" t="str">
        <f>IF(B1732&lt;&gt;"",IF(AND(B1732='IN-TC'!$S$4,OR(TH!N1618="1111",TH!O1618="1111")),TH!D1618,""),"")</f>
        <v/>
      </c>
      <c r="B1732" s="63">
        <f t="shared" si="142"/>
        <v>11</v>
      </c>
      <c r="C1732" s="78">
        <v>42693</v>
      </c>
      <c r="D1732" s="78" t="s">
        <v>2289</v>
      </c>
      <c r="E1732" s="78">
        <f t="shared" si="143"/>
        <v>42693</v>
      </c>
      <c r="F1732" s="79" t="s">
        <v>1952</v>
      </c>
      <c r="G1732" s="79" t="s">
        <v>331</v>
      </c>
      <c r="H1732" s="80" t="s">
        <v>386</v>
      </c>
      <c r="I1732" s="406">
        <v>14458</v>
      </c>
      <c r="J1732" s="407">
        <v>17500</v>
      </c>
      <c r="K1732" s="397"/>
      <c r="L1732" s="406"/>
      <c r="M1732" s="81">
        <f t="shared" si="144"/>
        <v>253015000</v>
      </c>
      <c r="N1732" s="82" t="s">
        <v>268</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customHeight="1">
      <c r="A1733" s="323" t="str">
        <f>IF(B1733&lt;&gt;"",IF(AND(B1733='IN-TC'!$S$4,OR(TH!N1631="1111",TH!O1631="1111")),TH!D1631,""),"")</f>
        <v/>
      </c>
      <c r="B1733" s="63">
        <f t="shared" si="142"/>
        <v>11</v>
      </c>
      <c r="C1733" s="78">
        <v>42696</v>
      </c>
      <c r="D1733" s="78" t="s">
        <v>2302</v>
      </c>
      <c r="E1733" s="78">
        <f t="shared" si="143"/>
        <v>42696</v>
      </c>
      <c r="F1733" s="79" t="s">
        <v>1952</v>
      </c>
      <c r="G1733" s="79" t="s">
        <v>331</v>
      </c>
      <c r="H1733" s="80" t="s">
        <v>1953</v>
      </c>
      <c r="I1733" s="406">
        <v>14520</v>
      </c>
      <c r="J1733" s="407">
        <v>17500</v>
      </c>
      <c r="K1733" s="397"/>
      <c r="L1733" s="406"/>
      <c r="M1733" s="81">
        <f t="shared" si="144"/>
        <v>254100000</v>
      </c>
      <c r="N1733" s="82" t="s">
        <v>268</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customHeight="1">
      <c r="A1734" s="323"/>
      <c r="B1734" s="63">
        <f t="shared" si="142"/>
        <v>12</v>
      </c>
      <c r="C1734" s="1077">
        <v>42710</v>
      </c>
      <c r="D1734" s="1077" t="s">
        <v>939</v>
      </c>
      <c r="E1734" s="78">
        <f t="shared" si="143"/>
        <v>42710</v>
      </c>
      <c r="F1734" s="310" t="s">
        <v>1952</v>
      </c>
      <c r="G1734" s="1107"/>
      <c r="H1734" s="310" t="s">
        <v>3016</v>
      </c>
      <c r="I1734" s="406">
        <v>14530</v>
      </c>
      <c r="J1734" s="407">
        <v>17500</v>
      </c>
      <c r="K1734" s="1110"/>
      <c r="L1734" s="1109"/>
      <c r="M1734" s="81">
        <f t="shared" si="144"/>
        <v>254275000</v>
      </c>
      <c r="N1734" s="82" t="s">
        <v>268</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0" ht="15.75" customHeight="1">
      <c r="A1735" s="323"/>
      <c r="B1735" s="63">
        <f t="shared" si="142"/>
        <v>12</v>
      </c>
      <c r="C1735" s="1077">
        <v>42710</v>
      </c>
      <c r="D1735" s="1077" t="s">
        <v>940</v>
      </c>
      <c r="E1735" s="78">
        <f t="shared" si="143"/>
        <v>42710</v>
      </c>
      <c r="F1735" s="310" t="s">
        <v>1952</v>
      </c>
      <c r="G1735" s="1107"/>
      <c r="H1735" s="310" t="s">
        <v>3019</v>
      </c>
      <c r="I1735" s="406">
        <v>14480</v>
      </c>
      <c r="J1735" s="407">
        <v>17500</v>
      </c>
      <c r="K1735" s="1110"/>
      <c r="L1735" s="1109"/>
      <c r="M1735" s="81">
        <f t="shared" si="144"/>
        <v>253400000</v>
      </c>
      <c r="N1735" s="82" t="s">
        <v>268</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0" ht="15.75" customHeight="1">
      <c r="A1736" s="323" t="str">
        <f>IF(B1736&lt;&gt;"",IF(AND(B1736='IN-TC'!$S$4,OR(TH!N1638="1111",TH!O1638="1111")),TH!D1638,""),"")</f>
        <v/>
      </c>
      <c r="B1736" s="63">
        <f t="shared" si="142"/>
        <v>11</v>
      </c>
      <c r="C1736" s="78">
        <v>42699</v>
      </c>
      <c r="D1736" s="78" t="s">
        <v>2634</v>
      </c>
      <c r="E1736" s="78">
        <f t="shared" si="143"/>
        <v>42699</v>
      </c>
      <c r="F1736" s="79" t="s">
        <v>1952</v>
      </c>
      <c r="G1736" s="79" t="s">
        <v>331</v>
      </c>
      <c r="H1736" s="80" t="s">
        <v>378</v>
      </c>
      <c r="I1736" s="406">
        <v>14458</v>
      </c>
      <c r="J1736" s="407">
        <v>17500</v>
      </c>
      <c r="K1736" s="397"/>
      <c r="L1736" s="406"/>
      <c r="M1736" s="81">
        <f t="shared" si="144"/>
        <v>253015000</v>
      </c>
      <c r="N1736" s="82" t="s">
        <v>268</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customHeight="1">
      <c r="A1737" s="323" t="str">
        <f>IF(B1737&lt;&gt;"",IF(AND(B1737='IN-TC'!$S$4,OR(TH!N1664="1111",TH!O1664="1111")),TH!D1664,""),"")</f>
        <v/>
      </c>
      <c r="B1737" s="63">
        <f t="shared" si="142"/>
        <v>11</v>
      </c>
      <c r="C1737" s="78">
        <v>42703</v>
      </c>
      <c r="D1737" s="78" t="s">
        <v>2870</v>
      </c>
      <c r="E1737" s="78">
        <f t="shared" si="143"/>
        <v>42703</v>
      </c>
      <c r="F1737" s="79" t="s">
        <v>1952</v>
      </c>
      <c r="G1737" s="79" t="s">
        <v>331</v>
      </c>
      <c r="H1737" s="80" t="s">
        <v>381</v>
      </c>
      <c r="I1737" s="406">
        <v>14800</v>
      </c>
      <c r="J1737" s="407">
        <v>17500</v>
      </c>
      <c r="K1737" s="397"/>
      <c r="L1737" s="406"/>
      <c r="M1737" s="81">
        <f t="shared" si="144"/>
        <v>259000000</v>
      </c>
      <c r="N1737" s="82" t="s">
        <v>268</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customHeight="1">
      <c r="A1738" s="323" t="str">
        <f>IF(B1738&lt;&gt;"",IF(AND(B1738='IN-TC'!$S$4,OR(TH!N1629="1111",TH!O1629="1111")),TH!D1629,""),"")</f>
        <v/>
      </c>
      <c r="B1738" s="63">
        <f t="shared" si="142"/>
        <v>11</v>
      </c>
      <c r="C1738" s="78">
        <v>42695</v>
      </c>
      <c r="D1738" s="78" t="s">
        <v>2300</v>
      </c>
      <c r="E1738" s="78">
        <f t="shared" si="143"/>
        <v>42695</v>
      </c>
      <c r="F1738" s="79" t="s">
        <v>1952</v>
      </c>
      <c r="G1738" s="79" t="s">
        <v>331</v>
      </c>
      <c r="H1738" s="80" t="s">
        <v>386</v>
      </c>
      <c r="I1738" s="406">
        <v>14630</v>
      </c>
      <c r="J1738" s="407">
        <v>17500</v>
      </c>
      <c r="K1738" s="397"/>
      <c r="L1738" s="406"/>
      <c r="M1738" s="81">
        <f t="shared" si="144"/>
        <v>256025000</v>
      </c>
      <c r="N1738" s="82" t="s">
        <v>268</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customHeight="1">
      <c r="A1739" s="323" t="str">
        <f>IF(B1739&lt;&gt;"",IF(AND(B1739='IN-TC'!$S$4,OR(TH!N1636="1111",TH!O1636="1111")),TH!D1636,""),"")</f>
        <v/>
      </c>
      <c r="B1739" s="63">
        <f t="shared" si="142"/>
        <v>11</v>
      </c>
      <c r="C1739" s="78">
        <v>42698</v>
      </c>
      <c r="D1739" s="78" t="s">
        <v>2307</v>
      </c>
      <c r="E1739" s="78">
        <f t="shared" si="143"/>
        <v>42698</v>
      </c>
      <c r="F1739" s="79" t="s">
        <v>1952</v>
      </c>
      <c r="G1739" s="79" t="s">
        <v>331</v>
      </c>
      <c r="H1739" s="80" t="s">
        <v>388</v>
      </c>
      <c r="I1739" s="406">
        <v>14800</v>
      </c>
      <c r="J1739" s="407">
        <v>17500</v>
      </c>
      <c r="K1739" s="397"/>
      <c r="L1739" s="406"/>
      <c r="M1739" s="81">
        <f t="shared" si="144"/>
        <v>259000000</v>
      </c>
      <c r="N1739" s="82" t="s">
        <v>268</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customHeight="1">
      <c r="A1740" s="323"/>
      <c r="B1740" s="63">
        <f t="shared" si="142"/>
        <v>12</v>
      </c>
      <c r="C1740" s="1077">
        <v>42711</v>
      </c>
      <c r="D1740" s="1077" t="s">
        <v>1940</v>
      </c>
      <c r="E1740" s="78">
        <f t="shared" si="143"/>
        <v>42711</v>
      </c>
      <c r="F1740" s="310" t="s">
        <v>1952</v>
      </c>
      <c r="G1740" s="1107"/>
      <c r="H1740" s="310" t="s">
        <v>3020</v>
      </c>
      <c r="I1740" s="406">
        <v>14630</v>
      </c>
      <c r="J1740" s="407">
        <v>17500</v>
      </c>
      <c r="K1740" s="1110"/>
      <c r="L1740" s="1109"/>
      <c r="M1740" s="81">
        <f t="shared" si="144"/>
        <v>256025000</v>
      </c>
      <c r="N1740" s="82" t="s">
        <v>268</v>
      </c>
      <c r="O1740" s="82" t="s">
        <v>8</v>
      </c>
      <c r="P1740" s="82" t="str">
        <f>IF(AND('331-CT'!$E$7=TH!H1740,OR(N1740="331",O1740="331")),"x","")</f>
        <v>x</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0" ht="15.75" customHeight="1">
      <c r="A1741" s="323"/>
      <c r="B1741" s="63">
        <f t="shared" si="142"/>
        <v>12</v>
      </c>
      <c r="C1741" s="1077">
        <v>42712</v>
      </c>
      <c r="D1741" s="1077" t="s">
        <v>1941</v>
      </c>
      <c r="E1741" s="78">
        <f t="shared" si="143"/>
        <v>42712</v>
      </c>
      <c r="F1741" s="310" t="s">
        <v>1952</v>
      </c>
      <c r="G1741" s="1107"/>
      <c r="H1741" s="310" t="s">
        <v>3019</v>
      </c>
      <c r="I1741" s="406">
        <v>14800</v>
      </c>
      <c r="J1741" s="407">
        <v>17500</v>
      </c>
      <c r="K1741" s="1110"/>
      <c r="L1741" s="1109"/>
      <c r="M1741" s="81">
        <f t="shared" si="144"/>
        <v>259000000</v>
      </c>
      <c r="N1741" s="82" t="s">
        <v>268</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0" ht="15.75" customHeight="1">
      <c r="A1742" s="323" t="str">
        <f>IF(B1742&lt;&gt;"",IF(AND(B1742='IN-TC'!$S$4,OR(TH!N1653="1111",TH!O1653="1111")),TH!D1653,""),"")</f>
        <v/>
      </c>
      <c r="B1742" s="63">
        <f t="shared" si="142"/>
        <v>11</v>
      </c>
      <c r="C1742" s="78">
        <v>42700</v>
      </c>
      <c r="D1742" s="78" t="s">
        <v>2858</v>
      </c>
      <c r="E1742" s="78">
        <f t="shared" si="143"/>
        <v>42700</v>
      </c>
      <c r="F1742" s="79" t="s">
        <v>1952</v>
      </c>
      <c r="G1742" s="79" t="s">
        <v>331</v>
      </c>
      <c r="H1742" s="80" t="s">
        <v>378</v>
      </c>
      <c r="I1742" s="406">
        <v>14630</v>
      </c>
      <c r="J1742" s="407">
        <v>17500</v>
      </c>
      <c r="K1742" s="397"/>
      <c r="L1742" s="406"/>
      <c r="M1742" s="81">
        <f t="shared" si="144"/>
        <v>256025000</v>
      </c>
      <c r="N1742" s="82" t="s">
        <v>268</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customHeight="1">
      <c r="A1743" s="323"/>
      <c r="B1743" s="63">
        <f t="shared" si="142"/>
        <v>12</v>
      </c>
      <c r="C1743" s="1077">
        <v>42712</v>
      </c>
      <c r="D1743" s="1077" t="s">
        <v>1943</v>
      </c>
      <c r="E1743" s="78">
        <f t="shared" si="143"/>
        <v>42712</v>
      </c>
      <c r="F1743" s="310" t="s">
        <v>1952</v>
      </c>
      <c r="G1743" s="1107"/>
      <c r="H1743" s="310" t="s">
        <v>3014</v>
      </c>
      <c r="I1743" s="406">
        <v>14450</v>
      </c>
      <c r="J1743" s="407">
        <v>17500</v>
      </c>
      <c r="K1743" s="1110"/>
      <c r="L1743" s="1109"/>
      <c r="M1743" s="81">
        <f t="shared" si="144"/>
        <v>252875000</v>
      </c>
      <c r="N1743" s="82" t="s">
        <v>268</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0" ht="15.75" customHeight="1">
      <c r="A1744" s="323"/>
      <c r="B1744" s="63">
        <f t="shared" si="142"/>
        <v>12</v>
      </c>
      <c r="C1744" s="1077">
        <v>42712</v>
      </c>
      <c r="D1744" s="1077" t="s">
        <v>1944</v>
      </c>
      <c r="E1744" s="78">
        <f t="shared" si="143"/>
        <v>42712</v>
      </c>
      <c r="F1744" s="310" t="s">
        <v>1952</v>
      </c>
      <c r="G1744" s="1107"/>
      <c r="H1744" s="310" t="s">
        <v>3016</v>
      </c>
      <c r="I1744" s="406">
        <v>14630</v>
      </c>
      <c r="J1744" s="407">
        <v>17500</v>
      </c>
      <c r="K1744" s="1110"/>
      <c r="L1744" s="1109"/>
      <c r="M1744" s="81">
        <f t="shared" si="144"/>
        <v>256025000</v>
      </c>
      <c r="N1744" s="82" t="s">
        <v>268</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0" ht="15.75" customHeight="1">
      <c r="A1745" s="323" t="str">
        <f>IF(B1745&lt;&gt;"",IF(AND(B1745='IN-TC'!$S$4,OR(TH!N1661="1111",TH!O1661="1111")),TH!D1661,""),"")</f>
        <v/>
      </c>
      <c r="B1745" s="63">
        <f t="shared" si="142"/>
        <v>11</v>
      </c>
      <c r="C1745" s="78">
        <v>42702</v>
      </c>
      <c r="D1745" s="78" t="s">
        <v>2867</v>
      </c>
      <c r="E1745" s="78">
        <f t="shared" si="143"/>
        <v>42702</v>
      </c>
      <c r="F1745" s="79" t="s">
        <v>1952</v>
      </c>
      <c r="G1745" s="79" t="s">
        <v>331</v>
      </c>
      <c r="H1745" s="80" t="s">
        <v>388</v>
      </c>
      <c r="I1745" s="406">
        <v>14850</v>
      </c>
      <c r="J1745" s="407">
        <v>17500</v>
      </c>
      <c r="K1745" s="397"/>
      <c r="L1745" s="406"/>
      <c r="M1745" s="81">
        <f t="shared" si="144"/>
        <v>259875000</v>
      </c>
      <c r="N1745" s="82" t="s">
        <v>268</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customHeight="1">
      <c r="A1746" s="323"/>
      <c r="B1746" s="63">
        <f t="shared" si="142"/>
        <v>12</v>
      </c>
      <c r="C1746" s="1077">
        <v>42713</v>
      </c>
      <c r="D1746" s="1077" t="s">
        <v>1946</v>
      </c>
      <c r="E1746" s="78">
        <f t="shared" si="143"/>
        <v>42713</v>
      </c>
      <c r="F1746" s="310" t="s">
        <v>1952</v>
      </c>
      <c r="G1746" s="1107"/>
      <c r="H1746" s="310" t="s">
        <v>3020</v>
      </c>
      <c r="I1746" s="406">
        <v>14520</v>
      </c>
      <c r="J1746" s="407">
        <v>17500</v>
      </c>
      <c r="K1746" s="1110"/>
      <c r="L1746" s="1109"/>
      <c r="M1746" s="81">
        <f t="shared" si="144"/>
        <v>254100000</v>
      </c>
      <c r="N1746" s="82" t="s">
        <v>268</v>
      </c>
      <c r="O1746" s="82" t="s">
        <v>8</v>
      </c>
      <c r="P1746" s="82" t="str">
        <f>IF(AND('331-CT'!$E$7=TH!H1746,OR(N1746="331",O1746="331")),"x","")</f>
        <v>x</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0" ht="15.75" customHeight="1">
      <c r="A1747" s="323" t="str">
        <f>IF(B1747&lt;&gt;"",IF(AND(B1747='IN-TC'!$S$4,OR(TH!N2320="1111",TH!O2320="1111")),TH!D2320,""),"")</f>
        <v/>
      </c>
      <c r="B1747" s="63">
        <f t="shared" si="142"/>
        <v>11</v>
      </c>
      <c r="C1747" s="64">
        <v>42704</v>
      </c>
      <c r="D1747" s="64" t="s">
        <v>3009</v>
      </c>
      <c r="E1747" s="64">
        <f t="shared" si="143"/>
        <v>42704</v>
      </c>
      <c r="F1747" s="72" t="s">
        <v>932</v>
      </c>
      <c r="G1747" s="67" t="s">
        <v>331</v>
      </c>
      <c r="H1747" s="80" t="s">
        <v>381</v>
      </c>
      <c r="I1747" s="408"/>
      <c r="J1747" s="408"/>
      <c r="K1747" s="399"/>
      <c r="L1747" s="408"/>
      <c r="M1747" s="65">
        <v>1204741000</v>
      </c>
      <c r="N1747" s="66" t="s">
        <v>8</v>
      </c>
      <c r="O1747" s="66" t="s">
        <v>266</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0" ht="15.75" customHeight="1">
      <c r="A1748" s="323" t="str">
        <f>IF(B1748&lt;&gt;"",IF(AND(B1748='IN-TC'!$S$4,OR(TH!N1639="1111",TH!O1639="1111")),TH!D1639,""),"")</f>
        <v/>
      </c>
      <c r="B1748" s="63">
        <f t="shared" si="142"/>
        <v>11</v>
      </c>
      <c r="C1748" s="78">
        <v>42699</v>
      </c>
      <c r="D1748" s="78" t="s">
        <v>2635</v>
      </c>
      <c r="E1748" s="78">
        <f t="shared" si="143"/>
        <v>42699</v>
      </c>
      <c r="F1748" s="79" t="s">
        <v>1952</v>
      </c>
      <c r="G1748" s="79" t="s">
        <v>331</v>
      </c>
      <c r="H1748" s="80" t="s">
        <v>386</v>
      </c>
      <c r="I1748" s="406">
        <v>14530</v>
      </c>
      <c r="J1748" s="407">
        <v>17500</v>
      </c>
      <c r="K1748" s="397"/>
      <c r="L1748" s="406"/>
      <c r="M1748" s="81">
        <f t="shared" ref="M1748:M1755" si="145">ROUND(I1748*J1748,0)</f>
        <v>254275000</v>
      </c>
      <c r="N1748" s="82" t="s">
        <v>268</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customHeight="1">
      <c r="A1749" s="323"/>
      <c r="B1749" s="63">
        <f t="shared" si="142"/>
        <v>12</v>
      </c>
      <c r="C1749" s="1077">
        <v>42714</v>
      </c>
      <c r="D1749" s="1077" t="s">
        <v>2228</v>
      </c>
      <c r="E1749" s="78">
        <f t="shared" si="143"/>
        <v>42714</v>
      </c>
      <c r="F1749" s="310" t="s">
        <v>1952</v>
      </c>
      <c r="G1749" s="1107"/>
      <c r="H1749" s="310" t="s">
        <v>3014</v>
      </c>
      <c r="I1749" s="406">
        <v>14450</v>
      </c>
      <c r="J1749" s="407">
        <v>17500</v>
      </c>
      <c r="K1749" s="1110"/>
      <c r="L1749" s="1109"/>
      <c r="M1749" s="81">
        <f t="shared" si="145"/>
        <v>252875000</v>
      </c>
      <c r="N1749" s="82" t="s">
        <v>268</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row>
    <row r="1750" spans="1:30" ht="15.75" customHeight="1">
      <c r="A1750" s="323"/>
      <c r="B1750" s="63">
        <f t="shared" si="142"/>
        <v>12</v>
      </c>
      <c r="C1750" s="1077">
        <v>42714</v>
      </c>
      <c r="D1750" s="1077" t="s">
        <v>2229</v>
      </c>
      <c r="E1750" s="78">
        <f t="shared" si="143"/>
        <v>42714</v>
      </c>
      <c r="F1750" s="310" t="s">
        <v>1952</v>
      </c>
      <c r="G1750" s="1107"/>
      <c r="H1750" s="310" t="s">
        <v>3016</v>
      </c>
      <c r="I1750" s="406">
        <v>14630</v>
      </c>
      <c r="J1750" s="407">
        <v>17500</v>
      </c>
      <c r="K1750" s="1110"/>
      <c r="L1750" s="1109"/>
      <c r="M1750" s="81">
        <f t="shared" si="145"/>
        <v>256025000</v>
      </c>
      <c r="N1750" s="82" t="s">
        <v>268</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0" ht="15.75" customHeight="1">
      <c r="A1751" s="323"/>
      <c r="B1751" s="63">
        <f t="shared" si="142"/>
        <v>12</v>
      </c>
      <c r="C1751" s="1077">
        <v>42714</v>
      </c>
      <c r="D1751" s="1077" t="s">
        <v>2230</v>
      </c>
      <c r="E1751" s="78">
        <f t="shared" si="143"/>
        <v>42714</v>
      </c>
      <c r="F1751" s="310" t="s">
        <v>1952</v>
      </c>
      <c r="G1751" s="1107"/>
      <c r="H1751" s="310" t="s">
        <v>3019</v>
      </c>
      <c r="I1751" s="406">
        <v>14800</v>
      </c>
      <c r="J1751" s="407">
        <v>17500</v>
      </c>
      <c r="K1751" s="1110"/>
      <c r="L1751" s="1109"/>
      <c r="M1751" s="81">
        <f t="shared" si="145"/>
        <v>259000000</v>
      </c>
      <c r="N1751" s="82" t="s">
        <v>268</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row>
    <row r="1752" spans="1:30" ht="15.75" customHeight="1">
      <c r="A1752" s="323" t="str">
        <f>IF(B1752&lt;&gt;"",IF(AND(B1752='IN-TC'!$S$4,OR(TH!N1662="1111",TH!O1662="1111")),TH!D1662,""),"")</f>
        <v/>
      </c>
      <c r="B1752" s="63">
        <f t="shared" si="142"/>
        <v>11</v>
      </c>
      <c r="C1752" s="78">
        <v>42702</v>
      </c>
      <c r="D1752" s="78" t="s">
        <v>2868</v>
      </c>
      <c r="E1752" s="78">
        <f t="shared" si="143"/>
        <v>42702</v>
      </c>
      <c r="F1752" s="79" t="s">
        <v>1952</v>
      </c>
      <c r="G1752" s="79" t="s">
        <v>331</v>
      </c>
      <c r="H1752" s="80" t="s">
        <v>378</v>
      </c>
      <c r="I1752" s="406">
        <v>14450</v>
      </c>
      <c r="J1752" s="407">
        <v>17500</v>
      </c>
      <c r="K1752" s="397"/>
      <c r="L1752" s="406"/>
      <c r="M1752" s="81">
        <f t="shared" si="145"/>
        <v>252875000</v>
      </c>
      <c r="N1752" s="82" t="s">
        <v>268</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customHeight="1">
      <c r="A1753" s="1240"/>
      <c r="B1753" s="1241">
        <f t="shared" si="142"/>
        <v>11</v>
      </c>
      <c r="C1753" s="1242">
        <v>42704</v>
      </c>
      <c r="D1753" s="1242" t="s">
        <v>2884</v>
      </c>
      <c r="E1753" s="1242">
        <f t="shared" si="143"/>
        <v>42704</v>
      </c>
      <c r="F1753" s="1243" t="s">
        <v>2834</v>
      </c>
      <c r="G1753" s="1243"/>
      <c r="H1753" s="1287" t="s">
        <v>411</v>
      </c>
      <c r="I1753" s="1245">
        <v>11</v>
      </c>
      <c r="J1753" s="1246">
        <v>105000</v>
      </c>
      <c r="K1753" s="1247"/>
      <c r="L1753" s="1245"/>
      <c r="M1753" s="1248">
        <f t="shared" si="145"/>
        <v>1155000</v>
      </c>
      <c r="N1753" s="1249" t="s">
        <v>268</v>
      </c>
      <c r="O1753" s="1249"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customHeight="1">
      <c r="A1754" s="1240"/>
      <c r="B1754" s="1241">
        <f t="shared" si="142"/>
        <v>11</v>
      </c>
      <c r="C1754" s="1242">
        <v>42704</v>
      </c>
      <c r="D1754" s="1242" t="s">
        <v>2880</v>
      </c>
      <c r="E1754" s="1242">
        <f t="shared" si="143"/>
        <v>42704</v>
      </c>
      <c r="F1754" s="1243" t="s">
        <v>2832</v>
      </c>
      <c r="G1754" s="1243"/>
      <c r="H1754" s="1244" t="s">
        <v>407</v>
      </c>
      <c r="I1754" s="1245">
        <v>660</v>
      </c>
      <c r="J1754" s="1246">
        <v>35000</v>
      </c>
      <c r="K1754" s="1247"/>
      <c r="L1754" s="1245"/>
      <c r="M1754" s="1248">
        <f t="shared" si="145"/>
        <v>23100000</v>
      </c>
      <c r="N1754" s="1249" t="s">
        <v>268</v>
      </c>
      <c r="O1754" s="1249"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customHeight="1">
      <c r="A1755" s="1240"/>
      <c r="B1755" s="1241">
        <f t="shared" si="142"/>
        <v>11</v>
      </c>
      <c r="C1755" s="1242">
        <v>42704</v>
      </c>
      <c r="D1755" s="1242" t="s">
        <v>2881</v>
      </c>
      <c r="E1755" s="1242">
        <f t="shared" si="143"/>
        <v>42704</v>
      </c>
      <c r="F1755" s="1243" t="s">
        <v>2225</v>
      </c>
      <c r="G1755" s="1243"/>
      <c r="H1755" s="1244" t="s">
        <v>417</v>
      </c>
      <c r="I1755" s="1245">
        <v>2530</v>
      </c>
      <c r="J1755" s="1246">
        <v>26000</v>
      </c>
      <c r="K1755" s="1247"/>
      <c r="L1755" s="1245"/>
      <c r="M1755" s="1248">
        <f t="shared" si="145"/>
        <v>65780000</v>
      </c>
      <c r="N1755" s="1249" t="s">
        <v>268</v>
      </c>
      <c r="O1755" s="1249"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customHeight="1">
      <c r="A1756" s="323" t="str">
        <f>IF(B1756&lt;&gt;"",IF(AND(B1756='IN-TC'!$S$4,OR(TH!N2251="1111",TH!O2251="1111")),TH!D2251,""),"")</f>
        <v/>
      </c>
      <c r="B1756" s="63">
        <f t="shared" si="142"/>
        <v>6</v>
      </c>
      <c r="C1756" s="64">
        <f>E1756</f>
        <v>42551</v>
      </c>
      <c r="D1756" s="64" t="s">
        <v>2210</v>
      </c>
      <c r="E1756" s="64">
        <v>42551</v>
      </c>
      <c r="F1756" s="72" t="s">
        <v>932</v>
      </c>
      <c r="G1756" s="67" t="s">
        <v>337</v>
      </c>
      <c r="H1756" s="329" t="s">
        <v>396</v>
      </c>
      <c r="I1756" s="408"/>
      <c r="J1756" s="408"/>
      <c r="K1756" s="399"/>
      <c r="L1756" s="408"/>
      <c r="M1756" s="65">
        <v>124500000</v>
      </c>
      <c r="N1756" s="66" t="s">
        <v>8</v>
      </c>
      <c r="O1756" s="66" t="s">
        <v>266</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0" ht="15.75" customHeight="1">
      <c r="A1757" s="323" t="str">
        <f>IF(B1757&lt;&gt;"",IF(AND(B1757='IN-TC'!$S$4,OR(TH!N2249="1111",TH!O2249="1111")),TH!D2249,""),"")</f>
        <v/>
      </c>
      <c r="B1757" s="63">
        <f t="shared" si="142"/>
        <v>6</v>
      </c>
      <c r="C1757" s="64">
        <f>E1757</f>
        <v>42551</v>
      </c>
      <c r="D1757" s="64" t="s">
        <v>2210</v>
      </c>
      <c r="E1757" s="64">
        <v>42551</v>
      </c>
      <c r="F1757" s="72" t="s">
        <v>932</v>
      </c>
      <c r="G1757" s="67" t="s">
        <v>337</v>
      </c>
      <c r="H1757" s="329" t="s">
        <v>391</v>
      </c>
      <c r="I1757" s="408"/>
      <c r="J1757" s="408"/>
      <c r="K1757" s="399"/>
      <c r="L1757" s="408"/>
      <c r="M1757" s="65">
        <v>114500000</v>
      </c>
      <c r="N1757" s="66" t="s">
        <v>8</v>
      </c>
      <c r="O1757" s="66" t="s">
        <v>266</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0" ht="15.75" customHeight="1">
      <c r="A1758" s="323" t="str">
        <f>IF(B1758&lt;&gt;"",IF(AND(B1758='IN-TC'!$S$4,OR(TH!N2250="1111",TH!O2250="1111")),TH!D2250,""),"")</f>
        <v/>
      </c>
      <c r="B1758" s="63">
        <f t="shared" si="142"/>
        <v>6</v>
      </c>
      <c r="C1758" s="64">
        <f>E1758</f>
        <v>42551</v>
      </c>
      <c r="D1758" s="64" t="s">
        <v>2210</v>
      </c>
      <c r="E1758" s="64">
        <v>42551</v>
      </c>
      <c r="F1758" s="72" t="s">
        <v>932</v>
      </c>
      <c r="G1758" s="67" t="s">
        <v>337</v>
      </c>
      <c r="H1758" s="329" t="s">
        <v>395</v>
      </c>
      <c r="I1758" s="410"/>
      <c r="J1758" s="410"/>
      <c r="K1758" s="401"/>
      <c r="L1758" s="410"/>
      <c r="M1758" s="65">
        <v>271750000</v>
      </c>
      <c r="N1758" s="66" t="s">
        <v>8</v>
      </c>
      <c r="O1758" s="66" t="s">
        <v>266</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0" ht="15.75" customHeight="1">
      <c r="A1759" s="323" t="str">
        <f>IF(B1759&lt;&gt;"",IF(AND(B1759='IN-TC'!$S$4,OR(TH!N1670="1111",TH!O1670="1111")),TH!D1670,""),"")</f>
        <v/>
      </c>
      <c r="B1759" s="63">
        <f t="shared" si="142"/>
        <v>11</v>
      </c>
      <c r="C1759" s="78">
        <v>42704</v>
      </c>
      <c r="D1759" s="78" t="s">
        <v>2876</v>
      </c>
      <c r="E1759" s="78">
        <f>C1759</f>
        <v>42704</v>
      </c>
      <c r="F1759" s="79" t="s">
        <v>1952</v>
      </c>
      <c r="G1759" s="79" t="s">
        <v>331</v>
      </c>
      <c r="H1759" s="80" t="s">
        <v>381</v>
      </c>
      <c r="I1759" s="406">
        <v>14800</v>
      </c>
      <c r="J1759" s="407">
        <v>17500</v>
      </c>
      <c r="K1759" s="397"/>
      <c r="L1759" s="406"/>
      <c r="M1759" s="81">
        <f>ROUND(I1759*J1759,0)</f>
        <v>259000000</v>
      </c>
      <c r="N1759" s="82" t="s">
        <v>268</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customHeight="1">
      <c r="A1760" s="323" t="str">
        <f>IF(B1760&lt;&gt;"",IF(AND(B1760='IN-TC'!$S$4,OR(TH!N1654="1111",TH!O1654="1111")),TH!D1654,""),"")</f>
        <v/>
      </c>
      <c r="B1760" s="63">
        <f t="shared" si="142"/>
        <v>11</v>
      </c>
      <c r="C1760" s="78">
        <v>42700</v>
      </c>
      <c r="D1760" s="78" t="s">
        <v>2860</v>
      </c>
      <c r="E1760" s="78">
        <f>C1760</f>
        <v>42700</v>
      </c>
      <c r="F1760" s="79" t="s">
        <v>1952</v>
      </c>
      <c r="G1760" s="79" t="s">
        <v>331</v>
      </c>
      <c r="H1760" s="80" t="s">
        <v>386</v>
      </c>
      <c r="I1760" s="406">
        <v>14800</v>
      </c>
      <c r="J1760" s="407">
        <v>17500</v>
      </c>
      <c r="K1760" s="397"/>
      <c r="L1760" s="406"/>
      <c r="M1760" s="81">
        <f>ROUND(I1760*J1760,0)</f>
        <v>259000000</v>
      </c>
      <c r="N1760" s="82" t="s">
        <v>268</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customHeight="1">
      <c r="A1761" s="323" t="str">
        <f>IF(B1761&lt;&gt;"",IF(AND(B1761='IN-TC'!$S$4,OR(TH!N2324="1111",TH!O2324="1111")),TH!D2324,""),"")</f>
        <v/>
      </c>
      <c r="B1761" s="63">
        <f t="shared" si="142"/>
        <v>11</v>
      </c>
      <c r="C1761" s="64">
        <v>42704</v>
      </c>
      <c r="D1761" s="64" t="s">
        <v>3009</v>
      </c>
      <c r="E1761" s="64">
        <f>C1761</f>
        <v>42704</v>
      </c>
      <c r="F1761" s="72" t="s">
        <v>932</v>
      </c>
      <c r="G1761" s="67" t="s">
        <v>331</v>
      </c>
      <c r="H1761" s="80" t="s">
        <v>388</v>
      </c>
      <c r="I1761" s="410"/>
      <c r="J1761" s="410"/>
      <c r="K1761" s="401"/>
      <c r="L1761" s="410"/>
      <c r="M1761" s="65">
        <v>1049681000</v>
      </c>
      <c r="N1761" s="66" t="s">
        <v>8</v>
      </c>
      <c r="O1761" s="66" t="s">
        <v>266</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0" ht="15.75" customHeight="1">
      <c r="A1762" s="323"/>
      <c r="B1762" s="63">
        <f t="shared" si="142"/>
        <v>12</v>
      </c>
      <c r="C1762" s="1077">
        <v>42716</v>
      </c>
      <c r="D1762" s="1077" t="s">
        <v>2241</v>
      </c>
      <c r="E1762" s="78">
        <f>C1762</f>
        <v>42716</v>
      </c>
      <c r="F1762" s="310" t="s">
        <v>1952</v>
      </c>
      <c r="G1762" s="1107"/>
      <c r="H1762" s="310" t="s">
        <v>3020</v>
      </c>
      <c r="I1762" s="406">
        <v>14520</v>
      </c>
      <c r="J1762" s="407">
        <v>17500</v>
      </c>
      <c r="K1762" s="1110"/>
      <c r="L1762" s="1109"/>
      <c r="M1762" s="81">
        <f>ROUND(I1762*J1762,0)</f>
        <v>254100000</v>
      </c>
      <c r="N1762" s="82" t="s">
        <v>268</v>
      </c>
      <c r="O1762" s="82" t="s">
        <v>8</v>
      </c>
      <c r="P1762" s="82" t="str">
        <f>IF(AND('331-CT'!$E$7=TH!H1762,OR(N1762="331",O1762="331")),"x","")</f>
        <v>x</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0" ht="15.75" customHeight="1">
      <c r="A1763" s="1160"/>
      <c r="B1763" s="948">
        <f t="shared" si="142"/>
        <v>12</v>
      </c>
      <c r="C1763" s="1077">
        <v>42716</v>
      </c>
      <c r="D1763" s="1077" t="s">
        <v>2235</v>
      </c>
      <c r="E1763" s="78">
        <f>C1763</f>
        <v>42716</v>
      </c>
      <c r="F1763" s="310" t="s">
        <v>2836</v>
      </c>
      <c r="G1763" s="1107"/>
      <c r="H1763" s="310" t="s">
        <v>396</v>
      </c>
      <c r="I1763" s="406">
        <v>3440</v>
      </c>
      <c r="J1763" s="407">
        <v>17500</v>
      </c>
      <c r="K1763" s="1250"/>
      <c r="L1763" s="916"/>
      <c r="M1763" s="81">
        <f>ROUND(I1763*J1763,0)</f>
        <v>60200000</v>
      </c>
      <c r="N1763" s="82" t="s">
        <v>268</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0" ht="15.75" customHeight="1">
      <c r="A1764" s="323" t="str">
        <f>IF(B1764&lt;&gt;"",IF(AND(B1764='IN-TC'!$S$4,OR(TH!N2277="1111",TH!O2277="1111")),TH!D2277,""),"")</f>
        <v/>
      </c>
      <c r="B1764" s="63">
        <f t="shared" si="142"/>
        <v>8</v>
      </c>
      <c r="C1764" s="64">
        <v>42613</v>
      </c>
      <c r="D1764" s="64" t="s">
        <v>2215</v>
      </c>
      <c r="E1764" s="64">
        <v>42613</v>
      </c>
      <c r="F1764" s="72" t="s">
        <v>932</v>
      </c>
      <c r="G1764" s="67" t="s">
        <v>337</v>
      </c>
      <c r="H1764" s="72" t="s">
        <v>402</v>
      </c>
      <c r="I1764" s="408"/>
      <c r="J1764" s="408"/>
      <c r="K1764" s="399"/>
      <c r="L1764" s="408"/>
      <c r="M1764" s="65">
        <v>115000000</v>
      </c>
      <c r="N1764" s="66" t="s">
        <v>8</v>
      </c>
      <c r="O1764" s="66" t="s">
        <v>266</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0" ht="15.75" customHeight="1">
      <c r="A1765" s="323"/>
      <c r="B1765" s="63">
        <f t="shared" si="142"/>
        <v>12</v>
      </c>
      <c r="C1765" s="1077">
        <v>42717</v>
      </c>
      <c r="D1765" s="1077" t="s">
        <v>2244</v>
      </c>
      <c r="E1765" s="78">
        <f t="shared" ref="E1765:E1796" si="146">C1765</f>
        <v>42717</v>
      </c>
      <c r="F1765" s="310" t="s">
        <v>1952</v>
      </c>
      <c r="G1765" s="1107"/>
      <c r="H1765" s="310" t="s">
        <v>3019</v>
      </c>
      <c r="I1765" s="406">
        <v>14456</v>
      </c>
      <c r="J1765" s="407">
        <v>17500</v>
      </c>
      <c r="K1765" s="1110"/>
      <c r="L1765" s="1109"/>
      <c r="M1765" s="81">
        <f t="shared" ref="M1765:M1775" si="147">ROUND(I1765*J1765,0)</f>
        <v>252980000</v>
      </c>
      <c r="N1765" s="82" t="s">
        <v>268</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0" ht="15.75" customHeight="1">
      <c r="A1766" s="323" t="str">
        <f>IF(B1766&lt;&gt;"",IF(AND(B1766='IN-TC'!$S$4,OR(TH!N1666="1111",TH!O1666="1111")),TH!D1666,""),"")</f>
        <v/>
      </c>
      <c r="B1766" s="63">
        <f t="shared" si="142"/>
        <v>11</v>
      </c>
      <c r="C1766" s="78">
        <v>42703</v>
      </c>
      <c r="D1766" s="78" t="s">
        <v>2872</v>
      </c>
      <c r="E1766" s="78">
        <f t="shared" si="146"/>
        <v>42703</v>
      </c>
      <c r="F1766" s="79" t="s">
        <v>1952</v>
      </c>
      <c r="G1766" s="79" t="s">
        <v>331</v>
      </c>
      <c r="H1766" s="80" t="s">
        <v>378</v>
      </c>
      <c r="I1766" s="406">
        <v>14830</v>
      </c>
      <c r="J1766" s="407">
        <v>17500</v>
      </c>
      <c r="K1766" s="397"/>
      <c r="L1766" s="406"/>
      <c r="M1766" s="81">
        <f t="shared" si="147"/>
        <v>259525000</v>
      </c>
      <c r="N1766" s="82" t="s">
        <v>268</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customHeight="1">
      <c r="A1767" s="323"/>
      <c r="B1767" s="63">
        <f t="shared" si="142"/>
        <v>12</v>
      </c>
      <c r="C1767" s="1077">
        <v>42717</v>
      </c>
      <c r="D1767" s="1077" t="s">
        <v>2246</v>
      </c>
      <c r="E1767" s="78">
        <f t="shared" si="146"/>
        <v>42717</v>
      </c>
      <c r="F1767" s="310" t="s">
        <v>1952</v>
      </c>
      <c r="G1767" s="1107"/>
      <c r="H1767" s="310" t="s">
        <v>3014</v>
      </c>
      <c r="I1767" s="406">
        <v>14530</v>
      </c>
      <c r="J1767" s="407">
        <v>17500</v>
      </c>
      <c r="K1767" s="1110"/>
      <c r="L1767" s="1109"/>
      <c r="M1767" s="81">
        <f t="shared" si="147"/>
        <v>254275000</v>
      </c>
      <c r="N1767" s="82" t="s">
        <v>268</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0" ht="15.75" customHeight="1">
      <c r="A1768" s="323"/>
      <c r="B1768" s="63">
        <f t="shared" si="142"/>
        <v>12</v>
      </c>
      <c r="C1768" s="1077">
        <v>42717</v>
      </c>
      <c r="D1768" s="1077" t="s">
        <v>2247</v>
      </c>
      <c r="E1768" s="78">
        <f t="shared" si="146"/>
        <v>42717</v>
      </c>
      <c r="F1768" s="310" t="s">
        <v>1952</v>
      </c>
      <c r="G1768" s="1107"/>
      <c r="H1768" s="310" t="s">
        <v>3016</v>
      </c>
      <c r="I1768" s="406">
        <v>14480</v>
      </c>
      <c r="J1768" s="407">
        <v>17500</v>
      </c>
      <c r="K1768" s="1110"/>
      <c r="L1768" s="1109"/>
      <c r="M1768" s="81">
        <f t="shared" si="147"/>
        <v>253400000</v>
      </c>
      <c r="N1768" s="82" t="s">
        <v>268</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0" ht="15.75" customHeight="1">
      <c r="A1769" s="323"/>
      <c r="B1769" s="63">
        <f t="shared" si="142"/>
        <v>12</v>
      </c>
      <c r="C1769" s="1077">
        <v>42706</v>
      </c>
      <c r="D1769" s="1077" t="s">
        <v>921</v>
      </c>
      <c r="E1769" s="78">
        <f t="shared" si="146"/>
        <v>42706</v>
      </c>
      <c r="F1769" s="310" t="s">
        <v>1952</v>
      </c>
      <c r="G1769" s="1107"/>
      <c r="H1769" s="310" t="s">
        <v>388</v>
      </c>
      <c r="I1769" s="406">
        <v>14520</v>
      </c>
      <c r="J1769" s="407">
        <v>17500</v>
      </c>
      <c r="K1769" s="1110"/>
      <c r="L1769" s="1109"/>
      <c r="M1769" s="81">
        <f t="shared" si="147"/>
        <v>254100000</v>
      </c>
      <c r="N1769" s="82" t="s">
        <v>268</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0" ht="15.75" customHeight="1">
      <c r="A1770" s="323"/>
      <c r="B1770" s="63">
        <f t="shared" si="142"/>
        <v>12</v>
      </c>
      <c r="C1770" s="1077">
        <v>42718</v>
      </c>
      <c r="D1770" s="1077" t="s">
        <v>2249</v>
      </c>
      <c r="E1770" s="78">
        <f t="shared" si="146"/>
        <v>42718</v>
      </c>
      <c r="F1770" s="310" t="s">
        <v>1952</v>
      </c>
      <c r="G1770" s="1107"/>
      <c r="H1770" s="310" t="s">
        <v>3020</v>
      </c>
      <c r="I1770" s="406">
        <v>14360</v>
      </c>
      <c r="J1770" s="407">
        <v>17500</v>
      </c>
      <c r="K1770" s="1110"/>
      <c r="L1770" s="1109"/>
      <c r="M1770" s="81">
        <f t="shared" si="147"/>
        <v>251300000</v>
      </c>
      <c r="N1770" s="82" t="s">
        <v>268</v>
      </c>
      <c r="O1770" s="82" t="s">
        <v>8</v>
      </c>
      <c r="P1770" s="82" t="str">
        <f>IF(AND('331-CT'!$E$7=TH!H1770,OR(N1770="331",O1770="331")),"x","")</f>
        <v>x</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0" ht="15.75" customHeight="1">
      <c r="A1771" s="323"/>
      <c r="B1771" s="63">
        <f t="shared" si="142"/>
        <v>12</v>
      </c>
      <c r="C1771" s="1077">
        <v>42718</v>
      </c>
      <c r="D1771" s="1077" t="s">
        <v>2250</v>
      </c>
      <c r="E1771" s="78">
        <f t="shared" si="146"/>
        <v>42718</v>
      </c>
      <c r="F1771" s="310" t="s">
        <v>1952</v>
      </c>
      <c r="G1771" s="1107"/>
      <c r="H1771" s="310" t="s">
        <v>3017</v>
      </c>
      <c r="I1771" s="406">
        <v>14850</v>
      </c>
      <c r="J1771" s="407">
        <v>17500</v>
      </c>
      <c r="K1771" s="1110"/>
      <c r="L1771" s="1109"/>
      <c r="M1771" s="81">
        <f t="shared" si="147"/>
        <v>259875000</v>
      </c>
      <c r="N1771" s="82" t="s">
        <v>268</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0" ht="15.75" customHeight="1">
      <c r="A1772" s="323" t="str">
        <f>IF(B1772&lt;&gt;"",IF(AND(B1772='IN-TC'!$S$4,OR(TH!N1667="1111",TH!O1667="1111")),TH!D1667,""),"")</f>
        <v/>
      </c>
      <c r="B1772" s="63">
        <f t="shared" si="142"/>
        <v>11</v>
      </c>
      <c r="C1772" s="78">
        <v>42703</v>
      </c>
      <c r="D1772" s="78" t="s">
        <v>2873</v>
      </c>
      <c r="E1772" s="78">
        <f t="shared" si="146"/>
        <v>42703</v>
      </c>
      <c r="F1772" s="79" t="s">
        <v>1952</v>
      </c>
      <c r="G1772" s="79" t="s">
        <v>331</v>
      </c>
      <c r="H1772" s="80" t="s">
        <v>386</v>
      </c>
      <c r="I1772" s="406">
        <v>14800</v>
      </c>
      <c r="J1772" s="407">
        <v>17500</v>
      </c>
      <c r="K1772" s="397"/>
      <c r="L1772" s="406"/>
      <c r="M1772" s="81">
        <f t="shared" si="147"/>
        <v>259000000</v>
      </c>
      <c r="N1772" s="82" t="s">
        <v>268</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customHeight="1">
      <c r="A1773" s="323"/>
      <c r="B1773" s="63">
        <f t="shared" si="142"/>
        <v>12</v>
      </c>
      <c r="C1773" s="1077">
        <v>42719</v>
      </c>
      <c r="D1773" s="1077" t="s">
        <v>2252</v>
      </c>
      <c r="E1773" s="78">
        <f t="shared" si="146"/>
        <v>42719</v>
      </c>
      <c r="F1773" s="310" t="s">
        <v>1952</v>
      </c>
      <c r="G1773" s="1107"/>
      <c r="H1773" s="310" t="s">
        <v>3014</v>
      </c>
      <c r="I1773" s="406">
        <v>14630</v>
      </c>
      <c r="J1773" s="407">
        <v>17500</v>
      </c>
      <c r="K1773" s="1110"/>
      <c r="L1773" s="1109"/>
      <c r="M1773" s="81">
        <f t="shared" si="147"/>
        <v>256025000</v>
      </c>
      <c r="N1773" s="82" t="s">
        <v>268</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0" ht="15.75" customHeight="1">
      <c r="A1774" s="323"/>
      <c r="B1774" s="63">
        <f t="shared" ref="B1774:B1837" si="148">IF(C1774&lt;&gt;"",MONTH(C1774),"")</f>
        <v>12</v>
      </c>
      <c r="C1774" s="1077">
        <v>42719</v>
      </c>
      <c r="D1774" s="1077" t="s">
        <v>2253</v>
      </c>
      <c r="E1774" s="78">
        <f t="shared" si="146"/>
        <v>42719</v>
      </c>
      <c r="F1774" s="310" t="s">
        <v>1952</v>
      </c>
      <c r="G1774" s="1107"/>
      <c r="H1774" s="310" t="s">
        <v>3016</v>
      </c>
      <c r="I1774" s="406">
        <v>14800</v>
      </c>
      <c r="J1774" s="407">
        <v>17500</v>
      </c>
      <c r="K1774" s="1110"/>
      <c r="L1774" s="1109"/>
      <c r="M1774" s="81">
        <f t="shared" si="147"/>
        <v>259000000</v>
      </c>
      <c r="N1774" s="82" t="s">
        <v>268</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0" ht="15.75" customHeight="1">
      <c r="A1775" s="323"/>
      <c r="B1775" s="63">
        <f t="shared" si="148"/>
        <v>12</v>
      </c>
      <c r="C1775" s="1077">
        <v>42719</v>
      </c>
      <c r="D1775" s="1077" t="s">
        <v>2254</v>
      </c>
      <c r="E1775" s="78">
        <f t="shared" si="146"/>
        <v>42719</v>
      </c>
      <c r="F1775" s="310" t="s">
        <v>1952</v>
      </c>
      <c r="G1775" s="1107"/>
      <c r="H1775" s="310" t="s">
        <v>3019</v>
      </c>
      <c r="I1775" s="406">
        <v>14850</v>
      </c>
      <c r="J1775" s="407">
        <v>17500</v>
      </c>
      <c r="K1775" s="1110"/>
      <c r="L1775" s="1109"/>
      <c r="M1775" s="81">
        <f t="shared" si="147"/>
        <v>259875000</v>
      </c>
      <c r="N1775" s="82" t="s">
        <v>268</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0" ht="15.75" customHeight="1">
      <c r="A1776" s="323" t="str">
        <f>IF(B1776&lt;&gt;"",IF(AND(B1776='IN-TC'!$S$4,OR(TH!N2325="1111",TH!O2325="1111")),TH!D2325,""),"")</f>
        <v/>
      </c>
      <c r="B1776" s="63">
        <f t="shared" si="148"/>
        <v>11</v>
      </c>
      <c r="C1776" s="64">
        <v>42704</v>
      </c>
      <c r="D1776" s="64" t="s">
        <v>3009</v>
      </c>
      <c r="E1776" s="64">
        <f t="shared" si="146"/>
        <v>42704</v>
      </c>
      <c r="F1776" s="72" t="s">
        <v>932</v>
      </c>
      <c r="G1776" s="67" t="s">
        <v>331</v>
      </c>
      <c r="H1776" s="80" t="s">
        <v>378</v>
      </c>
      <c r="I1776" s="408"/>
      <c r="J1776" s="408"/>
      <c r="K1776" s="399"/>
      <c r="L1776" s="408"/>
      <c r="M1776" s="65">
        <v>1226155000</v>
      </c>
      <c r="N1776" s="66" t="s">
        <v>8</v>
      </c>
      <c r="O1776" s="66" t="s">
        <v>266</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0" ht="15.75" customHeight="1">
      <c r="A1777" s="323"/>
      <c r="B1777" s="63">
        <f t="shared" si="148"/>
        <v>12</v>
      </c>
      <c r="C1777" s="1077">
        <v>42720</v>
      </c>
      <c r="D1777" s="1077" t="s">
        <v>2256</v>
      </c>
      <c r="E1777" s="78">
        <f t="shared" si="146"/>
        <v>42720</v>
      </c>
      <c r="F1777" s="310" t="s">
        <v>1952</v>
      </c>
      <c r="G1777" s="1107"/>
      <c r="H1777" s="310" t="s">
        <v>3017</v>
      </c>
      <c r="I1777" s="406">
        <v>14630</v>
      </c>
      <c r="J1777" s="407">
        <v>17500</v>
      </c>
      <c r="K1777" s="1110"/>
      <c r="L1777" s="1109"/>
      <c r="M1777" s="81">
        <f t="shared" ref="M1777:M1808" si="149">ROUND(I1777*J1777,0)</f>
        <v>256025000</v>
      </c>
      <c r="N1777" s="82" t="s">
        <v>268</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row>
    <row r="1778" spans="1:30" ht="15.75" customHeight="1">
      <c r="A1778" s="323"/>
      <c r="B1778" s="63">
        <f t="shared" si="148"/>
        <v>12</v>
      </c>
      <c r="C1778" s="1077">
        <v>42720</v>
      </c>
      <c r="D1778" s="1077" t="s">
        <v>2257</v>
      </c>
      <c r="E1778" s="78">
        <f t="shared" si="146"/>
        <v>42720</v>
      </c>
      <c r="F1778" s="310" t="s">
        <v>1952</v>
      </c>
      <c r="G1778" s="1107"/>
      <c r="H1778" s="310" t="s">
        <v>3018</v>
      </c>
      <c r="I1778" s="406">
        <v>14800</v>
      </c>
      <c r="J1778" s="407">
        <v>17500</v>
      </c>
      <c r="K1778" s="1110"/>
      <c r="L1778" s="1109"/>
      <c r="M1778" s="81">
        <f t="shared" si="149"/>
        <v>259000000</v>
      </c>
      <c r="N1778" s="82" t="s">
        <v>268</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0" ht="15.75" customHeight="1">
      <c r="A1779" s="323"/>
      <c r="B1779" s="63">
        <f t="shared" si="148"/>
        <v>12</v>
      </c>
      <c r="C1779" s="1077">
        <v>42720</v>
      </c>
      <c r="D1779" s="1077" t="s">
        <v>2258</v>
      </c>
      <c r="E1779" s="78">
        <f t="shared" si="146"/>
        <v>42720</v>
      </c>
      <c r="F1779" s="310" t="s">
        <v>1952</v>
      </c>
      <c r="G1779" s="1107"/>
      <c r="H1779" s="310" t="s">
        <v>3015</v>
      </c>
      <c r="I1779" s="406">
        <v>14520</v>
      </c>
      <c r="J1779" s="407">
        <v>17500</v>
      </c>
      <c r="K1779" s="1110"/>
      <c r="L1779" s="1109"/>
      <c r="M1779" s="81">
        <f t="shared" si="149"/>
        <v>254100000</v>
      </c>
      <c r="N1779" s="82" t="s">
        <v>268</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0" ht="15.75" customHeight="1">
      <c r="A1780" s="323"/>
      <c r="B1780" s="63">
        <f t="shared" si="148"/>
        <v>12</v>
      </c>
      <c r="C1780" s="1077">
        <v>42720</v>
      </c>
      <c r="D1780" s="1077" t="s">
        <v>2259</v>
      </c>
      <c r="E1780" s="78">
        <f t="shared" si="146"/>
        <v>42720</v>
      </c>
      <c r="F1780" s="310" t="s">
        <v>1952</v>
      </c>
      <c r="G1780" s="1107"/>
      <c r="H1780" s="310" t="s">
        <v>3020</v>
      </c>
      <c r="I1780" s="406">
        <v>14360</v>
      </c>
      <c r="J1780" s="407">
        <v>17500</v>
      </c>
      <c r="K1780" s="1110"/>
      <c r="L1780" s="1109"/>
      <c r="M1780" s="81">
        <f t="shared" si="149"/>
        <v>251300000</v>
      </c>
      <c r="N1780" s="82" t="s">
        <v>268</v>
      </c>
      <c r="O1780" s="82" t="s">
        <v>8</v>
      </c>
      <c r="P1780" s="82" t="str">
        <f>IF(AND('331-CT'!$E$7=TH!H1780,OR(N1780="331",O1780="331")),"x","")</f>
        <v>x</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0" ht="15.75" customHeight="1">
      <c r="A1781" s="323"/>
      <c r="B1781" s="63">
        <f t="shared" si="148"/>
        <v>12</v>
      </c>
      <c r="C1781" s="1077">
        <v>42721</v>
      </c>
      <c r="D1781" s="1077" t="s">
        <v>2260</v>
      </c>
      <c r="E1781" s="78">
        <f t="shared" si="146"/>
        <v>42721</v>
      </c>
      <c r="F1781" s="310" t="s">
        <v>1952</v>
      </c>
      <c r="G1781" s="1107"/>
      <c r="H1781" s="310" t="s">
        <v>3019</v>
      </c>
      <c r="I1781" s="406">
        <v>14850</v>
      </c>
      <c r="J1781" s="407">
        <v>17500</v>
      </c>
      <c r="K1781" s="1110"/>
      <c r="L1781" s="1109"/>
      <c r="M1781" s="81">
        <f t="shared" si="149"/>
        <v>259875000</v>
      </c>
      <c r="N1781" s="82" t="s">
        <v>268</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0" ht="15.75" customHeight="1">
      <c r="A1782" s="323"/>
      <c r="B1782" s="63">
        <f t="shared" si="148"/>
        <v>12</v>
      </c>
      <c r="C1782" s="1077">
        <v>42705</v>
      </c>
      <c r="D1782" s="1077" t="s">
        <v>918</v>
      </c>
      <c r="E1782" s="78">
        <f t="shared" si="146"/>
        <v>42705</v>
      </c>
      <c r="F1782" s="310" t="s">
        <v>1952</v>
      </c>
      <c r="G1782" s="1107"/>
      <c r="H1782" s="310" t="s">
        <v>378</v>
      </c>
      <c r="I1782" s="406">
        <v>14458</v>
      </c>
      <c r="J1782" s="407">
        <v>17500</v>
      </c>
      <c r="K1782" s="1110"/>
      <c r="L1782" s="1109"/>
      <c r="M1782" s="81">
        <f t="shared" si="149"/>
        <v>253015000</v>
      </c>
      <c r="N1782" s="82" t="s">
        <v>268</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0" ht="15.75" customHeight="1">
      <c r="A1783" s="323"/>
      <c r="B1783" s="63">
        <f t="shared" si="148"/>
        <v>12</v>
      </c>
      <c r="C1783" s="1077">
        <v>42721</v>
      </c>
      <c r="D1783" s="1077" t="s">
        <v>2262</v>
      </c>
      <c r="E1783" s="78">
        <f t="shared" si="146"/>
        <v>42721</v>
      </c>
      <c r="F1783" s="310" t="s">
        <v>1952</v>
      </c>
      <c r="G1783" s="1107"/>
      <c r="H1783" s="310" t="s">
        <v>3014</v>
      </c>
      <c r="I1783" s="406">
        <v>14630</v>
      </c>
      <c r="J1783" s="407">
        <v>17500</v>
      </c>
      <c r="K1783" s="1110"/>
      <c r="L1783" s="1109"/>
      <c r="M1783" s="81">
        <f t="shared" si="149"/>
        <v>256025000</v>
      </c>
      <c r="N1783" s="82" t="s">
        <v>268</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0" ht="15.75" customHeight="1">
      <c r="A1784" s="323"/>
      <c r="B1784" s="63">
        <f t="shared" si="148"/>
        <v>12</v>
      </c>
      <c r="C1784" s="1077">
        <v>42721</v>
      </c>
      <c r="D1784" s="1077" t="s">
        <v>2284</v>
      </c>
      <c r="E1784" s="78">
        <f t="shared" si="146"/>
        <v>42721</v>
      </c>
      <c r="F1784" s="310" t="s">
        <v>1952</v>
      </c>
      <c r="G1784" s="1107"/>
      <c r="H1784" s="310" t="s">
        <v>3016</v>
      </c>
      <c r="I1784" s="406">
        <v>14800</v>
      </c>
      <c r="J1784" s="407">
        <v>17500</v>
      </c>
      <c r="K1784" s="1110"/>
      <c r="L1784" s="1109"/>
      <c r="M1784" s="81">
        <f t="shared" si="149"/>
        <v>259000000</v>
      </c>
      <c r="N1784" s="82" t="s">
        <v>268</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0" ht="15.75" customHeight="1">
      <c r="A1785" s="323"/>
      <c r="B1785" s="63">
        <f t="shared" si="148"/>
        <v>12</v>
      </c>
      <c r="C1785" s="1077">
        <v>42723</v>
      </c>
      <c r="D1785" s="1077" t="s">
        <v>2285</v>
      </c>
      <c r="E1785" s="78">
        <f t="shared" si="146"/>
        <v>42723</v>
      </c>
      <c r="F1785" s="310" t="s">
        <v>1952</v>
      </c>
      <c r="G1785" s="1107"/>
      <c r="H1785" s="310" t="s">
        <v>3015</v>
      </c>
      <c r="I1785" s="406">
        <v>14556</v>
      </c>
      <c r="J1785" s="407">
        <v>17500</v>
      </c>
      <c r="K1785" s="1110"/>
      <c r="L1785" s="1109"/>
      <c r="M1785" s="81">
        <f t="shared" si="149"/>
        <v>254730000</v>
      </c>
      <c r="N1785" s="82" t="s">
        <v>268</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0" ht="15.75" customHeight="1">
      <c r="A1786" s="323"/>
      <c r="B1786" s="63">
        <f t="shared" si="148"/>
        <v>12</v>
      </c>
      <c r="C1786" s="1077">
        <v>42723</v>
      </c>
      <c r="D1786" s="1077" t="s">
        <v>2286</v>
      </c>
      <c r="E1786" s="78">
        <f t="shared" si="146"/>
        <v>42723</v>
      </c>
      <c r="F1786" s="310" t="s">
        <v>1952</v>
      </c>
      <c r="G1786" s="1107"/>
      <c r="H1786" s="310" t="s">
        <v>3020</v>
      </c>
      <c r="I1786" s="406">
        <v>14558</v>
      </c>
      <c r="J1786" s="407">
        <v>17500</v>
      </c>
      <c r="K1786" s="1110"/>
      <c r="L1786" s="1109"/>
      <c r="M1786" s="81">
        <f t="shared" si="149"/>
        <v>254765000</v>
      </c>
      <c r="N1786" s="82" t="s">
        <v>268</v>
      </c>
      <c r="O1786" s="82" t="s">
        <v>8</v>
      </c>
      <c r="P1786" s="82" t="str">
        <f>IF(AND('331-CT'!$E$7=TH!H1786,OR(N1786="331",O1786="331")),"x","")</f>
        <v>x</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0" ht="15.75" customHeight="1">
      <c r="A1787" s="323"/>
      <c r="B1787" s="63">
        <f t="shared" si="148"/>
        <v>12</v>
      </c>
      <c r="C1787" s="1077">
        <v>42723</v>
      </c>
      <c r="D1787" s="1077" t="s">
        <v>2287</v>
      </c>
      <c r="E1787" s="78">
        <f t="shared" si="146"/>
        <v>42723</v>
      </c>
      <c r="F1787" s="310" t="s">
        <v>1952</v>
      </c>
      <c r="G1787" s="1107"/>
      <c r="H1787" s="310" t="s">
        <v>3017</v>
      </c>
      <c r="I1787" s="406">
        <v>14530</v>
      </c>
      <c r="J1787" s="407">
        <v>17500</v>
      </c>
      <c r="K1787" s="1110"/>
      <c r="L1787" s="1109"/>
      <c r="M1787" s="81">
        <f t="shared" si="149"/>
        <v>254275000</v>
      </c>
      <c r="N1787" s="82" t="s">
        <v>268</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0" ht="15.75" customHeight="1">
      <c r="A1788" s="323"/>
      <c r="B1788" s="63">
        <f t="shared" si="148"/>
        <v>12</v>
      </c>
      <c r="C1788" s="1077">
        <v>42723</v>
      </c>
      <c r="D1788" s="1077" t="s">
        <v>2288</v>
      </c>
      <c r="E1788" s="78">
        <f t="shared" si="146"/>
        <v>42723</v>
      </c>
      <c r="F1788" s="310" t="s">
        <v>1952</v>
      </c>
      <c r="G1788" s="1107"/>
      <c r="H1788" s="310" t="s">
        <v>3018</v>
      </c>
      <c r="I1788" s="406">
        <v>14480</v>
      </c>
      <c r="J1788" s="407">
        <v>17500</v>
      </c>
      <c r="K1788" s="1110"/>
      <c r="L1788" s="1109"/>
      <c r="M1788" s="81">
        <f t="shared" si="149"/>
        <v>253400000</v>
      </c>
      <c r="N1788" s="82" t="s">
        <v>268</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0" ht="15.75" customHeight="1">
      <c r="A1789" s="323"/>
      <c r="B1789" s="63">
        <f t="shared" si="148"/>
        <v>12</v>
      </c>
      <c r="C1789" s="1077">
        <v>42724</v>
      </c>
      <c r="D1789" s="1077" t="s">
        <v>2289</v>
      </c>
      <c r="E1789" s="78">
        <f t="shared" si="146"/>
        <v>42724</v>
      </c>
      <c r="F1789" s="310" t="s">
        <v>1952</v>
      </c>
      <c r="G1789" s="1107"/>
      <c r="H1789" s="310" t="s">
        <v>3014</v>
      </c>
      <c r="I1789" s="406">
        <v>14520</v>
      </c>
      <c r="J1789" s="407">
        <v>17500</v>
      </c>
      <c r="K1789" s="1110"/>
      <c r="L1789" s="1109"/>
      <c r="M1789" s="81">
        <f t="shared" si="149"/>
        <v>254100000</v>
      </c>
      <c r="N1789" s="82" t="s">
        <v>268</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0" ht="15.75" customHeight="1">
      <c r="A1790" s="323"/>
      <c r="B1790" s="63">
        <f t="shared" si="148"/>
        <v>12</v>
      </c>
      <c r="C1790" s="1077">
        <v>42724</v>
      </c>
      <c r="D1790" s="1077" t="s">
        <v>2290</v>
      </c>
      <c r="E1790" s="78">
        <f t="shared" si="146"/>
        <v>42724</v>
      </c>
      <c r="F1790" s="310" t="s">
        <v>1952</v>
      </c>
      <c r="G1790" s="1107"/>
      <c r="H1790" s="310" t="s">
        <v>3016</v>
      </c>
      <c r="I1790" s="406">
        <v>14756</v>
      </c>
      <c r="J1790" s="407">
        <v>17500</v>
      </c>
      <c r="K1790" s="1110"/>
      <c r="L1790" s="1109"/>
      <c r="M1790" s="81">
        <f t="shared" si="149"/>
        <v>258230000</v>
      </c>
      <c r="N1790" s="82" t="s">
        <v>268</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0" ht="15.75" customHeight="1">
      <c r="A1791" s="323"/>
      <c r="B1791" s="63">
        <f t="shared" si="148"/>
        <v>12</v>
      </c>
      <c r="C1791" s="1077">
        <v>42724</v>
      </c>
      <c r="D1791" s="1077" t="s">
        <v>2291</v>
      </c>
      <c r="E1791" s="78">
        <f t="shared" si="146"/>
        <v>42724</v>
      </c>
      <c r="F1791" s="310" t="s">
        <v>1952</v>
      </c>
      <c r="G1791" s="1107"/>
      <c r="H1791" s="310" t="s">
        <v>3019</v>
      </c>
      <c r="I1791" s="406">
        <v>14458</v>
      </c>
      <c r="J1791" s="407">
        <v>17500</v>
      </c>
      <c r="K1791" s="1110"/>
      <c r="L1791" s="1109"/>
      <c r="M1791" s="81">
        <f t="shared" si="149"/>
        <v>253015000</v>
      </c>
      <c r="N1791" s="82" t="s">
        <v>268</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0" ht="15.75" customHeight="1">
      <c r="A1792" s="323"/>
      <c r="B1792" s="63">
        <f t="shared" si="148"/>
        <v>12</v>
      </c>
      <c r="C1792" s="1077">
        <v>42707</v>
      </c>
      <c r="D1792" s="1077" t="s">
        <v>926</v>
      </c>
      <c r="E1792" s="78">
        <f t="shared" si="146"/>
        <v>42707</v>
      </c>
      <c r="F1792" s="310" t="s">
        <v>1952</v>
      </c>
      <c r="G1792" s="1107"/>
      <c r="H1792" s="310" t="s">
        <v>378</v>
      </c>
      <c r="I1792" s="406">
        <v>14800</v>
      </c>
      <c r="J1792" s="407">
        <v>17500</v>
      </c>
      <c r="K1792" s="1110"/>
      <c r="L1792" s="1109"/>
      <c r="M1792" s="81">
        <f t="shared" si="149"/>
        <v>259000000</v>
      </c>
      <c r="N1792" s="82" t="s">
        <v>268</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0" ht="15.75" customHeight="1">
      <c r="A1793" s="323"/>
      <c r="B1793" s="63">
        <f t="shared" si="148"/>
        <v>12</v>
      </c>
      <c r="C1793" s="1077">
        <v>42725</v>
      </c>
      <c r="D1793" s="1077" t="s">
        <v>2293</v>
      </c>
      <c r="E1793" s="78">
        <f t="shared" si="146"/>
        <v>42725</v>
      </c>
      <c r="F1793" s="310" t="s">
        <v>1952</v>
      </c>
      <c r="G1793" s="1107"/>
      <c r="H1793" s="310" t="s">
        <v>3017</v>
      </c>
      <c r="I1793" s="406">
        <v>14480</v>
      </c>
      <c r="J1793" s="407">
        <v>17500</v>
      </c>
      <c r="K1793" s="1110"/>
      <c r="L1793" s="1109"/>
      <c r="M1793" s="81">
        <f t="shared" si="149"/>
        <v>253400000</v>
      </c>
      <c r="N1793" s="82" t="s">
        <v>268</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0" ht="15.75" customHeight="1">
      <c r="A1794" s="323"/>
      <c r="B1794" s="63">
        <f t="shared" si="148"/>
        <v>12</v>
      </c>
      <c r="C1794" s="1077">
        <v>42725</v>
      </c>
      <c r="D1794" s="1077" t="s">
        <v>2294</v>
      </c>
      <c r="E1794" s="78">
        <f t="shared" si="146"/>
        <v>42725</v>
      </c>
      <c r="F1794" s="310" t="s">
        <v>1952</v>
      </c>
      <c r="G1794" s="1107"/>
      <c r="H1794" s="310" t="s">
        <v>3018</v>
      </c>
      <c r="I1794" s="406">
        <v>14520</v>
      </c>
      <c r="J1794" s="407">
        <v>17500</v>
      </c>
      <c r="K1794" s="1110"/>
      <c r="L1794" s="1109"/>
      <c r="M1794" s="81">
        <f t="shared" si="149"/>
        <v>254100000</v>
      </c>
      <c r="N1794" s="82" t="s">
        <v>268</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0" ht="15.75" customHeight="1">
      <c r="A1795" s="323"/>
      <c r="B1795" s="63">
        <f t="shared" si="148"/>
        <v>12</v>
      </c>
      <c r="C1795" s="1077">
        <v>42725</v>
      </c>
      <c r="D1795" s="1077" t="s">
        <v>2295</v>
      </c>
      <c r="E1795" s="78">
        <f t="shared" si="146"/>
        <v>42725</v>
      </c>
      <c r="F1795" s="310" t="s">
        <v>1952</v>
      </c>
      <c r="G1795" s="1107"/>
      <c r="H1795" s="310" t="s">
        <v>3015</v>
      </c>
      <c r="I1795" s="406">
        <v>14360</v>
      </c>
      <c r="J1795" s="407">
        <v>17500</v>
      </c>
      <c r="K1795" s="1110"/>
      <c r="L1795" s="1109"/>
      <c r="M1795" s="81">
        <f t="shared" si="149"/>
        <v>251300000</v>
      </c>
      <c r="N1795" s="82" t="s">
        <v>268</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row>
    <row r="1796" spans="1:30" ht="15.75" customHeight="1">
      <c r="A1796" s="323"/>
      <c r="B1796" s="63">
        <f t="shared" si="148"/>
        <v>12</v>
      </c>
      <c r="C1796" s="1077">
        <v>42725</v>
      </c>
      <c r="D1796" s="1077" t="s">
        <v>2296</v>
      </c>
      <c r="E1796" s="78">
        <f t="shared" si="146"/>
        <v>42725</v>
      </c>
      <c r="F1796" s="310" t="s">
        <v>1952</v>
      </c>
      <c r="G1796" s="1107"/>
      <c r="H1796" s="310" t="s">
        <v>3020</v>
      </c>
      <c r="I1796" s="406">
        <v>14850</v>
      </c>
      <c r="J1796" s="407">
        <v>17500</v>
      </c>
      <c r="K1796" s="1110"/>
      <c r="L1796" s="1109"/>
      <c r="M1796" s="81">
        <f t="shared" si="149"/>
        <v>259875000</v>
      </c>
      <c r="N1796" s="82" t="s">
        <v>268</v>
      </c>
      <c r="O1796" s="82" t="s">
        <v>8</v>
      </c>
      <c r="P1796" s="82" t="str">
        <f>IF(AND('331-CT'!$E$7=TH!H1796,OR(N1796="331",O1796="331")),"x","")</f>
        <v>x</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0" ht="15.75" customHeight="1">
      <c r="A1797" s="323"/>
      <c r="B1797" s="63">
        <f t="shared" si="148"/>
        <v>12</v>
      </c>
      <c r="C1797" s="1077">
        <v>42726</v>
      </c>
      <c r="D1797" s="1077" t="s">
        <v>2297</v>
      </c>
      <c r="E1797" s="78">
        <f t="shared" ref="E1797:E1823" si="150">C1797</f>
        <v>42726</v>
      </c>
      <c r="F1797" s="310" t="s">
        <v>1952</v>
      </c>
      <c r="G1797" s="1107"/>
      <c r="H1797" s="310" t="s">
        <v>3019</v>
      </c>
      <c r="I1797" s="406">
        <v>14450</v>
      </c>
      <c r="J1797" s="407">
        <v>17500</v>
      </c>
      <c r="K1797" s="1110"/>
      <c r="L1797" s="1109"/>
      <c r="M1797" s="81">
        <f t="shared" si="149"/>
        <v>252875000</v>
      </c>
      <c r="N1797" s="82" t="s">
        <v>268</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0" ht="15.75" customHeight="1">
      <c r="A1798" s="323"/>
      <c r="B1798" s="63">
        <f t="shared" si="148"/>
        <v>12</v>
      </c>
      <c r="C1798" s="1077">
        <v>42710</v>
      </c>
      <c r="D1798" s="1077" t="s">
        <v>941</v>
      </c>
      <c r="E1798" s="78">
        <f t="shared" si="150"/>
        <v>42710</v>
      </c>
      <c r="F1798" s="310" t="s">
        <v>1952</v>
      </c>
      <c r="G1798" s="1107"/>
      <c r="H1798" s="310" t="s">
        <v>378</v>
      </c>
      <c r="I1798" s="406">
        <v>14520</v>
      </c>
      <c r="J1798" s="407">
        <v>17500</v>
      </c>
      <c r="K1798" s="1110"/>
      <c r="L1798" s="1109"/>
      <c r="M1798" s="81">
        <f t="shared" si="149"/>
        <v>254100000</v>
      </c>
      <c r="N1798" s="82" t="s">
        <v>268</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0" ht="15.75" customHeight="1">
      <c r="A1799" s="323"/>
      <c r="B1799" s="63">
        <f t="shared" si="148"/>
        <v>12</v>
      </c>
      <c r="C1799" s="1077">
        <v>42726</v>
      </c>
      <c r="D1799" s="1077" t="s">
        <v>2299</v>
      </c>
      <c r="E1799" s="78">
        <f t="shared" si="150"/>
        <v>42726</v>
      </c>
      <c r="F1799" s="310" t="s">
        <v>1952</v>
      </c>
      <c r="G1799" s="1107"/>
      <c r="H1799" s="310" t="s">
        <v>3014</v>
      </c>
      <c r="I1799" s="406">
        <v>14800</v>
      </c>
      <c r="J1799" s="407">
        <v>17500</v>
      </c>
      <c r="K1799" s="1110"/>
      <c r="L1799" s="1109"/>
      <c r="M1799" s="81">
        <f t="shared" si="149"/>
        <v>259000000</v>
      </c>
      <c r="N1799" s="82" t="s">
        <v>268</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0" ht="15.75" customHeight="1">
      <c r="A1800" s="323"/>
      <c r="B1800" s="63">
        <f t="shared" si="148"/>
        <v>12</v>
      </c>
      <c r="C1800" s="1077">
        <v>42726</v>
      </c>
      <c r="D1800" s="1077" t="s">
        <v>2300</v>
      </c>
      <c r="E1800" s="78">
        <f t="shared" si="150"/>
        <v>42726</v>
      </c>
      <c r="F1800" s="310" t="s">
        <v>1952</v>
      </c>
      <c r="G1800" s="1107"/>
      <c r="H1800" s="310" t="s">
        <v>3016</v>
      </c>
      <c r="I1800" s="406">
        <v>14850</v>
      </c>
      <c r="J1800" s="407">
        <v>17500</v>
      </c>
      <c r="K1800" s="1110"/>
      <c r="L1800" s="1109"/>
      <c r="M1800" s="81">
        <f t="shared" si="149"/>
        <v>259875000</v>
      </c>
      <c r="N1800" s="82" t="s">
        <v>268</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0" ht="15.75" customHeight="1">
      <c r="A1801" s="323"/>
      <c r="B1801" s="63">
        <f t="shared" si="148"/>
        <v>12</v>
      </c>
      <c r="C1801" s="1077">
        <v>42727</v>
      </c>
      <c r="D1801" s="1077" t="s">
        <v>2301</v>
      </c>
      <c r="E1801" s="78">
        <f t="shared" si="150"/>
        <v>42727</v>
      </c>
      <c r="F1801" s="310" t="s">
        <v>1952</v>
      </c>
      <c r="G1801" s="1107"/>
      <c r="H1801" s="310" t="s">
        <v>3015</v>
      </c>
      <c r="I1801" s="406">
        <v>14450</v>
      </c>
      <c r="J1801" s="407">
        <v>17500</v>
      </c>
      <c r="K1801" s="1110"/>
      <c r="L1801" s="1109"/>
      <c r="M1801" s="81">
        <f t="shared" si="149"/>
        <v>252875000</v>
      </c>
      <c r="N1801" s="82" t="s">
        <v>268</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0" ht="15.75" customHeight="1">
      <c r="A1802" s="323"/>
      <c r="B1802" s="63">
        <f t="shared" si="148"/>
        <v>12</v>
      </c>
      <c r="C1802" s="1077">
        <v>42727</v>
      </c>
      <c r="D1802" s="1077" t="s">
        <v>2302</v>
      </c>
      <c r="E1802" s="78">
        <f t="shared" si="150"/>
        <v>42727</v>
      </c>
      <c r="F1802" s="310" t="s">
        <v>1952</v>
      </c>
      <c r="G1802" s="1107"/>
      <c r="H1802" s="310" t="s">
        <v>3020</v>
      </c>
      <c r="I1802" s="406">
        <v>14630</v>
      </c>
      <c r="J1802" s="407">
        <v>17500</v>
      </c>
      <c r="K1802" s="1110"/>
      <c r="L1802" s="1109"/>
      <c r="M1802" s="81">
        <f t="shared" si="149"/>
        <v>256025000</v>
      </c>
      <c r="N1802" s="82" t="s">
        <v>268</v>
      </c>
      <c r="O1802" s="82" t="s">
        <v>8</v>
      </c>
      <c r="P1802" s="82" t="str">
        <f>IF(AND('331-CT'!$E$7=TH!H1802,OR(N1802="331",O1802="331")),"x","")</f>
        <v>x</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0" ht="15.75" customHeight="1">
      <c r="A1803" s="323"/>
      <c r="B1803" s="63">
        <f t="shared" si="148"/>
        <v>12</v>
      </c>
      <c r="C1803" s="1077">
        <v>42727</v>
      </c>
      <c r="D1803" s="1077" t="s">
        <v>2303</v>
      </c>
      <c r="E1803" s="78">
        <f t="shared" si="150"/>
        <v>42727</v>
      </c>
      <c r="F1803" s="310" t="s">
        <v>1952</v>
      </c>
      <c r="G1803" s="1107"/>
      <c r="H1803" s="310" t="s">
        <v>3017</v>
      </c>
      <c r="I1803" s="406">
        <v>14800</v>
      </c>
      <c r="J1803" s="407">
        <v>17500</v>
      </c>
      <c r="K1803" s="1110"/>
      <c r="L1803" s="1109"/>
      <c r="M1803" s="81">
        <f t="shared" si="149"/>
        <v>259000000</v>
      </c>
      <c r="N1803" s="82" t="s">
        <v>268</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0" ht="15.75" customHeight="1">
      <c r="A1804" s="323"/>
      <c r="B1804" s="63">
        <f t="shared" si="148"/>
        <v>12</v>
      </c>
      <c r="C1804" s="1077">
        <v>42727</v>
      </c>
      <c r="D1804" s="1077" t="s">
        <v>2304</v>
      </c>
      <c r="E1804" s="78">
        <f t="shared" si="150"/>
        <v>42727</v>
      </c>
      <c r="F1804" s="310" t="s">
        <v>1952</v>
      </c>
      <c r="G1804" s="1107"/>
      <c r="H1804" s="310" t="s">
        <v>3018</v>
      </c>
      <c r="I1804" s="406">
        <v>14520</v>
      </c>
      <c r="J1804" s="407">
        <v>17500</v>
      </c>
      <c r="K1804" s="1110"/>
      <c r="L1804" s="1109"/>
      <c r="M1804" s="81">
        <f t="shared" si="149"/>
        <v>254100000</v>
      </c>
      <c r="N1804" s="82" t="s">
        <v>268</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0" ht="15.75" customHeight="1">
      <c r="A1805" s="323"/>
      <c r="B1805" s="63">
        <f t="shared" si="148"/>
        <v>12</v>
      </c>
      <c r="C1805" s="1077">
        <v>42728</v>
      </c>
      <c r="D1805" s="1077" t="s">
        <v>2305</v>
      </c>
      <c r="E1805" s="78">
        <f t="shared" si="150"/>
        <v>42728</v>
      </c>
      <c r="F1805" s="310" t="s">
        <v>1952</v>
      </c>
      <c r="G1805" s="1107"/>
      <c r="H1805" s="310" t="s">
        <v>3014</v>
      </c>
      <c r="I1805" s="406">
        <v>14360</v>
      </c>
      <c r="J1805" s="407">
        <v>17500</v>
      </c>
      <c r="K1805" s="1110"/>
      <c r="L1805" s="1109"/>
      <c r="M1805" s="81">
        <f t="shared" si="149"/>
        <v>251300000</v>
      </c>
      <c r="N1805" s="82" t="s">
        <v>268</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0" ht="15.75" customHeight="1">
      <c r="A1806" s="323"/>
      <c r="B1806" s="63">
        <f t="shared" si="148"/>
        <v>12</v>
      </c>
      <c r="C1806" s="1077">
        <v>42728</v>
      </c>
      <c r="D1806" s="1077" t="s">
        <v>2306</v>
      </c>
      <c r="E1806" s="78">
        <f t="shared" si="150"/>
        <v>42728</v>
      </c>
      <c r="F1806" s="310" t="s">
        <v>1952</v>
      </c>
      <c r="G1806" s="1107"/>
      <c r="H1806" s="310" t="s">
        <v>3016</v>
      </c>
      <c r="I1806" s="406">
        <v>14850</v>
      </c>
      <c r="J1806" s="407">
        <v>17500</v>
      </c>
      <c r="K1806" s="1110"/>
      <c r="L1806" s="1109"/>
      <c r="M1806" s="81">
        <f t="shared" si="149"/>
        <v>259875000</v>
      </c>
      <c r="N1806" s="82" t="s">
        <v>268</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0" ht="15.75" customHeight="1">
      <c r="A1807" s="323"/>
      <c r="B1807" s="63">
        <f t="shared" si="148"/>
        <v>12</v>
      </c>
      <c r="C1807" s="1077">
        <v>42728</v>
      </c>
      <c r="D1807" s="1077" t="s">
        <v>2307</v>
      </c>
      <c r="E1807" s="78">
        <f t="shared" si="150"/>
        <v>42728</v>
      </c>
      <c r="F1807" s="310" t="s">
        <v>1952</v>
      </c>
      <c r="G1807" s="1107"/>
      <c r="H1807" s="310" t="s">
        <v>3019</v>
      </c>
      <c r="I1807" s="406">
        <v>14450</v>
      </c>
      <c r="J1807" s="407">
        <v>17500</v>
      </c>
      <c r="K1807" s="1110"/>
      <c r="L1807" s="1109"/>
      <c r="M1807" s="81">
        <f t="shared" si="149"/>
        <v>252875000</v>
      </c>
      <c r="N1807" s="82" t="s">
        <v>268</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0" ht="15.75" customHeight="1">
      <c r="A1808" s="323"/>
      <c r="B1808" s="63">
        <f t="shared" si="148"/>
        <v>12</v>
      </c>
      <c r="C1808" s="1077">
        <v>42728</v>
      </c>
      <c r="D1808" s="1077" t="s">
        <v>2633</v>
      </c>
      <c r="E1808" s="78">
        <f t="shared" si="150"/>
        <v>42728</v>
      </c>
      <c r="F1808" s="310" t="s">
        <v>1952</v>
      </c>
      <c r="G1808" s="1107"/>
      <c r="H1808" s="310" t="s">
        <v>3020</v>
      </c>
      <c r="I1808" s="406">
        <v>14630</v>
      </c>
      <c r="J1808" s="407">
        <v>17500</v>
      </c>
      <c r="K1808" s="1110"/>
      <c r="L1808" s="1109"/>
      <c r="M1808" s="81">
        <f t="shared" si="149"/>
        <v>256025000</v>
      </c>
      <c r="N1808" s="82" t="s">
        <v>268</v>
      </c>
      <c r="O1808" s="82" t="s">
        <v>8</v>
      </c>
      <c r="P1808" s="82" t="str">
        <f>IF(AND('331-CT'!$E$7=TH!H1808,OR(N1808="331",O1808="331")),"x","")</f>
        <v>x</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0" ht="15.75" customHeight="1">
      <c r="A1809" s="1257"/>
      <c r="B1809" s="1258">
        <f t="shared" si="148"/>
        <v>12</v>
      </c>
      <c r="C1809" s="1259">
        <v>42730</v>
      </c>
      <c r="D1809" s="1259" t="s">
        <v>2634</v>
      </c>
      <c r="E1809" s="1260">
        <f t="shared" si="150"/>
        <v>42730</v>
      </c>
      <c r="F1809" s="1261" t="s">
        <v>1952</v>
      </c>
      <c r="G1809" s="1262"/>
      <c r="H1809" s="1261" t="s">
        <v>3015</v>
      </c>
      <c r="I1809" s="1238">
        <v>11220</v>
      </c>
      <c r="J1809" s="1263">
        <v>17000</v>
      </c>
      <c r="K1809" s="1264"/>
      <c r="L1809" s="1265"/>
      <c r="M1809" s="1266">
        <f t="shared" ref="M1809:M1831" si="151">ROUND(I1809*J1809,0)</f>
        <v>190740000</v>
      </c>
      <c r="N1809" s="1267" t="s">
        <v>268</v>
      </c>
      <c r="O1809" s="1267" t="s">
        <v>8</v>
      </c>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row>
    <row r="1810" spans="1:30" ht="15.75" customHeight="1">
      <c r="A1810" s="1257"/>
      <c r="B1810" s="1258">
        <f t="shared" si="148"/>
        <v>12</v>
      </c>
      <c r="C1810" s="1259">
        <v>42730</v>
      </c>
      <c r="D1810" s="1259" t="s">
        <v>2635</v>
      </c>
      <c r="E1810" s="1260">
        <f t="shared" si="150"/>
        <v>42730</v>
      </c>
      <c r="F1810" s="1261" t="s">
        <v>1952</v>
      </c>
      <c r="G1810" s="1262"/>
      <c r="H1810" s="1261" t="s">
        <v>3020</v>
      </c>
      <c r="I1810" s="1238">
        <v>10630</v>
      </c>
      <c r="J1810" s="1263">
        <v>17000</v>
      </c>
      <c r="K1810" s="1264"/>
      <c r="L1810" s="1265"/>
      <c r="M1810" s="1266">
        <f t="shared" si="151"/>
        <v>180710000</v>
      </c>
      <c r="N1810" s="1267" t="s">
        <v>268</v>
      </c>
      <c r="O1810" s="1267" t="s">
        <v>8</v>
      </c>
      <c r="P1810" s="82" t="str">
        <f>IF(AND('331-CT'!$E$7=TH!H1810,OR(N1810="331",O1810="331")),"x","")</f>
        <v>x</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row>
    <row r="1811" spans="1:30" ht="15.75" customHeight="1">
      <c r="A1811" s="1257"/>
      <c r="B1811" s="1258">
        <f t="shared" si="148"/>
        <v>12</v>
      </c>
      <c r="C1811" s="1259">
        <v>42730</v>
      </c>
      <c r="D1811" s="1259" t="s">
        <v>2636</v>
      </c>
      <c r="E1811" s="1260">
        <f t="shared" si="150"/>
        <v>42730</v>
      </c>
      <c r="F1811" s="1261" t="s">
        <v>1952</v>
      </c>
      <c r="G1811" s="1262"/>
      <c r="H1811" s="1261" t="s">
        <v>3017</v>
      </c>
      <c r="I1811" s="1238">
        <v>10080</v>
      </c>
      <c r="J1811" s="1263">
        <v>17000</v>
      </c>
      <c r="K1811" s="1264"/>
      <c r="L1811" s="1265"/>
      <c r="M1811" s="1266">
        <f t="shared" si="151"/>
        <v>171360000</v>
      </c>
      <c r="N1811" s="1267" t="s">
        <v>268</v>
      </c>
      <c r="O1811" s="1267" t="s">
        <v>8</v>
      </c>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row>
    <row r="1812" spans="1:30" ht="15.75" customHeight="1">
      <c r="A1812" s="1257"/>
      <c r="B1812" s="1258">
        <f t="shared" si="148"/>
        <v>12</v>
      </c>
      <c r="C1812" s="1259">
        <v>42730</v>
      </c>
      <c r="D1812" s="1259" t="s">
        <v>2637</v>
      </c>
      <c r="E1812" s="1260">
        <f t="shared" si="150"/>
        <v>42730</v>
      </c>
      <c r="F1812" s="1261" t="s">
        <v>1952</v>
      </c>
      <c r="G1812" s="1262"/>
      <c r="H1812" s="1261" t="s">
        <v>3018</v>
      </c>
      <c r="I1812" s="1238">
        <v>10257</v>
      </c>
      <c r="J1812" s="1263">
        <v>17000</v>
      </c>
      <c r="K1812" s="1264"/>
      <c r="L1812" s="1265"/>
      <c r="M1812" s="1266">
        <f t="shared" si="151"/>
        <v>174369000</v>
      </c>
      <c r="N1812" s="1267" t="s">
        <v>268</v>
      </c>
      <c r="O1812" s="1267" t="s">
        <v>8</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row>
    <row r="1813" spans="1:30" ht="15.75" customHeight="1">
      <c r="A1813" s="1257"/>
      <c r="B1813" s="1258">
        <f t="shared" si="148"/>
        <v>12</v>
      </c>
      <c r="C1813" s="1259">
        <v>42731</v>
      </c>
      <c r="D1813" s="1259" t="s">
        <v>2638</v>
      </c>
      <c r="E1813" s="1260">
        <f t="shared" si="150"/>
        <v>42731</v>
      </c>
      <c r="F1813" s="1261" t="s">
        <v>1952</v>
      </c>
      <c r="G1813" s="1262"/>
      <c r="H1813" s="1261" t="s">
        <v>3014</v>
      </c>
      <c r="I1813" s="1238">
        <v>10350</v>
      </c>
      <c r="J1813" s="1263">
        <v>17000</v>
      </c>
      <c r="K1813" s="1264"/>
      <c r="L1813" s="1265"/>
      <c r="M1813" s="1266">
        <f t="shared" si="151"/>
        <v>175950000</v>
      </c>
      <c r="N1813" s="1267" t="s">
        <v>268</v>
      </c>
      <c r="O1813" s="1267" t="s">
        <v>8</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row>
    <row r="1814" spans="1:30" ht="15.75" customHeight="1">
      <c r="A1814" s="1257"/>
      <c r="B1814" s="1258">
        <f t="shared" si="148"/>
        <v>12</v>
      </c>
      <c r="C1814" s="1259">
        <v>42731</v>
      </c>
      <c r="D1814" s="1259" t="s">
        <v>2639</v>
      </c>
      <c r="E1814" s="1260">
        <f t="shared" si="150"/>
        <v>42731</v>
      </c>
      <c r="F1814" s="1261" t="s">
        <v>1952</v>
      </c>
      <c r="G1814" s="1262"/>
      <c r="H1814" s="1261" t="s">
        <v>3016</v>
      </c>
      <c r="I1814" s="1238">
        <v>11053</v>
      </c>
      <c r="J1814" s="1263">
        <v>17000</v>
      </c>
      <c r="K1814" s="1264"/>
      <c r="L1814" s="1265"/>
      <c r="M1814" s="1266">
        <f t="shared" si="151"/>
        <v>187901000</v>
      </c>
      <c r="N1814" s="1267" t="s">
        <v>268</v>
      </c>
      <c r="O1814" s="1267" t="s">
        <v>8</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row>
    <row r="1815" spans="1:30" ht="15.75" customHeight="1">
      <c r="A1815" s="1257"/>
      <c r="B1815" s="1258">
        <f t="shared" si="148"/>
        <v>12</v>
      </c>
      <c r="C1815" s="1259">
        <v>42731</v>
      </c>
      <c r="D1815" s="1259" t="s">
        <v>2640</v>
      </c>
      <c r="E1815" s="1260">
        <f t="shared" si="150"/>
        <v>42731</v>
      </c>
      <c r="F1815" s="1261" t="s">
        <v>1952</v>
      </c>
      <c r="G1815" s="1262"/>
      <c r="H1815" s="1261" t="s">
        <v>3019</v>
      </c>
      <c r="I1815" s="1238">
        <v>10228</v>
      </c>
      <c r="J1815" s="1263">
        <v>17000</v>
      </c>
      <c r="K1815" s="1264"/>
      <c r="L1815" s="1265"/>
      <c r="M1815" s="1266">
        <f t="shared" si="151"/>
        <v>173876000</v>
      </c>
      <c r="N1815" s="1267" t="s">
        <v>268</v>
      </c>
      <c r="O1815" s="1267" t="s">
        <v>8</v>
      </c>
      <c r="P1815" s="82" t="str">
        <f>IF(AND('331-CT'!$E$7=TH!H1815,OR(N1815="331",O1815="331")),"x","")</f>
        <v/>
      </c>
      <c r="Q1815" s="82" t="str">
        <f>IF(AND(B1815='111'!$L$11,OR($N1815=$Q$7,$O1815=$Q$7)),"x","")</f>
        <v/>
      </c>
      <c r="R1815" s="82" t="str">
        <f>IF(AND($N1815=$Q$7,$B1815&lt;'111'!$L$11),"x","")</f>
        <v/>
      </c>
      <c r="S1815" s="82" t="str">
        <f>IF(AND($O1815=$Q$7,$B1815&lt;'111'!$L$11),"x","")</f>
        <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row>
    <row r="1816" spans="1:30" ht="15.75" customHeight="1">
      <c r="A1816" s="1257"/>
      <c r="B1816" s="1258">
        <f t="shared" si="148"/>
        <v>12</v>
      </c>
      <c r="C1816" s="1259">
        <v>42731</v>
      </c>
      <c r="D1816" s="1259" t="s">
        <v>2641</v>
      </c>
      <c r="E1816" s="1260">
        <f t="shared" si="150"/>
        <v>42731</v>
      </c>
      <c r="F1816" s="1261" t="s">
        <v>1952</v>
      </c>
      <c r="G1816" s="1262"/>
      <c r="H1816" s="1261" t="s">
        <v>3020</v>
      </c>
      <c r="I1816" s="1238">
        <v>10630</v>
      </c>
      <c r="J1816" s="1263">
        <v>17000</v>
      </c>
      <c r="K1816" s="1264"/>
      <c r="L1816" s="1265"/>
      <c r="M1816" s="1266">
        <f t="shared" si="151"/>
        <v>180710000</v>
      </c>
      <c r="N1816" s="1267" t="s">
        <v>268</v>
      </c>
      <c r="O1816" s="1267" t="s">
        <v>8</v>
      </c>
      <c r="P1816" s="82" t="str">
        <f>IF(AND('331-CT'!$E$7=TH!H1816,OR(N1816="331",O1816="331")),"x","")</f>
        <v>x</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row>
    <row r="1817" spans="1:30" ht="15" customHeight="1">
      <c r="A1817" s="1170"/>
      <c r="B1817" s="1199">
        <f t="shared" si="148"/>
        <v>12</v>
      </c>
      <c r="C1817" s="90">
        <v>42705</v>
      </c>
      <c r="D1817" s="90" t="s">
        <v>670</v>
      </c>
      <c r="E1817" s="90">
        <f t="shared" si="150"/>
        <v>42705</v>
      </c>
      <c r="F1817" s="91" t="s">
        <v>1952</v>
      </c>
      <c r="G1817" s="91"/>
      <c r="H1817" s="1153" t="s">
        <v>439</v>
      </c>
      <c r="I1817" s="414">
        <v>45</v>
      </c>
      <c r="J1817" s="1108">
        <v>18000</v>
      </c>
      <c r="K1817" s="405"/>
      <c r="L1817" s="414"/>
      <c r="M1817" s="93">
        <f t="shared" si="151"/>
        <v>810000</v>
      </c>
      <c r="N1817" s="83" t="s">
        <v>276</v>
      </c>
      <c r="O1817" s="83" t="s">
        <v>268</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customHeight="1">
      <c r="A1818" s="1170"/>
      <c r="B1818" s="1199">
        <f t="shared" si="148"/>
        <v>12</v>
      </c>
      <c r="C1818" s="90">
        <v>42705</v>
      </c>
      <c r="D1818" s="90" t="s">
        <v>677</v>
      </c>
      <c r="E1818" s="90">
        <f t="shared" si="150"/>
        <v>42705</v>
      </c>
      <c r="F1818" s="91" t="s">
        <v>2831</v>
      </c>
      <c r="G1818" s="91"/>
      <c r="H1818" s="1153" t="s">
        <v>439</v>
      </c>
      <c r="I1818" s="414">
        <v>600</v>
      </c>
      <c r="J1818" s="1108">
        <v>32000</v>
      </c>
      <c r="K1818" s="405"/>
      <c r="L1818" s="414"/>
      <c r="M1818" s="93">
        <f t="shared" si="151"/>
        <v>19200000</v>
      </c>
      <c r="N1818" s="83" t="s">
        <v>276</v>
      </c>
      <c r="O1818" s="83" t="s">
        <v>268</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customHeight="1">
      <c r="A1819" s="1170"/>
      <c r="B1819" s="1199">
        <f t="shared" si="148"/>
        <v>12</v>
      </c>
      <c r="C1819" s="90">
        <v>42705</v>
      </c>
      <c r="D1819" s="90" t="s">
        <v>678</v>
      </c>
      <c r="E1819" s="90">
        <f t="shared" si="150"/>
        <v>42705</v>
      </c>
      <c r="F1819" s="91" t="s">
        <v>2832</v>
      </c>
      <c r="G1819" s="91"/>
      <c r="H1819" s="1153" t="s">
        <v>439</v>
      </c>
      <c r="I1819" s="414">
        <v>660</v>
      </c>
      <c r="J1819" s="1108">
        <v>35000</v>
      </c>
      <c r="K1819" s="405"/>
      <c r="L1819" s="414"/>
      <c r="M1819" s="93">
        <f t="shared" si="151"/>
        <v>23100000</v>
      </c>
      <c r="N1819" s="83" t="s">
        <v>276</v>
      </c>
      <c r="O1819" s="83" t="s">
        <v>268</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customHeight="1">
      <c r="A1820" s="1170"/>
      <c r="B1820" s="1199">
        <f t="shared" si="148"/>
        <v>12</v>
      </c>
      <c r="C1820" s="90">
        <v>42705</v>
      </c>
      <c r="D1820" s="90" t="s">
        <v>679</v>
      </c>
      <c r="E1820" s="90">
        <f t="shared" si="150"/>
        <v>42705</v>
      </c>
      <c r="F1820" s="91" t="s">
        <v>2225</v>
      </c>
      <c r="G1820" s="91"/>
      <c r="H1820" s="1153" t="s">
        <v>439</v>
      </c>
      <c r="I1820" s="414">
        <v>2530</v>
      </c>
      <c r="J1820" s="1108">
        <v>26000</v>
      </c>
      <c r="K1820" s="405"/>
      <c r="L1820" s="414"/>
      <c r="M1820" s="93">
        <f t="shared" si="151"/>
        <v>65780000</v>
      </c>
      <c r="N1820" s="83" t="s">
        <v>276</v>
      </c>
      <c r="O1820" s="83" t="s">
        <v>268</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customHeight="1">
      <c r="A1821" s="1170"/>
      <c r="B1821" s="1199">
        <f t="shared" si="148"/>
        <v>12</v>
      </c>
      <c r="C1821" s="90">
        <v>42705</v>
      </c>
      <c r="D1821" s="90" t="s">
        <v>680</v>
      </c>
      <c r="E1821" s="90">
        <f t="shared" si="150"/>
        <v>42705</v>
      </c>
      <c r="F1821" s="91" t="s">
        <v>2833</v>
      </c>
      <c r="G1821" s="91"/>
      <c r="H1821" s="1153" t="s">
        <v>439</v>
      </c>
      <c r="I1821" s="414">
        <v>300</v>
      </c>
      <c r="J1821" s="1108">
        <v>9000</v>
      </c>
      <c r="K1821" s="405"/>
      <c r="L1821" s="414"/>
      <c r="M1821" s="93">
        <f t="shared" si="151"/>
        <v>2700000</v>
      </c>
      <c r="N1821" s="83" t="s">
        <v>276</v>
      </c>
      <c r="O1821" s="83" t="s">
        <v>268</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customHeight="1">
      <c r="A1822" s="1170"/>
      <c r="B1822" s="1199">
        <f t="shared" si="148"/>
        <v>12</v>
      </c>
      <c r="C1822" s="90">
        <v>42705</v>
      </c>
      <c r="D1822" s="90" t="s">
        <v>681</v>
      </c>
      <c r="E1822" s="90">
        <f t="shared" si="150"/>
        <v>42705</v>
      </c>
      <c r="F1822" s="91" t="s">
        <v>1936</v>
      </c>
      <c r="G1822" s="91"/>
      <c r="H1822" s="92" t="s">
        <v>439</v>
      </c>
      <c r="I1822" s="414">
        <v>175</v>
      </c>
      <c r="J1822" s="1108">
        <v>151000</v>
      </c>
      <c r="K1822" s="405"/>
      <c r="L1822" s="414"/>
      <c r="M1822" s="93">
        <f t="shared" si="151"/>
        <v>26425000</v>
      </c>
      <c r="N1822" s="83" t="s">
        <v>276</v>
      </c>
      <c r="O1822" s="83" t="s">
        <v>268</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customHeight="1">
      <c r="A1823" s="1170"/>
      <c r="B1823" s="1199">
        <f t="shared" si="148"/>
        <v>12</v>
      </c>
      <c r="C1823" s="90">
        <v>42705</v>
      </c>
      <c r="D1823" s="90" t="s">
        <v>928</v>
      </c>
      <c r="E1823" s="90">
        <f t="shared" si="150"/>
        <v>42705</v>
      </c>
      <c r="F1823" s="91" t="s">
        <v>2834</v>
      </c>
      <c r="G1823" s="91"/>
      <c r="H1823" s="92" t="s">
        <v>439</v>
      </c>
      <c r="I1823" s="414">
        <v>11</v>
      </c>
      <c r="J1823" s="1108">
        <v>105000</v>
      </c>
      <c r="K1823" s="405"/>
      <c r="L1823" s="414"/>
      <c r="M1823" s="93">
        <f t="shared" si="151"/>
        <v>1155000</v>
      </c>
      <c r="N1823" s="83" t="s">
        <v>276</v>
      </c>
      <c r="O1823" s="83" t="s">
        <v>268</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customHeight="1">
      <c r="A1824" s="323" t="str">
        <f>IF(B1824&lt;&gt;"",IF(AND(B1824='IN-TC'!$S$4,OR(TH!N974="1111",TH!O974="1111")),TH!D974,""),"")</f>
        <v/>
      </c>
      <c r="B1824" s="63">
        <f t="shared" si="148"/>
        <v>11</v>
      </c>
      <c r="C1824" s="1336">
        <f>E1824</f>
        <v>42679</v>
      </c>
      <c r="D1824" s="64" t="s">
        <v>675</v>
      </c>
      <c r="E1824" s="64">
        <v>42679</v>
      </c>
      <c r="F1824" s="1180" t="s">
        <v>2495</v>
      </c>
      <c r="G1824" s="91" t="s">
        <v>2311</v>
      </c>
      <c r="H1824" s="72" t="s">
        <v>1198</v>
      </c>
      <c r="I1824" s="1185">
        <v>2000</v>
      </c>
      <c r="J1824" s="1185">
        <v>4500</v>
      </c>
      <c r="K1824" s="401"/>
      <c r="L1824" s="410"/>
      <c r="M1824" s="65">
        <f t="shared" si="151"/>
        <v>9000000</v>
      </c>
      <c r="N1824" s="66" t="s">
        <v>276</v>
      </c>
      <c r="O1824" s="66" t="s">
        <v>270</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x</v>
      </c>
      <c r="AC1824" s="82" t="str">
        <f>IF(AND(OR(LEFT(TH!N1824,2)="15",LEFT(TH!O1824,2)="15"),TK!$E$7=TH!F1824),"x","")</f>
        <v/>
      </c>
      <c r="AD1824" s="82" t="str">
        <f>IF(AND(N1824="1521",MONTH(C1824)='BK-NL'!$M$11),"x","")</f>
        <v/>
      </c>
    </row>
    <row r="1825" spans="1:31" ht="15.75" customHeight="1">
      <c r="A1825" s="1170"/>
      <c r="B1825" s="1199">
        <f t="shared" si="148"/>
        <v>12</v>
      </c>
      <c r="C1825" s="1087">
        <v>42705</v>
      </c>
      <c r="D1825" s="1087" t="s">
        <v>930</v>
      </c>
      <c r="E1825" s="90">
        <f>C1825</f>
        <v>42705</v>
      </c>
      <c r="F1825" s="1153" t="s">
        <v>1952</v>
      </c>
      <c r="G1825" s="1155"/>
      <c r="H1825" s="1153" t="s">
        <v>2830</v>
      </c>
      <c r="I1825" s="414">
        <v>73090</v>
      </c>
      <c r="J1825" s="1108">
        <v>17500</v>
      </c>
      <c r="K1825" s="1110"/>
      <c r="L1825" s="1109"/>
      <c r="M1825" s="93">
        <f t="shared" si="151"/>
        <v>1279075000</v>
      </c>
      <c r="N1825" s="83" t="s">
        <v>276</v>
      </c>
      <c r="O1825" s="83" t="s">
        <v>268</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1" ht="15.75" customHeight="1">
      <c r="A1826" s="1170"/>
      <c r="B1826" s="1199">
        <f t="shared" si="148"/>
        <v>12</v>
      </c>
      <c r="C1826" s="1087">
        <v>42706</v>
      </c>
      <c r="D1826" s="1087" t="s">
        <v>931</v>
      </c>
      <c r="E1826" s="90">
        <f>C1826</f>
        <v>42706</v>
      </c>
      <c r="F1826" s="1153" t="s">
        <v>1952</v>
      </c>
      <c r="G1826" s="1155"/>
      <c r="H1826" s="1153" t="s">
        <v>2830</v>
      </c>
      <c r="I1826" s="414">
        <v>72544</v>
      </c>
      <c r="J1826" s="1108">
        <v>17500</v>
      </c>
      <c r="K1826" s="1110"/>
      <c r="L1826" s="1109"/>
      <c r="M1826" s="93">
        <f t="shared" si="151"/>
        <v>1269520000</v>
      </c>
      <c r="N1826" s="83" t="s">
        <v>276</v>
      </c>
      <c r="O1826" s="83" t="s">
        <v>268</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1" ht="15.75" customHeight="1">
      <c r="A1827" s="1170"/>
      <c r="B1827" s="1199">
        <f t="shared" si="148"/>
        <v>12</v>
      </c>
      <c r="C1827" s="1087">
        <v>42707</v>
      </c>
      <c r="D1827" s="1087" t="s">
        <v>2263</v>
      </c>
      <c r="E1827" s="90">
        <f>C1827</f>
        <v>42707</v>
      </c>
      <c r="F1827" s="1153" t="s">
        <v>1952</v>
      </c>
      <c r="G1827" s="1155"/>
      <c r="H1827" s="1153" t="s">
        <v>439</v>
      </c>
      <c r="I1827" s="414">
        <v>58730</v>
      </c>
      <c r="J1827" s="1108">
        <v>17500</v>
      </c>
      <c r="K1827" s="1110"/>
      <c r="L1827" s="1109"/>
      <c r="M1827" s="93">
        <f t="shared" si="151"/>
        <v>1027775000</v>
      </c>
      <c r="N1827" s="83" t="s">
        <v>276</v>
      </c>
      <c r="O1827" s="83" t="s">
        <v>268</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1" ht="15.75" customHeight="1">
      <c r="A1828" s="1170"/>
      <c r="B1828" s="1199">
        <f t="shared" si="148"/>
        <v>11</v>
      </c>
      <c r="C1828" s="1087">
        <v>42681</v>
      </c>
      <c r="D1828" s="1087" t="s">
        <v>2266</v>
      </c>
      <c r="E1828" s="90">
        <f>C1828</f>
        <v>42681</v>
      </c>
      <c r="F1828" s="1153" t="s">
        <v>1952</v>
      </c>
      <c r="G1828" s="1155" t="s">
        <v>2311</v>
      </c>
      <c r="H1828" s="1153" t="s">
        <v>1198</v>
      </c>
      <c r="I1828" s="406">
        <v>39000</v>
      </c>
      <c r="J1828" s="1108">
        <v>18000</v>
      </c>
      <c r="K1828" s="1110"/>
      <c r="L1828" s="1109"/>
      <c r="M1828" s="93">
        <f t="shared" si="151"/>
        <v>702000000</v>
      </c>
      <c r="N1828" s="83" t="s">
        <v>276</v>
      </c>
      <c r="O1828" s="83" t="s">
        <v>268</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1" ht="15.75" customHeight="1">
      <c r="A1829" s="1170"/>
      <c r="B1829" s="1199">
        <f t="shared" si="148"/>
        <v>12</v>
      </c>
      <c r="C1829" s="1087">
        <v>42709</v>
      </c>
      <c r="D1829" s="1087" t="s">
        <v>2265</v>
      </c>
      <c r="E1829" s="90">
        <f>C1829</f>
        <v>42709</v>
      </c>
      <c r="F1829" s="1153" t="s">
        <v>1952</v>
      </c>
      <c r="G1829" s="1155"/>
      <c r="H1829" s="1153" t="s">
        <v>439</v>
      </c>
      <c r="I1829" s="414">
        <v>73560</v>
      </c>
      <c r="J1829" s="1108">
        <v>17500</v>
      </c>
      <c r="K1829" s="1110"/>
      <c r="L1829" s="1109"/>
      <c r="M1829" s="93">
        <f t="shared" si="151"/>
        <v>1287300000</v>
      </c>
      <c r="N1829" s="83" t="s">
        <v>276</v>
      </c>
      <c r="O1829" s="83" t="s">
        <v>268</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1" ht="15.75" customHeight="1">
      <c r="A1830" s="323" t="str">
        <f>IF(B1830&lt;&gt;"",IF(AND(B1830='IN-TC'!$S$4,OR(TH!N2101="1111",TH!O2101="1111")),TH!D2101,""),"")</f>
        <v/>
      </c>
      <c r="B1830" s="63">
        <f t="shared" si="148"/>
        <v>11</v>
      </c>
      <c r="C1830" s="78">
        <v>42681</v>
      </c>
      <c r="D1830" s="78" t="s">
        <v>570</v>
      </c>
      <c r="E1830" s="78">
        <v>42681</v>
      </c>
      <c r="F1830" s="80" t="s">
        <v>2277</v>
      </c>
      <c r="G1830" s="934" t="s">
        <v>2279</v>
      </c>
      <c r="H1830" s="80" t="s">
        <v>1198</v>
      </c>
      <c r="I1830" s="406">
        <v>26000</v>
      </c>
      <c r="J1830" s="406">
        <v>10000</v>
      </c>
      <c r="K1830" s="397"/>
      <c r="L1830" s="406"/>
      <c r="M1830" s="81">
        <f t="shared" si="151"/>
        <v>260000000</v>
      </c>
      <c r="N1830" s="82" t="s">
        <v>276</v>
      </c>
      <c r="O1830" s="82" t="s">
        <v>8</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c r="AE1830">
        <v>1</v>
      </c>
    </row>
    <row r="1831" spans="1:31" ht="15.75" customHeight="1">
      <c r="A1831" s="1170"/>
      <c r="B1831" s="1199">
        <f t="shared" si="148"/>
        <v>12</v>
      </c>
      <c r="C1831" s="1087">
        <v>42710</v>
      </c>
      <c r="D1831" s="1087" t="s">
        <v>2267</v>
      </c>
      <c r="E1831" s="90">
        <f>C1831</f>
        <v>42710</v>
      </c>
      <c r="F1831" s="1153" t="s">
        <v>1952</v>
      </c>
      <c r="G1831" s="1155"/>
      <c r="H1831" s="1153" t="s">
        <v>439</v>
      </c>
      <c r="I1831" s="414">
        <v>66127</v>
      </c>
      <c r="J1831" s="1108">
        <v>17500</v>
      </c>
      <c r="K1831" s="1110"/>
      <c r="L1831" s="1109"/>
      <c r="M1831" s="93">
        <f t="shared" si="151"/>
        <v>1157222500</v>
      </c>
      <c r="N1831" s="83" t="s">
        <v>276</v>
      </c>
      <c r="O1831" s="83" t="s">
        <v>268</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1" ht="15.75" customHeight="1">
      <c r="A1832" s="323" t="str">
        <f>IF(B1832&lt;&gt;"",IF(AND(B1832='IN-TC'!$S$4,OR(TH!N2102="1111",TH!O2102="1111")),TH!D2102,""),"")</f>
        <v/>
      </c>
      <c r="B1832" s="63">
        <f t="shared" si="148"/>
        <v>11</v>
      </c>
      <c r="C1832" s="78">
        <v>42681</v>
      </c>
      <c r="D1832" s="78" t="s">
        <v>570</v>
      </c>
      <c r="E1832" s="78">
        <v>42681</v>
      </c>
      <c r="F1832" s="80" t="s">
        <v>2281</v>
      </c>
      <c r="G1832" s="934" t="s">
        <v>2279</v>
      </c>
      <c r="H1832" s="80" t="s">
        <v>1198</v>
      </c>
      <c r="I1832" s="406"/>
      <c r="J1832" s="406"/>
      <c r="K1832" s="397"/>
      <c r="L1832" s="406"/>
      <c r="M1832" s="81">
        <v>26000000</v>
      </c>
      <c r="N1832" s="82" t="s">
        <v>9</v>
      </c>
      <c r="O1832" s="82" t="s">
        <v>8</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x</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c r="AE1832">
        <v>1</v>
      </c>
    </row>
    <row r="1833" spans="1:31" ht="15.75" customHeight="1">
      <c r="A1833" s="1170"/>
      <c r="B1833" s="1199">
        <f t="shared" si="148"/>
        <v>12</v>
      </c>
      <c r="C1833" s="1087">
        <v>42711</v>
      </c>
      <c r="D1833" s="1087" t="s">
        <v>2269</v>
      </c>
      <c r="E1833" s="90">
        <f t="shared" ref="E1833:E1854" si="152">C1833</f>
        <v>42711</v>
      </c>
      <c r="F1833" s="1153" t="s">
        <v>1952</v>
      </c>
      <c r="G1833" s="1155"/>
      <c r="H1833" s="1153" t="s">
        <v>439</v>
      </c>
      <c r="I1833" s="414">
        <v>58291</v>
      </c>
      <c r="J1833" s="1108">
        <v>17500</v>
      </c>
      <c r="K1833" s="1110"/>
      <c r="L1833" s="1109"/>
      <c r="M1833" s="93">
        <f t="shared" ref="M1833:M1854" si="153">ROUND(I1833*J1833,0)</f>
        <v>1020092500</v>
      </c>
      <c r="N1833" s="83" t="s">
        <v>276</v>
      </c>
      <c r="O1833" s="83" t="s">
        <v>268</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1" ht="15.75" customHeight="1">
      <c r="A1834" s="1170"/>
      <c r="B1834" s="1199">
        <f t="shared" si="148"/>
        <v>12</v>
      </c>
      <c r="C1834" s="1087">
        <v>42712</v>
      </c>
      <c r="D1834" s="1087" t="s">
        <v>2270</v>
      </c>
      <c r="E1834" s="90">
        <f t="shared" si="152"/>
        <v>42712</v>
      </c>
      <c r="F1834" s="1153" t="s">
        <v>1952</v>
      </c>
      <c r="G1834" s="1155"/>
      <c r="H1834" s="1153" t="s">
        <v>439</v>
      </c>
      <c r="I1834" s="414">
        <v>72974</v>
      </c>
      <c r="J1834" s="1108">
        <v>17500</v>
      </c>
      <c r="K1834" s="1110"/>
      <c r="L1834" s="1109"/>
      <c r="M1834" s="93">
        <f t="shared" si="153"/>
        <v>1277045000</v>
      </c>
      <c r="N1834" s="83" t="s">
        <v>276</v>
      </c>
      <c r="O1834" s="83" t="s">
        <v>268</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1" ht="15.75" customHeight="1">
      <c r="A1835" s="1170"/>
      <c r="B1835" s="1199">
        <f t="shared" si="148"/>
        <v>12</v>
      </c>
      <c r="C1835" s="1087">
        <v>42713</v>
      </c>
      <c r="D1835" s="1087" t="s">
        <v>2840</v>
      </c>
      <c r="E1835" s="90">
        <f t="shared" si="152"/>
        <v>42713</v>
      </c>
      <c r="F1835" s="1153" t="s">
        <v>1952</v>
      </c>
      <c r="G1835" s="1155"/>
      <c r="H1835" s="1153" t="s">
        <v>439</v>
      </c>
      <c r="I1835" s="414">
        <v>72444</v>
      </c>
      <c r="J1835" s="1108">
        <v>17500</v>
      </c>
      <c r="K1835" s="1110"/>
      <c r="L1835" s="1109"/>
      <c r="M1835" s="93">
        <f t="shared" si="153"/>
        <v>1267770000</v>
      </c>
      <c r="N1835" s="83" t="s">
        <v>276</v>
      </c>
      <c r="O1835" s="83" t="s">
        <v>268</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1" ht="15.75" customHeight="1">
      <c r="A1836" s="1170"/>
      <c r="B1836" s="1199">
        <f t="shared" si="148"/>
        <v>12</v>
      </c>
      <c r="C1836" s="1087">
        <v>42714</v>
      </c>
      <c r="D1836" s="1087" t="s">
        <v>2841</v>
      </c>
      <c r="E1836" s="90">
        <f t="shared" si="152"/>
        <v>42714</v>
      </c>
      <c r="F1836" s="1153" t="s">
        <v>1952</v>
      </c>
      <c r="G1836" s="1155"/>
      <c r="H1836" s="1153" t="s">
        <v>439</v>
      </c>
      <c r="I1836" s="414">
        <v>72960</v>
      </c>
      <c r="J1836" s="1108">
        <v>17500</v>
      </c>
      <c r="K1836" s="1110"/>
      <c r="L1836" s="1109"/>
      <c r="M1836" s="93">
        <f t="shared" si="153"/>
        <v>1276800000</v>
      </c>
      <c r="N1836" s="83" t="s">
        <v>276</v>
      </c>
      <c r="O1836" s="83" t="s">
        <v>268</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1" ht="15.75" customHeight="1">
      <c r="A1837" s="1170"/>
      <c r="B1837" s="1199">
        <f t="shared" si="148"/>
        <v>12</v>
      </c>
      <c r="C1837" s="1087">
        <v>42716</v>
      </c>
      <c r="D1837" s="1087" t="s">
        <v>2842</v>
      </c>
      <c r="E1837" s="90">
        <f t="shared" si="152"/>
        <v>42716</v>
      </c>
      <c r="F1837" s="1153" t="s">
        <v>1952</v>
      </c>
      <c r="G1837" s="1155"/>
      <c r="H1837" s="1153" t="s">
        <v>439</v>
      </c>
      <c r="I1837" s="414">
        <v>73360</v>
      </c>
      <c r="J1837" s="1108">
        <v>17500</v>
      </c>
      <c r="K1837" s="1110"/>
      <c r="L1837" s="1109"/>
      <c r="M1837" s="93">
        <f t="shared" si="153"/>
        <v>1283800000</v>
      </c>
      <c r="N1837" s="83" t="s">
        <v>276</v>
      </c>
      <c r="O1837" s="83" t="s">
        <v>268</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1" ht="15.75" customHeight="1">
      <c r="A1838" s="1170"/>
      <c r="B1838" s="1199">
        <f t="shared" ref="B1838:B1901" si="154">IF(C1838&lt;&gt;"",MONTH(C1838),"")</f>
        <v>12</v>
      </c>
      <c r="C1838" s="1087">
        <v>42716</v>
      </c>
      <c r="D1838" s="1087" t="s">
        <v>2308</v>
      </c>
      <c r="E1838" s="90">
        <f t="shared" si="152"/>
        <v>42716</v>
      </c>
      <c r="F1838" s="1153" t="s">
        <v>2225</v>
      </c>
      <c r="G1838" s="1155"/>
      <c r="H1838" s="1153" t="s">
        <v>2835</v>
      </c>
      <c r="I1838" s="414">
        <v>13195</v>
      </c>
      <c r="J1838" s="1108">
        <v>25000</v>
      </c>
      <c r="K1838" s="1110"/>
      <c r="L1838" s="1109"/>
      <c r="M1838" s="93">
        <f t="shared" si="153"/>
        <v>329875000</v>
      </c>
      <c r="N1838" s="83" t="s">
        <v>276</v>
      </c>
      <c r="O1838" s="83" t="s">
        <v>268</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1" ht="15.75" customHeight="1">
      <c r="A1839" s="1170"/>
      <c r="B1839" s="1199">
        <f t="shared" si="154"/>
        <v>12</v>
      </c>
      <c r="C1839" s="1087">
        <v>42717</v>
      </c>
      <c r="D1839" s="1087" t="s">
        <v>2309</v>
      </c>
      <c r="E1839" s="90">
        <f t="shared" si="152"/>
        <v>42717</v>
      </c>
      <c r="F1839" s="1153" t="s">
        <v>2836</v>
      </c>
      <c r="G1839" s="1155"/>
      <c r="H1839" s="1153" t="s">
        <v>2835</v>
      </c>
      <c r="I1839" s="414">
        <v>3440</v>
      </c>
      <c r="J1839" s="1108">
        <v>17500</v>
      </c>
      <c r="K1839" s="1110"/>
      <c r="L1839" s="1109"/>
      <c r="M1839" s="93">
        <f t="shared" si="153"/>
        <v>60200000</v>
      </c>
      <c r="N1839" s="83" t="s">
        <v>276</v>
      </c>
      <c r="O1839" s="83" t="s">
        <v>268</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1" ht="15.75" customHeight="1">
      <c r="A1840" s="1170"/>
      <c r="B1840" s="1199">
        <f t="shared" si="154"/>
        <v>12</v>
      </c>
      <c r="C1840" s="1087">
        <v>42717</v>
      </c>
      <c r="D1840" s="1087" t="s">
        <v>2843</v>
      </c>
      <c r="E1840" s="90">
        <f t="shared" si="152"/>
        <v>42717</v>
      </c>
      <c r="F1840" s="1153" t="s">
        <v>1951</v>
      </c>
      <c r="G1840" s="1155"/>
      <c r="H1840" s="1153" t="s">
        <v>2835</v>
      </c>
      <c r="I1840" s="414">
        <v>20000</v>
      </c>
      <c r="J1840" s="1108">
        <v>28000</v>
      </c>
      <c r="K1840" s="1110"/>
      <c r="L1840" s="1109"/>
      <c r="M1840" s="93">
        <f t="shared" si="153"/>
        <v>560000000</v>
      </c>
      <c r="N1840" s="83" t="s">
        <v>276</v>
      </c>
      <c r="O1840" s="83" t="s">
        <v>268</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customHeight="1">
      <c r="A1841" s="1170"/>
      <c r="B1841" s="1199">
        <f t="shared" si="154"/>
        <v>12</v>
      </c>
      <c r="C1841" s="1087">
        <v>42717</v>
      </c>
      <c r="D1841" s="1087" t="s">
        <v>2844</v>
      </c>
      <c r="E1841" s="90">
        <f t="shared" si="152"/>
        <v>42717</v>
      </c>
      <c r="F1841" s="1153" t="s">
        <v>1952</v>
      </c>
      <c r="G1841" s="1155"/>
      <c r="H1841" s="1153" t="s">
        <v>439</v>
      </c>
      <c r="I1841" s="414">
        <v>72980</v>
      </c>
      <c r="J1841" s="1108">
        <v>17500</v>
      </c>
      <c r="K1841" s="1110"/>
      <c r="L1841" s="1109"/>
      <c r="M1841" s="93">
        <f t="shared" si="153"/>
        <v>1277150000</v>
      </c>
      <c r="N1841" s="83" t="s">
        <v>276</v>
      </c>
      <c r="O1841" s="83" t="s">
        <v>268</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customHeight="1">
      <c r="A1842" s="1170"/>
      <c r="B1842" s="1199">
        <f t="shared" si="154"/>
        <v>12</v>
      </c>
      <c r="C1842" s="1087">
        <v>42718</v>
      </c>
      <c r="D1842" s="1087" t="s">
        <v>2310</v>
      </c>
      <c r="E1842" s="90">
        <f t="shared" si="152"/>
        <v>42718</v>
      </c>
      <c r="F1842" s="1153" t="s">
        <v>1952</v>
      </c>
      <c r="G1842" s="1155"/>
      <c r="H1842" s="1153" t="s">
        <v>439</v>
      </c>
      <c r="I1842" s="414">
        <v>72974</v>
      </c>
      <c r="J1842" s="1108">
        <v>17500</v>
      </c>
      <c r="K1842" s="1110"/>
      <c r="L1842" s="1109"/>
      <c r="M1842" s="93">
        <f t="shared" si="153"/>
        <v>1277045000</v>
      </c>
      <c r="N1842" s="83" t="s">
        <v>276</v>
      </c>
      <c r="O1842" s="83" t="s">
        <v>268</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customHeight="1">
      <c r="A1843" s="1170"/>
      <c r="B1843" s="1199">
        <f t="shared" si="154"/>
        <v>12</v>
      </c>
      <c r="C1843" s="1087">
        <v>42719</v>
      </c>
      <c r="D1843" s="1087" t="s">
        <v>2845</v>
      </c>
      <c r="E1843" s="90">
        <f t="shared" si="152"/>
        <v>42719</v>
      </c>
      <c r="F1843" s="1153" t="s">
        <v>1952</v>
      </c>
      <c r="G1843" s="1155"/>
      <c r="H1843" s="1153" t="s">
        <v>439</v>
      </c>
      <c r="I1843" s="414">
        <v>57915</v>
      </c>
      <c r="J1843" s="1108">
        <v>17500</v>
      </c>
      <c r="K1843" s="1110"/>
      <c r="L1843" s="1109"/>
      <c r="M1843" s="93">
        <f t="shared" si="153"/>
        <v>1013512500</v>
      </c>
      <c r="N1843" s="83" t="s">
        <v>276</v>
      </c>
      <c r="O1843" s="83" t="s">
        <v>268</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customHeight="1">
      <c r="A1844" s="1170"/>
      <c r="B1844" s="1199">
        <f t="shared" si="154"/>
        <v>12</v>
      </c>
      <c r="C1844" s="1087">
        <v>42720</v>
      </c>
      <c r="D1844" s="1087" t="s">
        <v>2846</v>
      </c>
      <c r="E1844" s="90">
        <f t="shared" si="152"/>
        <v>42720</v>
      </c>
      <c r="F1844" s="1153" t="s">
        <v>1952</v>
      </c>
      <c r="G1844" s="1155"/>
      <c r="H1844" s="1153" t="s">
        <v>439</v>
      </c>
      <c r="I1844" s="414">
        <v>72740</v>
      </c>
      <c r="J1844" s="1108">
        <v>17500</v>
      </c>
      <c r="K1844" s="1110"/>
      <c r="L1844" s="1109"/>
      <c r="M1844" s="93">
        <f t="shared" si="153"/>
        <v>1272950000</v>
      </c>
      <c r="N1844" s="83" t="s">
        <v>276</v>
      </c>
      <c r="O1844" s="83" t="s">
        <v>268</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customHeight="1">
      <c r="A1845" s="1170"/>
      <c r="B1845" s="1199">
        <f t="shared" si="154"/>
        <v>12</v>
      </c>
      <c r="C1845" s="1087">
        <v>42721</v>
      </c>
      <c r="D1845" s="1087" t="s">
        <v>2847</v>
      </c>
      <c r="E1845" s="90">
        <f t="shared" si="152"/>
        <v>42721</v>
      </c>
      <c r="F1845" s="1153" t="s">
        <v>1952</v>
      </c>
      <c r="G1845" s="1155"/>
      <c r="H1845" s="1153" t="s">
        <v>439</v>
      </c>
      <c r="I1845" s="414">
        <v>73180</v>
      </c>
      <c r="J1845" s="1108">
        <v>17500</v>
      </c>
      <c r="K1845" s="1110"/>
      <c r="L1845" s="1109"/>
      <c r="M1845" s="93">
        <f t="shared" si="153"/>
        <v>1280650000</v>
      </c>
      <c r="N1845" s="83" t="s">
        <v>276</v>
      </c>
      <c r="O1845" s="83" t="s">
        <v>268</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customHeight="1">
      <c r="A1846" s="1170"/>
      <c r="B1846" s="1199">
        <f t="shared" si="154"/>
        <v>12</v>
      </c>
      <c r="C1846" s="1087">
        <v>42723</v>
      </c>
      <c r="D1846" s="1087" t="s">
        <v>2848</v>
      </c>
      <c r="E1846" s="90">
        <f t="shared" si="152"/>
        <v>42723</v>
      </c>
      <c r="F1846" s="1153" t="s">
        <v>1952</v>
      </c>
      <c r="G1846" s="1155"/>
      <c r="H1846" s="1153" t="s">
        <v>439</v>
      </c>
      <c r="I1846" s="414">
        <v>73160</v>
      </c>
      <c r="J1846" s="1108">
        <v>17500</v>
      </c>
      <c r="K1846" s="1110"/>
      <c r="L1846" s="1109"/>
      <c r="M1846" s="93">
        <f t="shared" si="153"/>
        <v>1280300000</v>
      </c>
      <c r="N1846" s="83" t="s">
        <v>276</v>
      </c>
      <c r="O1846" s="83" t="s">
        <v>268</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customHeight="1">
      <c r="A1847" s="1170"/>
      <c r="B1847" s="1199">
        <f t="shared" si="154"/>
        <v>12</v>
      </c>
      <c r="C1847" s="1087">
        <v>42724</v>
      </c>
      <c r="D1847" s="1087" t="s">
        <v>2849</v>
      </c>
      <c r="E1847" s="90">
        <f t="shared" si="152"/>
        <v>42724</v>
      </c>
      <c r="F1847" s="1153" t="s">
        <v>1952</v>
      </c>
      <c r="G1847" s="1155"/>
      <c r="H1847" s="1153" t="s">
        <v>439</v>
      </c>
      <c r="I1847" s="414">
        <v>72994</v>
      </c>
      <c r="J1847" s="1108">
        <v>17500</v>
      </c>
      <c r="K1847" s="1110"/>
      <c r="L1847" s="1109"/>
      <c r="M1847" s="93">
        <f t="shared" si="153"/>
        <v>1277395000</v>
      </c>
      <c r="N1847" s="83" t="s">
        <v>276</v>
      </c>
      <c r="O1847" s="83" t="s">
        <v>268</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customHeight="1">
      <c r="A1848" s="1170"/>
      <c r="B1848" s="1199">
        <f t="shared" si="154"/>
        <v>12</v>
      </c>
      <c r="C1848" s="1087">
        <v>42725</v>
      </c>
      <c r="D1848" s="1087" t="s">
        <v>2850</v>
      </c>
      <c r="E1848" s="90">
        <f t="shared" si="152"/>
        <v>42725</v>
      </c>
      <c r="F1848" s="1153" t="s">
        <v>1952</v>
      </c>
      <c r="G1848" s="1155"/>
      <c r="H1848" s="1153" t="s">
        <v>439</v>
      </c>
      <c r="I1848" s="414">
        <v>72744</v>
      </c>
      <c r="J1848" s="1108">
        <v>17500</v>
      </c>
      <c r="K1848" s="1110"/>
      <c r="L1848" s="1109"/>
      <c r="M1848" s="93">
        <f t="shared" si="153"/>
        <v>1273020000</v>
      </c>
      <c r="N1848" s="83" t="s">
        <v>276</v>
      </c>
      <c r="O1848" s="83" t="s">
        <v>268</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customHeight="1">
      <c r="A1849" s="1170"/>
      <c r="B1849" s="1199">
        <f t="shared" si="154"/>
        <v>12</v>
      </c>
      <c r="C1849" s="1087">
        <v>42726</v>
      </c>
      <c r="D1849" s="1087" t="s">
        <v>2851</v>
      </c>
      <c r="E1849" s="90">
        <f t="shared" si="152"/>
        <v>42726</v>
      </c>
      <c r="F1849" s="1153" t="s">
        <v>1952</v>
      </c>
      <c r="G1849" s="1155"/>
      <c r="H1849" s="1153" t="s">
        <v>439</v>
      </c>
      <c r="I1849" s="414">
        <v>72740</v>
      </c>
      <c r="J1849" s="1108">
        <v>17500</v>
      </c>
      <c r="K1849" s="1110"/>
      <c r="L1849" s="1109"/>
      <c r="M1849" s="93">
        <f t="shared" si="153"/>
        <v>1272950000</v>
      </c>
      <c r="N1849" s="83" t="s">
        <v>276</v>
      </c>
      <c r="O1849" s="83" t="s">
        <v>268</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customHeight="1">
      <c r="A1850" s="1170"/>
      <c r="B1850" s="1199">
        <f t="shared" si="154"/>
        <v>12</v>
      </c>
      <c r="C1850" s="1087">
        <v>42727</v>
      </c>
      <c r="D1850" s="1087" t="s">
        <v>2852</v>
      </c>
      <c r="E1850" s="90">
        <f t="shared" si="152"/>
        <v>42727</v>
      </c>
      <c r="F1850" s="1153" t="s">
        <v>1952</v>
      </c>
      <c r="G1850" s="1155"/>
      <c r="H1850" s="1153" t="s">
        <v>439</v>
      </c>
      <c r="I1850" s="414">
        <v>73180</v>
      </c>
      <c r="J1850" s="1108">
        <v>17500</v>
      </c>
      <c r="K1850" s="1110"/>
      <c r="L1850" s="1109"/>
      <c r="M1850" s="93">
        <f t="shared" si="153"/>
        <v>1280650000</v>
      </c>
      <c r="N1850" s="83" t="s">
        <v>276</v>
      </c>
      <c r="O1850" s="83" t="s">
        <v>268</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customHeight="1">
      <c r="A1851" s="1170"/>
      <c r="B1851" s="1199">
        <f t="shared" si="154"/>
        <v>12</v>
      </c>
      <c r="C1851" s="1087">
        <v>42728</v>
      </c>
      <c r="D1851" s="1087" t="s">
        <v>2853</v>
      </c>
      <c r="E1851" s="90">
        <f t="shared" si="152"/>
        <v>42728</v>
      </c>
      <c r="F1851" s="1153" t="s">
        <v>1952</v>
      </c>
      <c r="G1851" s="1155"/>
      <c r="H1851" s="1153" t="s">
        <v>439</v>
      </c>
      <c r="I1851" s="414">
        <v>70240</v>
      </c>
      <c r="J1851" s="1108">
        <v>17500</v>
      </c>
      <c r="K1851" s="1110"/>
      <c r="L1851" s="1109"/>
      <c r="M1851" s="93">
        <f t="shared" si="153"/>
        <v>1229200000</v>
      </c>
      <c r="N1851" s="83" t="s">
        <v>276</v>
      </c>
      <c r="O1851" s="83" t="s">
        <v>268</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customHeight="1">
      <c r="A1852" s="1170"/>
      <c r="B1852" s="1199">
        <f t="shared" si="154"/>
        <v>12</v>
      </c>
      <c r="C1852" s="1087">
        <v>42730</v>
      </c>
      <c r="D1852" s="1087" t="s">
        <v>2854</v>
      </c>
      <c r="E1852" s="90">
        <f t="shared" si="152"/>
        <v>42730</v>
      </c>
      <c r="F1852" s="1153" t="s">
        <v>1952</v>
      </c>
      <c r="G1852" s="1155"/>
      <c r="H1852" s="1153" t="s">
        <v>439</v>
      </c>
      <c r="I1852" s="414">
        <v>32000</v>
      </c>
      <c r="J1852" s="1108">
        <v>17500</v>
      </c>
      <c r="K1852" s="1110"/>
      <c r="L1852" s="1109"/>
      <c r="M1852" s="93">
        <f t="shared" si="153"/>
        <v>560000000</v>
      </c>
      <c r="N1852" s="83" t="s">
        <v>276</v>
      </c>
      <c r="O1852" s="83" t="s">
        <v>268</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customHeight="1">
      <c r="A1853" s="323" t="str">
        <f>IF(B1853&lt;&gt;"",IF(AND(B1853='IN-TC'!$S$4,OR(TH!N512="1111",TH!O512="1111")),TH!D512,""),"")</f>
        <v/>
      </c>
      <c r="B1853" s="63">
        <f t="shared" si="154"/>
        <v>11</v>
      </c>
      <c r="C1853" s="78">
        <v>42684</v>
      </c>
      <c r="D1853" s="78" t="s">
        <v>2326</v>
      </c>
      <c r="E1853" s="78">
        <f t="shared" si="152"/>
        <v>42684</v>
      </c>
      <c r="F1853" s="79" t="s">
        <v>455</v>
      </c>
      <c r="G1853" s="934" t="s">
        <v>2280</v>
      </c>
      <c r="H1853" s="80" t="s">
        <v>1198</v>
      </c>
      <c r="I1853" s="406">
        <v>26000</v>
      </c>
      <c r="J1853" s="406">
        <v>55000</v>
      </c>
      <c r="K1853" s="397"/>
      <c r="L1853" s="406"/>
      <c r="M1853" s="81">
        <f t="shared" si="153"/>
        <v>1430000000</v>
      </c>
      <c r="N1853" s="82" t="s">
        <v>278</v>
      </c>
      <c r="O1853" s="82" t="s">
        <v>8</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customHeight="1">
      <c r="A1854" s="1170"/>
      <c r="B1854" s="1199">
        <f t="shared" si="154"/>
        <v>11</v>
      </c>
      <c r="C1854" s="1087">
        <v>42684</v>
      </c>
      <c r="D1854" s="1087" t="s">
        <v>2269</v>
      </c>
      <c r="E1854" s="90">
        <f t="shared" si="152"/>
        <v>42684</v>
      </c>
      <c r="F1854" s="1153" t="s">
        <v>1952</v>
      </c>
      <c r="G1854" s="1155" t="s">
        <v>2311</v>
      </c>
      <c r="H1854" s="1153" t="s">
        <v>1198</v>
      </c>
      <c r="I1854" s="406">
        <v>34300</v>
      </c>
      <c r="J1854" s="1108">
        <v>18000</v>
      </c>
      <c r="K1854" s="1110"/>
      <c r="L1854" s="1109"/>
      <c r="M1854" s="93">
        <f t="shared" si="153"/>
        <v>617400000</v>
      </c>
      <c r="N1854" s="83" t="s">
        <v>276</v>
      </c>
      <c r="O1854" s="83" t="s">
        <v>268</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customHeight="1">
      <c r="A1855" s="323" t="str">
        <f>IF(B1855&lt;&gt;"",IF(AND(B1855='IN-TC'!$S$4,OR(TH!N1855="1111",TH!O1855="1111")),TH!D1855,""),"")</f>
        <v/>
      </c>
      <c r="B1855" s="63">
        <f t="shared" si="154"/>
        <v>1</v>
      </c>
      <c r="C1855" s="78">
        <v>42400</v>
      </c>
      <c r="D1855" s="78" t="s">
        <v>570</v>
      </c>
      <c r="E1855" s="78">
        <v>42370</v>
      </c>
      <c r="F1855" s="80" t="s">
        <v>620</v>
      </c>
      <c r="G1855" s="79" t="s">
        <v>640</v>
      </c>
      <c r="H1855" s="80" t="s">
        <v>616</v>
      </c>
      <c r="I1855" s="406"/>
      <c r="J1855" s="406"/>
      <c r="K1855" s="397"/>
      <c r="L1855" s="406"/>
      <c r="M1855" s="81">
        <v>10134000</v>
      </c>
      <c r="N1855" s="82" t="s">
        <v>579</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customHeight="1">
      <c r="A1856" s="323" t="str">
        <f>IF(B1856&lt;&gt;"",IF(AND(B1856='IN-TC'!$S$4,OR(TH!N1856="1111",TH!O1856="1111")),TH!D1856,""),"")</f>
        <v/>
      </c>
      <c r="B1856" s="63">
        <f t="shared" si="154"/>
        <v>1</v>
      </c>
      <c r="C1856" s="78">
        <v>42400</v>
      </c>
      <c r="D1856" s="78" t="s">
        <v>570</v>
      </c>
      <c r="E1856" s="78">
        <v>42370</v>
      </c>
      <c r="F1856" s="80" t="s">
        <v>621</v>
      </c>
      <c r="G1856" s="79" t="s">
        <v>641</v>
      </c>
      <c r="H1856" s="80" t="s">
        <v>616</v>
      </c>
      <c r="I1856" s="406"/>
      <c r="J1856" s="406"/>
      <c r="K1856" s="397"/>
      <c r="L1856" s="406"/>
      <c r="M1856" s="81">
        <v>6823560</v>
      </c>
      <c r="N1856" s="82" t="s">
        <v>579</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customHeight="1">
      <c r="A1857" s="323" t="str">
        <f>IF(B1857&lt;&gt;"",IF(AND(B1857='IN-TC'!$S$4,OR(TH!N1857="1111",TH!O1857="1111")),TH!D1857,""),"")</f>
        <v/>
      </c>
      <c r="B1857" s="63">
        <f t="shared" si="154"/>
        <v>1</v>
      </c>
      <c r="C1857" s="78">
        <v>42400</v>
      </c>
      <c r="D1857" s="78" t="s">
        <v>570</v>
      </c>
      <c r="E1857" s="78">
        <v>42370</v>
      </c>
      <c r="F1857" s="80" t="s">
        <v>622</v>
      </c>
      <c r="G1857" s="79" t="s">
        <v>641</v>
      </c>
      <c r="H1857" s="80" t="s">
        <v>616</v>
      </c>
      <c r="I1857" s="406"/>
      <c r="J1857" s="406"/>
      <c r="K1857" s="397"/>
      <c r="L1857" s="406"/>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x</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customHeight="1">
      <c r="A1858" s="323" t="str">
        <f>IF(B1858&lt;&gt;"",IF(AND(B1858='IN-TC'!$S$4,OR(TH!N2500="1111",TH!O2500="1111")),TH!D2500,""),"")</f>
        <v/>
      </c>
      <c r="B1858" s="63">
        <f t="shared" si="154"/>
        <v>1</v>
      </c>
      <c r="C1858" s="64">
        <v>42399</v>
      </c>
      <c r="D1858" s="64" t="s">
        <v>690</v>
      </c>
      <c r="E1858" s="64">
        <v>42399</v>
      </c>
      <c r="F1858" s="482" t="s">
        <v>1078</v>
      </c>
      <c r="G1858" s="67" t="s">
        <v>902</v>
      </c>
      <c r="H1858" s="74" t="s">
        <v>614</v>
      </c>
      <c r="I1858" s="410"/>
      <c r="J1858" s="410"/>
      <c r="K1858" s="401"/>
      <c r="L1858" s="410"/>
      <c r="M1858" s="65">
        <v>1300000</v>
      </c>
      <c r="N1858" s="66" t="s">
        <v>8</v>
      </c>
      <c r="O1858" s="66" t="s">
        <v>25</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customHeight="1">
      <c r="A1859" s="323" t="str">
        <f>IF(B1859&lt;&gt;"",IF(AND(B1859='IN-TC'!$S$4,OR(TH!N2503="1111",TH!O2503="1111")),TH!D2503,""),"")</f>
        <v/>
      </c>
      <c r="B1859" s="63">
        <f t="shared" si="154"/>
        <v>1</v>
      </c>
      <c r="C1859" s="64">
        <v>42399</v>
      </c>
      <c r="D1859" s="64" t="s">
        <v>690</v>
      </c>
      <c r="E1859" s="64">
        <v>42399</v>
      </c>
      <c r="F1859" s="482" t="s">
        <v>1078</v>
      </c>
      <c r="G1859" s="67" t="s">
        <v>902</v>
      </c>
      <c r="H1859" s="74" t="s">
        <v>614</v>
      </c>
      <c r="I1859" s="410"/>
      <c r="J1859" s="410"/>
      <c r="K1859" s="401"/>
      <c r="L1859" s="410"/>
      <c r="M1859" s="65">
        <v>4645000</v>
      </c>
      <c r="N1859" s="66" t="s">
        <v>8</v>
      </c>
      <c r="O1859" s="66" t="s">
        <v>25</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customHeight="1">
      <c r="A1860" s="323" t="str">
        <f>IF(B1860&lt;&gt;"",IF(AND(B1860='IN-TC'!$S$4,OR(TH!N1860="1111",TH!O1860="1111")),TH!D1860,""),"")</f>
        <v/>
      </c>
      <c r="B1860" s="63">
        <f t="shared" si="154"/>
        <v>1</v>
      </c>
      <c r="C1860" s="78">
        <v>42400</v>
      </c>
      <c r="D1860" s="78" t="s">
        <v>570</v>
      </c>
      <c r="E1860" s="78">
        <v>42380</v>
      </c>
      <c r="F1860" s="80" t="s">
        <v>624</v>
      </c>
      <c r="G1860" s="79" t="s">
        <v>644</v>
      </c>
      <c r="H1860" s="80" t="s">
        <v>615</v>
      </c>
      <c r="I1860" s="406"/>
      <c r="J1860" s="406"/>
      <c r="K1860" s="397"/>
      <c r="L1860" s="406"/>
      <c r="M1860" s="81">
        <v>2000000</v>
      </c>
      <c r="N1860" s="82" t="s">
        <v>579</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customHeight="1">
      <c r="A1861" s="323" t="str">
        <f>IF(B1861&lt;&gt;"",IF(AND(B1861='IN-TC'!$S$4,OR(TH!N1861="1111",TH!O1861="1111")),TH!D1861,""),"")</f>
        <v/>
      </c>
      <c r="B1861" s="63">
        <f t="shared" si="154"/>
        <v>1</v>
      </c>
      <c r="C1861" s="78">
        <v>42400</v>
      </c>
      <c r="D1861" s="78" t="s">
        <v>570</v>
      </c>
      <c r="E1861" s="78">
        <v>42380</v>
      </c>
      <c r="F1861" s="80" t="s">
        <v>625</v>
      </c>
      <c r="G1861" s="79" t="s">
        <v>644</v>
      </c>
      <c r="H1861" s="80" t="s">
        <v>615</v>
      </c>
      <c r="I1861" s="406"/>
      <c r="J1861" s="406"/>
      <c r="K1861" s="397"/>
      <c r="L1861" s="406"/>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x</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customHeight="1">
      <c r="A1862" s="323" t="str">
        <f>IF(B1862&lt;&gt;"",IF(AND(B1862='IN-TC'!$S$4,OR(TH!N1862="1111",TH!O1862="1111")),TH!D1862,""),"")</f>
        <v/>
      </c>
      <c r="B1862" s="63">
        <f t="shared" si="154"/>
        <v>1</v>
      </c>
      <c r="C1862" s="78">
        <v>42400</v>
      </c>
      <c r="D1862" s="78" t="s">
        <v>570</v>
      </c>
      <c r="E1862" s="78">
        <v>42381</v>
      </c>
      <c r="F1862" s="80" t="s">
        <v>624</v>
      </c>
      <c r="G1862" s="79" t="s">
        <v>645</v>
      </c>
      <c r="H1862" s="80" t="s">
        <v>615</v>
      </c>
      <c r="I1862" s="406"/>
      <c r="J1862" s="406"/>
      <c r="K1862" s="397"/>
      <c r="L1862" s="406"/>
      <c r="M1862" s="81">
        <v>2000000</v>
      </c>
      <c r="N1862" s="82" t="s">
        <v>579</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customHeight="1">
      <c r="A1863" s="323" t="str">
        <f>IF(B1863&lt;&gt;"",IF(AND(B1863='IN-TC'!$S$4,OR(TH!N1863="1111",TH!O1863="1111")),TH!D1863,""),"")</f>
        <v/>
      </c>
      <c r="B1863" s="63">
        <f t="shared" si="154"/>
        <v>1</v>
      </c>
      <c r="C1863" s="78">
        <v>42400</v>
      </c>
      <c r="D1863" s="78" t="s">
        <v>570</v>
      </c>
      <c r="E1863" s="78">
        <v>42381</v>
      </c>
      <c r="F1863" s="80" t="s">
        <v>625</v>
      </c>
      <c r="G1863" s="79" t="s">
        <v>645</v>
      </c>
      <c r="H1863" s="80" t="s">
        <v>615</v>
      </c>
      <c r="I1863" s="406"/>
      <c r="J1863" s="406"/>
      <c r="K1863" s="397"/>
      <c r="L1863" s="406"/>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x</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customHeight="1">
      <c r="A1864" s="323" t="str">
        <f>IF(B1864&lt;&gt;"",IF(AND(B1864='IN-TC'!$S$4,OR(TH!N1864="1111",TH!O1864="1111")),TH!D1864,""),"")</f>
        <v/>
      </c>
      <c r="B1864" s="63">
        <f t="shared" si="154"/>
        <v>1</v>
      </c>
      <c r="C1864" s="78">
        <v>42400</v>
      </c>
      <c r="D1864" s="78" t="s">
        <v>570</v>
      </c>
      <c r="E1864" s="78">
        <v>42394</v>
      </c>
      <c r="F1864" s="80" t="s">
        <v>624</v>
      </c>
      <c r="G1864" s="79" t="s">
        <v>646</v>
      </c>
      <c r="H1864" s="80" t="s">
        <v>615</v>
      </c>
      <c r="I1864" s="406"/>
      <c r="J1864" s="406"/>
      <c r="K1864" s="397"/>
      <c r="L1864" s="406"/>
      <c r="M1864" s="81">
        <v>1818182</v>
      </c>
      <c r="N1864" s="82" t="s">
        <v>579</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customHeight="1">
      <c r="A1865" s="323" t="str">
        <f>IF(B1865&lt;&gt;"",IF(AND(B1865='IN-TC'!$S$4,OR(TH!N1865="1111",TH!O1865="1111")),TH!D1865,""),"")</f>
        <v/>
      </c>
      <c r="B1865" s="63">
        <f t="shared" si="154"/>
        <v>1</v>
      </c>
      <c r="C1865" s="78">
        <v>42400</v>
      </c>
      <c r="D1865" s="78" t="s">
        <v>570</v>
      </c>
      <c r="E1865" s="78">
        <v>42394</v>
      </c>
      <c r="F1865" s="80" t="s">
        <v>625</v>
      </c>
      <c r="G1865" s="79" t="s">
        <v>646</v>
      </c>
      <c r="H1865" s="80" t="s">
        <v>615</v>
      </c>
      <c r="I1865" s="406"/>
      <c r="J1865" s="406"/>
      <c r="K1865" s="397"/>
      <c r="L1865" s="406"/>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x</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customHeight="1">
      <c r="A1866" s="323" t="str">
        <f>IF(B1866&lt;&gt;"",IF(AND(B1866='IN-TC'!$S$4,OR(TH!N1866="1111",TH!O1866="1111")),TH!D1866,""),"")</f>
        <v/>
      </c>
      <c r="B1866" s="63">
        <f t="shared" si="154"/>
        <v>1</v>
      </c>
      <c r="C1866" s="78">
        <v>42400</v>
      </c>
      <c r="D1866" s="78" t="s">
        <v>570</v>
      </c>
      <c r="E1866" s="78">
        <v>42398</v>
      </c>
      <c r="F1866" s="80" t="s">
        <v>620</v>
      </c>
      <c r="G1866" s="79" t="s">
        <v>647</v>
      </c>
      <c r="H1866" s="80" t="s">
        <v>616</v>
      </c>
      <c r="I1866" s="406"/>
      <c r="J1866" s="406"/>
      <c r="K1866" s="397"/>
      <c r="L1866" s="406"/>
      <c r="M1866" s="81">
        <v>11135000</v>
      </c>
      <c r="N1866" s="82" t="s">
        <v>579</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customHeight="1">
      <c r="A1867" s="323" t="str">
        <f>IF(B1867&lt;&gt;"",IF(AND(B1867='IN-TC'!$S$4,OR(TH!N1867="1111",TH!O1867="1111")),TH!D1867,""),"")</f>
        <v/>
      </c>
      <c r="B1867" s="63">
        <f t="shared" si="154"/>
        <v>1</v>
      </c>
      <c r="C1867" s="78">
        <v>42400</v>
      </c>
      <c r="D1867" s="78" t="s">
        <v>570</v>
      </c>
      <c r="E1867" s="78">
        <v>42398</v>
      </c>
      <c r="F1867" s="80" t="s">
        <v>626</v>
      </c>
      <c r="G1867" s="79" t="s">
        <v>648</v>
      </c>
      <c r="H1867" s="80" t="s">
        <v>616</v>
      </c>
      <c r="I1867" s="406"/>
      <c r="J1867" s="406"/>
      <c r="K1867" s="397"/>
      <c r="L1867" s="406"/>
      <c r="M1867" s="81">
        <v>5077560</v>
      </c>
      <c r="N1867" s="82" t="s">
        <v>579</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customHeight="1">
      <c r="A1868" s="323" t="str">
        <f>IF(B1868&lt;&gt;"",IF(AND(B1868='IN-TC'!$S$4,OR(TH!N1868="1111",TH!O1868="1111")),TH!D1868,""),"")</f>
        <v/>
      </c>
      <c r="B1868" s="63">
        <f t="shared" si="154"/>
        <v>1</v>
      </c>
      <c r="C1868" s="78">
        <v>42400</v>
      </c>
      <c r="D1868" s="78" t="s">
        <v>570</v>
      </c>
      <c r="E1868" s="78">
        <v>42398</v>
      </c>
      <c r="F1868" s="80" t="s">
        <v>627</v>
      </c>
      <c r="G1868" s="79" t="s">
        <v>648</v>
      </c>
      <c r="H1868" s="80" t="s">
        <v>616</v>
      </c>
      <c r="I1868" s="406"/>
      <c r="J1868" s="406"/>
      <c r="K1868" s="397"/>
      <c r="L1868" s="406"/>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x</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customHeight="1">
      <c r="A1869" s="323" t="str">
        <f>IF(B1869&lt;&gt;"",IF(AND(B1869='IN-TC'!$S$4,OR(TH!N1869="1111",TH!O1869="1111")),TH!D1869,""),"")</f>
        <v/>
      </c>
      <c r="B1869" s="63">
        <f t="shared" si="154"/>
        <v>1</v>
      </c>
      <c r="C1869" s="78">
        <v>42400</v>
      </c>
      <c r="D1869" s="78" t="s">
        <v>570</v>
      </c>
      <c r="E1869" s="78">
        <v>42398</v>
      </c>
      <c r="F1869" s="80" t="s">
        <v>620</v>
      </c>
      <c r="G1869" s="79" t="s">
        <v>649</v>
      </c>
      <c r="H1869" s="80" t="s">
        <v>616</v>
      </c>
      <c r="I1869" s="406"/>
      <c r="J1869" s="406"/>
      <c r="K1869" s="397"/>
      <c r="L1869" s="406"/>
      <c r="M1869" s="81">
        <v>23383500</v>
      </c>
      <c r="N1869" s="82" t="s">
        <v>579</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customHeight="1">
      <c r="A1870" s="323" t="str">
        <f>IF(B1870&lt;&gt;"",IF(AND(B1870='IN-TC'!$S$4,OR(TH!N1870="1111",TH!O1870="1111")),TH!D1870,""),"")</f>
        <v/>
      </c>
      <c r="B1870" s="63">
        <f t="shared" si="154"/>
        <v>1</v>
      </c>
      <c r="C1870" s="78">
        <v>42400</v>
      </c>
      <c r="D1870" s="78" t="s">
        <v>570</v>
      </c>
      <c r="E1870" s="78">
        <v>42398</v>
      </c>
      <c r="F1870" s="80" t="s">
        <v>621</v>
      </c>
      <c r="G1870" s="79" t="s">
        <v>650</v>
      </c>
      <c r="H1870" s="80" t="s">
        <v>616</v>
      </c>
      <c r="I1870" s="406"/>
      <c r="J1870" s="406"/>
      <c r="K1870" s="397"/>
      <c r="L1870" s="406"/>
      <c r="M1870" s="81">
        <v>6413760</v>
      </c>
      <c r="N1870" s="82" t="s">
        <v>579</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customHeight="1">
      <c r="A1871" s="323" t="str">
        <f>IF(B1871&lt;&gt;"",IF(AND(B1871='IN-TC'!$S$4,OR(TH!N1871="1111",TH!O1871="1111")),TH!D1871,""),"")</f>
        <v/>
      </c>
      <c r="B1871" s="63">
        <f t="shared" si="154"/>
        <v>1</v>
      </c>
      <c r="C1871" s="78">
        <v>42400</v>
      </c>
      <c r="D1871" s="78" t="s">
        <v>570</v>
      </c>
      <c r="E1871" s="78">
        <v>42398</v>
      </c>
      <c r="F1871" s="80" t="s">
        <v>622</v>
      </c>
      <c r="G1871" s="79" t="s">
        <v>650</v>
      </c>
      <c r="H1871" s="80" t="s">
        <v>616</v>
      </c>
      <c r="I1871" s="406"/>
      <c r="J1871" s="406"/>
      <c r="K1871" s="397"/>
      <c r="L1871" s="406"/>
      <c r="M1871" s="81">
        <v>641376</v>
      </c>
      <c r="N1871" s="1106"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x</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customHeight="1">
      <c r="A1872" s="323" t="str">
        <f>IF(B1872&lt;&gt;"",IF(AND(B1872='IN-TC'!$S$4,OR(TH!N1872="1111",TH!O1872="1111")),TH!D1872,""),"")</f>
        <v/>
      </c>
      <c r="B1872" s="63">
        <f t="shared" si="154"/>
        <v>1</v>
      </c>
      <c r="C1872" s="78">
        <v>42400</v>
      </c>
      <c r="D1872" s="78" t="s">
        <v>570</v>
      </c>
      <c r="E1872" s="78">
        <v>42400</v>
      </c>
      <c r="F1872" s="80" t="s">
        <v>624</v>
      </c>
      <c r="G1872" s="79" t="s">
        <v>651</v>
      </c>
      <c r="H1872" s="80" t="s">
        <v>615</v>
      </c>
      <c r="I1872" s="406"/>
      <c r="J1872" s="406"/>
      <c r="K1872" s="397"/>
      <c r="L1872" s="406"/>
      <c r="M1872" s="81">
        <v>2000000</v>
      </c>
      <c r="N1872" s="82" t="s">
        <v>579</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customHeight="1">
      <c r="A1873" s="323" t="str">
        <f>IF(B1873&lt;&gt;"",IF(AND(B1873='IN-TC'!$S$4,OR(TH!N1873="1111",TH!O1873="1111")),TH!D1873,""),"")</f>
        <v/>
      </c>
      <c r="B1873" s="63">
        <f t="shared" si="154"/>
        <v>1</v>
      </c>
      <c r="C1873" s="78">
        <v>42400</v>
      </c>
      <c r="D1873" s="78" t="s">
        <v>570</v>
      </c>
      <c r="E1873" s="78">
        <v>42400</v>
      </c>
      <c r="F1873" s="80" t="s">
        <v>625</v>
      </c>
      <c r="G1873" s="79" t="s">
        <v>651</v>
      </c>
      <c r="H1873" s="80" t="s">
        <v>615</v>
      </c>
      <c r="I1873" s="406"/>
      <c r="J1873" s="406"/>
      <c r="K1873" s="397"/>
      <c r="L1873" s="406"/>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x</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customHeight="1">
      <c r="A1874" s="323" t="str">
        <f>IF(B1874&lt;&gt;"",IF(AND(B1874='IN-TC'!$S$4,OR(TH!N2415="1111",TH!O2415="1111")),TH!D2415,""),"")</f>
        <v/>
      </c>
      <c r="B1874" s="63">
        <f t="shared" si="154"/>
        <v>1</v>
      </c>
      <c r="C1874" s="64">
        <v>42383</v>
      </c>
      <c r="D1874" s="64" t="s">
        <v>690</v>
      </c>
      <c r="E1874" s="64">
        <v>42383</v>
      </c>
      <c r="F1874" s="67" t="s">
        <v>1083</v>
      </c>
      <c r="G1874" s="67" t="s">
        <v>902</v>
      </c>
      <c r="H1874" s="67" t="s">
        <v>617</v>
      </c>
      <c r="I1874" s="412"/>
      <c r="J1874" s="412"/>
      <c r="K1874" s="403"/>
      <c r="L1874" s="412"/>
      <c r="M1874" s="65">
        <v>39198830</v>
      </c>
      <c r="N1874" s="66" t="s">
        <v>8</v>
      </c>
      <c r="O1874" s="66" t="s">
        <v>25</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customHeight="1">
      <c r="A1875" s="323" t="str">
        <f>IF(B1875&lt;&gt;"",IF(AND(B1875='IN-TC'!$S$4,OR(TH!N2476="1111",TH!O2476="1111")),TH!D2476,""),"")</f>
        <v/>
      </c>
      <c r="B1875" s="63">
        <f t="shared" si="154"/>
        <v>1</v>
      </c>
      <c r="C1875" s="64">
        <v>42396</v>
      </c>
      <c r="D1875" s="64" t="s">
        <v>690</v>
      </c>
      <c r="E1875" s="64">
        <v>42396</v>
      </c>
      <c r="F1875" s="482" t="s">
        <v>1076</v>
      </c>
      <c r="G1875" s="67" t="s">
        <v>902</v>
      </c>
      <c r="H1875" s="482" t="s">
        <v>617</v>
      </c>
      <c r="I1875" s="408"/>
      <c r="J1875" s="408"/>
      <c r="K1875" s="399"/>
      <c r="L1875" s="408"/>
      <c r="M1875" s="65">
        <v>27118300</v>
      </c>
      <c r="N1875" s="66" t="s">
        <v>18</v>
      </c>
      <c r="O1875" s="66" t="s">
        <v>25</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customHeight="1">
      <c r="A1876" s="323" t="str">
        <f>IF(B1876&lt;&gt;"",IF(AND(B1876='IN-TC'!$S$4,OR(TH!N1874="1111",TH!O1874="1111")),TH!D1874,""),"")</f>
        <v/>
      </c>
      <c r="B1876" s="63">
        <f t="shared" si="154"/>
        <v>1</v>
      </c>
      <c r="C1876" s="78">
        <v>42400</v>
      </c>
      <c r="D1876" s="78" t="s">
        <v>570</v>
      </c>
      <c r="E1876" s="78">
        <v>42375</v>
      </c>
      <c r="F1876" s="80" t="s">
        <v>628</v>
      </c>
      <c r="G1876" s="934" t="s">
        <v>652</v>
      </c>
      <c r="H1876" s="80" t="s">
        <v>617</v>
      </c>
      <c r="I1876" s="406"/>
      <c r="J1876" s="406"/>
      <c r="K1876" s="397"/>
      <c r="L1876" s="406"/>
      <c r="M1876" s="81">
        <v>24653000</v>
      </c>
      <c r="N1876" s="82" t="s">
        <v>276</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customHeight="1">
      <c r="A1877" s="323" t="str">
        <f>IF(B1877&lt;&gt;"",IF(AND(B1877='IN-TC'!$S$4,OR(TH!N1875="1111",TH!O1875="1111")),TH!D1875,""),"")</f>
        <v/>
      </c>
      <c r="B1877" s="63">
        <f t="shared" si="154"/>
        <v>1</v>
      </c>
      <c r="C1877" s="78">
        <v>42400</v>
      </c>
      <c r="D1877" s="78" t="s">
        <v>570</v>
      </c>
      <c r="E1877" s="78">
        <v>42375</v>
      </c>
      <c r="F1877" s="80" t="s">
        <v>629</v>
      </c>
      <c r="G1877" s="934" t="s">
        <v>652</v>
      </c>
      <c r="H1877" s="80" t="s">
        <v>617</v>
      </c>
      <c r="I1877" s="406"/>
      <c r="J1877" s="406"/>
      <c r="K1877" s="397"/>
      <c r="L1877" s="406"/>
      <c r="M1877" s="81">
        <v>2465300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x</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customHeight="1">
      <c r="A1878" s="323" t="str">
        <f>IF(B1878&lt;&gt;"",IF(AND(B1878='IN-TC'!$S$4,OR(TH!N1876="1111",TH!O1876="1111")),TH!D1876,""),"")</f>
        <v/>
      </c>
      <c r="B1878" s="63">
        <f t="shared" si="154"/>
        <v>1</v>
      </c>
      <c r="C1878" s="78">
        <v>42400</v>
      </c>
      <c r="D1878" s="78" t="s">
        <v>570</v>
      </c>
      <c r="E1878" s="78">
        <v>42385</v>
      </c>
      <c r="F1878" s="80" t="s">
        <v>630</v>
      </c>
      <c r="G1878" s="79" t="s">
        <v>653</v>
      </c>
      <c r="H1878" s="80" t="s">
        <v>617</v>
      </c>
      <c r="I1878" s="406"/>
      <c r="J1878" s="406"/>
      <c r="K1878" s="397"/>
      <c r="L1878" s="406"/>
      <c r="M1878" s="81">
        <v>29327400</v>
      </c>
      <c r="N1878" s="1106" t="s">
        <v>276</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customHeight="1">
      <c r="A1879" s="323" t="str">
        <f>IF(B1879&lt;&gt;"",IF(AND(B1879='IN-TC'!$S$4,OR(TH!N1877="1111",TH!O1877="1111")),TH!D1877,""),"")</f>
        <v/>
      </c>
      <c r="B1879" s="63">
        <f t="shared" si="154"/>
        <v>1</v>
      </c>
      <c r="C1879" s="78">
        <v>42400</v>
      </c>
      <c r="D1879" s="78" t="s">
        <v>570</v>
      </c>
      <c r="E1879" s="78">
        <v>42385</v>
      </c>
      <c r="F1879" s="80" t="s">
        <v>631</v>
      </c>
      <c r="G1879" s="79" t="s">
        <v>653</v>
      </c>
      <c r="H1879" s="80" t="s">
        <v>617</v>
      </c>
      <c r="I1879" s="406"/>
      <c r="J1879" s="406"/>
      <c r="K1879" s="397"/>
      <c r="L1879" s="406"/>
      <c r="M1879" s="81">
        <v>2932740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x</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customHeight="1">
      <c r="A1880" s="323" t="str">
        <f>IF(B1880&lt;&gt;"",IF(AND(B1880='IN-TC'!$S$4,OR(TH!N2537="1111",TH!O2537="1111")),TH!D2537,""),"")</f>
        <v/>
      </c>
      <c r="B1880" s="63">
        <f t="shared" si="154"/>
        <v>2</v>
      </c>
      <c r="C1880" s="64">
        <v>42403</v>
      </c>
      <c r="D1880" s="64" t="s">
        <v>690</v>
      </c>
      <c r="E1880" s="64">
        <v>42403</v>
      </c>
      <c r="F1880" s="482" t="s">
        <v>1079</v>
      </c>
      <c r="G1880" s="67" t="s">
        <v>902</v>
      </c>
      <c r="H1880" s="329" t="s">
        <v>616</v>
      </c>
      <c r="I1880" s="408"/>
      <c r="J1880" s="408"/>
      <c r="K1880" s="399"/>
      <c r="L1880" s="408"/>
      <c r="M1880" s="65">
        <v>100000000</v>
      </c>
      <c r="N1880" s="66" t="s">
        <v>8</v>
      </c>
      <c r="O1880" s="66" t="s">
        <v>25</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customHeight="1">
      <c r="A1881" s="323" t="str">
        <f>IF(B1881&lt;&gt;"",IF(AND(B1881='IN-TC'!$S$4,OR(TH!N1880="1111",TH!O1880="1111")),TH!D1880,""),"")</f>
        <v/>
      </c>
      <c r="B1881" s="63">
        <f t="shared" si="154"/>
        <v>2</v>
      </c>
      <c r="C1881" s="1077">
        <v>42429</v>
      </c>
      <c r="D1881" s="1077" t="s">
        <v>570</v>
      </c>
      <c r="E1881" s="1077">
        <v>42407</v>
      </c>
      <c r="F1881" s="80" t="s">
        <v>620</v>
      </c>
      <c r="G1881" s="949" t="s">
        <v>1056</v>
      </c>
      <c r="H1881" s="310" t="s">
        <v>616</v>
      </c>
      <c r="I1881" s="406"/>
      <c r="J1881" s="406"/>
      <c r="K1881" s="397"/>
      <c r="L1881" s="406"/>
      <c r="M1881" s="81">
        <v>11175000</v>
      </c>
      <c r="N1881" s="82" t="s">
        <v>579</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customHeight="1">
      <c r="A1882" s="323" t="str">
        <f>IF(B1882&lt;&gt;"",IF(AND(B1882='IN-TC'!$S$4,OR(TH!N1881="1111",TH!O1881="1111")),TH!D1881,""),"")</f>
        <v/>
      </c>
      <c r="B1882" s="63">
        <f t="shared" si="154"/>
        <v>2</v>
      </c>
      <c r="C1882" s="1077">
        <v>42429</v>
      </c>
      <c r="D1882" s="1077" t="s">
        <v>570</v>
      </c>
      <c r="E1882" s="1077">
        <v>42407</v>
      </c>
      <c r="F1882" s="80" t="s">
        <v>1062</v>
      </c>
      <c r="G1882" s="949" t="s">
        <v>1057</v>
      </c>
      <c r="H1882" s="310" t="s">
        <v>616</v>
      </c>
      <c r="I1882" s="406"/>
      <c r="J1882" s="406"/>
      <c r="K1882" s="397"/>
      <c r="L1882" s="406"/>
      <c r="M1882" s="81">
        <v>5319300</v>
      </c>
      <c r="N1882" s="82" t="s">
        <v>579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customHeight="1">
      <c r="A1883" s="323" t="str">
        <f>IF(B1883&lt;&gt;"",IF(AND(B1883='IN-TC'!$S$4,OR(TH!N1883="1111",TH!O1883="1111")),TH!D1883,""),"")</f>
        <v/>
      </c>
      <c r="B1883" s="63">
        <f t="shared" si="154"/>
        <v>2</v>
      </c>
      <c r="C1883" s="1077">
        <v>42429</v>
      </c>
      <c r="D1883" s="1077" t="s">
        <v>570</v>
      </c>
      <c r="E1883" s="1077">
        <v>42429</v>
      </c>
      <c r="F1883" s="80" t="s">
        <v>624</v>
      </c>
      <c r="G1883" s="949" t="s">
        <v>1058</v>
      </c>
      <c r="H1883" s="310" t="s">
        <v>615</v>
      </c>
      <c r="I1883" s="406"/>
      <c r="J1883" s="406"/>
      <c r="K1883" s="397"/>
      <c r="L1883" s="406"/>
      <c r="M1883" s="81">
        <v>2000000</v>
      </c>
      <c r="N1883" s="82" t="s">
        <v>579</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customHeight="1">
      <c r="A1884" s="323" t="str">
        <f>IF(B1884&lt;&gt;"",IF(AND(B1884='IN-TC'!$S$4,OR(TH!N1884="1111",TH!O1884="1111")),TH!D1884,""),"")</f>
        <v/>
      </c>
      <c r="B1884" s="63">
        <f t="shared" si="154"/>
        <v>2</v>
      </c>
      <c r="C1884" s="1077">
        <v>42429</v>
      </c>
      <c r="D1884" s="1077" t="s">
        <v>570</v>
      </c>
      <c r="E1884" s="1077">
        <v>42429</v>
      </c>
      <c r="F1884" s="80" t="s">
        <v>625</v>
      </c>
      <c r="G1884" s="949" t="s">
        <v>1058</v>
      </c>
      <c r="H1884" s="310" t="s">
        <v>615</v>
      </c>
      <c r="I1884" s="406"/>
      <c r="J1884" s="406"/>
      <c r="K1884" s="397"/>
      <c r="L1884" s="406"/>
      <c r="M1884" s="81">
        <v>200000</v>
      </c>
      <c r="N1884" s="1073"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x</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customHeight="1">
      <c r="A1885" s="323" t="str">
        <f>IF(B1885&lt;&gt;"",IF(AND(B1885='IN-TC'!$S$4,OR(TH!N1878="1111",TH!O1878="1111")),TH!D1878,""),"")</f>
        <v/>
      </c>
      <c r="B1885" s="63">
        <f t="shared" si="154"/>
        <v>1</v>
      </c>
      <c r="C1885" s="78">
        <v>42400</v>
      </c>
      <c r="D1885" s="78" t="s">
        <v>570</v>
      </c>
      <c r="E1885" s="78">
        <v>42395</v>
      </c>
      <c r="F1885" s="80" t="s">
        <v>632</v>
      </c>
      <c r="G1885" s="79" t="s">
        <v>654</v>
      </c>
      <c r="H1885" s="80" t="s">
        <v>617</v>
      </c>
      <c r="I1885" s="406"/>
      <c r="J1885" s="406"/>
      <c r="K1885" s="397"/>
      <c r="L1885" s="406"/>
      <c r="M1885" s="81">
        <v>28991500</v>
      </c>
      <c r="N1885" s="82" t="s">
        <v>276</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customHeight="1">
      <c r="A1886" s="323" t="str">
        <f>IF(B1886&lt;&gt;"",IF(AND(B1886='IN-TC'!$S$4,OR(TH!N1879="1111",TH!O1879="1111")),TH!D1879,""),"")</f>
        <v/>
      </c>
      <c r="B1886" s="63">
        <f t="shared" si="154"/>
        <v>1</v>
      </c>
      <c r="C1886" s="78">
        <v>42400</v>
      </c>
      <c r="D1886" s="78" t="s">
        <v>570</v>
      </c>
      <c r="E1886" s="78">
        <v>42395</v>
      </c>
      <c r="F1886" s="80" t="s">
        <v>633</v>
      </c>
      <c r="G1886" s="934" t="s">
        <v>654</v>
      </c>
      <c r="H1886" s="80" t="s">
        <v>617</v>
      </c>
      <c r="I1886" s="406"/>
      <c r="J1886" s="406"/>
      <c r="K1886" s="397"/>
      <c r="L1886" s="406"/>
      <c r="M1886" s="81">
        <v>2899150</v>
      </c>
      <c r="N1886" s="82"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x</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customHeight="1">
      <c r="A1887" s="323" t="str">
        <f>IF(B1887&lt;&gt;"",IF(AND(B1887='IN-TC'!$S$4,OR(TH!N2524="1111",TH!O2524="1111")),TH!D2524,""),"")</f>
        <v/>
      </c>
      <c r="B1887" s="63">
        <f t="shared" si="154"/>
        <v>2</v>
      </c>
      <c r="C1887" s="64">
        <v>42402</v>
      </c>
      <c r="D1887" s="64" t="s">
        <v>690</v>
      </c>
      <c r="E1887" s="64">
        <v>42402</v>
      </c>
      <c r="F1887" s="482" t="s">
        <v>1076</v>
      </c>
      <c r="G1887" s="67" t="s">
        <v>902</v>
      </c>
      <c r="H1887" s="67" t="s">
        <v>617</v>
      </c>
      <c r="I1887" s="408"/>
      <c r="J1887" s="408"/>
      <c r="K1887" s="399"/>
      <c r="L1887" s="408"/>
      <c r="M1887" s="65">
        <v>27118300</v>
      </c>
      <c r="N1887" s="66" t="s">
        <v>8</v>
      </c>
      <c r="O1887" s="66" t="s">
        <v>25</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customHeight="1">
      <c r="A1888" s="323" t="str">
        <f>IF(B1888&lt;&gt;"",IF(AND(B1888='IN-TC'!$S$4,OR(TH!N2591="1111",TH!O2591="1111")),TH!D2591,""),"")</f>
        <v/>
      </c>
      <c r="B1888" s="63">
        <f t="shared" si="154"/>
        <v>2</v>
      </c>
      <c r="C1888" s="64">
        <v>42419</v>
      </c>
      <c r="D1888" s="64" t="s">
        <v>687</v>
      </c>
      <c r="E1888" s="64">
        <v>42419</v>
      </c>
      <c r="F1888" s="482" t="s">
        <v>1084</v>
      </c>
      <c r="G1888" s="67" t="s">
        <v>902</v>
      </c>
      <c r="H1888" s="67" t="s">
        <v>617</v>
      </c>
      <c r="I1888" s="410"/>
      <c r="J1888" s="410"/>
      <c r="K1888" s="401"/>
      <c r="L1888" s="410"/>
      <c r="M1888" s="65">
        <v>32260140</v>
      </c>
      <c r="N1888" s="66" t="s">
        <v>8</v>
      </c>
      <c r="O1888" s="66" t="s">
        <v>25</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customHeight="1">
      <c r="A1889" s="323" t="str">
        <f>IF(B1889&lt;&gt;"",IF(AND(B1889='IN-TC'!$S$4,OR(TH!N1889="1111",TH!O1889="1111")),TH!D1889,""),"")</f>
        <v/>
      </c>
      <c r="B1889" s="63">
        <f t="shared" si="154"/>
        <v>2</v>
      </c>
      <c r="C1889" s="1077">
        <v>42429</v>
      </c>
      <c r="D1889" s="1077" t="s">
        <v>570</v>
      </c>
      <c r="E1889" s="1077">
        <v>42384</v>
      </c>
      <c r="F1889" s="80" t="s">
        <v>1070</v>
      </c>
      <c r="G1889" s="1107" t="s">
        <v>1061</v>
      </c>
      <c r="H1889" s="310" t="s">
        <v>618</v>
      </c>
      <c r="I1889" s="406"/>
      <c r="J1889" s="406"/>
      <c r="K1889" s="397"/>
      <c r="L1889" s="406"/>
      <c r="M1889" s="81">
        <v>124981818</v>
      </c>
      <c r="N1889" s="1073" t="s">
        <v>159</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customHeight="1">
      <c r="A1890" s="323" t="str">
        <f>IF(B1890&lt;&gt;"",IF(AND(B1890='IN-TC'!$S$4,OR(TH!N1890="1111",TH!O1890="1111")),TH!D1890,""),"")</f>
        <v/>
      </c>
      <c r="B1890" s="63">
        <f t="shared" si="154"/>
        <v>2</v>
      </c>
      <c r="C1890" s="1077">
        <v>42429</v>
      </c>
      <c r="D1890" s="1077" t="s">
        <v>570</v>
      </c>
      <c r="E1890" s="1077">
        <v>42384</v>
      </c>
      <c r="F1890" s="80" t="s">
        <v>1071</v>
      </c>
      <c r="G1890" s="1107" t="s">
        <v>1061</v>
      </c>
      <c r="H1890" s="310" t="s">
        <v>618</v>
      </c>
      <c r="I1890" s="406"/>
      <c r="J1890" s="406"/>
      <c r="K1890" s="397"/>
      <c r="L1890" s="406"/>
      <c r="M1890" s="81">
        <v>12498182</v>
      </c>
      <c r="N1890" s="1073"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x</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customHeight="1">
      <c r="A1891" s="323" t="str">
        <f>IF(B1891&lt;&gt;"",IF(AND(B1891='IN-TC'!$S$4,OR(TH!N2614="1111",TH!O2614="1111")),TH!D2614,""),"")</f>
        <v/>
      </c>
      <c r="B1891" s="63">
        <f t="shared" si="154"/>
        <v>2</v>
      </c>
      <c r="C1891" s="64">
        <v>42424</v>
      </c>
      <c r="D1891" s="64" t="s">
        <v>690</v>
      </c>
      <c r="E1891" s="64">
        <v>42424</v>
      </c>
      <c r="F1891" s="482" t="s">
        <v>1085</v>
      </c>
      <c r="G1891" s="67" t="s">
        <v>902</v>
      </c>
      <c r="H1891" s="67" t="s">
        <v>617</v>
      </c>
      <c r="I1891" s="408"/>
      <c r="J1891" s="408"/>
      <c r="K1891" s="399"/>
      <c r="L1891" s="408"/>
      <c r="M1891" s="65">
        <v>31890650</v>
      </c>
      <c r="N1891" s="66" t="s">
        <v>8</v>
      </c>
      <c r="O1891" s="66" t="s">
        <v>25</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customHeight="1">
      <c r="A1892" s="323" t="str">
        <f>IF(B1892&lt;&gt;"",IF(AND(B1892='IN-TC'!$S$4,OR(TH!N1885="1111",TH!O1885="1111")),TH!D1885,""),"")</f>
        <v/>
      </c>
      <c r="B1892" s="63">
        <f t="shared" si="154"/>
        <v>2</v>
      </c>
      <c r="C1892" s="1077">
        <v>42429</v>
      </c>
      <c r="D1892" s="1077" t="s">
        <v>570</v>
      </c>
      <c r="E1892" s="1077">
        <v>42406</v>
      </c>
      <c r="F1892" s="80" t="s">
        <v>1064</v>
      </c>
      <c r="G1892" s="949" t="s">
        <v>1059</v>
      </c>
      <c r="H1892" s="310" t="s">
        <v>617</v>
      </c>
      <c r="I1892" s="406"/>
      <c r="J1892" s="406"/>
      <c r="K1892" s="397"/>
      <c r="L1892" s="406"/>
      <c r="M1892" s="81">
        <v>29442000</v>
      </c>
      <c r="N1892" s="1073" t="s">
        <v>276</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customHeight="1">
      <c r="A1893" s="323" t="str">
        <f>IF(B1893&lt;&gt;"",IF(AND(B1893='IN-TC'!$S$4,OR(TH!N1886="1111",TH!O1886="1111")),TH!D1886,""),"")</f>
        <v/>
      </c>
      <c r="B1893" s="63">
        <f t="shared" si="154"/>
        <v>2</v>
      </c>
      <c r="C1893" s="1077">
        <v>42429</v>
      </c>
      <c r="D1893" s="1077" t="s">
        <v>570</v>
      </c>
      <c r="E1893" s="1077">
        <v>42406</v>
      </c>
      <c r="F1893" s="80" t="s">
        <v>1065</v>
      </c>
      <c r="G1893" s="949" t="s">
        <v>1059</v>
      </c>
      <c r="H1893" s="310" t="s">
        <v>617</v>
      </c>
      <c r="I1893" s="406"/>
      <c r="J1893" s="406"/>
      <c r="K1893" s="397"/>
      <c r="L1893" s="406"/>
      <c r="M1893" s="81">
        <v>2944200</v>
      </c>
      <c r="N1893" s="1073" t="s">
        <v>9</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x</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customHeight="1">
      <c r="A1894" s="323" t="str">
        <f>IF(B1894&lt;&gt;"",IF(AND(B1894='IN-TC'!$S$4,OR(TH!N1887="1111",TH!O1887="1111")),TH!D1887,""),"")</f>
        <v/>
      </c>
      <c r="B1894" s="63">
        <f t="shared" si="154"/>
        <v>2</v>
      </c>
      <c r="C1894" s="1077">
        <v>42429</v>
      </c>
      <c r="D1894" s="1077" t="s">
        <v>570</v>
      </c>
      <c r="E1894" s="1077">
        <v>42426</v>
      </c>
      <c r="F1894" s="80" t="s">
        <v>1068</v>
      </c>
      <c r="G1894" s="949" t="s">
        <v>1086</v>
      </c>
      <c r="H1894" s="310" t="s">
        <v>617</v>
      </c>
      <c r="I1894" s="406"/>
      <c r="J1894" s="406"/>
      <c r="K1894" s="397"/>
      <c r="L1894" s="406"/>
      <c r="M1894" s="81">
        <v>21102800</v>
      </c>
      <c r="N1894" s="1073" t="s">
        <v>276</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customHeight="1">
      <c r="A1895" s="323" t="str">
        <f>IF(B1895&lt;&gt;"",IF(AND(B1895='IN-TC'!$S$4,OR(TH!N1888="1111",TH!O1888="1111")),TH!D1888,""),"")</f>
        <v/>
      </c>
      <c r="B1895" s="63">
        <f t="shared" si="154"/>
        <v>2</v>
      </c>
      <c r="C1895" s="1077">
        <v>42429</v>
      </c>
      <c r="D1895" s="1077" t="s">
        <v>570</v>
      </c>
      <c r="E1895" s="1077">
        <v>42426</v>
      </c>
      <c r="F1895" s="80" t="s">
        <v>1069</v>
      </c>
      <c r="G1895" s="949" t="s">
        <v>1086</v>
      </c>
      <c r="H1895" s="310" t="s">
        <v>617</v>
      </c>
      <c r="I1895" s="406"/>
      <c r="J1895" s="406"/>
      <c r="K1895" s="397"/>
      <c r="L1895" s="406"/>
      <c r="M1895" s="81">
        <v>2110280</v>
      </c>
      <c r="N1895" s="1073" t="s">
        <v>9</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x</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customHeight="1">
      <c r="A1896" s="323" t="str">
        <f>IF(B1896&lt;&gt;"",IF(AND(B1896='IN-TC'!$S$4,OR(TH!N2831="1111",TH!O2831="1111")),TH!D2831,""),"")</f>
        <v/>
      </c>
      <c r="B1896" s="63">
        <f t="shared" si="154"/>
        <v>2</v>
      </c>
      <c r="C1896" s="306">
        <v>42429</v>
      </c>
      <c r="D1896" s="64" t="s">
        <v>878</v>
      </c>
      <c r="E1896" s="306">
        <v>42416</v>
      </c>
      <c r="F1896" s="482" t="s">
        <v>1066</v>
      </c>
      <c r="G1896" s="935" t="s">
        <v>1060</v>
      </c>
      <c r="H1896" s="308" t="s">
        <v>617</v>
      </c>
      <c r="I1896" s="408"/>
      <c r="J1896" s="408"/>
      <c r="K1896" s="399"/>
      <c r="L1896" s="408"/>
      <c r="M1896" s="65">
        <v>16038100</v>
      </c>
      <c r="N1896" s="309" t="s">
        <v>276</v>
      </c>
      <c r="O1896" s="66" t="s">
        <v>61</v>
      </c>
      <c r="P1896" s="82" t="str">
        <f>IF(AND('331-CT'!$E$7=TH!H1896,OR(N1896="331",O1896="331")),"x","")</f>
        <v/>
      </c>
      <c r="Q1896" s="82" t="str">
        <f>IF(AND(B1896='111'!$L$11,OR($N1896=$Q$7,$O1896=$Q$7)),"x","")</f>
        <v/>
      </c>
      <c r="R1896" s="82" t="str">
        <f>IF(AND($N1896=$Q$7,$B1896&lt;'111'!$L$11),"x","")</f>
        <v/>
      </c>
      <c r="S1896" s="82" t="str">
        <f>IF(AND($O1896=$Q$7,$B1896&lt;'111'!$L$11),"x","")</f>
        <v>x</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customHeight="1">
      <c r="A1897" s="323" t="str">
        <f>IF(B1897&lt;&gt;"",IF(AND(B1897='IN-TC'!$S$4,OR(TH!N2832="1111",TH!O2832="1111")),TH!D2832,""),"")</f>
        <v/>
      </c>
      <c r="B1897" s="63">
        <f t="shared" si="154"/>
        <v>2</v>
      </c>
      <c r="C1897" s="306">
        <v>42429</v>
      </c>
      <c r="D1897" s="64" t="s">
        <v>878</v>
      </c>
      <c r="E1897" s="306">
        <v>42416</v>
      </c>
      <c r="F1897" s="482" t="s">
        <v>1067</v>
      </c>
      <c r="G1897" s="935" t="s">
        <v>1060</v>
      </c>
      <c r="H1897" s="308" t="s">
        <v>617</v>
      </c>
      <c r="I1897" s="408"/>
      <c r="J1897" s="408"/>
      <c r="K1897" s="399"/>
      <c r="L1897" s="408"/>
      <c r="M1897" s="65">
        <v>1603810</v>
      </c>
      <c r="N1897" s="309" t="s">
        <v>9</v>
      </c>
      <c r="O1897" s="66" t="s">
        <v>61</v>
      </c>
      <c r="P1897" s="82" t="str">
        <f>IF(AND('331-CT'!$E$7=TH!H1897,OR(N1897="331",O1897="331")),"x","")</f>
        <v/>
      </c>
      <c r="Q1897" s="82" t="str">
        <f>IF(AND(B1897='111'!$L$11,OR($N1897=$Q$7,$O1897=$Q$7)),"x","")</f>
        <v/>
      </c>
      <c r="R1897" s="82" t="str">
        <f>IF(AND($N1897=$Q$7,$B1897&lt;'111'!$L$11),"x","")</f>
        <v/>
      </c>
      <c r="S1897" s="82" t="str">
        <f>IF(AND($O1897=$Q$7,$B1897&lt;'111'!$L$11),"x","")</f>
        <v>x</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x</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customHeight="1">
      <c r="A1898" s="323" t="str">
        <f>IF(B1898&lt;&gt;"",IF(AND(B1898='IN-TC'!$S$4,OR(TH!N2649="1111",TH!O2649="1111")),TH!D2649,""),"")</f>
        <v/>
      </c>
      <c r="B1898" s="63">
        <f t="shared" si="154"/>
        <v>3</v>
      </c>
      <c r="C1898" s="64">
        <v>42430</v>
      </c>
      <c r="D1898" s="306" t="s">
        <v>690</v>
      </c>
      <c r="E1898" s="64">
        <v>42430</v>
      </c>
      <c r="F1898" s="482" t="s">
        <v>1185</v>
      </c>
      <c r="G1898" s="67" t="s">
        <v>902</v>
      </c>
      <c r="H1898" s="329" t="s">
        <v>617</v>
      </c>
      <c r="I1898" s="408"/>
      <c r="J1898" s="408"/>
      <c r="K1898" s="399"/>
      <c r="L1898" s="408"/>
      <c r="M1898" s="65">
        <v>32386200</v>
      </c>
      <c r="N1898" s="66" t="s">
        <v>8</v>
      </c>
      <c r="O1898" s="66" t="s">
        <v>25</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customHeight="1">
      <c r="A1899" s="323" t="str">
        <f>IF(B1899&lt;&gt;"",IF(AND(B1899='IN-TC'!$S$4,OR(TH!N1899="1111",TH!O1899="1111")),TH!D1899,""),"")</f>
        <v/>
      </c>
      <c r="B1899" s="63">
        <f t="shared" si="154"/>
        <v>3</v>
      </c>
      <c r="C1899" s="1077">
        <v>42460</v>
      </c>
      <c r="D1899" s="1077" t="s">
        <v>570</v>
      </c>
      <c r="E1899" s="78">
        <v>42447</v>
      </c>
      <c r="F1899" s="80" t="s">
        <v>1152</v>
      </c>
      <c r="G1899" s="934" t="s">
        <v>1154</v>
      </c>
      <c r="H1899" s="80" t="s">
        <v>1155</v>
      </c>
      <c r="I1899" s="406"/>
      <c r="J1899" s="406"/>
      <c r="K1899" s="397"/>
      <c r="L1899" s="406"/>
      <c r="M1899" s="81">
        <v>33545455</v>
      </c>
      <c r="N1899" s="82" t="s">
        <v>159</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customHeight="1">
      <c r="A1900" s="323" t="str">
        <f>IF(B1900&lt;&gt;"",IF(AND(B1900='IN-TC'!$S$4,OR(TH!N1900="1111",TH!O1900="1111")),TH!D1900,""),"")</f>
        <v/>
      </c>
      <c r="B1900" s="63">
        <f t="shared" si="154"/>
        <v>3</v>
      </c>
      <c r="C1900" s="1077">
        <v>42460</v>
      </c>
      <c r="D1900" s="1077" t="s">
        <v>570</v>
      </c>
      <c r="E1900" s="78">
        <v>42447</v>
      </c>
      <c r="F1900" s="80" t="s">
        <v>1153</v>
      </c>
      <c r="G1900" s="934" t="s">
        <v>1154</v>
      </c>
      <c r="H1900" s="80" t="s">
        <v>1155</v>
      </c>
      <c r="I1900" s="406"/>
      <c r="J1900" s="406"/>
      <c r="K1900" s="397"/>
      <c r="L1900" s="406"/>
      <c r="M1900" s="81">
        <v>3354545</v>
      </c>
      <c r="N1900" s="1073"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x</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customHeight="1">
      <c r="A1901" s="323" t="str">
        <f>IF(B1901&lt;&gt;"",IF(AND(B1901='IN-TC'!$S$4,OR(TH!N1901="1111",TH!O1901="1111")),TH!D1901,""),"")</f>
        <v/>
      </c>
      <c r="B1901" s="63">
        <f t="shared" si="154"/>
        <v>3</v>
      </c>
      <c r="C1901" s="1077">
        <v>42460</v>
      </c>
      <c r="D1901" s="1077" t="s">
        <v>570</v>
      </c>
      <c r="E1901" s="78">
        <v>42454</v>
      </c>
      <c r="F1901" s="80" t="s">
        <v>1409</v>
      </c>
      <c r="G1901" s="934"/>
      <c r="H1901" s="80" t="s">
        <v>1410</v>
      </c>
      <c r="I1901" s="406"/>
      <c r="J1901" s="406"/>
      <c r="K1901" s="397"/>
      <c r="L1901" s="406"/>
      <c r="M1901" s="81">
        <v>1000000</v>
      </c>
      <c r="N1901" s="1073" t="s">
        <v>99</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customHeight="1">
      <c r="A1902" s="323" t="str">
        <f>IF(B1902&lt;&gt;"",IF(AND(B1902='IN-TC'!$S$4,OR(TH!N1858="1111",TH!O1858="1111")),TH!D1858,""),"")</f>
        <v/>
      </c>
      <c r="B1902" s="63">
        <f t="shared" ref="B1902:B1965" si="155">IF(C1902&lt;&gt;"",MONTH(C1902),"")</f>
        <v>1</v>
      </c>
      <c r="C1902" s="78">
        <v>42400</v>
      </c>
      <c r="D1902" s="78" t="s">
        <v>570</v>
      </c>
      <c r="E1902" s="78">
        <v>42369</v>
      </c>
      <c r="F1902" s="80" t="s">
        <v>623</v>
      </c>
      <c r="G1902" s="79" t="s">
        <v>642</v>
      </c>
      <c r="H1902" s="80" t="s">
        <v>614</v>
      </c>
      <c r="I1902" s="406"/>
      <c r="J1902" s="406"/>
      <c r="K1902" s="397"/>
      <c r="L1902" s="406"/>
      <c r="M1902" s="81">
        <v>4645000</v>
      </c>
      <c r="N1902" s="82" t="s">
        <v>579</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customHeight="1">
      <c r="A1903" s="323" t="str">
        <f>IF(B1903&lt;&gt;"",IF(AND(B1903='IN-TC'!$S$4,OR(TH!N1859="1111",TH!O1859="1111")),TH!D1859,""),"")</f>
        <v/>
      </c>
      <c r="B1903" s="63">
        <f t="shared" si="155"/>
        <v>1</v>
      </c>
      <c r="C1903" s="78">
        <v>42400</v>
      </c>
      <c r="D1903" s="78" t="s">
        <v>570</v>
      </c>
      <c r="E1903" s="78">
        <v>42369</v>
      </c>
      <c r="F1903" s="80" t="s">
        <v>623</v>
      </c>
      <c r="G1903" s="79" t="s">
        <v>643</v>
      </c>
      <c r="H1903" s="80" t="s">
        <v>614</v>
      </c>
      <c r="I1903" s="406"/>
      <c r="J1903" s="406"/>
      <c r="K1903" s="397"/>
      <c r="L1903" s="406"/>
      <c r="M1903" s="81">
        <v>1300000</v>
      </c>
      <c r="N1903" s="82" t="s">
        <v>579</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customHeight="1">
      <c r="A1904" s="323" t="str">
        <f>IF(B1904&lt;&gt;"",IF(AND(B1904='IN-TC'!$S$4,OR(TH!N1904="1111",TH!O1904="1111")),TH!D1904,""),"")</f>
        <v/>
      </c>
      <c r="B1904" s="63">
        <f t="shared" si="155"/>
        <v>3</v>
      </c>
      <c r="C1904" s="1077">
        <v>42460</v>
      </c>
      <c r="D1904" s="1077" t="s">
        <v>570</v>
      </c>
      <c r="E1904" s="1077">
        <v>42445</v>
      </c>
      <c r="F1904" s="80" t="s">
        <v>754</v>
      </c>
      <c r="G1904" s="934" t="s">
        <v>1120</v>
      </c>
      <c r="H1904" s="310" t="s">
        <v>1119</v>
      </c>
      <c r="I1904" s="406"/>
      <c r="J1904" s="406"/>
      <c r="K1904" s="397"/>
      <c r="L1904" s="406"/>
      <c r="M1904" s="81">
        <v>10528000</v>
      </c>
      <c r="N1904" s="82" t="s">
        <v>579</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customHeight="1">
      <c r="A1905" s="323" t="str">
        <f>IF(B1905&lt;&gt;"",IF(AND(B1905='IN-TC'!$S$4,OR(TH!N1905="1111",TH!O1905="1111")),TH!D1905,""),"")</f>
        <v/>
      </c>
      <c r="B1905" s="63">
        <f t="shared" si="155"/>
        <v>3</v>
      </c>
      <c r="C1905" s="1077">
        <v>42460</v>
      </c>
      <c r="D1905" s="1077" t="s">
        <v>570</v>
      </c>
      <c r="E1905" s="1077">
        <v>42445</v>
      </c>
      <c r="F1905" s="80" t="s">
        <v>1116</v>
      </c>
      <c r="G1905" s="949" t="s">
        <v>1118</v>
      </c>
      <c r="H1905" s="310" t="s">
        <v>1119</v>
      </c>
      <c r="I1905" s="406"/>
      <c r="J1905" s="406"/>
      <c r="K1905" s="397"/>
      <c r="L1905" s="406"/>
      <c r="M1905" s="81">
        <v>5219200</v>
      </c>
      <c r="N1905" s="82" t="s">
        <v>579</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customHeight="1">
      <c r="A1906" s="323" t="str">
        <f>IF(B1906&lt;&gt;"",IF(AND(B1906='IN-TC'!$S$4,OR(TH!N1906="1111",TH!O1906="1111")),TH!D1906,""),"")</f>
        <v/>
      </c>
      <c r="B1906" s="63">
        <f t="shared" si="155"/>
        <v>3</v>
      </c>
      <c r="C1906" s="1077">
        <v>42460</v>
      </c>
      <c r="D1906" s="1077" t="s">
        <v>570</v>
      </c>
      <c r="E1906" s="1077">
        <v>42445</v>
      </c>
      <c r="F1906" s="80" t="s">
        <v>1117</v>
      </c>
      <c r="G1906" s="949" t="s">
        <v>1118</v>
      </c>
      <c r="H1906" s="310" t="s">
        <v>1119</v>
      </c>
      <c r="I1906" s="406"/>
      <c r="J1906" s="406"/>
      <c r="K1906" s="397"/>
      <c r="L1906" s="406"/>
      <c r="M1906" s="81">
        <v>521920</v>
      </c>
      <c r="N1906" s="1073"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x</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customHeight="1">
      <c r="A1907" s="323" t="str">
        <f>IF(B1907&lt;&gt;"",IF(AND(B1907='IN-TC'!$S$4,OR(TH!N1907="1111",TH!O1907="1111")),TH!D1907,""),"")</f>
        <v/>
      </c>
      <c r="B1907" s="63">
        <f t="shared" si="155"/>
        <v>4</v>
      </c>
      <c r="C1907" s="78">
        <v>42490</v>
      </c>
      <c r="D1907" s="78" t="s">
        <v>570</v>
      </c>
      <c r="E1907" s="78">
        <v>42466</v>
      </c>
      <c r="F1907" s="80" t="s">
        <v>624</v>
      </c>
      <c r="G1907" s="934" t="s">
        <v>1396</v>
      </c>
      <c r="H1907" s="80" t="s">
        <v>615</v>
      </c>
      <c r="I1907" s="406"/>
      <c r="J1907" s="406"/>
      <c r="K1907" s="397"/>
      <c r="L1907" s="406"/>
      <c r="M1907" s="81">
        <v>2000000</v>
      </c>
      <c r="N1907" s="82" t="s">
        <v>579</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customHeight="1">
      <c r="A1908" s="323" t="str">
        <f>IF(B1908&lt;&gt;"",IF(AND(B1908='IN-TC'!$S$4,OR(TH!N1908="1111",TH!O1908="1111")),TH!D1908,""),"")</f>
        <v/>
      </c>
      <c r="B1908" s="63">
        <f t="shared" si="155"/>
        <v>4</v>
      </c>
      <c r="C1908" s="78">
        <v>42490</v>
      </c>
      <c r="D1908" s="78" t="s">
        <v>570</v>
      </c>
      <c r="E1908" s="78">
        <v>42466</v>
      </c>
      <c r="F1908" s="80" t="s">
        <v>625</v>
      </c>
      <c r="G1908" s="934" t="s">
        <v>1396</v>
      </c>
      <c r="H1908" s="80" t="s">
        <v>615</v>
      </c>
      <c r="I1908" s="406"/>
      <c r="J1908" s="406"/>
      <c r="K1908" s="397"/>
      <c r="L1908" s="406"/>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x</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customHeight="1">
      <c r="A1909" s="323" t="str">
        <f>IF(B1909&lt;&gt;"",IF(AND(B1909='IN-TC'!$S$4,OR(TH!N1882="1111",TH!O1882="1111")),TH!D1882,""),"")</f>
        <v/>
      </c>
      <c r="B1909" s="63">
        <f t="shared" si="155"/>
        <v>2</v>
      </c>
      <c r="C1909" s="1077">
        <v>42429</v>
      </c>
      <c r="D1909" s="1077" t="s">
        <v>570</v>
      </c>
      <c r="E1909" s="1077">
        <v>42407</v>
      </c>
      <c r="F1909" s="80" t="s">
        <v>1063</v>
      </c>
      <c r="G1909" s="949" t="s">
        <v>1057</v>
      </c>
      <c r="H1909" s="310" t="s">
        <v>616</v>
      </c>
      <c r="I1909" s="406"/>
      <c r="J1909" s="406"/>
      <c r="K1909" s="397"/>
      <c r="L1909" s="406"/>
      <c r="M1909" s="81">
        <v>531930</v>
      </c>
      <c r="N1909" s="1073" t="s">
        <v>9</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x</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customHeight="1">
      <c r="A1910" s="323" t="str">
        <f>IF(B1910&lt;&gt;"",IF(AND(B1910='IN-TC'!$S$4,OR(TH!N2752="1111",TH!O2752="1111")),TH!D2752,""),"")</f>
        <v/>
      </c>
      <c r="B1910" s="63">
        <f t="shared" si="155"/>
        <v>3</v>
      </c>
      <c r="C1910" s="64">
        <v>42444</v>
      </c>
      <c r="D1910" s="306" t="s">
        <v>690</v>
      </c>
      <c r="E1910" s="64">
        <v>42444</v>
      </c>
      <c r="F1910" s="72" t="s">
        <v>1400</v>
      </c>
      <c r="G1910" s="67" t="s">
        <v>902</v>
      </c>
      <c r="H1910" s="72" t="s">
        <v>616</v>
      </c>
      <c r="I1910" s="408"/>
      <c r="J1910" s="408"/>
      <c r="K1910" s="399"/>
      <c r="L1910" s="408"/>
      <c r="M1910" s="65">
        <v>50000000</v>
      </c>
      <c r="N1910" s="66" t="s">
        <v>8</v>
      </c>
      <c r="O1910" s="66" t="s">
        <v>25</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customHeight="1">
      <c r="A1911" s="323" t="str">
        <f>IF(B1911&lt;&gt;"",IF(AND(B1911='IN-TC'!$S$4,OR(TH!N1909="1111",TH!O1909="1111")),TH!D1909,""),"")</f>
        <v/>
      </c>
      <c r="B1911" s="63">
        <f t="shared" si="155"/>
        <v>4</v>
      </c>
      <c r="C1911" s="78">
        <v>42490</v>
      </c>
      <c r="D1911" s="78" t="s">
        <v>570</v>
      </c>
      <c r="E1911" s="78">
        <v>42475</v>
      </c>
      <c r="F1911" s="80" t="s">
        <v>620</v>
      </c>
      <c r="G1911" s="934" t="s">
        <v>1397</v>
      </c>
      <c r="H1911" s="80" t="s">
        <v>616</v>
      </c>
      <c r="I1911" s="406"/>
      <c r="J1911" s="406"/>
      <c r="K1911" s="397"/>
      <c r="L1911" s="406"/>
      <c r="M1911" s="81">
        <v>11856100</v>
      </c>
      <c r="N1911" s="82" t="s">
        <v>579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customHeight="1">
      <c r="A1912" s="323" t="str">
        <f>IF(B1912&lt;&gt;"",IF(AND(B1912='IN-TC'!$S$4,OR(TH!N1912="1111",TH!O1912="1111")),TH!D1912,""),"")</f>
        <v/>
      </c>
      <c r="B1912" s="63">
        <f t="shared" si="155"/>
        <v>4</v>
      </c>
      <c r="C1912" s="78">
        <v>42490</v>
      </c>
      <c r="D1912" s="78" t="s">
        <v>570</v>
      </c>
      <c r="E1912" s="78">
        <v>42488</v>
      </c>
      <c r="F1912" s="80" t="s">
        <v>1411</v>
      </c>
      <c r="G1912" s="934" t="s">
        <v>1413</v>
      </c>
      <c r="H1912" s="80" t="s">
        <v>1414</v>
      </c>
      <c r="I1912" s="406"/>
      <c r="J1912" s="406"/>
      <c r="K1912" s="397"/>
      <c r="L1912" s="406"/>
      <c r="M1912" s="81">
        <v>7200000</v>
      </c>
      <c r="N1912" s="1073" t="s">
        <v>99</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customHeight="1">
      <c r="A1913" s="323" t="str">
        <f>IF(B1913&lt;&gt;"",IF(AND(B1913='IN-TC'!$S$4,OR(TH!N1913="1111",TH!O1913="1111")),TH!D1913,""),"")</f>
        <v/>
      </c>
      <c r="B1913" s="63">
        <f t="shared" si="155"/>
        <v>4</v>
      </c>
      <c r="C1913" s="78">
        <v>42490</v>
      </c>
      <c r="D1913" s="78" t="s">
        <v>570</v>
      </c>
      <c r="E1913" s="78">
        <v>42488</v>
      </c>
      <c r="F1913" s="80" t="s">
        <v>1412</v>
      </c>
      <c r="G1913" s="934" t="s">
        <v>1413</v>
      </c>
      <c r="H1913" s="80" t="s">
        <v>1414</v>
      </c>
      <c r="I1913" s="406"/>
      <c r="J1913" s="406"/>
      <c r="K1913" s="397"/>
      <c r="L1913" s="406"/>
      <c r="M1913" s="81">
        <v>720000</v>
      </c>
      <c r="N1913" s="1073"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x</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customHeight="1">
      <c r="A1914" s="323" t="str">
        <f>IF(B1914&lt;&gt;"",IF(AND(B1914='IN-TC'!$S$4,OR(TH!N2729="1111",TH!O2729="1111")),TH!D2729,""),"")</f>
        <v/>
      </c>
      <c r="B1914" s="63">
        <f t="shared" si="155"/>
        <v>3</v>
      </c>
      <c r="C1914" s="64">
        <v>42444</v>
      </c>
      <c r="D1914" s="306" t="s">
        <v>690</v>
      </c>
      <c r="E1914" s="64">
        <v>42444</v>
      </c>
      <c r="F1914" s="72" t="s">
        <v>1190</v>
      </c>
      <c r="G1914" s="67" t="s">
        <v>902</v>
      </c>
      <c r="H1914" s="72" t="s">
        <v>614</v>
      </c>
      <c r="I1914" s="408"/>
      <c r="J1914" s="408"/>
      <c r="K1914" s="399"/>
      <c r="L1914" s="408"/>
      <c r="M1914" s="65">
        <v>5737000</v>
      </c>
      <c r="N1914" s="66" t="s">
        <v>8</v>
      </c>
      <c r="O1914" s="66" t="s">
        <v>25</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customHeight="1">
      <c r="A1915" s="323" t="str">
        <f>IF(B1915&lt;&gt;"",IF(AND(B1915='IN-TC'!$S$4,OR(TH!N2732="1111",TH!O2732="1111")),TH!D2732,""),"")</f>
        <v/>
      </c>
      <c r="B1915" s="63">
        <f t="shared" si="155"/>
        <v>3</v>
      </c>
      <c r="C1915" s="64">
        <v>42444</v>
      </c>
      <c r="D1915" s="306" t="s">
        <v>690</v>
      </c>
      <c r="E1915" s="64">
        <v>42444</v>
      </c>
      <c r="F1915" s="72" t="s">
        <v>1190</v>
      </c>
      <c r="G1915" s="67" t="s">
        <v>902</v>
      </c>
      <c r="H1915" s="72" t="s">
        <v>614</v>
      </c>
      <c r="I1915" s="408"/>
      <c r="J1915" s="408"/>
      <c r="K1915" s="399"/>
      <c r="L1915" s="408"/>
      <c r="M1915" s="65">
        <v>480000</v>
      </c>
      <c r="N1915" s="66" t="s">
        <v>8</v>
      </c>
      <c r="O1915" s="66" t="s">
        <v>25</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customHeight="1">
      <c r="A1916" s="323" t="str">
        <f>IF(B1916&lt;&gt;"",IF(AND(B1916='IN-TC'!$S$4,OR(TH!N1902="1111",TH!O1902="1111")),TH!D1902,""),"")</f>
        <v/>
      </c>
      <c r="B1916" s="63">
        <f t="shared" si="155"/>
        <v>3</v>
      </c>
      <c r="C1916" s="1077">
        <v>42460</v>
      </c>
      <c r="D1916" s="1077" t="s">
        <v>570</v>
      </c>
      <c r="E1916" s="78">
        <v>42369</v>
      </c>
      <c r="F1916" s="80" t="s">
        <v>623</v>
      </c>
      <c r="G1916" s="934" t="s">
        <v>1157</v>
      </c>
      <c r="H1916" s="1119" t="s">
        <v>614</v>
      </c>
      <c r="I1916" s="406"/>
      <c r="J1916" s="406"/>
      <c r="K1916" s="397"/>
      <c r="L1916" s="406"/>
      <c r="M1916" s="81">
        <v>480000</v>
      </c>
      <c r="N1916" s="82" t="s">
        <v>579</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customHeight="1">
      <c r="A1917" s="323" t="str">
        <f>IF(B1917&lt;&gt;"",IF(AND(B1917='IN-TC'!$S$4,OR(TH!N2697="1111",TH!O2697="1111")),TH!D2697,""),"")</f>
        <v/>
      </c>
      <c r="B1917" s="63">
        <f t="shared" si="155"/>
        <v>3</v>
      </c>
      <c r="C1917" s="306">
        <v>42437</v>
      </c>
      <c r="D1917" s="306" t="s">
        <v>690</v>
      </c>
      <c r="E1917" s="306">
        <v>42437</v>
      </c>
      <c r="F1917" s="72" t="s">
        <v>1189</v>
      </c>
      <c r="G1917" s="935" t="s">
        <v>902</v>
      </c>
      <c r="H1917" s="308" t="s">
        <v>617</v>
      </c>
      <c r="I1917" s="408"/>
      <c r="J1917" s="408"/>
      <c r="K1917" s="399"/>
      <c r="L1917" s="408"/>
      <c r="M1917" s="65">
        <v>23473066</v>
      </c>
      <c r="N1917" s="309" t="s">
        <v>8</v>
      </c>
      <c r="O1917" s="66" t="s">
        <v>25</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customHeight="1">
      <c r="A1918" s="323" t="str">
        <f>IF(B1918&lt;&gt;"",IF(AND(B1918='IN-TC'!$S$4,OR(TH!N2735="1111",TH!O2735="1111")),TH!D2735,""),"")</f>
        <v/>
      </c>
      <c r="B1918" s="63">
        <f t="shared" si="155"/>
        <v>3</v>
      </c>
      <c r="C1918" s="64">
        <v>42444</v>
      </c>
      <c r="D1918" s="306" t="s">
        <v>690</v>
      </c>
      <c r="E1918" s="64">
        <v>42444</v>
      </c>
      <c r="F1918" s="72" t="s">
        <v>1191</v>
      </c>
      <c r="G1918" s="67" t="s">
        <v>902</v>
      </c>
      <c r="H1918" s="72" t="s">
        <v>617</v>
      </c>
      <c r="I1918" s="408"/>
      <c r="J1918" s="408"/>
      <c r="K1918" s="399"/>
      <c r="L1918" s="408"/>
      <c r="M1918" s="65">
        <v>22749430</v>
      </c>
      <c r="N1918" s="66" t="s">
        <v>8</v>
      </c>
      <c r="O1918" s="66" t="s">
        <v>25</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customHeight="1">
      <c r="A1919" s="323" t="str">
        <f>IF(B1919&lt;&gt;"",IF(AND(B1919='IN-TC'!$S$4,OR(TH!N2818="1111",TH!O2818="1111")),TH!D2818,""),"")</f>
        <v/>
      </c>
      <c r="B1919" s="63">
        <f t="shared" si="155"/>
        <v>3</v>
      </c>
      <c r="C1919" s="64">
        <v>42459</v>
      </c>
      <c r="D1919" s="64" t="s">
        <v>690</v>
      </c>
      <c r="E1919" s="64">
        <v>42459</v>
      </c>
      <c r="F1919" s="72" t="s">
        <v>1203</v>
      </c>
      <c r="G1919" s="931" t="s">
        <v>902</v>
      </c>
      <c r="H1919" s="72" t="s">
        <v>617</v>
      </c>
      <c r="I1919" s="408"/>
      <c r="J1919" s="408"/>
      <c r="K1919" s="399"/>
      <c r="L1919" s="408"/>
      <c r="M1919" s="65">
        <v>23396120</v>
      </c>
      <c r="N1919" s="66" t="s">
        <v>8</v>
      </c>
      <c r="O1919" s="66" t="s">
        <v>25</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customHeight="1">
      <c r="A1920" s="323" t="str">
        <f>IF(B1920&lt;&gt;"",IF(AND(B1920='IN-TC'!$S$4,OR(TH!N1891="1111",TH!O1891="1111")),TH!D1891,""),"")</f>
        <v/>
      </c>
      <c r="B1920" s="63">
        <f t="shared" si="155"/>
        <v>3</v>
      </c>
      <c r="C1920" s="1077">
        <v>42460</v>
      </c>
      <c r="D1920" s="1077" t="s">
        <v>570</v>
      </c>
      <c r="E1920" s="1077">
        <v>42426</v>
      </c>
      <c r="F1920" s="80" t="s">
        <v>1127</v>
      </c>
      <c r="G1920" s="949" t="s">
        <v>1129</v>
      </c>
      <c r="H1920" s="310" t="s">
        <v>617</v>
      </c>
      <c r="I1920" s="406"/>
      <c r="J1920" s="406"/>
      <c r="K1920" s="397"/>
      <c r="L1920" s="406"/>
      <c r="M1920" s="81">
        <v>236351</v>
      </c>
      <c r="N1920" s="1073" t="s">
        <v>99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customHeight="1">
      <c r="A1921" s="323" t="str">
        <f>IF(B1921&lt;&gt;"",IF(AND(B1921='IN-TC'!$S$4,OR(TH!N1892="1111",TH!O1892="1111")),TH!D1892,""),"")</f>
        <v/>
      </c>
      <c r="B1921" s="63">
        <f t="shared" si="155"/>
        <v>3</v>
      </c>
      <c r="C1921" s="1077">
        <v>42460</v>
      </c>
      <c r="D1921" s="1077" t="s">
        <v>570</v>
      </c>
      <c r="E1921" s="1077">
        <v>42426</v>
      </c>
      <c r="F1921" s="80" t="s">
        <v>1128</v>
      </c>
      <c r="G1921" s="949" t="s">
        <v>1129</v>
      </c>
      <c r="H1921" s="310" t="s">
        <v>617</v>
      </c>
      <c r="I1921" s="406"/>
      <c r="J1921" s="406"/>
      <c r="K1921" s="397"/>
      <c r="L1921" s="406"/>
      <c r="M1921" s="81">
        <v>23635</v>
      </c>
      <c r="N1921" s="1073" t="s">
        <v>9</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x</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customHeight="1">
      <c r="A1922" s="323" t="str">
        <f>IF(B1922&lt;&gt;"",IF(AND(B1922='IN-TC'!$S$4,OR(TH!N1893="1111",TH!O1893="1111")),TH!D1893,""),"")</f>
        <v/>
      </c>
      <c r="B1922" s="63">
        <f t="shared" si="155"/>
        <v>3</v>
      </c>
      <c r="C1922" s="1077">
        <v>42460</v>
      </c>
      <c r="D1922" s="1077" t="s">
        <v>570</v>
      </c>
      <c r="E1922" s="1077">
        <v>42436</v>
      </c>
      <c r="F1922" s="80" t="s">
        <v>1146</v>
      </c>
      <c r="G1922" s="949" t="s">
        <v>1369</v>
      </c>
      <c r="H1922" s="310" t="s">
        <v>617</v>
      </c>
      <c r="I1922" s="406"/>
      <c r="J1922" s="406"/>
      <c r="K1922" s="397"/>
      <c r="L1922" s="406"/>
      <c r="M1922" s="81">
        <v>20681300</v>
      </c>
      <c r="N1922" s="1073" t="s">
        <v>276</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customHeight="1">
      <c r="A1923" s="323" t="str">
        <f>IF(B1923&lt;&gt;"",IF(AND(B1923='IN-TC'!$S$4,OR(TH!N1923="1111",TH!O1923="1111")),TH!D1923,""),"")</f>
        <v/>
      </c>
      <c r="B1923" s="63">
        <f t="shared" si="155"/>
        <v>5</v>
      </c>
      <c r="C1923" s="1077">
        <v>42521</v>
      </c>
      <c r="D1923" s="1077" t="s">
        <v>570</v>
      </c>
      <c r="E1923" s="1077">
        <v>42502</v>
      </c>
      <c r="F1923" s="80" t="s">
        <v>624</v>
      </c>
      <c r="G1923" s="949" t="s">
        <v>1491</v>
      </c>
      <c r="H1923" s="310" t="s">
        <v>615</v>
      </c>
      <c r="I1923" s="406"/>
      <c r="J1923" s="406"/>
      <c r="K1923" s="397"/>
      <c r="L1923" s="406"/>
      <c r="M1923" s="81">
        <v>2000000</v>
      </c>
      <c r="N1923" s="82" t="s">
        <v>579</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customHeight="1">
      <c r="A1924" s="323" t="str">
        <f>IF(B1924&lt;&gt;"",IF(AND(B1924='IN-TC'!$S$4,OR(TH!N1924="1111",TH!O1924="1111")),TH!D1924,""),"")</f>
        <v/>
      </c>
      <c r="B1924" s="63">
        <f t="shared" si="155"/>
        <v>5</v>
      </c>
      <c r="C1924" s="1077">
        <v>42521</v>
      </c>
      <c r="D1924" s="1077" t="s">
        <v>570</v>
      </c>
      <c r="E1924" s="1077">
        <v>42502</v>
      </c>
      <c r="F1924" s="80" t="s">
        <v>625</v>
      </c>
      <c r="G1924" s="949" t="s">
        <v>1491</v>
      </c>
      <c r="H1924" s="310" t="s">
        <v>615</v>
      </c>
      <c r="I1924" s="406"/>
      <c r="J1924" s="406"/>
      <c r="K1924" s="397"/>
      <c r="L1924" s="406"/>
      <c r="M1924" s="81">
        <v>200000</v>
      </c>
      <c r="N1924" s="1073"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x</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customHeight="1">
      <c r="A1925" s="323" t="str">
        <f>IF(B1925&lt;&gt;"",IF(AND(B1925='IN-TC'!$S$4,OR(TH!N1925="1111",TH!O1925="1111")),TH!D1925,""),"")</f>
        <v/>
      </c>
      <c r="B1925" s="63">
        <f t="shared" si="155"/>
        <v>5</v>
      </c>
      <c r="C1925" s="1077">
        <v>42521</v>
      </c>
      <c r="D1925" s="1077" t="s">
        <v>570</v>
      </c>
      <c r="E1925" s="1077">
        <v>42503</v>
      </c>
      <c r="F1925" s="80" t="s">
        <v>1486</v>
      </c>
      <c r="G1925" s="949" t="s">
        <v>1485</v>
      </c>
      <c r="H1925" s="310" t="s">
        <v>1484</v>
      </c>
      <c r="I1925" s="406"/>
      <c r="J1925" s="406"/>
      <c r="K1925" s="397"/>
      <c r="L1925" s="406"/>
      <c r="M1925" s="81">
        <v>18972000</v>
      </c>
      <c r="N1925" s="82" t="s">
        <v>579</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customHeight="1">
      <c r="A1926" s="323" t="str">
        <f>IF(B1926&lt;&gt;"",IF(AND(B1926='IN-TC'!$S$4,OR(TH!N1926="1111",TH!O1926="1111")),TH!D1926,""),"")</f>
        <v/>
      </c>
      <c r="B1926" s="63">
        <f t="shared" si="155"/>
        <v>5</v>
      </c>
      <c r="C1926" s="1077">
        <v>42521</v>
      </c>
      <c r="D1926" s="1077" t="s">
        <v>570</v>
      </c>
      <c r="E1926" s="1077">
        <v>42503</v>
      </c>
      <c r="F1926" s="80" t="s">
        <v>1481</v>
      </c>
      <c r="G1926" s="949" t="s">
        <v>1483</v>
      </c>
      <c r="H1926" s="310" t="s">
        <v>1484</v>
      </c>
      <c r="I1926" s="406"/>
      <c r="J1926" s="406"/>
      <c r="K1926" s="397"/>
      <c r="L1926" s="406"/>
      <c r="M1926" s="81">
        <v>8503920</v>
      </c>
      <c r="N1926" s="82" t="s">
        <v>579</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customHeight="1">
      <c r="A1927" s="323" t="str">
        <f>IF(B1927&lt;&gt;"",IF(AND(B1927='IN-TC'!$S$4,OR(TH!N1927="1111",TH!O1927="1111")),TH!D1927,""),"")</f>
        <v/>
      </c>
      <c r="B1927" s="63">
        <f t="shared" si="155"/>
        <v>5</v>
      </c>
      <c r="C1927" s="1077">
        <v>42521</v>
      </c>
      <c r="D1927" s="1077" t="s">
        <v>570</v>
      </c>
      <c r="E1927" s="1077">
        <v>42503</v>
      </c>
      <c r="F1927" s="80" t="s">
        <v>1482</v>
      </c>
      <c r="G1927" s="949" t="s">
        <v>1483</v>
      </c>
      <c r="H1927" s="310" t="s">
        <v>1484</v>
      </c>
      <c r="I1927" s="406"/>
      <c r="J1927" s="406"/>
      <c r="K1927" s="397"/>
      <c r="L1927" s="406"/>
      <c r="M1927" s="81">
        <v>850392</v>
      </c>
      <c r="N1927" s="1073"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x</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customHeight="1">
      <c r="A1928" s="323" t="str">
        <f>IF(B1928&lt;&gt;"",IF(AND(B1928='IN-TC'!$S$4,OR(TH!N1928="1111",TH!O1928="1111")),TH!D1928,""),"")</f>
        <v/>
      </c>
      <c r="B1928" s="63">
        <f t="shared" si="155"/>
        <v>5</v>
      </c>
      <c r="C1928" s="1077">
        <v>42521</v>
      </c>
      <c r="D1928" s="1077" t="s">
        <v>570</v>
      </c>
      <c r="E1928" s="1077">
        <v>42504</v>
      </c>
      <c r="F1928" s="80" t="s">
        <v>1486</v>
      </c>
      <c r="G1928" s="949" t="s">
        <v>1490</v>
      </c>
      <c r="H1928" s="310" t="s">
        <v>1484</v>
      </c>
      <c r="I1928" s="406"/>
      <c r="J1928" s="406"/>
      <c r="K1928" s="397"/>
      <c r="L1928" s="406"/>
      <c r="M1928" s="81">
        <v>9382800</v>
      </c>
      <c r="N1928" s="82" t="s">
        <v>579</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customHeight="1">
      <c r="A1929" s="323" t="str">
        <f>IF(B1929&lt;&gt;"",IF(AND(B1929='IN-TC'!$S$4,OR(TH!N1929="1111",TH!O1929="1111")),TH!D1929,""),"")</f>
        <v/>
      </c>
      <c r="B1929" s="63">
        <f t="shared" si="155"/>
        <v>5</v>
      </c>
      <c r="C1929" s="1077">
        <v>42521</v>
      </c>
      <c r="D1929" s="1077" t="s">
        <v>570</v>
      </c>
      <c r="E1929" s="1077">
        <v>42504</v>
      </c>
      <c r="F1929" s="80" t="s">
        <v>1487</v>
      </c>
      <c r="G1929" s="949" t="s">
        <v>1489</v>
      </c>
      <c r="H1929" s="310" t="s">
        <v>1484</v>
      </c>
      <c r="I1929" s="406"/>
      <c r="J1929" s="406"/>
      <c r="K1929" s="397"/>
      <c r="L1929" s="406"/>
      <c r="M1929" s="81">
        <v>7841340</v>
      </c>
      <c r="N1929" s="82" t="s">
        <v>579</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customHeight="1">
      <c r="A1930" s="323" t="str">
        <f>IF(B1930&lt;&gt;"",IF(AND(B1930='IN-TC'!$S$4,OR(TH!N1930="1111",TH!O1930="1111")),TH!D1930,""),"")</f>
        <v/>
      </c>
      <c r="B1930" s="63">
        <f t="shared" si="155"/>
        <v>5</v>
      </c>
      <c r="C1930" s="1077">
        <v>42521</v>
      </c>
      <c r="D1930" s="1077" t="s">
        <v>570</v>
      </c>
      <c r="E1930" s="1077">
        <v>42504</v>
      </c>
      <c r="F1930" s="80" t="s">
        <v>1488</v>
      </c>
      <c r="G1930" s="949" t="s">
        <v>1489</v>
      </c>
      <c r="H1930" s="310" t="s">
        <v>1484</v>
      </c>
      <c r="I1930" s="406"/>
      <c r="J1930" s="406"/>
      <c r="K1930" s="397"/>
      <c r="L1930" s="406"/>
      <c r="M1930" s="81">
        <v>784134</v>
      </c>
      <c r="N1930" s="1073"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x</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customHeight="1">
      <c r="A1931" s="323" t="str">
        <f>IF(B1931&lt;&gt;"",IF(AND(B1931='IN-TC'!$S$4,OR(TH!N1894="1111",TH!O1894="1111")),TH!D1894,""),"")</f>
        <v/>
      </c>
      <c r="B1931" s="63">
        <f t="shared" si="155"/>
        <v>3</v>
      </c>
      <c r="C1931" s="1077">
        <v>42460</v>
      </c>
      <c r="D1931" s="1077" t="s">
        <v>570</v>
      </c>
      <c r="E1931" s="1077">
        <v>42436</v>
      </c>
      <c r="F1931" s="80" t="s">
        <v>1147</v>
      </c>
      <c r="G1931" s="949" t="s">
        <v>1369</v>
      </c>
      <c r="H1931" s="310" t="s">
        <v>617</v>
      </c>
      <c r="I1931" s="406"/>
      <c r="J1931" s="406"/>
      <c r="K1931" s="397"/>
      <c r="L1931" s="406"/>
      <c r="M1931" s="81">
        <v>2068130</v>
      </c>
      <c r="N1931" s="1073" t="s">
        <v>9</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x</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customHeight="1">
      <c r="A1932" s="323" t="str">
        <f>IF(B1932&lt;&gt;"",IF(AND(B1932='IN-TC'!$S$4,OR(TH!N1895="1111",TH!O1895="1111")),TH!D1895,""),"")</f>
        <v/>
      </c>
      <c r="B1932" s="63">
        <f t="shared" si="155"/>
        <v>3</v>
      </c>
      <c r="C1932" s="1077">
        <v>42460</v>
      </c>
      <c r="D1932" s="1077" t="s">
        <v>570</v>
      </c>
      <c r="E1932" s="1077">
        <v>42445</v>
      </c>
      <c r="F1932" s="80" t="s">
        <v>1148</v>
      </c>
      <c r="G1932" s="949" t="s">
        <v>1371</v>
      </c>
      <c r="H1932" s="310" t="s">
        <v>617</v>
      </c>
      <c r="I1932" s="406"/>
      <c r="J1932" s="406"/>
      <c r="K1932" s="397"/>
      <c r="L1932" s="406"/>
      <c r="M1932" s="81">
        <v>21269200</v>
      </c>
      <c r="N1932" s="1073" t="s">
        <v>276</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customHeight="1">
      <c r="A1933" s="323" t="str">
        <f>IF(B1933&lt;&gt;"",IF(AND(B1933='IN-TC'!$S$4,OR(TH!N1896="1111",TH!O1896="1111")),TH!D1896,""),"")</f>
        <v/>
      </c>
      <c r="B1933" s="63">
        <f t="shared" si="155"/>
        <v>3</v>
      </c>
      <c r="C1933" s="1077">
        <v>42460</v>
      </c>
      <c r="D1933" s="1077" t="s">
        <v>570</v>
      </c>
      <c r="E1933" s="1077">
        <v>42445</v>
      </c>
      <c r="F1933" s="80" t="s">
        <v>1149</v>
      </c>
      <c r="G1933" s="949" t="s">
        <v>1371</v>
      </c>
      <c r="H1933" s="310" t="s">
        <v>617</v>
      </c>
      <c r="I1933" s="406"/>
      <c r="J1933" s="406"/>
      <c r="K1933" s="397"/>
      <c r="L1933" s="406"/>
      <c r="M1933" s="81">
        <v>2126920</v>
      </c>
      <c r="N1933" s="1073" t="s">
        <v>9</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x</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customHeight="1">
      <c r="A1934" s="323" t="str">
        <f>IF(B1934&lt;&gt;"",IF(AND(B1934='IN-TC'!$S$4,OR(TH!N1897="1111",TH!O1897="1111")),TH!D1897,""),"")</f>
        <v/>
      </c>
      <c r="B1934" s="63">
        <f t="shared" si="155"/>
        <v>3</v>
      </c>
      <c r="C1934" s="1077">
        <v>42460</v>
      </c>
      <c r="D1934" s="1077" t="s">
        <v>570</v>
      </c>
      <c r="E1934" s="1077">
        <v>42455</v>
      </c>
      <c r="F1934" s="80" t="s">
        <v>1150</v>
      </c>
      <c r="G1934" s="949" t="s">
        <v>1370</v>
      </c>
      <c r="H1934" s="310" t="s">
        <v>617</v>
      </c>
      <c r="I1934" s="406"/>
      <c r="J1934" s="406"/>
      <c r="K1934" s="397"/>
      <c r="L1934" s="406"/>
      <c r="M1934" s="81">
        <v>20169600</v>
      </c>
      <c r="N1934" s="1073" t="s">
        <v>276</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customHeight="1">
      <c r="A1935" s="323" t="str">
        <f>IF(B1935&lt;&gt;"",IF(AND(B1935='IN-TC'!$S$4,OR(TH!N1898="1111",TH!O1898="1111")),TH!D1898,""),"")</f>
        <v/>
      </c>
      <c r="B1935" s="63">
        <f t="shared" si="155"/>
        <v>3</v>
      </c>
      <c r="C1935" s="1077">
        <v>42460</v>
      </c>
      <c r="D1935" s="1077" t="s">
        <v>570</v>
      </c>
      <c r="E1935" s="1077">
        <v>42455</v>
      </c>
      <c r="F1935" s="80" t="s">
        <v>1151</v>
      </c>
      <c r="G1935" s="949" t="s">
        <v>1370</v>
      </c>
      <c r="H1935" s="310" t="s">
        <v>617</v>
      </c>
      <c r="I1935" s="406"/>
      <c r="J1935" s="406"/>
      <c r="K1935" s="397"/>
      <c r="L1935" s="406"/>
      <c r="M1935" s="81">
        <v>2016960</v>
      </c>
      <c r="N1935" s="1073" t="s">
        <v>9</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x</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customHeight="1">
      <c r="A1936" s="323" t="str">
        <f>IF(B1936&lt;&gt;"",IF(AND(B1936='IN-TC'!$S$4,OR(TH!N2915="1111",TH!O2915="1111")),TH!D2915,""),"")</f>
        <v/>
      </c>
      <c r="B1936" s="63">
        <f t="shared" si="155"/>
        <v>4</v>
      </c>
      <c r="C1936" s="64">
        <f>E1936</f>
        <v>42468</v>
      </c>
      <c r="D1936" s="64" t="s">
        <v>690</v>
      </c>
      <c r="E1936" s="64">
        <v>42468</v>
      </c>
      <c r="F1936" s="72" t="s">
        <v>1427</v>
      </c>
      <c r="G1936" s="931" t="s">
        <v>902</v>
      </c>
      <c r="H1936" s="329" t="s">
        <v>617</v>
      </c>
      <c r="I1936" s="408"/>
      <c r="J1936" s="408"/>
      <c r="K1936" s="399"/>
      <c r="L1936" s="408"/>
      <c r="M1936" s="65">
        <v>22186560</v>
      </c>
      <c r="N1936" s="309" t="s">
        <v>8</v>
      </c>
      <c r="O1936" s="66" t="s">
        <v>25</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customHeight="1">
      <c r="A1937" s="323" t="str">
        <f>IF(B1937&lt;&gt;"",IF(AND(B1937='IN-TC'!$S$4,OR(TH!N1937="1111",TH!O1937="1111")),TH!D1937,""),"")</f>
        <v/>
      </c>
      <c r="B1937" s="63">
        <f t="shared" si="155"/>
        <v>6</v>
      </c>
      <c r="C1937" s="78">
        <v>42551</v>
      </c>
      <c r="D1937" s="78" t="s">
        <v>570</v>
      </c>
      <c r="E1937" s="78">
        <v>42530</v>
      </c>
      <c r="F1937" s="80" t="s">
        <v>1486</v>
      </c>
      <c r="G1937" s="934" t="s">
        <v>1574</v>
      </c>
      <c r="H1937" s="80" t="s">
        <v>1484</v>
      </c>
      <c r="I1937" s="406"/>
      <c r="J1937" s="406"/>
      <c r="K1937" s="397"/>
      <c r="L1937" s="406"/>
      <c r="M1937" s="81">
        <v>9399600</v>
      </c>
      <c r="N1937" s="82" t="s">
        <v>579</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customHeight="1">
      <c r="A1938" s="323" t="str">
        <f>IF(B1938&lt;&gt;"",IF(AND(B1938='IN-TC'!$S$4,OR(TH!N1938="1111",TH!O1938="1111")),TH!D1938,""),"")</f>
        <v/>
      </c>
      <c r="B1938" s="63">
        <f t="shared" si="155"/>
        <v>6</v>
      </c>
      <c r="C1938" s="78">
        <v>42551</v>
      </c>
      <c r="D1938" s="78" t="s">
        <v>570</v>
      </c>
      <c r="E1938" s="78">
        <v>42530</v>
      </c>
      <c r="F1938" s="80" t="s">
        <v>1575</v>
      </c>
      <c r="G1938" s="934" t="s">
        <v>1577</v>
      </c>
      <c r="H1938" s="80" t="s">
        <v>1484</v>
      </c>
      <c r="I1938" s="406"/>
      <c r="J1938" s="406"/>
      <c r="K1938" s="397"/>
      <c r="L1938" s="406"/>
      <c r="M1938" s="81">
        <v>7855380</v>
      </c>
      <c r="N1938" s="82" t="s">
        <v>579</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customHeight="1">
      <c r="A1939" s="323" t="str">
        <f>IF(B1939&lt;&gt;"",IF(AND(B1939='IN-TC'!$S$4,OR(TH!N1939="1111",TH!O1939="1111")),TH!D1939,""),"")</f>
        <v/>
      </c>
      <c r="B1939" s="63">
        <f t="shared" si="155"/>
        <v>6</v>
      </c>
      <c r="C1939" s="78">
        <v>42551</v>
      </c>
      <c r="D1939" s="78" t="s">
        <v>570</v>
      </c>
      <c r="E1939" s="78">
        <v>42530</v>
      </c>
      <c r="F1939" s="80" t="s">
        <v>1576</v>
      </c>
      <c r="G1939" s="934" t="s">
        <v>1577</v>
      </c>
      <c r="H1939" s="80" t="s">
        <v>1484</v>
      </c>
      <c r="I1939" s="406"/>
      <c r="J1939" s="406"/>
      <c r="K1939" s="397"/>
      <c r="L1939" s="406"/>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x</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customHeight="1">
      <c r="A1940" s="323" t="str">
        <f>IF(B1940&lt;&gt;"",IF(AND(B1940='IN-TC'!$S$4,OR(TH!N1940="1111",TH!O1940="1111")),TH!D1940,""),"")</f>
        <v/>
      </c>
      <c r="B1940" s="63">
        <f t="shared" si="155"/>
        <v>6</v>
      </c>
      <c r="C1940" s="78">
        <v>42551</v>
      </c>
      <c r="D1940" s="78" t="s">
        <v>570</v>
      </c>
      <c r="E1940" s="78">
        <v>42536</v>
      </c>
      <c r="F1940" s="80" t="s">
        <v>1578</v>
      </c>
      <c r="G1940" s="934" t="s">
        <v>1580</v>
      </c>
      <c r="H1940" s="80" t="s">
        <v>1484</v>
      </c>
      <c r="I1940" s="406"/>
      <c r="J1940" s="406"/>
      <c r="K1940" s="397"/>
      <c r="L1940" s="406"/>
      <c r="M1940" s="81">
        <v>8519160</v>
      </c>
      <c r="N1940" s="82" t="s">
        <v>579</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customHeight="1">
      <c r="A1941" s="323" t="str">
        <f>IF(B1941&lt;&gt;"",IF(AND(B1941='IN-TC'!$S$4,OR(TH!N1941="1111",TH!O1941="1111")),TH!D1941,""),"")</f>
        <v/>
      </c>
      <c r="B1941" s="63">
        <f t="shared" si="155"/>
        <v>6</v>
      </c>
      <c r="C1941" s="78">
        <v>42551</v>
      </c>
      <c r="D1941" s="78" t="s">
        <v>570</v>
      </c>
      <c r="E1941" s="78">
        <v>42536</v>
      </c>
      <c r="F1941" s="80" t="s">
        <v>1579</v>
      </c>
      <c r="G1941" s="934" t="s">
        <v>1580</v>
      </c>
      <c r="H1941" s="80" t="s">
        <v>1484</v>
      </c>
      <c r="I1941" s="406"/>
      <c r="J1941" s="406"/>
      <c r="K1941" s="397"/>
      <c r="L1941" s="406"/>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x</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customHeight="1">
      <c r="A1942" s="323" t="str">
        <f>IF(B1942&lt;&gt;"",IF(AND(B1942='IN-TC'!$S$4,OR(TH!N1942="1111",TH!O1942="1111")),TH!D1942,""),"")</f>
        <v/>
      </c>
      <c r="B1942" s="63">
        <f t="shared" si="155"/>
        <v>6</v>
      </c>
      <c r="C1942" s="78">
        <v>42551</v>
      </c>
      <c r="D1942" s="78" t="s">
        <v>570</v>
      </c>
      <c r="E1942" s="78">
        <v>42536</v>
      </c>
      <c r="F1942" s="80" t="s">
        <v>1486</v>
      </c>
      <c r="G1942" s="934" t="s">
        <v>1581</v>
      </c>
      <c r="H1942" s="80" t="s">
        <v>1484</v>
      </c>
      <c r="I1942" s="406"/>
      <c r="J1942" s="406"/>
      <c r="K1942" s="397"/>
      <c r="L1942" s="406"/>
      <c r="M1942" s="81">
        <v>20124000</v>
      </c>
      <c r="N1942" s="82" t="s">
        <v>579</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customHeight="1">
      <c r="A1943" s="323" t="str">
        <f>IF(B1943&lt;&gt;"",IF(AND(B1943='IN-TC'!$S$4,OR(TH!N1943="1111",TH!O1943="1111")),TH!D1943,""),"")</f>
        <v/>
      </c>
      <c r="B1943" s="63">
        <f t="shared" si="155"/>
        <v>6</v>
      </c>
      <c r="C1943" s="78">
        <v>42551</v>
      </c>
      <c r="D1943" s="78" t="s">
        <v>570</v>
      </c>
      <c r="E1943" s="78">
        <v>42537</v>
      </c>
      <c r="F1943" s="80" t="s">
        <v>1575</v>
      </c>
      <c r="G1943" s="934" t="s">
        <v>1582</v>
      </c>
      <c r="H1943" s="80" t="s">
        <v>1484</v>
      </c>
      <c r="I1943" s="406"/>
      <c r="J1943" s="406"/>
      <c r="K1943" s="397"/>
      <c r="L1943" s="406"/>
      <c r="M1943" s="81">
        <v>7844850</v>
      </c>
      <c r="N1943" s="82" t="s">
        <v>579</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customHeight="1">
      <c r="A1944" s="323" t="str">
        <f>IF(B1944&lt;&gt;"",IF(AND(B1944='IN-TC'!$S$4,OR(TH!N1944="1111",TH!O1944="1111")),TH!D1944,""),"")</f>
        <v/>
      </c>
      <c r="B1944" s="63">
        <f t="shared" si="155"/>
        <v>6</v>
      </c>
      <c r="C1944" s="78">
        <v>42551</v>
      </c>
      <c r="D1944" s="78" t="s">
        <v>570</v>
      </c>
      <c r="E1944" s="78">
        <v>42537</v>
      </c>
      <c r="F1944" s="80" t="s">
        <v>1576</v>
      </c>
      <c r="G1944" s="934" t="s">
        <v>1582</v>
      </c>
      <c r="H1944" s="80" t="s">
        <v>1484</v>
      </c>
      <c r="I1944" s="406"/>
      <c r="J1944" s="406"/>
      <c r="K1944" s="397"/>
      <c r="L1944" s="406"/>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x</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customHeight="1">
      <c r="A1945" s="323" t="str">
        <f>IF(B1945&lt;&gt;"",IF(AND(B1945='IN-TC'!$S$4,OR(TH!N1945="1111",TH!O1945="1111")),TH!D1945,""),"")</f>
        <v/>
      </c>
      <c r="B1945" s="63">
        <f t="shared" si="155"/>
        <v>6</v>
      </c>
      <c r="C1945" s="78">
        <v>42551</v>
      </c>
      <c r="D1945" s="78" t="s">
        <v>570</v>
      </c>
      <c r="E1945" s="78">
        <v>42537</v>
      </c>
      <c r="F1945" s="80" t="s">
        <v>1486</v>
      </c>
      <c r="G1945" s="934" t="s">
        <v>1583</v>
      </c>
      <c r="H1945" s="80" t="s">
        <v>1484</v>
      </c>
      <c r="I1945" s="406"/>
      <c r="J1945" s="406"/>
      <c r="K1945" s="397"/>
      <c r="L1945" s="406"/>
      <c r="M1945" s="81">
        <v>9387000</v>
      </c>
      <c r="N1945" s="82" t="s">
        <v>579</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customHeight="1">
      <c r="A1946" s="323" t="str">
        <f>IF(B1946&lt;&gt;"",IF(AND(B1946='IN-TC'!$S$4,OR(TH!N1903="1111",TH!O1903="1111")),TH!D1903,""),"")</f>
        <v/>
      </c>
      <c r="B1946" s="63">
        <f t="shared" si="155"/>
        <v>3</v>
      </c>
      <c r="C1946" s="1077">
        <v>42460</v>
      </c>
      <c r="D1946" s="1077" t="s">
        <v>570</v>
      </c>
      <c r="E1946" s="78">
        <v>42369</v>
      </c>
      <c r="F1946" s="80" t="s">
        <v>1156</v>
      </c>
      <c r="G1946" s="934" t="s">
        <v>1158</v>
      </c>
      <c r="H1946" s="1119" t="s">
        <v>614</v>
      </c>
      <c r="I1946" s="406"/>
      <c r="J1946" s="406"/>
      <c r="K1946" s="397"/>
      <c r="L1946" s="406"/>
      <c r="M1946" s="81">
        <v>5737000</v>
      </c>
      <c r="N1946" s="82" t="s">
        <v>579</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customHeight="1">
      <c r="A1947" s="323" t="str">
        <f>IF(B1947&lt;&gt;"",IF(AND(B1947='IN-TC'!$S$4,OR(TH!N2934="1111",TH!O2934="1111")),TH!D2934,""),"")</f>
        <v/>
      </c>
      <c r="B1947" s="63">
        <f t="shared" si="155"/>
        <v>4</v>
      </c>
      <c r="C1947" s="64">
        <f>E1947</f>
        <v>42485</v>
      </c>
      <c r="D1947" s="64" t="s">
        <v>690</v>
      </c>
      <c r="E1947" s="64">
        <v>42485</v>
      </c>
      <c r="F1947" s="72" t="s">
        <v>1431</v>
      </c>
      <c r="G1947" s="931" t="s">
        <v>902</v>
      </c>
      <c r="H1947" s="329" t="s">
        <v>614</v>
      </c>
      <c r="I1947" s="408"/>
      <c r="J1947" s="408"/>
      <c r="K1947" s="399"/>
      <c r="L1947" s="408"/>
      <c r="M1947" s="65">
        <v>780000</v>
      </c>
      <c r="N1947" s="66" t="s">
        <v>8</v>
      </c>
      <c r="O1947" s="66" t="s">
        <v>25</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customHeight="1">
      <c r="A1948" s="323" t="str">
        <f>IF(B1948&lt;&gt;"",IF(AND(B1948='IN-TC'!$S$4,OR(TH!N1948="1111",TH!O1948="1111")),TH!D1948,""),"")</f>
        <v/>
      </c>
      <c r="B1948" s="63">
        <f t="shared" si="155"/>
        <v>6</v>
      </c>
      <c r="C1948" s="78">
        <v>42551</v>
      </c>
      <c r="D1948" s="78" t="s">
        <v>570</v>
      </c>
      <c r="E1948" s="78">
        <v>42541</v>
      </c>
      <c r="F1948" s="80" t="s">
        <v>1607</v>
      </c>
      <c r="G1948" s="934" t="s">
        <v>1608</v>
      </c>
      <c r="H1948" s="310" t="s">
        <v>1610</v>
      </c>
      <c r="I1948" s="406"/>
      <c r="J1948" s="406"/>
      <c r="K1948" s="397"/>
      <c r="L1948" s="406"/>
      <c r="M1948" s="81">
        <v>18448564</v>
      </c>
      <c r="N1948" s="82" t="s">
        <v>99</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customHeight="1">
      <c r="A1949" s="323" t="str">
        <f>IF(B1949&lt;&gt;"",IF(AND(B1949='IN-TC'!$S$4,OR(TH!N1949="1111",TH!O1949="1111")),TH!D1949,""),"")</f>
        <v/>
      </c>
      <c r="B1949" s="63">
        <f t="shared" si="155"/>
        <v>6</v>
      </c>
      <c r="C1949" s="78">
        <v>42551</v>
      </c>
      <c r="D1949" s="78" t="s">
        <v>570</v>
      </c>
      <c r="E1949" s="78">
        <v>42541</v>
      </c>
      <c r="F1949" s="80" t="s">
        <v>1609</v>
      </c>
      <c r="G1949" s="934" t="s">
        <v>1608</v>
      </c>
      <c r="H1949" s="310" t="s">
        <v>1610</v>
      </c>
      <c r="I1949" s="406"/>
      <c r="J1949" s="406"/>
      <c r="K1949" s="397"/>
      <c r="L1949" s="406"/>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x</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customHeight="1">
      <c r="A1950" s="323" t="str">
        <f>IF(B1950&lt;&gt;"",IF(AND(B1950='IN-TC'!$S$4,OR(TH!N2946="1111",TH!O2946="1111")),TH!D2946,""),"")</f>
        <v/>
      </c>
      <c r="B1950" s="63">
        <f t="shared" si="155"/>
        <v>4</v>
      </c>
      <c r="C1950" s="64">
        <f>E1950</f>
        <v>42486</v>
      </c>
      <c r="D1950" s="64" t="s">
        <v>690</v>
      </c>
      <c r="E1950" s="64">
        <v>42486</v>
      </c>
      <c r="F1950" s="72" t="s">
        <v>1434</v>
      </c>
      <c r="G1950" s="931" t="s">
        <v>902</v>
      </c>
      <c r="H1950" s="329" t="s">
        <v>617</v>
      </c>
      <c r="I1950" s="408"/>
      <c r="J1950" s="408"/>
      <c r="K1950" s="399"/>
      <c r="L1950" s="408"/>
      <c r="M1950" s="65">
        <v>26225320</v>
      </c>
      <c r="N1950" s="66" t="s">
        <v>8</v>
      </c>
      <c r="O1950" s="66" t="s">
        <v>25</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customHeight="1">
      <c r="A1951" s="323" t="str">
        <f>IF(B1951&lt;&gt;"",IF(AND(B1951='IN-TC'!$S$4,OR(TH!N1917="1111",TH!O1917="1111")),TH!D1917,""),"")</f>
        <v/>
      </c>
      <c r="B1951" s="63">
        <f t="shared" si="155"/>
        <v>4</v>
      </c>
      <c r="C1951" s="78">
        <v>42490</v>
      </c>
      <c r="D1951" s="1077" t="s">
        <v>570</v>
      </c>
      <c r="E1951" s="1077">
        <v>42466</v>
      </c>
      <c r="F1951" s="80" t="s">
        <v>1443</v>
      </c>
      <c r="G1951" s="949" t="s">
        <v>1449</v>
      </c>
      <c r="H1951" s="310" t="s">
        <v>617</v>
      </c>
      <c r="I1951" s="406"/>
      <c r="J1951" s="406"/>
      <c r="K1951" s="397"/>
      <c r="L1951" s="406"/>
      <c r="M1951" s="81">
        <v>23841200</v>
      </c>
      <c r="N1951" s="1073" t="s">
        <v>276</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customHeight="1">
      <c r="A1952" s="323" t="str">
        <f>IF(B1952&lt;&gt;"",IF(AND(B1952='IN-TC'!$S$4,OR(TH!N1918="1111",TH!O1918="1111")),TH!D1918,""),"")</f>
        <v/>
      </c>
      <c r="B1952" s="63">
        <f t="shared" si="155"/>
        <v>4</v>
      </c>
      <c r="C1952" s="78">
        <v>42490</v>
      </c>
      <c r="D1952" s="1077" t="s">
        <v>570</v>
      </c>
      <c r="E1952" s="1077">
        <v>42466</v>
      </c>
      <c r="F1952" s="80" t="s">
        <v>1444</v>
      </c>
      <c r="G1952" s="949" t="s">
        <v>1449</v>
      </c>
      <c r="H1952" s="310" t="s">
        <v>617</v>
      </c>
      <c r="I1952" s="406"/>
      <c r="J1952" s="406"/>
      <c r="K1952" s="397"/>
      <c r="L1952" s="406"/>
      <c r="M1952" s="81">
        <v>2384120</v>
      </c>
      <c r="N1952" s="1073" t="s">
        <v>9</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x</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customHeight="1">
      <c r="A1953" s="323" t="str">
        <f>IF(B1953&lt;&gt;"",IF(AND(B1953='IN-TC'!$S$4,OR(TH!N1919="1111",TH!O1919="1111")),TH!D1919,""),"")</f>
        <v/>
      </c>
      <c r="B1953" s="63">
        <f t="shared" si="155"/>
        <v>4</v>
      </c>
      <c r="C1953" s="78">
        <v>42490</v>
      </c>
      <c r="D1953" s="1077" t="s">
        <v>570</v>
      </c>
      <c r="E1953" s="1077">
        <v>42476</v>
      </c>
      <c r="F1953" s="80" t="s">
        <v>1445</v>
      </c>
      <c r="G1953" s="949" t="s">
        <v>1450</v>
      </c>
      <c r="H1953" s="310" t="s">
        <v>617</v>
      </c>
      <c r="I1953" s="406"/>
      <c r="J1953" s="406"/>
      <c r="K1953" s="397"/>
      <c r="L1953" s="406"/>
      <c r="M1953" s="81">
        <v>28369800</v>
      </c>
      <c r="N1953" s="1073" t="s">
        <v>276</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customHeight="1">
      <c r="A1954" s="323" t="str">
        <f>IF(B1954&lt;&gt;"",IF(AND(B1954='IN-TC'!$S$4,OR(TH!N1920="1111",TH!O1920="1111")),TH!D1920,""),"")</f>
        <v/>
      </c>
      <c r="B1954" s="63">
        <f t="shared" si="155"/>
        <v>4</v>
      </c>
      <c r="C1954" s="78">
        <v>42490</v>
      </c>
      <c r="D1954" s="1077" t="s">
        <v>570</v>
      </c>
      <c r="E1954" s="1077">
        <v>42476</v>
      </c>
      <c r="F1954" s="80" t="s">
        <v>1446</v>
      </c>
      <c r="G1954" s="949" t="s">
        <v>1450</v>
      </c>
      <c r="H1954" s="310" t="s">
        <v>617</v>
      </c>
      <c r="I1954" s="406"/>
      <c r="J1954" s="406"/>
      <c r="K1954" s="397"/>
      <c r="L1954" s="406"/>
      <c r="M1954" s="81">
        <v>2836980</v>
      </c>
      <c r="N1954" s="1073" t="s">
        <v>9</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x</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customHeight="1">
      <c r="A1955" s="323" t="str">
        <f>IF(B1955&lt;&gt;"",IF(AND(B1955='IN-TC'!$S$4,OR(TH!N1921="1111",TH!O1921="1111")),TH!D1921,""),"")</f>
        <v/>
      </c>
      <c r="B1955" s="63">
        <f t="shared" si="155"/>
        <v>4</v>
      </c>
      <c r="C1955" s="78">
        <v>42490</v>
      </c>
      <c r="D1955" s="1077" t="s">
        <v>570</v>
      </c>
      <c r="E1955" s="1077">
        <v>42486</v>
      </c>
      <c r="F1955" s="80" t="s">
        <v>1447</v>
      </c>
      <c r="G1955" s="949" t="s">
        <v>1474</v>
      </c>
      <c r="H1955" s="310" t="s">
        <v>617</v>
      </c>
      <c r="I1955" s="406"/>
      <c r="J1955" s="406"/>
      <c r="K1955" s="397"/>
      <c r="L1955" s="406"/>
      <c r="M1955" s="81">
        <v>24348800</v>
      </c>
      <c r="N1955" s="1073" t="s">
        <v>276</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customHeight="1">
      <c r="A1956" s="323" t="str">
        <f>IF(B1956&lt;&gt;"",IF(AND(B1956='IN-TC'!$S$4,OR(TH!N2937="1111",TH!O2937="1111")),TH!D2937,""),"")</f>
        <v/>
      </c>
      <c r="B1956" s="63">
        <f t="shared" si="155"/>
        <v>4</v>
      </c>
      <c r="C1956" s="64">
        <f>E1956</f>
        <v>42485</v>
      </c>
      <c r="D1956" s="64" t="s">
        <v>690</v>
      </c>
      <c r="E1956" s="64">
        <v>42485</v>
      </c>
      <c r="F1956" s="72" t="s">
        <v>1432</v>
      </c>
      <c r="G1956" s="931" t="s">
        <v>902</v>
      </c>
      <c r="H1956" s="329" t="s">
        <v>614</v>
      </c>
      <c r="I1956" s="408"/>
      <c r="J1956" s="408"/>
      <c r="K1956" s="399"/>
      <c r="L1956" s="408"/>
      <c r="M1956" s="65">
        <v>2205000</v>
      </c>
      <c r="N1956" s="66" t="s">
        <v>8</v>
      </c>
      <c r="O1956" s="66" t="s">
        <v>25</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customHeight="1">
      <c r="A1957" s="323" t="str">
        <f>IF(B1957&lt;&gt;"",IF(AND(B1957='IN-TC'!$S$4,OR(TH!N1914="1111",TH!O1914="1111")),TH!D1914,""),"")</f>
        <v/>
      </c>
      <c r="B1957" s="63">
        <f t="shared" si="155"/>
        <v>4</v>
      </c>
      <c r="C1957" s="78">
        <v>42490</v>
      </c>
      <c r="D1957" s="78" t="s">
        <v>570</v>
      </c>
      <c r="E1957" s="78">
        <v>42485</v>
      </c>
      <c r="F1957" s="80" t="s">
        <v>623</v>
      </c>
      <c r="G1957" s="934" t="s">
        <v>1440</v>
      </c>
      <c r="H1957" s="80" t="s">
        <v>614</v>
      </c>
      <c r="I1957" s="406"/>
      <c r="J1957" s="406"/>
      <c r="K1957" s="397"/>
      <c r="L1957" s="406"/>
      <c r="M1957" s="81">
        <v>1095000</v>
      </c>
      <c r="N1957" s="82" t="s">
        <v>579</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customHeight="1">
      <c r="A1958" s="323" t="str">
        <f>IF(B1958&lt;&gt;"",IF(AND(B1958='IN-TC'!$S$4,OR(TH!N1958="1111",TH!O1958="1111")),TH!D1958,""),"")</f>
        <v/>
      </c>
      <c r="B1958" s="63">
        <f t="shared" si="155"/>
        <v>7</v>
      </c>
      <c r="C1958" s="78">
        <v>42582</v>
      </c>
      <c r="D1958" s="78" t="s">
        <v>570</v>
      </c>
      <c r="E1958" s="78">
        <v>42538</v>
      </c>
      <c r="F1958" s="80" t="s">
        <v>1486</v>
      </c>
      <c r="G1958" s="934" t="s">
        <v>1965</v>
      </c>
      <c r="H1958" s="80" t="s">
        <v>1756</v>
      </c>
      <c r="I1958" s="406"/>
      <c r="J1958" s="406"/>
      <c r="K1958" s="397"/>
      <c r="L1958" s="406"/>
      <c r="M1958" s="81">
        <v>7815500</v>
      </c>
      <c r="N1958" s="82" t="s">
        <v>579</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customHeight="1">
      <c r="A1959" s="323" t="str">
        <f>IF(B1959&lt;&gt;"",IF(AND(B1959='IN-TC'!$S$4,OR(TH!N1959="1111",TH!O1959="1111")),TH!D1959,""),"")</f>
        <v/>
      </c>
      <c r="B1959" s="63">
        <f t="shared" si="155"/>
        <v>7</v>
      </c>
      <c r="C1959" s="78">
        <v>42582</v>
      </c>
      <c r="D1959" s="78" t="s">
        <v>570</v>
      </c>
      <c r="E1959" s="78">
        <v>42538</v>
      </c>
      <c r="F1959" s="80" t="s">
        <v>1575</v>
      </c>
      <c r="G1959" s="934" t="s">
        <v>1966</v>
      </c>
      <c r="H1959" s="80" t="s">
        <v>1756</v>
      </c>
      <c r="I1959" s="406"/>
      <c r="J1959" s="406"/>
      <c r="K1959" s="397"/>
      <c r="L1959" s="406"/>
      <c r="M1959" s="81">
        <v>3669890</v>
      </c>
      <c r="N1959" s="82" t="s">
        <v>579</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customHeight="1">
      <c r="A1960" s="323" t="str">
        <f>IF(B1960&lt;&gt;"",IF(AND(B1960='IN-TC'!$S$4,OR(TH!N1960="1111",TH!O1960="1111")),TH!D1960,""),"")</f>
        <v/>
      </c>
      <c r="B1960" s="63">
        <f t="shared" si="155"/>
        <v>7</v>
      </c>
      <c r="C1960" s="78">
        <v>42582</v>
      </c>
      <c r="D1960" s="78" t="s">
        <v>570</v>
      </c>
      <c r="E1960" s="78">
        <v>42538</v>
      </c>
      <c r="F1960" s="80" t="s">
        <v>1576</v>
      </c>
      <c r="G1960" s="934" t="s">
        <v>1966</v>
      </c>
      <c r="H1960" s="80" t="s">
        <v>1756</v>
      </c>
      <c r="I1960" s="406"/>
      <c r="J1960" s="406"/>
      <c r="K1960" s="397"/>
      <c r="L1960" s="406"/>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x</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customHeight="1">
      <c r="A1961" s="323" t="str">
        <f>IF(B1961&lt;&gt;"",IF(AND(B1961='IN-TC'!$S$4,OR(TH!N2638="1111",TH!O2638="1111")),TH!D2638,""),"")</f>
        <v/>
      </c>
      <c r="B1961" s="63">
        <f t="shared" si="155"/>
        <v>3</v>
      </c>
      <c r="C1961" s="306">
        <v>42430</v>
      </c>
      <c r="D1961" s="306" t="s">
        <v>853</v>
      </c>
      <c r="E1961" s="306">
        <v>42397</v>
      </c>
      <c r="F1961" s="482" t="s">
        <v>1362</v>
      </c>
      <c r="G1961" s="931" t="s">
        <v>1364</v>
      </c>
      <c r="H1961" s="72" t="s">
        <v>1365</v>
      </c>
      <c r="I1961" s="408"/>
      <c r="J1961" s="408"/>
      <c r="K1961" s="399"/>
      <c r="L1961" s="408"/>
      <c r="M1961" s="65">
        <v>17766750</v>
      </c>
      <c r="N1961" s="66" t="s">
        <v>579</v>
      </c>
      <c r="O1961" s="66" t="s">
        <v>61</v>
      </c>
      <c r="P1961" s="82" t="str">
        <f>IF(AND('331-CT'!$E$7=TH!H1961,OR(N1961="331",O1961="331")),"x","")</f>
        <v/>
      </c>
      <c r="Q1961" s="82" t="str">
        <f>IF(AND(B1961='111'!$L$11,OR($N1961=$Q$7,$O1961=$Q$7)),"x","")</f>
        <v/>
      </c>
      <c r="R1961" s="82" t="str">
        <f>IF(AND($N1961=$Q$7,$B1961&lt;'111'!$L$11),"x","")</f>
        <v/>
      </c>
      <c r="S1961" s="82" t="str">
        <f>IF(AND($O1961=$Q$7,$B1961&lt;'111'!$L$11),"x","")</f>
        <v>x</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customHeight="1">
      <c r="A1962" s="323" t="str">
        <f>IF(B1962&lt;&gt;"",IF(AND(B1962='IN-TC'!$S$4,OR(TH!N2639="1111",TH!O2639="1111")),TH!D2639,""),"")</f>
        <v/>
      </c>
      <c r="B1962" s="63">
        <f t="shared" si="155"/>
        <v>3</v>
      </c>
      <c r="C1962" s="306">
        <v>42430</v>
      </c>
      <c r="D1962" s="306" t="s">
        <v>853</v>
      </c>
      <c r="E1962" s="306">
        <v>42397</v>
      </c>
      <c r="F1962" s="482" t="s">
        <v>1363</v>
      </c>
      <c r="G1962" s="931" t="s">
        <v>1364</v>
      </c>
      <c r="H1962" s="72" t="s">
        <v>1365</v>
      </c>
      <c r="I1962" s="408"/>
      <c r="J1962" s="408"/>
      <c r="K1962" s="399"/>
      <c r="L1962" s="408"/>
      <c r="M1962" s="65">
        <v>1078675</v>
      </c>
      <c r="N1962" s="66" t="s">
        <v>9</v>
      </c>
      <c r="O1962" s="66" t="s">
        <v>61</v>
      </c>
      <c r="P1962" s="82" t="str">
        <f>IF(AND('331-CT'!$E$7=TH!H1962,OR(N1962="331",O1962="331")),"x","")</f>
        <v/>
      </c>
      <c r="Q1962" s="82" t="str">
        <f>IF(AND(B1962='111'!$L$11,OR($N1962=$Q$7,$O1962=$Q$7)),"x","")</f>
        <v/>
      </c>
      <c r="R1962" s="82" t="str">
        <f>IF(AND($N1962=$Q$7,$B1962&lt;'111'!$L$11),"x","")</f>
        <v/>
      </c>
      <c r="S1962" s="82" t="str">
        <f>IF(AND($O1962=$Q$7,$B1962&lt;'111'!$L$11),"x","")</f>
        <v>x</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x</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customHeight="1">
      <c r="A1963" s="323" t="str">
        <f>IF(B1963&lt;&gt;"",IF(AND(B1963='IN-TC'!$S$4,OR(TH!N1963="1111",TH!O1963="1111")),TH!D1963,""),"")</f>
        <v/>
      </c>
      <c r="B1963" s="63">
        <f t="shared" si="155"/>
        <v>7</v>
      </c>
      <c r="C1963" s="78">
        <v>42582</v>
      </c>
      <c r="D1963" s="78" t="s">
        <v>570</v>
      </c>
      <c r="E1963" s="78">
        <v>42552</v>
      </c>
      <c r="F1963" s="80" t="s">
        <v>1730</v>
      </c>
      <c r="G1963" s="934" t="s">
        <v>1061</v>
      </c>
      <c r="H1963" s="80" t="s">
        <v>1732</v>
      </c>
      <c r="I1963" s="406"/>
      <c r="J1963" s="406"/>
      <c r="K1963" s="397"/>
      <c r="L1963" s="406"/>
      <c r="M1963" s="81">
        <v>10681818</v>
      </c>
      <c r="N1963" s="82" t="s">
        <v>99</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customHeight="1">
      <c r="A1964" s="323" t="str">
        <f>IF(B1964&lt;&gt;"",IF(AND(B1964='IN-TC'!$S$4,OR(TH!N1964="1111",TH!O1964="1111")),TH!D1964,""),"")</f>
        <v/>
      </c>
      <c r="B1964" s="63">
        <f t="shared" si="155"/>
        <v>7</v>
      </c>
      <c r="C1964" s="78">
        <v>42582</v>
      </c>
      <c r="D1964" s="78" t="s">
        <v>570</v>
      </c>
      <c r="E1964" s="78">
        <v>42552</v>
      </c>
      <c r="F1964" s="80" t="s">
        <v>1731</v>
      </c>
      <c r="G1964" s="934" t="s">
        <v>1061</v>
      </c>
      <c r="H1964" s="80" t="s">
        <v>1732</v>
      </c>
      <c r="I1964" s="406"/>
      <c r="J1964" s="406"/>
      <c r="K1964" s="397"/>
      <c r="L1964" s="406"/>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x</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customHeight="1">
      <c r="A1965" s="323" t="str">
        <f>IF(B1965&lt;&gt;"",IF(AND(B1965='IN-TC'!$S$4,OR(TH!N3326="1111",TH!O3326="1111")),TH!D3326,""),"")</f>
        <v/>
      </c>
      <c r="B1965" s="63">
        <f t="shared" si="155"/>
        <v>6</v>
      </c>
      <c r="C1965" s="64">
        <v>42549</v>
      </c>
      <c r="D1965" s="64" t="s">
        <v>690</v>
      </c>
      <c r="E1965" s="64">
        <f>C1965</f>
        <v>42549</v>
      </c>
      <c r="F1965" s="72" t="s">
        <v>1636</v>
      </c>
      <c r="G1965" s="67" t="s">
        <v>902</v>
      </c>
      <c r="H1965" s="329" t="s">
        <v>615</v>
      </c>
      <c r="I1965" s="408"/>
      <c r="J1965" s="408"/>
      <c r="K1965" s="399"/>
      <c r="L1965" s="408"/>
      <c r="M1965" s="65">
        <v>139997985</v>
      </c>
      <c r="N1965" s="66" t="s">
        <v>8</v>
      </c>
      <c r="O1965" s="66" t="s">
        <v>25</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customHeight="1">
      <c r="A1966" s="323" t="str">
        <f>IF(B1966&lt;&gt;"",IF(AND(B1966='IN-TC'!$S$4,OR(TH!N1965="1111",TH!O1965="1111")),TH!D1965,""),"")</f>
        <v/>
      </c>
      <c r="B1966" s="63">
        <f t="shared" ref="B1966:B2029" si="156">IF(C1966&lt;&gt;"",MONTH(C1966),"")</f>
        <v>7</v>
      </c>
      <c r="C1966" s="78">
        <v>42582</v>
      </c>
      <c r="D1966" s="78" t="s">
        <v>570</v>
      </c>
      <c r="E1966" s="78">
        <v>42556</v>
      </c>
      <c r="F1966" s="80" t="s">
        <v>624</v>
      </c>
      <c r="G1966" s="934" t="s">
        <v>1739</v>
      </c>
      <c r="H1966" s="80" t="s">
        <v>615</v>
      </c>
      <c r="I1966" s="406"/>
      <c r="J1966" s="406"/>
      <c r="K1966" s="397"/>
      <c r="L1966" s="406"/>
      <c r="M1966" s="81">
        <v>2000000</v>
      </c>
      <c r="N1966" s="82" t="s">
        <v>579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customHeight="1">
      <c r="A1967" s="323" t="str">
        <f>IF(B1967&lt;&gt;"",IF(AND(B1967='IN-TC'!$S$4,OR(TH!N1922="1111",TH!O1922="1111")),TH!D1922,""),"")</f>
        <v/>
      </c>
      <c r="B1967" s="63">
        <f t="shared" si="156"/>
        <v>4</v>
      </c>
      <c r="C1967" s="78">
        <v>42490</v>
      </c>
      <c r="D1967" s="1077" t="s">
        <v>570</v>
      </c>
      <c r="E1967" s="1077">
        <v>42486</v>
      </c>
      <c r="F1967" s="80" t="s">
        <v>1448</v>
      </c>
      <c r="G1967" s="949" t="s">
        <v>1474</v>
      </c>
      <c r="H1967" s="310" t="s">
        <v>617</v>
      </c>
      <c r="I1967" s="406"/>
      <c r="J1967" s="406"/>
      <c r="K1967" s="397"/>
      <c r="L1967" s="406"/>
      <c r="M1967" s="81">
        <v>2434880</v>
      </c>
      <c r="N1967" s="1073" t="s">
        <v>9</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x</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customHeight="1">
      <c r="A1968" s="323" t="str">
        <f>IF(B1968&lt;&gt;"",IF(AND(B1968='IN-TC'!$S$4,OR(TH!N3037="1111",TH!O3037="1111")),TH!D3037,""),"")</f>
        <v/>
      </c>
      <c r="B1968" s="63">
        <f t="shared" si="156"/>
        <v>5</v>
      </c>
      <c r="C1968" s="64">
        <f>E1968</f>
        <v>42494</v>
      </c>
      <c r="D1968" s="306" t="s">
        <v>690</v>
      </c>
      <c r="E1968" s="64">
        <v>42494</v>
      </c>
      <c r="F1968" s="72" t="s">
        <v>1529</v>
      </c>
      <c r="G1968" s="931" t="s">
        <v>902</v>
      </c>
      <c r="H1968" s="72" t="s">
        <v>617</v>
      </c>
      <c r="I1968" s="408"/>
      <c r="J1968" s="408"/>
      <c r="K1968" s="399"/>
      <c r="L1968" s="408"/>
      <c r="M1968" s="65">
        <v>31206780</v>
      </c>
      <c r="N1968" s="66" t="s">
        <v>8</v>
      </c>
      <c r="O1968" s="66" t="s">
        <v>25</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customHeight="1">
      <c r="A1969" s="323" t="str">
        <f>IF(B1969&lt;&gt;"",IF(AND(B1969='IN-TC'!$S$4,OR(TH!N1969="1111",TH!O1969="1111")),TH!D1969,""),"")</f>
        <v/>
      </c>
      <c r="B1969" s="63">
        <f t="shared" si="156"/>
        <v>7</v>
      </c>
      <c r="C1969" s="78">
        <v>42582</v>
      </c>
      <c r="D1969" s="78" t="s">
        <v>570</v>
      </c>
      <c r="E1969" s="78">
        <v>42560</v>
      </c>
      <c r="F1969" s="80" t="s">
        <v>1730</v>
      </c>
      <c r="G1969" s="934" t="s">
        <v>1733</v>
      </c>
      <c r="H1969" s="80" t="s">
        <v>1732</v>
      </c>
      <c r="I1969" s="406"/>
      <c r="J1969" s="406"/>
      <c r="K1969" s="397"/>
      <c r="L1969" s="406"/>
      <c r="M1969" s="81">
        <v>10681818</v>
      </c>
      <c r="N1969" s="82" t="s">
        <v>99</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customHeight="1">
      <c r="A1970" s="323" t="str">
        <f>IF(B1970&lt;&gt;"",IF(AND(B1970='IN-TC'!$S$4,OR(TH!N1970="1111",TH!O1970="1111")),TH!D1970,""),"")</f>
        <v/>
      </c>
      <c r="B1970" s="63">
        <f t="shared" si="156"/>
        <v>7</v>
      </c>
      <c r="C1970" s="78">
        <v>42582</v>
      </c>
      <c r="D1970" s="78" t="s">
        <v>570</v>
      </c>
      <c r="E1970" s="78">
        <v>42560</v>
      </c>
      <c r="F1970" s="80" t="s">
        <v>1731</v>
      </c>
      <c r="G1970" s="934" t="s">
        <v>1733</v>
      </c>
      <c r="H1970" s="80" t="s">
        <v>1732</v>
      </c>
      <c r="I1970" s="406"/>
      <c r="J1970" s="406"/>
      <c r="K1970" s="397"/>
      <c r="L1970" s="406"/>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x</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customHeight="1">
      <c r="A1971" s="323" t="str">
        <f>IF(B1971&lt;&gt;"",IF(AND(B1971='IN-TC'!$S$4,OR(TH!N1971="1111",TH!O1971="1111")),TH!D1971,""),"")</f>
        <v/>
      </c>
      <c r="B1971" s="63">
        <f t="shared" si="156"/>
        <v>7</v>
      </c>
      <c r="C1971" s="78">
        <v>42582</v>
      </c>
      <c r="D1971" s="78" t="s">
        <v>570</v>
      </c>
      <c r="E1971" s="78">
        <v>42562</v>
      </c>
      <c r="F1971" s="80" t="s">
        <v>1486</v>
      </c>
      <c r="G1971" s="934" t="s">
        <v>1852</v>
      </c>
      <c r="H1971" s="80" t="s">
        <v>1484</v>
      </c>
      <c r="I1971" s="406"/>
      <c r="J1971" s="406"/>
      <c r="K1971" s="397"/>
      <c r="L1971" s="406"/>
      <c r="M1971" s="81">
        <v>9380700</v>
      </c>
      <c r="N1971" s="82" t="s">
        <v>579</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customHeight="1">
      <c r="A1972" s="323" t="str">
        <f>IF(B1972&lt;&gt;"",IF(AND(B1972='IN-TC'!$S$4,OR(TH!N1972="1111",TH!O1972="1111")),TH!D1972,""),"")</f>
        <v/>
      </c>
      <c r="B1972" s="63">
        <f t="shared" si="156"/>
        <v>7</v>
      </c>
      <c r="C1972" s="78">
        <v>42582</v>
      </c>
      <c r="D1972" s="78" t="s">
        <v>570</v>
      </c>
      <c r="E1972" s="78">
        <v>42562</v>
      </c>
      <c r="F1972" s="80" t="s">
        <v>1850</v>
      </c>
      <c r="G1972" s="934" t="s">
        <v>1853</v>
      </c>
      <c r="H1972" s="80" t="s">
        <v>1484</v>
      </c>
      <c r="I1972" s="406"/>
      <c r="J1972" s="406"/>
      <c r="K1972" s="397"/>
      <c r="L1972" s="406"/>
      <c r="M1972" s="81">
        <v>7839585</v>
      </c>
      <c r="N1972" s="82" t="s">
        <v>579</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customHeight="1">
      <c r="A1973" s="323" t="str">
        <f>IF(B1973&lt;&gt;"",IF(AND(B1973='IN-TC'!$S$4,OR(TH!N1973="1111",TH!O1973="1111")),TH!D1973,""),"")</f>
        <v/>
      </c>
      <c r="B1973" s="63">
        <f t="shared" si="156"/>
        <v>7</v>
      </c>
      <c r="C1973" s="78">
        <v>42582</v>
      </c>
      <c r="D1973" s="78" t="s">
        <v>570</v>
      </c>
      <c r="E1973" s="78">
        <v>42562</v>
      </c>
      <c r="F1973" s="80" t="s">
        <v>1851</v>
      </c>
      <c r="G1973" s="934" t="s">
        <v>1853</v>
      </c>
      <c r="H1973" s="80" t="s">
        <v>1484</v>
      </c>
      <c r="I1973" s="406"/>
      <c r="J1973" s="406"/>
      <c r="K1973" s="397"/>
      <c r="L1973" s="406"/>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x</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customHeight="1">
      <c r="A1974" s="323" t="str">
        <f>IF(B1974&lt;&gt;"",IF(AND(B1974='IN-TC'!$S$4,OR(TH!N3051="1111",TH!O3051="1111")),TH!D3051,""),"")</f>
        <v/>
      </c>
      <c r="B1974" s="63">
        <f t="shared" si="156"/>
        <v>5</v>
      </c>
      <c r="C1974" s="64">
        <f>E1974</f>
        <v>42507</v>
      </c>
      <c r="D1974" s="306" t="s">
        <v>690</v>
      </c>
      <c r="E1974" s="64">
        <v>42507</v>
      </c>
      <c r="F1974" s="72" t="s">
        <v>1533</v>
      </c>
      <c r="G1974" s="931" t="s">
        <v>902</v>
      </c>
      <c r="H1974" s="72" t="s">
        <v>617</v>
      </c>
      <c r="I1974" s="408"/>
      <c r="J1974" s="408"/>
      <c r="K1974" s="399"/>
      <c r="L1974" s="408"/>
      <c r="M1974" s="65">
        <v>26783680</v>
      </c>
      <c r="N1974" s="66" t="s">
        <v>8</v>
      </c>
      <c r="O1974" s="66" t="s">
        <v>25</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customHeight="1">
      <c r="A1975" s="323" t="str">
        <f>IF(B1975&lt;&gt;"",IF(AND(B1975='IN-TC'!$S$4,OR(TH!N3066="1111",TH!O3066="1111")),TH!D3066,""),"")</f>
        <v/>
      </c>
      <c r="B1975" s="63">
        <f t="shared" si="156"/>
        <v>5</v>
      </c>
      <c r="C1975" s="64">
        <f>E1975</f>
        <v>42514</v>
      </c>
      <c r="D1975" s="306" t="s">
        <v>690</v>
      </c>
      <c r="E1975" s="64">
        <v>42514</v>
      </c>
      <c r="F1975" s="72" t="s">
        <v>1534</v>
      </c>
      <c r="G1975" s="931" t="s">
        <v>902</v>
      </c>
      <c r="H1975" s="72" t="s">
        <v>617</v>
      </c>
      <c r="I1975" s="408"/>
      <c r="J1975" s="408"/>
      <c r="K1975" s="399"/>
      <c r="L1975" s="408"/>
      <c r="M1975" s="65">
        <v>28393970</v>
      </c>
      <c r="N1975" s="66" t="s">
        <v>8</v>
      </c>
      <c r="O1975" s="66" t="s">
        <v>25</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customHeight="1">
      <c r="A1976" s="323" t="str">
        <f>IF(B1976&lt;&gt;"",IF(AND(B1976='IN-TC'!$S$4,OR(TH!N1966="1111",TH!O1966="1111")),TH!D1966,""),"")</f>
        <v/>
      </c>
      <c r="B1976" s="63">
        <f t="shared" si="156"/>
        <v>7</v>
      </c>
      <c r="C1976" s="78">
        <v>42582</v>
      </c>
      <c r="D1976" s="78" t="s">
        <v>570</v>
      </c>
      <c r="E1976" s="78">
        <v>42556</v>
      </c>
      <c r="F1976" s="80" t="s">
        <v>625</v>
      </c>
      <c r="G1976" s="934" t="s">
        <v>1739</v>
      </c>
      <c r="H1976" s="80" t="s">
        <v>615</v>
      </c>
      <c r="I1976" s="406"/>
      <c r="J1976" s="406"/>
      <c r="K1976" s="397"/>
      <c r="L1976" s="406"/>
      <c r="M1976" s="81">
        <v>200000</v>
      </c>
      <c r="N1976" s="82" t="s">
        <v>9</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x</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customHeight="1">
      <c r="A1977" s="323" t="str">
        <f>IF(B1977&lt;&gt;"",IF(AND(B1977='IN-TC'!$S$4,OR(TH!N1976="1111",TH!O1976="1111")),TH!D1976,""),"")</f>
        <v/>
      </c>
      <c r="B1977" s="63">
        <f t="shared" si="156"/>
        <v>7</v>
      </c>
      <c r="C1977" s="78">
        <v>42582</v>
      </c>
      <c r="D1977" s="78" t="s">
        <v>570</v>
      </c>
      <c r="E1977" s="78">
        <v>42573</v>
      </c>
      <c r="F1977" s="80" t="s">
        <v>624</v>
      </c>
      <c r="G1977" s="934" t="s">
        <v>1740</v>
      </c>
      <c r="H1977" s="80" t="s">
        <v>615</v>
      </c>
      <c r="I1977" s="406"/>
      <c r="J1977" s="406"/>
      <c r="K1977" s="397"/>
      <c r="L1977" s="406"/>
      <c r="M1977" s="81">
        <v>2000000</v>
      </c>
      <c r="N1977" s="82" t="s">
        <v>579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customHeight="1">
      <c r="A1978" s="323" t="str">
        <f>IF(B1978&lt;&gt;"",IF(AND(B1978='IN-TC'!$S$4,OR(TH!N1977="1111",TH!O1977="1111")),TH!D1977,""),"")</f>
        <v/>
      </c>
      <c r="B1978" s="63">
        <f t="shared" si="156"/>
        <v>7</v>
      </c>
      <c r="C1978" s="78">
        <v>42582</v>
      </c>
      <c r="D1978" s="78" t="s">
        <v>570</v>
      </c>
      <c r="E1978" s="78">
        <v>42573</v>
      </c>
      <c r="F1978" s="80" t="s">
        <v>625</v>
      </c>
      <c r="G1978" s="934" t="s">
        <v>1740</v>
      </c>
      <c r="H1978" s="80" t="s">
        <v>615</v>
      </c>
      <c r="I1978" s="406"/>
      <c r="J1978" s="406"/>
      <c r="K1978" s="397"/>
      <c r="L1978" s="406"/>
      <c r="M1978" s="81">
        <v>200000</v>
      </c>
      <c r="N1978" s="82" t="s">
        <v>9</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x</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customHeight="1">
      <c r="A1979" s="323" t="str">
        <f>IF(B1979&lt;&gt;"",IF(AND(B1979='IN-TC'!$S$4,OR(TH!N1978="1111",TH!O1978="1111")),TH!D1978,""),"")</f>
        <v/>
      </c>
      <c r="B1979" s="63">
        <f t="shared" si="156"/>
        <v>7</v>
      </c>
      <c r="C1979" s="78">
        <v>42582</v>
      </c>
      <c r="D1979" s="78" t="s">
        <v>570</v>
      </c>
      <c r="E1979" s="78">
        <v>42577</v>
      </c>
      <c r="F1979" s="80" t="s">
        <v>624</v>
      </c>
      <c r="G1979" s="934" t="s">
        <v>1741</v>
      </c>
      <c r="H1979" s="80" t="s">
        <v>615</v>
      </c>
      <c r="I1979" s="406"/>
      <c r="J1979" s="406"/>
      <c r="K1979" s="397"/>
      <c r="L1979" s="406"/>
      <c r="M1979" s="81">
        <v>2000000</v>
      </c>
      <c r="N1979" s="82" t="s">
        <v>579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customHeight="1">
      <c r="A1980" s="323" t="str">
        <f>IF(B1980&lt;&gt;"",IF(AND(B1980='IN-TC'!$S$4,OR(TH!N1931="1111",TH!O1931="1111")),TH!D1931,""),"")</f>
        <v/>
      </c>
      <c r="B1980" s="63">
        <f t="shared" si="156"/>
        <v>5</v>
      </c>
      <c r="C1980" s="1077">
        <v>42521</v>
      </c>
      <c r="D1980" s="1077" t="s">
        <v>570</v>
      </c>
      <c r="E1980" s="1077">
        <v>42496</v>
      </c>
      <c r="F1980" s="80" t="s">
        <v>1475</v>
      </c>
      <c r="G1980" s="949" t="s">
        <v>1539</v>
      </c>
      <c r="H1980" s="310" t="s">
        <v>617</v>
      </c>
      <c r="I1980" s="406"/>
      <c r="J1980" s="406"/>
      <c r="K1980" s="397"/>
      <c r="L1980" s="406"/>
      <c r="M1980" s="81">
        <v>25896900</v>
      </c>
      <c r="N1980" s="1073" t="s">
        <v>276</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customHeight="1">
      <c r="A1981" s="323" t="str">
        <f>IF(B1981&lt;&gt;"",IF(AND(B1981='IN-TC'!$S$4,OR(TH!N1932="1111",TH!O1932="1111")),TH!D1932,""),"")</f>
        <v/>
      </c>
      <c r="B1981" s="63">
        <f t="shared" si="156"/>
        <v>5</v>
      </c>
      <c r="C1981" s="1077">
        <v>42521</v>
      </c>
      <c r="D1981" s="1077" t="s">
        <v>570</v>
      </c>
      <c r="E1981" s="1077">
        <v>42496</v>
      </c>
      <c r="F1981" s="80" t="s">
        <v>1476</v>
      </c>
      <c r="G1981" s="949" t="s">
        <v>1539</v>
      </c>
      <c r="H1981" s="310" t="s">
        <v>617</v>
      </c>
      <c r="I1981" s="406"/>
      <c r="J1981" s="406"/>
      <c r="K1981" s="397"/>
      <c r="L1981" s="406"/>
      <c r="M1981" s="81">
        <v>2589690</v>
      </c>
      <c r="N1981" s="1073"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x</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customHeight="1">
      <c r="A1982" s="323" t="str">
        <f>IF(B1982&lt;&gt;"",IF(AND(B1982='IN-TC'!$S$4,OR(TH!N2659="1111",TH!O2659="1111")),TH!D2659,""),"")</f>
        <v/>
      </c>
      <c r="B1982" s="63">
        <f t="shared" si="156"/>
        <v>3</v>
      </c>
      <c r="C1982" s="306">
        <v>42431</v>
      </c>
      <c r="D1982" s="306" t="s">
        <v>864</v>
      </c>
      <c r="E1982" s="306">
        <v>42429</v>
      </c>
      <c r="F1982" s="482" t="s">
        <v>1362</v>
      </c>
      <c r="G1982" s="935" t="s">
        <v>1366</v>
      </c>
      <c r="H1982" s="72" t="s">
        <v>1365</v>
      </c>
      <c r="I1982" s="408"/>
      <c r="J1982" s="408"/>
      <c r="K1982" s="399"/>
      <c r="L1982" s="408"/>
      <c r="M1982" s="65">
        <v>16754250</v>
      </c>
      <c r="N1982" s="309" t="s">
        <v>99</v>
      </c>
      <c r="O1982" s="66" t="s">
        <v>61</v>
      </c>
      <c r="P1982" s="82" t="str">
        <f>IF(AND('331-CT'!$E$7=TH!H1982,OR(N1982="331",O1982="331")),"x","")</f>
        <v/>
      </c>
      <c r="Q1982" s="82" t="str">
        <f>IF(AND(B1982='111'!$L$11,OR($N1982=$Q$7,$O1982=$Q$7)),"x","")</f>
        <v/>
      </c>
      <c r="R1982" s="82" t="str">
        <f>IF(AND($N1982=$Q$7,$B1982&lt;'111'!$L$11),"x","")</f>
        <v/>
      </c>
      <c r="S1982" s="82" t="str">
        <f>IF(AND($O1982=$Q$7,$B1982&lt;'111'!$L$11),"x","")</f>
        <v>x</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customHeight="1">
      <c r="A1983" s="323" t="str">
        <f>IF(B1983&lt;&gt;"",IF(AND(B1983='IN-TC'!$S$4,OR(TH!N2660="1111",TH!O2660="1111")),TH!D2660,""),"")</f>
        <v/>
      </c>
      <c r="B1983" s="63">
        <f t="shared" si="156"/>
        <v>3</v>
      </c>
      <c r="C1983" s="306">
        <v>42431</v>
      </c>
      <c r="D1983" s="306" t="s">
        <v>864</v>
      </c>
      <c r="E1983" s="306">
        <v>42429</v>
      </c>
      <c r="F1983" s="482" t="s">
        <v>1363</v>
      </c>
      <c r="G1983" s="935" t="s">
        <v>1366</v>
      </c>
      <c r="H1983" s="72" t="s">
        <v>1365</v>
      </c>
      <c r="I1983" s="408"/>
      <c r="J1983" s="408"/>
      <c r="K1983" s="399"/>
      <c r="L1983" s="408"/>
      <c r="M1983" s="65">
        <v>1017425</v>
      </c>
      <c r="N1983" s="309" t="s">
        <v>9</v>
      </c>
      <c r="O1983" s="66" t="s">
        <v>61</v>
      </c>
      <c r="P1983" s="82" t="str">
        <f>IF(AND('331-CT'!$E$7=TH!H1983,OR(N1983="331",O1983="331")),"x","")</f>
        <v/>
      </c>
      <c r="Q1983" s="82" t="str">
        <f>IF(AND(B1983='111'!$L$11,OR($N1983=$Q$7,$O1983=$Q$7)),"x","")</f>
        <v/>
      </c>
      <c r="R1983" s="82" t="str">
        <f>IF(AND($N1983=$Q$7,$B1983&lt;'111'!$L$11),"x","")</f>
        <v/>
      </c>
      <c r="S1983" s="82" t="str">
        <f>IF(AND($O1983=$Q$7,$B1983&lt;'111'!$L$11),"x","")</f>
        <v>x</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x</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customHeight="1">
      <c r="A1984" s="323" t="str">
        <f>IF(B1984&lt;&gt;"",IF(AND(B1984='IN-TC'!$S$4,OR(TH!N3402="1111",TH!O3402="1111")),TH!D3402,""),"")</f>
        <v/>
      </c>
      <c r="B1984" s="63">
        <f t="shared" si="156"/>
        <v>7</v>
      </c>
      <c r="C1984" s="64">
        <v>42556</v>
      </c>
      <c r="D1984" s="64" t="s">
        <v>690</v>
      </c>
      <c r="E1984" s="64">
        <f>C1984</f>
        <v>42556</v>
      </c>
      <c r="F1984" s="72" t="s">
        <v>1754</v>
      </c>
      <c r="G1984" s="67" t="s">
        <v>902</v>
      </c>
      <c r="H1984" s="72" t="s">
        <v>1365</v>
      </c>
      <c r="I1984" s="408"/>
      <c r="J1984" s="408"/>
      <c r="K1984" s="399"/>
      <c r="L1984" s="408"/>
      <c r="M1984" s="65">
        <v>28078550</v>
      </c>
      <c r="N1984" s="66" t="s">
        <v>8</v>
      </c>
      <c r="O1984" s="66" t="s">
        <v>25</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customHeight="1">
      <c r="A1985" s="323" t="str">
        <f>IF(B1985&lt;&gt;"",IF(AND(B1985='IN-TC'!$S$4,OR(TH!N1961="1111",TH!O1961="1111")),TH!D1961,""),"")</f>
        <v/>
      </c>
      <c r="B1985" s="63">
        <f t="shared" si="156"/>
        <v>7</v>
      </c>
      <c r="C1985" s="78">
        <v>42582</v>
      </c>
      <c r="D1985" s="78" t="s">
        <v>570</v>
      </c>
      <c r="E1985" s="78">
        <v>42551</v>
      </c>
      <c r="F1985" s="80" t="s">
        <v>1828</v>
      </c>
      <c r="G1985" s="934" t="s">
        <v>1964</v>
      </c>
      <c r="H1985" s="80" t="s">
        <v>1365</v>
      </c>
      <c r="I1985" s="406"/>
      <c r="J1985" s="406"/>
      <c r="K1985" s="397"/>
      <c r="L1985" s="406"/>
      <c r="M1985" s="81">
        <v>7787298</v>
      </c>
      <c r="N1985" s="82" t="s">
        <v>99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customHeight="1">
      <c r="A1986" s="323" t="str">
        <f>IF(B1986&lt;&gt;"",IF(AND(B1986='IN-TC'!$S$4,OR(TH!N1986="1111",TH!O1986="1111")),TH!D1986,""),"")</f>
        <v/>
      </c>
      <c r="B1986" s="63">
        <f t="shared" si="156"/>
        <v>8</v>
      </c>
      <c r="C1986" s="78">
        <v>42613</v>
      </c>
      <c r="D1986" s="78" t="s">
        <v>570</v>
      </c>
      <c r="E1986" s="78">
        <v>42585</v>
      </c>
      <c r="F1986" s="80" t="s">
        <v>1730</v>
      </c>
      <c r="G1986" s="934" t="s">
        <v>1817</v>
      </c>
      <c r="H1986" s="80" t="s">
        <v>1732</v>
      </c>
      <c r="I1986" s="406"/>
      <c r="J1986" s="406"/>
      <c r="K1986" s="397"/>
      <c r="L1986" s="406"/>
      <c r="M1986" s="81">
        <v>32045455</v>
      </c>
      <c r="N1986" s="82" t="s">
        <v>99</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customHeight="1">
      <c r="A1987" s="323" t="str">
        <f>IF(B1987&lt;&gt;"",IF(AND(B1987='IN-TC'!$S$4,OR(TH!N1987="1111",TH!O1987="1111")),TH!D1987,""),"")</f>
        <v/>
      </c>
      <c r="B1987" s="63">
        <f t="shared" si="156"/>
        <v>8</v>
      </c>
      <c r="C1987" s="78">
        <v>42613</v>
      </c>
      <c r="D1987" s="78" t="s">
        <v>570</v>
      </c>
      <c r="E1987" s="78">
        <v>42585</v>
      </c>
      <c r="F1987" s="80" t="s">
        <v>1731</v>
      </c>
      <c r="G1987" s="934" t="s">
        <v>1817</v>
      </c>
      <c r="H1987" s="80" t="s">
        <v>1732</v>
      </c>
      <c r="I1987" s="406"/>
      <c r="J1987" s="406"/>
      <c r="K1987" s="397"/>
      <c r="L1987" s="406"/>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x</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customHeight="1">
      <c r="A1988" s="323" t="str">
        <f>IF(B1988&lt;&gt;"",IF(AND(B1988='IN-TC'!$S$4,OR(TH!N1915="1111",TH!O1915="1111")),TH!D1915,""),"")</f>
        <v/>
      </c>
      <c r="B1988" s="63">
        <f t="shared" si="156"/>
        <v>4</v>
      </c>
      <c r="C1988" s="78">
        <v>42490</v>
      </c>
      <c r="D1988" s="78" t="s">
        <v>570</v>
      </c>
      <c r="E1988" s="78">
        <v>42485</v>
      </c>
      <c r="F1988" s="80" t="s">
        <v>623</v>
      </c>
      <c r="G1988" s="934" t="s">
        <v>1441</v>
      </c>
      <c r="H1988" s="80" t="s">
        <v>614</v>
      </c>
      <c r="I1988" s="406"/>
      <c r="J1988" s="406"/>
      <c r="K1988" s="397"/>
      <c r="L1988" s="406"/>
      <c r="M1988" s="81">
        <v>780000</v>
      </c>
      <c r="N1988" s="82" t="s">
        <v>579</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customHeight="1">
      <c r="A1989" s="323" t="str">
        <f>IF(B1989&lt;&gt;"",IF(AND(B1989='IN-TC'!$S$4,OR(TH!N1916="1111",TH!O1916="1111")),TH!D1916,""),"")</f>
        <v/>
      </c>
      <c r="B1989" s="63">
        <f t="shared" si="156"/>
        <v>4</v>
      </c>
      <c r="C1989" s="78">
        <v>42490</v>
      </c>
      <c r="D1989" s="78" t="s">
        <v>570</v>
      </c>
      <c r="E1989" s="78">
        <v>42482</v>
      </c>
      <c r="F1989" s="80" t="s">
        <v>623</v>
      </c>
      <c r="G1989" s="934" t="s">
        <v>1442</v>
      </c>
      <c r="H1989" s="80" t="s">
        <v>614</v>
      </c>
      <c r="I1989" s="406"/>
      <c r="J1989" s="406"/>
      <c r="K1989" s="397"/>
      <c r="L1989" s="406"/>
      <c r="M1989" s="81">
        <v>1110000</v>
      </c>
      <c r="N1989" s="82" t="s">
        <v>579</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customHeight="1">
      <c r="A1990" s="323" t="str">
        <f>IF(B1990&lt;&gt;"",IF(AND(B1990='IN-TC'!$S$4,OR(TH!N3179="1111",TH!O3179="1111")),TH!D3179,""),"")</f>
        <v/>
      </c>
      <c r="B1990" s="63">
        <f t="shared" si="156"/>
        <v>6</v>
      </c>
      <c r="C1990" s="64">
        <v>42537</v>
      </c>
      <c r="D1990" s="64" t="s">
        <v>690</v>
      </c>
      <c r="E1990" s="64">
        <f>C1990</f>
        <v>42537</v>
      </c>
      <c r="F1990" s="72" t="s">
        <v>1624</v>
      </c>
      <c r="G1990" s="67" t="s">
        <v>902</v>
      </c>
      <c r="H1990" s="329" t="s">
        <v>614</v>
      </c>
      <c r="I1990" s="408"/>
      <c r="J1990" s="408"/>
      <c r="K1990" s="399"/>
      <c r="L1990" s="408"/>
      <c r="M1990" s="65">
        <v>990000</v>
      </c>
      <c r="N1990" s="66" t="s">
        <v>8</v>
      </c>
      <c r="O1990" s="66" t="s">
        <v>25</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customHeight="1">
      <c r="A1991" s="323" t="str">
        <f>IF(B1991&lt;&gt;"",IF(AND(B1991='IN-TC'!$S$4,OR(TH!N1933="1111",TH!O1933="1111")),TH!D1933,""),"")</f>
        <v/>
      </c>
      <c r="B1991" s="63">
        <f t="shared" si="156"/>
        <v>5</v>
      </c>
      <c r="C1991" s="1077">
        <v>42521</v>
      </c>
      <c r="D1991" s="1077" t="s">
        <v>570</v>
      </c>
      <c r="E1991" s="1077">
        <v>42506</v>
      </c>
      <c r="F1991" s="80" t="s">
        <v>1477</v>
      </c>
      <c r="G1991" s="949" t="s">
        <v>1540</v>
      </c>
      <c r="H1991" s="310" t="s">
        <v>617</v>
      </c>
      <c r="I1991" s="406"/>
      <c r="J1991" s="406"/>
      <c r="K1991" s="397"/>
      <c r="L1991" s="406"/>
      <c r="M1991" s="81">
        <v>32111500</v>
      </c>
      <c r="N1991" s="1073" t="s">
        <v>276</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customHeight="1">
      <c r="A1992" s="323" t="str">
        <f>IF(B1992&lt;&gt;"",IF(AND(B1992='IN-TC'!$S$4,OR(TH!N1934="1111",TH!O1934="1111")),TH!D1934,""),"")</f>
        <v/>
      </c>
      <c r="B1992" s="63">
        <f t="shared" si="156"/>
        <v>5</v>
      </c>
      <c r="C1992" s="1077">
        <v>42521</v>
      </c>
      <c r="D1992" s="1077" t="s">
        <v>570</v>
      </c>
      <c r="E1992" s="1077">
        <v>42506</v>
      </c>
      <c r="F1992" s="80" t="s">
        <v>1478</v>
      </c>
      <c r="G1992" s="949" t="s">
        <v>1540</v>
      </c>
      <c r="H1992" s="310" t="s">
        <v>617</v>
      </c>
      <c r="I1992" s="406"/>
      <c r="J1992" s="406"/>
      <c r="K1992" s="397"/>
      <c r="L1992" s="406"/>
      <c r="M1992" s="81">
        <v>3211150</v>
      </c>
      <c r="N1992" s="1073"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x</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customHeight="1">
      <c r="A1993" s="323" t="str">
        <f>IF(B1993&lt;&gt;"",IF(AND(B1993='IN-TC'!$S$4,OR(TH!N3536="1111",TH!O3536="1111")),TH!D3536,""),"")</f>
        <v/>
      </c>
      <c r="B1993" s="63">
        <f t="shared" si="156"/>
        <v>8</v>
      </c>
      <c r="C1993" s="64">
        <v>42586</v>
      </c>
      <c r="D1993" s="64" t="s">
        <v>690</v>
      </c>
      <c r="E1993" s="64">
        <f>C1993</f>
        <v>42586</v>
      </c>
      <c r="F1993" s="72" t="s">
        <v>1623</v>
      </c>
      <c r="G1993" s="67" t="s">
        <v>902</v>
      </c>
      <c r="H1993" s="308" t="s">
        <v>1484</v>
      </c>
      <c r="I1993" s="408"/>
      <c r="J1993" s="408"/>
      <c r="K1993" s="399"/>
      <c r="L1993" s="408"/>
      <c r="M1993" s="65">
        <v>64375104</v>
      </c>
      <c r="N1993" s="66" t="s">
        <v>8</v>
      </c>
      <c r="O1993" s="66" t="s">
        <v>25</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customHeight="1">
      <c r="A1994" s="323" t="str">
        <f>IF(B1994&lt;&gt;"",IF(AND(B1994='IN-TC'!$S$4,OR(TH!N1993="1111",TH!O1993="1111")),TH!D1993,""),"")</f>
        <v/>
      </c>
      <c r="B1994" s="63">
        <f t="shared" si="156"/>
        <v>8</v>
      </c>
      <c r="C1994" s="78">
        <v>42613</v>
      </c>
      <c r="D1994" s="78" t="s">
        <v>570</v>
      </c>
      <c r="E1994" s="78">
        <v>42590</v>
      </c>
      <c r="F1994" s="80" t="s">
        <v>1486</v>
      </c>
      <c r="G1994" s="934" t="s">
        <v>1854</v>
      </c>
      <c r="H1994" s="80" t="s">
        <v>1484</v>
      </c>
      <c r="I1994" s="406"/>
      <c r="J1994" s="406"/>
      <c r="K1994" s="397"/>
      <c r="L1994" s="406"/>
      <c r="M1994" s="81">
        <v>21213500</v>
      </c>
      <c r="N1994" s="82" t="s">
        <v>579</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customHeight="1">
      <c r="A1995" s="323" t="str">
        <f>IF(B1995&lt;&gt;"",IF(AND(B1995='IN-TC'!$S$4,OR(TH!N1994="1111",TH!O1994="1111")),TH!D1994,""),"")</f>
        <v/>
      </c>
      <c r="B1995" s="63">
        <f t="shared" si="156"/>
        <v>8</v>
      </c>
      <c r="C1995" s="78">
        <v>42613</v>
      </c>
      <c r="D1995" s="78" t="s">
        <v>570</v>
      </c>
      <c r="E1995" s="78">
        <v>42590</v>
      </c>
      <c r="F1995" s="80" t="s">
        <v>1850</v>
      </c>
      <c r="G1995" s="934" t="s">
        <v>1855</v>
      </c>
      <c r="H1995" s="80" t="s">
        <v>1484</v>
      </c>
      <c r="I1995" s="406"/>
      <c r="J1995" s="406"/>
      <c r="K1995" s="397"/>
      <c r="L1995" s="406"/>
      <c r="M1995" s="81">
        <v>8507730</v>
      </c>
      <c r="N1995" s="82" t="s">
        <v>579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customHeight="1">
      <c r="A1996" s="323" t="str">
        <f>IF(B1996&lt;&gt;"",IF(AND(B1996='IN-TC'!$S$4,OR(TH!N1979="1111",TH!O1979="1111")),TH!D1979,""),"")</f>
        <v/>
      </c>
      <c r="B1996" s="63">
        <f t="shared" si="156"/>
        <v>7</v>
      </c>
      <c r="C1996" s="78">
        <v>42582</v>
      </c>
      <c r="D1996" s="78" t="s">
        <v>570</v>
      </c>
      <c r="E1996" s="78">
        <v>42577</v>
      </c>
      <c r="F1996" s="80" t="s">
        <v>625</v>
      </c>
      <c r="G1996" s="934" t="s">
        <v>1741</v>
      </c>
      <c r="H1996" s="80" t="s">
        <v>615</v>
      </c>
      <c r="I1996" s="406"/>
      <c r="J1996" s="406"/>
      <c r="K1996" s="397"/>
      <c r="L1996" s="406"/>
      <c r="M1996" s="81">
        <v>200000</v>
      </c>
      <c r="N1996" s="82" t="s">
        <v>9</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x</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customHeight="1">
      <c r="A1997" s="323" t="str">
        <f>IF(B1997&lt;&gt;"",IF(AND(B1997='IN-TC'!$S$4,OR(TH!N1996="1111",TH!O1996="1111")),TH!D1996,""),"")</f>
        <v/>
      </c>
      <c r="B1997" s="63">
        <f t="shared" si="156"/>
        <v>8</v>
      </c>
      <c r="C1997" s="78">
        <v>42613</v>
      </c>
      <c r="D1997" s="78" t="s">
        <v>570</v>
      </c>
      <c r="E1997" s="78">
        <v>42591</v>
      </c>
      <c r="F1997" s="80" t="s">
        <v>624</v>
      </c>
      <c r="G1997" s="934" t="s">
        <v>1841</v>
      </c>
      <c r="H1997" s="80" t="s">
        <v>615</v>
      </c>
      <c r="I1997" s="406"/>
      <c r="J1997" s="406"/>
      <c r="K1997" s="397"/>
      <c r="L1997" s="406"/>
      <c r="M1997" s="81">
        <v>2000000</v>
      </c>
      <c r="N1997" s="82" t="s">
        <v>579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customHeight="1">
      <c r="A1998" s="323" t="str">
        <f>IF(B1998&lt;&gt;"",IF(AND(B1998='IN-TC'!$S$4,OR(TH!N1997="1111",TH!O1997="1111")),TH!D1997,""),"")</f>
        <v/>
      </c>
      <c r="B1998" s="63">
        <f t="shared" si="156"/>
        <v>8</v>
      </c>
      <c r="C1998" s="78">
        <v>42613</v>
      </c>
      <c r="D1998" s="78" t="s">
        <v>570</v>
      </c>
      <c r="E1998" s="78">
        <v>42591</v>
      </c>
      <c r="F1998" s="80" t="s">
        <v>625</v>
      </c>
      <c r="G1998" s="934" t="s">
        <v>1841</v>
      </c>
      <c r="H1998" s="80" t="s">
        <v>615</v>
      </c>
      <c r="I1998" s="406"/>
      <c r="J1998" s="406"/>
      <c r="K1998" s="397"/>
      <c r="L1998" s="406"/>
      <c r="M1998" s="81">
        <v>200000</v>
      </c>
      <c r="N1998" s="82" t="s">
        <v>9</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x</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customHeight="1">
      <c r="A1999" s="323" t="str">
        <f>IF(B1999&lt;&gt;"",IF(AND(B1999='IN-TC'!$S$4,OR(TH!N1998="1111",TH!O1998="1111")),TH!D1998,""),"")</f>
        <v/>
      </c>
      <c r="B1999" s="63">
        <f t="shared" si="156"/>
        <v>8</v>
      </c>
      <c r="C1999" s="78">
        <v>42613</v>
      </c>
      <c r="D1999" s="78" t="s">
        <v>570</v>
      </c>
      <c r="E1999" s="78">
        <v>42593</v>
      </c>
      <c r="F1999" s="80" t="s">
        <v>624</v>
      </c>
      <c r="G1999" s="934" t="s">
        <v>1842</v>
      </c>
      <c r="H1999" s="80" t="s">
        <v>615</v>
      </c>
      <c r="I1999" s="406"/>
      <c r="J1999" s="406"/>
      <c r="K1999" s="397"/>
      <c r="L1999" s="406"/>
      <c r="M1999" s="81">
        <v>2000000</v>
      </c>
      <c r="N1999" s="82" t="s">
        <v>579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customHeight="1">
      <c r="A2000" s="323" t="str">
        <f>IF(B2000&lt;&gt;"",IF(AND(B2000='IN-TC'!$S$4,OR(TH!N1935="1111",TH!O1935="1111")),TH!D1935,""),"")</f>
        <v/>
      </c>
      <c r="B2000" s="63">
        <f t="shared" si="156"/>
        <v>5</v>
      </c>
      <c r="C2000" s="1077">
        <v>42521</v>
      </c>
      <c r="D2000" s="1077" t="s">
        <v>570</v>
      </c>
      <c r="E2000" s="1077">
        <v>42516</v>
      </c>
      <c r="F2000" s="80" t="s">
        <v>1479</v>
      </c>
      <c r="G2000" s="949" t="s">
        <v>1541</v>
      </c>
      <c r="H2000" s="310" t="s">
        <v>617</v>
      </c>
      <c r="I2000" s="406"/>
      <c r="J2000" s="406"/>
      <c r="K2000" s="397"/>
      <c r="L2000" s="406"/>
      <c r="M2000" s="81">
        <v>28480300</v>
      </c>
      <c r="N2000" s="1073" t="s">
        <v>276</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customHeight="1">
      <c r="A2001" s="323" t="str">
        <f>IF(B2001&lt;&gt;"",IF(AND(B2001='IN-TC'!$S$4,OR(TH!N1936="1111",TH!O1936="1111")),TH!D1936,""),"")</f>
        <v/>
      </c>
      <c r="B2001" s="63">
        <f t="shared" si="156"/>
        <v>5</v>
      </c>
      <c r="C2001" s="1077">
        <v>42521</v>
      </c>
      <c r="D2001" s="1077" t="s">
        <v>570</v>
      </c>
      <c r="E2001" s="1077">
        <v>42516</v>
      </c>
      <c r="F2001" s="80" t="s">
        <v>1480</v>
      </c>
      <c r="G2001" s="949" t="s">
        <v>1541</v>
      </c>
      <c r="H2001" s="310" t="s">
        <v>617</v>
      </c>
      <c r="I2001" s="406"/>
      <c r="J2001" s="406"/>
      <c r="K2001" s="397"/>
      <c r="L2001" s="406"/>
      <c r="M2001" s="81">
        <v>2848030</v>
      </c>
      <c r="N2001" s="1073"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x</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customHeight="1">
      <c r="A2002" s="323" t="str">
        <f>IF(B2002&lt;&gt;"",IF(AND(B2002='IN-TC'!$S$4,OR(TH!N2002="1111",TH!O2002="1111")),TH!D2002,""),"")</f>
        <v/>
      </c>
      <c r="B2002" s="63">
        <f t="shared" si="156"/>
        <v>8</v>
      </c>
      <c r="C2002" s="78">
        <v>42613</v>
      </c>
      <c r="D2002" s="78" t="s">
        <v>570</v>
      </c>
      <c r="E2002" s="78">
        <v>42600</v>
      </c>
      <c r="F2002" s="80" t="s">
        <v>1843</v>
      </c>
      <c r="G2002" s="934" t="s">
        <v>1844</v>
      </c>
      <c r="H2002" s="80" t="s">
        <v>1845</v>
      </c>
      <c r="I2002" s="406"/>
      <c r="J2002" s="406"/>
      <c r="K2002" s="397"/>
      <c r="L2002" s="406"/>
      <c r="M2002" s="81">
        <v>6699000</v>
      </c>
      <c r="N2002" s="82" t="s">
        <v>579</v>
      </c>
      <c r="O2002" s="82" t="s">
        <v>8</v>
      </c>
      <c r="P2002" s="82" t="str">
        <f>IF(AND('331-CT'!$E$7=TH!H2002,OR(N2002="331",O2002="331")),"x","")</f>
        <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customHeight="1">
      <c r="A2003" s="323" t="str">
        <f>IF(B2003&lt;&gt;"",IF(AND(B2003='IN-TC'!$S$4,OR(TH!N2003="1111",TH!O2003="1111")),TH!D2003,""),"")</f>
        <v/>
      </c>
      <c r="B2003" s="63">
        <f t="shared" si="156"/>
        <v>8</v>
      </c>
      <c r="C2003" s="78">
        <v>42613</v>
      </c>
      <c r="D2003" s="78" t="s">
        <v>570</v>
      </c>
      <c r="E2003" s="78">
        <v>42600</v>
      </c>
      <c r="F2003" s="80" t="s">
        <v>1847</v>
      </c>
      <c r="G2003" s="934" t="s">
        <v>1846</v>
      </c>
      <c r="H2003" s="80" t="s">
        <v>1845</v>
      </c>
      <c r="I2003" s="406"/>
      <c r="J2003" s="406"/>
      <c r="K2003" s="397"/>
      <c r="L2003" s="406"/>
      <c r="M2003" s="81">
        <v>3731540</v>
      </c>
      <c r="N2003" s="82" t="s">
        <v>579</v>
      </c>
      <c r="O2003" s="82" t="s">
        <v>8</v>
      </c>
      <c r="P2003" s="82" t="str">
        <f>IF(AND('331-CT'!$E$7=TH!H2003,OR(N2003="331",O2003="331")),"x","")</f>
        <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customHeight="1">
      <c r="A2004" s="323" t="str">
        <f>IF(B2004&lt;&gt;"",IF(AND(B2004='IN-TC'!$S$4,OR(TH!N2004="1111",TH!O2004="1111")),TH!D2004,""),"")</f>
        <v/>
      </c>
      <c r="B2004" s="63">
        <f t="shared" si="156"/>
        <v>8</v>
      </c>
      <c r="C2004" s="78">
        <v>42613</v>
      </c>
      <c r="D2004" s="78" t="s">
        <v>570</v>
      </c>
      <c r="E2004" s="78">
        <v>42600</v>
      </c>
      <c r="F2004" s="80" t="s">
        <v>1848</v>
      </c>
      <c r="G2004" s="934" t="s">
        <v>1846</v>
      </c>
      <c r="H2004" s="80" t="s">
        <v>1845</v>
      </c>
      <c r="I2004" s="406"/>
      <c r="J2004" s="406"/>
      <c r="K2004" s="397"/>
      <c r="L2004" s="406"/>
      <c r="M2004" s="81">
        <v>373154</v>
      </c>
      <c r="N2004" s="82" t="s">
        <v>9</v>
      </c>
      <c r="O2004" s="82" t="s">
        <v>8</v>
      </c>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x</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customHeight="1">
      <c r="A2005" s="323" t="str">
        <f>IF(B2005&lt;&gt;"",IF(AND(B2005='IN-TC'!$S$4,OR(TH!N3087="1111",TH!O3087="1111")),TH!D3087,""),"")</f>
        <v/>
      </c>
      <c r="B2005" s="63">
        <f t="shared" si="156"/>
        <v>6</v>
      </c>
      <c r="C2005" s="64">
        <v>42523</v>
      </c>
      <c r="D2005" s="64" t="s">
        <v>690</v>
      </c>
      <c r="E2005" s="64">
        <f>C2005</f>
        <v>42523</v>
      </c>
      <c r="F2005" s="72" t="s">
        <v>1615</v>
      </c>
      <c r="G2005" s="67" t="s">
        <v>902</v>
      </c>
      <c r="H2005" s="72" t="s">
        <v>617</v>
      </c>
      <c r="I2005" s="408"/>
      <c r="J2005" s="408"/>
      <c r="K2005" s="399"/>
      <c r="L2005" s="408"/>
      <c r="M2005" s="65">
        <v>35415270</v>
      </c>
      <c r="N2005" s="66" t="s">
        <v>8</v>
      </c>
      <c r="O2005" s="66" t="s">
        <v>25</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customHeight="1">
      <c r="A2006" s="323" t="str">
        <f>IF(B2006&lt;&gt;"",IF(AND(B2006='IN-TC'!$S$4,OR(TH!N3154="1111",TH!O3154="1111")),TH!D3154,""),"")</f>
        <v/>
      </c>
      <c r="B2006" s="63">
        <f t="shared" si="156"/>
        <v>6</v>
      </c>
      <c r="C2006" s="64">
        <v>42534</v>
      </c>
      <c r="D2006" s="64" t="s">
        <v>690</v>
      </c>
      <c r="E2006" s="64">
        <f>C2006</f>
        <v>42534</v>
      </c>
      <c r="F2006" s="72" t="s">
        <v>1620</v>
      </c>
      <c r="G2006" s="67" t="s">
        <v>902</v>
      </c>
      <c r="H2006" s="72" t="s">
        <v>617</v>
      </c>
      <c r="I2006" s="408"/>
      <c r="J2006" s="408"/>
      <c r="K2006" s="399"/>
      <c r="L2006" s="408"/>
      <c r="M2006" s="65">
        <v>31328330</v>
      </c>
      <c r="N2006" s="66" t="s">
        <v>8</v>
      </c>
      <c r="O2006" s="66" t="s">
        <v>25</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customHeight="1">
      <c r="A2007" s="323" t="str">
        <f>IF(B2007&lt;&gt;"",IF(AND(B2007='IN-TC'!$S$4,OR(TH!N1999="1111",TH!O1999="1111")),TH!D1999,""),"")</f>
        <v/>
      </c>
      <c r="B2007" s="63">
        <f t="shared" si="156"/>
        <v>8</v>
      </c>
      <c r="C2007" s="78">
        <v>42613</v>
      </c>
      <c r="D2007" s="78" t="s">
        <v>570</v>
      </c>
      <c r="E2007" s="78">
        <v>42593</v>
      </c>
      <c r="F2007" s="80" t="s">
        <v>625</v>
      </c>
      <c r="G2007" s="934" t="s">
        <v>1842</v>
      </c>
      <c r="H2007" s="80" t="s">
        <v>615</v>
      </c>
      <c r="I2007" s="406"/>
      <c r="J2007" s="406"/>
      <c r="K2007" s="397"/>
      <c r="L2007" s="406"/>
      <c r="M2007" s="81">
        <v>200000</v>
      </c>
      <c r="N2007" s="82" t="s">
        <v>9</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x</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customHeight="1">
      <c r="A2008" s="323" t="str">
        <f>IF(B2008&lt;&gt;"",IF(AND(B2008='IN-TC'!$S$4,OR(TH!N2007="1111",TH!O2007="1111")),TH!D2007,""),"")</f>
        <v/>
      </c>
      <c r="B2008" s="63">
        <f t="shared" si="156"/>
        <v>8</v>
      </c>
      <c r="C2008" s="78">
        <v>42613</v>
      </c>
      <c r="D2008" s="78" t="s">
        <v>570</v>
      </c>
      <c r="E2008" s="78">
        <v>42611</v>
      </c>
      <c r="F2008" s="80" t="s">
        <v>624</v>
      </c>
      <c r="G2008" s="934" t="s">
        <v>1917</v>
      </c>
      <c r="H2008" s="80" t="s">
        <v>615</v>
      </c>
      <c r="I2008" s="406"/>
      <c r="J2008" s="406"/>
      <c r="K2008" s="397"/>
      <c r="L2008" s="406"/>
      <c r="M2008" s="81">
        <v>2041360</v>
      </c>
      <c r="N2008" s="82" t="s">
        <v>579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customHeight="1">
      <c r="A2009" s="323" t="str">
        <f>IF(B2009&lt;&gt;"",IF(AND(B2009='IN-TC'!$S$4,OR(TH!N2009="1111",TH!O2009="1111")),TH!D2009,""),"")</f>
        <v/>
      </c>
      <c r="B2009" s="63">
        <f t="shared" si="156"/>
        <v>8</v>
      </c>
      <c r="C2009" s="78">
        <v>42613</v>
      </c>
      <c r="D2009" s="78" t="s">
        <v>570</v>
      </c>
      <c r="E2009" s="78">
        <v>42613</v>
      </c>
      <c r="F2009" s="80" t="s">
        <v>1847</v>
      </c>
      <c r="G2009" s="934" t="s">
        <v>1849</v>
      </c>
      <c r="H2009" s="80" t="s">
        <v>1845</v>
      </c>
      <c r="I2009" s="406"/>
      <c r="J2009" s="406"/>
      <c r="K2009" s="397"/>
      <c r="L2009" s="406"/>
      <c r="M2009" s="81">
        <v>4382920</v>
      </c>
      <c r="N2009" s="82" t="s">
        <v>579</v>
      </c>
      <c r="O2009" s="82" t="s">
        <v>8</v>
      </c>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customHeight="1">
      <c r="A2010" s="323" t="str">
        <f>IF(B2010&lt;&gt;"",IF(AND(B2010='IN-TC'!$S$4,OR(TH!N2010="1111",TH!O2010="1111")),TH!D2010,""),"")</f>
        <v/>
      </c>
      <c r="B2010" s="63">
        <f t="shared" si="156"/>
        <v>8</v>
      </c>
      <c r="C2010" s="78">
        <v>42613</v>
      </c>
      <c r="D2010" s="78" t="s">
        <v>570</v>
      </c>
      <c r="E2010" s="78">
        <v>42613</v>
      </c>
      <c r="F2010" s="80" t="s">
        <v>1848</v>
      </c>
      <c r="G2010" s="934" t="s">
        <v>1849</v>
      </c>
      <c r="H2010" s="80" t="s">
        <v>1845</v>
      </c>
      <c r="I2010" s="406"/>
      <c r="J2010" s="406"/>
      <c r="K2010" s="397"/>
      <c r="L2010" s="406"/>
      <c r="M2010" s="81">
        <v>438292</v>
      </c>
      <c r="N2010" s="82" t="s">
        <v>9</v>
      </c>
      <c r="O2010" s="82" t="s">
        <v>8</v>
      </c>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x</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customHeight="1">
      <c r="A2011" s="323" t="str">
        <f>IF(B2011&lt;&gt;"",IF(AND(B2011='IN-TC'!$S$4,OR(TH!N2011="1111",TH!O2011="1111")),TH!D2011,""),"")</f>
        <v/>
      </c>
      <c r="B2011" s="63">
        <f t="shared" si="156"/>
        <v>8</v>
      </c>
      <c r="C2011" s="78">
        <v>42613</v>
      </c>
      <c r="D2011" s="78" t="s">
        <v>570</v>
      </c>
      <c r="E2011" s="78">
        <v>42613</v>
      </c>
      <c r="F2011" s="80" t="s">
        <v>1843</v>
      </c>
      <c r="G2011" s="934" t="s">
        <v>1914</v>
      </c>
      <c r="H2011" s="80" t="s">
        <v>1916</v>
      </c>
      <c r="I2011" s="406"/>
      <c r="J2011" s="406"/>
      <c r="K2011" s="397"/>
      <c r="L2011" s="406"/>
      <c r="M2011" s="81">
        <v>24884526</v>
      </c>
      <c r="N2011" s="82" t="s">
        <v>579</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customHeight="1">
      <c r="A2012" s="323" t="str">
        <f>IF(B2012&lt;&gt;"",IF(AND(B2012='IN-TC'!$S$4,OR(TH!N3188="1111",TH!O3188="1111")),TH!D3188,""),"")</f>
        <v/>
      </c>
      <c r="B2012" s="63">
        <f t="shared" si="156"/>
        <v>6</v>
      </c>
      <c r="C2012" s="64">
        <v>42537</v>
      </c>
      <c r="D2012" s="64" t="s">
        <v>690</v>
      </c>
      <c r="E2012" s="64">
        <f>C2012</f>
        <v>42537</v>
      </c>
      <c r="F2012" s="72" t="s">
        <v>1626</v>
      </c>
      <c r="G2012" s="67" t="s">
        <v>902</v>
      </c>
      <c r="H2012" s="72" t="s">
        <v>1414</v>
      </c>
      <c r="I2012" s="408"/>
      <c r="J2012" s="408"/>
      <c r="K2012" s="399"/>
      <c r="L2012" s="408"/>
      <c r="M2012" s="65">
        <v>7920000</v>
      </c>
      <c r="N2012" s="66" t="s">
        <v>8</v>
      </c>
      <c r="O2012" s="66" t="s">
        <v>25</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customHeight="1">
      <c r="A2013" s="323" t="str">
        <f>IF(B2013&lt;&gt;"",IF(AND(B2013='IN-TC'!$S$4,OR(TH!N2012="1111",TH!O2012="1111")),TH!D2012,""),"")</f>
        <v/>
      </c>
      <c r="B2013" s="63">
        <f t="shared" si="156"/>
        <v>9</v>
      </c>
      <c r="C2013" s="78">
        <v>42643</v>
      </c>
      <c r="D2013" s="78" t="s">
        <v>570</v>
      </c>
      <c r="E2013" s="78">
        <f>C2013</f>
        <v>42643</v>
      </c>
      <c r="F2013" s="80" t="s">
        <v>1411</v>
      </c>
      <c r="G2013" s="934" t="s">
        <v>1971</v>
      </c>
      <c r="H2013" s="80" t="s">
        <v>1414</v>
      </c>
      <c r="I2013" s="406"/>
      <c r="J2013" s="406"/>
      <c r="K2013" s="397"/>
      <c r="L2013" s="406"/>
      <c r="M2013" s="81">
        <v>26960000</v>
      </c>
      <c r="N2013" s="82" t="s">
        <v>99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customHeight="1">
      <c r="A2014" s="323" t="str">
        <f>IF(B2014&lt;&gt;"",IF(AND(B2014='IN-TC'!$S$4,OR(TH!N1995="1111",TH!O1995="1111")),TH!D1995,""),"")</f>
        <v/>
      </c>
      <c r="B2014" s="63">
        <f t="shared" si="156"/>
        <v>8</v>
      </c>
      <c r="C2014" s="78">
        <v>42613</v>
      </c>
      <c r="D2014" s="78" t="s">
        <v>570</v>
      </c>
      <c r="E2014" s="78">
        <v>42590</v>
      </c>
      <c r="F2014" s="80" t="s">
        <v>1851</v>
      </c>
      <c r="G2014" s="934" t="s">
        <v>1855</v>
      </c>
      <c r="H2014" s="80" t="s">
        <v>1484</v>
      </c>
      <c r="I2014" s="406"/>
      <c r="J2014" s="406"/>
      <c r="K2014" s="397"/>
      <c r="L2014" s="406"/>
      <c r="M2014" s="81">
        <v>850773</v>
      </c>
      <c r="N2014" s="82" t="s">
        <v>9</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x</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customHeight="1">
      <c r="A2015" s="323" t="str">
        <f>IF(B2015&lt;&gt;"",IF(AND(B2015='IN-TC'!$S$4,OR(TH!N2014="1111",TH!O2014="1111")),TH!D2014,""),"")</f>
        <v/>
      </c>
      <c r="B2015" s="63">
        <f t="shared" si="156"/>
        <v>9</v>
      </c>
      <c r="C2015" s="78">
        <v>42643</v>
      </c>
      <c r="D2015" s="78" t="s">
        <v>570</v>
      </c>
      <c r="E2015" s="78">
        <v>42621</v>
      </c>
      <c r="F2015" s="80" t="s">
        <v>1486</v>
      </c>
      <c r="G2015" s="934" t="s">
        <v>1972</v>
      </c>
      <c r="H2015" s="80" t="s">
        <v>1484</v>
      </c>
      <c r="I2015" s="406"/>
      <c r="J2015" s="406"/>
      <c r="K2015" s="397"/>
      <c r="L2015" s="406"/>
      <c r="M2015" s="81">
        <v>26126100</v>
      </c>
      <c r="N2015" s="82" t="s">
        <v>579</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customHeight="1">
      <c r="A2016" s="323" t="str">
        <f>IF(B2016&lt;&gt;"",IF(AND(B2016='IN-TC'!$S$4,OR(TH!N2015="1111",TH!O2015="1111")),TH!D2015,""),"")</f>
        <v/>
      </c>
      <c r="B2016" s="63">
        <f t="shared" si="156"/>
        <v>9</v>
      </c>
      <c r="C2016" s="78">
        <v>42643</v>
      </c>
      <c r="D2016" s="78" t="s">
        <v>570</v>
      </c>
      <c r="E2016" s="78">
        <v>42621</v>
      </c>
      <c r="F2016" s="80" t="s">
        <v>1973</v>
      </c>
      <c r="G2016" s="934" t="s">
        <v>1974</v>
      </c>
      <c r="H2016" s="80" t="s">
        <v>1484</v>
      </c>
      <c r="I2016" s="406"/>
      <c r="J2016" s="406"/>
      <c r="K2016" s="397"/>
      <c r="L2016" s="406"/>
      <c r="M2016" s="81">
        <v>19355644</v>
      </c>
      <c r="N2016" s="82" t="s">
        <v>579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customHeight="1">
      <c r="A2017" s="323" t="str">
        <f>IF(B2017&lt;&gt;"",IF(AND(B2017='IN-TC'!$S$4,OR(TH!N2016="1111",TH!O2016="1111")),TH!D2016,""),"")</f>
        <v/>
      </c>
      <c r="B2017" s="63">
        <f t="shared" si="156"/>
        <v>9</v>
      </c>
      <c r="C2017" s="78">
        <v>42643</v>
      </c>
      <c r="D2017" s="78" t="s">
        <v>570</v>
      </c>
      <c r="E2017" s="78">
        <v>42621</v>
      </c>
      <c r="F2017" s="80" t="s">
        <v>1975</v>
      </c>
      <c r="G2017" s="934" t="s">
        <v>1974</v>
      </c>
      <c r="H2017" s="80" t="s">
        <v>1484</v>
      </c>
      <c r="I2017" s="406"/>
      <c r="J2017" s="406"/>
      <c r="K2017" s="397"/>
      <c r="L2017" s="406"/>
      <c r="M2017" s="81">
        <v>1935564</v>
      </c>
      <c r="N2017" s="82" t="s">
        <v>9</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x</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customHeight="1">
      <c r="A2018" s="323" t="str">
        <f>IF(B2018&lt;&gt;"",IF(AND(B2018='IN-TC'!$S$4,OR(TH!N2017="1111",TH!O2017="1111")),TH!D2017,""),"")</f>
        <v/>
      </c>
      <c r="B2018" s="63">
        <f t="shared" si="156"/>
        <v>9</v>
      </c>
      <c r="C2018" s="78">
        <v>42643</v>
      </c>
      <c r="D2018" s="78" t="s">
        <v>570</v>
      </c>
      <c r="E2018" s="78">
        <v>42602</v>
      </c>
      <c r="F2018" s="80" t="s">
        <v>1486</v>
      </c>
      <c r="G2018" s="934" t="s">
        <v>1976</v>
      </c>
      <c r="H2018" s="80" t="s">
        <v>1484</v>
      </c>
      <c r="I2018" s="406"/>
      <c r="J2018" s="406"/>
      <c r="K2018" s="397"/>
      <c r="L2018" s="406"/>
      <c r="M2018" s="81">
        <v>26126100</v>
      </c>
      <c r="N2018" s="82" t="s">
        <v>579</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customHeight="1">
      <c r="A2019" s="323" t="str">
        <f>IF(B2019&lt;&gt;"",IF(AND(B2019='IN-TC'!$S$4,OR(TH!N2018="1111",TH!O2018="1111")),TH!D2018,""),"")</f>
        <v/>
      </c>
      <c r="B2019" s="63">
        <f t="shared" si="156"/>
        <v>9</v>
      </c>
      <c r="C2019" s="78">
        <v>42643</v>
      </c>
      <c r="D2019" s="78" t="s">
        <v>570</v>
      </c>
      <c r="E2019" s="78">
        <v>42602</v>
      </c>
      <c r="F2019" s="80" t="s">
        <v>1978</v>
      </c>
      <c r="G2019" s="934" t="s">
        <v>1977</v>
      </c>
      <c r="H2019" s="80" t="s">
        <v>1484</v>
      </c>
      <c r="I2019" s="406"/>
      <c r="J2019" s="406"/>
      <c r="K2019" s="397"/>
      <c r="L2019" s="406"/>
      <c r="M2019" s="81">
        <v>19735254</v>
      </c>
      <c r="N2019" s="82" t="s">
        <v>579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customHeight="1">
      <c r="A2020" s="323" t="str">
        <f>IF(B2020&lt;&gt;"",IF(AND(B2020='IN-TC'!$S$4,OR(TH!N3182="1111",TH!O3182="1111")),TH!D3182,""),"")</f>
        <v/>
      </c>
      <c r="B2020" s="63">
        <f t="shared" si="156"/>
        <v>6</v>
      </c>
      <c r="C2020" s="64">
        <v>42537</v>
      </c>
      <c r="D2020" s="64" t="s">
        <v>690</v>
      </c>
      <c r="E2020" s="64">
        <f>C2020</f>
        <v>42537</v>
      </c>
      <c r="F2020" s="72" t="s">
        <v>1624</v>
      </c>
      <c r="G2020" s="67" t="s">
        <v>902</v>
      </c>
      <c r="H2020" s="329" t="s">
        <v>614</v>
      </c>
      <c r="I2020" s="408"/>
      <c r="J2020" s="408"/>
      <c r="K2020" s="399"/>
      <c r="L2020" s="408"/>
      <c r="M2020" s="65">
        <v>5500000</v>
      </c>
      <c r="N2020" s="66" t="s">
        <v>8</v>
      </c>
      <c r="O2020" s="66" t="s">
        <v>25</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customHeight="1">
      <c r="A2021" s="323" t="str">
        <f>IF(B2021&lt;&gt;"",IF(AND(B2021='IN-TC'!$S$4,OR(TH!N3340="1111",TH!O3340="1111")),TH!D3340,""),"")</f>
        <v/>
      </c>
      <c r="B2021" s="63">
        <f t="shared" si="156"/>
        <v>6</v>
      </c>
      <c r="C2021" s="64">
        <v>42549</v>
      </c>
      <c r="D2021" s="64" t="s">
        <v>690</v>
      </c>
      <c r="E2021" s="64">
        <f>C2021</f>
        <v>42549</v>
      </c>
      <c r="F2021" s="72" t="s">
        <v>1655</v>
      </c>
      <c r="G2021" s="67" t="s">
        <v>901</v>
      </c>
      <c r="H2021" s="329" t="s">
        <v>614</v>
      </c>
      <c r="I2021" s="408"/>
      <c r="J2021" s="408"/>
      <c r="K2021" s="399"/>
      <c r="L2021" s="408"/>
      <c r="M2021" s="65">
        <v>600000</v>
      </c>
      <c r="N2021" s="66" t="s">
        <v>8</v>
      </c>
      <c r="O2021" s="66" t="s">
        <v>25</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customHeight="1">
      <c r="A2022" s="323" t="str">
        <f>IF(B2022&lt;&gt;"",IF(AND(B2022='IN-TC'!$S$4,OR(TH!N3343="1111",TH!O3343="1111")),TH!D3343,""),"")</f>
        <v/>
      </c>
      <c r="B2022" s="63">
        <f t="shared" si="156"/>
        <v>6</v>
      </c>
      <c r="C2022" s="64">
        <v>42549</v>
      </c>
      <c r="D2022" s="64" t="s">
        <v>690</v>
      </c>
      <c r="E2022" s="64">
        <f>C2022</f>
        <v>42549</v>
      </c>
      <c r="F2022" s="72" t="s">
        <v>1655</v>
      </c>
      <c r="G2022" s="67" t="s">
        <v>901</v>
      </c>
      <c r="H2022" s="329" t="s">
        <v>614</v>
      </c>
      <c r="I2022" s="408"/>
      <c r="J2022" s="408"/>
      <c r="K2022" s="399"/>
      <c r="L2022" s="408"/>
      <c r="M2022" s="65">
        <v>9785000</v>
      </c>
      <c r="N2022" s="66" t="s">
        <v>8</v>
      </c>
      <c r="O2022" s="66" t="s">
        <v>25</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customHeight="1">
      <c r="A2023" s="323" t="str">
        <f>IF(B2023&lt;&gt;"",IF(AND(B2023='IN-TC'!$S$4,OR(TH!N2008="1111",TH!O2008="1111")),TH!D2008,""),"")</f>
        <v/>
      </c>
      <c r="B2023" s="63">
        <f t="shared" si="156"/>
        <v>8</v>
      </c>
      <c r="C2023" s="78">
        <v>42613</v>
      </c>
      <c r="D2023" s="78" t="s">
        <v>570</v>
      </c>
      <c r="E2023" s="78">
        <v>42611</v>
      </c>
      <c r="F2023" s="80" t="s">
        <v>625</v>
      </c>
      <c r="G2023" s="934" t="s">
        <v>1917</v>
      </c>
      <c r="H2023" s="80" t="s">
        <v>615</v>
      </c>
      <c r="I2023" s="406"/>
      <c r="J2023" s="406"/>
      <c r="K2023" s="397"/>
      <c r="L2023" s="406"/>
      <c r="M2023" s="81">
        <v>204136</v>
      </c>
      <c r="N2023" s="82" t="s">
        <v>9</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x</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customHeight="1">
      <c r="A2024" s="323" t="str">
        <f>IF(B2024&lt;&gt;"",IF(AND(B2024='IN-TC'!$S$4,OR(TH!N2023="1111",TH!O2023="1111")),TH!D2023,""),"")</f>
        <v/>
      </c>
      <c r="B2024" s="63">
        <f t="shared" si="156"/>
        <v>9</v>
      </c>
      <c r="C2024" s="78">
        <v>42625</v>
      </c>
      <c r="D2024" s="78" t="s">
        <v>570</v>
      </c>
      <c r="E2024" s="78">
        <f t="shared" ref="E2024:E2030" si="157">C2024</f>
        <v>42625</v>
      </c>
      <c r="F2024" s="80" t="s">
        <v>624</v>
      </c>
      <c r="G2024" s="934" t="s">
        <v>1984</v>
      </c>
      <c r="H2024" s="80" t="s">
        <v>615</v>
      </c>
      <c r="I2024" s="406"/>
      <c r="J2024" s="406"/>
      <c r="K2024" s="397"/>
      <c r="L2024" s="406"/>
      <c r="M2024" s="81">
        <v>2000000</v>
      </c>
      <c r="N2024" s="82" t="s">
        <v>579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customHeight="1">
      <c r="A2025" s="323" t="str">
        <f>IF(B2025&lt;&gt;"",IF(AND(B2025='IN-TC'!$S$4,OR(TH!N2024="1111",TH!O2024="1111")),TH!D2024,""),"")</f>
        <v/>
      </c>
      <c r="B2025" s="63">
        <f t="shared" si="156"/>
        <v>9</v>
      </c>
      <c r="C2025" s="78">
        <v>42625</v>
      </c>
      <c r="D2025" s="78" t="s">
        <v>570</v>
      </c>
      <c r="E2025" s="78">
        <f t="shared" si="157"/>
        <v>42625</v>
      </c>
      <c r="F2025" s="80" t="s">
        <v>625</v>
      </c>
      <c r="G2025" s="934" t="s">
        <v>1984</v>
      </c>
      <c r="H2025" s="80" t="s">
        <v>615</v>
      </c>
      <c r="I2025" s="406"/>
      <c r="J2025" s="406"/>
      <c r="K2025" s="397"/>
      <c r="L2025" s="406"/>
      <c r="M2025" s="81">
        <v>200000</v>
      </c>
      <c r="N2025" s="82" t="s">
        <v>9</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x</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customHeight="1">
      <c r="A2026" s="323" t="str">
        <f>IF(B2026&lt;&gt;"",IF(AND(B2026='IN-TC'!$S$4,OR(TH!N2025="1111",TH!O2025="1111")),TH!D2025,""),"")</f>
        <v/>
      </c>
      <c r="B2026" s="63">
        <f t="shared" si="156"/>
        <v>9</v>
      </c>
      <c r="C2026" s="78">
        <v>42627</v>
      </c>
      <c r="D2026" s="78" t="s">
        <v>570</v>
      </c>
      <c r="E2026" s="78">
        <f t="shared" si="157"/>
        <v>42627</v>
      </c>
      <c r="F2026" s="80" t="s">
        <v>624</v>
      </c>
      <c r="G2026" s="934" t="s">
        <v>1985</v>
      </c>
      <c r="H2026" s="80" t="s">
        <v>615</v>
      </c>
      <c r="I2026" s="406"/>
      <c r="J2026" s="406"/>
      <c r="K2026" s="397"/>
      <c r="L2026" s="406"/>
      <c r="M2026" s="81">
        <v>2000000</v>
      </c>
      <c r="N2026" s="82" t="s">
        <v>579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customHeight="1">
      <c r="A2027" s="323" t="str">
        <f>IF(B2027&lt;&gt;"",IF(AND(B2027='IN-TC'!$S$4,OR(TH!N2026="1111",TH!O2026="1111")),TH!D2026,""),"")</f>
        <v/>
      </c>
      <c r="B2027" s="63">
        <f t="shared" si="156"/>
        <v>9</v>
      </c>
      <c r="C2027" s="78">
        <v>42627</v>
      </c>
      <c r="D2027" s="78" t="s">
        <v>570</v>
      </c>
      <c r="E2027" s="78">
        <f t="shared" si="157"/>
        <v>42627</v>
      </c>
      <c r="F2027" s="80" t="s">
        <v>625</v>
      </c>
      <c r="G2027" s="934" t="s">
        <v>1985</v>
      </c>
      <c r="H2027" s="80" t="s">
        <v>615</v>
      </c>
      <c r="I2027" s="406"/>
      <c r="J2027" s="406"/>
      <c r="K2027" s="397"/>
      <c r="L2027" s="406"/>
      <c r="M2027" s="81">
        <v>200000</v>
      </c>
      <c r="N2027" s="82" t="s">
        <v>9</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x</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customHeight="1">
      <c r="A2028" s="323" t="str">
        <f>IF(B2028&lt;&gt;"",IF(AND(B2028='IN-TC'!$S$4,OR(TH!N2027="1111",TH!O2027="1111")),TH!D2027,""),"")</f>
        <v/>
      </c>
      <c r="B2028" s="63">
        <f t="shared" si="156"/>
        <v>9</v>
      </c>
      <c r="C2028" s="78">
        <v>42635</v>
      </c>
      <c r="D2028" s="78" t="s">
        <v>570</v>
      </c>
      <c r="E2028" s="78">
        <f t="shared" si="157"/>
        <v>42635</v>
      </c>
      <c r="F2028" s="80" t="s">
        <v>624</v>
      </c>
      <c r="G2028" s="934" t="s">
        <v>1986</v>
      </c>
      <c r="H2028" s="80" t="s">
        <v>615</v>
      </c>
      <c r="I2028" s="406"/>
      <c r="J2028" s="406"/>
      <c r="K2028" s="397"/>
      <c r="L2028" s="406"/>
      <c r="M2028" s="81">
        <v>163428701</v>
      </c>
      <c r="N2028" s="82" t="s">
        <v>579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customHeight="1">
      <c r="A2029" s="323" t="str">
        <f>IF(B2029&lt;&gt;"",IF(AND(B2029='IN-TC'!$S$4,OR(TH!N2028="1111",TH!O2028="1111")),TH!D2028,""),"")</f>
        <v/>
      </c>
      <c r="B2029" s="63">
        <f t="shared" si="156"/>
        <v>9</v>
      </c>
      <c r="C2029" s="78">
        <v>42635</v>
      </c>
      <c r="D2029" s="78" t="s">
        <v>570</v>
      </c>
      <c r="E2029" s="78">
        <f t="shared" si="157"/>
        <v>42635</v>
      </c>
      <c r="F2029" s="80" t="s">
        <v>625</v>
      </c>
      <c r="G2029" s="934" t="s">
        <v>1986</v>
      </c>
      <c r="H2029" s="80" t="s">
        <v>615</v>
      </c>
      <c r="I2029" s="406"/>
      <c r="J2029" s="406"/>
      <c r="K2029" s="397"/>
      <c r="L2029" s="406"/>
      <c r="M2029" s="81">
        <v>16342870</v>
      </c>
      <c r="N2029" s="82" t="s">
        <v>9</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x</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customHeight="1">
      <c r="A2030" s="323" t="str">
        <f>IF(B2030&lt;&gt;"",IF(AND(B2030='IN-TC'!$S$4,OR(TH!N2029="1111",TH!O2029="1111")),TH!D2029,""),"")</f>
        <v/>
      </c>
      <c r="B2030" s="63">
        <f t="shared" ref="B2030:B2093" si="158">IF(C2030&lt;&gt;"",MONTH(C2030),"")</f>
        <v>9</v>
      </c>
      <c r="C2030" s="78">
        <v>42640</v>
      </c>
      <c r="D2030" s="78" t="s">
        <v>570</v>
      </c>
      <c r="E2030" s="78">
        <f t="shared" si="157"/>
        <v>42640</v>
      </c>
      <c r="F2030" s="80" t="s">
        <v>1987</v>
      </c>
      <c r="G2030" s="934" t="s">
        <v>1989</v>
      </c>
      <c r="H2030" s="80" t="s">
        <v>615</v>
      </c>
      <c r="I2030" s="406"/>
      <c r="J2030" s="406"/>
      <c r="K2030" s="397"/>
      <c r="L2030" s="406"/>
      <c r="M2030" s="81">
        <v>581625</v>
      </c>
      <c r="N2030" s="82" t="s">
        <v>579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customHeight="1">
      <c r="A2031" s="323" t="str">
        <f>IF(B2031&lt;&gt;"",IF(AND(B2031='IN-TC'!$S$4,OR(TH!N2540="1111",TH!O2540="1111")),TH!D2540,""),"")</f>
        <v/>
      </c>
      <c r="B2031" s="63">
        <f t="shared" si="158"/>
        <v>2</v>
      </c>
      <c r="C2031" s="64">
        <v>42403</v>
      </c>
      <c r="D2031" s="64" t="s">
        <v>690</v>
      </c>
      <c r="E2031" s="64">
        <v>42403</v>
      </c>
      <c r="F2031" s="482" t="s">
        <v>1080</v>
      </c>
      <c r="G2031" s="67" t="s">
        <v>902</v>
      </c>
      <c r="H2031" s="329" t="s">
        <v>613</v>
      </c>
      <c r="I2031" s="408"/>
      <c r="J2031" s="408"/>
      <c r="K2031" s="399"/>
      <c r="L2031" s="408"/>
      <c r="M2031" s="65">
        <v>24446400</v>
      </c>
      <c r="N2031" s="66" t="s">
        <v>8</v>
      </c>
      <c r="O2031" s="66" t="s">
        <v>25</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customHeight="1">
      <c r="A2032" s="323" t="str">
        <f>IF(B2032&lt;&gt;"",IF(AND(B2032='IN-TC'!$S$4,OR(TH!N2031="1111",TH!O2031="1111")),TH!D2031,""),"")</f>
        <v/>
      </c>
      <c r="B2032" s="63">
        <f t="shared" si="158"/>
        <v>9</v>
      </c>
      <c r="C2032" s="78">
        <v>42640</v>
      </c>
      <c r="D2032" s="78" t="s">
        <v>570</v>
      </c>
      <c r="E2032" s="78">
        <f>C2032</f>
        <v>42640</v>
      </c>
      <c r="F2032" s="80" t="s">
        <v>1990</v>
      </c>
      <c r="G2032" s="934" t="s">
        <v>1994</v>
      </c>
      <c r="H2032" s="918" t="s">
        <v>613</v>
      </c>
      <c r="I2032" s="406"/>
      <c r="J2032" s="406"/>
      <c r="K2032" s="397"/>
      <c r="L2032" s="406"/>
      <c r="M2032" s="81">
        <v>46800000</v>
      </c>
      <c r="N2032" s="82" t="s">
        <v>579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customHeight="1">
      <c r="A2033" s="323" t="str">
        <f>IF(B2033&lt;&gt;"",IF(AND(B2033='IN-TC'!$S$4,OR(TH!N2032="1111",TH!O2032="1111")),TH!D2032,""),"")</f>
        <v/>
      </c>
      <c r="B2033" s="63">
        <f t="shared" si="158"/>
        <v>9</v>
      </c>
      <c r="C2033" s="78">
        <v>42640</v>
      </c>
      <c r="D2033" s="78" t="s">
        <v>570</v>
      </c>
      <c r="E2033" s="78">
        <f>C2033</f>
        <v>42640</v>
      </c>
      <c r="F2033" s="80" t="s">
        <v>1991</v>
      </c>
      <c r="G2033" s="934" t="s">
        <v>1994</v>
      </c>
      <c r="H2033" s="918" t="s">
        <v>613</v>
      </c>
      <c r="I2033" s="406"/>
      <c r="J2033" s="406"/>
      <c r="K2033" s="397"/>
      <c r="L2033" s="406"/>
      <c r="M2033" s="81">
        <v>4680000</v>
      </c>
      <c r="N2033" s="82" t="s">
        <v>9</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x</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customHeight="1">
      <c r="A2034" s="323" t="str">
        <f>IF(B2034&lt;&gt;"",IF(AND(B2034='IN-TC'!$S$4,OR(TH!N2033="1111",TH!O2033="1111")),TH!D2033,""),"")</f>
        <v/>
      </c>
      <c r="B2034" s="63">
        <f t="shared" si="158"/>
        <v>9</v>
      </c>
      <c r="C2034" s="78">
        <v>42641</v>
      </c>
      <c r="D2034" s="78" t="s">
        <v>570</v>
      </c>
      <c r="E2034" s="78">
        <f>C2034</f>
        <v>42641</v>
      </c>
      <c r="F2034" s="80" t="s">
        <v>1992</v>
      </c>
      <c r="G2034" s="934" t="s">
        <v>1995</v>
      </c>
      <c r="H2034" s="918" t="s">
        <v>613</v>
      </c>
      <c r="I2034" s="406"/>
      <c r="J2034" s="406"/>
      <c r="K2034" s="397"/>
      <c r="L2034" s="406"/>
      <c r="M2034" s="81">
        <v>47000000</v>
      </c>
      <c r="N2034" s="82" t="s">
        <v>579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customHeight="1">
      <c r="A2035" s="323" t="str">
        <f>IF(B2035&lt;&gt;"",IF(AND(B2035='IN-TC'!$S$4,OR(TH!N3252="1111",TH!O3252="1111")),TH!D3252,""),"")</f>
        <v/>
      </c>
      <c r="B2035" s="63">
        <f t="shared" si="158"/>
        <v>6</v>
      </c>
      <c r="C2035" s="64">
        <v>42543</v>
      </c>
      <c r="D2035" s="64" t="s">
        <v>690</v>
      </c>
      <c r="E2035" s="64">
        <f>C2035</f>
        <v>42543</v>
      </c>
      <c r="F2035" s="72" t="s">
        <v>1628</v>
      </c>
      <c r="G2035" s="67" t="s">
        <v>902</v>
      </c>
      <c r="H2035" s="72" t="s">
        <v>617</v>
      </c>
      <c r="I2035" s="408"/>
      <c r="J2035" s="408"/>
      <c r="K2035" s="399"/>
      <c r="L2035" s="408"/>
      <c r="M2035" s="65">
        <v>36668390</v>
      </c>
      <c r="N2035" s="66" t="s">
        <v>8</v>
      </c>
      <c r="O2035" s="66" t="s">
        <v>25</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customHeight="1">
      <c r="A2036" s="323" t="str">
        <f>IF(B2036&lt;&gt;"",IF(AND(B2036='IN-TC'!$S$4,OR(TH!N1950="1111",TH!O1950="1111")),TH!D1950,""),"")</f>
        <v/>
      </c>
      <c r="B2036" s="63">
        <f t="shared" si="158"/>
        <v>6</v>
      </c>
      <c r="C2036" s="78">
        <v>42551</v>
      </c>
      <c r="D2036" s="78" t="s">
        <v>570</v>
      </c>
      <c r="E2036" s="78">
        <v>42527</v>
      </c>
      <c r="F2036" s="80" t="s">
        <v>1644</v>
      </c>
      <c r="G2036" s="934" t="s">
        <v>1683</v>
      </c>
      <c r="H2036" s="80" t="s">
        <v>617</v>
      </c>
      <c r="I2036" s="406"/>
      <c r="J2036" s="406"/>
      <c r="K2036" s="397"/>
      <c r="L2036" s="406"/>
      <c r="M2036" s="81">
        <v>33334900</v>
      </c>
      <c r="N2036" s="82" t="s">
        <v>276</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customHeight="1">
      <c r="A2037" s="323" t="str">
        <f>IF(B2037&lt;&gt;"",IF(AND(B2037='IN-TC'!$S$4,OR(TH!N1951="1111",TH!O1951="1111")),TH!D1951,""),"")</f>
        <v/>
      </c>
      <c r="B2037" s="63">
        <f t="shared" si="158"/>
        <v>6</v>
      </c>
      <c r="C2037" s="78">
        <v>42551</v>
      </c>
      <c r="D2037" s="78" t="s">
        <v>570</v>
      </c>
      <c r="E2037" s="78">
        <v>42527</v>
      </c>
      <c r="F2037" s="80" t="s">
        <v>1641</v>
      </c>
      <c r="G2037" s="934" t="s">
        <v>1683</v>
      </c>
      <c r="H2037" s="80" t="s">
        <v>617</v>
      </c>
      <c r="I2037" s="406"/>
      <c r="J2037" s="406"/>
      <c r="K2037" s="397"/>
      <c r="L2037" s="406"/>
      <c r="M2037" s="81">
        <v>3333490</v>
      </c>
      <c r="N2037" s="82" t="s">
        <v>9</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x</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customHeight="1">
      <c r="A2038" s="323" t="str">
        <f>IF(B2038&lt;&gt;"",IF(AND(B2038='IN-TC'!$S$4,OR(TH!N1952="1111",TH!O1952="1111")),TH!D1952,""),"")</f>
        <v/>
      </c>
      <c r="B2038" s="63">
        <f t="shared" si="158"/>
        <v>6</v>
      </c>
      <c r="C2038" s="78">
        <v>42551</v>
      </c>
      <c r="D2038" s="78" t="s">
        <v>570</v>
      </c>
      <c r="E2038" s="78">
        <v>42537</v>
      </c>
      <c r="F2038" s="80" t="s">
        <v>1645</v>
      </c>
      <c r="G2038" s="934" t="s">
        <v>1684</v>
      </c>
      <c r="H2038" s="80" t="s">
        <v>617</v>
      </c>
      <c r="I2038" s="406"/>
      <c r="J2038" s="406"/>
      <c r="K2038" s="397"/>
      <c r="L2038" s="406"/>
      <c r="M2038" s="81">
        <v>26409100</v>
      </c>
      <c r="N2038" s="82" t="s">
        <v>276</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customHeight="1">
      <c r="A2039" s="323" t="str">
        <f>IF(B2039&lt;&gt;"",IF(AND(B2039='IN-TC'!$S$4,OR(TH!N1953="1111",TH!O1953="1111")),TH!D1953,""),"")</f>
        <v/>
      </c>
      <c r="B2039" s="63">
        <f t="shared" si="158"/>
        <v>6</v>
      </c>
      <c r="C2039" s="78">
        <v>42551</v>
      </c>
      <c r="D2039" s="78" t="s">
        <v>570</v>
      </c>
      <c r="E2039" s="78">
        <v>42537</v>
      </c>
      <c r="F2039" s="80" t="s">
        <v>1642</v>
      </c>
      <c r="G2039" s="934" t="s">
        <v>1684</v>
      </c>
      <c r="H2039" s="80" t="s">
        <v>617</v>
      </c>
      <c r="I2039" s="406"/>
      <c r="J2039" s="406"/>
      <c r="K2039" s="397"/>
      <c r="L2039" s="406"/>
      <c r="M2039" s="81">
        <v>2640910</v>
      </c>
      <c r="N2039" s="82" t="s">
        <v>9</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x</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customHeight="1">
      <c r="A2040" s="323" t="str">
        <f>IF(B2040&lt;&gt;"",IF(AND(B2040='IN-TC'!$S$4,OR(TH!N1954="1111",TH!O1954="1111")),TH!D1954,""),"")</f>
        <v/>
      </c>
      <c r="B2040" s="63">
        <f t="shared" si="158"/>
        <v>6</v>
      </c>
      <c r="C2040" s="78">
        <v>42551</v>
      </c>
      <c r="D2040" s="78" t="s">
        <v>570</v>
      </c>
      <c r="E2040" s="78">
        <v>42547</v>
      </c>
      <c r="F2040" s="80" t="s">
        <v>1646</v>
      </c>
      <c r="G2040" s="934" t="s">
        <v>1685</v>
      </c>
      <c r="H2040" s="80" t="s">
        <v>617</v>
      </c>
      <c r="I2040" s="406"/>
      <c r="J2040" s="406"/>
      <c r="K2040" s="397"/>
      <c r="L2040" s="406"/>
      <c r="M2040" s="81">
        <v>25426100</v>
      </c>
      <c r="N2040" s="82" t="s">
        <v>276</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customHeight="1">
      <c r="A2041" s="323" t="str">
        <f>IF(B2041&lt;&gt;"",IF(AND(B2041='IN-TC'!$S$4,OR(TH!N2041="1111",TH!O2041="1111")),TH!D2041,""),"")</f>
        <v/>
      </c>
      <c r="B2041" s="63">
        <f t="shared" si="158"/>
        <v>10</v>
      </c>
      <c r="C2041" s="78">
        <v>42674</v>
      </c>
      <c r="D2041" s="78" t="s">
        <v>570</v>
      </c>
      <c r="E2041" s="78">
        <f t="shared" ref="E2041:E2058" si="159">C2041</f>
        <v>42674</v>
      </c>
      <c r="F2041" s="80" t="s">
        <v>1730</v>
      </c>
      <c r="G2041" s="934" t="s">
        <v>2091</v>
      </c>
      <c r="H2041" s="80" t="s">
        <v>1732</v>
      </c>
      <c r="I2041" s="406"/>
      <c r="J2041" s="406"/>
      <c r="K2041" s="397"/>
      <c r="L2041" s="406"/>
      <c r="M2041" s="81">
        <v>26704545</v>
      </c>
      <c r="N2041" s="82" t="s">
        <v>99</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customHeight="1">
      <c r="A2042" s="323" t="str">
        <f>IF(B2042&lt;&gt;"",IF(AND(B2042='IN-TC'!$S$4,OR(TH!N2042="1111",TH!O2042="1111")),TH!D2042,""),"")</f>
        <v/>
      </c>
      <c r="B2042" s="63">
        <f t="shared" si="158"/>
        <v>10</v>
      </c>
      <c r="C2042" s="78">
        <v>42674</v>
      </c>
      <c r="D2042" s="78" t="s">
        <v>570</v>
      </c>
      <c r="E2042" s="78">
        <f t="shared" si="159"/>
        <v>42674</v>
      </c>
      <c r="F2042" s="80" t="s">
        <v>1731</v>
      </c>
      <c r="G2042" s="934" t="s">
        <v>2091</v>
      </c>
      <c r="H2042" s="80" t="s">
        <v>1732</v>
      </c>
      <c r="I2042" s="406"/>
      <c r="J2042" s="406"/>
      <c r="K2042" s="397"/>
      <c r="L2042" s="406"/>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x</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customHeight="1">
      <c r="A2043" s="323" t="str">
        <f>IF(B2043&lt;&gt;"",IF(AND(B2043='IN-TC'!$S$4,OR(TH!N2030="1111",TH!O2030="1111")),TH!D2030,""),"")</f>
        <v/>
      </c>
      <c r="B2043" s="63">
        <f t="shared" si="158"/>
        <v>9</v>
      </c>
      <c r="C2043" s="78">
        <v>42640</v>
      </c>
      <c r="D2043" s="78" t="s">
        <v>570</v>
      </c>
      <c r="E2043" s="78">
        <f t="shared" si="159"/>
        <v>42640</v>
      </c>
      <c r="F2043" s="80" t="s">
        <v>1988</v>
      </c>
      <c r="G2043" s="934" t="s">
        <v>1989</v>
      </c>
      <c r="H2043" s="80" t="s">
        <v>615</v>
      </c>
      <c r="I2043" s="406"/>
      <c r="J2043" s="406"/>
      <c r="K2043" s="397"/>
      <c r="L2043" s="406"/>
      <c r="M2043" s="81">
        <v>58163</v>
      </c>
      <c r="N2043" s="82" t="s">
        <v>9</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x</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customHeight="1">
      <c r="A2044" s="323" t="str">
        <f>IF(B2044&lt;&gt;"",IF(AND(B2044='IN-TC'!$S$4,OR(TH!N3904="1111",TH!O3904="1111")),TH!D3904,""),"")</f>
        <v/>
      </c>
      <c r="B2044" s="63">
        <f t="shared" si="158"/>
        <v>10</v>
      </c>
      <c r="C2044" s="64">
        <v>42646</v>
      </c>
      <c r="D2044" s="64" t="s">
        <v>690</v>
      </c>
      <c r="E2044" s="64">
        <f t="shared" si="159"/>
        <v>42646</v>
      </c>
      <c r="F2044" s="72" t="s">
        <v>1636</v>
      </c>
      <c r="G2044" s="67" t="s">
        <v>901</v>
      </c>
      <c r="H2044" s="72" t="s">
        <v>615</v>
      </c>
      <c r="I2044" s="408"/>
      <c r="J2044" s="408"/>
      <c r="K2044" s="399"/>
      <c r="L2044" s="408"/>
      <c r="M2044" s="65">
        <v>100000000</v>
      </c>
      <c r="N2044" s="66" t="s">
        <v>8</v>
      </c>
      <c r="O2044" s="66" t="s">
        <v>25</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customHeight="1">
      <c r="A2045" s="323" t="str">
        <f>IF(B2045&lt;&gt;"",IF(AND(B2045='IN-TC'!$S$4,OR(TH!N3990="1111",TH!O3990="1111")),TH!D3990,""),"")</f>
        <v>C38</v>
      </c>
      <c r="B2045" s="63">
        <f t="shared" si="158"/>
        <v>10</v>
      </c>
      <c r="C2045" s="64">
        <v>42650</v>
      </c>
      <c r="D2045" s="64" t="s">
        <v>690</v>
      </c>
      <c r="E2045" s="64">
        <f t="shared" si="159"/>
        <v>42650</v>
      </c>
      <c r="F2045" s="72" t="s">
        <v>1636</v>
      </c>
      <c r="G2045" s="67" t="s">
        <v>1544</v>
      </c>
      <c r="H2045" s="72" t="s">
        <v>615</v>
      </c>
      <c r="I2045" s="408"/>
      <c r="J2045" s="408"/>
      <c r="K2045" s="399"/>
      <c r="L2045" s="408"/>
      <c r="M2045" s="65">
        <v>98045855</v>
      </c>
      <c r="N2045" s="66" t="s">
        <v>8</v>
      </c>
      <c r="O2045" s="66" t="s">
        <v>25</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x</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customHeight="1">
      <c r="A2046" s="323" t="str">
        <f>IF(B2046&lt;&gt;"",IF(AND(B2046='IN-TC'!$S$4,OR(TH!N2043="1111",TH!O2043="1111")),TH!D2043,""),"")</f>
        <v/>
      </c>
      <c r="B2046" s="63">
        <f t="shared" si="158"/>
        <v>10</v>
      </c>
      <c r="C2046" s="78">
        <v>42674</v>
      </c>
      <c r="D2046" s="78" t="s">
        <v>570</v>
      </c>
      <c r="E2046" s="78">
        <f t="shared" si="159"/>
        <v>42674</v>
      </c>
      <c r="F2046" s="80" t="s">
        <v>624</v>
      </c>
      <c r="G2046" s="934" t="s">
        <v>2095</v>
      </c>
      <c r="H2046" s="80" t="s">
        <v>615</v>
      </c>
      <c r="I2046" s="406"/>
      <c r="J2046" s="406"/>
      <c r="K2046" s="397"/>
      <c r="L2046" s="406"/>
      <c r="M2046" s="81">
        <v>2000000</v>
      </c>
      <c r="N2046" s="82" t="s">
        <v>579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customHeight="1">
      <c r="A2047" s="323" t="str">
        <f>IF(B2047&lt;&gt;"",IF(AND(B2047='IN-TC'!$S$4,OR(TH!N2044="1111",TH!O2044="1111")),TH!D2044,""),"")</f>
        <v/>
      </c>
      <c r="B2047" s="63">
        <f t="shared" si="158"/>
        <v>10</v>
      </c>
      <c r="C2047" s="78">
        <v>42674</v>
      </c>
      <c r="D2047" s="78" t="s">
        <v>570</v>
      </c>
      <c r="E2047" s="78">
        <f t="shared" si="159"/>
        <v>42674</v>
      </c>
      <c r="F2047" s="80" t="s">
        <v>625</v>
      </c>
      <c r="G2047" s="934" t="s">
        <v>2095</v>
      </c>
      <c r="H2047" s="80" t="s">
        <v>615</v>
      </c>
      <c r="I2047" s="406"/>
      <c r="J2047" s="406"/>
      <c r="K2047" s="397"/>
      <c r="L2047" s="406"/>
      <c r="M2047" s="81">
        <v>200000</v>
      </c>
      <c r="N2047" s="82" t="s">
        <v>9</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x</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customHeight="1">
      <c r="A2048" s="323" t="str">
        <f>IF(B2048&lt;&gt;"",IF(AND(B2048='IN-TC'!$S$4,OR(TH!N2045="1111",TH!O2045="1111")),TH!D2045,""),"")</f>
        <v/>
      </c>
      <c r="B2048" s="63">
        <f t="shared" si="158"/>
        <v>10</v>
      </c>
      <c r="C2048" s="78">
        <v>42674</v>
      </c>
      <c r="D2048" s="78" t="s">
        <v>570</v>
      </c>
      <c r="E2048" s="78">
        <f t="shared" si="159"/>
        <v>42674</v>
      </c>
      <c r="F2048" s="80" t="s">
        <v>624</v>
      </c>
      <c r="G2048" s="934" t="s">
        <v>2092</v>
      </c>
      <c r="H2048" s="80" t="s">
        <v>615</v>
      </c>
      <c r="I2048" s="406"/>
      <c r="J2048" s="406"/>
      <c r="K2048" s="397"/>
      <c r="L2048" s="406"/>
      <c r="M2048" s="81">
        <v>3333000</v>
      </c>
      <c r="N2048" s="82" t="s">
        <v>579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customHeight="1">
      <c r="A2049" s="323" t="str">
        <f>IF(B2049&lt;&gt;"",IF(AND(B2049='IN-TC'!$S$4,OR(TH!N2049="1111",TH!O2049="1111")),TH!D2049,""),"")</f>
        <v/>
      </c>
      <c r="B2049" s="63">
        <f t="shared" si="158"/>
        <v>10</v>
      </c>
      <c r="C2049" s="78">
        <v>42674</v>
      </c>
      <c r="D2049" s="78" t="s">
        <v>570</v>
      </c>
      <c r="E2049" s="78">
        <f t="shared" si="159"/>
        <v>42674</v>
      </c>
      <c r="F2049" s="80" t="s">
        <v>2100</v>
      </c>
      <c r="G2049" s="934" t="s">
        <v>2096</v>
      </c>
      <c r="H2049" s="80" t="s">
        <v>2097</v>
      </c>
      <c r="I2049" s="406"/>
      <c r="J2049" s="406"/>
      <c r="K2049" s="397"/>
      <c r="L2049" s="406"/>
      <c r="M2049" s="81">
        <v>11870800</v>
      </c>
      <c r="N2049" s="82" t="s">
        <v>99</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customHeight="1">
      <c r="A2050" s="323" t="str">
        <f>IF(B2050&lt;&gt;"",IF(AND(B2050='IN-TC'!$S$4,OR(TH!N2050="1111",TH!O2050="1111")),TH!D2050,""),"")</f>
        <v/>
      </c>
      <c r="B2050" s="63">
        <f t="shared" si="158"/>
        <v>10</v>
      </c>
      <c r="C2050" s="78">
        <v>42674</v>
      </c>
      <c r="D2050" s="78" t="s">
        <v>570</v>
      </c>
      <c r="E2050" s="78">
        <f t="shared" si="159"/>
        <v>42674</v>
      </c>
      <c r="F2050" s="80" t="s">
        <v>2099</v>
      </c>
      <c r="G2050" s="934" t="s">
        <v>2096</v>
      </c>
      <c r="H2050" s="80" t="s">
        <v>2097</v>
      </c>
      <c r="I2050" s="406"/>
      <c r="J2050" s="406"/>
      <c r="K2050" s="397"/>
      <c r="L2050" s="406"/>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x</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customHeight="1">
      <c r="A2051" s="323" t="str">
        <f>IF(B2051&lt;&gt;"",IF(AND(B2051='IN-TC'!$S$4,OR(TH!N2051="1111",TH!O2051="1111")),TH!D2051,""),"")</f>
        <v/>
      </c>
      <c r="B2051" s="63">
        <f t="shared" si="158"/>
        <v>10</v>
      </c>
      <c r="C2051" s="78">
        <v>42674</v>
      </c>
      <c r="D2051" s="78" t="s">
        <v>570</v>
      </c>
      <c r="E2051" s="78">
        <f t="shared" si="159"/>
        <v>42674</v>
      </c>
      <c r="F2051" s="80" t="s">
        <v>2098</v>
      </c>
      <c r="G2051" s="934" t="s">
        <v>2096</v>
      </c>
      <c r="H2051" s="80" t="s">
        <v>2097</v>
      </c>
      <c r="I2051" s="406"/>
      <c r="J2051" s="406"/>
      <c r="K2051" s="397"/>
      <c r="L2051" s="406"/>
      <c r="M2051" s="81">
        <v>140000</v>
      </c>
      <c r="N2051" s="82" t="s">
        <v>99</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customHeight="1">
      <c r="A2052" s="323" t="str">
        <f>IF(B2052&lt;&gt;"",IF(AND(B2052='IN-TC'!$S$4,OR(TH!N2034="1111",TH!O2034="1111")),TH!D2034,""),"")</f>
        <v/>
      </c>
      <c r="B2052" s="63">
        <f t="shared" si="158"/>
        <v>9</v>
      </c>
      <c r="C2052" s="78">
        <v>42641</v>
      </c>
      <c r="D2052" s="78" t="s">
        <v>570</v>
      </c>
      <c r="E2052" s="78">
        <f t="shared" si="159"/>
        <v>42641</v>
      </c>
      <c r="F2052" s="80" t="s">
        <v>1993</v>
      </c>
      <c r="G2052" s="934" t="s">
        <v>1995</v>
      </c>
      <c r="H2052" s="918" t="s">
        <v>613</v>
      </c>
      <c r="I2052" s="406"/>
      <c r="J2052" s="406"/>
      <c r="K2052" s="397"/>
      <c r="L2052" s="406"/>
      <c r="M2052" s="81">
        <v>4700000</v>
      </c>
      <c r="N2052" s="82" t="s">
        <v>9</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x</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customHeight="1">
      <c r="A2053" s="323" t="str">
        <f>IF(B2053&lt;&gt;"",IF(AND(B2053='IN-TC'!$S$4,OR(TH!N3986="1111",TH!O3986="1111")),TH!D3986,""),"")</f>
        <v>T07</v>
      </c>
      <c r="B2053" s="63">
        <f t="shared" si="158"/>
        <v>10</v>
      </c>
      <c r="C2053" s="64">
        <v>42650</v>
      </c>
      <c r="D2053" s="64" t="s">
        <v>690</v>
      </c>
      <c r="E2053" s="64">
        <f t="shared" si="159"/>
        <v>42650</v>
      </c>
      <c r="F2053" s="72" t="s">
        <v>2153</v>
      </c>
      <c r="G2053" s="67" t="s">
        <v>1544</v>
      </c>
      <c r="H2053" s="72" t="s">
        <v>613</v>
      </c>
      <c r="I2053" s="408"/>
      <c r="J2053" s="408"/>
      <c r="K2053" s="399"/>
      <c r="L2053" s="408"/>
      <c r="M2053" s="65">
        <v>103180000</v>
      </c>
      <c r="N2053" s="66" t="s">
        <v>8</v>
      </c>
      <c r="O2053" s="66" t="s">
        <v>25</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x</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customHeight="1">
      <c r="A2054" s="323" t="str">
        <f>IF(B2054&lt;&gt;"",IF(AND(B2054='IN-TC'!$S$4,OR(TH!N2052="1111",TH!O2052="1111")),TH!D2052,""),"")</f>
        <v/>
      </c>
      <c r="B2054" s="63">
        <f t="shared" si="158"/>
        <v>10</v>
      </c>
      <c r="C2054" s="78">
        <v>42674</v>
      </c>
      <c r="D2054" s="78" t="s">
        <v>570</v>
      </c>
      <c r="E2054" s="78">
        <f t="shared" si="159"/>
        <v>42674</v>
      </c>
      <c r="F2054" s="80" t="s">
        <v>2102</v>
      </c>
      <c r="G2054" s="934" t="s">
        <v>2104</v>
      </c>
      <c r="H2054" s="918" t="s">
        <v>613</v>
      </c>
      <c r="I2054" s="406"/>
      <c r="J2054" s="406"/>
      <c r="K2054" s="397"/>
      <c r="L2054" s="406"/>
      <c r="M2054" s="81">
        <v>46800000</v>
      </c>
      <c r="N2054" s="82" t="s">
        <v>579</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customHeight="1">
      <c r="A2055" s="323" t="str">
        <f>IF(B2055&lt;&gt;"",IF(AND(B2055='IN-TC'!$S$4,OR(TH!N2053="1111",TH!O2053="1111")),TH!D2053,""),"")</f>
        <v/>
      </c>
      <c r="B2055" s="63">
        <f t="shared" si="158"/>
        <v>10</v>
      </c>
      <c r="C2055" s="78">
        <v>42674</v>
      </c>
      <c r="D2055" s="78" t="s">
        <v>570</v>
      </c>
      <c r="E2055" s="78">
        <f t="shared" si="159"/>
        <v>42674</v>
      </c>
      <c r="F2055" s="80" t="s">
        <v>2103</v>
      </c>
      <c r="G2055" s="934" t="s">
        <v>2104</v>
      </c>
      <c r="H2055" s="918" t="s">
        <v>613</v>
      </c>
      <c r="I2055" s="406"/>
      <c r="J2055" s="406"/>
      <c r="K2055" s="397"/>
      <c r="L2055" s="406"/>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x</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customHeight="1">
      <c r="A2056" s="323" t="str">
        <f>IF(B2056&lt;&gt;"",IF(AND(B2056='IN-TC'!$S$4,OR(TH!N3913="1111",TH!O3913="1111")),TH!D3913,""),"")</f>
        <v>C23</v>
      </c>
      <c r="B2056" s="63">
        <f t="shared" si="158"/>
        <v>10</v>
      </c>
      <c r="C2056" s="64">
        <v>42667</v>
      </c>
      <c r="D2056" s="64" t="s">
        <v>690</v>
      </c>
      <c r="E2056" s="64">
        <f t="shared" si="159"/>
        <v>42667</v>
      </c>
      <c r="F2056" s="72" t="s">
        <v>2468</v>
      </c>
      <c r="G2056" s="67" t="s">
        <v>901</v>
      </c>
      <c r="H2056" s="72" t="s">
        <v>1845</v>
      </c>
      <c r="I2056" s="408"/>
      <c r="J2056" s="408"/>
      <c r="K2056" s="399"/>
      <c r="L2056" s="408"/>
      <c r="M2056" s="65">
        <v>10803694</v>
      </c>
      <c r="N2056" s="66" t="s">
        <v>8</v>
      </c>
      <c r="O2056" s="66" t="s">
        <v>25</v>
      </c>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customHeight="1">
      <c r="A2057" s="323" t="str">
        <f>IF(B2057&lt;&gt;"",IF(AND(B2057='IN-TC'!$S$4,OR(TH!N2056="1111",TH!O2056="1111")),TH!D2056,""),"")</f>
        <v/>
      </c>
      <c r="B2057" s="63">
        <f t="shared" si="158"/>
        <v>10</v>
      </c>
      <c r="C2057" s="78">
        <v>42674</v>
      </c>
      <c r="D2057" s="78" t="s">
        <v>570</v>
      </c>
      <c r="E2057" s="78">
        <f t="shared" si="159"/>
        <v>42674</v>
      </c>
      <c r="F2057" s="80" t="s">
        <v>2109</v>
      </c>
      <c r="G2057" s="934" t="s">
        <v>2110</v>
      </c>
      <c r="H2057" s="80" t="s">
        <v>1845</v>
      </c>
      <c r="I2057" s="406"/>
      <c r="J2057" s="406"/>
      <c r="K2057" s="397"/>
      <c r="L2057" s="406"/>
      <c r="M2057" s="81">
        <v>6256000</v>
      </c>
      <c r="N2057" s="82" t="s">
        <v>579</v>
      </c>
      <c r="O2057" s="82" t="s">
        <v>8</v>
      </c>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customHeight="1">
      <c r="A2058" s="323" t="str">
        <f>IF(B2058&lt;&gt;"",IF(AND(B2058='IN-TC'!$S$4,OR(TH!N2057="1111",TH!O2057="1111")),TH!D2057,""),"")</f>
        <v/>
      </c>
      <c r="B2058" s="63">
        <f t="shared" si="158"/>
        <v>10</v>
      </c>
      <c r="C2058" s="78">
        <v>42674</v>
      </c>
      <c r="D2058" s="78" t="s">
        <v>570</v>
      </c>
      <c r="E2058" s="78">
        <f t="shared" si="159"/>
        <v>42674</v>
      </c>
      <c r="F2058" s="80" t="s">
        <v>2112</v>
      </c>
      <c r="G2058" s="934" t="s">
        <v>2111</v>
      </c>
      <c r="H2058" s="80" t="s">
        <v>1845</v>
      </c>
      <c r="I2058" s="406"/>
      <c r="J2058" s="406"/>
      <c r="K2058" s="397"/>
      <c r="L2058" s="406"/>
      <c r="M2058" s="81">
        <v>3733610</v>
      </c>
      <c r="N2058" s="82" t="s">
        <v>579</v>
      </c>
      <c r="O2058" s="82" t="s">
        <v>8</v>
      </c>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customHeight="1">
      <c r="A2059" s="323" t="str">
        <f>IF(B2059&lt;&gt;"",IF(AND(B2059='IN-TC'!$S$4,OR(TH!N2019="1111",TH!O2019="1111")),TH!D2019,""),"")</f>
        <v/>
      </c>
      <c r="B2059" s="63">
        <f t="shared" si="158"/>
        <v>9</v>
      </c>
      <c r="C2059" s="78">
        <v>42643</v>
      </c>
      <c r="D2059" s="78" t="s">
        <v>570</v>
      </c>
      <c r="E2059" s="78">
        <v>42602</v>
      </c>
      <c r="F2059" s="80" t="s">
        <v>1979</v>
      </c>
      <c r="G2059" s="934" t="s">
        <v>1977</v>
      </c>
      <c r="H2059" s="80" t="s">
        <v>1484</v>
      </c>
      <c r="I2059" s="406"/>
      <c r="J2059" s="406"/>
      <c r="K2059" s="397"/>
      <c r="L2059" s="406"/>
      <c r="M2059" s="81">
        <v>1973525</v>
      </c>
      <c r="N2059" s="82" t="s">
        <v>9</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x</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customHeight="1">
      <c r="A2060" s="323" t="str">
        <f>IF(B2060&lt;&gt;"",IF(AND(B2060='IN-TC'!$S$4,OR(TH!N4014="1111",TH!O4014="1111")),TH!D4014,""),"")</f>
        <v/>
      </c>
      <c r="B2060" s="63">
        <f t="shared" si="158"/>
        <v>10</v>
      </c>
      <c r="C2060" s="64">
        <v>42662</v>
      </c>
      <c r="D2060" s="64" t="s">
        <v>690</v>
      </c>
      <c r="E2060" s="64">
        <f>C2060</f>
        <v>42662</v>
      </c>
      <c r="F2060" s="72" t="s">
        <v>1623</v>
      </c>
      <c r="G2060" s="67" t="s">
        <v>1544</v>
      </c>
      <c r="H2060" s="329" t="s">
        <v>1484</v>
      </c>
      <c r="I2060" s="408"/>
      <c r="J2060" s="408"/>
      <c r="K2060" s="399"/>
      <c r="L2060" s="408"/>
      <c r="M2060" s="65">
        <v>100000000</v>
      </c>
      <c r="N2060" s="66" t="s">
        <v>8</v>
      </c>
      <c r="O2060" s="66" t="s">
        <v>25</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x</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customHeight="1">
      <c r="A2061" s="323" t="str">
        <f>IF(B2061&lt;&gt;"",IF(AND(B2061='IN-TC'!$S$4,OR(TH!N2059="1111",TH!O2059="1111")),TH!D2059,""),"")</f>
        <v/>
      </c>
      <c r="B2061" s="63">
        <f t="shared" si="158"/>
        <v>10</v>
      </c>
      <c r="C2061" s="78">
        <v>42674</v>
      </c>
      <c r="D2061" s="78" t="s">
        <v>570</v>
      </c>
      <c r="E2061" s="78">
        <v>42643</v>
      </c>
      <c r="F2061" s="80" t="s">
        <v>2125</v>
      </c>
      <c r="G2061" s="934" t="s">
        <v>1330</v>
      </c>
      <c r="H2061" s="80" t="s">
        <v>1484</v>
      </c>
      <c r="I2061" s="406"/>
      <c r="J2061" s="406"/>
      <c r="K2061" s="397"/>
      <c r="L2061" s="406"/>
      <c r="M2061" s="81">
        <v>8509635</v>
      </c>
      <c r="N2061" s="82" t="s">
        <v>579</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customHeight="1">
      <c r="A2062" s="323" t="str">
        <f>IF(B2062&lt;&gt;"",IF(AND(B2062='IN-TC'!$S$4,OR(TH!N2060="1111",TH!O2060="1111")),TH!D2060,""),"")</f>
        <v/>
      </c>
      <c r="B2062" s="63">
        <f t="shared" si="158"/>
        <v>10</v>
      </c>
      <c r="C2062" s="78">
        <v>42674</v>
      </c>
      <c r="D2062" s="78" t="s">
        <v>570</v>
      </c>
      <c r="E2062" s="78">
        <v>42643</v>
      </c>
      <c r="F2062" s="80" t="s">
        <v>2126</v>
      </c>
      <c r="G2062" s="934" t="s">
        <v>1330</v>
      </c>
      <c r="H2062" s="80" t="s">
        <v>1484</v>
      </c>
      <c r="I2062" s="406"/>
      <c r="J2062" s="406"/>
      <c r="K2062" s="397"/>
      <c r="L2062" s="406"/>
      <c r="M2062" s="81">
        <v>850964</v>
      </c>
      <c r="N2062" s="82" t="s">
        <v>9</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x</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customHeight="1">
      <c r="A2063" s="323" t="str">
        <f>IF(B2063&lt;&gt;"",IF(AND(B2063='IN-TC'!$S$4,OR(TH!N2061="1111",TH!O2061="1111")),TH!D2061,""),"")</f>
        <v/>
      </c>
      <c r="B2063" s="63">
        <f t="shared" si="158"/>
        <v>10</v>
      </c>
      <c r="C2063" s="78">
        <v>42674</v>
      </c>
      <c r="D2063" s="78" t="s">
        <v>570</v>
      </c>
      <c r="E2063" s="78">
        <v>42643</v>
      </c>
      <c r="F2063" s="80" t="s">
        <v>1486</v>
      </c>
      <c r="G2063" s="934" t="s">
        <v>2127</v>
      </c>
      <c r="H2063" s="80" t="s">
        <v>1484</v>
      </c>
      <c r="I2063" s="406"/>
      <c r="J2063" s="406"/>
      <c r="K2063" s="397"/>
      <c r="L2063" s="406"/>
      <c r="M2063" s="81">
        <v>21218250</v>
      </c>
      <c r="N2063" s="82" t="s">
        <v>579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customHeight="1">
      <c r="A2064" s="323" t="str">
        <f>IF(B2064&lt;&gt;"",IF(AND(B2064='IN-TC'!$S$4,OR(TH!N2062="1111",TH!O2062="1111")),TH!D2062,""),"")</f>
        <v/>
      </c>
      <c r="B2064" s="63">
        <f t="shared" si="158"/>
        <v>10</v>
      </c>
      <c r="C2064" s="78">
        <v>42674</v>
      </c>
      <c r="D2064" s="78" t="s">
        <v>570</v>
      </c>
      <c r="E2064" s="78">
        <v>42669</v>
      </c>
      <c r="F2064" s="80" t="s">
        <v>2122</v>
      </c>
      <c r="G2064" s="934" t="s">
        <v>2124</v>
      </c>
      <c r="H2064" s="80" t="s">
        <v>1484</v>
      </c>
      <c r="I2064" s="406"/>
      <c r="J2064" s="406"/>
      <c r="K2064" s="397"/>
      <c r="L2064" s="406"/>
      <c r="M2064" s="81">
        <v>23421390</v>
      </c>
      <c r="N2064" s="82" t="s">
        <v>579</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1" ht="15.75" customHeight="1">
      <c r="A2065" s="323" t="str">
        <f>IF(B2065&lt;&gt;"",IF(AND(B2065='IN-TC'!$S$4,OR(TH!N1955="1111",TH!O1955="1111")),TH!D1955,""),"")</f>
        <v/>
      </c>
      <c r="B2065" s="63">
        <f t="shared" si="158"/>
        <v>6</v>
      </c>
      <c r="C2065" s="78">
        <v>42551</v>
      </c>
      <c r="D2065" s="78" t="s">
        <v>570</v>
      </c>
      <c r="E2065" s="78">
        <v>42547</v>
      </c>
      <c r="F2065" s="80" t="s">
        <v>1643</v>
      </c>
      <c r="G2065" s="934" t="s">
        <v>1685</v>
      </c>
      <c r="H2065" s="80" t="s">
        <v>617</v>
      </c>
      <c r="I2065" s="406"/>
      <c r="J2065" s="406"/>
      <c r="K2065" s="397"/>
      <c r="L2065" s="406"/>
      <c r="M2065" s="81">
        <v>2542610</v>
      </c>
      <c r="N2065" s="82" t="s">
        <v>9</v>
      </c>
      <c r="O2065" s="82" t="s">
        <v>8</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x</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1" ht="15.75" customHeight="1">
      <c r="A2066" s="323" t="str">
        <f>IF(B2066&lt;&gt;"",IF(AND(B2066='IN-TC'!$S$4,OR(TH!N3391="1111",TH!O3391="1111")),TH!D3391,""),"")</f>
        <v/>
      </c>
      <c r="B2066" s="63">
        <f t="shared" si="158"/>
        <v>7</v>
      </c>
      <c r="C2066" s="64">
        <v>42556</v>
      </c>
      <c r="D2066" s="64" t="s">
        <v>690</v>
      </c>
      <c r="E2066" s="64">
        <f>C2066</f>
        <v>42556</v>
      </c>
      <c r="F2066" s="72" t="s">
        <v>1752</v>
      </c>
      <c r="G2066" s="67" t="s">
        <v>902</v>
      </c>
      <c r="H2066" s="72" t="s">
        <v>617</v>
      </c>
      <c r="I2066" s="408"/>
      <c r="J2066" s="408"/>
      <c r="K2066" s="399"/>
      <c r="L2066" s="408"/>
      <c r="M2066" s="65">
        <v>57018720</v>
      </c>
      <c r="N2066" s="66" t="s">
        <v>8</v>
      </c>
      <c r="O2066" s="66" t="s">
        <v>25</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1" ht="15.75" customHeight="1">
      <c r="A2067" s="323" t="str">
        <f>IF(B2067&lt;&gt;"",IF(AND(B2067='IN-TC'!$S$4,OR(TH!N3480="1111",TH!O3480="1111")),TH!D3480,""),"")</f>
        <v/>
      </c>
      <c r="B2067" s="63">
        <f t="shared" si="158"/>
        <v>7</v>
      </c>
      <c r="C2067" s="64">
        <v>42573</v>
      </c>
      <c r="D2067" s="64" t="s">
        <v>690</v>
      </c>
      <c r="E2067" s="64">
        <f>C2067</f>
        <v>42573</v>
      </c>
      <c r="F2067" s="72" t="s">
        <v>1759</v>
      </c>
      <c r="G2067" s="67" t="s">
        <v>902</v>
      </c>
      <c r="H2067" s="72" t="s">
        <v>617</v>
      </c>
      <c r="I2067" s="408"/>
      <c r="J2067" s="408"/>
      <c r="K2067" s="399"/>
      <c r="L2067" s="408"/>
      <c r="M2067" s="65">
        <v>20769870</v>
      </c>
      <c r="N2067" s="66" t="s">
        <v>8</v>
      </c>
      <c r="O2067" s="66" t="s">
        <v>25</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1" ht="15.75" customHeight="1">
      <c r="A2068" s="323" t="str">
        <f>IF(B2068&lt;&gt;"",IF(AND(B2068='IN-TC'!$S$4,OR(TH!N1967="1111",TH!O1967="1111")),TH!D1967,""),"")</f>
        <v/>
      </c>
      <c r="B2068" s="63">
        <f t="shared" si="158"/>
        <v>7</v>
      </c>
      <c r="C2068" s="78">
        <v>42582</v>
      </c>
      <c r="D2068" s="78" t="s">
        <v>570</v>
      </c>
      <c r="E2068" s="78">
        <v>42557</v>
      </c>
      <c r="F2068" s="80" t="s">
        <v>1742</v>
      </c>
      <c r="G2068" s="934" t="s">
        <v>1744</v>
      </c>
      <c r="H2068" s="80" t="s">
        <v>617</v>
      </c>
      <c r="I2068" s="406"/>
      <c r="J2068" s="406"/>
      <c r="K2068" s="397"/>
      <c r="L2068" s="406"/>
      <c r="M2068" s="81">
        <v>18881700</v>
      </c>
      <c r="N2068" s="82" t="s">
        <v>276</v>
      </c>
      <c r="O2068" s="82" t="s">
        <v>8</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1" ht="15.75" customHeight="1">
      <c r="A2069" s="323" t="str">
        <f>IF(B2069&lt;&gt;"",IF(AND(B2069='IN-TC'!$S$4,OR(TH!N1968="1111",TH!O1968="1111")),TH!D1968,""),"")</f>
        <v/>
      </c>
      <c r="B2069" s="63">
        <f t="shared" si="158"/>
        <v>7</v>
      </c>
      <c r="C2069" s="78">
        <v>42582</v>
      </c>
      <c r="D2069" s="78" t="s">
        <v>570</v>
      </c>
      <c r="E2069" s="78">
        <v>42557</v>
      </c>
      <c r="F2069" s="80" t="s">
        <v>1743</v>
      </c>
      <c r="G2069" s="934" t="s">
        <v>1744</v>
      </c>
      <c r="H2069" s="80" t="s">
        <v>617</v>
      </c>
      <c r="I2069" s="406"/>
      <c r="J2069" s="406"/>
      <c r="K2069" s="397"/>
      <c r="L2069" s="406"/>
      <c r="M2069" s="81">
        <v>1888170</v>
      </c>
      <c r="N2069" s="82" t="s">
        <v>9</v>
      </c>
      <c r="O2069" s="82" t="s">
        <v>8</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x</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1" ht="15.75" customHeight="1">
      <c r="A2070" s="323" t="str">
        <f>IF(B2070&lt;&gt;"",IF(AND(B2070='IN-TC'!$S$4,OR(TH!N1974="1111",TH!O1974="1111")),TH!D1974,""),"")</f>
        <v/>
      </c>
      <c r="B2070" s="63">
        <f t="shared" si="158"/>
        <v>7</v>
      </c>
      <c r="C2070" s="78">
        <v>42582</v>
      </c>
      <c r="D2070" s="78" t="s">
        <v>570</v>
      </c>
      <c r="E2070" s="78">
        <v>42567</v>
      </c>
      <c r="F2070" s="80" t="s">
        <v>1745</v>
      </c>
      <c r="G2070" s="934" t="s">
        <v>1769</v>
      </c>
      <c r="H2070" s="80" t="s">
        <v>617</v>
      </c>
      <c r="I2070" s="406"/>
      <c r="J2070" s="406"/>
      <c r="K2070" s="397"/>
      <c r="L2070" s="406"/>
      <c r="M2070" s="81">
        <v>21805300</v>
      </c>
      <c r="N2070" s="82" t="s">
        <v>276</v>
      </c>
      <c r="O2070" s="82" t="s">
        <v>8</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1" ht="15.75" customHeight="1">
      <c r="A2071" s="323" t="str">
        <f>IF(B2071&lt;&gt;"",IF(AND(B2071='IN-TC'!$S$4,OR(TH!N1962="1111",TH!O1962="1111")),TH!D1962,""),"")</f>
        <v/>
      </c>
      <c r="B2071" s="63">
        <f t="shared" si="158"/>
        <v>7</v>
      </c>
      <c r="C2071" s="78">
        <v>42582</v>
      </c>
      <c r="D2071" s="78" t="s">
        <v>570</v>
      </c>
      <c r="E2071" s="78">
        <v>42551</v>
      </c>
      <c r="F2071" s="80" t="s">
        <v>1829</v>
      </c>
      <c r="G2071" s="934" t="s">
        <v>1964</v>
      </c>
      <c r="H2071" s="80" t="s">
        <v>1365</v>
      </c>
      <c r="I2071" s="406"/>
      <c r="J2071" s="406"/>
      <c r="K2071" s="397"/>
      <c r="L2071" s="406"/>
      <c r="M2071" s="81">
        <v>517877</v>
      </c>
      <c r="N2071" s="82" t="s">
        <v>9</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x</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1" ht="15.75" customHeight="1">
      <c r="A2072" s="323" t="str">
        <f>IF(B2072&lt;&gt;"",IF(AND(B2072='IN-TC'!$S$4,OR(TH!N1982="1111",TH!O1982="1111")),TH!D1982,""),"")</f>
        <v/>
      </c>
      <c r="B2072" s="63">
        <f t="shared" si="158"/>
        <v>7</v>
      </c>
      <c r="C2072" s="78">
        <v>42582</v>
      </c>
      <c r="D2072" s="78" t="s">
        <v>570</v>
      </c>
      <c r="E2072" s="78">
        <v>42581</v>
      </c>
      <c r="F2072" s="80" t="s">
        <v>1828</v>
      </c>
      <c r="G2072" s="934" t="s">
        <v>1830</v>
      </c>
      <c r="H2072" s="80" t="s">
        <v>1365</v>
      </c>
      <c r="I2072" s="406"/>
      <c r="J2072" s="406"/>
      <c r="K2072" s="397"/>
      <c r="L2072" s="406"/>
      <c r="M2072" s="81">
        <v>8960610</v>
      </c>
      <c r="N2072" s="82" t="s">
        <v>99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1" ht="15.75" customHeight="1">
      <c r="A2073" s="323" t="str">
        <f>IF(B2073&lt;&gt;"",IF(AND(B2073='IN-TC'!$S$4,OR(TH!N1983="1111",TH!O1983="1111")),TH!D1983,""),"")</f>
        <v/>
      </c>
      <c r="B2073" s="63">
        <f t="shared" si="158"/>
        <v>7</v>
      </c>
      <c r="C2073" s="78">
        <v>42582</v>
      </c>
      <c r="D2073" s="78" t="s">
        <v>570</v>
      </c>
      <c r="E2073" s="78">
        <v>42581</v>
      </c>
      <c r="F2073" s="80" t="s">
        <v>1829</v>
      </c>
      <c r="G2073" s="934" t="s">
        <v>1830</v>
      </c>
      <c r="H2073" s="80" t="s">
        <v>1365</v>
      </c>
      <c r="I2073" s="406"/>
      <c r="J2073" s="406"/>
      <c r="K2073" s="397"/>
      <c r="L2073" s="406"/>
      <c r="M2073" s="81">
        <v>576543</v>
      </c>
      <c r="N2073" s="82" t="s">
        <v>9</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x</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1" ht="15.75" customHeight="1">
      <c r="A2074" s="323" t="str">
        <f>IF(B2074&lt;&gt;"",IF(AND(B2074='IN-TC'!$S$4,OR(TH!N1984="1111",TH!O1984="1111")),TH!D1984,""),"")</f>
        <v/>
      </c>
      <c r="B2074" s="63">
        <f t="shared" si="158"/>
        <v>7</v>
      </c>
      <c r="C2074" s="78">
        <v>42582</v>
      </c>
      <c r="D2074" s="78" t="s">
        <v>570</v>
      </c>
      <c r="E2074" s="78">
        <v>42582</v>
      </c>
      <c r="F2074" s="80" t="s">
        <v>1362</v>
      </c>
      <c r="G2074" s="934" t="s">
        <v>1734</v>
      </c>
      <c r="H2074" s="80" t="s">
        <v>1365</v>
      </c>
      <c r="I2074" s="406"/>
      <c r="J2074" s="406"/>
      <c r="K2074" s="397"/>
      <c r="L2074" s="406"/>
      <c r="M2074" s="81">
        <f>10978250+6165750+9132500</f>
        <v>26276500</v>
      </c>
      <c r="N2074" s="82" t="s">
        <v>99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1" ht="15.75" customHeight="1">
      <c r="A2075" s="323" t="str">
        <f>IF(B2075&lt;&gt;"",IF(AND(B2075='IN-TC'!$S$4,OR(TH!N2046="1111",TH!O2046="1111")),TH!D2046,""),"")</f>
        <v/>
      </c>
      <c r="B2075" s="63">
        <f t="shared" si="158"/>
        <v>10</v>
      </c>
      <c r="C2075" s="78">
        <v>42674</v>
      </c>
      <c r="D2075" s="78" t="s">
        <v>570</v>
      </c>
      <c r="E2075" s="78">
        <f>C2075</f>
        <v>42674</v>
      </c>
      <c r="F2075" s="80" t="s">
        <v>625</v>
      </c>
      <c r="G2075" s="934" t="s">
        <v>2092</v>
      </c>
      <c r="H2075" s="80" t="s">
        <v>615</v>
      </c>
      <c r="I2075" s="406"/>
      <c r="J2075" s="406"/>
      <c r="K2075" s="397"/>
      <c r="L2075" s="406"/>
      <c r="M2075" s="81">
        <v>333300</v>
      </c>
      <c r="N2075" s="82" t="s">
        <v>9</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x</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1" ht="15.75" customHeight="1">
      <c r="A2076" s="323" t="str">
        <f>IF(B2076&lt;&gt;"",IF(AND(B2076='IN-TC'!$S$4,OR(TH!N2047="1111",TH!O2047="1111")),TH!D2047,""),"")</f>
        <v/>
      </c>
      <c r="B2076" s="63">
        <f t="shared" si="158"/>
        <v>10</v>
      </c>
      <c r="C2076" s="78">
        <v>42674</v>
      </c>
      <c r="D2076" s="78" t="s">
        <v>570</v>
      </c>
      <c r="E2076" s="78">
        <f>C2076</f>
        <v>42674</v>
      </c>
      <c r="F2076" s="80" t="s">
        <v>2093</v>
      </c>
      <c r="G2076" s="934" t="s">
        <v>2150</v>
      </c>
      <c r="H2076" s="80" t="s">
        <v>615</v>
      </c>
      <c r="I2076" s="406"/>
      <c r="J2076" s="406"/>
      <c r="K2076" s="397"/>
      <c r="L2076" s="406"/>
      <c r="M2076" s="81">
        <v>125081028</v>
      </c>
      <c r="N2076" s="82" t="s">
        <v>579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1" ht="15.75" customHeight="1">
      <c r="A2077" s="323" t="str">
        <f>IF(B2077&lt;&gt;"",IF(AND(B2077='IN-TC'!$S$4,OR(TH!N2048="1111",TH!O2048="1111")),TH!D2048,""),"")</f>
        <v/>
      </c>
      <c r="B2077" s="63">
        <f t="shared" si="158"/>
        <v>10</v>
      </c>
      <c r="C2077" s="78">
        <v>42674</v>
      </c>
      <c r="D2077" s="78" t="s">
        <v>570</v>
      </c>
      <c r="E2077" s="78">
        <f>C2077</f>
        <v>42674</v>
      </c>
      <c r="F2077" s="80" t="s">
        <v>2094</v>
      </c>
      <c r="G2077" s="934" t="s">
        <v>2150</v>
      </c>
      <c r="H2077" s="80" t="s">
        <v>615</v>
      </c>
      <c r="I2077" s="406"/>
      <c r="J2077" s="406"/>
      <c r="K2077" s="397"/>
      <c r="L2077" s="406"/>
      <c r="M2077" s="81">
        <v>12508103</v>
      </c>
      <c r="N2077" s="82" t="s">
        <v>9</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x</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1" ht="15.75" customHeight="1">
      <c r="A2078" s="323" t="str">
        <f>IF(B2078&lt;&gt;"",IF(AND(B2078='IN-TC'!$S$4,OR(TH!N4173="1111",TH!O4173="1111")),TH!D4173,""),"")</f>
        <v/>
      </c>
      <c r="B2078" s="63">
        <f t="shared" si="158"/>
        <v>11</v>
      </c>
      <c r="C2078" s="64">
        <v>42676</v>
      </c>
      <c r="D2078" s="64" t="s">
        <v>690</v>
      </c>
      <c r="E2078" s="64">
        <f>C2078</f>
        <v>42676</v>
      </c>
      <c r="F2078" s="72" t="s">
        <v>1636</v>
      </c>
      <c r="G2078" s="67" t="s">
        <v>902</v>
      </c>
      <c r="H2078" s="329" t="s">
        <v>615</v>
      </c>
      <c r="I2078" s="408"/>
      <c r="J2078" s="408"/>
      <c r="K2078" s="399"/>
      <c r="L2078" s="408"/>
      <c r="M2078" s="65">
        <v>100000000</v>
      </c>
      <c r="N2078" s="66" t="s">
        <v>8</v>
      </c>
      <c r="O2078" s="66" t="s">
        <v>25</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1" ht="15.75" customHeight="1">
      <c r="A2079" s="323" t="str">
        <f>IF(B2079&lt;&gt;"",IF(AND(B2079='IN-TC'!$S$4,OR(TH!N2075="1111",TH!O2075="1111")),TH!D2075,""),"")</f>
        <v/>
      </c>
      <c r="B2079" s="63">
        <f t="shared" si="158"/>
        <v>11</v>
      </c>
      <c r="C2079" s="78">
        <v>42683</v>
      </c>
      <c r="D2079" s="78" t="s">
        <v>570</v>
      </c>
      <c r="E2079" s="78">
        <v>42683</v>
      </c>
      <c r="F2079" s="80" t="s">
        <v>624</v>
      </c>
      <c r="G2079" s="934" t="s">
        <v>2182</v>
      </c>
      <c r="H2079" s="80" t="s">
        <v>615</v>
      </c>
      <c r="I2079" s="406"/>
      <c r="J2079" s="406"/>
      <c r="K2079" s="397"/>
      <c r="L2079" s="406"/>
      <c r="M2079" s="81">
        <v>2000000</v>
      </c>
      <c r="N2079" s="82" t="s">
        <v>579</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E2079">
        <v>1</v>
      </c>
    </row>
    <row r="2080" spans="1:31" ht="15.75" customHeight="1">
      <c r="A2080" s="323" t="str">
        <f>IF(B2080&lt;&gt;"",IF(AND(B2080='IN-TC'!$S$4,OR(TH!N2076="1111",TH!O2076="1111")),TH!D2076,""),"")</f>
        <v/>
      </c>
      <c r="B2080" s="63">
        <f t="shared" si="158"/>
        <v>11</v>
      </c>
      <c r="C2080" s="78">
        <v>42683</v>
      </c>
      <c r="D2080" s="78" t="s">
        <v>570</v>
      </c>
      <c r="E2080" s="78">
        <v>42683</v>
      </c>
      <c r="F2080" s="80" t="s">
        <v>625</v>
      </c>
      <c r="G2080" s="934" t="s">
        <v>2182</v>
      </c>
      <c r="H2080" s="80" t="s">
        <v>615</v>
      </c>
      <c r="I2080" s="406"/>
      <c r="J2080" s="406"/>
      <c r="K2080" s="397"/>
      <c r="L2080" s="406"/>
      <c r="M2080" s="81">
        <v>200000</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x</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E2080">
        <v>1</v>
      </c>
    </row>
    <row r="2081" spans="1:31" ht="15.75" customHeight="1">
      <c r="A2081" s="323" t="str">
        <f>IF(B2081&lt;&gt;"",IF(AND(B2081='IN-TC'!$S$4,OR(TH!N2058="1111",TH!O2058="1111")),TH!D2058,""),"")</f>
        <v/>
      </c>
      <c r="B2081" s="63">
        <f t="shared" si="158"/>
        <v>10</v>
      </c>
      <c r="C2081" s="78">
        <v>42674</v>
      </c>
      <c r="D2081" s="78" t="s">
        <v>570</v>
      </c>
      <c r="E2081" s="78">
        <f>C2081</f>
        <v>42674</v>
      </c>
      <c r="F2081" s="80" t="s">
        <v>2113</v>
      </c>
      <c r="G2081" s="934" t="s">
        <v>2111</v>
      </c>
      <c r="H2081" s="80" t="s">
        <v>1845</v>
      </c>
      <c r="I2081" s="406"/>
      <c r="J2081" s="406"/>
      <c r="K2081" s="397"/>
      <c r="L2081" s="406"/>
      <c r="M2081" s="81">
        <v>373361</v>
      </c>
      <c r="N2081" s="82" t="s">
        <v>9</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x</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1" ht="15.75" customHeight="1">
      <c r="A2082" s="323" t="str">
        <f>IF(B2082&lt;&gt;"",IF(AND(B2082='IN-TC'!$S$4,OR(TH!N2081="1111",TH!O2081="1111")),TH!D2081,""),"")</f>
        <v/>
      </c>
      <c r="B2082" s="63">
        <f t="shared" si="158"/>
        <v>11</v>
      </c>
      <c r="C2082" s="78">
        <v>42685</v>
      </c>
      <c r="D2082" s="78" t="s">
        <v>570</v>
      </c>
      <c r="E2082" s="78">
        <v>42685</v>
      </c>
      <c r="F2082" s="80" t="s">
        <v>1486</v>
      </c>
      <c r="G2082" s="934" t="s">
        <v>2188</v>
      </c>
      <c r="H2082" s="80" t="s">
        <v>1845</v>
      </c>
      <c r="I2082" s="406"/>
      <c r="J2082" s="406"/>
      <c r="K2082" s="397"/>
      <c r="L2082" s="406"/>
      <c r="M2082" s="81">
        <v>7600700</v>
      </c>
      <c r="N2082" s="82" t="s">
        <v>579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1" ht="15.75" customHeight="1">
      <c r="A2083" s="323" t="str">
        <f>IF(B2083&lt;&gt;"",IF(AND(B2083='IN-TC'!$S$4,OR(TH!N2082="1111",TH!O2082="1111")),TH!D2082,""),"")</f>
        <v/>
      </c>
      <c r="B2083" s="63">
        <f t="shared" si="158"/>
        <v>11</v>
      </c>
      <c r="C2083" s="78">
        <v>42685</v>
      </c>
      <c r="D2083" s="78" t="s">
        <v>570</v>
      </c>
      <c r="E2083" s="78">
        <v>42685</v>
      </c>
      <c r="F2083" s="80" t="s">
        <v>2183</v>
      </c>
      <c r="G2083" s="934" t="s">
        <v>2187</v>
      </c>
      <c r="H2083" s="80" t="s">
        <v>1845</v>
      </c>
      <c r="I2083" s="406"/>
      <c r="J2083" s="406"/>
      <c r="K2083" s="397"/>
      <c r="L2083" s="406"/>
      <c r="M2083" s="81">
        <v>3784990</v>
      </c>
      <c r="N2083" s="82" t="s">
        <v>579</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customHeight="1">
      <c r="A2084" s="323" t="str">
        <f>IF(B2084&lt;&gt;"",IF(AND(B2084='IN-TC'!$S$4,OR(TH!N2083="1111",TH!O2083="1111")),TH!D2083,""),"")</f>
        <v/>
      </c>
      <c r="B2084" s="63">
        <f t="shared" si="158"/>
        <v>11</v>
      </c>
      <c r="C2084" s="78">
        <v>42685</v>
      </c>
      <c r="D2084" s="78" t="s">
        <v>570</v>
      </c>
      <c r="E2084" s="78">
        <v>42685</v>
      </c>
      <c r="F2084" s="80" t="s">
        <v>2184</v>
      </c>
      <c r="G2084" s="934" t="s">
        <v>2187</v>
      </c>
      <c r="H2084" s="80" t="s">
        <v>1845</v>
      </c>
      <c r="I2084" s="406"/>
      <c r="J2084" s="406"/>
      <c r="K2084" s="397"/>
      <c r="L2084" s="406"/>
      <c r="M2084" s="81">
        <v>378499</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x</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customHeight="1">
      <c r="A2085" s="323" t="str">
        <f>IF(B2085&lt;&gt;"",IF(AND(B2085='IN-TC'!$S$4,OR(TH!N2084="1111",TH!O2084="1111")),TH!D2084,""),"")</f>
        <v/>
      </c>
      <c r="B2085" s="63">
        <f t="shared" si="158"/>
        <v>11</v>
      </c>
      <c r="C2085" s="78">
        <v>42688</v>
      </c>
      <c r="D2085" s="78" t="s">
        <v>570</v>
      </c>
      <c r="E2085" s="78">
        <v>42688</v>
      </c>
      <c r="F2085" s="80" t="s">
        <v>1486</v>
      </c>
      <c r="G2085" s="934" t="s">
        <v>2186</v>
      </c>
      <c r="H2085" s="80" t="s">
        <v>1845</v>
      </c>
      <c r="I2085" s="406"/>
      <c r="J2085" s="406"/>
      <c r="K2085" s="397"/>
      <c r="L2085" s="406"/>
      <c r="M2085" s="81">
        <v>7604100</v>
      </c>
      <c r="N2085" s="82" t="s">
        <v>579</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row>
    <row r="2086" spans="1:31" ht="15.75" customHeight="1">
      <c r="A2086" s="323" t="str">
        <f>IF(B2086&lt;&gt;"",IF(AND(B2086='IN-TC'!$S$4,OR(TH!N2085="1111",TH!O2085="1111")),TH!D2085,""),"")</f>
        <v/>
      </c>
      <c r="B2086" s="63">
        <f t="shared" si="158"/>
        <v>11</v>
      </c>
      <c r="C2086" s="78">
        <v>42688</v>
      </c>
      <c r="D2086" s="78" t="s">
        <v>570</v>
      </c>
      <c r="E2086" s="78">
        <v>42688</v>
      </c>
      <c r="F2086" s="80" t="s">
        <v>2183</v>
      </c>
      <c r="G2086" s="934" t="s">
        <v>2185</v>
      </c>
      <c r="H2086" s="80" t="s">
        <v>1845</v>
      </c>
      <c r="I2086" s="406"/>
      <c r="J2086" s="406"/>
      <c r="K2086" s="397"/>
      <c r="L2086" s="406"/>
      <c r="M2086" s="81">
        <v>3786370</v>
      </c>
      <c r="N2086" s="82" t="s">
        <v>579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customHeight="1">
      <c r="A2087" s="323" t="str">
        <f>IF(B2087&lt;&gt;"",IF(AND(B2087='IN-TC'!$S$4,OR(TH!N2063="1111",TH!O2063="1111")),TH!D2063,""),"")</f>
        <v/>
      </c>
      <c r="B2087" s="63">
        <f t="shared" si="158"/>
        <v>10</v>
      </c>
      <c r="C2087" s="78">
        <v>42674</v>
      </c>
      <c r="D2087" s="78" t="s">
        <v>570</v>
      </c>
      <c r="E2087" s="78">
        <v>42669</v>
      </c>
      <c r="F2087" s="80" t="s">
        <v>2123</v>
      </c>
      <c r="G2087" s="934" t="s">
        <v>2124</v>
      </c>
      <c r="H2087" s="80" t="s">
        <v>1484</v>
      </c>
      <c r="I2087" s="406"/>
      <c r="J2087" s="406"/>
      <c r="K2087" s="397"/>
      <c r="L2087" s="406"/>
      <c r="M2087" s="81">
        <v>2342139</v>
      </c>
      <c r="N2087" s="82" t="s">
        <v>9</v>
      </c>
      <c r="O2087" s="82" t="s">
        <v>8</v>
      </c>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x</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customHeight="1">
      <c r="A2088" s="323" t="str">
        <f>IF(B2088&lt;&gt;"",IF(AND(B2088='IN-TC'!$S$4,OR(TH!N2064="1111",TH!O2064="1111")),TH!D2064,""),"")</f>
        <v/>
      </c>
      <c r="B2088" s="63">
        <f t="shared" si="158"/>
        <v>10</v>
      </c>
      <c r="C2088" s="78">
        <v>42674</v>
      </c>
      <c r="D2088" s="78" t="s">
        <v>570</v>
      </c>
      <c r="E2088" s="78">
        <v>42669</v>
      </c>
      <c r="F2088" s="80" t="s">
        <v>1486</v>
      </c>
      <c r="G2088" s="934" t="s">
        <v>2128</v>
      </c>
      <c r="H2088" s="80" t="s">
        <v>1484</v>
      </c>
      <c r="I2088" s="406"/>
      <c r="J2088" s="406"/>
      <c r="K2088" s="397"/>
      <c r="L2088" s="406"/>
      <c r="M2088" s="81">
        <v>26172900</v>
      </c>
      <c r="N2088" s="82" t="s">
        <v>579</v>
      </c>
      <c r="O2088" s="82" t="s">
        <v>8</v>
      </c>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1" ht="15.75" customHeight="1">
      <c r="A2089" s="323" t="str">
        <f>IF(B2089&lt;&gt;"",IF(AND(B2089='IN-TC'!$S$4,OR(TH!N2087="1111",TH!O2087="1111")),TH!D2087,""),"")</f>
        <v/>
      </c>
      <c r="B2089" s="63">
        <f t="shared" si="158"/>
        <v>11</v>
      </c>
      <c r="C2089" s="78">
        <v>42682</v>
      </c>
      <c r="D2089" s="78" t="s">
        <v>570</v>
      </c>
      <c r="E2089" s="78">
        <v>42682</v>
      </c>
      <c r="F2089" s="80" t="s">
        <v>1486</v>
      </c>
      <c r="G2089" s="934" t="s">
        <v>2194</v>
      </c>
      <c r="H2089" s="80" t="s">
        <v>1484</v>
      </c>
      <c r="I2089" s="406"/>
      <c r="J2089" s="406"/>
      <c r="K2089" s="397"/>
      <c r="L2089" s="406"/>
      <c r="M2089" s="81">
        <v>26167050</v>
      </c>
      <c r="N2089" s="82" t="s">
        <v>579</v>
      </c>
      <c r="O2089" s="82" t="s">
        <v>8</v>
      </c>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1" ht="15.75" customHeight="1">
      <c r="A2090" s="323" t="str">
        <f>IF(B2090&lt;&gt;"",IF(AND(B2090='IN-TC'!$S$4,OR(TH!N2088="1111",TH!O2088="1111")),TH!D2088,""),"")</f>
        <v/>
      </c>
      <c r="B2090" s="63">
        <f t="shared" si="158"/>
        <v>11</v>
      </c>
      <c r="C2090" s="78">
        <v>42682</v>
      </c>
      <c r="D2090" s="78" t="s">
        <v>570</v>
      </c>
      <c r="E2090" s="78">
        <v>42682</v>
      </c>
      <c r="F2090" s="80" t="s">
        <v>2190</v>
      </c>
      <c r="G2090" s="934" t="s">
        <v>2195</v>
      </c>
      <c r="H2090" s="80" t="s">
        <v>1484</v>
      </c>
      <c r="I2090" s="406"/>
      <c r="J2090" s="406"/>
      <c r="K2090" s="397"/>
      <c r="L2090" s="406"/>
      <c r="M2090" s="81">
        <v>19882485</v>
      </c>
      <c r="N2090" s="82" t="s">
        <v>579</v>
      </c>
      <c r="O2090" s="82" t="s">
        <v>8</v>
      </c>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E2090">
        <v>1</v>
      </c>
    </row>
    <row r="2091" spans="1:31" ht="15.75" customHeight="1">
      <c r="A2091" s="323" t="str">
        <f>IF(B2091&lt;&gt;"",IF(AND(B2091='IN-TC'!$S$4,OR(TH!N2089="1111",TH!O2089="1111")),TH!D2089,""),"")</f>
        <v/>
      </c>
      <c r="B2091" s="63">
        <f t="shared" si="158"/>
        <v>11</v>
      </c>
      <c r="C2091" s="78">
        <v>42682</v>
      </c>
      <c r="D2091" s="78" t="s">
        <v>570</v>
      </c>
      <c r="E2091" s="78">
        <v>42682</v>
      </c>
      <c r="F2091" s="80" t="s">
        <v>2191</v>
      </c>
      <c r="G2091" s="934" t="s">
        <v>2195</v>
      </c>
      <c r="H2091" s="80" t="s">
        <v>1484</v>
      </c>
      <c r="I2091" s="406"/>
      <c r="J2091" s="406"/>
      <c r="K2091" s="397"/>
      <c r="L2091" s="406"/>
      <c r="M2091" s="81">
        <v>1988249</v>
      </c>
      <c r="N2091" s="82" t="s">
        <v>9</v>
      </c>
      <c r="O2091" s="82" t="s">
        <v>8</v>
      </c>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x</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customHeight="1">
      <c r="A2092" s="323" t="str">
        <f>IF(B2092&lt;&gt;"",IF(AND(B2092='IN-TC'!$S$4,OR(TH!N2090="1111",TH!O2090="1111")),TH!D2090,""),"")</f>
        <v/>
      </c>
      <c r="B2092" s="63">
        <f t="shared" si="158"/>
        <v>11</v>
      </c>
      <c r="C2092" s="78">
        <v>42682</v>
      </c>
      <c r="D2092" s="78" t="s">
        <v>570</v>
      </c>
      <c r="E2092" s="78">
        <v>42682</v>
      </c>
      <c r="F2092" s="80" t="s">
        <v>1486</v>
      </c>
      <c r="G2092" s="934" t="s">
        <v>2196</v>
      </c>
      <c r="H2092" s="80" t="s">
        <v>1484</v>
      </c>
      <c r="I2092" s="406"/>
      <c r="J2092" s="406"/>
      <c r="K2092" s="397"/>
      <c r="L2092" s="406"/>
      <c r="M2092" s="81">
        <v>52334100</v>
      </c>
      <c r="N2092" s="82" t="s">
        <v>579</v>
      </c>
      <c r="O2092" s="82" t="s">
        <v>8</v>
      </c>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1" ht="15.75" customHeight="1">
      <c r="A2093" s="323" t="str">
        <f>IF(B2093&lt;&gt;"",IF(AND(B2093='IN-TC'!$S$4,OR(TH!N2091="1111",TH!O2091="1111")),TH!D2091,""),"")</f>
        <v/>
      </c>
      <c r="B2093" s="63">
        <f t="shared" si="158"/>
        <v>11</v>
      </c>
      <c r="C2093" s="78">
        <v>42682</v>
      </c>
      <c r="D2093" s="78" t="s">
        <v>570</v>
      </c>
      <c r="E2093" s="78">
        <v>42682</v>
      </c>
      <c r="F2093" s="80" t="s">
        <v>2192</v>
      </c>
      <c r="G2093" s="934" t="s">
        <v>2197</v>
      </c>
      <c r="H2093" s="80" t="s">
        <v>1484</v>
      </c>
      <c r="I2093" s="406"/>
      <c r="J2093" s="406"/>
      <c r="K2093" s="397"/>
      <c r="L2093" s="406"/>
      <c r="M2093" s="81">
        <v>38915100</v>
      </c>
      <c r="N2093" s="82" t="s">
        <v>579</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E2093">
        <v>1</v>
      </c>
    </row>
    <row r="2094" spans="1:31" ht="15.75" customHeight="1">
      <c r="A2094" s="323" t="str">
        <f>IF(B2094&lt;&gt;"",IF(AND(B2094='IN-TC'!$S$4,OR(TH!N2092="1111",TH!O2092="1111")),TH!D2092,""),"")</f>
        <v/>
      </c>
      <c r="B2094" s="63">
        <f t="shared" ref="B2094:B2157" si="160">IF(C2094&lt;&gt;"",MONTH(C2094),"")</f>
        <v>11</v>
      </c>
      <c r="C2094" s="78">
        <v>42682</v>
      </c>
      <c r="D2094" s="78" t="s">
        <v>570</v>
      </c>
      <c r="E2094" s="78">
        <v>42682</v>
      </c>
      <c r="F2094" s="80" t="s">
        <v>2193</v>
      </c>
      <c r="G2094" s="934" t="s">
        <v>2197</v>
      </c>
      <c r="H2094" s="80" t="s">
        <v>1484</v>
      </c>
      <c r="I2094" s="406"/>
      <c r="J2094" s="406"/>
      <c r="K2094" s="397"/>
      <c r="L2094" s="406"/>
      <c r="M2094" s="81">
        <v>3891510</v>
      </c>
      <c r="N2094" s="82" t="s">
        <v>9</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x</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customHeight="1">
      <c r="A2095" s="323" t="str">
        <f>IF(B2095&lt;&gt;"",IF(AND(B2095='IN-TC'!$S$4,OR(TH!N2093="1111",TH!O2093="1111")),TH!D2093,""),"")</f>
        <v/>
      </c>
      <c r="B2095" s="63">
        <f t="shared" si="160"/>
        <v>11</v>
      </c>
      <c r="C2095" s="78">
        <v>42692</v>
      </c>
      <c r="D2095" s="78" t="s">
        <v>570</v>
      </c>
      <c r="E2095" s="78">
        <v>42692</v>
      </c>
      <c r="F2095" s="80" t="s">
        <v>1486</v>
      </c>
      <c r="G2095" s="934" t="s">
        <v>1381</v>
      </c>
      <c r="H2095" s="80" t="s">
        <v>1484</v>
      </c>
      <c r="I2095" s="406"/>
      <c r="J2095" s="406"/>
      <c r="K2095" s="397"/>
      <c r="L2095" s="406"/>
      <c r="M2095" s="81">
        <v>22445000</v>
      </c>
      <c r="N2095" s="82" t="s">
        <v>579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1" ht="15.75" customHeight="1">
      <c r="A2096" s="323" t="str">
        <f>IF(B2096&lt;&gt;"",IF(AND(B2096='IN-TC'!$S$4,OR(TH!N2094="1111",TH!O2094="1111")),TH!D2094,""),"")</f>
        <v/>
      </c>
      <c r="B2096" s="63">
        <f t="shared" si="160"/>
        <v>11</v>
      </c>
      <c r="C2096" s="78">
        <v>42692</v>
      </c>
      <c r="D2096" s="78" t="s">
        <v>570</v>
      </c>
      <c r="E2096" s="78">
        <v>42692</v>
      </c>
      <c r="F2096" s="80" t="s">
        <v>2190</v>
      </c>
      <c r="G2096" s="934" t="s">
        <v>2360</v>
      </c>
      <c r="H2096" s="80" t="s">
        <v>1484</v>
      </c>
      <c r="I2096" s="406"/>
      <c r="J2096" s="406"/>
      <c r="K2096" s="397"/>
      <c r="L2096" s="406"/>
      <c r="M2096" s="81">
        <v>19953605</v>
      </c>
      <c r="N2096" s="82" t="s">
        <v>579</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E2096">
        <v>1</v>
      </c>
    </row>
    <row r="2097" spans="1:31" ht="15.75" customHeight="1">
      <c r="A2097" s="323" t="str">
        <f>IF(B2097&lt;&gt;"",IF(AND(B2097='IN-TC'!$S$4,OR(TH!N2095="1111",TH!O2095="1111")),TH!D2095,""),"")</f>
        <v/>
      </c>
      <c r="B2097" s="63">
        <f t="shared" si="160"/>
        <v>11</v>
      </c>
      <c r="C2097" s="78">
        <v>42692</v>
      </c>
      <c r="D2097" s="78" t="s">
        <v>570</v>
      </c>
      <c r="E2097" s="78">
        <v>42692</v>
      </c>
      <c r="F2097" s="80" t="s">
        <v>2191</v>
      </c>
      <c r="G2097" s="934" t="s">
        <v>2360</v>
      </c>
      <c r="H2097" s="80" t="s">
        <v>1484</v>
      </c>
      <c r="I2097" s="406"/>
      <c r="J2097" s="406"/>
      <c r="K2097" s="397"/>
      <c r="L2097" s="406"/>
      <c r="M2097" s="81">
        <v>1995361</v>
      </c>
      <c r="N2097" s="82" t="s">
        <v>9</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x</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customHeight="1">
      <c r="A2098" s="323" t="str">
        <f>IF(B2098&lt;&gt;"",IF(AND(B2098='IN-TC'!$S$4,OR(TH!N2096="1111",TH!O2096="1111")),TH!D2096,""),"")</f>
        <v/>
      </c>
      <c r="B2098" s="63">
        <f t="shared" si="160"/>
        <v>11</v>
      </c>
      <c r="C2098" s="78">
        <v>42698</v>
      </c>
      <c r="D2098" s="78" t="s">
        <v>570</v>
      </c>
      <c r="E2098" s="78">
        <v>42698</v>
      </c>
      <c r="F2098" s="80" t="s">
        <v>1486</v>
      </c>
      <c r="G2098" s="934" t="s">
        <v>2361</v>
      </c>
      <c r="H2098" s="80" t="s">
        <v>1484</v>
      </c>
      <c r="I2098" s="406"/>
      <c r="J2098" s="406"/>
      <c r="K2098" s="397"/>
      <c r="L2098" s="406"/>
      <c r="M2098" s="81">
        <v>22790000</v>
      </c>
      <c r="N2098" s="82" t="s">
        <v>579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1" ht="15.75" customHeight="1">
      <c r="A2099" s="323" t="str">
        <f>IF(B2099&lt;&gt;"",IF(AND(B2099='IN-TC'!$S$4,OR(TH!N981="1111",TH!O981="1111")),TH!D981,""),"")</f>
        <v/>
      </c>
      <c r="B2099" s="63">
        <f t="shared" si="160"/>
        <v>11</v>
      </c>
      <c r="C2099" s="1336">
        <f>E2099</f>
        <v>42685</v>
      </c>
      <c r="D2099" s="64" t="s">
        <v>2649</v>
      </c>
      <c r="E2099" s="64">
        <v>42685</v>
      </c>
      <c r="F2099" s="1180" t="s">
        <v>2495</v>
      </c>
      <c r="G2099" s="91" t="s">
        <v>2311</v>
      </c>
      <c r="H2099" s="72" t="s">
        <v>1198</v>
      </c>
      <c r="I2099" s="1185">
        <v>2000</v>
      </c>
      <c r="J2099" s="1185">
        <v>4500</v>
      </c>
      <c r="K2099" s="401"/>
      <c r="L2099" s="410"/>
      <c r="M2099" s="65">
        <f>ROUND(I2099*J2099,0)</f>
        <v>9000000</v>
      </c>
      <c r="N2099" s="66" t="s">
        <v>276</v>
      </c>
      <c r="O2099" s="66" t="s">
        <v>270</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x</v>
      </c>
      <c r="AC2099" s="82" t="str">
        <f>IF(AND(OR(LEFT(TH!N2099,2)="15",LEFT(TH!O2099,2)="15"),TK!$E$7=TH!F2099),"x","")</f>
        <v/>
      </c>
      <c r="AD2099" s="82" t="str">
        <f>IF(AND(N2099="1521",MONTH(C2099)='BK-NL'!$M$11),"x","")</f>
        <v/>
      </c>
    </row>
    <row r="2100" spans="1:31" ht="15.75" customHeight="1">
      <c r="A2100" s="323" t="str">
        <f>IF(B2100&lt;&gt;"",IF(AND(B2100='IN-TC'!$S$4,OR(TH!N2103="1111",TH!O2103="1111")),TH!D2103,""),"")</f>
        <v/>
      </c>
      <c r="B2100" s="63">
        <f t="shared" si="160"/>
        <v>11</v>
      </c>
      <c r="C2100" s="78">
        <v>42689</v>
      </c>
      <c r="D2100" s="78" t="s">
        <v>570</v>
      </c>
      <c r="E2100" s="78">
        <v>42689</v>
      </c>
      <c r="F2100" s="80" t="s">
        <v>2277</v>
      </c>
      <c r="G2100" s="934" t="s">
        <v>2282</v>
      </c>
      <c r="H2100" s="80" t="s">
        <v>1198</v>
      </c>
      <c r="I2100" s="406">
        <v>26000</v>
      </c>
      <c r="J2100" s="406">
        <v>10000</v>
      </c>
      <c r="K2100" s="397"/>
      <c r="L2100" s="406"/>
      <c r="M2100" s="81">
        <f>ROUND(I2100*J2100,0)</f>
        <v>260000000</v>
      </c>
      <c r="N2100" s="82" t="s">
        <v>276</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customHeight="1">
      <c r="A2101" s="323" t="str">
        <f>IF(B2101&lt;&gt;"",IF(AND(B2101='IN-TC'!$S$4,OR(TH!N2104="1111",TH!O2104="1111")),TH!D2104,""),"")</f>
        <v/>
      </c>
      <c r="B2101" s="63">
        <f t="shared" si="160"/>
        <v>11</v>
      </c>
      <c r="C2101" s="78">
        <v>42689</v>
      </c>
      <c r="D2101" s="78" t="s">
        <v>570</v>
      </c>
      <c r="E2101" s="78">
        <v>42689</v>
      </c>
      <c r="F2101" s="80" t="s">
        <v>2281</v>
      </c>
      <c r="G2101" s="934" t="s">
        <v>2282</v>
      </c>
      <c r="H2101" s="80" t="s">
        <v>1198</v>
      </c>
      <c r="I2101" s="406"/>
      <c r="J2101" s="406"/>
      <c r="K2101" s="397"/>
      <c r="L2101" s="406"/>
      <c r="M2101" s="81">
        <v>26000000</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x</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customHeight="1">
      <c r="A2102" s="323" t="str">
        <f>IF(B2102&lt;&gt;"",IF(AND(B2102='IN-TC'!$S$4,OR(TH!N984="1111",TH!O984="1111")),TH!D984,""),"")</f>
        <v/>
      </c>
      <c r="B2102" s="63">
        <f t="shared" si="160"/>
        <v>11</v>
      </c>
      <c r="C2102" s="1336">
        <f>E2102</f>
        <v>42691</v>
      </c>
      <c r="D2102" s="64" t="s">
        <v>2885</v>
      </c>
      <c r="E2102" s="64">
        <v>42691</v>
      </c>
      <c r="F2102" s="1180" t="s">
        <v>2495</v>
      </c>
      <c r="G2102" s="91" t="s">
        <v>2311</v>
      </c>
      <c r="H2102" s="72" t="s">
        <v>1198</v>
      </c>
      <c r="I2102" s="1185">
        <v>2000</v>
      </c>
      <c r="J2102" s="1185">
        <v>4500</v>
      </c>
      <c r="K2102" s="401"/>
      <c r="L2102" s="410"/>
      <c r="M2102" s="65">
        <f>ROUND(I2102*J2102,0)</f>
        <v>9000000</v>
      </c>
      <c r="N2102" s="66" t="s">
        <v>276</v>
      </c>
      <c r="O2102" s="66" t="s">
        <v>270</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x</v>
      </c>
      <c r="AC2102" s="82" t="str">
        <f>IF(AND(OR(LEFT(TH!N2102,2)="15",LEFT(TH!O2102,2)="15"),TK!$E$7=TH!F2102),"x","")</f>
        <v/>
      </c>
      <c r="AD2102" s="82" t="str">
        <f>IF(AND(N2102="1521",MONTH(C2102)='BK-NL'!$M$11),"x","")</f>
        <v/>
      </c>
    </row>
    <row r="2103" spans="1:31" ht="15.75" customHeight="1">
      <c r="A2103" s="1170"/>
      <c r="B2103" s="1199">
        <f t="shared" si="160"/>
        <v>11</v>
      </c>
      <c r="C2103" s="1087">
        <v>42697</v>
      </c>
      <c r="D2103" s="1087" t="s">
        <v>2847</v>
      </c>
      <c r="E2103" s="90">
        <f>C2103</f>
        <v>42697</v>
      </c>
      <c r="F2103" s="1153" t="s">
        <v>1952</v>
      </c>
      <c r="G2103" s="1155" t="s">
        <v>2311</v>
      </c>
      <c r="H2103" s="1153" t="s">
        <v>1198</v>
      </c>
      <c r="I2103" s="414">
        <v>43814</v>
      </c>
      <c r="J2103" s="1108">
        <v>17500</v>
      </c>
      <c r="K2103" s="1110"/>
      <c r="L2103" s="1109"/>
      <c r="M2103" s="93">
        <f>ROUND(I2103*J2103,0)</f>
        <v>766745000</v>
      </c>
      <c r="N2103" s="83" t="s">
        <v>276</v>
      </c>
      <c r="O2103" s="83" t="s">
        <v>268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1" ht="15.75" customHeight="1">
      <c r="A2104" s="323" t="str">
        <f>IF(B2104&lt;&gt;"",IF(AND(B2104='IN-TC'!$S$4,OR(TH!N4215="1111",TH!O4215="1111")),TH!D4215,""),"")</f>
        <v/>
      </c>
      <c r="B2104" s="63">
        <f t="shared" si="160"/>
        <v>11</v>
      </c>
      <c r="C2104" s="64">
        <v>42697</v>
      </c>
      <c r="D2104" s="64" t="s">
        <v>690</v>
      </c>
      <c r="E2104" s="64">
        <f>C2104</f>
        <v>42697</v>
      </c>
      <c r="F2104" s="72" t="s">
        <v>1532</v>
      </c>
      <c r="G2104" s="67" t="s">
        <v>1544</v>
      </c>
      <c r="H2104" s="72" t="s">
        <v>1198</v>
      </c>
      <c r="I2104" s="408"/>
      <c r="J2104" s="408"/>
      <c r="K2104" s="399"/>
      <c r="L2104" s="408"/>
      <c r="M2104" s="65">
        <v>2250000000</v>
      </c>
      <c r="N2104" s="66" t="s">
        <v>8</v>
      </c>
      <c r="O2104" s="66" t="s">
        <v>25</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x</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row>
    <row r="2105" spans="1:31" ht="15.75" customHeight="1">
      <c r="A2105" s="1160" t="str">
        <f>IF(B2105&lt;&gt;"",IF(AND(B2105='IN-TC'!$S$4,OR(TH!N2105="1111",TH!O2105="1111")),TH!D2105,""),"")</f>
        <v/>
      </c>
      <c r="B2105" s="63">
        <f t="shared" si="160"/>
        <v>11</v>
      </c>
      <c r="C2105" s="78">
        <v>42698</v>
      </c>
      <c r="D2105" s="78" t="s">
        <v>570</v>
      </c>
      <c r="E2105" s="78">
        <v>42698</v>
      </c>
      <c r="F2105" s="80" t="s">
        <v>2277</v>
      </c>
      <c r="G2105" s="934" t="s">
        <v>2518</v>
      </c>
      <c r="H2105" s="80" t="s">
        <v>1198</v>
      </c>
      <c r="I2105" s="406">
        <v>26000</v>
      </c>
      <c r="J2105" s="406">
        <v>10000</v>
      </c>
      <c r="K2105" s="397"/>
      <c r="L2105" s="406"/>
      <c r="M2105" s="81">
        <f>ROUND(I2105*J2105,0)</f>
        <v>260000000</v>
      </c>
      <c r="N2105" s="82" t="s">
        <v>276</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customHeight="1">
      <c r="A2106" s="1160" t="str">
        <f>IF(B2106&lt;&gt;"",IF(AND(B2106='IN-TC'!$S$4,OR(TH!N2106="1111",TH!O2106="1111")),TH!D2106,""),"")</f>
        <v/>
      </c>
      <c r="B2106" s="63">
        <f t="shared" si="160"/>
        <v>11</v>
      </c>
      <c r="C2106" s="78">
        <v>42698</v>
      </c>
      <c r="D2106" s="78" t="s">
        <v>570</v>
      </c>
      <c r="E2106" s="78">
        <v>42698</v>
      </c>
      <c r="F2106" s="80" t="s">
        <v>2281</v>
      </c>
      <c r="G2106" s="934" t="s">
        <v>2518</v>
      </c>
      <c r="H2106" s="80" t="s">
        <v>1198</v>
      </c>
      <c r="I2106" s="406"/>
      <c r="J2106" s="406"/>
      <c r="K2106" s="397"/>
      <c r="L2106" s="406"/>
      <c r="M2106" s="81">
        <v>26000000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x</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customHeight="1">
      <c r="A2107" s="1170"/>
      <c r="B2107" s="1199">
        <f t="shared" si="160"/>
        <v>11</v>
      </c>
      <c r="C2107" s="1087">
        <v>42699</v>
      </c>
      <c r="D2107" s="1087" t="s">
        <v>2848</v>
      </c>
      <c r="E2107" s="90">
        <f>C2107</f>
        <v>42699</v>
      </c>
      <c r="F2107" s="1153" t="s">
        <v>1952</v>
      </c>
      <c r="G2107" s="1155" t="s">
        <v>2311</v>
      </c>
      <c r="H2107" s="1153" t="s">
        <v>1198</v>
      </c>
      <c r="I2107" s="414">
        <v>43530</v>
      </c>
      <c r="J2107" s="1108">
        <v>17500</v>
      </c>
      <c r="K2107" s="1110"/>
      <c r="L2107" s="1109"/>
      <c r="M2107" s="93">
        <f>ROUND(I2107*J2107,0)</f>
        <v>761775000</v>
      </c>
      <c r="N2107" s="83" t="s">
        <v>276</v>
      </c>
      <c r="O2107" s="83" t="s">
        <v>268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row>
    <row r="2108" spans="1:31" ht="15.75" customHeight="1">
      <c r="A2108" s="323" t="str">
        <f>IF(B2108&lt;&gt;"",IF(AND(B2108='IN-TC'!$S$4,OR(TH!N4227="1111",TH!O4227="1111")),TH!D4227,""),"")</f>
        <v/>
      </c>
      <c r="B2108" s="63">
        <f t="shared" si="160"/>
        <v>11</v>
      </c>
      <c r="C2108" s="64">
        <v>42699</v>
      </c>
      <c r="D2108" s="64" t="s">
        <v>690</v>
      </c>
      <c r="E2108" s="64">
        <f>C2108</f>
        <v>42699</v>
      </c>
      <c r="F2108" s="72" t="s">
        <v>1532</v>
      </c>
      <c r="G2108" s="67" t="s">
        <v>1544</v>
      </c>
      <c r="H2108" s="72" t="s">
        <v>1198</v>
      </c>
      <c r="I2108" s="408"/>
      <c r="J2108" s="408"/>
      <c r="K2108" s="399"/>
      <c r="L2108" s="408"/>
      <c r="M2108" s="65">
        <v>1319000000</v>
      </c>
      <c r="N2108" s="66" t="s">
        <v>8</v>
      </c>
      <c r="O2108" s="66" t="s">
        <v>25</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x</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1" ht="15.75" customHeight="1">
      <c r="A2109" s="323" t="str">
        <f>IF(B2109&lt;&gt;"",IF(AND(B2109='IN-TC'!$S$4,OR(TH!N1975="1111",TH!O1975="1111")),TH!D1975,""),"")</f>
        <v/>
      </c>
      <c r="B2109" s="63">
        <f t="shared" si="160"/>
        <v>7</v>
      </c>
      <c r="C2109" s="78">
        <v>42582</v>
      </c>
      <c r="D2109" s="78" t="s">
        <v>570</v>
      </c>
      <c r="E2109" s="78">
        <v>42567</v>
      </c>
      <c r="F2109" s="80" t="s">
        <v>1746</v>
      </c>
      <c r="G2109" s="934" t="s">
        <v>1769</v>
      </c>
      <c r="H2109" s="80" t="s">
        <v>617</v>
      </c>
      <c r="I2109" s="406"/>
      <c r="J2109" s="406"/>
      <c r="K2109" s="397"/>
      <c r="L2109" s="406"/>
      <c r="M2109" s="81">
        <v>2180530</v>
      </c>
      <c r="N2109" s="82" t="s">
        <v>9</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x</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1" ht="15.75" customHeight="1">
      <c r="A2110" s="323" t="str">
        <f>IF(B2110&lt;&gt;"",IF(AND(B2110='IN-TC'!$S$4,OR(TH!N1980="1111",TH!O1980="1111")),TH!D1980,""),"")</f>
        <v/>
      </c>
      <c r="B2110" s="63">
        <f t="shared" si="160"/>
        <v>7</v>
      </c>
      <c r="C2110" s="78">
        <v>42582</v>
      </c>
      <c r="D2110" s="78" t="s">
        <v>570</v>
      </c>
      <c r="E2110" s="78">
        <v>42577</v>
      </c>
      <c r="F2110" s="80" t="s">
        <v>1747</v>
      </c>
      <c r="G2110" s="934" t="s">
        <v>1770</v>
      </c>
      <c r="H2110" s="80" t="s">
        <v>617</v>
      </c>
      <c r="I2110" s="406"/>
      <c r="J2110" s="406"/>
      <c r="K2110" s="397"/>
      <c r="L2110" s="406"/>
      <c r="M2110" s="81">
        <v>15847800</v>
      </c>
      <c r="N2110" s="82" t="s">
        <v>276</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1" ht="15.75" customHeight="1">
      <c r="A2111" s="323" t="str">
        <f>IF(B2111&lt;&gt;"",IF(AND(B2111='IN-TC'!$S$4,OR(TH!N1981="1111",TH!O1981="1111")),TH!D1981,""),"")</f>
        <v/>
      </c>
      <c r="B2111" s="63">
        <f t="shared" si="160"/>
        <v>7</v>
      </c>
      <c r="C2111" s="78">
        <v>42582</v>
      </c>
      <c r="D2111" s="78" t="s">
        <v>570</v>
      </c>
      <c r="E2111" s="78">
        <v>42577</v>
      </c>
      <c r="F2111" s="80" t="s">
        <v>1748</v>
      </c>
      <c r="G2111" s="934" t="s">
        <v>1770</v>
      </c>
      <c r="H2111" s="80" t="s">
        <v>617</v>
      </c>
      <c r="I2111" s="406"/>
      <c r="J2111" s="406"/>
      <c r="K2111" s="397"/>
      <c r="L2111" s="406"/>
      <c r="M2111" s="81">
        <v>1584780</v>
      </c>
      <c r="N2111" s="82" t="s">
        <v>9</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x</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1" ht="15.75" customHeight="1">
      <c r="A2112" s="323" t="str">
        <f>IF(B2112&lt;&gt;"",IF(AND(B2112='IN-TC'!$S$4,OR(TH!N3539="1111",TH!O3539="1111")),TH!D3539,""),"")</f>
        <v/>
      </c>
      <c r="B2112" s="63">
        <f t="shared" si="160"/>
        <v>8</v>
      </c>
      <c r="C2112" s="64">
        <v>42586</v>
      </c>
      <c r="D2112" s="64" t="s">
        <v>690</v>
      </c>
      <c r="E2112" s="64">
        <f>C2112</f>
        <v>42586</v>
      </c>
      <c r="F2112" s="72" t="s">
        <v>1905</v>
      </c>
      <c r="G2112" s="67" t="s">
        <v>902</v>
      </c>
      <c r="H2112" s="329" t="s">
        <v>617</v>
      </c>
      <c r="I2112" s="408"/>
      <c r="J2112" s="408"/>
      <c r="K2112" s="399"/>
      <c r="L2112" s="408"/>
      <c r="M2112" s="65">
        <v>23985830</v>
      </c>
      <c r="N2112" s="66" t="s">
        <v>8</v>
      </c>
      <c r="O2112" s="66" t="s">
        <v>25</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1" ht="15.75" customHeight="1">
      <c r="A2113" s="323" t="str">
        <f>IF(B2113&lt;&gt;"",IF(AND(B2113='IN-TC'!$S$4,OR(TH!N3573="1111",TH!O3573="1111")),TH!D3573,""),"")</f>
        <v/>
      </c>
      <c r="B2113" s="63">
        <f t="shared" si="160"/>
        <v>8</v>
      </c>
      <c r="C2113" s="64">
        <v>42594</v>
      </c>
      <c r="D2113" s="64" t="s">
        <v>690</v>
      </c>
      <c r="E2113" s="64">
        <f>C2113</f>
        <v>42594</v>
      </c>
      <c r="F2113" s="72" t="s">
        <v>1904</v>
      </c>
      <c r="G2113" s="67" t="s">
        <v>902</v>
      </c>
      <c r="H2113" s="329" t="s">
        <v>617</v>
      </c>
      <c r="I2113" s="408"/>
      <c r="J2113" s="408"/>
      <c r="K2113" s="399"/>
      <c r="L2113" s="408"/>
      <c r="M2113" s="65">
        <v>17432580</v>
      </c>
      <c r="N2113" s="66" t="s">
        <v>8</v>
      </c>
      <c r="O2113" s="66" t="s">
        <v>25</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1" ht="15.75" customHeight="1">
      <c r="A2114" s="323" t="str">
        <f>IF(B2114&lt;&gt;"",IF(AND(B2114='IN-TC'!$S$4,OR(TH!N3624="1111",TH!O3624="1111")),TH!D3624,""),"")</f>
        <v/>
      </c>
      <c r="B2114" s="63">
        <f t="shared" si="160"/>
        <v>8</v>
      </c>
      <c r="C2114" s="64">
        <v>42601</v>
      </c>
      <c r="D2114" s="64" t="s">
        <v>690</v>
      </c>
      <c r="E2114" s="64">
        <f>C2114</f>
        <v>42601</v>
      </c>
      <c r="F2114" s="72" t="s">
        <v>1906</v>
      </c>
      <c r="G2114" s="67" t="s">
        <v>902</v>
      </c>
      <c r="H2114" s="329" t="s">
        <v>617</v>
      </c>
      <c r="I2114" s="408"/>
      <c r="J2114" s="408"/>
      <c r="K2114" s="399"/>
      <c r="L2114" s="408"/>
      <c r="M2114" s="65">
        <v>32480910</v>
      </c>
      <c r="N2114" s="66" t="s">
        <v>8</v>
      </c>
      <c r="O2114" s="66" t="s">
        <v>25</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1" ht="15.75" customHeight="1">
      <c r="A2115" s="323" t="str">
        <f>IF(B2115&lt;&gt;"",IF(AND(B2115='IN-TC'!$S$4,OR(TH!N2115="1111",TH!O2115="1111")),TH!D2115,""),"")</f>
        <v/>
      </c>
      <c r="B2115" s="63">
        <f t="shared" si="160"/>
        <v>11</v>
      </c>
      <c r="C2115" s="78">
        <v>42704</v>
      </c>
      <c r="D2115" s="78" t="s">
        <v>570</v>
      </c>
      <c r="E2115" s="78">
        <v>42704</v>
      </c>
      <c r="F2115" s="80" t="s">
        <v>1486</v>
      </c>
      <c r="G2115" s="934" t="s">
        <v>2325</v>
      </c>
      <c r="H2115" s="80" t="s">
        <v>1119</v>
      </c>
      <c r="I2115" s="406"/>
      <c r="J2115" s="406"/>
      <c r="K2115" s="397"/>
      <c r="L2115" s="406"/>
      <c r="M2115" s="81">
        <v>45560000</v>
      </c>
      <c r="N2115" s="82" t="s">
        <v>579</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1" ht="15.75" customHeight="1">
      <c r="A2116" s="323" t="str">
        <f>IF(B2116&lt;&gt;"",IF(AND(B2116='IN-TC'!$S$4,OR(TH!N2116="1111",TH!O2116="1111")),TH!D2116,""),"")</f>
        <v/>
      </c>
      <c r="B2116" s="63">
        <f t="shared" si="160"/>
        <v>11</v>
      </c>
      <c r="C2116" s="78">
        <v>42704</v>
      </c>
      <c r="D2116" s="78" t="s">
        <v>570</v>
      </c>
      <c r="E2116" s="78">
        <v>42704</v>
      </c>
      <c r="F2116" s="80" t="s">
        <v>2385</v>
      </c>
      <c r="G2116" s="934" t="s">
        <v>2324</v>
      </c>
      <c r="H2116" s="80" t="s">
        <v>1119</v>
      </c>
      <c r="I2116" s="406"/>
      <c r="J2116" s="406"/>
      <c r="K2116" s="397"/>
      <c r="L2116" s="406"/>
      <c r="M2116" s="81">
        <v>20661460</v>
      </c>
      <c r="N2116" s="82" t="s">
        <v>579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customHeight="1">
      <c r="A2117" s="323" t="str">
        <f>IF(B2117&lt;&gt;"",IF(AND(B2117='IN-TC'!$S$4,OR(TH!N2117="1111",TH!O2117="1111")),TH!D2117,""),"")</f>
        <v/>
      </c>
      <c r="B2117" s="63">
        <f t="shared" si="160"/>
        <v>11</v>
      </c>
      <c r="C2117" s="78">
        <v>42704</v>
      </c>
      <c r="D2117" s="78" t="s">
        <v>570</v>
      </c>
      <c r="E2117" s="78">
        <v>42704</v>
      </c>
      <c r="F2117" s="80" t="s">
        <v>2386</v>
      </c>
      <c r="G2117" s="934" t="s">
        <v>2324</v>
      </c>
      <c r="H2117" s="80" t="s">
        <v>1119</v>
      </c>
      <c r="I2117" s="406"/>
      <c r="J2117" s="406"/>
      <c r="K2117" s="397"/>
      <c r="L2117" s="406"/>
      <c r="M2117" s="81">
        <v>2066146</v>
      </c>
      <c r="N2117" s="82" t="s">
        <v>9</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x</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customHeight="1">
      <c r="A2118" s="323" t="str">
        <f>IF(B2118&lt;&gt;"",IF(AND(B2118='IN-TC'!$S$4,OR(TH!N1946="1111",TH!O1946="1111")),TH!D1946,""),"")</f>
        <v/>
      </c>
      <c r="B2118" s="63">
        <f t="shared" si="160"/>
        <v>6</v>
      </c>
      <c r="C2118" s="78">
        <v>42551</v>
      </c>
      <c r="D2118" s="78" t="s">
        <v>570</v>
      </c>
      <c r="E2118" s="78">
        <v>42537</v>
      </c>
      <c r="F2118" s="80" t="s">
        <v>1156</v>
      </c>
      <c r="G2118" s="934" t="s">
        <v>1605</v>
      </c>
      <c r="H2118" s="80" t="s">
        <v>614</v>
      </c>
      <c r="I2118" s="406"/>
      <c r="J2118" s="406"/>
      <c r="K2118" s="397"/>
      <c r="L2118" s="406"/>
      <c r="M2118" s="81">
        <v>5500000</v>
      </c>
      <c r="N2118" s="82" t="s">
        <v>579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1" ht="15.75" customHeight="1">
      <c r="A2119" s="323" t="str">
        <f>IF(B2119&lt;&gt;"",IF(AND(B2119='IN-TC'!$S$4,OR(TH!N1947="1111",TH!O1947="1111")),TH!D1947,""),"")</f>
        <v/>
      </c>
      <c r="B2119" s="63">
        <f t="shared" si="160"/>
        <v>6</v>
      </c>
      <c r="C2119" s="78">
        <v>42551</v>
      </c>
      <c r="D2119" s="78" t="s">
        <v>570</v>
      </c>
      <c r="E2119" s="78">
        <v>42544</v>
      </c>
      <c r="F2119" s="80" t="s">
        <v>623</v>
      </c>
      <c r="G2119" s="934" t="s">
        <v>1606</v>
      </c>
      <c r="H2119" s="80" t="s">
        <v>614</v>
      </c>
      <c r="I2119" s="406"/>
      <c r="J2119" s="406"/>
      <c r="K2119" s="397"/>
      <c r="L2119" s="406"/>
      <c r="M2119" s="81">
        <v>990000</v>
      </c>
      <c r="N2119" s="82" t="s">
        <v>579</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1" ht="15.75" customHeight="1">
      <c r="A2120" s="323" t="str">
        <f>IF(B2120&lt;&gt;"",IF(AND(B2120='IN-TC'!$S$4,OR(TH!N2120="1111",TH!O2120="1111")),TH!D2120,""),"")</f>
        <v/>
      </c>
      <c r="B2120" s="63">
        <f t="shared" si="160"/>
        <v>11</v>
      </c>
      <c r="C2120" s="78">
        <v>42685</v>
      </c>
      <c r="D2120" s="78" t="s">
        <v>570</v>
      </c>
      <c r="E2120" s="78">
        <v>42685</v>
      </c>
      <c r="F2120" s="80" t="s">
        <v>1486</v>
      </c>
      <c r="G2120" s="934" t="s">
        <v>2471</v>
      </c>
      <c r="H2120" s="80" t="s">
        <v>2470</v>
      </c>
      <c r="I2120" s="406"/>
      <c r="J2120" s="406"/>
      <c r="K2120" s="397"/>
      <c r="L2120" s="406"/>
      <c r="M2120" s="81">
        <v>22593700</v>
      </c>
      <c r="N2120" s="82" t="s">
        <v>579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1" ht="15.75" customHeight="1">
      <c r="A2121" s="323" t="str">
        <f>IF(B2121&lt;&gt;"",IF(AND(B2121='IN-TC'!$S$4,OR(TH!N2121="1111",TH!O2121="1111")),TH!D2121,""),"")</f>
        <v/>
      </c>
      <c r="B2121" s="63">
        <f t="shared" si="160"/>
        <v>11</v>
      </c>
      <c r="C2121" s="78">
        <v>42685</v>
      </c>
      <c r="D2121" s="78" t="s">
        <v>570</v>
      </c>
      <c r="E2121" s="78">
        <v>42685</v>
      </c>
      <c r="F2121" s="80" t="s">
        <v>1062</v>
      </c>
      <c r="G2121" s="934" t="s">
        <v>2469</v>
      </c>
      <c r="H2121" s="80" t="s">
        <v>2470</v>
      </c>
      <c r="I2121" s="406"/>
      <c r="J2121" s="406"/>
      <c r="K2121" s="397"/>
      <c r="L2121" s="406"/>
      <c r="M2121" s="81">
        <v>11095520</v>
      </c>
      <c r="N2121" s="82" t="s">
        <v>579</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c r="AE2121">
        <v>1</v>
      </c>
    </row>
    <row r="2122" spans="1:31" ht="15.75" customHeight="1">
      <c r="A2122" s="323" t="str">
        <f>IF(B2122&lt;&gt;"",IF(AND(B2122='IN-TC'!$S$4,OR(TH!N2122="1111",TH!O2122="1111")),TH!D2122,""),"")</f>
        <v/>
      </c>
      <c r="B2122" s="63">
        <f t="shared" si="160"/>
        <v>11</v>
      </c>
      <c r="C2122" s="78">
        <v>42685</v>
      </c>
      <c r="D2122" s="78" t="s">
        <v>570</v>
      </c>
      <c r="E2122" s="78">
        <v>42685</v>
      </c>
      <c r="F2122" s="80" t="s">
        <v>1063</v>
      </c>
      <c r="G2122" s="934" t="s">
        <v>2469</v>
      </c>
      <c r="H2122" s="80" t="s">
        <v>2470</v>
      </c>
      <c r="I2122" s="406"/>
      <c r="J2122" s="406"/>
      <c r="K2122" s="397"/>
      <c r="L2122" s="406"/>
      <c r="M2122" s="81">
        <v>1109552</v>
      </c>
      <c r="N2122" s="82" t="s">
        <v>9</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x</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customHeight="1">
      <c r="A2123" s="323" t="str">
        <f>IF(B2123&lt;&gt;"",IF(AND(B2123='IN-TC'!$S$4,OR(TH!N2123="1111",TH!O2123="1111")),TH!D2123,""),"")</f>
        <v/>
      </c>
      <c r="B2123" s="63">
        <f t="shared" si="160"/>
        <v>11</v>
      </c>
      <c r="C2123" s="78">
        <v>42688</v>
      </c>
      <c r="D2123" s="78" t="s">
        <v>570</v>
      </c>
      <c r="E2123" s="78">
        <v>42688</v>
      </c>
      <c r="F2123" s="80" t="s">
        <v>1486</v>
      </c>
      <c r="G2123" s="934" t="s">
        <v>2473</v>
      </c>
      <c r="H2123" s="80" t="s">
        <v>2470</v>
      </c>
      <c r="I2123" s="406"/>
      <c r="J2123" s="406"/>
      <c r="K2123" s="397"/>
      <c r="L2123" s="406"/>
      <c r="M2123" s="81">
        <v>22583600</v>
      </c>
      <c r="N2123" s="82" t="s">
        <v>579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1" ht="15.75" customHeight="1">
      <c r="A2124" s="323" t="str">
        <f>IF(B2124&lt;&gt;"",IF(AND(B2124='IN-TC'!$S$4,OR(TH!N2124="1111",TH!O2124="1111")),TH!D2124,""),"")</f>
        <v/>
      </c>
      <c r="B2124" s="63">
        <f t="shared" si="160"/>
        <v>11</v>
      </c>
      <c r="C2124" s="78">
        <v>42688</v>
      </c>
      <c r="D2124" s="78" t="s">
        <v>570</v>
      </c>
      <c r="E2124" s="78">
        <v>42688</v>
      </c>
      <c r="F2124" s="80" t="s">
        <v>1062</v>
      </c>
      <c r="G2124" s="934" t="s">
        <v>2472</v>
      </c>
      <c r="H2124" s="80" t="s">
        <v>2470</v>
      </c>
      <c r="I2124" s="406"/>
      <c r="J2124" s="406"/>
      <c r="K2124" s="397"/>
      <c r="L2124" s="406"/>
      <c r="M2124" s="81">
        <v>11090560</v>
      </c>
      <c r="N2124" s="82" t="s">
        <v>579</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E2124">
        <v>1</v>
      </c>
    </row>
    <row r="2125" spans="1:31" ht="15.75" customHeight="1">
      <c r="A2125" s="323" t="str">
        <f>IF(B2125&lt;&gt;"",IF(AND(B2125='IN-TC'!$S$4,OR(TH!N2125="1111",TH!O2125="1111")),TH!D2125,""),"")</f>
        <v/>
      </c>
      <c r="B2125" s="63">
        <f t="shared" si="160"/>
        <v>11</v>
      </c>
      <c r="C2125" s="78">
        <v>42688</v>
      </c>
      <c r="D2125" s="78" t="s">
        <v>570</v>
      </c>
      <c r="E2125" s="78">
        <v>42688</v>
      </c>
      <c r="F2125" s="80" t="s">
        <v>1063</v>
      </c>
      <c r="G2125" s="934" t="s">
        <v>2472</v>
      </c>
      <c r="H2125" s="80" t="s">
        <v>2470</v>
      </c>
      <c r="I2125" s="406"/>
      <c r="J2125" s="406"/>
      <c r="K2125" s="397"/>
      <c r="L2125" s="406"/>
      <c r="M2125" s="81">
        <v>1109056</v>
      </c>
      <c r="N2125" s="82" t="s">
        <v>9</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x</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c r="AE2125">
        <v>1</v>
      </c>
    </row>
    <row r="2126" spans="1:31" ht="15.75" customHeight="1">
      <c r="A2126" s="323" t="str">
        <f>IF(B2126&lt;&gt;"",IF(AND(B2126='IN-TC'!$S$4,OR(TH!N2126="1111",TH!O2126="1111")),TH!D2126,""),"")</f>
        <v/>
      </c>
      <c r="B2126" s="63">
        <f t="shared" si="160"/>
        <v>11</v>
      </c>
      <c r="C2126" s="78">
        <v>42702</v>
      </c>
      <c r="D2126" s="78" t="s">
        <v>570</v>
      </c>
      <c r="E2126" s="78">
        <v>42702</v>
      </c>
      <c r="F2126" s="80" t="s">
        <v>1486</v>
      </c>
      <c r="G2126" s="934" t="s">
        <v>2475</v>
      </c>
      <c r="H2126" s="80" t="s">
        <v>2470</v>
      </c>
      <c r="I2126" s="406"/>
      <c r="J2126" s="406"/>
      <c r="K2126" s="397"/>
      <c r="L2126" s="406"/>
      <c r="M2126" s="81">
        <v>46015600</v>
      </c>
      <c r="N2126" s="82" t="s">
        <v>579</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customHeight="1">
      <c r="A2127" s="323" t="str">
        <f>IF(B2127&lt;&gt;"",IF(AND(B2127='IN-TC'!$S$4,OR(TH!N2127="1111",TH!O2127="1111")),TH!D2127,""),"")</f>
        <v/>
      </c>
      <c r="B2127" s="63">
        <f t="shared" si="160"/>
        <v>11</v>
      </c>
      <c r="C2127" s="78">
        <v>42702</v>
      </c>
      <c r="D2127" s="78" t="s">
        <v>570</v>
      </c>
      <c r="E2127" s="78">
        <v>42702</v>
      </c>
      <c r="F2127" s="80" t="s">
        <v>1062</v>
      </c>
      <c r="G2127" s="934" t="s">
        <v>2474</v>
      </c>
      <c r="H2127" s="80" t="s">
        <v>2470</v>
      </c>
      <c r="I2127" s="406"/>
      <c r="J2127" s="406"/>
      <c r="K2127" s="397"/>
      <c r="L2127" s="406"/>
      <c r="M2127" s="81">
        <v>21458760</v>
      </c>
      <c r="N2127" s="82" t="s">
        <v>579</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customHeight="1">
      <c r="A2128" s="323" t="str">
        <f>IF(B2128&lt;&gt;"",IF(AND(B2128='IN-TC'!$S$4,OR(TH!N2128="1111",TH!O2128="1111")),TH!D2128,""),"")</f>
        <v/>
      </c>
      <c r="B2128" s="63">
        <f t="shared" si="160"/>
        <v>11</v>
      </c>
      <c r="C2128" s="78">
        <v>42702</v>
      </c>
      <c r="D2128" s="78" t="s">
        <v>570</v>
      </c>
      <c r="E2128" s="78">
        <v>42702</v>
      </c>
      <c r="F2128" s="80" t="s">
        <v>1063</v>
      </c>
      <c r="G2128" s="934" t="s">
        <v>2474</v>
      </c>
      <c r="H2128" s="80" t="s">
        <v>2470</v>
      </c>
      <c r="I2128" s="406"/>
      <c r="J2128" s="406"/>
      <c r="K2128" s="397"/>
      <c r="L2128" s="406"/>
      <c r="M2128" s="81">
        <v>2145876</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x</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customHeight="1">
      <c r="A2129" s="323" t="str">
        <f>IF(B2129&lt;&gt;"",IF(AND(B2129='IN-TC'!$S$4,OR(TH!N1956="1111",TH!O1956="1111")),TH!D1956,""),"")</f>
        <v/>
      </c>
      <c r="B2129" s="63">
        <f t="shared" si="160"/>
        <v>6</v>
      </c>
      <c r="C2129" s="78">
        <v>42551</v>
      </c>
      <c r="D2129" s="78" t="s">
        <v>570</v>
      </c>
      <c r="E2129" s="78">
        <v>42549</v>
      </c>
      <c r="F2129" s="80" t="s">
        <v>1675</v>
      </c>
      <c r="G2129" s="934" t="s">
        <v>1676</v>
      </c>
      <c r="H2129" s="80" t="s">
        <v>614</v>
      </c>
      <c r="I2129" s="406"/>
      <c r="J2129" s="406"/>
      <c r="K2129" s="397"/>
      <c r="L2129" s="406"/>
      <c r="M2129" s="81">
        <v>9785000</v>
      </c>
      <c r="N2129" s="82" t="s">
        <v>579</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customHeight="1">
      <c r="A2130" s="323" t="str">
        <f>IF(B2130&lt;&gt;"",IF(AND(B2130='IN-TC'!$S$4,OR(TH!N1985="1111",TH!O1985="1111")),TH!D1985,""),"")</f>
        <v/>
      </c>
      <c r="B2130" s="63">
        <f t="shared" si="160"/>
        <v>7</v>
      </c>
      <c r="C2130" s="78">
        <v>42582</v>
      </c>
      <c r="D2130" s="78" t="s">
        <v>570</v>
      </c>
      <c r="E2130" s="78">
        <v>42582</v>
      </c>
      <c r="F2130" s="80" t="s">
        <v>1363</v>
      </c>
      <c r="G2130" s="934" t="s">
        <v>1734</v>
      </c>
      <c r="H2130" s="80" t="s">
        <v>1365</v>
      </c>
      <c r="I2130" s="406"/>
      <c r="J2130" s="406"/>
      <c r="K2130" s="397"/>
      <c r="L2130" s="406"/>
      <c r="M2130" s="81">
        <f>728625+437375+636050</f>
        <v>1802050</v>
      </c>
      <c r="N2130" s="82" t="s">
        <v>9</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x</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1" ht="15.75" customHeight="1">
      <c r="A2131" s="323" t="str">
        <f>IF(B2131&lt;&gt;"",IF(AND(B2131='IN-TC'!$S$4,OR(TH!N3627="1111",TH!O3627="1111")),TH!D3627,""),"")</f>
        <v/>
      </c>
      <c r="B2131" s="63">
        <f t="shared" si="160"/>
        <v>8</v>
      </c>
      <c r="C2131" s="64">
        <v>42601</v>
      </c>
      <c r="D2131" s="64" t="s">
        <v>690</v>
      </c>
      <c r="E2131" s="64">
        <f>C2131</f>
        <v>42601</v>
      </c>
      <c r="F2131" s="72" t="s">
        <v>1907</v>
      </c>
      <c r="G2131" s="67" t="s">
        <v>902</v>
      </c>
      <c r="H2131" s="72" t="s">
        <v>1365</v>
      </c>
      <c r="I2131" s="408"/>
      <c r="J2131" s="408"/>
      <c r="K2131" s="399"/>
      <c r="L2131" s="408"/>
      <c r="M2131" s="65">
        <v>17842328</v>
      </c>
      <c r="N2131" s="66" t="s">
        <v>8</v>
      </c>
      <c r="O2131" s="66" t="s">
        <v>25</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1" ht="15.75" customHeight="1">
      <c r="A2132" s="323" t="str">
        <f>IF(B2132&lt;&gt;"",IF(AND(B2132='IN-TC'!$S$4,OR(TH!N4005="1111",TH!O4005="1111")),TH!D4005,""),"")</f>
        <v>C47</v>
      </c>
      <c r="B2132" s="63">
        <f t="shared" si="160"/>
        <v>10</v>
      </c>
      <c r="C2132" s="64">
        <v>42662</v>
      </c>
      <c r="D2132" s="64" t="s">
        <v>690</v>
      </c>
      <c r="E2132" s="64">
        <f>C2132</f>
        <v>42662</v>
      </c>
      <c r="F2132" s="72" t="s">
        <v>2157</v>
      </c>
      <c r="G2132" s="67" t="s">
        <v>1544</v>
      </c>
      <c r="H2132" s="329" t="s">
        <v>1365</v>
      </c>
      <c r="I2132" s="408"/>
      <c r="J2132" s="408"/>
      <c r="K2132" s="399"/>
      <c r="L2132" s="408"/>
      <c r="M2132" s="65">
        <v>16302356</v>
      </c>
      <c r="N2132" s="66" t="s">
        <v>8</v>
      </c>
      <c r="O2132" s="66" t="s">
        <v>25</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x</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customHeight="1">
      <c r="A2133" s="323" t="str">
        <f>IF(B2133&lt;&gt;"",IF(AND(B2133='IN-TC'!$S$4,OR(TH!N2071="1111",TH!O2071="1111")),TH!D2071,""),"")</f>
        <v/>
      </c>
      <c r="B2133" s="63">
        <f t="shared" si="160"/>
        <v>10</v>
      </c>
      <c r="C2133" s="78">
        <v>42674</v>
      </c>
      <c r="D2133" s="78" t="s">
        <v>570</v>
      </c>
      <c r="E2133" s="78">
        <v>42613</v>
      </c>
      <c r="F2133" s="80" t="s">
        <v>2130</v>
      </c>
      <c r="G2133" s="934" t="s">
        <v>2132</v>
      </c>
      <c r="H2133" s="80" t="s">
        <v>1365</v>
      </c>
      <c r="I2133" s="406"/>
      <c r="J2133" s="406"/>
      <c r="K2133" s="397"/>
      <c r="L2133" s="406"/>
      <c r="M2133" s="81">
        <v>7535874</v>
      </c>
      <c r="N2133" s="82" t="s">
        <v>99</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1" ht="15.75" customHeight="1">
      <c r="A2134" s="323" t="str">
        <f>IF(B2134&lt;&gt;"",IF(AND(B2134='IN-TC'!$S$4,OR(TH!N2086="1111",TH!O2086="1111")),TH!D2086,""),"")</f>
        <v/>
      </c>
      <c r="B2134" s="63">
        <f t="shared" si="160"/>
        <v>11</v>
      </c>
      <c r="C2134" s="78">
        <v>42688</v>
      </c>
      <c r="D2134" s="78" t="s">
        <v>570</v>
      </c>
      <c r="E2134" s="78">
        <v>42688</v>
      </c>
      <c r="F2134" s="80" t="s">
        <v>2184</v>
      </c>
      <c r="G2134" s="934" t="s">
        <v>2185</v>
      </c>
      <c r="H2134" s="80" t="s">
        <v>1845</v>
      </c>
      <c r="I2134" s="406"/>
      <c r="J2134" s="406"/>
      <c r="K2134" s="397"/>
      <c r="L2134" s="406"/>
      <c r="M2134" s="81">
        <v>378637</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x</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customHeight="1">
      <c r="A2135" s="323" t="str">
        <f>IF(B2135&lt;&gt;"",IF(AND(B2135='IN-TC'!$S$4,OR(TH!N2134="1111",TH!O2134="1111")),TH!D2134,""),"")</f>
        <v/>
      </c>
      <c r="B2135" s="63">
        <f t="shared" si="160"/>
        <v>12</v>
      </c>
      <c r="C2135" s="78">
        <v>42706</v>
      </c>
      <c r="D2135" s="78" t="s">
        <v>570</v>
      </c>
      <c r="E2135" s="78">
        <v>42706</v>
      </c>
      <c r="F2135" s="80" t="s">
        <v>1486</v>
      </c>
      <c r="G2135" s="934" t="s">
        <v>2381</v>
      </c>
      <c r="H2135" s="80" t="s">
        <v>1845</v>
      </c>
      <c r="I2135" s="406"/>
      <c r="J2135" s="406"/>
      <c r="K2135" s="397"/>
      <c r="L2135" s="406"/>
      <c r="M2135" s="81">
        <v>7723100</v>
      </c>
      <c r="N2135" s="82" t="s">
        <v>579</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customHeight="1">
      <c r="A2136" s="323" t="str">
        <f>IF(B2136&lt;&gt;"",IF(AND(B2136='IN-TC'!$S$4,OR(TH!N2135="1111",TH!O2135="1111")),TH!D2135,""),"")</f>
        <v/>
      </c>
      <c r="B2136" s="63">
        <f t="shared" si="160"/>
        <v>12</v>
      </c>
      <c r="C2136" s="78">
        <v>42706</v>
      </c>
      <c r="D2136" s="78" t="s">
        <v>570</v>
      </c>
      <c r="E2136" s="78">
        <v>42706</v>
      </c>
      <c r="F2136" s="80" t="s">
        <v>2383</v>
      </c>
      <c r="G2136" s="934" t="s">
        <v>2382</v>
      </c>
      <c r="H2136" s="80" t="s">
        <v>1845</v>
      </c>
      <c r="I2136" s="406"/>
      <c r="J2136" s="406"/>
      <c r="K2136" s="397"/>
      <c r="L2136" s="406"/>
      <c r="M2136" s="81">
        <v>3834670</v>
      </c>
      <c r="N2136" s="82" t="s">
        <v>579</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customHeight="1">
      <c r="A2137" s="323" t="str">
        <f>IF(B2137&lt;&gt;"",IF(AND(B2137='IN-TC'!$S$4,OR(TH!N987="1111",TH!O987="1111")),TH!D987,""),"")</f>
        <v/>
      </c>
      <c r="B2137" s="63">
        <f t="shared" si="160"/>
        <v>11</v>
      </c>
      <c r="C2137" s="1336">
        <f>E2137</f>
        <v>42700</v>
      </c>
      <c r="D2137" s="64" t="s">
        <v>2653</v>
      </c>
      <c r="E2137" s="64">
        <v>42700</v>
      </c>
      <c r="F2137" s="1180" t="s">
        <v>2495</v>
      </c>
      <c r="G2137" s="91" t="s">
        <v>2311</v>
      </c>
      <c r="H2137" s="72" t="s">
        <v>1198</v>
      </c>
      <c r="I2137" s="1185">
        <v>4000</v>
      </c>
      <c r="J2137" s="1185">
        <v>4500</v>
      </c>
      <c r="K2137" s="401"/>
      <c r="L2137" s="410"/>
      <c r="M2137" s="65">
        <f>ROUND(I2137*J2137,0)</f>
        <v>18000000</v>
      </c>
      <c r="N2137" s="66" t="s">
        <v>276</v>
      </c>
      <c r="O2137" s="66" t="s">
        <v>270</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x</v>
      </c>
      <c r="AC2137" s="82" t="str">
        <f>IF(AND(OR(LEFT(TH!N2137,2)="15",LEFT(TH!O2137,2)="15"),TK!$E$7=TH!F2137),"x","")</f>
        <v/>
      </c>
      <c r="AD2137" s="82" t="str">
        <f>IF(AND(N2137="1521",MONTH(C2137)='BK-NL'!$M$11),"x","")</f>
        <v/>
      </c>
    </row>
    <row r="2138" spans="1:31" ht="15.75" customHeight="1">
      <c r="A2138" s="1170"/>
      <c r="B2138" s="1199">
        <f t="shared" si="160"/>
        <v>11</v>
      </c>
      <c r="C2138" s="1087">
        <v>42700</v>
      </c>
      <c r="D2138" s="1087" t="s">
        <v>2852</v>
      </c>
      <c r="E2138" s="90">
        <f>C2138</f>
        <v>42700</v>
      </c>
      <c r="F2138" s="1153" t="s">
        <v>1952</v>
      </c>
      <c r="G2138" s="1155" t="s">
        <v>2311</v>
      </c>
      <c r="H2138" s="1153" t="s">
        <v>1198</v>
      </c>
      <c r="I2138" s="414">
        <v>43444</v>
      </c>
      <c r="J2138" s="1108">
        <v>17500</v>
      </c>
      <c r="K2138" s="1110"/>
      <c r="L2138" s="1109"/>
      <c r="M2138" s="93">
        <f>ROUND(I2138*J2138,0)</f>
        <v>760270000</v>
      </c>
      <c r="N2138" s="83" t="s">
        <v>276</v>
      </c>
      <c r="O2138" s="83" t="s">
        <v>268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1" ht="15.75" customHeight="1">
      <c r="A2139" s="1170"/>
      <c r="B2139" s="1199">
        <f t="shared" si="160"/>
        <v>11</v>
      </c>
      <c r="C2139" s="1087">
        <v>42702</v>
      </c>
      <c r="D2139" s="1087" t="s">
        <v>2853</v>
      </c>
      <c r="E2139" s="90">
        <f>C2139</f>
        <v>42702</v>
      </c>
      <c r="F2139" s="1153" t="s">
        <v>1952</v>
      </c>
      <c r="G2139" s="1155" t="s">
        <v>2311</v>
      </c>
      <c r="H2139" s="1153" t="s">
        <v>1198</v>
      </c>
      <c r="I2139" s="414">
        <v>43560</v>
      </c>
      <c r="J2139" s="1108">
        <v>17500</v>
      </c>
      <c r="K2139" s="1110"/>
      <c r="L2139" s="1109"/>
      <c r="M2139" s="93">
        <f>ROUND(I2139*J2139,0)</f>
        <v>762300000</v>
      </c>
      <c r="N2139" s="83" t="s">
        <v>276</v>
      </c>
      <c r="O2139" s="83" t="s">
        <v>268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1" ht="15.75" customHeight="1">
      <c r="A2140" s="1160" t="str">
        <f>IF(B2140&lt;&gt;"",IF(AND(B2140='IN-TC'!$S$4,OR(TH!N2107="1111",TH!O2107="1111")),TH!D2107,""),"")</f>
        <v/>
      </c>
      <c r="B2140" s="63">
        <f t="shared" si="160"/>
        <v>11</v>
      </c>
      <c r="C2140" s="78">
        <v>42702</v>
      </c>
      <c r="D2140" s="78" t="s">
        <v>570</v>
      </c>
      <c r="E2140" s="78">
        <v>42702</v>
      </c>
      <c r="F2140" s="80" t="s">
        <v>2277</v>
      </c>
      <c r="G2140" s="934" t="s">
        <v>2519</v>
      </c>
      <c r="H2140" s="80" t="s">
        <v>1198</v>
      </c>
      <c r="I2140" s="406">
        <v>52000</v>
      </c>
      <c r="J2140" s="406">
        <v>10000</v>
      </c>
      <c r="K2140" s="397"/>
      <c r="L2140" s="406"/>
      <c r="M2140" s="81">
        <f>ROUND(I2140*J2140,0)</f>
        <v>520000000</v>
      </c>
      <c r="N2140" s="82" t="s">
        <v>276</v>
      </c>
      <c r="O2140" s="82" t="s">
        <v>8</v>
      </c>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c r="AE2140">
        <v>1</v>
      </c>
    </row>
    <row r="2141" spans="1:31" ht="15.75" customHeight="1">
      <c r="A2141" s="1160" t="str">
        <f>IF(B2141&lt;&gt;"",IF(AND(B2141='IN-TC'!$S$4,OR(TH!N2108="1111",TH!O2108="1111")),TH!D2108,""),"")</f>
        <v/>
      </c>
      <c r="B2141" s="63">
        <f t="shared" si="160"/>
        <v>11</v>
      </c>
      <c r="C2141" s="78">
        <v>42702</v>
      </c>
      <c r="D2141" s="78" t="s">
        <v>570</v>
      </c>
      <c r="E2141" s="78">
        <v>42702</v>
      </c>
      <c r="F2141" s="80" t="s">
        <v>2281</v>
      </c>
      <c r="G2141" s="934" t="s">
        <v>2519</v>
      </c>
      <c r="H2141" s="80" t="s">
        <v>1198</v>
      </c>
      <c r="I2141" s="406"/>
      <c r="J2141" s="406"/>
      <c r="K2141" s="397"/>
      <c r="L2141" s="406"/>
      <c r="M2141" s="81">
        <v>52000000</v>
      </c>
      <c r="N2141" s="82" t="s">
        <v>9</v>
      </c>
      <c r="O2141" s="82" t="s">
        <v>8</v>
      </c>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x</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customHeight="1">
      <c r="A2142" s="1170"/>
      <c r="B2142" s="1199">
        <f t="shared" si="160"/>
        <v>11</v>
      </c>
      <c r="C2142" s="1087">
        <v>42703</v>
      </c>
      <c r="D2142" s="1087" t="s">
        <v>2855</v>
      </c>
      <c r="E2142" s="90">
        <f>C2142</f>
        <v>42703</v>
      </c>
      <c r="F2142" s="1153" t="s">
        <v>1952</v>
      </c>
      <c r="G2142" s="1155" t="s">
        <v>2311</v>
      </c>
      <c r="H2142" s="1153" t="s">
        <v>1198</v>
      </c>
      <c r="I2142" s="414">
        <v>43930</v>
      </c>
      <c r="J2142" s="1108">
        <v>17500</v>
      </c>
      <c r="K2142" s="1110"/>
      <c r="L2142" s="1109"/>
      <c r="M2142" s="93">
        <f>ROUND(I2142*J2142,0)</f>
        <v>768775000</v>
      </c>
      <c r="N2142" s="83" t="s">
        <v>276</v>
      </c>
      <c r="O2142" s="83" t="s">
        <v>268</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1" ht="15.75" customHeight="1">
      <c r="A2143" s="323" t="str">
        <f>IF(B2143&lt;&gt;"",IF(AND(B2143='IN-TC'!$S$4,OR(TH!N4242="1111",TH!O4242="1111")),TH!D4242,""),"")</f>
        <v/>
      </c>
      <c r="B2143" s="63">
        <f t="shared" si="160"/>
        <v>11</v>
      </c>
      <c r="C2143" s="64">
        <v>42703</v>
      </c>
      <c r="D2143" s="64" t="s">
        <v>690</v>
      </c>
      <c r="E2143" s="64">
        <f>C2143</f>
        <v>42703</v>
      </c>
      <c r="F2143" s="72" t="s">
        <v>1532</v>
      </c>
      <c r="G2143" s="67" t="s">
        <v>1544</v>
      </c>
      <c r="H2143" s="72" t="s">
        <v>1198</v>
      </c>
      <c r="I2143" s="408"/>
      <c r="J2143" s="408"/>
      <c r="K2143" s="399"/>
      <c r="L2143" s="408"/>
      <c r="M2143" s="65">
        <v>100000000</v>
      </c>
      <c r="N2143" s="66" t="s">
        <v>8</v>
      </c>
      <c r="O2143" s="66" t="s">
        <v>25</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x</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1" ht="15.75" customHeight="1">
      <c r="A2144" s="1170"/>
      <c r="B2144" s="1199">
        <f t="shared" si="160"/>
        <v>11</v>
      </c>
      <c r="C2144" s="1087">
        <v>42704</v>
      </c>
      <c r="D2144" s="1087" t="s">
        <v>2856</v>
      </c>
      <c r="E2144" s="90">
        <f>C2144</f>
        <v>42704</v>
      </c>
      <c r="F2144" s="1153" t="s">
        <v>1952</v>
      </c>
      <c r="G2144" s="1155" t="s">
        <v>2311</v>
      </c>
      <c r="H2144" s="1153" t="s">
        <v>1198</v>
      </c>
      <c r="I2144" s="414">
        <v>44100</v>
      </c>
      <c r="J2144" s="1108">
        <v>17500</v>
      </c>
      <c r="K2144" s="1110"/>
      <c r="L2144" s="1109"/>
      <c r="M2144" s="93">
        <f>ROUND(I2144*J2144,0)</f>
        <v>771750000</v>
      </c>
      <c r="N2144" s="83" t="s">
        <v>276</v>
      </c>
      <c r="O2144" s="83" t="s">
        <v>268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1" ht="15.75" customHeight="1">
      <c r="A2145" s="323" t="str">
        <f>IF(B2145&lt;&gt;"",IF(AND(B2145='IN-TC'!$S$4,OR(TH!N2145="1111",TH!O2145="1111")),TH!D2145,""),"")</f>
        <v/>
      </c>
      <c r="B2145" s="63">
        <f t="shared" si="160"/>
        <v>12</v>
      </c>
      <c r="C2145" s="78">
        <v>42719</v>
      </c>
      <c r="D2145" s="78" t="s">
        <v>570</v>
      </c>
      <c r="E2145" s="78">
        <v>42719</v>
      </c>
      <c r="F2145" s="80" t="s">
        <v>1486</v>
      </c>
      <c r="G2145" s="934" t="s">
        <v>2599</v>
      </c>
      <c r="H2145" s="80" t="s">
        <v>2470</v>
      </c>
      <c r="I2145" s="406"/>
      <c r="J2145" s="406"/>
      <c r="K2145" s="397"/>
      <c r="L2145" s="406"/>
      <c r="M2145" s="81">
        <v>45500000</v>
      </c>
      <c r="N2145" s="82" t="s">
        <v>579</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1" ht="15.75" customHeight="1">
      <c r="A2146" s="323" t="str">
        <f>IF(B2146&lt;&gt;"",IF(AND(B2146='IN-TC'!$S$4,OR(TH!N2146="1111",TH!O2146="1111")),TH!D2146,""),"")</f>
        <v/>
      </c>
      <c r="B2146" s="63">
        <f t="shared" si="160"/>
        <v>12</v>
      </c>
      <c r="C2146" s="78">
        <v>42719</v>
      </c>
      <c r="D2146" s="78" t="s">
        <v>570</v>
      </c>
      <c r="E2146" s="78">
        <v>42719</v>
      </c>
      <c r="F2146" s="80" t="s">
        <v>2597</v>
      </c>
      <c r="G2146" s="934" t="s">
        <v>2600</v>
      </c>
      <c r="H2146" s="80" t="s">
        <v>2470</v>
      </c>
      <c r="I2146" s="406"/>
      <c r="J2146" s="406"/>
      <c r="K2146" s="397"/>
      <c r="L2146" s="406"/>
      <c r="M2146" s="81">
        <v>21430500</v>
      </c>
      <c r="N2146" s="82" t="s">
        <v>579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customHeight="1">
      <c r="A2147" s="323" t="str">
        <f>IF(B2147&lt;&gt;"",IF(AND(B2147='IN-TC'!$S$4,OR(TH!N2147="1111",TH!O2147="1111")),TH!D2147,""),"")</f>
        <v/>
      </c>
      <c r="B2147" s="63">
        <f t="shared" si="160"/>
        <v>12</v>
      </c>
      <c r="C2147" s="78">
        <v>42719</v>
      </c>
      <c r="D2147" s="78" t="s">
        <v>570</v>
      </c>
      <c r="E2147" s="78">
        <v>42719</v>
      </c>
      <c r="F2147" s="80" t="s">
        <v>2598</v>
      </c>
      <c r="G2147" s="934" t="s">
        <v>2600</v>
      </c>
      <c r="H2147" s="80" t="s">
        <v>2470</v>
      </c>
      <c r="I2147" s="406"/>
      <c r="J2147" s="406"/>
      <c r="K2147" s="397"/>
      <c r="L2147" s="406"/>
      <c r="M2147" s="81">
        <v>2143050</v>
      </c>
      <c r="N2147" s="82" t="s">
        <v>9</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x</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customHeight="1">
      <c r="A2148" s="323" t="str">
        <f>IF(B2148&lt;&gt;"",IF(AND(B2148='IN-TC'!$S$4,OR(TH!N2077="1111",TH!O2077="1111")),TH!D2077,""),"")</f>
        <v/>
      </c>
      <c r="B2148" s="63">
        <f t="shared" si="160"/>
        <v>11</v>
      </c>
      <c r="C2148" s="78">
        <v>42704</v>
      </c>
      <c r="D2148" s="78" t="s">
        <v>570</v>
      </c>
      <c r="E2148" s="78">
        <v>42695</v>
      </c>
      <c r="F2148" s="80" t="s">
        <v>624</v>
      </c>
      <c r="G2148" s="934" t="s">
        <v>2330</v>
      </c>
      <c r="H2148" s="80" t="s">
        <v>615</v>
      </c>
      <c r="I2148" s="406"/>
      <c r="J2148" s="406"/>
      <c r="K2148" s="397"/>
      <c r="L2148" s="406"/>
      <c r="M2148" s="81">
        <v>2000000</v>
      </c>
      <c r="N2148" s="82" t="s">
        <v>579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customHeight="1">
      <c r="A2149" s="323" t="str">
        <f>IF(B2149&lt;&gt;"",IF(AND(B2149='IN-TC'!$S$4,OR(TH!N2078="1111",TH!O2078="1111")),TH!D2078,""),"")</f>
        <v/>
      </c>
      <c r="B2149" s="63">
        <f t="shared" si="160"/>
        <v>11</v>
      </c>
      <c r="C2149" s="78">
        <v>42704</v>
      </c>
      <c r="D2149" s="78" t="s">
        <v>570</v>
      </c>
      <c r="E2149" s="78">
        <v>42695</v>
      </c>
      <c r="F2149" s="80" t="s">
        <v>625</v>
      </c>
      <c r="G2149" s="934" t="s">
        <v>2330</v>
      </c>
      <c r="H2149" s="80" t="s">
        <v>615</v>
      </c>
      <c r="I2149" s="406"/>
      <c r="J2149" s="406"/>
      <c r="K2149" s="397"/>
      <c r="L2149" s="406"/>
      <c r="M2149" s="81">
        <v>200000</v>
      </c>
      <c r="N2149" s="82" t="s">
        <v>9</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x</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customHeight="1">
      <c r="A2150" s="323" t="str">
        <f>IF(B2150&lt;&gt;"",IF(AND(B2150='IN-TC'!$S$4,OR(TH!N3691="1111",TH!O3691="1111")),TH!D3691,""),"")</f>
        <v/>
      </c>
      <c r="B2150" s="63">
        <f t="shared" si="160"/>
        <v>8</v>
      </c>
      <c r="C2150" s="64">
        <v>42613</v>
      </c>
      <c r="D2150" s="64" t="s">
        <v>690</v>
      </c>
      <c r="E2150" s="64">
        <f>C2150</f>
        <v>42613</v>
      </c>
      <c r="F2150" s="72" t="s">
        <v>1908</v>
      </c>
      <c r="G2150" s="67" t="s">
        <v>902</v>
      </c>
      <c r="H2150" s="329" t="s">
        <v>617</v>
      </c>
      <c r="I2150" s="408"/>
      <c r="J2150" s="408"/>
      <c r="K2150" s="399"/>
      <c r="L2150" s="408"/>
      <c r="M2150" s="65">
        <v>24124980</v>
      </c>
      <c r="N2150" s="66" t="s">
        <v>8</v>
      </c>
      <c r="O2150" s="66" t="s">
        <v>25</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1" ht="15.75" customHeight="1">
      <c r="A2151" s="323" t="str">
        <f>IF(B2151&lt;&gt;"",IF(AND(B2151='IN-TC'!$S$4,OR(TH!N1991="1111",TH!O1991="1111")),TH!D1991,""),"")</f>
        <v/>
      </c>
      <c r="B2151" s="63">
        <f t="shared" si="160"/>
        <v>8</v>
      </c>
      <c r="C2151" s="78">
        <v>42613</v>
      </c>
      <c r="D2151" s="78" t="s">
        <v>570</v>
      </c>
      <c r="E2151" s="78">
        <v>42589</v>
      </c>
      <c r="F2151" s="80" t="s">
        <v>1835</v>
      </c>
      <c r="G2151" s="934" t="s">
        <v>1840</v>
      </c>
      <c r="H2151" s="80" t="s">
        <v>617</v>
      </c>
      <c r="I2151" s="406"/>
      <c r="J2151" s="406"/>
      <c r="K2151" s="397"/>
      <c r="L2151" s="406"/>
      <c r="M2151" s="81">
        <v>29528100</v>
      </c>
      <c r="N2151" s="82" t="s">
        <v>276</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customHeight="1">
      <c r="A2152" s="323" t="str">
        <f>IF(B2152&lt;&gt;"",IF(AND(B2152='IN-TC'!$S$4,OR(TH!N1992="1111",TH!O1992="1111")),TH!D1992,""),"")</f>
        <v/>
      </c>
      <c r="B2152" s="63">
        <f t="shared" si="160"/>
        <v>8</v>
      </c>
      <c r="C2152" s="78">
        <v>42613</v>
      </c>
      <c r="D2152" s="78" t="s">
        <v>570</v>
      </c>
      <c r="E2152" s="78">
        <v>42589</v>
      </c>
      <c r="F2152" s="80" t="s">
        <v>1834</v>
      </c>
      <c r="G2152" s="934" t="s">
        <v>1840</v>
      </c>
      <c r="H2152" s="80" t="s">
        <v>617</v>
      </c>
      <c r="I2152" s="406"/>
      <c r="J2152" s="406"/>
      <c r="K2152" s="397"/>
      <c r="L2152" s="406"/>
      <c r="M2152" s="81">
        <v>2952810</v>
      </c>
      <c r="N2152" s="82" t="s">
        <v>9</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x</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1" ht="15.75" customHeight="1">
      <c r="A2153" s="323" t="str">
        <f>IF(B2153&lt;&gt;"",IF(AND(B2153='IN-TC'!$S$4,OR(TH!N2000="1111",TH!O2000="1111")),TH!D2000,""),"")</f>
        <v/>
      </c>
      <c r="B2153" s="63">
        <f t="shared" si="160"/>
        <v>8</v>
      </c>
      <c r="C2153" s="78">
        <v>42613</v>
      </c>
      <c r="D2153" s="78" t="s">
        <v>570</v>
      </c>
      <c r="E2153" s="78">
        <v>42598</v>
      </c>
      <c r="F2153" s="80" t="s">
        <v>1836</v>
      </c>
      <c r="G2153" s="934" t="s">
        <v>2173</v>
      </c>
      <c r="H2153" s="80" t="s">
        <v>617</v>
      </c>
      <c r="I2153" s="406"/>
      <c r="J2153" s="406"/>
      <c r="K2153" s="397"/>
      <c r="L2153" s="406"/>
      <c r="M2153" s="81">
        <v>21931800</v>
      </c>
      <c r="N2153" s="82" t="s">
        <v>276</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1" ht="15.75" customHeight="1">
      <c r="A2154" s="323" t="str">
        <f>IF(B2154&lt;&gt;"",IF(AND(B2154='IN-TC'!$S$4,OR(TH!N2001="1111",TH!O2001="1111")),TH!D2001,""),"")</f>
        <v/>
      </c>
      <c r="B2154" s="63">
        <f t="shared" si="160"/>
        <v>8</v>
      </c>
      <c r="C2154" s="78">
        <v>42613</v>
      </c>
      <c r="D2154" s="78" t="s">
        <v>570</v>
      </c>
      <c r="E2154" s="78">
        <v>42598</v>
      </c>
      <c r="F2154" s="80" t="s">
        <v>1837</v>
      </c>
      <c r="G2154" s="934" t="s">
        <v>2173</v>
      </c>
      <c r="H2154" s="80" t="s">
        <v>617</v>
      </c>
      <c r="I2154" s="406"/>
      <c r="J2154" s="406"/>
      <c r="K2154" s="397"/>
      <c r="L2154" s="406"/>
      <c r="M2154" s="81">
        <v>2193180</v>
      </c>
      <c r="N2154" s="82" t="s">
        <v>9</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x</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1" ht="15.75" customHeight="1">
      <c r="A2155" s="323" t="str">
        <f>IF(B2155&lt;&gt;"",IF(AND(B2155='IN-TC'!$S$4,OR(TH!N2005="1111",TH!O2005="1111")),TH!D2005,""),"")</f>
        <v/>
      </c>
      <c r="B2155" s="63">
        <f t="shared" si="160"/>
        <v>8</v>
      </c>
      <c r="C2155" s="78">
        <v>42613</v>
      </c>
      <c r="D2155" s="78" t="s">
        <v>570</v>
      </c>
      <c r="E2155" s="78">
        <v>42608</v>
      </c>
      <c r="F2155" s="80" t="s">
        <v>1838</v>
      </c>
      <c r="G2155" s="934" t="s">
        <v>3012</v>
      </c>
      <c r="H2155" s="80" t="s">
        <v>617</v>
      </c>
      <c r="I2155" s="406"/>
      <c r="J2155" s="406"/>
      <c r="K2155" s="397"/>
      <c r="L2155" s="406"/>
      <c r="M2155" s="81">
        <v>21880500</v>
      </c>
      <c r="N2155" s="82" t="s">
        <v>276</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1" ht="15.75" customHeight="1">
      <c r="A2156" s="323" t="str">
        <f>IF(B2156&lt;&gt;"",IF(AND(B2156='IN-TC'!$S$4,OR(TH!N2079="1111",TH!O2079="1111")),TH!D2079,""),"")</f>
        <v/>
      </c>
      <c r="B2156" s="63">
        <f t="shared" si="160"/>
        <v>11</v>
      </c>
      <c r="C2156" s="78">
        <v>42704</v>
      </c>
      <c r="D2156" s="78" t="s">
        <v>570</v>
      </c>
      <c r="E2156" s="78">
        <v>42704</v>
      </c>
      <c r="F2156" s="80" t="s">
        <v>624</v>
      </c>
      <c r="G2156" s="934" t="s">
        <v>2359</v>
      </c>
      <c r="H2156" s="80" t="s">
        <v>615</v>
      </c>
      <c r="I2156" s="406"/>
      <c r="J2156" s="406"/>
      <c r="K2156" s="397"/>
      <c r="L2156" s="406"/>
      <c r="M2156" s="81">
        <v>2000000</v>
      </c>
      <c r="N2156" s="82" t="s">
        <v>579</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customHeight="1">
      <c r="A2157" s="323" t="str">
        <f>IF(B2157&lt;&gt;"",IF(AND(B2157='IN-TC'!$S$4,OR(TH!N2080="1111",TH!O2080="1111")),TH!D2080,""),"")</f>
        <v/>
      </c>
      <c r="B2157" s="63">
        <f t="shared" si="160"/>
        <v>11</v>
      </c>
      <c r="C2157" s="78">
        <v>42704</v>
      </c>
      <c r="D2157" s="78" t="s">
        <v>570</v>
      </c>
      <c r="E2157" s="78">
        <v>42704</v>
      </c>
      <c r="F2157" s="80" t="s">
        <v>625</v>
      </c>
      <c r="G2157" s="934" t="s">
        <v>2359</v>
      </c>
      <c r="H2157" s="80" t="s">
        <v>615</v>
      </c>
      <c r="I2157" s="406"/>
      <c r="J2157" s="406"/>
      <c r="K2157" s="397"/>
      <c r="L2157" s="406"/>
      <c r="M2157" s="81">
        <v>200000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x</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customHeight="1">
      <c r="A2158" s="1160" t="str">
        <f>IF(B2158&lt;&gt;"",IF(AND(B2158='IN-TC'!$S$4,OR(TH!N2158="1111",TH!O2158="1111")),TH!D2158,""),"")</f>
        <v/>
      </c>
      <c r="B2158" s="948">
        <f t="shared" ref="B2158:B2221" si="161">IF(C2158&lt;&gt;"",MONTH(C2158),"")</f>
        <v>12</v>
      </c>
      <c r="C2158" s="78">
        <v>42734</v>
      </c>
      <c r="D2158" s="78" t="s">
        <v>570</v>
      </c>
      <c r="E2158" s="78">
        <v>42683</v>
      </c>
      <c r="F2158" s="80" t="s">
        <v>754</v>
      </c>
      <c r="G2158" s="934" t="s">
        <v>2724</v>
      </c>
      <c r="H2158" s="80" t="s">
        <v>790</v>
      </c>
      <c r="I2158" s="406"/>
      <c r="J2158" s="406"/>
      <c r="K2158" s="397"/>
      <c r="L2158" s="406"/>
      <c r="M2158" s="81">
        <v>22400000</v>
      </c>
      <c r="N2158" s="82" t="s">
        <v>579</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customHeight="1">
      <c r="A2159" s="1160" t="str">
        <f>IF(B2159&lt;&gt;"",IF(AND(B2159='IN-TC'!$S$4,OR(TH!N2159="1111",TH!O2159="1111")),TH!D2159,""),"")</f>
        <v/>
      </c>
      <c r="B2159" s="948">
        <f t="shared" si="161"/>
        <v>12</v>
      </c>
      <c r="C2159" s="78">
        <v>42734</v>
      </c>
      <c r="D2159" s="78" t="s">
        <v>570</v>
      </c>
      <c r="E2159" s="78">
        <v>42683</v>
      </c>
      <c r="F2159" s="80" t="s">
        <v>755</v>
      </c>
      <c r="G2159" s="934" t="s">
        <v>2724</v>
      </c>
      <c r="H2159" s="80" t="s">
        <v>790</v>
      </c>
      <c r="I2159" s="406"/>
      <c r="J2159" s="406"/>
      <c r="K2159" s="397"/>
      <c r="L2159" s="406"/>
      <c r="M2159" s="81">
        <v>2240000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x</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customHeight="1">
      <c r="A2160" s="1160" t="str">
        <f>IF(B2160&lt;&gt;"",IF(AND(B2160='IN-TC'!$S$4,OR(TH!N2160="1111",TH!O2160="1111")),TH!D2160,""),"")</f>
        <v/>
      </c>
      <c r="B2160" s="948">
        <f t="shared" si="161"/>
        <v>12</v>
      </c>
      <c r="C2160" s="78">
        <v>42734</v>
      </c>
      <c r="D2160" s="78" t="s">
        <v>570</v>
      </c>
      <c r="E2160" s="78">
        <v>42703</v>
      </c>
      <c r="F2160" s="80" t="s">
        <v>754</v>
      </c>
      <c r="G2160" s="934" t="s">
        <v>2725</v>
      </c>
      <c r="H2160" s="80" t="s">
        <v>790</v>
      </c>
      <c r="I2160" s="406"/>
      <c r="J2160" s="406"/>
      <c r="K2160" s="397"/>
      <c r="L2160" s="406"/>
      <c r="M2160" s="81">
        <v>47600000</v>
      </c>
      <c r="N2160" s="82" t="s">
        <v>579</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customHeight="1">
      <c r="A2161" s="1160" t="str">
        <f>IF(B2161&lt;&gt;"",IF(AND(B2161='IN-TC'!$S$4,OR(TH!N2161="1111",TH!O2161="1111")),TH!D2161,""),"")</f>
        <v/>
      </c>
      <c r="B2161" s="948">
        <f t="shared" si="161"/>
        <v>12</v>
      </c>
      <c r="C2161" s="78">
        <v>42734</v>
      </c>
      <c r="D2161" s="78" t="s">
        <v>570</v>
      </c>
      <c r="E2161" s="78">
        <v>42703</v>
      </c>
      <c r="F2161" s="80" t="s">
        <v>755</v>
      </c>
      <c r="G2161" s="934" t="s">
        <v>2725</v>
      </c>
      <c r="H2161" s="80" t="s">
        <v>790</v>
      </c>
      <c r="I2161" s="406"/>
      <c r="J2161" s="406"/>
      <c r="K2161" s="397"/>
      <c r="L2161" s="406"/>
      <c r="M2161" s="81">
        <v>4760000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x</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customHeight="1">
      <c r="A2162" s="1160" t="str">
        <f>IF(B2162&lt;&gt;"",IF(AND(B2162='IN-TC'!$S$4,OR(TH!N2162="1111",TH!O2162="1111")),TH!D2162,""),"")</f>
        <v/>
      </c>
      <c r="B2162" s="948">
        <f t="shared" si="161"/>
        <v>12</v>
      </c>
      <c r="C2162" s="78">
        <v>42734</v>
      </c>
      <c r="D2162" s="78" t="s">
        <v>570</v>
      </c>
      <c r="E2162" s="78">
        <v>42714</v>
      </c>
      <c r="F2162" s="80" t="s">
        <v>754</v>
      </c>
      <c r="G2162" s="934" t="s">
        <v>2583</v>
      </c>
      <c r="H2162" s="80" t="s">
        <v>790</v>
      </c>
      <c r="I2162" s="406"/>
      <c r="J2162" s="406"/>
      <c r="K2162" s="397"/>
      <c r="L2162" s="406"/>
      <c r="M2162" s="81">
        <v>37800000</v>
      </c>
      <c r="N2162" s="82" t="s">
        <v>579</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customHeight="1">
      <c r="A2163" s="1160" t="str">
        <f>IF(B2163&lt;&gt;"",IF(AND(B2163='IN-TC'!$S$4,OR(TH!N2163="1111",TH!O2163="1111")),TH!D2163,""),"")</f>
        <v/>
      </c>
      <c r="B2163" s="948">
        <f t="shared" si="161"/>
        <v>12</v>
      </c>
      <c r="C2163" s="78">
        <v>42734</v>
      </c>
      <c r="D2163" s="78" t="s">
        <v>570</v>
      </c>
      <c r="E2163" s="78">
        <v>42714</v>
      </c>
      <c r="F2163" s="80" t="s">
        <v>755</v>
      </c>
      <c r="G2163" s="934" t="s">
        <v>2583</v>
      </c>
      <c r="H2163" s="80" t="s">
        <v>790</v>
      </c>
      <c r="I2163" s="406"/>
      <c r="J2163" s="406"/>
      <c r="K2163" s="397"/>
      <c r="L2163" s="406"/>
      <c r="M2163" s="81">
        <v>3780000</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x</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customHeight="1">
      <c r="A2164" s="1160" t="str">
        <f>IF(B2164&lt;&gt;"",IF(AND(B2164='IN-TC'!$S$4,OR(TH!N2164="1111",TH!O2164="1111")),TH!D2164,""),"")</f>
        <v/>
      </c>
      <c r="B2164" s="948">
        <f t="shared" si="161"/>
        <v>12</v>
      </c>
      <c r="C2164" s="78">
        <v>42734</v>
      </c>
      <c r="D2164" s="78" t="s">
        <v>570</v>
      </c>
      <c r="E2164" s="78">
        <v>42720</v>
      </c>
      <c r="F2164" s="80" t="s">
        <v>754</v>
      </c>
      <c r="G2164" s="934" t="s">
        <v>2726</v>
      </c>
      <c r="H2164" s="80" t="s">
        <v>790</v>
      </c>
      <c r="I2164" s="406"/>
      <c r="J2164" s="406"/>
      <c r="K2164" s="397"/>
      <c r="L2164" s="406"/>
      <c r="M2164" s="81">
        <v>35000000</v>
      </c>
      <c r="N2164" s="82" t="s">
        <v>579</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customHeight="1">
      <c r="A2165" s="1160" t="str">
        <f>IF(B2165&lt;&gt;"",IF(AND(B2165='IN-TC'!$S$4,OR(TH!N2165="1111",TH!O2165="1111")),TH!D2165,""),"")</f>
        <v/>
      </c>
      <c r="B2165" s="948">
        <f t="shared" si="161"/>
        <v>12</v>
      </c>
      <c r="C2165" s="78">
        <v>42734</v>
      </c>
      <c r="D2165" s="78" t="s">
        <v>570</v>
      </c>
      <c r="E2165" s="78">
        <v>42720</v>
      </c>
      <c r="F2165" s="80" t="s">
        <v>755</v>
      </c>
      <c r="G2165" s="934" t="s">
        <v>2726</v>
      </c>
      <c r="H2165" s="80" t="s">
        <v>790</v>
      </c>
      <c r="I2165" s="406"/>
      <c r="J2165" s="406"/>
      <c r="K2165" s="397"/>
      <c r="L2165" s="406"/>
      <c r="M2165" s="81">
        <v>3500000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x</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customHeight="1">
      <c r="A2166" s="1160" t="str">
        <f>IF(B2166&lt;&gt;"",IF(AND(B2166='IN-TC'!$S$4,OR(TH!N2166="1111",TH!O2166="1111")),TH!D2166,""),"")</f>
        <v/>
      </c>
      <c r="B2166" s="948">
        <f t="shared" si="161"/>
        <v>12</v>
      </c>
      <c r="C2166" s="78">
        <v>42734</v>
      </c>
      <c r="D2166" s="78" t="s">
        <v>570</v>
      </c>
      <c r="E2166" s="78">
        <v>42704</v>
      </c>
      <c r="F2166" s="80" t="s">
        <v>2528</v>
      </c>
      <c r="G2166" s="934" t="s">
        <v>2530</v>
      </c>
      <c r="H2166" s="80" t="s">
        <v>2531</v>
      </c>
      <c r="I2166" s="406"/>
      <c r="J2166" s="406"/>
      <c r="K2166" s="397"/>
      <c r="L2166" s="406"/>
      <c r="M2166" s="81">
        <v>19090909</v>
      </c>
      <c r="N2166" s="82" t="s">
        <v>274</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customHeight="1">
      <c r="A2167" s="1160" t="str">
        <f>IF(B2167&lt;&gt;"",IF(AND(B2167='IN-TC'!$S$4,OR(TH!N2167="1111",TH!O2167="1111")),TH!D2167,""),"")</f>
        <v/>
      </c>
      <c r="B2167" s="948">
        <f t="shared" si="161"/>
        <v>12</v>
      </c>
      <c r="C2167" s="78">
        <v>42734</v>
      </c>
      <c r="D2167" s="78" t="s">
        <v>570</v>
      </c>
      <c r="E2167" s="78">
        <v>42704</v>
      </c>
      <c r="F2167" s="80" t="s">
        <v>2529</v>
      </c>
      <c r="G2167" s="934" t="s">
        <v>2530</v>
      </c>
      <c r="H2167" s="80" t="s">
        <v>2531</v>
      </c>
      <c r="I2167" s="406"/>
      <c r="J2167" s="406"/>
      <c r="K2167" s="397"/>
      <c r="L2167" s="406"/>
      <c r="M2167" s="81">
        <v>1909091</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x</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customHeight="1">
      <c r="A2168" s="1160" t="str">
        <f>IF(B2168&lt;&gt;"",IF(AND(B2168='IN-TC'!$S$4,OR(TH!N2168="1111",TH!O2168="1111")),TH!D2168,""),"")</f>
        <v/>
      </c>
      <c r="B2168" s="948">
        <f t="shared" si="161"/>
        <v>12</v>
      </c>
      <c r="C2168" s="78">
        <v>42707</v>
      </c>
      <c r="D2168" s="78" t="s">
        <v>570</v>
      </c>
      <c r="E2168" s="78">
        <v>42707</v>
      </c>
      <c r="F2168" s="80" t="s">
        <v>1843</v>
      </c>
      <c r="G2168" s="934" t="s">
        <v>2741</v>
      </c>
      <c r="H2168" s="80" t="s">
        <v>1119</v>
      </c>
      <c r="I2168" s="406"/>
      <c r="J2168" s="406"/>
      <c r="K2168" s="397"/>
      <c r="L2168" s="406"/>
      <c r="M2168" s="81">
        <v>45560000</v>
      </c>
      <c r="N2168" s="82" t="s">
        <v>579</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1" ht="15.75" customHeight="1">
      <c r="A2169" s="1160" t="str">
        <f>IF(B2169&lt;&gt;"",IF(AND(B2169='IN-TC'!$S$4,OR(TH!N2169="1111",TH!O2169="1111")),TH!D2169,""),"")</f>
        <v/>
      </c>
      <c r="B2169" s="948">
        <f t="shared" si="161"/>
        <v>12</v>
      </c>
      <c r="C2169" s="78">
        <v>42707</v>
      </c>
      <c r="D2169" s="78" t="s">
        <v>570</v>
      </c>
      <c r="E2169" s="78">
        <v>42707</v>
      </c>
      <c r="F2169" s="80" t="s">
        <v>1116</v>
      </c>
      <c r="G2169" s="934" t="s">
        <v>2742</v>
      </c>
      <c r="H2169" s="80" t="s">
        <v>1119</v>
      </c>
      <c r="I2169" s="406"/>
      <c r="J2169" s="406"/>
      <c r="K2169" s="397"/>
      <c r="L2169" s="406"/>
      <c r="M2169" s="81">
        <v>20889260</v>
      </c>
      <c r="N2169" s="82" t="s">
        <v>579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customHeight="1">
      <c r="A2170" s="1160" t="str">
        <f>IF(B2170&lt;&gt;"",IF(AND(B2170='IN-TC'!$S$4,OR(TH!N2170="1111",TH!O2170="1111")),TH!D2170,""),"")</f>
        <v/>
      </c>
      <c r="B2170" s="948">
        <f t="shared" si="161"/>
        <v>12</v>
      </c>
      <c r="C2170" s="78">
        <v>42707</v>
      </c>
      <c r="D2170" s="78" t="s">
        <v>570</v>
      </c>
      <c r="E2170" s="78">
        <v>42707</v>
      </c>
      <c r="F2170" s="80" t="s">
        <v>1117</v>
      </c>
      <c r="G2170" s="934" t="s">
        <v>2742</v>
      </c>
      <c r="H2170" s="80" t="s">
        <v>1119</v>
      </c>
      <c r="I2170" s="406"/>
      <c r="J2170" s="406"/>
      <c r="K2170" s="397"/>
      <c r="L2170" s="406"/>
      <c r="M2170" s="81">
        <v>2088926</v>
      </c>
      <c r="N2170" s="82" t="s">
        <v>9</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x</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customHeight="1">
      <c r="A2171" s="1160" t="str">
        <f>IF(B2171&lt;&gt;"",IF(AND(B2171='IN-TC'!$S$4,OR(TH!N2171="1111",TH!O2171="1111")),TH!D2171,""),"")</f>
        <v/>
      </c>
      <c r="B2171" s="948">
        <f t="shared" si="161"/>
        <v>12</v>
      </c>
      <c r="C2171" s="78">
        <v>42718</v>
      </c>
      <c r="D2171" s="78" t="s">
        <v>570</v>
      </c>
      <c r="E2171" s="78">
        <v>42718</v>
      </c>
      <c r="F2171" s="80" t="s">
        <v>1843</v>
      </c>
      <c r="G2171" s="934" t="s">
        <v>2743</v>
      </c>
      <c r="H2171" s="80" t="s">
        <v>1119</v>
      </c>
      <c r="I2171" s="406"/>
      <c r="J2171" s="406"/>
      <c r="K2171" s="397"/>
      <c r="L2171" s="406"/>
      <c r="M2171" s="81">
        <v>68160000</v>
      </c>
      <c r="N2171" s="82" t="s">
        <v>579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1" ht="15.75" customHeight="1">
      <c r="A2172" s="1160" t="str">
        <f>IF(B2172&lt;&gt;"",IF(AND(B2172='IN-TC'!$S$4,OR(TH!N2172="1111",TH!O2172="1111")),TH!D2172,""),"")</f>
        <v/>
      </c>
      <c r="B2172" s="948">
        <f t="shared" si="161"/>
        <v>12</v>
      </c>
      <c r="C2172" s="78">
        <v>42718</v>
      </c>
      <c r="D2172" s="78" t="s">
        <v>570</v>
      </c>
      <c r="E2172" s="78">
        <v>42718</v>
      </c>
      <c r="F2172" s="80" t="s">
        <v>1116</v>
      </c>
      <c r="G2172" s="934" t="s">
        <v>2744</v>
      </c>
      <c r="H2172" s="80" t="s">
        <v>1119</v>
      </c>
      <c r="I2172" s="406"/>
      <c r="J2172" s="406"/>
      <c r="K2172" s="397"/>
      <c r="L2172" s="406"/>
      <c r="M2172" s="81">
        <v>30285760</v>
      </c>
      <c r="N2172" s="82" t="s">
        <v>579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customHeight="1">
      <c r="A2173" s="1160" t="str">
        <f>IF(B2173&lt;&gt;"",IF(AND(B2173='IN-TC'!$S$4,OR(TH!N2173="1111",TH!O2173="1111")),TH!D2173,""),"")</f>
        <v/>
      </c>
      <c r="B2173" s="948">
        <f t="shared" si="161"/>
        <v>12</v>
      </c>
      <c r="C2173" s="78">
        <v>42718</v>
      </c>
      <c r="D2173" s="78" t="s">
        <v>570</v>
      </c>
      <c r="E2173" s="78">
        <v>42718</v>
      </c>
      <c r="F2173" s="80" t="s">
        <v>1117</v>
      </c>
      <c r="G2173" s="934" t="s">
        <v>2744</v>
      </c>
      <c r="H2173" s="80" t="s">
        <v>1119</v>
      </c>
      <c r="I2173" s="406"/>
      <c r="J2173" s="406"/>
      <c r="K2173" s="397"/>
      <c r="L2173" s="406"/>
      <c r="M2173" s="81">
        <v>3028576</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x</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customHeight="1">
      <c r="A2174" s="1160" t="str">
        <f>IF(B2174&lt;&gt;"",IF(AND(B2174='IN-TC'!$S$4,OR(TH!N2174="1111",TH!O2174="1111")),TH!D2174,""),"")</f>
        <v/>
      </c>
      <c r="B2174" s="948">
        <f t="shared" si="161"/>
        <v>12</v>
      </c>
      <c r="C2174" s="78">
        <v>42724</v>
      </c>
      <c r="D2174" s="78" t="s">
        <v>570</v>
      </c>
      <c r="E2174" s="78">
        <v>42724</v>
      </c>
      <c r="F2174" s="80" t="s">
        <v>1843</v>
      </c>
      <c r="G2174" s="934" t="s">
        <v>2745</v>
      </c>
      <c r="H2174" s="80" t="s">
        <v>1119</v>
      </c>
      <c r="I2174" s="406"/>
      <c r="J2174" s="406"/>
      <c r="K2174" s="397"/>
      <c r="L2174" s="406"/>
      <c r="M2174" s="81">
        <v>68400000</v>
      </c>
      <c r="N2174" s="82" t="s">
        <v>579</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customHeight="1">
      <c r="A2175" s="1160" t="str">
        <f>IF(B2175&lt;&gt;"",IF(AND(B2175='IN-TC'!$S$4,OR(TH!N2175="1111",TH!O2175="1111")),TH!D2175,""),"")</f>
        <v/>
      </c>
      <c r="B2175" s="948">
        <f t="shared" si="161"/>
        <v>12</v>
      </c>
      <c r="C2175" s="78">
        <v>42724</v>
      </c>
      <c r="D2175" s="78" t="s">
        <v>570</v>
      </c>
      <c r="E2175" s="78">
        <v>42724</v>
      </c>
      <c r="F2175" s="80" t="s">
        <v>1116</v>
      </c>
      <c r="G2175" s="934" t="s">
        <v>2746</v>
      </c>
      <c r="H2175" s="80" t="s">
        <v>1119</v>
      </c>
      <c r="I2175" s="406"/>
      <c r="J2175" s="406"/>
      <c r="K2175" s="397"/>
      <c r="L2175" s="406"/>
      <c r="M2175" s="81">
        <v>30392400</v>
      </c>
      <c r="N2175" s="82" t="s">
        <v>579</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customHeight="1">
      <c r="A2176" s="1160" t="str">
        <f>IF(B2176&lt;&gt;"",IF(AND(B2176='IN-TC'!$S$4,OR(TH!N2176="1111",TH!O2176="1111")),TH!D2176,""),"")</f>
        <v/>
      </c>
      <c r="B2176" s="948">
        <f t="shared" si="161"/>
        <v>12</v>
      </c>
      <c r="C2176" s="78">
        <v>42724</v>
      </c>
      <c r="D2176" s="78" t="s">
        <v>570</v>
      </c>
      <c r="E2176" s="78">
        <v>42724</v>
      </c>
      <c r="F2176" s="80" t="s">
        <v>1117</v>
      </c>
      <c r="G2176" s="934" t="s">
        <v>2746</v>
      </c>
      <c r="H2176" s="80" t="s">
        <v>1119</v>
      </c>
      <c r="I2176" s="406"/>
      <c r="J2176" s="406"/>
      <c r="K2176" s="397"/>
      <c r="L2176" s="406"/>
      <c r="M2176" s="81">
        <v>3039240</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x</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customHeight="1">
      <c r="A2177" s="1160" t="str">
        <f>IF(B2177&lt;&gt;"",IF(AND(B2177='IN-TC'!$S$4,OR(TH!N2177="1111",TH!O2177="1111")),TH!D2177,""),"")</f>
        <v/>
      </c>
      <c r="B2177" s="948">
        <f t="shared" si="161"/>
        <v>12</v>
      </c>
      <c r="C2177" s="78">
        <v>42731</v>
      </c>
      <c r="D2177" s="78" t="s">
        <v>570</v>
      </c>
      <c r="E2177" s="78">
        <v>42731</v>
      </c>
      <c r="F2177" s="80" t="s">
        <v>1843</v>
      </c>
      <c r="G2177" s="934" t="s">
        <v>2747</v>
      </c>
      <c r="H2177" s="80" t="s">
        <v>1119</v>
      </c>
      <c r="I2177" s="406"/>
      <c r="J2177" s="406"/>
      <c r="K2177" s="397"/>
      <c r="L2177" s="406"/>
      <c r="M2177" s="81">
        <v>68430000</v>
      </c>
      <c r="N2177" s="82" t="s">
        <v>579</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customHeight="1">
      <c r="A2178" s="1160" t="str">
        <f>IF(B2178&lt;&gt;"",IF(AND(B2178='IN-TC'!$S$4,OR(TH!N2178="1111",TH!O2178="1111")),TH!D2178,""),"")</f>
        <v/>
      </c>
      <c r="B2178" s="948">
        <f t="shared" si="161"/>
        <v>12</v>
      </c>
      <c r="C2178" s="78">
        <v>42731</v>
      </c>
      <c r="D2178" s="78" t="s">
        <v>570</v>
      </c>
      <c r="E2178" s="78">
        <v>42731</v>
      </c>
      <c r="F2178" s="80" t="s">
        <v>1116</v>
      </c>
      <c r="G2178" s="934" t="s">
        <v>1738</v>
      </c>
      <c r="H2178" s="80" t="s">
        <v>1119</v>
      </c>
      <c r="I2178" s="406"/>
      <c r="J2178" s="406"/>
      <c r="K2178" s="397"/>
      <c r="L2178" s="406"/>
      <c r="M2178" s="81">
        <v>30405730</v>
      </c>
      <c r="N2178" s="82" t="s">
        <v>579</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customHeight="1">
      <c r="A2179" s="1160" t="str">
        <f>IF(B2179&lt;&gt;"",IF(AND(B2179='IN-TC'!$S$4,OR(TH!N2179="1111",TH!O2179="1111")),TH!D2179,""),"")</f>
        <v/>
      </c>
      <c r="B2179" s="948">
        <f t="shared" si="161"/>
        <v>12</v>
      </c>
      <c r="C2179" s="78">
        <v>42731</v>
      </c>
      <c r="D2179" s="78" t="s">
        <v>570</v>
      </c>
      <c r="E2179" s="78">
        <v>42731</v>
      </c>
      <c r="F2179" s="80" t="s">
        <v>1117</v>
      </c>
      <c r="G2179" s="934" t="s">
        <v>1738</v>
      </c>
      <c r="H2179" s="80" t="s">
        <v>1119</v>
      </c>
      <c r="I2179" s="406"/>
      <c r="J2179" s="406"/>
      <c r="K2179" s="397"/>
      <c r="L2179" s="406"/>
      <c r="M2179" s="81">
        <v>3040573</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x</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customHeight="1">
      <c r="A2180" s="323" t="str">
        <f>IF(B2180&lt;&gt;"",IF(AND(B2180='IN-TC'!$S$4,OR(TH!N2148="1111",TH!O2148="1111")),TH!D2148,""),"")</f>
        <v/>
      </c>
      <c r="B2180" s="63">
        <f t="shared" si="161"/>
        <v>12</v>
      </c>
      <c r="C2180" s="78">
        <v>42723</v>
      </c>
      <c r="D2180" s="78" t="s">
        <v>570</v>
      </c>
      <c r="E2180" s="78">
        <v>42723</v>
      </c>
      <c r="F2180" s="80" t="s">
        <v>624</v>
      </c>
      <c r="G2180" s="934" t="s">
        <v>2601</v>
      </c>
      <c r="H2180" s="80" t="s">
        <v>615</v>
      </c>
      <c r="I2180" s="406"/>
      <c r="J2180" s="406"/>
      <c r="K2180" s="397"/>
      <c r="L2180" s="406"/>
      <c r="M2180" s="81">
        <v>2000000</v>
      </c>
      <c r="N2180" s="82" t="s">
        <v>579</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v>1</v>
      </c>
    </row>
    <row r="2181" spans="1:31" ht="15.75" customHeight="1">
      <c r="A2181" s="323" t="str">
        <f>IF(B2181&lt;&gt;"",IF(AND(B2181='IN-TC'!$S$4,OR(TH!N2149="1111",TH!O2149="1111")),TH!D2149,""),"")</f>
        <v/>
      </c>
      <c r="B2181" s="63">
        <f t="shared" si="161"/>
        <v>12</v>
      </c>
      <c r="C2181" s="78">
        <v>42723</v>
      </c>
      <c r="D2181" s="78" t="s">
        <v>570</v>
      </c>
      <c r="E2181" s="78">
        <v>42723</v>
      </c>
      <c r="F2181" s="80" t="s">
        <v>625</v>
      </c>
      <c r="G2181" s="934" t="s">
        <v>2601</v>
      </c>
      <c r="H2181" s="80" t="s">
        <v>615</v>
      </c>
      <c r="I2181" s="406"/>
      <c r="J2181" s="406"/>
      <c r="K2181" s="397"/>
      <c r="L2181" s="406"/>
      <c r="M2181" s="81">
        <v>200000</v>
      </c>
      <c r="N2181" s="82" t="s">
        <v>9</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x</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customHeight="1">
      <c r="A2182" s="323" t="str">
        <f>IF(B2182&lt;&gt;"",IF(AND(B2182='IN-TC'!$S$4,OR(TH!N2097="1111",TH!O2097="1111")),TH!D2097,""),"")</f>
        <v/>
      </c>
      <c r="B2182" s="63">
        <f t="shared" si="161"/>
        <v>11</v>
      </c>
      <c r="C2182" s="78">
        <v>42698</v>
      </c>
      <c r="D2182" s="78" t="s">
        <v>570</v>
      </c>
      <c r="E2182" s="78">
        <v>42698</v>
      </c>
      <c r="F2182" s="80" t="s">
        <v>2192</v>
      </c>
      <c r="G2182" s="934" t="s">
        <v>2362</v>
      </c>
      <c r="H2182" s="80" t="s">
        <v>1484</v>
      </c>
      <c r="I2182" s="406"/>
      <c r="J2182" s="406"/>
      <c r="K2182" s="397"/>
      <c r="L2182" s="406"/>
      <c r="M2182" s="81">
        <v>19827300</v>
      </c>
      <c r="N2182" s="82" t="s">
        <v>579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customHeight="1">
      <c r="A2183" s="323" t="str">
        <f>IF(B2183&lt;&gt;"",IF(AND(B2183='IN-TC'!$S$4,OR(TH!N2098="1111",TH!O2098="1111")),TH!D2098,""),"")</f>
        <v/>
      </c>
      <c r="B2183" s="63">
        <f t="shared" si="161"/>
        <v>11</v>
      </c>
      <c r="C2183" s="78">
        <v>42698</v>
      </c>
      <c r="D2183" s="78" t="s">
        <v>570</v>
      </c>
      <c r="E2183" s="78">
        <v>42698</v>
      </c>
      <c r="F2183" s="80" t="s">
        <v>2193</v>
      </c>
      <c r="G2183" s="934" t="s">
        <v>2362</v>
      </c>
      <c r="H2183" s="80" t="s">
        <v>1484</v>
      </c>
      <c r="I2183" s="406"/>
      <c r="J2183" s="406"/>
      <c r="K2183" s="397"/>
      <c r="L2183" s="406"/>
      <c r="M2183" s="81">
        <v>1982730</v>
      </c>
      <c r="N2183" s="82" t="s">
        <v>9</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x</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c r="AE2183">
        <v>1</v>
      </c>
    </row>
    <row r="2184" spans="1:31" ht="15.75" customHeight="1">
      <c r="A2184" s="323" t="str">
        <f>IF(B2184&lt;&gt;"",IF(AND(B2184='IN-TC'!$S$4,OR(TH!N4464="1111",TH!O4464="1111")),TH!D4464,""),"")</f>
        <v/>
      </c>
      <c r="B2184" s="63">
        <f t="shared" si="161"/>
        <v>12</v>
      </c>
      <c r="C2184" s="64">
        <v>42713</v>
      </c>
      <c r="D2184" s="64" t="s">
        <v>690</v>
      </c>
      <c r="E2184" s="64">
        <f>C2184</f>
        <v>42713</v>
      </c>
      <c r="F2184" s="72" t="s">
        <v>1623</v>
      </c>
      <c r="G2184" s="67" t="s">
        <v>901</v>
      </c>
      <c r="H2184" s="308" t="s">
        <v>1484</v>
      </c>
      <c r="I2184" s="408"/>
      <c r="J2184" s="408"/>
      <c r="K2184" s="399"/>
      <c r="L2184" s="408"/>
      <c r="M2184" s="65">
        <v>200000000</v>
      </c>
      <c r="N2184" s="66" t="s">
        <v>8</v>
      </c>
      <c r="O2184" s="66" t="s">
        <v>25</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1" ht="15.75" customHeight="1">
      <c r="A2185" s="1160" t="str">
        <f>IF(B2185&lt;&gt;"",IF(AND(B2185='IN-TC'!$S$4,OR(TH!N2182="1111",TH!O2182="1111")),TH!D2182,""),"")</f>
        <v/>
      </c>
      <c r="B2185" s="948">
        <f t="shared" si="161"/>
        <v>12</v>
      </c>
      <c r="C2185" s="78">
        <v>42719</v>
      </c>
      <c r="D2185" s="78" t="s">
        <v>570</v>
      </c>
      <c r="E2185" s="78">
        <v>42719</v>
      </c>
      <c r="F2185" s="80" t="s">
        <v>1486</v>
      </c>
      <c r="G2185" s="934" t="s">
        <v>2820</v>
      </c>
      <c r="H2185" s="80" t="s">
        <v>1484</v>
      </c>
      <c r="I2185" s="406"/>
      <c r="J2185" s="406"/>
      <c r="K2185" s="397"/>
      <c r="L2185" s="406"/>
      <c r="M2185" s="81">
        <v>45540000</v>
      </c>
      <c r="N2185" s="82" t="s">
        <v>579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1" ht="15.75" customHeight="1">
      <c r="A2186" s="1160" t="str">
        <f>IF(B2186&lt;&gt;"",IF(AND(B2186='IN-TC'!$S$4,OR(TH!N2183="1111",TH!O2183="1111")),TH!D2183,""),"")</f>
        <v/>
      </c>
      <c r="B2186" s="948">
        <f t="shared" si="161"/>
        <v>12</v>
      </c>
      <c r="C2186" s="78">
        <v>42719</v>
      </c>
      <c r="D2186" s="78" t="s">
        <v>570</v>
      </c>
      <c r="E2186" s="78">
        <v>42719</v>
      </c>
      <c r="F2186" s="80" t="s">
        <v>2818</v>
      </c>
      <c r="G2186" s="934" t="s">
        <v>2821</v>
      </c>
      <c r="H2186" s="80" t="s">
        <v>1484</v>
      </c>
      <c r="I2186" s="406"/>
      <c r="J2186" s="406"/>
      <c r="K2186" s="397"/>
      <c r="L2186" s="406"/>
      <c r="M2186" s="81">
        <v>38936700</v>
      </c>
      <c r="N2186" s="82" t="s">
        <v>579</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customHeight="1">
      <c r="A2187" s="1160" t="str">
        <f>IF(B2187&lt;&gt;"",IF(AND(B2187='IN-TC'!$S$4,OR(TH!N2184="1111",TH!O2184="1111")),TH!D2184,""),"")</f>
        <v/>
      </c>
      <c r="B2187" s="948">
        <f t="shared" si="161"/>
        <v>12</v>
      </c>
      <c r="C2187" s="78">
        <v>42719</v>
      </c>
      <c r="D2187" s="78" t="s">
        <v>570</v>
      </c>
      <c r="E2187" s="78">
        <v>42719</v>
      </c>
      <c r="F2187" s="80" t="s">
        <v>2819</v>
      </c>
      <c r="G2187" s="934" t="s">
        <v>2821</v>
      </c>
      <c r="H2187" s="80" t="s">
        <v>1484</v>
      </c>
      <c r="I2187" s="406"/>
      <c r="J2187" s="406"/>
      <c r="K2187" s="397"/>
      <c r="L2187" s="406"/>
      <c r="M2187" s="81">
        <v>3893670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x</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customHeight="1">
      <c r="A2188" s="323" t="str">
        <f>IF(B2188&lt;&gt;"",IF(AND(B2188='IN-TC'!$S$4,OR(TH!N2156="1111",TH!O2156="1111")),TH!D2156,""),"")</f>
        <v/>
      </c>
      <c r="B2188" s="63">
        <f t="shared" si="161"/>
        <v>12</v>
      </c>
      <c r="C2188" s="78">
        <v>42730</v>
      </c>
      <c r="D2188" s="78" t="s">
        <v>570</v>
      </c>
      <c r="E2188" s="78">
        <v>42730</v>
      </c>
      <c r="F2188" s="80" t="s">
        <v>624</v>
      </c>
      <c r="G2188" s="934" t="s">
        <v>2322</v>
      </c>
      <c r="H2188" s="80" t="s">
        <v>615</v>
      </c>
      <c r="I2188" s="406"/>
      <c r="J2188" s="406"/>
      <c r="K2188" s="397"/>
      <c r="L2188" s="406"/>
      <c r="M2188" s="81">
        <v>5135920</v>
      </c>
      <c r="N2188" s="82" t="s">
        <v>579</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c r="AE2188">
        <v>1</v>
      </c>
    </row>
    <row r="2189" spans="1:31" ht="15.75" customHeight="1">
      <c r="A2189" s="323" t="str">
        <f>IF(B2189&lt;&gt;"",IF(AND(B2189='IN-TC'!$S$4,OR(TH!N2157="1111",TH!O2157="1111")),TH!D2157,""),"")</f>
        <v/>
      </c>
      <c r="B2189" s="63">
        <f t="shared" si="161"/>
        <v>12</v>
      </c>
      <c r="C2189" s="78">
        <v>42730</v>
      </c>
      <c r="D2189" s="78" t="s">
        <v>570</v>
      </c>
      <c r="E2189" s="78">
        <v>42730</v>
      </c>
      <c r="F2189" s="80" t="s">
        <v>625</v>
      </c>
      <c r="G2189" s="934" t="s">
        <v>2322</v>
      </c>
      <c r="H2189" s="80" t="s">
        <v>615</v>
      </c>
      <c r="I2189" s="406"/>
      <c r="J2189" s="406"/>
      <c r="K2189" s="397"/>
      <c r="L2189" s="406"/>
      <c r="M2189" s="81">
        <v>513592</v>
      </c>
      <c r="N2189" s="82" t="s">
        <v>9</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x</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customHeight="1">
      <c r="A2190" s="1160" t="str">
        <f>IF(B2190&lt;&gt;"",IF(AND(B2190='IN-TC'!$S$4,OR(TH!N2190="1111",TH!O2190="1111")),TH!D2190,""),"")</f>
        <v/>
      </c>
      <c r="B2190" s="948">
        <f t="shared" si="161"/>
        <v>12</v>
      </c>
      <c r="C2190" s="78">
        <v>42734</v>
      </c>
      <c r="D2190" s="78" t="s">
        <v>570</v>
      </c>
      <c r="E2190" s="78">
        <v>42734</v>
      </c>
      <c r="F2190" s="80" t="s">
        <v>2789</v>
      </c>
      <c r="G2190" s="934"/>
      <c r="H2190" s="80"/>
      <c r="I2190" s="406"/>
      <c r="J2190" s="406"/>
      <c r="K2190" s="397"/>
      <c r="L2190" s="406"/>
      <c r="M2190" s="81">
        <v>98271941</v>
      </c>
      <c r="N2190" s="82" t="s">
        <v>260</v>
      </c>
      <c r="O2190" s="82" t="s">
        <v>41</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1" ht="15.75" customHeight="1">
      <c r="A2191" s="323" t="str">
        <f>IF(B2191&lt;&gt;"",IF(AND(B2191='IN-TC'!$S$4,OR(TH!N1186="1111",TH!O1186="1111")),TH!D1186,""),"")</f>
        <v/>
      </c>
      <c r="B2191" s="63">
        <f t="shared" si="161"/>
        <v>2</v>
      </c>
      <c r="C2191" s="78">
        <f>E2191</f>
        <v>42417</v>
      </c>
      <c r="D2191" s="78" t="s">
        <v>934</v>
      </c>
      <c r="E2191" s="78">
        <v>42417</v>
      </c>
      <c r="F2191" s="79" t="s">
        <v>669</v>
      </c>
      <c r="G2191" s="79"/>
      <c r="H2191" s="80" t="s">
        <v>434</v>
      </c>
      <c r="I2191" s="406">
        <v>7450</v>
      </c>
      <c r="J2191" s="407">
        <v>15500</v>
      </c>
      <c r="K2191" s="397"/>
      <c r="L2191" s="406"/>
      <c r="M2191" s="81">
        <f>ROUND(I2191*J2191,0)</f>
        <v>115475000</v>
      </c>
      <c r="N2191" s="82" t="s">
        <v>268</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customHeight="1">
      <c r="A2192" s="323" t="str">
        <f>IF(B2192&lt;&gt;"",IF(AND(B2192='IN-TC'!$S$4,OR(TH!N2201="1111",TH!O2201="1111")),TH!D2201,""),"")</f>
        <v/>
      </c>
      <c r="B2192" s="63">
        <f t="shared" si="161"/>
        <v>2</v>
      </c>
      <c r="C2192" s="64">
        <f>E2192</f>
        <v>42429</v>
      </c>
      <c r="D2192" s="64" t="s">
        <v>1073</v>
      </c>
      <c r="E2192" s="64">
        <v>42429</v>
      </c>
      <c r="F2192" s="72" t="s">
        <v>932</v>
      </c>
      <c r="G2192" s="67" t="s">
        <v>337</v>
      </c>
      <c r="H2192" s="72" t="s">
        <v>427</v>
      </c>
      <c r="I2192" s="408"/>
      <c r="J2192" s="408"/>
      <c r="K2192" s="399"/>
      <c r="L2192" s="408"/>
      <c r="M2192" s="65">
        <v>221619000</v>
      </c>
      <c r="N2192" s="66" t="s">
        <v>8</v>
      </c>
      <c r="O2192" s="66" t="s">
        <v>266</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0" ht="15.75" customHeight="1">
      <c r="A2193" s="323" t="str">
        <f>IF(B2193&lt;&gt;"",IF(AND(B2193='IN-TC'!$S$4,OR(TH!N1274="1111",TH!O1274="1111")),TH!D1274,""),"")</f>
        <v/>
      </c>
      <c r="B2193" s="63">
        <f t="shared" si="161"/>
        <v>5</v>
      </c>
      <c r="C2193" s="78">
        <f>E2193</f>
        <v>42518</v>
      </c>
      <c r="D2193" s="78" t="s">
        <v>1943</v>
      </c>
      <c r="E2193" s="78">
        <v>42518</v>
      </c>
      <c r="F2193" s="79" t="s">
        <v>669</v>
      </c>
      <c r="G2193" s="79"/>
      <c r="H2193" s="80" t="s">
        <v>432</v>
      </c>
      <c r="I2193" s="406">
        <v>6530</v>
      </c>
      <c r="J2193" s="407">
        <v>15500</v>
      </c>
      <c r="K2193" s="397"/>
      <c r="L2193" s="406"/>
      <c r="M2193" s="81">
        <f>ROUND(I2193*J2193,0)</f>
        <v>101215000</v>
      </c>
      <c r="N2193" s="82" t="s">
        <v>268</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customHeight="1">
      <c r="A2194" s="323" t="str">
        <f>IF(B2194&lt;&gt;"",IF(AND(B2194='IN-TC'!$S$4,OR(TH!N2302="1111",TH!O2302="1111")),TH!D2302,""),"")</f>
        <v/>
      </c>
      <c r="B2194" s="63">
        <f t="shared" si="161"/>
        <v>10</v>
      </c>
      <c r="C2194" s="64">
        <v>42674</v>
      </c>
      <c r="D2194" s="64" t="s">
        <v>2273</v>
      </c>
      <c r="E2194" s="64">
        <v>42674</v>
      </c>
      <c r="F2194" s="72" t="s">
        <v>932</v>
      </c>
      <c r="G2194" s="67" t="s">
        <v>337</v>
      </c>
      <c r="H2194" s="85" t="s">
        <v>423</v>
      </c>
      <c r="I2194" s="408"/>
      <c r="J2194" s="408"/>
      <c r="K2194" s="399"/>
      <c r="L2194" s="408"/>
      <c r="M2194" s="65">
        <v>295830000</v>
      </c>
      <c r="N2194" s="66" t="s">
        <v>8</v>
      </c>
      <c r="O2194" s="66" t="s">
        <v>266</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customHeight="1">
      <c r="A2195" s="323" t="str">
        <f>IF(B2195&lt;&gt;"",IF(AND(B2195='IN-TC'!$S$4,OR(TH!N2202="1111",TH!O2202="1111")),TH!D2202,""),"")</f>
        <v/>
      </c>
      <c r="B2195" s="63">
        <f t="shared" si="161"/>
        <v>2</v>
      </c>
      <c r="C2195" s="64">
        <f>E2195</f>
        <v>42429</v>
      </c>
      <c r="D2195" s="64" t="s">
        <v>1073</v>
      </c>
      <c r="E2195" s="64">
        <v>42429</v>
      </c>
      <c r="F2195" s="72" t="s">
        <v>932</v>
      </c>
      <c r="G2195" s="67" t="s">
        <v>337</v>
      </c>
      <c r="H2195" s="72" t="s">
        <v>425</v>
      </c>
      <c r="I2195" s="408"/>
      <c r="J2195" s="408"/>
      <c r="K2195" s="399"/>
      <c r="L2195" s="408"/>
      <c r="M2195" s="65">
        <v>226455000</v>
      </c>
      <c r="N2195" s="66" t="s">
        <v>8</v>
      </c>
      <c r="O2195" s="66" t="s">
        <v>266</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customHeight="1">
      <c r="A2196" s="323" t="str">
        <f>IF(B2196&lt;&gt;"",IF(AND(B2196='IN-TC'!$S$4,OR(TH!N1271="1111",TH!O1271="1111")),TH!D1271,""),"")</f>
        <v/>
      </c>
      <c r="B2196" s="63">
        <f t="shared" si="161"/>
        <v>5</v>
      </c>
      <c r="C2196" s="78">
        <f>E2196</f>
        <v>42516</v>
      </c>
      <c r="D2196" s="78" t="s">
        <v>1940</v>
      </c>
      <c r="E2196" s="78">
        <v>42516</v>
      </c>
      <c r="F2196" s="79" t="s">
        <v>669</v>
      </c>
      <c r="G2196" s="79"/>
      <c r="H2196" s="80" t="s">
        <v>428</v>
      </c>
      <c r="I2196" s="406">
        <v>7540</v>
      </c>
      <c r="J2196" s="407">
        <v>15500</v>
      </c>
      <c r="K2196" s="397"/>
      <c r="L2196" s="406"/>
      <c r="M2196" s="81">
        <f>ROUND(I2196*J2196,0)</f>
        <v>116870000</v>
      </c>
      <c r="N2196" s="82" t="s">
        <v>268</v>
      </c>
      <c r="O2196" s="82" t="s">
        <v>8</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customHeight="1">
      <c r="A2197" s="323" t="str">
        <f>IF(B2197&lt;&gt;"",IF(AND(B2197='IN-TC'!$S$4,OR(TH!N2252="1111",TH!O2252="1111")),TH!D2252,""),"")</f>
        <v/>
      </c>
      <c r="B2197" s="63">
        <f t="shared" si="161"/>
        <v>6</v>
      </c>
      <c r="C2197" s="64">
        <f>E2197</f>
        <v>42551</v>
      </c>
      <c r="D2197" s="64" t="s">
        <v>2210</v>
      </c>
      <c r="E2197" s="64">
        <v>42551</v>
      </c>
      <c r="F2197" s="72" t="s">
        <v>932</v>
      </c>
      <c r="G2197" s="67" t="s">
        <v>337</v>
      </c>
      <c r="H2197" s="329" t="s">
        <v>436</v>
      </c>
      <c r="I2197" s="408"/>
      <c r="J2197" s="408"/>
      <c r="K2197" s="399"/>
      <c r="L2197" s="408"/>
      <c r="M2197" s="65">
        <v>288750000</v>
      </c>
      <c r="N2197" s="66" t="s">
        <v>8</v>
      </c>
      <c r="O2197" s="66" t="s">
        <v>266</v>
      </c>
      <c r="P2197" s="82" t="str">
        <f>IF(AND('331-CT'!$E$7=TH!H2197,OR(N2197="331",O2197="331")),"x","")</f>
        <v/>
      </c>
      <c r="Q2197" s="82" t="str">
        <f>IF(AND(B2197='111'!$L$11,OR($N2197=$Q$7,$O2197=$Q$7)),"x","")</f>
        <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ht="15.75" customHeight="1">
      <c r="A2198" s="323" t="str">
        <f>IF(B2198&lt;&gt;"",IF(AND(B2198='IN-TC'!$S$4,OR(TH!N2264="1111",TH!O2264="1111")),TH!D2264,""),"")</f>
        <v/>
      </c>
      <c r="B2198" s="63">
        <f t="shared" si="161"/>
        <v>7</v>
      </c>
      <c r="C2198" s="64">
        <f>E2198</f>
        <v>42582</v>
      </c>
      <c r="D2198" s="64" t="s">
        <v>2212</v>
      </c>
      <c r="E2198" s="64">
        <v>42582</v>
      </c>
      <c r="F2198" s="72" t="s">
        <v>932</v>
      </c>
      <c r="G2198" s="67" t="s">
        <v>337</v>
      </c>
      <c r="H2198" s="329" t="s">
        <v>418</v>
      </c>
      <c r="I2198" s="408"/>
      <c r="J2198" s="408"/>
      <c r="K2198" s="399"/>
      <c r="L2198" s="408"/>
      <c r="M2198" s="65">
        <v>293740000</v>
      </c>
      <c r="N2198" s="66" t="s">
        <v>8</v>
      </c>
      <c r="O2198" s="66" t="s">
        <v>266</v>
      </c>
      <c r="P2198" s="82" t="str">
        <f>IF(AND('331-CT'!$E$7=TH!H2198,OR(N2198="331",O2198="331")),"x","")</f>
        <v/>
      </c>
      <c r="Q2198" s="82" t="str">
        <f>IF(AND(B2198='111'!$L$11,OR($N2198=$Q$7,$O2198=$Q$7)),"x","")</f>
        <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customHeight="1">
      <c r="A2199" s="323" t="str">
        <f>IF(B2199&lt;&gt;"",IF(AND(B2199='IN-TC'!$S$4,OR(TH!N2281="1111",TH!O2281="1111")),TH!D2281,""),"")</f>
        <v/>
      </c>
      <c r="B2199" s="63">
        <f t="shared" si="161"/>
        <v>9</v>
      </c>
      <c r="C2199" s="64">
        <v>42643</v>
      </c>
      <c r="D2199" s="64" t="s">
        <v>2271</v>
      </c>
      <c r="E2199" s="64">
        <v>42643</v>
      </c>
      <c r="F2199" s="72" t="s">
        <v>932</v>
      </c>
      <c r="G2199" s="67" t="s">
        <v>337</v>
      </c>
      <c r="H2199" s="329" t="s">
        <v>421</v>
      </c>
      <c r="I2199" s="408"/>
      <c r="J2199" s="408"/>
      <c r="K2199" s="399"/>
      <c r="L2199" s="408"/>
      <c r="M2199" s="65">
        <v>104320000</v>
      </c>
      <c r="N2199" s="66" t="s">
        <v>8</v>
      </c>
      <c r="O2199" s="66" t="s">
        <v>266</v>
      </c>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customHeight="1">
      <c r="A2200" s="323" t="str">
        <f>IF(B2200&lt;&gt;"",IF(AND(B2200='IN-TC'!$S$4,OR(TH!N2200="1111",TH!O2200="1111")),TH!D2200,""),"")</f>
        <v/>
      </c>
      <c r="B2200" s="63">
        <f t="shared" si="161"/>
        <v>2</v>
      </c>
      <c r="C2200" s="64">
        <f>E2200</f>
        <v>42429</v>
      </c>
      <c r="D2200" s="64" t="s">
        <v>1073</v>
      </c>
      <c r="E2200" s="64">
        <v>42429</v>
      </c>
      <c r="F2200" s="72" t="s">
        <v>932</v>
      </c>
      <c r="G2200" s="67" t="s">
        <v>337</v>
      </c>
      <c r="H2200" s="72" t="s">
        <v>434</v>
      </c>
      <c r="I2200" s="408"/>
      <c r="J2200" s="408"/>
      <c r="K2200" s="399"/>
      <c r="L2200" s="408"/>
      <c r="M2200" s="65">
        <v>115475000</v>
      </c>
      <c r="N2200" s="66" t="s">
        <v>8</v>
      </c>
      <c r="O2200" s="66" t="s">
        <v>266</v>
      </c>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customHeight="1">
      <c r="A2201" s="323" t="str">
        <f>IF(B2201&lt;&gt;"",IF(AND(B2201='IN-TC'!$S$4,OR(TH!N1263="1111",TH!O1263="1111")),TH!D1263,""),"")</f>
        <v/>
      </c>
      <c r="B2201" s="63">
        <f t="shared" si="161"/>
        <v>5</v>
      </c>
      <c r="C2201" s="78">
        <f>E2201</f>
        <v>42511</v>
      </c>
      <c r="D2201" s="78" t="s">
        <v>937</v>
      </c>
      <c r="E2201" s="78">
        <v>42511</v>
      </c>
      <c r="F2201" s="79" t="s">
        <v>669</v>
      </c>
      <c r="G2201" s="79"/>
      <c r="H2201" s="80" t="s">
        <v>427</v>
      </c>
      <c r="I2201" s="406">
        <v>7430</v>
      </c>
      <c r="J2201" s="407">
        <v>15500</v>
      </c>
      <c r="K2201" s="397"/>
      <c r="L2201" s="406"/>
      <c r="M2201" s="81">
        <f t="shared" ref="M2201:M2207" si="162">ROUND(I2201*J2201,0)</f>
        <v>115165000</v>
      </c>
      <c r="N2201" s="82" t="s">
        <v>268</v>
      </c>
      <c r="O2201" s="82" t="s">
        <v>8</v>
      </c>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75" customHeight="1">
      <c r="A2202" s="323" t="str">
        <f>IF(B2202&lt;&gt;"",IF(AND(B2202='IN-TC'!$S$4,OR(TH!N1569="1111",TH!O1569="1111")),TH!D1569,""),"")</f>
        <v/>
      </c>
      <c r="B2202" s="63">
        <f t="shared" si="161"/>
        <v>11</v>
      </c>
      <c r="C2202" s="78">
        <v>42679</v>
      </c>
      <c r="D2202" s="78" t="s">
        <v>1940</v>
      </c>
      <c r="E2202" s="78">
        <f>C2202</f>
        <v>42679</v>
      </c>
      <c r="F2202" s="79" t="s">
        <v>669</v>
      </c>
      <c r="G2202" s="79" t="s">
        <v>337</v>
      </c>
      <c r="H2202" s="80" t="s">
        <v>425</v>
      </c>
      <c r="I2202" s="406">
        <v>9980</v>
      </c>
      <c r="J2202" s="407">
        <v>16500</v>
      </c>
      <c r="K2202" s="397"/>
      <c r="L2202" s="406"/>
      <c r="M2202" s="81">
        <f t="shared" si="162"/>
        <v>164670000</v>
      </c>
      <c r="N2202" s="82" t="s">
        <v>268</v>
      </c>
      <c r="O2202" s="82" t="s">
        <v>8</v>
      </c>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x</v>
      </c>
      <c r="AB2202" s="82" t="str">
        <f>IF(AND(OR(LEFT(TH!N2202,2)="15",LEFT(TH!O2202,2)="15"),LEFT(TH!O2202,3)&lt;&gt;"111",'152-CT'!$J$8=TH!F2202),"x","")</f>
        <v/>
      </c>
      <c r="AC2202" s="82" t="str">
        <f>IF(AND(OR(LEFT(TH!N2202,2)="15",LEFT(TH!O2202,2)="15"),TK!$E$7=TH!F2202),"x","")</f>
        <v/>
      </c>
      <c r="AD2202" s="82" t="str">
        <f>IF(AND(N2202="1521",MONTH(C2202)='BK-NL'!$M$11),"x","")</f>
        <v>x</v>
      </c>
    </row>
    <row r="2203" spans="1:30" ht="15.75" customHeight="1">
      <c r="A2203" s="323" t="str">
        <f>IF(B2203&lt;&gt;"",IF(AND(B2203='IN-TC'!$S$4,OR(TH!N1273="1111",TH!O1273="1111")),TH!D1273,""),"")</f>
        <v/>
      </c>
      <c r="B2203" s="63">
        <f t="shared" si="161"/>
        <v>5</v>
      </c>
      <c r="C2203" s="78">
        <f>E2203</f>
        <v>42518</v>
      </c>
      <c r="D2203" s="78" t="s">
        <v>1942</v>
      </c>
      <c r="E2203" s="78">
        <v>42518</v>
      </c>
      <c r="F2203" s="79" t="s">
        <v>669</v>
      </c>
      <c r="G2203" s="79"/>
      <c r="H2203" s="80" t="s">
        <v>428</v>
      </c>
      <c r="I2203" s="406">
        <v>6970</v>
      </c>
      <c r="J2203" s="407">
        <v>15500</v>
      </c>
      <c r="K2203" s="397"/>
      <c r="L2203" s="406"/>
      <c r="M2203" s="81">
        <f t="shared" si="162"/>
        <v>108035000</v>
      </c>
      <c r="N2203" s="82" t="s">
        <v>268</v>
      </c>
      <c r="O2203" s="82" t="s">
        <v>8</v>
      </c>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5.75" customHeight="1">
      <c r="A2204" s="323" t="str">
        <f>IF(B2204&lt;&gt;"",IF(AND(B2204='IN-TC'!$S$4,OR(TH!N1511="1111",TH!O1511="1111")),TH!D1511,""),"")</f>
        <v/>
      </c>
      <c r="B2204" s="63">
        <f t="shared" si="161"/>
        <v>10</v>
      </c>
      <c r="C2204" s="78">
        <v>42670</v>
      </c>
      <c r="D2204" s="78" t="s">
        <v>2299</v>
      </c>
      <c r="E2204" s="78">
        <v>42672</v>
      </c>
      <c r="F2204" s="79" t="s">
        <v>1935</v>
      </c>
      <c r="G2204" s="79"/>
      <c r="H2204" s="80" t="s">
        <v>418</v>
      </c>
      <c r="I2204" s="406">
        <v>6890</v>
      </c>
      <c r="J2204" s="407">
        <v>19000</v>
      </c>
      <c r="K2204" s="397"/>
      <c r="L2204" s="406"/>
      <c r="M2204" s="81">
        <f t="shared" si="162"/>
        <v>130910000</v>
      </c>
      <c r="N2204" s="82" t="s">
        <v>268</v>
      </c>
      <c r="O2204" s="82" t="s">
        <v>8</v>
      </c>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customHeight="1">
      <c r="A2205" s="323" t="str">
        <f>IF(B2205&lt;&gt;"",IF(AND(B2205='IN-TC'!$S$4,OR(TH!N1622="1111",TH!O1622="1111")),TH!D1622,""),"")</f>
        <v/>
      </c>
      <c r="B2205" s="63">
        <f t="shared" si="161"/>
        <v>11</v>
      </c>
      <c r="C2205" s="78">
        <v>42694</v>
      </c>
      <c r="D2205" s="78" t="s">
        <v>2293</v>
      </c>
      <c r="E2205" s="78">
        <f t="shared" ref="E2205:E2213" si="163">C2205</f>
        <v>42694</v>
      </c>
      <c r="F2205" s="79" t="s">
        <v>1952</v>
      </c>
      <c r="G2205" s="79" t="s">
        <v>331</v>
      </c>
      <c r="H2205" s="80" t="s">
        <v>376</v>
      </c>
      <c r="I2205" s="406">
        <v>14360</v>
      </c>
      <c r="J2205" s="407">
        <v>17500</v>
      </c>
      <c r="K2205" s="397"/>
      <c r="L2205" s="406"/>
      <c r="M2205" s="81">
        <f t="shared" si="162"/>
        <v>251300000</v>
      </c>
      <c r="N2205" s="82" t="s">
        <v>268</v>
      </c>
      <c r="O2205" s="82" t="s">
        <v>8</v>
      </c>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x</v>
      </c>
    </row>
    <row r="2206" spans="1:30" ht="15.75" customHeight="1">
      <c r="A2206" s="323"/>
      <c r="B2206" s="63">
        <f t="shared" si="161"/>
        <v>12</v>
      </c>
      <c r="C2206" s="1077">
        <v>42706</v>
      </c>
      <c r="D2206" s="1077" t="s">
        <v>923</v>
      </c>
      <c r="E2206" s="78">
        <f t="shared" si="163"/>
        <v>42706</v>
      </c>
      <c r="F2206" s="310" t="s">
        <v>1952</v>
      </c>
      <c r="G2206" s="1107"/>
      <c r="H2206" s="310" t="s">
        <v>381</v>
      </c>
      <c r="I2206" s="406">
        <v>14850</v>
      </c>
      <c r="J2206" s="407">
        <v>17500</v>
      </c>
      <c r="K2206" s="1110"/>
      <c r="L2206" s="1109"/>
      <c r="M2206" s="81">
        <f t="shared" si="162"/>
        <v>259875000</v>
      </c>
      <c r="N2206" s="82" t="s">
        <v>268</v>
      </c>
      <c r="O2206" s="82" t="s">
        <v>8</v>
      </c>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customHeight="1">
      <c r="A2207" s="323" t="str">
        <f>IF(B2207&lt;&gt;"",IF(AND(B2207='IN-TC'!$S$4,OR(TH!N1652="1111",TH!O1652="1111")),TH!D1652,""),"")</f>
        <v/>
      </c>
      <c r="B2207" s="63">
        <f t="shared" si="161"/>
        <v>11</v>
      </c>
      <c r="C2207" s="78">
        <v>42700</v>
      </c>
      <c r="D2207" s="78" t="s">
        <v>2859</v>
      </c>
      <c r="E2207" s="78">
        <f t="shared" si="163"/>
        <v>42700</v>
      </c>
      <c r="F2207" s="79" t="s">
        <v>1952</v>
      </c>
      <c r="G2207" s="79" t="s">
        <v>331</v>
      </c>
      <c r="H2207" s="80" t="s">
        <v>384</v>
      </c>
      <c r="I2207" s="406">
        <v>14450</v>
      </c>
      <c r="J2207" s="407">
        <v>17500</v>
      </c>
      <c r="K2207" s="397"/>
      <c r="L2207" s="406"/>
      <c r="M2207" s="81">
        <f t="shared" si="162"/>
        <v>252875000</v>
      </c>
      <c r="N2207" s="82" t="s">
        <v>268</v>
      </c>
      <c r="O2207" s="82" t="s">
        <v>8</v>
      </c>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x</v>
      </c>
    </row>
    <row r="2208" spans="1:30" ht="15.75" customHeight="1">
      <c r="A2208" s="323" t="str">
        <f>IF(B2208&lt;&gt;"",IF(AND(B2208='IN-TC'!$S$4,OR(TH!N2326="1111",TH!O2326="1111")),TH!D2326,""),"")</f>
        <v/>
      </c>
      <c r="B2208" s="63">
        <f t="shared" si="161"/>
        <v>11</v>
      </c>
      <c r="C2208" s="64">
        <v>42704</v>
      </c>
      <c r="D2208" s="64" t="s">
        <v>3009</v>
      </c>
      <c r="E2208" s="64">
        <f t="shared" si="163"/>
        <v>42704</v>
      </c>
      <c r="F2208" s="72" t="s">
        <v>932</v>
      </c>
      <c r="G2208" s="67" t="s">
        <v>331</v>
      </c>
      <c r="H2208" s="80" t="s">
        <v>386</v>
      </c>
      <c r="I2208" s="408"/>
      <c r="J2208" s="408"/>
      <c r="K2208" s="399"/>
      <c r="L2208" s="408"/>
      <c r="M2208" s="65">
        <v>1092001000</v>
      </c>
      <c r="N2208" s="66" t="s">
        <v>8</v>
      </c>
      <c r="O2208" s="66" t="s">
        <v>266</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customHeight="1">
      <c r="A2209" s="323"/>
      <c r="B2209" s="63">
        <f t="shared" si="161"/>
        <v>12</v>
      </c>
      <c r="C2209" s="1077">
        <v>42712</v>
      </c>
      <c r="D2209" s="1077" t="s">
        <v>1942</v>
      </c>
      <c r="E2209" s="78">
        <f t="shared" si="163"/>
        <v>42712</v>
      </c>
      <c r="F2209" s="310" t="s">
        <v>1952</v>
      </c>
      <c r="G2209" s="1107"/>
      <c r="H2209" s="310" t="s">
        <v>378</v>
      </c>
      <c r="I2209" s="406">
        <v>14850</v>
      </c>
      <c r="J2209" s="407">
        <v>17500</v>
      </c>
      <c r="K2209" s="1110"/>
      <c r="L2209" s="1109"/>
      <c r="M2209" s="81">
        <f>ROUND(I2209*J2209,0)</f>
        <v>259875000</v>
      </c>
      <c r="N2209" s="82" t="s">
        <v>268</v>
      </c>
      <c r="O2209" s="82" t="s">
        <v>8</v>
      </c>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customHeight="1">
      <c r="A2210" s="323" t="str">
        <f>IF(B2210&lt;&gt;"",IF(AND(B2210='IN-TC'!$S$4,OR(TH!N1663="1111",TH!O1663="1111")),TH!D1663,""),"")</f>
        <v/>
      </c>
      <c r="B2210" s="63">
        <f t="shared" si="161"/>
        <v>11</v>
      </c>
      <c r="C2210" s="78">
        <v>42703</v>
      </c>
      <c r="D2210" s="78" t="s">
        <v>2869</v>
      </c>
      <c r="E2210" s="78">
        <f t="shared" si="163"/>
        <v>42703</v>
      </c>
      <c r="F2210" s="79" t="s">
        <v>1952</v>
      </c>
      <c r="G2210" s="79" t="s">
        <v>331</v>
      </c>
      <c r="H2210" s="80" t="s">
        <v>371</v>
      </c>
      <c r="I2210" s="406">
        <v>14630</v>
      </c>
      <c r="J2210" s="407">
        <v>17500</v>
      </c>
      <c r="K2210" s="397"/>
      <c r="L2210" s="406"/>
      <c r="M2210" s="81">
        <f>ROUND(I2210*J2210,0)</f>
        <v>256025000</v>
      </c>
      <c r="N2210" s="82" t="s">
        <v>268</v>
      </c>
      <c r="O2210" s="82" t="s">
        <v>8</v>
      </c>
      <c r="P2210" s="82" t="str">
        <f>IF(AND('331-CT'!$E$7=TH!H2210,OR(N2210="331",O2210="331")),"x","")</f>
        <v/>
      </c>
      <c r="Q2210" s="82" t="str">
        <f>IF(AND(B2210='111'!$L$11,OR($N2210=$Q$7,$O2210=$Q$7)),"x","")</f>
        <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x</v>
      </c>
    </row>
    <row r="2211" spans="1:30" ht="15.75" customHeight="1">
      <c r="A2211" s="323"/>
      <c r="B2211" s="63">
        <f t="shared" si="161"/>
        <v>12</v>
      </c>
      <c r="C2211" s="1077">
        <v>42709</v>
      </c>
      <c r="D2211" s="1077" t="s">
        <v>934</v>
      </c>
      <c r="E2211" s="78">
        <f t="shared" si="163"/>
        <v>42709</v>
      </c>
      <c r="F2211" s="310" t="s">
        <v>1952</v>
      </c>
      <c r="G2211" s="1107"/>
      <c r="H2211" s="310" t="s">
        <v>388</v>
      </c>
      <c r="I2211" s="406">
        <v>14530</v>
      </c>
      <c r="J2211" s="407">
        <v>17500</v>
      </c>
      <c r="K2211" s="1110"/>
      <c r="L2211" s="1109"/>
      <c r="M2211" s="81">
        <f>ROUND(I2211*J2211,0)</f>
        <v>254275000</v>
      </c>
      <c r="N2211" s="82" t="s">
        <v>268</v>
      </c>
      <c r="O2211" s="82" t="s">
        <v>8</v>
      </c>
      <c r="P2211" s="82" t="str">
        <f>IF(AND('331-CT'!$E$7=TH!H2211,OR(N2211="331",O2211="331")),"x","")</f>
        <v/>
      </c>
      <c r="Q2211" s="82" t="str">
        <f>IF(AND(B2211='111'!$L$11,OR($N2211=$Q$7,$O2211=$Q$7)),"x","")</f>
        <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customHeight="1">
      <c r="A2212" s="323" t="str">
        <f>IF(B2212&lt;&gt;"",IF(AND(B2212='IN-TC'!$S$4,OR(TH!N1630="1111",TH!O1630="1111")),TH!D1630,""),"")</f>
        <v/>
      </c>
      <c r="B2212" s="63">
        <f t="shared" si="161"/>
        <v>11</v>
      </c>
      <c r="C2212" s="78">
        <v>42696</v>
      </c>
      <c r="D2212" s="78" t="s">
        <v>2301</v>
      </c>
      <c r="E2212" s="78">
        <f t="shared" si="163"/>
        <v>42696</v>
      </c>
      <c r="F2212" s="79" t="s">
        <v>1952</v>
      </c>
      <c r="G2212" s="79" t="s">
        <v>331</v>
      </c>
      <c r="H2212" s="80" t="s">
        <v>376</v>
      </c>
      <c r="I2212" s="406">
        <v>14800</v>
      </c>
      <c r="J2212" s="407">
        <v>17500</v>
      </c>
      <c r="K2212" s="397"/>
      <c r="L2212" s="406"/>
      <c r="M2212" s="81">
        <f>ROUND(I2212*J2212,0)</f>
        <v>259000000</v>
      </c>
      <c r="N2212" s="82" t="s">
        <v>268</v>
      </c>
      <c r="O2212" s="82" t="s">
        <v>8</v>
      </c>
      <c r="P2212" s="82" t="str">
        <f>IF(AND('331-CT'!$E$7=TH!H2212,OR(N2212="331",O2212="331")),"x","")</f>
        <v/>
      </c>
      <c r="Q2212" s="82" t="str">
        <f>IF(AND(B2212='111'!$L$11,OR($N2212=$Q$7,$O2212=$Q$7)),"x","")</f>
        <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x</v>
      </c>
    </row>
    <row r="2213" spans="1:30" ht="15.75" customHeight="1">
      <c r="A2213" s="323"/>
      <c r="B2213" s="63">
        <f t="shared" si="161"/>
        <v>12</v>
      </c>
      <c r="C2213" s="1077">
        <v>42709</v>
      </c>
      <c r="D2213" s="1077" t="s">
        <v>936</v>
      </c>
      <c r="E2213" s="78">
        <f t="shared" si="163"/>
        <v>42709</v>
      </c>
      <c r="F2213" s="310" t="s">
        <v>1952</v>
      </c>
      <c r="G2213" s="1107"/>
      <c r="H2213" s="310" t="s">
        <v>381</v>
      </c>
      <c r="I2213" s="406">
        <v>14520</v>
      </c>
      <c r="J2213" s="407">
        <v>17500</v>
      </c>
      <c r="K2213" s="1110"/>
      <c r="L2213" s="1109"/>
      <c r="M2213" s="81">
        <f>ROUND(I2213*J2213,0)</f>
        <v>254100000</v>
      </c>
      <c r="N2213" s="82" t="s">
        <v>268</v>
      </c>
      <c r="O2213" s="82" t="s">
        <v>8</v>
      </c>
      <c r="P2213" s="82" t="str">
        <f>IF(AND('331-CT'!$E$7=TH!H2213,OR(N2213="331",O2213="331")),"x","")</f>
        <v/>
      </c>
      <c r="Q2213" s="82" t="str">
        <f>IF(AND(B2213='111'!$L$11,OR($N2213=$Q$7,$O2213=$Q$7)),"x","")</f>
        <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customHeight="1">
      <c r="A2214" s="323" t="str">
        <f>IF(B2214&lt;&gt;"",IF(AND(B2214='IN-TC'!$S$4,OR(TH!N2295="1111",TH!O2295="1111")),TH!D2295,""),"")</f>
        <v/>
      </c>
      <c r="B2214" s="63">
        <f t="shared" si="161"/>
        <v>9</v>
      </c>
      <c r="C2214" s="64">
        <v>42643</v>
      </c>
      <c r="D2214" s="64" t="s">
        <v>2272</v>
      </c>
      <c r="E2214" s="64">
        <v>42643</v>
      </c>
      <c r="F2214" s="72" t="s">
        <v>932</v>
      </c>
      <c r="G2214" s="67" t="s">
        <v>331</v>
      </c>
      <c r="H2214" s="329" t="s">
        <v>354</v>
      </c>
      <c r="I2214" s="408"/>
      <c r="J2214" s="408"/>
      <c r="K2214" s="399"/>
      <c r="L2214" s="408"/>
      <c r="M2214" s="65">
        <v>117900000</v>
      </c>
      <c r="N2214" s="66" t="s">
        <v>8</v>
      </c>
      <c r="O2214" s="66" t="s">
        <v>266</v>
      </c>
      <c r="P2214" s="82" t="str">
        <f>IF(AND('331-CT'!$E$7=TH!H2214,OR(N2214="331",O2214="331")),"x","")</f>
        <v/>
      </c>
      <c r="Q2214" s="82" t="str">
        <f>IF(AND(B2214='111'!$L$11,OR($N2214=$Q$7,$O2214=$Q$7)),"x","")</f>
        <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customHeight="1">
      <c r="A2215" s="323" t="str">
        <f>IF(B2215&lt;&gt;"",IF(AND(B2215='IN-TC'!$S$4,OR(TH!N2254="1111",TH!O2254="1111")),TH!D2254,""),"")</f>
        <v/>
      </c>
      <c r="B2215" s="63">
        <f t="shared" si="161"/>
        <v>6</v>
      </c>
      <c r="C2215" s="64">
        <f>E2215</f>
        <v>42551</v>
      </c>
      <c r="D2215" s="64" t="s">
        <v>2211</v>
      </c>
      <c r="E2215" s="64">
        <v>42551</v>
      </c>
      <c r="F2215" s="72" t="s">
        <v>932</v>
      </c>
      <c r="G2215" s="67" t="s">
        <v>331</v>
      </c>
      <c r="H2215" s="329" t="s">
        <v>339</v>
      </c>
      <c r="I2215" s="410"/>
      <c r="J2215" s="410"/>
      <c r="K2215" s="401"/>
      <c r="L2215" s="410"/>
      <c r="M2215" s="65">
        <v>124875000</v>
      </c>
      <c r="N2215" s="66" t="s">
        <v>8</v>
      </c>
      <c r="O2215" s="66" t="s">
        <v>266</v>
      </c>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customHeight="1">
      <c r="A2216" s="323" t="str">
        <f>IF(B2216&lt;&gt;"",IF(AND(B2216='IN-TC'!$S$4,OR(TH!N2255="1111",TH!O2255="1111")),TH!D2255,""),"")</f>
        <v/>
      </c>
      <c r="B2216" s="63">
        <f t="shared" si="161"/>
        <v>6</v>
      </c>
      <c r="C2216" s="64">
        <f>E2216</f>
        <v>42551</v>
      </c>
      <c r="D2216" s="64" t="s">
        <v>2211</v>
      </c>
      <c r="E2216" s="64">
        <v>42551</v>
      </c>
      <c r="F2216" s="72" t="s">
        <v>932</v>
      </c>
      <c r="G2216" s="67" t="s">
        <v>331</v>
      </c>
      <c r="H2216" s="329" t="s">
        <v>357</v>
      </c>
      <c r="I2216" s="408"/>
      <c r="J2216" s="408"/>
      <c r="K2216" s="399"/>
      <c r="L2216" s="408"/>
      <c r="M2216" s="65">
        <v>258112000</v>
      </c>
      <c r="N2216" s="66" t="s">
        <v>8</v>
      </c>
      <c r="O2216" s="66" t="s">
        <v>266</v>
      </c>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customHeight="1">
      <c r="A2217" s="323" t="str">
        <f>IF(B2217&lt;&gt;"",IF(AND(B2217='IN-TC'!$S$4,OR(TH!N1665="1111",TH!O1665="1111")),TH!D1665,""),"")</f>
        <v/>
      </c>
      <c r="B2217" s="63">
        <f t="shared" si="161"/>
        <v>11</v>
      </c>
      <c r="C2217" s="78">
        <v>42703</v>
      </c>
      <c r="D2217" s="78" t="s">
        <v>2871</v>
      </c>
      <c r="E2217" s="78">
        <f>C2217</f>
        <v>42703</v>
      </c>
      <c r="F2217" s="79" t="s">
        <v>1952</v>
      </c>
      <c r="G2217" s="79" t="s">
        <v>331</v>
      </c>
      <c r="H2217" s="80" t="s">
        <v>384</v>
      </c>
      <c r="I2217" s="406">
        <v>14850</v>
      </c>
      <c r="J2217" s="407">
        <v>17500</v>
      </c>
      <c r="K2217" s="397"/>
      <c r="L2217" s="406"/>
      <c r="M2217" s="81">
        <f t="shared" ref="M2217:M2223" si="164">ROUND(I2217*J2217,0)</f>
        <v>259875000</v>
      </c>
      <c r="N2217" s="82" t="s">
        <v>268</v>
      </c>
      <c r="O2217" s="82" t="s">
        <v>8</v>
      </c>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x</v>
      </c>
    </row>
    <row r="2218" spans="1:30" ht="15.75" customHeight="1">
      <c r="A2218" s="323" t="str">
        <f>IF(B2218&lt;&gt;"",IF(AND(B2218='IN-TC'!$S$4,OR(TH!N1395="1111",TH!O1395="1111")),TH!D1395,""),"")</f>
        <v/>
      </c>
      <c r="B2218" s="63">
        <f t="shared" si="161"/>
        <v>9</v>
      </c>
      <c r="C2218" s="78">
        <v>42625</v>
      </c>
      <c r="D2218" s="78" t="s">
        <v>938</v>
      </c>
      <c r="E2218" s="78">
        <f>C2218</f>
        <v>42625</v>
      </c>
      <c r="F2218" s="79" t="s">
        <v>1934</v>
      </c>
      <c r="G2218" s="79" t="s">
        <v>331</v>
      </c>
      <c r="H2218" s="80" t="s">
        <v>342</v>
      </c>
      <c r="I2218" s="406">
        <v>4700</v>
      </c>
      <c r="J2218" s="407">
        <v>35000</v>
      </c>
      <c r="K2218" s="397"/>
      <c r="L2218" s="406"/>
      <c r="M2218" s="81">
        <f t="shared" si="164"/>
        <v>164500000</v>
      </c>
      <c r="N2218" s="82" t="s">
        <v>268</v>
      </c>
      <c r="O2218" s="82" t="s">
        <v>8</v>
      </c>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customHeight="1">
      <c r="A2219" s="323" t="str">
        <f>IF(B2219&lt;&gt;"",IF(AND(B2219='IN-TC'!$S$4,OR(TH!N1397="1111",TH!O1397="1111")),TH!D1397,""),"")</f>
        <v/>
      </c>
      <c r="B2219" s="63">
        <f t="shared" si="161"/>
        <v>9</v>
      </c>
      <c r="C2219" s="78">
        <v>42626</v>
      </c>
      <c r="D2219" s="78" t="s">
        <v>939</v>
      </c>
      <c r="E2219" s="78">
        <v>42625</v>
      </c>
      <c r="F2219" s="79" t="s">
        <v>668</v>
      </c>
      <c r="G2219" s="79" t="s">
        <v>331</v>
      </c>
      <c r="H2219" s="80" t="s">
        <v>360</v>
      </c>
      <c r="I2219" s="406">
        <v>5450</v>
      </c>
      <c r="J2219" s="407">
        <v>18000</v>
      </c>
      <c r="K2219" s="397"/>
      <c r="L2219" s="406"/>
      <c r="M2219" s="81">
        <f t="shared" si="164"/>
        <v>98100000</v>
      </c>
      <c r="N2219" s="82" t="s">
        <v>268</v>
      </c>
      <c r="O2219" s="82" t="s">
        <v>8</v>
      </c>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customHeight="1">
      <c r="A2220" s="323"/>
      <c r="B2220" s="63">
        <f t="shared" si="161"/>
        <v>12</v>
      </c>
      <c r="C2220" s="1077">
        <v>42706</v>
      </c>
      <c r="D2220" s="1077" t="s">
        <v>924</v>
      </c>
      <c r="E2220" s="78">
        <f>C2220</f>
        <v>42706</v>
      </c>
      <c r="F2220" s="310" t="s">
        <v>1952</v>
      </c>
      <c r="G2220" s="1107"/>
      <c r="H2220" s="310" t="s">
        <v>386</v>
      </c>
      <c r="I2220" s="406">
        <v>14450</v>
      </c>
      <c r="J2220" s="407">
        <v>17500</v>
      </c>
      <c r="K2220" s="1110"/>
      <c r="L2220" s="1109"/>
      <c r="M2220" s="81">
        <f t="shared" si="164"/>
        <v>252875000</v>
      </c>
      <c r="N2220" s="82" t="s">
        <v>268</v>
      </c>
      <c r="O2220" s="82" t="s">
        <v>8</v>
      </c>
      <c r="P2220" s="82" t="str">
        <f>IF(AND('331-CT'!$E$7=TH!H2220,OR(N2220="331",O2220="331")),"x","")</f>
        <v/>
      </c>
      <c r="Q2220" s="82" t="str">
        <f>IF(AND(B2220='111'!$L$11,OR($N2220=$Q$7,$O2220=$Q$7)),"x","")</f>
        <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customHeight="1">
      <c r="A2221" s="323"/>
      <c r="B2221" s="63">
        <f t="shared" si="161"/>
        <v>12</v>
      </c>
      <c r="C2221" s="1077">
        <v>42714</v>
      </c>
      <c r="D2221" s="1077" t="s">
        <v>2231</v>
      </c>
      <c r="E2221" s="78">
        <f>C2221</f>
        <v>42714</v>
      </c>
      <c r="F2221" s="310" t="s">
        <v>1952</v>
      </c>
      <c r="G2221" s="1107"/>
      <c r="H2221" s="310" t="s">
        <v>378</v>
      </c>
      <c r="I2221" s="406">
        <v>14557</v>
      </c>
      <c r="J2221" s="407">
        <v>17500</v>
      </c>
      <c r="K2221" s="1110"/>
      <c r="L2221" s="1109"/>
      <c r="M2221" s="81">
        <f t="shared" si="164"/>
        <v>254747500</v>
      </c>
      <c r="N2221" s="82" t="s">
        <v>268</v>
      </c>
      <c r="O2221" s="82" t="s">
        <v>8</v>
      </c>
      <c r="P2221" s="82" t="str">
        <f>IF(AND('331-CT'!$E$7=TH!H2221,OR(N2221="331",O2221="331")),"x","")</f>
        <v/>
      </c>
      <c r="Q2221" s="82" t="str">
        <f>IF(AND(B2221='111'!$L$11,OR($N2221=$Q$7,$O2221=$Q$7)),"x","")</f>
        <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customHeight="1">
      <c r="A2222" s="323" t="str">
        <f>IF(B2222&lt;&gt;"",IF(AND(B2222='IN-TC'!$S$4,OR(TH!N1668="1111",TH!O1668="1111")),TH!D1668,""),"")</f>
        <v/>
      </c>
      <c r="B2222" s="63">
        <f t="shared" ref="B2222:B2285" si="165">IF(C2222&lt;&gt;"",MONTH(C2222),"")</f>
        <v>11</v>
      </c>
      <c r="C2222" s="78">
        <v>42704</v>
      </c>
      <c r="D2222" s="78" t="s">
        <v>2874</v>
      </c>
      <c r="E2222" s="78">
        <f>C2222</f>
        <v>42704</v>
      </c>
      <c r="F2222" s="79" t="s">
        <v>1952</v>
      </c>
      <c r="G2222" s="79" t="s">
        <v>331</v>
      </c>
      <c r="H2222" s="80" t="s">
        <v>371</v>
      </c>
      <c r="I2222" s="406">
        <v>14865</v>
      </c>
      <c r="J2222" s="407">
        <v>17500</v>
      </c>
      <c r="K2222" s="397"/>
      <c r="L2222" s="406"/>
      <c r="M2222" s="81">
        <f t="shared" si="164"/>
        <v>260137500</v>
      </c>
      <c r="N2222" s="82" t="s">
        <v>268</v>
      </c>
      <c r="O2222" s="82" t="s">
        <v>8</v>
      </c>
      <c r="P2222" s="82" t="str">
        <f>IF(AND('331-CT'!$E$7=TH!H2222,OR(N2222="331",O2222="331")),"x","")</f>
        <v/>
      </c>
      <c r="Q2222" s="82" t="str">
        <f>IF(AND(B2222='111'!$L$11,OR($N2222=$Q$7,$O2222=$Q$7)),"x","")</f>
        <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x</v>
      </c>
    </row>
    <row r="2223" spans="1:30" ht="15.75" customHeight="1">
      <c r="A2223" s="323"/>
      <c r="B2223" s="63">
        <f t="shared" si="165"/>
        <v>12</v>
      </c>
      <c r="C2223" s="1077">
        <v>42711</v>
      </c>
      <c r="D2223" s="1077" t="s">
        <v>944</v>
      </c>
      <c r="E2223" s="78">
        <f>C2223</f>
        <v>42711</v>
      </c>
      <c r="F2223" s="310" t="s">
        <v>1952</v>
      </c>
      <c r="G2223" s="1107"/>
      <c r="H2223" s="310" t="s">
        <v>388</v>
      </c>
      <c r="I2223" s="406">
        <v>14450</v>
      </c>
      <c r="J2223" s="407">
        <v>17500</v>
      </c>
      <c r="K2223" s="1110"/>
      <c r="L2223" s="1109"/>
      <c r="M2223" s="81">
        <f t="shared" si="164"/>
        <v>252875000</v>
      </c>
      <c r="N2223" s="82" t="s">
        <v>268</v>
      </c>
      <c r="O2223" s="82" t="s">
        <v>8</v>
      </c>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customHeight="1">
      <c r="A2224" s="323" t="str">
        <f>IF(B2224&lt;&gt;"",IF(AND(B2224='IN-TC'!$S$4,OR(TH!N2234="1111",TH!O2234="1111")),TH!D2234,""),"")</f>
        <v/>
      </c>
      <c r="B2224" s="63">
        <f t="shared" si="165"/>
        <v>5</v>
      </c>
      <c r="C2224" s="64">
        <f>E2224</f>
        <v>42521</v>
      </c>
      <c r="D2224" s="64" t="s">
        <v>2208</v>
      </c>
      <c r="E2224" s="64">
        <v>42521</v>
      </c>
      <c r="F2224" s="72" t="s">
        <v>932</v>
      </c>
      <c r="G2224" s="67" t="s">
        <v>337</v>
      </c>
      <c r="H2224" s="329" t="s">
        <v>432</v>
      </c>
      <c r="I2224" s="408"/>
      <c r="J2224" s="408"/>
      <c r="K2224" s="399"/>
      <c r="L2224" s="408"/>
      <c r="M2224" s="65">
        <v>437332500</v>
      </c>
      <c r="N2224" s="66" t="s">
        <v>8</v>
      </c>
      <c r="O2224" s="66" t="s">
        <v>266</v>
      </c>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customHeight="1">
      <c r="A2225" s="323" t="str">
        <f>IF(B2225&lt;&gt;"",IF(AND(B2225='IN-TC'!$S$4,OR(TH!N1546="1111",TH!O1546="1111")),TH!D1546,""),"")</f>
        <v/>
      </c>
      <c r="B2225" s="63">
        <f t="shared" si="165"/>
        <v>11</v>
      </c>
      <c r="C2225" s="78">
        <v>42675</v>
      </c>
      <c r="D2225" s="78" t="s">
        <v>917</v>
      </c>
      <c r="E2225" s="78">
        <f>C2225</f>
        <v>42675</v>
      </c>
      <c r="F2225" s="79" t="s">
        <v>669</v>
      </c>
      <c r="G2225" s="79" t="s">
        <v>337</v>
      </c>
      <c r="H2225" s="85" t="s">
        <v>423</v>
      </c>
      <c r="I2225" s="406">
        <v>9986</v>
      </c>
      <c r="J2225" s="407">
        <v>16500</v>
      </c>
      <c r="K2225" s="397"/>
      <c r="L2225" s="406"/>
      <c r="M2225" s="81">
        <f>ROUND(I2225*J2225,0)</f>
        <v>164769000</v>
      </c>
      <c r="N2225" s="82" t="s">
        <v>268</v>
      </c>
      <c r="O2225" s="82" t="s">
        <v>8</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x</v>
      </c>
    </row>
    <row r="2226" spans="1:30" ht="15.75" customHeight="1">
      <c r="A2226" s="323" t="str">
        <f>IF(B2226&lt;&gt;"",IF(AND(B2226='IN-TC'!$S$4,OR(TH!N2236="1111",TH!O2236="1111")),TH!D2236,""),"")</f>
        <v/>
      </c>
      <c r="B2226" s="63">
        <f t="shared" si="165"/>
        <v>5</v>
      </c>
      <c r="C2226" s="64">
        <f>E2226</f>
        <v>42521</v>
      </c>
      <c r="D2226" s="64" t="s">
        <v>2208</v>
      </c>
      <c r="E2226" s="64">
        <v>42521</v>
      </c>
      <c r="F2226" s="72" t="s">
        <v>932</v>
      </c>
      <c r="G2226" s="67" t="s">
        <v>337</v>
      </c>
      <c r="H2226" s="329" t="s">
        <v>428</v>
      </c>
      <c r="I2226" s="408"/>
      <c r="J2226" s="408"/>
      <c r="K2226" s="399"/>
      <c r="L2226" s="408"/>
      <c r="M2226" s="65">
        <v>449019500</v>
      </c>
      <c r="N2226" s="66" t="s">
        <v>8</v>
      </c>
      <c r="O2226" s="66" t="s">
        <v>266</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customHeight="1">
      <c r="A2227" s="323" t="str">
        <f>IF(B2227&lt;&gt;"",IF(AND(B2227='IN-TC'!$S$4,OR(TH!N1505="1111",TH!O1505="1111")),TH!D1505,""),"")</f>
        <v/>
      </c>
      <c r="B2227" s="63">
        <f t="shared" si="165"/>
        <v>10</v>
      </c>
      <c r="C2227" s="78">
        <v>42668</v>
      </c>
      <c r="D2227" s="78" t="s">
        <v>2293</v>
      </c>
      <c r="E2227" s="78">
        <v>42671</v>
      </c>
      <c r="F2227" s="79" t="s">
        <v>1935</v>
      </c>
      <c r="G2227" s="79"/>
      <c r="H2227" s="80" t="s">
        <v>421</v>
      </c>
      <c r="I2227" s="406">
        <v>8460</v>
      </c>
      <c r="J2227" s="407">
        <v>19000</v>
      </c>
      <c r="K2227" s="397"/>
      <c r="L2227" s="406"/>
      <c r="M2227" s="81">
        <f>ROUND(I2227*J2227,0)</f>
        <v>160740000</v>
      </c>
      <c r="N2227" s="82" t="s">
        <v>268</v>
      </c>
      <c r="O2227" s="82" t="s">
        <v>8</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customHeight="1">
      <c r="A2228" s="323" t="str">
        <f>IF(B2228&lt;&gt;"",IF(AND(B2228='IN-TC'!$S$4,OR(TH!N1431="1111",TH!O1431="1111")),TH!D1431,""),"")</f>
        <v/>
      </c>
      <c r="B2228" s="63">
        <f t="shared" si="165"/>
        <v>10</v>
      </c>
      <c r="C2228" s="78">
        <v>42644</v>
      </c>
      <c r="D2228" s="78" t="s">
        <v>919</v>
      </c>
      <c r="E2228" s="78">
        <f>C2228</f>
        <v>42644</v>
      </c>
      <c r="F2228" s="79" t="s">
        <v>668</v>
      </c>
      <c r="G2228" s="79"/>
      <c r="H2228" s="80" t="s">
        <v>354</v>
      </c>
      <c r="I2228" s="406">
        <v>4950</v>
      </c>
      <c r="J2228" s="407">
        <v>18000</v>
      </c>
      <c r="K2228" s="397"/>
      <c r="L2228" s="406"/>
      <c r="M2228" s="81">
        <f>ROUND(I2228*J2228,0)</f>
        <v>89100000</v>
      </c>
      <c r="N2228" s="82" t="s">
        <v>268</v>
      </c>
      <c r="O2228" s="82" t="s">
        <v>8</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customHeight="1">
      <c r="A2229" s="323" t="str">
        <f>IF(B2229&lt;&gt;"",IF(AND(B2229='IN-TC'!$S$4,OR(TH!N1441="1111",TH!O1441="1111")),TH!D1441,""),"")</f>
        <v/>
      </c>
      <c r="B2229" s="63">
        <f t="shared" si="165"/>
        <v>10</v>
      </c>
      <c r="C2229" s="78">
        <v>42646</v>
      </c>
      <c r="D2229" s="78" t="s">
        <v>934</v>
      </c>
      <c r="E2229" s="78">
        <f>C2229</f>
        <v>42646</v>
      </c>
      <c r="F2229" s="79" t="s">
        <v>668</v>
      </c>
      <c r="G2229" s="79"/>
      <c r="H2229" s="85" t="s">
        <v>339</v>
      </c>
      <c r="I2229" s="406">
        <v>4680</v>
      </c>
      <c r="J2229" s="407">
        <v>18000</v>
      </c>
      <c r="K2229" s="397"/>
      <c r="L2229" s="406"/>
      <c r="M2229" s="81">
        <f>ROUND(I2229*J2229,0)</f>
        <v>84240000</v>
      </c>
      <c r="N2229" s="82" t="s">
        <v>268</v>
      </c>
      <c r="O2229" s="82" t="s">
        <v>8</v>
      </c>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customHeight="1">
      <c r="A2230" s="323" t="str">
        <f>IF(B2230&lt;&gt;"",IF(AND(B2230='IN-TC'!$S$4,OR(TH!N1399="1111",TH!O1399="1111")),TH!D1399,""),"")</f>
        <v/>
      </c>
      <c r="B2230" s="63">
        <f t="shared" si="165"/>
        <v>9</v>
      </c>
      <c r="C2230" s="78">
        <v>42626</v>
      </c>
      <c r="D2230" s="78" t="s">
        <v>941</v>
      </c>
      <c r="E2230" s="78">
        <v>42625</v>
      </c>
      <c r="F2230" s="79" t="s">
        <v>668</v>
      </c>
      <c r="G2230" s="79" t="s">
        <v>331</v>
      </c>
      <c r="H2230" s="80" t="s">
        <v>357</v>
      </c>
      <c r="I2230" s="406">
        <v>5000</v>
      </c>
      <c r="J2230" s="407">
        <v>18000</v>
      </c>
      <c r="K2230" s="397"/>
      <c r="L2230" s="406"/>
      <c r="M2230" s="81">
        <f>ROUND(I2230*J2230,0)</f>
        <v>90000000</v>
      </c>
      <c r="N2230" s="82" t="s">
        <v>268</v>
      </c>
      <c r="O2230" s="82" t="s">
        <v>8</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customHeight="1">
      <c r="A2231" s="323" t="str">
        <f>IF(B2231&lt;&gt;"",IF(AND(B2231='IN-TC'!$S$4,OR(TH!N2292="1111",TH!O2292="1111")),TH!D2292,""),"")</f>
        <v/>
      </c>
      <c r="B2231" s="63">
        <f t="shared" si="165"/>
        <v>9</v>
      </c>
      <c r="C2231" s="64">
        <v>42643</v>
      </c>
      <c r="D2231" s="64" t="s">
        <v>2272</v>
      </c>
      <c r="E2231" s="64">
        <v>42643</v>
      </c>
      <c r="F2231" s="72" t="s">
        <v>932</v>
      </c>
      <c r="G2231" s="67" t="s">
        <v>331</v>
      </c>
      <c r="H2231" s="329" t="s">
        <v>342</v>
      </c>
      <c r="I2231" s="408"/>
      <c r="J2231" s="408"/>
      <c r="K2231" s="399"/>
      <c r="L2231" s="408"/>
      <c r="M2231" s="65">
        <v>367500000</v>
      </c>
      <c r="N2231" s="66" t="s">
        <v>8</v>
      </c>
      <c r="O2231" s="66" t="s">
        <v>266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customHeight="1">
      <c r="A2232" s="323" t="str">
        <f>IF(B2232&lt;&gt;"",IF(AND(B2232='IN-TC'!$S$4,OR(TH!N2297="1111",TH!O2297="1111")),TH!D2297,""),"")</f>
        <v/>
      </c>
      <c r="B2232" s="63">
        <f t="shared" si="165"/>
        <v>9</v>
      </c>
      <c r="C2232" s="64">
        <v>42643</v>
      </c>
      <c r="D2232" s="64" t="s">
        <v>2272</v>
      </c>
      <c r="E2232" s="64">
        <v>42643</v>
      </c>
      <c r="F2232" s="72" t="s">
        <v>932</v>
      </c>
      <c r="G2232" s="67" t="s">
        <v>331</v>
      </c>
      <c r="H2232" s="329" t="s">
        <v>360</v>
      </c>
      <c r="I2232" s="408"/>
      <c r="J2232" s="408"/>
      <c r="K2232" s="399"/>
      <c r="L2232" s="408"/>
      <c r="M2232" s="65">
        <v>98100000</v>
      </c>
      <c r="N2232" s="66" t="s">
        <v>8</v>
      </c>
      <c r="O2232" s="66" t="s">
        <v>266</v>
      </c>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customHeight="1">
      <c r="A2233" s="323" t="str">
        <f>IF(B2233&lt;&gt;"",IF(AND(B2233='IN-TC'!$S$4,OR(TH!N2233="1111",TH!O2233="1111")),TH!D2233,""),"")</f>
        <v/>
      </c>
      <c r="B2233" s="63">
        <f t="shared" si="165"/>
        <v>5</v>
      </c>
      <c r="C2233" s="64">
        <f>E2233</f>
        <v>42521</v>
      </c>
      <c r="D2233" s="64" t="s">
        <v>2208</v>
      </c>
      <c r="E2233" s="64">
        <v>42521</v>
      </c>
      <c r="F2233" s="72" t="s">
        <v>932</v>
      </c>
      <c r="G2233" s="67" t="s">
        <v>337</v>
      </c>
      <c r="H2233" s="329" t="s">
        <v>427</v>
      </c>
      <c r="I2233" s="408"/>
      <c r="J2233" s="408"/>
      <c r="K2233" s="399"/>
      <c r="L2233" s="408"/>
      <c r="M2233" s="65">
        <v>115165000</v>
      </c>
      <c r="N2233" s="66" t="s">
        <v>8</v>
      </c>
      <c r="O2233" s="66" t="s">
        <v>266</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customHeight="1">
      <c r="A2234" s="323" t="str">
        <f>IF(B2234&lt;&gt;"",IF(AND(B2234='IN-TC'!$S$4,OR(TH!N1328="1111",TH!O1328="1111")),TH!D1328,""),"")</f>
        <v/>
      </c>
      <c r="B2234" s="63">
        <f t="shared" si="165"/>
        <v>7</v>
      </c>
      <c r="C2234" s="78">
        <f>E2234</f>
        <v>42559</v>
      </c>
      <c r="D2234" s="78" t="s">
        <v>920</v>
      </c>
      <c r="E2234" s="78">
        <v>42559</v>
      </c>
      <c r="F2234" s="79" t="s">
        <v>669</v>
      </c>
      <c r="G2234" s="79" t="s">
        <v>337</v>
      </c>
      <c r="H2234" s="80" t="s">
        <v>432</v>
      </c>
      <c r="I2234" s="406">
        <v>6364</v>
      </c>
      <c r="J2234" s="407">
        <v>16000</v>
      </c>
      <c r="K2234" s="397"/>
      <c r="L2234" s="406"/>
      <c r="M2234" s="81">
        <f t="shared" ref="M2234:M2240" si="166">ROUND(I2234*J2234,0)</f>
        <v>101824000</v>
      </c>
      <c r="N2234" s="82" t="s">
        <v>268</v>
      </c>
      <c r="O2234" s="82" t="s">
        <v>8</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customHeight="1">
      <c r="A2235" s="323" t="str">
        <f>IF(B2235&lt;&gt;"",IF(AND(B2235='IN-TC'!$S$4,OR(TH!N1575="1111",TH!O1575="1111")),TH!D1575,""),"")</f>
        <v/>
      </c>
      <c r="B2235" s="63">
        <f t="shared" si="165"/>
        <v>11</v>
      </c>
      <c r="C2235" s="78">
        <v>42681</v>
      </c>
      <c r="D2235" s="78" t="s">
        <v>1946</v>
      </c>
      <c r="E2235" s="78">
        <f>C2235</f>
        <v>42681</v>
      </c>
      <c r="F2235" s="79" t="s">
        <v>669</v>
      </c>
      <c r="G2235" s="79" t="s">
        <v>337</v>
      </c>
      <c r="H2235" s="85" t="s">
        <v>423</v>
      </c>
      <c r="I2235" s="406">
        <v>9999</v>
      </c>
      <c r="J2235" s="407">
        <v>16500</v>
      </c>
      <c r="K2235" s="397"/>
      <c r="L2235" s="406"/>
      <c r="M2235" s="81">
        <f t="shared" si="166"/>
        <v>164983500</v>
      </c>
      <c r="N2235" s="82" t="s">
        <v>268</v>
      </c>
      <c r="O2235" s="82" t="s">
        <v>8</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x</v>
      </c>
    </row>
    <row r="2236" spans="1:30" ht="15.75" customHeight="1">
      <c r="A2236" s="323" t="str">
        <f>IF(B2236&lt;&gt;"",IF(AND(B2236='IN-TC'!$S$4,OR(TH!N1327="1111",TH!O1327="1111")),TH!D1327,""),"")</f>
        <v/>
      </c>
      <c r="B2236" s="63">
        <f t="shared" si="165"/>
        <v>7</v>
      </c>
      <c r="C2236" s="78">
        <f>E2236</f>
        <v>42559</v>
      </c>
      <c r="D2236" s="78" t="s">
        <v>919</v>
      </c>
      <c r="E2236" s="78">
        <v>42559</v>
      </c>
      <c r="F2236" s="79" t="s">
        <v>669</v>
      </c>
      <c r="G2236" s="79" t="s">
        <v>337</v>
      </c>
      <c r="H2236" s="80" t="s">
        <v>428</v>
      </c>
      <c r="I2236" s="406">
        <v>5386</v>
      </c>
      <c r="J2236" s="407">
        <v>16000</v>
      </c>
      <c r="K2236" s="397"/>
      <c r="L2236" s="406"/>
      <c r="M2236" s="81">
        <f t="shared" si="166"/>
        <v>86176000</v>
      </c>
      <c r="N2236" s="82" t="s">
        <v>268</v>
      </c>
      <c r="O2236" s="82" t="s">
        <v>8</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customHeight="1">
      <c r="A2237" s="323" t="str">
        <f>IF(B2237&lt;&gt;"",IF(AND(B2237='IN-TC'!$S$4,OR(TH!N1326="1111",TH!O1326="1111")),TH!D1326,""),"")</f>
        <v/>
      </c>
      <c r="B2237" s="63">
        <f t="shared" si="165"/>
        <v>7</v>
      </c>
      <c r="C2237" s="78">
        <f>E2237</f>
        <v>42552</v>
      </c>
      <c r="D2237" s="78" t="s">
        <v>918</v>
      </c>
      <c r="E2237" s="78">
        <v>42552</v>
      </c>
      <c r="F2237" s="79" t="s">
        <v>669</v>
      </c>
      <c r="G2237" s="79" t="s">
        <v>337</v>
      </c>
      <c r="H2237" s="80" t="s">
        <v>436</v>
      </c>
      <c r="I2237" s="406">
        <v>5780</v>
      </c>
      <c r="J2237" s="407">
        <v>16000</v>
      </c>
      <c r="K2237" s="397"/>
      <c r="L2237" s="406"/>
      <c r="M2237" s="81">
        <f t="shared" si="166"/>
        <v>92480000</v>
      </c>
      <c r="N2237" s="82" t="s">
        <v>268</v>
      </c>
      <c r="O2237" s="82" t="s">
        <v>8</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customHeight="1">
      <c r="A2238" s="323" t="str">
        <f>IF(B2238&lt;&gt;"",IF(AND(B2238='IN-TC'!$S$4,OR(TH!N1517="1111",TH!O1517="1111")),TH!D1517,""),"")</f>
        <v/>
      </c>
      <c r="B2238" s="63">
        <f t="shared" si="165"/>
        <v>10</v>
      </c>
      <c r="C2238" s="78">
        <v>42673</v>
      </c>
      <c r="D2238" s="78" t="s">
        <v>2305</v>
      </c>
      <c r="E2238" s="78">
        <v>42674</v>
      </c>
      <c r="F2238" s="79" t="s">
        <v>1935</v>
      </c>
      <c r="G2238" s="79"/>
      <c r="H2238" s="80" t="s">
        <v>418</v>
      </c>
      <c r="I2238" s="406">
        <v>6650</v>
      </c>
      <c r="J2238" s="407">
        <v>19000</v>
      </c>
      <c r="K2238" s="397"/>
      <c r="L2238" s="406"/>
      <c r="M2238" s="81">
        <f t="shared" si="166"/>
        <v>126350000</v>
      </c>
      <c r="N2238" s="82" t="s">
        <v>268</v>
      </c>
      <c r="O2238" s="82" t="s">
        <v>8</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customHeight="1">
      <c r="A2239" s="323" t="str">
        <f>IF(B2239&lt;&gt;"",IF(AND(B2239='IN-TC'!$S$4,OR(TH!N1519="1111",TH!O1519="1111")),TH!D1519,""),"")</f>
        <v/>
      </c>
      <c r="B2239" s="63">
        <f t="shared" si="165"/>
        <v>10</v>
      </c>
      <c r="C2239" s="78">
        <v>42673</v>
      </c>
      <c r="D2239" s="78" t="s">
        <v>2307</v>
      </c>
      <c r="E2239" s="78">
        <v>42674</v>
      </c>
      <c r="F2239" s="79" t="s">
        <v>1935</v>
      </c>
      <c r="G2239" s="79"/>
      <c r="H2239" s="80" t="s">
        <v>421</v>
      </c>
      <c r="I2239" s="406">
        <v>8207</v>
      </c>
      <c r="J2239" s="407">
        <v>19000</v>
      </c>
      <c r="K2239" s="397"/>
      <c r="L2239" s="406"/>
      <c r="M2239" s="81">
        <f t="shared" si="166"/>
        <v>155933000</v>
      </c>
      <c r="N2239" s="82" t="s">
        <v>268</v>
      </c>
      <c r="O2239" s="82" t="s">
        <v>8</v>
      </c>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customHeight="1">
      <c r="A2240" s="323" t="str">
        <f>IF(B2240&lt;&gt;"",IF(AND(B2240='IN-TC'!$S$4,OR(TH!N1456="1111",TH!O1456="1111")),TH!D1456,""),"")</f>
        <v/>
      </c>
      <c r="B2240" s="63">
        <f t="shared" si="165"/>
        <v>10</v>
      </c>
      <c r="C2240" s="78">
        <v>42650</v>
      </c>
      <c r="D2240" s="78" t="s">
        <v>1944</v>
      </c>
      <c r="E2240" s="78">
        <f>C2240</f>
        <v>42650</v>
      </c>
      <c r="F2240" s="79" t="s">
        <v>668</v>
      </c>
      <c r="G2240" s="79"/>
      <c r="H2240" s="80" t="s">
        <v>354</v>
      </c>
      <c r="I2240" s="406">
        <v>4950</v>
      </c>
      <c r="J2240" s="407">
        <v>18000</v>
      </c>
      <c r="K2240" s="397"/>
      <c r="L2240" s="406"/>
      <c r="M2240" s="81">
        <f t="shared" si="166"/>
        <v>89100000</v>
      </c>
      <c r="N2240" s="82" t="s">
        <v>268</v>
      </c>
      <c r="O2240" s="82" t="s">
        <v>8</v>
      </c>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customHeight="1">
      <c r="A2241" s="323" t="str">
        <f>IF(B2241&lt;&gt;"",IF(AND(B2241='IN-TC'!$S$4,OR(TH!N2318="1111",TH!O2318="1111")),TH!D2318,""),"")</f>
        <v/>
      </c>
      <c r="B2241" s="63">
        <f t="shared" si="165"/>
        <v>10</v>
      </c>
      <c r="C2241" s="64">
        <v>42674</v>
      </c>
      <c r="D2241" s="64" t="s">
        <v>2274</v>
      </c>
      <c r="E2241" s="64">
        <v>42674</v>
      </c>
      <c r="F2241" s="72" t="s">
        <v>932</v>
      </c>
      <c r="G2241" s="67" t="s">
        <v>331</v>
      </c>
      <c r="H2241" s="329" t="s">
        <v>339</v>
      </c>
      <c r="I2241" s="408"/>
      <c r="J2241" s="408"/>
      <c r="K2241" s="399"/>
      <c r="L2241" s="408"/>
      <c r="M2241" s="65">
        <v>84240000</v>
      </c>
      <c r="N2241" s="66" t="s">
        <v>8</v>
      </c>
      <c r="O2241" s="66" t="s">
        <v>266</v>
      </c>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customHeight="1">
      <c r="A2242" s="323" t="str">
        <f>IF(B2242&lt;&gt;"",IF(AND(B2242='IN-TC'!$S$4,OR(TH!N2296="1111",TH!O2296="1111")),TH!D2296,""),"")</f>
        <v/>
      </c>
      <c r="B2242" s="63">
        <f t="shared" si="165"/>
        <v>9</v>
      </c>
      <c r="C2242" s="64">
        <v>42643</v>
      </c>
      <c r="D2242" s="64" t="s">
        <v>2272</v>
      </c>
      <c r="E2242" s="64">
        <v>42643</v>
      </c>
      <c r="F2242" s="72" t="s">
        <v>932</v>
      </c>
      <c r="G2242" s="67" t="s">
        <v>331</v>
      </c>
      <c r="H2242" s="329" t="s">
        <v>357</v>
      </c>
      <c r="I2242" s="408"/>
      <c r="J2242" s="408"/>
      <c r="K2242" s="399"/>
      <c r="L2242" s="408"/>
      <c r="M2242" s="65">
        <v>90000000</v>
      </c>
      <c r="N2242" s="66" t="s">
        <v>8</v>
      </c>
      <c r="O2242" s="66" t="s">
        <v>266</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customHeight="1">
      <c r="A2243" s="323" t="str">
        <f>IF(B2243&lt;&gt;"",IF(AND(B2243='IN-TC'!$S$4,OR(TH!N1429="1111",TH!O1429="1111")),TH!D1429,""),"")</f>
        <v/>
      </c>
      <c r="B2243" s="63">
        <f t="shared" si="165"/>
        <v>10</v>
      </c>
      <c r="C2243" s="78">
        <v>42644</v>
      </c>
      <c r="D2243" s="78" t="s">
        <v>917</v>
      </c>
      <c r="E2243" s="78">
        <f>C2243</f>
        <v>42644</v>
      </c>
      <c r="F2243" s="79" t="s">
        <v>668</v>
      </c>
      <c r="G2243" s="79"/>
      <c r="H2243" s="80" t="s">
        <v>342</v>
      </c>
      <c r="I2243" s="406">
        <v>4780</v>
      </c>
      <c r="J2243" s="407">
        <v>18000</v>
      </c>
      <c r="K2243" s="397"/>
      <c r="L2243" s="406"/>
      <c r="M2243" s="81">
        <f>ROUND(I2243*J2243,0)</f>
        <v>86040000</v>
      </c>
      <c r="N2243" s="82" t="s">
        <v>268</v>
      </c>
      <c r="O2243" s="82" t="s">
        <v>8</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customHeight="1">
      <c r="A2244" s="323" t="str">
        <f>IF(B2244&lt;&gt;"",IF(AND(B2244='IN-TC'!$S$4,OR(TH!N1430="1111",TH!O1430="1111")),TH!D1430,""),"")</f>
        <v/>
      </c>
      <c r="B2244" s="63">
        <f t="shared" si="165"/>
        <v>10</v>
      </c>
      <c r="C2244" s="78">
        <v>42644</v>
      </c>
      <c r="D2244" s="78" t="s">
        <v>918</v>
      </c>
      <c r="E2244" s="78">
        <f>C2244</f>
        <v>42644</v>
      </c>
      <c r="F2244" s="79" t="s">
        <v>668</v>
      </c>
      <c r="G2244" s="79"/>
      <c r="H2244" s="80" t="s">
        <v>360</v>
      </c>
      <c r="I2244" s="406">
        <v>4890</v>
      </c>
      <c r="J2244" s="407">
        <v>18000</v>
      </c>
      <c r="K2244" s="397"/>
      <c r="L2244" s="406"/>
      <c r="M2244" s="81">
        <f>ROUND(I2244*J2244,0)</f>
        <v>88020000</v>
      </c>
      <c r="N2244" s="82" t="s">
        <v>268</v>
      </c>
      <c r="O2244" s="82" t="s">
        <v>8</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customHeight="1">
      <c r="A2245" s="323" t="str">
        <f>IF(B2245&lt;&gt;"",IF(AND(B2245='IN-TC'!$S$4,OR(TH!N2245="1111",TH!O2245="1111")),TH!D2245,""),"")</f>
        <v/>
      </c>
      <c r="B2245" s="63">
        <f t="shared" si="165"/>
        <v>6</v>
      </c>
      <c r="C2245" s="64">
        <f>E2245</f>
        <v>42551</v>
      </c>
      <c r="D2245" s="64" t="s">
        <v>2210</v>
      </c>
      <c r="E2245" s="64">
        <v>42551</v>
      </c>
      <c r="F2245" s="72" t="s">
        <v>932</v>
      </c>
      <c r="G2245" s="67" t="s">
        <v>337</v>
      </c>
      <c r="H2245" s="329" t="s">
        <v>1948</v>
      </c>
      <c r="I2245" s="410"/>
      <c r="J2245" s="410"/>
      <c r="K2245" s="401"/>
      <c r="L2245" s="410"/>
      <c r="M2245" s="65">
        <v>463260000</v>
      </c>
      <c r="N2245" s="66" t="s">
        <v>8</v>
      </c>
      <c r="O2245" s="66" t="s">
        <v>266</v>
      </c>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customHeight="1">
      <c r="A2246" s="323" t="str">
        <f>IF(B2246&lt;&gt;"",IF(AND(B2246='IN-TC'!$S$4,OR(TH!N2246="1111",TH!O2246="1111")),TH!D2246,""),"")</f>
        <v/>
      </c>
      <c r="B2246" s="63">
        <f t="shared" si="165"/>
        <v>6</v>
      </c>
      <c r="C2246" s="64">
        <f>E2246</f>
        <v>42551</v>
      </c>
      <c r="D2246" s="64" t="s">
        <v>2210</v>
      </c>
      <c r="E2246" s="64">
        <v>42551</v>
      </c>
      <c r="F2246" s="72" t="s">
        <v>932</v>
      </c>
      <c r="G2246" s="67" t="s">
        <v>337</v>
      </c>
      <c r="H2246" s="329" t="s">
        <v>1947</v>
      </c>
      <c r="I2246" s="408"/>
      <c r="J2246" s="408"/>
      <c r="K2246" s="399"/>
      <c r="L2246" s="408"/>
      <c r="M2246" s="65">
        <v>745605000</v>
      </c>
      <c r="N2246" s="66" t="s">
        <v>8</v>
      </c>
      <c r="O2246" s="66" t="s">
        <v>266</v>
      </c>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customHeight="1">
      <c r="A2247" s="323" t="str">
        <f>IF(B2247&lt;&gt;"",IF(AND(B2247='IN-TC'!$S$4,OR(TH!N1548="1111",TH!O1548="1111")),TH!D1548,""),"")</f>
        <v/>
      </c>
      <c r="B2247" s="63">
        <f t="shared" si="165"/>
        <v>11</v>
      </c>
      <c r="C2247" s="78">
        <v>42675</v>
      </c>
      <c r="D2247" s="78" t="s">
        <v>919</v>
      </c>
      <c r="E2247" s="78">
        <f>C2247</f>
        <v>42675</v>
      </c>
      <c r="F2247" s="79" t="s">
        <v>669</v>
      </c>
      <c r="G2247" s="79" t="s">
        <v>337</v>
      </c>
      <c r="H2247" s="80" t="s">
        <v>1950</v>
      </c>
      <c r="I2247" s="406">
        <v>9982</v>
      </c>
      <c r="J2247" s="407">
        <v>16500</v>
      </c>
      <c r="K2247" s="397"/>
      <c r="L2247" s="406"/>
      <c r="M2247" s="81">
        <f>ROUND(I2247*J2247,0)</f>
        <v>164703000</v>
      </c>
      <c r="N2247" s="82" t="s">
        <v>268</v>
      </c>
      <c r="O2247" s="82" t="s">
        <v>8</v>
      </c>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x</v>
      </c>
    </row>
    <row r="2248" spans="1:30" ht="15.75" customHeight="1">
      <c r="A2248" s="323" t="str">
        <f>IF(B2248&lt;&gt;"",IF(AND(B2248='IN-TC'!$S$4,OR(TH!N2303="1111",TH!O2303="1111")),TH!D2303,""),"")</f>
        <v/>
      </c>
      <c r="B2248" s="63">
        <f t="shared" si="165"/>
        <v>10</v>
      </c>
      <c r="C2248" s="64">
        <v>42674</v>
      </c>
      <c r="D2248" s="64" t="s">
        <v>2273</v>
      </c>
      <c r="E2248" s="64">
        <v>42674</v>
      </c>
      <c r="F2248" s="72" t="s">
        <v>932</v>
      </c>
      <c r="G2248" s="67" t="s">
        <v>337</v>
      </c>
      <c r="H2248" s="80" t="s">
        <v>1949</v>
      </c>
      <c r="I2248" s="408"/>
      <c r="J2248" s="408"/>
      <c r="K2248" s="399"/>
      <c r="L2248" s="408"/>
      <c r="M2248" s="65">
        <v>318630000</v>
      </c>
      <c r="N2248" s="66" t="s">
        <v>8</v>
      </c>
      <c r="O2248" s="66" t="s">
        <v>266</v>
      </c>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customHeight="1">
      <c r="A2249" s="1160"/>
      <c r="B2249" s="948">
        <f t="shared" si="165"/>
        <v>12</v>
      </c>
      <c r="C2249" s="1077">
        <v>42716</v>
      </c>
      <c r="D2249" s="1077" t="s">
        <v>2236</v>
      </c>
      <c r="E2249" s="78">
        <f>C2249</f>
        <v>42716</v>
      </c>
      <c r="F2249" s="310" t="s">
        <v>1951</v>
      </c>
      <c r="G2249" s="1107"/>
      <c r="H2249" s="310" t="s">
        <v>391</v>
      </c>
      <c r="I2249" s="406">
        <v>5000</v>
      </c>
      <c r="J2249" s="407">
        <v>28000</v>
      </c>
      <c r="K2249" s="1250"/>
      <c r="L2249" s="916"/>
      <c r="M2249" s="81">
        <f>ROUND(I2249*J2249,0)</f>
        <v>140000000</v>
      </c>
      <c r="N2249" s="82" t="s">
        <v>268</v>
      </c>
      <c r="O2249" s="82" t="s">
        <v>8</v>
      </c>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customHeight="1">
      <c r="A2250" s="1160"/>
      <c r="B2250" s="948">
        <f t="shared" si="165"/>
        <v>12</v>
      </c>
      <c r="C2250" s="1077">
        <v>42716</v>
      </c>
      <c r="D2250" s="1077" t="s">
        <v>2237</v>
      </c>
      <c r="E2250" s="78">
        <f>C2250</f>
        <v>42716</v>
      </c>
      <c r="F2250" s="310" t="s">
        <v>1951</v>
      </c>
      <c r="G2250" s="1107"/>
      <c r="H2250" s="310" t="s">
        <v>395</v>
      </c>
      <c r="I2250" s="406">
        <v>4750</v>
      </c>
      <c r="J2250" s="407">
        <v>28000</v>
      </c>
      <c r="K2250" s="1250"/>
      <c r="L2250" s="916"/>
      <c r="M2250" s="81">
        <f>ROUND(I2250*J2250,0)</f>
        <v>133000000</v>
      </c>
      <c r="N2250" s="82" t="s">
        <v>268</v>
      </c>
      <c r="O2250" s="82" t="s">
        <v>8</v>
      </c>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customHeight="1">
      <c r="A2251" s="1160"/>
      <c r="B2251" s="948">
        <f t="shared" si="165"/>
        <v>12</v>
      </c>
      <c r="C2251" s="1077">
        <v>42717</v>
      </c>
      <c r="D2251" s="1077" t="s">
        <v>2242</v>
      </c>
      <c r="E2251" s="78">
        <f>C2251</f>
        <v>42717</v>
      </c>
      <c r="F2251" s="310" t="s">
        <v>1951</v>
      </c>
      <c r="G2251" s="1107"/>
      <c r="H2251" s="310" t="s">
        <v>396</v>
      </c>
      <c r="I2251" s="406">
        <v>4850</v>
      </c>
      <c r="J2251" s="407">
        <v>28000</v>
      </c>
      <c r="K2251" s="1250"/>
      <c r="L2251" s="916"/>
      <c r="M2251" s="81">
        <f>ROUND(I2251*J2251,0)</f>
        <v>135800000</v>
      </c>
      <c r="N2251" s="82" t="s">
        <v>268</v>
      </c>
      <c r="O2251" s="82" t="s">
        <v>8</v>
      </c>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customHeight="1">
      <c r="A2252" s="323" t="str">
        <f>IF(B2252&lt;&gt;"",IF(AND(B2252='IN-TC'!$S$4,OR(TH!N2263="1111",TH!O2263="1111")),TH!D2263,""),"")</f>
        <v/>
      </c>
      <c r="B2252" s="63">
        <f t="shared" si="165"/>
        <v>7</v>
      </c>
      <c r="C2252" s="64">
        <f>E2252</f>
        <v>42582</v>
      </c>
      <c r="D2252" s="64" t="s">
        <v>2212</v>
      </c>
      <c r="E2252" s="64">
        <v>42582</v>
      </c>
      <c r="F2252" s="72" t="s">
        <v>932</v>
      </c>
      <c r="G2252" s="67" t="s">
        <v>337</v>
      </c>
      <c r="H2252" s="329" t="s">
        <v>436</v>
      </c>
      <c r="I2252" s="410"/>
      <c r="J2252" s="410"/>
      <c r="K2252" s="401"/>
      <c r="L2252" s="410"/>
      <c r="M2252" s="65">
        <v>92480000</v>
      </c>
      <c r="N2252" s="66" t="s">
        <v>8</v>
      </c>
      <c r="O2252" s="66" t="s">
        <v>266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customHeight="1">
      <c r="A2253" s="323" t="str">
        <f>IF(B2253&lt;&gt;"",IF(AND(B2253='IN-TC'!$S$4,OR(TH!N2317="1111",TH!O2317="1111")),TH!D2317,""),"")</f>
        <v/>
      </c>
      <c r="B2253" s="63">
        <f t="shared" si="165"/>
        <v>10</v>
      </c>
      <c r="C2253" s="64">
        <v>42674</v>
      </c>
      <c r="D2253" s="64" t="s">
        <v>2274</v>
      </c>
      <c r="E2253" s="64">
        <v>42674</v>
      </c>
      <c r="F2253" s="72" t="s">
        <v>932</v>
      </c>
      <c r="G2253" s="67" t="s">
        <v>331</v>
      </c>
      <c r="H2253" s="329" t="s">
        <v>354</v>
      </c>
      <c r="I2253" s="408"/>
      <c r="J2253" s="408"/>
      <c r="K2253" s="399"/>
      <c r="L2253" s="408"/>
      <c r="M2253" s="65">
        <v>178200000</v>
      </c>
      <c r="N2253" s="66" t="s">
        <v>8</v>
      </c>
      <c r="O2253" s="66" t="s">
        <v>266</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customHeight="1">
      <c r="A2254" s="323" t="str">
        <f>IF(B2254&lt;&gt;"",IF(AND(B2254='IN-TC'!$S$4,OR(TH!N1650="1111",TH!O1650="1111")),TH!D1650,""),"")</f>
        <v/>
      </c>
      <c r="B2254" s="63">
        <f t="shared" si="165"/>
        <v>11</v>
      </c>
      <c r="C2254" s="78">
        <v>42700</v>
      </c>
      <c r="D2254" s="78" t="s">
        <v>2646</v>
      </c>
      <c r="E2254" s="78">
        <f>C2254</f>
        <v>42700</v>
      </c>
      <c r="F2254" s="79" t="s">
        <v>668</v>
      </c>
      <c r="G2254" s="79" t="s">
        <v>331</v>
      </c>
      <c r="H2254" s="85" t="s">
        <v>339</v>
      </c>
      <c r="I2254" s="406">
        <v>5030</v>
      </c>
      <c r="J2254" s="407">
        <v>18000</v>
      </c>
      <c r="K2254" s="397"/>
      <c r="L2254" s="406"/>
      <c r="M2254" s="81">
        <f>ROUND(I2254*J2254,0)</f>
        <v>90540000</v>
      </c>
      <c r="N2254" s="82" t="s">
        <v>268</v>
      </c>
      <c r="O2254" s="82" t="s">
        <v>8</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x</v>
      </c>
    </row>
    <row r="2255" spans="1:30" ht="15.75" customHeight="1">
      <c r="A2255" s="323" t="str">
        <f>IF(B2255&lt;&gt;"",IF(AND(B2255='IN-TC'!$S$4,OR(TH!N1440="1111",TH!O1440="1111")),TH!D1440,""),"")</f>
        <v/>
      </c>
      <c r="B2255" s="63">
        <f t="shared" si="165"/>
        <v>10</v>
      </c>
      <c r="C2255" s="78">
        <v>42646</v>
      </c>
      <c r="D2255" s="78" t="s">
        <v>933</v>
      </c>
      <c r="E2255" s="78">
        <f>C2255</f>
        <v>42646</v>
      </c>
      <c r="F2255" s="79" t="s">
        <v>668</v>
      </c>
      <c r="G2255" s="79"/>
      <c r="H2255" s="80" t="s">
        <v>357</v>
      </c>
      <c r="I2255" s="406">
        <v>4740</v>
      </c>
      <c r="J2255" s="407">
        <v>18000</v>
      </c>
      <c r="K2255" s="397"/>
      <c r="L2255" s="406"/>
      <c r="M2255" s="81">
        <f>ROUND(I2255*J2255,0)</f>
        <v>85320000</v>
      </c>
      <c r="N2255" s="82" t="s">
        <v>268</v>
      </c>
      <c r="O2255" s="82" t="s">
        <v>8</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customHeight="1">
      <c r="A2256" s="323" t="str">
        <f>IF(B2256&lt;&gt;"",IF(AND(B2256='IN-TC'!$S$4,OR(TH!N1442="1111",TH!O1442="1111")),TH!D1442,""),"")</f>
        <v/>
      </c>
      <c r="B2256" s="63">
        <f t="shared" si="165"/>
        <v>10</v>
      </c>
      <c r="C2256" s="78">
        <v>42646</v>
      </c>
      <c r="D2256" s="78" t="s">
        <v>935</v>
      </c>
      <c r="E2256" s="78">
        <f>C2256</f>
        <v>42646</v>
      </c>
      <c r="F2256" s="79" t="s">
        <v>668</v>
      </c>
      <c r="G2256" s="79"/>
      <c r="H2256" s="80" t="s">
        <v>342</v>
      </c>
      <c r="I2256" s="406">
        <v>4820</v>
      </c>
      <c r="J2256" s="407">
        <v>18000</v>
      </c>
      <c r="K2256" s="397"/>
      <c r="L2256" s="406"/>
      <c r="M2256" s="81">
        <f>ROUND(I2256*J2256,0)</f>
        <v>86760000</v>
      </c>
      <c r="N2256" s="82" t="s">
        <v>268</v>
      </c>
      <c r="O2256" s="82" t="s">
        <v>8</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customHeight="1">
      <c r="A2257" s="323" t="str">
        <f>IF(B2257&lt;&gt;"",IF(AND(B2257='IN-TC'!$S$4,OR(TH!N1455="1111",TH!O1455="1111")),TH!D1455,""),"")</f>
        <v/>
      </c>
      <c r="B2257" s="63">
        <f t="shared" si="165"/>
        <v>10</v>
      </c>
      <c r="C2257" s="78">
        <v>42650</v>
      </c>
      <c r="D2257" s="78" t="s">
        <v>1943</v>
      </c>
      <c r="E2257" s="78">
        <f>C2257</f>
        <v>42650</v>
      </c>
      <c r="F2257" s="79" t="s">
        <v>668</v>
      </c>
      <c r="G2257" s="79"/>
      <c r="H2257" s="80" t="s">
        <v>360</v>
      </c>
      <c r="I2257" s="406">
        <v>4590</v>
      </c>
      <c r="J2257" s="407">
        <v>18000</v>
      </c>
      <c r="K2257" s="397"/>
      <c r="L2257" s="406"/>
      <c r="M2257" s="81">
        <f>ROUND(I2257*J2257,0)</f>
        <v>82620000</v>
      </c>
      <c r="N2257" s="82" t="s">
        <v>268</v>
      </c>
      <c r="O2257" s="82" t="s">
        <v>8</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customHeight="1">
      <c r="A2258" s="323" t="str">
        <f>IF(B2258&lt;&gt;"",IF(AND(B2258='IN-TC'!$S$4,OR(TH!N2258="1111",TH!O2258="1111")),TH!D2258,""),"")</f>
        <v/>
      </c>
      <c r="B2258" s="63">
        <f t="shared" si="165"/>
        <v>7</v>
      </c>
      <c r="C2258" s="64">
        <f>E2258</f>
        <v>42582</v>
      </c>
      <c r="D2258" s="64" t="s">
        <v>2212</v>
      </c>
      <c r="E2258" s="64">
        <v>42582</v>
      </c>
      <c r="F2258" s="72" t="s">
        <v>932</v>
      </c>
      <c r="G2258" s="67" t="s">
        <v>337</v>
      </c>
      <c r="H2258" s="329" t="s">
        <v>432</v>
      </c>
      <c r="I2258" s="408"/>
      <c r="J2258" s="408"/>
      <c r="K2258" s="399"/>
      <c r="L2258" s="408"/>
      <c r="M2258" s="65">
        <v>101824000</v>
      </c>
      <c r="N2258" s="66" t="s">
        <v>8</v>
      </c>
      <c r="O2258" s="66" t="s">
        <v>266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customHeight="1">
      <c r="A2259" s="1240"/>
      <c r="B2259" s="1241">
        <f t="shared" si="165"/>
        <v>11</v>
      </c>
      <c r="C2259" s="1242">
        <v>42704</v>
      </c>
      <c r="D2259" s="1242" t="s">
        <v>2882</v>
      </c>
      <c r="E2259" s="1242">
        <f>C2259</f>
        <v>42704</v>
      </c>
      <c r="F2259" s="1243" t="s">
        <v>2833</v>
      </c>
      <c r="G2259" s="1243"/>
      <c r="H2259" s="1287" t="s">
        <v>423</v>
      </c>
      <c r="I2259" s="1245">
        <v>300</v>
      </c>
      <c r="J2259" s="1246">
        <v>9000</v>
      </c>
      <c r="K2259" s="1247"/>
      <c r="L2259" s="1245"/>
      <c r="M2259" s="1248">
        <f>ROUND(I2259*J2259,0)</f>
        <v>2700000</v>
      </c>
      <c r="N2259" s="1249" t="s">
        <v>268</v>
      </c>
      <c r="O2259" s="1249" t="s">
        <v>8</v>
      </c>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x</v>
      </c>
    </row>
    <row r="2260" spans="1:30" ht="15.75" customHeight="1">
      <c r="A2260" s="323" t="str">
        <f>IF(B2260&lt;&gt;"",IF(AND(B2260='IN-TC'!$S$4,OR(TH!N1566="1111",TH!O1566="1111")),TH!D1566,""),"")</f>
        <v/>
      </c>
      <c r="B2260" s="63">
        <f t="shared" si="165"/>
        <v>11</v>
      </c>
      <c r="C2260" s="78">
        <v>42679</v>
      </c>
      <c r="D2260" s="78" t="s">
        <v>942</v>
      </c>
      <c r="E2260" s="78">
        <f>C2260</f>
        <v>42679</v>
      </c>
      <c r="F2260" s="79" t="s">
        <v>669</v>
      </c>
      <c r="G2260" s="79" t="s">
        <v>337</v>
      </c>
      <c r="H2260" s="80" t="s">
        <v>1950</v>
      </c>
      <c r="I2260" s="406">
        <v>9985</v>
      </c>
      <c r="J2260" s="407">
        <v>16500</v>
      </c>
      <c r="K2260" s="397"/>
      <c r="L2260" s="406"/>
      <c r="M2260" s="81">
        <f>ROUND(I2260*J2260,0)</f>
        <v>164752500</v>
      </c>
      <c r="N2260" s="82" t="s">
        <v>268</v>
      </c>
      <c r="O2260" s="82" t="s">
        <v>8</v>
      </c>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x</v>
      </c>
    </row>
    <row r="2261" spans="1:30" ht="15.75" customHeight="1">
      <c r="A2261" s="323" t="str">
        <f>IF(B2261&lt;&gt;"",IF(AND(B2261='IN-TC'!$S$4,OR(TH!N1547="1111",TH!O1547="1111")),TH!D1547,""),"")</f>
        <v/>
      </c>
      <c r="B2261" s="63">
        <f t="shared" si="165"/>
        <v>11</v>
      </c>
      <c r="C2261" s="78">
        <v>42675</v>
      </c>
      <c r="D2261" s="78" t="s">
        <v>918</v>
      </c>
      <c r="E2261" s="78">
        <f>C2261</f>
        <v>42675</v>
      </c>
      <c r="F2261" s="79" t="s">
        <v>669</v>
      </c>
      <c r="G2261" s="79" t="s">
        <v>337</v>
      </c>
      <c r="H2261" s="80" t="s">
        <v>1949</v>
      </c>
      <c r="I2261" s="406">
        <v>10560</v>
      </c>
      <c r="J2261" s="407">
        <v>16500</v>
      </c>
      <c r="K2261" s="397"/>
      <c r="L2261" s="406"/>
      <c r="M2261" s="81">
        <f>ROUND(I2261*J2261,0)</f>
        <v>174240000</v>
      </c>
      <c r="N2261" s="82" t="s">
        <v>268</v>
      </c>
      <c r="O2261" s="82" t="s">
        <v>8</v>
      </c>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x</v>
      </c>
    </row>
    <row r="2262" spans="1:30" ht="15.75" customHeight="1">
      <c r="A2262" s="323" t="str">
        <f>IF(B2262&lt;&gt;"",IF(AND(B2262='IN-TC'!$S$4,OR(TH!N2262="1111",TH!O2262="1111")),TH!D2262,""),"")</f>
        <v/>
      </c>
      <c r="B2262" s="63">
        <f t="shared" si="165"/>
        <v>7</v>
      </c>
      <c r="C2262" s="64">
        <f>E2262</f>
        <v>42582</v>
      </c>
      <c r="D2262" s="64" t="s">
        <v>2212</v>
      </c>
      <c r="E2262" s="64">
        <v>42582</v>
      </c>
      <c r="F2262" s="72" t="s">
        <v>932</v>
      </c>
      <c r="G2262" s="67" t="s">
        <v>337</v>
      </c>
      <c r="H2262" s="329" t="s">
        <v>428</v>
      </c>
      <c r="I2262" s="408"/>
      <c r="J2262" s="408"/>
      <c r="K2262" s="399"/>
      <c r="L2262" s="408"/>
      <c r="M2262" s="65">
        <v>86176000</v>
      </c>
      <c r="N2262" s="66" t="s">
        <v>8</v>
      </c>
      <c r="O2262" s="66" t="s">
        <v>266</v>
      </c>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customHeight="1">
      <c r="A2263" s="323" t="str">
        <f>IF(B2263&lt;&gt;"",IF(AND(B2263='IN-TC'!$S$4,OR(TH!N1393="1111",TH!O1393="1111")),TH!D1393,""),"")</f>
        <v/>
      </c>
      <c r="B2263" s="63">
        <f t="shared" si="165"/>
        <v>9</v>
      </c>
      <c r="C2263" s="78">
        <v>42622</v>
      </c>
      <c r="D2263" s="78" t="s">
        <v>937</v>
      </c>
      <c r="E2263" s="78">
        <f>C2263</f>
        <v>42622</v>
      </c>
      <c r="F2263" s="79" t="s">
        <v>669</v>
      </c>
      <c r="G2263" s="79" t="s">
        <v>337</v>
      </c>
      <c r="H2263" s="80" t="s">
        <v>436</v>
      </c>
      <c r="I2263" s="406">
        <v>6170</v>
      </c>
      <c r="J2263" s="407">
        <v>16000</v>
      </c>
      <c r="K2263" s="397"/>
      <c r="L2263" s="406"/>
      <c r="M2263" s="81">
        <f>ROUND(I2263*J2263,0)</f>
        <v>98720000</v>
      </c>
      <c r="N2263" s="82" t="s">
        <v>268</v>
      </c>
      <c r="O2263" s="82" t="s">
        <v>8</v>
      </c>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customHeight="1">
      <c r="A2264" s="323" t="str">
        <f>IF(B2264&lt;&gt;"",IF(AND(B2264='IN-TC'!$S$4,OR(TH!N2306="1111",TH!O2306="1111")),TH!D2306,""),"")</f>
        <v/>
      </c>
      <c r="B2264" s="63">
        <f t="shared" si="165"/>
        <v>10</v>
      </c>
      <c r="C2264" s="64">
        <v>42674</v>
      </c>
      <c r="D2264" s="64" t="s">
        <v>2273</v>
      </c>
      <c r="E2264" s="64">
        <v>42674</v>
      </c>
      <c r="F2264" s="72" t="s">
        <v>932</v>
      </c>
      <c r="G2264" s="67" t="s">
        <v>337</v>
      </c>
      <c r="H2264" s="80" t="s">
        <v>418</v>
      </c>
      <c r="I2264" s="410"/>
      <c r="J2264" s="410"/>
      <c r="K2264" s="401"/>
      <c r="L2264" s="410"/>
      <c r="M2264" s="65">
        <v>257260000</v>
      </c>
      <c r="N2264" s="66" t="s">
        <v>8</v>
      </c>
      <c r="O2264" s="66" t="s">
        <v>266</v>
      </c>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customHeight="1">
      <c r="A2265" s="323" t="str">
        <f>IF(B2265&lt;&gt;"",IF(AND(B2265='IN-TC'!$S$4,OR(TH!N2305="1111",TH!O2305="1111")),TH!D2305,""),"")</f>
        <v/>
      </c>
      <c r="B2265" s="63">
        <f t="shared" si="165"/>
        <v>10</v>
      </c>
      <c r="C2265" s="64">
        <v>42674</v>
      </c>
      <c r="D2265" s="64" t="s">
        <v>2273</v>
      </c>
      <c r="E2265" s="64">
        <v>42674</v>
      </c>
      <c r="F2265" s="72" t="s">
        <v>932</v>
      </c>
      <c r="G2265" s="67" t="s">
        <v>337</v>
      </c>
      <c r="H2265" s="80" t="s">
        <v>421</v>
      </c>
      <c r="I2265" s="408"/>
      <c r="J2265" s="408"/>
      <c r="K2265" s="399"/>
      <c r="L2265" s="408"/>
      <c r="M2265" s="65">
        <v>316673000</v>
      </c>
      <c r="N2265" s="66" t="s">
        <v>8</v>
      </c>
      <c r="O2265" s="66" t="s">
        <v>266</v>
      </c>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customHeight="1">
      <c r="A2266" s="323" t="str">
        <f>IF(B2266&lt;&gt;"",IF(AND(B2266='IN-TC'!$S$4,OR(TH!N1634="1111",TH!O1634="1111")),TH!D1634,""),"")</f>
        <v/>
      </c>
      <c r="B2266" s="63">
        <f t="shared" si="165"/>
        <v>11</v>
      </c>
      <c r="C2266" s="78">
        <v>42698</v>
      </c>
      <c r="D2266" s="78" t="s">
        <v>2305</v>
      </c>
      <c r="E2266" s="78">
        <f>C2266</f>
        <v>42698</v>
      </c>
      <c r="F2266" s="79" t="s">
        <v>1952</v>
      </c>
      <c r="G2266" s="79" t="s">
        <v>331</v>
      </c>
      <c r="H2266" s="80" t="s">
        <v>376</v>
      </c>
      <c r="I2266" s="406">
        <v>14450</v>
      </c>
      <c r="J2266" s="407">
        <v>17500</v>
      </c>
      <c r="K2266" s="397"/>
      <c r="L2266" s="406"/>
      <c r="M2266" s="81">
        <f>ROUND(I2266*J2266,0)</f>
        <v>252875000</v>
      </c>
      <c r="N2266" s="82" t="s">
        <v>268</v>
      </c>
      <c r="O2266" s="82" t="s">
        <v>8</v>
      </c>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x</v>
      </c>
    </row>
    <row r="2267" spans="1:30" ht="15.75" customHeight="1">
      <c r="A2267" s="323" t="str">
        <f>IF(B2267&lt;&gt;"",IF(AND(B2267='IN-TC'!$S$4,OR(TH!N1671="1111",TH!O1671="1111")),TH!D1671,""),"")</f>
        <v/>
      </c>
      <c r="B2267" s="63">
        <f t="shared" si="165"/>
        <v>11</v>
      </c>
      <c r="C2267" s="78">
        <v>42704</v>
      </c>
      <c r="D2267" s="78" t="s">
        <v>2877</v>
      </c>
      <c r="E2267" s="78">
        <f>C2267</f>
        <v>42704</v>
      </c>
      <c r="F2267" s="79" t="s">
        <v>1952</v>
      </c>
      <c r="G2267" s="79" t="s">
        <v>331</v>
      </c>
      <c r="H2267" s="80" t="s">
        <v>384</v>
      </c>
      <c r="I2267" s="406">
        <v>14850</v>
      </c>
      <c r="J2267" s="407">
        <v>17500</v>
      </c>
      <c r="K2267" s="397"/>
      <c r="L2267" s="406"/>
      <c r="M2267" s="81">
        <f>ROUND(I2267*J2267,0)</f>
        <v>259875000</v>
      </c>
      <c r="N2267" s="82" t="s">
        <v>268</v>
      </c>
      <c r="O2267" s="82" t="s">
        <v>8</v>
      </c>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x</v>
      </c>
    </row>
    <row r="2268" spans="1:30" ht="15.75" customHeight="1">
      <c r="A2268" s="323" t="str">
        <f>IF(B2268&lt;&gt;"",IF(AND(B2268='IN-TC'!$S$4,OR(TH!N2315="1111",TH!O2315="1111")),TH!D2315,""),"")</f>
        <v/>
      </c>
      <c r="B2268" s="63">
        <f t="shared" si="165"/>
        <v>10</v>
      </c>
      <c r="C2268" s="64">
        <v>42674</v>
      </c>
      <c r="D2268" s="64" t="s">
        <v>2274</v>
      </c>
      <c r="E2268" s="64">
        <v>42674</v>
      </c>
      <c r="F2268" s="72" t="s">
        <v>932</v>
      </c>
      <c r="G2268" s="67" t="s">
        <v>331</v>
      </c>
      <c r="H2268" s="329" t="s">
        <v>342</v>
      </c>
      <c r="I2268" s="408"/>
      <c r="J2268" s="408"/>
      <c r="K2268" s="399"/>
      <c r="L2268" s="408"/>
      <c r="M2268" s="65">
        <v>172800000</v>
      </c>
      <c r="N2268" s="66" t="s">
        <v>8</v>
      </c>
      <c r="O2268" s="66" t="s">
        <v>266</v>
      </c>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customHeight="1">
      <c r="A2269" s="323"/>
      <c r="B2269" s="63">
        <f t="shared" si="165"/>
        <v>12</v>
      </c>
      <c r="C2269" s="1077">
        <v>42709</v>
      </c>
      <c r="D2269" s="1077" t="s">
        <v>937</v>
      </c>
      <c r="E2269" s="78">
        <f t="shared" ref="E2269:E2277" si="167">C2269</f>
        <v>42709</v>
      </c>
      <c r="F2269" s="310" t="s">
        <v>1952</v>
      </c>
      <c r="G2269" s="1107"/>
      <c r="H2269" s="310" t="s">
        <v>386</v>
      </c>
      <c r="I2269" s="406">
        <v>14456</v>
      </c>
      <c r="J2269" s="407">
        <v>17500</v>
      </c>
      <c r="K2269" s="1110"/>
      <c r="L2269" s="1109"/>
      <c r="M2269" s="81">
        <f>ROUND(I2269*J2269,0)</f>
        <v>252980000</v>
      </c>
      <c r="N2269" s="82" t="s">
        <v>268</v>
      </c>
      <c r="O2269" s="82" t="s">
        <v>8</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customHeight="1">
      <c r="A2270" s="323"/>
      <c r="B2270" s="63">
        <f t="shared" si="165"/>
        <v>12</v>
      </c>
      <c r="C2270" s="1077">
        <v>42717</v>
      </c>
      <c r="D2270" s="1077" t="s">
        <v>2245</v>
      </c>
      <c r="E2270" s="78">
        <f t="shared" si="167"/>
        <v>42717</v>
      </c>
      <c r="F2270" s="310" t="s">
        <v>1952</v>
      </c>
      <c r="G2270" s="1107"/>
      <c r="H2270" s="310" t="s">
        <v>378</v>
      </c>
      <c r="I2270" s="406">
        <v>14458</v>
      </c>
      <c r="J2270" s="407">
        <v>17500</v>
      </c>
      <c r="K2270" s="1110"/>
      <c r="L2270" s="1109"/>
      <c r="M2270" s="81">
        <f>ROUND(I2270*J2270,0)</f>
        <v>253015000</v>
      </c>
      <c r="N2270" s="82" t="s">
        <v>268</v>
      </c>
      <c r="O2270" s="82" t="s">
        <v>8</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customHeight="1">
      <c r="A2271" s="323" t="str">
        <f>IF(B2271&lt;&gt;"",IF(AND(B2271='IN-TC'!$S$4,OR(TH!N1660="1111",TH!O1660="1111")),TH!D1660,""),"")</f>
        <v/>
      </c>
      <c r="B2271" s="63">
        <f t="shared" si="165"/>
        <v>11</v>
      </c>
      <c r="C2271" s="78">
        <v>42702</v>
      </c>
      <c r="D2271" s="78" t="s">
        <v>2866</v>
      </c>
      <c r="E2271" s="78">
        <f t="shared" si="167"/>
        <v>42702</v>
      </c>
      <c r="F2271" s="79" t="s">
        <v>1952</v>
      </c>
      <c r="G2271" s="79" t="s">
        <v>331</v>
      </c>
      <c r="H2271" s="80" t="s">
        <v>1953</v>
      </c>
      <c r="I2271" s="406">
        <v>14360</v>
      </c>
      <c r="J2271" s="407">
        <v>17500</v>
      </c>
      <c r="K2271" s="397"/>
      <c r="L2271" s="406"/>
      <c r="M2271" s="81">
        <f>ROUND(I2271*J2271,0)</f>
        <v>251300000</v>
      </c>
      <c r="N2271" s="82" t="s">
        <v>268</v>
      </c>
      <c r="O2271" s="82" t="s">
        <v>8</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x</v>
      </c>
    </row>
    <row r="2272" spans="1:30" ht="15.75" customHeight="1">
      <c r="A2272" s="323" t="str">
        <f>IF(B2272&lt;&gt;"",IF(AND(B2272='IN-TC'!$S$4,OR(TH!N2321="1111",TH!O2321="1111")),TH!D2321,""),"")</f>
        <v/>
      </c>
      <c r="B2272" s="63">
        <f t="shared" si="165"/>
        <v>11</v>
      </c>
      <c r="C2272" s="64">
        <v>42704</v>
      </c>
      <c r="D2272" s="64" t="s">
        <v>3009</v>
      </c>
      <c r="E2272" s="64">
        <f t="shared" si="167"/>
        <v>42704</v>
      </c>
      <c r="F2272" s="72" t="s">
        <v>932</v>
      </c>
      <c r="G2272" s="67" t="s">
        <v>331</v>
      </c>
      <c r="H2272" s="80" t="s">
        <v>376</v>
      </c>
      <c r="I2272" s="408"/>
      <c r="J2272" s="408"/>
      <c r="K2272" s="399"/>
      <c r="L2272" s="408"/>
      <c r="M2272" s="65">
        <v>1225953000</v>
      </c>
      <c r="N2272" s="66" t="s">
        <v>8</v>
      </c>
      <c r="O2272" s="66" t="s">
        <v>266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customHeight="1">
      <c r="A2273" s="323" t="str">
        <f>IF(B2273&lt;&gt;"",IF(AND(B2273='IN-TC'!$S$4,OR(TH!N2322="1111",TH!O2322="1111")),TH!D2322,""),"")</f>
        <v/>
      </c>
      <c r="B2273" s="63">
        <f t="shared" si="165"/>
        <v>11</v>
      </c>
      <c r="C2273" s="64">
        <v>42704</v>
      </c>
      <c r="D2273" s="64" t="s">
        <v>3009</v>
      </c>
      <c r="E2273" s="64">
        <f t="shared" si="167"/>
        <v>42704</v>
      </c>
      <c r="F2273" s="72" t="s">
        <v>932</v>
      </c>
      <c r="G2273" s="67" t="s">
        <v>331</v>
      </c>
      <c r="H2273" s="80" t="s">
        <v>1953</v>
      </c>
      <c r="I2273" s="408"/>
      <c r="J2273" s="408"/>
      <c r="K2273" s="399"/>
      <c r="L2273" s="408"/>
      <c r="M2273" s="65">
        <v>1514752000</v>
      </c>
      <c r="N2273" s="66" t="s">
        <v>8</v>
      </c>
      <c r="O2273" s="66" t="s">
        <v>266</v>
      </c>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customHeight="1">
      <c r="A2274" s="323" t="str">
        <f>IF(B2274&lt;&gt;"",IF(AND(B2274='IN-TC'!$S$4,OR(TH!N1672="1111",TH!O1672="1111")),TH!D1672,""),"")</f>
        <v/>
      </c>
      <c r="B2274" s="63">
        <f t="shared" si="165"/>
        <v>11</v>
      </c>
      <c r="C2274" s="78">
        <v>42704</v>
      </c>
      <c r="D2274" s="78" t="s">
        <v>2878</v>
      </c>
      <c r="E2274" s="78">
        <f t="shared" si="167"/>
        <v>42704</v>
      </c>
      <c r="F2274" s="79" t="s">
        <v>1952</v>
      </c>
      <c r="G2274" s="79" t="s">
        <v>331</v>
      </c>
      <c r="H2274" s="80" t="s">
        <v>384</v>
      </c>
      <c r="I2274" s="406">
        <v>45</v>
      </c>
      <c r="J2274" s="407">
        <v>18000</v>
      </c>
      <c r="K2274" s="397"/>
      <c r="L2274" s="406"/>
      <c r="M2274" s="81">
        <f>ROUND(I2274*J2274,0)</f>
        <v>810000</v>
      </c>
      <c r="N2274" s="82" t="s">
        <v>268</v>
      </c>
      <c r="O2274" s="82" t="s">
        <v>8</v>
      </c>
      <c r="P2274" s="82" t="str">
        <f>IF(AND('331-CT'!$E$7=TH!H2274,OR(N2274="331",O2274="331")),"x","")</f>
        <v/>
      </c>
      <c r="Q2274" s="82" t="str">
        <f>IF(AND(B2274='111'!$L$11,OR($N2274=$Q$7,$O2274=$Q$7)),"x","")</f>
        <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x</v>
      </c>
    </row>
    <row r="2275" spans="1:30" ht="15.75" customHeight="1">
      <c r="A2275" s="323"/>
      <c r="B2275" s="63">
        <f t="shared" si="165"/>
        <v>12</v>
      </c>
      <c r="C2275" s="1077">
        <v>42711</v>
      </c>
      <c r="D2275" s="1077" t="s">
        <v>943</v>
      </c>
      <c r="E2275" s="78">
        <f t="shared" si="167"/>
        <v>42711</v>
      </c>
      <c r="F2275" s="310" t="s">
        <v>1952</v>
      </c>
      <c r="G2275" s="1107"/>
      <c r="H2275" s="310" t="s">
        <v>386</v>
      </c>
      <c r="I2275" s="406">
        <v>14850</v>
      </c>
      <c r="J2275" s="407">
        <v>17500</v>
      </c>
      <c r="K2275" s="1110"/>
      <c r="L2275" s="1109"/>
      <c r="M2275" s="81">
        <f>ROUND(I2275*J2275,0)</f>
        <v>259875000</v>
      </c>
      <c r="N2275" s="82" t="s">
        <v>268</v>
      </c>
      <c r="O2275" s="82" t="s">
        <v>8</v>
      </c>
      <c r="P2275" s="82" t="str">
        <f>IF(AND('331-CT'!$E$7=TH!H2275,OR(N2275="331",O2275="331")),"x","")</f>
        <v/>
      </c>
      <c r="Q2275" s="82" t="str">
        <f>IF(AND(B2275='111'!$L$11,OR($N2275=$Q$7,$O2275=$Q$7)),"x","")</f>
        <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customHeight="1">
      <c r="A2276" s="323"/>
      <c r="B2276" s="63">
        <f t="shared" si="165"/>
        <v>12</v>
      </c>
      <c r="C2276" s="1077">
        <v>42719</v>
      </c>
      <c r="D2276" s="1077" t="s">
        <v>2255</v>
      </c>
      <c r="E2276" s="78">
        <f t="shared" si="167"/>
        <v>42719</v>
      </c>
      <c r="F2276" s="310" t="s">
        <v>1952</v>
      </c>
      <c r="G2276" s="1107"/>
      <c r="H2276" s="310" t="s">
        <v>378</v>
      </c>
      <c r="I2276" s="406">
        <v>14450</v>
      </c>
      <c r="J2276" s="407">
        <v>17500</v>
      </c>
      <c r="K2276" s="1110"/>
      <c r="L2276" s="1109"/>
      <c r="M2276" s="81">
        <f>ROUND(I2276*J2276,0)</f>
        <v>252875000</v>
      </c>
      <c r="N2276" s="82" t="s">
        <v>268</v>
      </c>
      <c r="O2276" s="82" t="s">
        <v>8</v>
      </c>
      <c r="P2276" s="82" t="str">
        <f>IF(AND('331-CT'!$E$7=TH!H2276,OR(N2276="331",O2276="331")),"x","")</f>
        <v/>
      </c>
      <c r="Q2276" s="82" t="str">
        <f>IF(AND(B2276='111'!$L$11,OR($N2276=$Q$7,$O2276=$Q$7)),"x","")</f>
        <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customHeight="1">
      <c r="A2277" s="1160"/>
      <c r="B2277" s="948">
        <f t="shared" si="165"/>
        <v>12</v>
      </c>
      <c r="C2277" s="1077">
        <v>42717</v>
      </c>
      <c r="D2277" s="1077" t="s">
        <v>2243</v>
      </c>
      <c r="E2277" s="78">
        <f t="shared" si="167"/>
        <v>42717</v>
      </c>
      <c r="F2277" s="310" t="s">
        <v>1951</v>
      </c>
      <c r="G2277" s="1107"/>
      <c r="H2277" s="310" t="s">
        <v>402</v>
      </c>
      <c r="I2277" s="406">
        <v>5400</v>
      </c>
      <c r="J2277" s="407">
        <v>28000</v>
      </c>
      <c r="K2277" s="1250"/>
      <c r="L2277" s="916"/>
      <c r="M2277" s="81">
        <f>ROUND(I2277*J2277,0)</f>
        <v>151200000</v>
      </c>
      <c r="N2277" s="82" t="s">
        <v>268</v>
      </c>
      <c r="O2277" s="82" t="s">
        <v>8</v>
      </c>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customHeight="1">
      <c r="A2278" s="323" t="str">
        <f>IF(B2278&lt;&gt;"",IF(AND(B2278='IN-TC'!$S$4,OR(TH!N2299="1111",TH!O2299="1111")),TH!D2299,""),"")</f>
        <v/>
      </c>
      <c r="B2278" s="63">
        <f t="shared" si="165"/>
        <v>11</v>
      </c>
      <c r="C2278" s="64">
        <v>42704</v>
      </c>
      <c r="D2278" s="64" t="s">
        <v>3008</v>
      </c>
      <c r="E2278" s="64">
        <v>42704</v>
      </c>
      <c r="F2278" s="72" t="s">
        <v>932</v>
      </c>
      <c r="G2278" s="67" t="s">
        <v>337</v>
      </c>
      <c r="H2278" s="329" t="s">
        <v>417</v>
      </c>
      <c r="I2278" s="408"/>
      <c r="J2278" s="408"/>
      <c r="K2278" s="399"/>
      <c r="L2278" s="408"/>
      <c r="M2278" s="65">
        <v>229060000</v>
      </c>
      <c r="N2278" s="66" t="s">
        <v>8</v>
      </c>
      <c r="O2278" s="66" t="s">
        <v>266</v>
      </c>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customHeight="1">
      <c r="A2279" s="323" t="str">
        <f>IF(B2279&lt;&gt;"",IF(AND(B2279='IN-TC'!$S$4,OR(TH!N2345="1111",TH!O2345="1111")),TH!D2345,""),"")</f>
        <v/>
      </c>
      <c r="B2279" s="63">
        <f t="shared" si="165"/>
        <v>11</v>
      </c>
      <c r="C2279" s="64">
        <v>42704</v>
      </c>
      <c r="D2279" s="64" t="s">
        <v>3008</v>
      </c>
      <c r="E2279" s="64">
        <f>C2279</f>
        <v>42704</v>
      </c>
      <c r="F2279" s="72" t="s">
        <v>932</v>
      </c>
      <c r="G2279" s="67" t="s">
        <v>337</v>
      </c>
      <c r="H2279" s="329" t="s">
        <v>407</v>
      </c>
      <c r="I2279" s="408"/>
      <c r="J2279" s="408"/>
      <c r="K2279" s="399"/>
      <c r="L2279" s="408"/>
      <c r="M2279" s="65">
        <v>211300000</v>
      </c>
      <c r="N2279" s="66" t="s">
        <v>8</v>
      </c>
      <c r="O2279" s="66" t="s">
        <v>266</v>
      </c>
      <c r="P2279" s="82" t="str">
        <f>IF(AND('331-CT'!$E$7=TH!H2279,OR(N2279="331",O2279="331")),"x","")</f>
        <v/>
      </c>
      <c r="Q2279" s="82" t="str">
        <f>IF(AND(B2279='111'!$L$11,OR($N2279=$Q$7,$O2279=$Q$7)),"x","")</f>
        <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customHeight="1">
      <c r="A2280" s="323" t="str">
        <f>IF(B2280&lt;&gt;"",IF(AND(B2280='IN-TC'!$S$4,OR(TH!N1642="1111",TH!O1642="1111")),TH!D1642,""),"")</f>
        <v/>
      </c>
      <c r="B2280" s="63">
        <f t="shared" si="165"/>
        <v>11</v>
      </c>
      <c r="C2280" s="78">
        <v>42699</v>
      </c>
      <c r="D2280" s="78" t="s">
        <v>2638</v>
      </c>
      <c r="E2280" s="78">
        <f>C2280</f>
        <v>42699</v>
      </c>
      <c r="F2280" s="79" t="s">
        <v>2225</v>
      </c>
      <c r="G2280" s="79" t="s">
        <v>337</v>
      </c>
      <c r="H2280" s="80" t="s">
        <v>409</v>
      </c>
      <c r="I2280" s="406">
        <v>7450</v>
      </c>
      <c r="J2280" s="407">
        <v>26000</v>
      </c>
      <c r="K2280" s="397"/>
      <c r="L2280" s="406"/>
      <c r="M2280" s="81">
        <f>ROUND(I2280*J2280,0)</f>
        <v>193700000</v>
      </c>
      <c r="N2280" s="82" t="s">
        <v>268</v>
      </c>
      <c r="O2280" s="82" t="s">
        <v>8</v>
      </c>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x</v>
      </c>
    </row>
    <row r="2281" spans="1:30" ht="15.75" customHeight="1">
      <c r="A2281" s="323" t="str">
        <f>IF(B2281&lt;&gt;"",IF(AND(B2281='IN-TC'!$S$4,OR(TH!N1549="1111",TH!O1549="1111")),TH!D1549,""),"")</f>
        <v/>
      </c>
      <c r="B2281" s="63">
        <f t="shared" si="165"/>
        <v>11</v>
      </c>
      <c r="C2281" s="78">
        <v>42675</v>
      </c>
      <c r="D2281" s="78" t="s">
        <v>920</v>
      </c>
      <c r="E2281" s="78">
        <f>C2281</f>
        <v>42675</v>
      </c>
      <c r="F2281" s="79" t="s">
        <v>669</v>
      </c>
      <c r="G2281" s="79" t="s">
        <v>337</v>
      </c>
      <c r="H2281" s="80" t="s">
        <v>421</v>
      </c>
      <c r="I2281" s="406">
        <v>9935</v>
      </c>
      <c r="J2281" s="407">
        <v>16500</v>
      </c>
      <c r="K2281" s="397"/>
      <c r="L2281" s="406"/>
      <c r="M2281" s="81">
        <f>ROUND(I2281*J2281,0)</f>
        <v>163927500</v>
      </c>
      <c r="N2281" s="82" t="s">
        <v>268</v>
      </c>
      <c r="O2281" s="82" t="s">
        <v>8</v>
      </c>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x</v>
      </c>
    </row>
    <row r="2282" spans="1:30" ht="15.75" customHeight="1">
      <c r="A2282" s="323" t="str">
        <f>IF(B2282&lt;&gt;"",IF(AND(B2282='IN-TC'!$S$4,OR(TH!N2282="1111",TH!O2282="1111")),TH!D2282,""),"")</f>
        <v/>
      </c>
      <c r="B2282" s="63">
        <f t="shared" si="165"/>
        <v>9</v>
      </c>
      <c r="C2282" s="64">
        <v>42643</v>
      </c>
      <c r="D2282" s="64" t="s">
        <v>2271</v>
      </c>
      <c r="E2282" s="64">
        <v>42643</v>
      </c>
      <c r="F2282" s="72" t="s">
        <v>932</v>
      </c>
      <c r="G2282" s="67" t="s">
        <v>337</v>
      </c>
      <c r="H2282" s="329" t="s">
        <v>436</v>
      </c>
      <c r="I2282" s="408"/>
      <c r="J2282" s="408"/>
      <c r="K2282" s="399"/>
      <c r="L2282" s="408"/>
      <c r="M2282" s="65">
        <v>98720000</v>
      </c>
      <c r="N2282" s="66" t="s">
        <v>8</v>
      </c>
      <c r="O2282" s="66" t="s">
        <v>266</v>
      </c>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customHeight="1">
      <c r="A2283" s="323" t="str">
        <f>IF(B2283&lt;&gt;"",IF(AND(B2283='IN-TC'!$S$4,OR(TH!N2283="1111",TH!O2283="1111")),TH!D2283,""),"")</f>
        <v/>
      </c>
      <c r="B2283" s="63">
        <f t="shared" si="165"/>
        <v>9</v>
      </c>
      <c r="C2283" s="64">
        <v>42643</v>
      </c>
      <c r="D2283" s="64" t="s">
        <v>2271</v>
      </c>
      <c r="E2283" s="64">
        <v>42643</v>
      </c>
      <c r="F2283" s="72" t="s">
        <v>932</v>
      </c>
      <c r="G2283" s="67" t="s">
        <v>337</v>
      </c>
      <c r="H2283" s="329" t="s">
        <v>414</v>
      </c>
      <c r="I2283" s="408"/>
      <c r="J2283" s="408"/>
      <c r="K2283" s="399"/>
      <c r="L2283" s="408"/>
      <c r="M2283" s="65">
        <v>379335000</v>
      </c>
      <c r="N2283" s="66" t="s">
        <v>8</v>
      </c>
      <c r="O2283" s="66" t="s">
        <v>266</v>
      </c>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customHeight="1">
      <c r="A2284" s="323" t="str">
        <f>IF(B2284&lt;&gt;"",IF(AND(B2284='IN-TC'!$S$4,OR(TH!N1643="1111",TH!O1643="1111")),TH!D1643,""),"")</f>
        <v/>
      </c>
      <c r="B2284" s="63">
        <f t="shared" si="165"/>
        <v>11</v>
      </c>
      <c r="C2284" s="78">
        <v>42699</v>
      </c>
      <c r="D2284" s="78" t="s">
        <v>2639</v>
      </c>
      <c r="E2284" s="78">
        <f>C2284</f>
        <v>42699</v>
      </c>
      <c r="F2284" s="79" t="s">
        <v>2225</v>
      </c>
      <c r="G2284" s="79" t="s">
        <v>337</v>
      </c>
      <c r="H2284" s="80" t="s">
        <v>404</v>
      </c>
      <c r="I2284" s="406">
        <v>6960</v>
      </c>
      <c r="J2284" s="407">
        <v>26000</v>
      </c>
      <c r="K2284" s="397"/>
      <c r="L2284" s="406"/>
      <c r="M2284" s="81">
        <f>ROUND(I2284*J2284,0)</f>
        <v>180960000</v>
      </c>
      <c r="N2284" s="82" t="s">
        <v>268</v>
      </c>
      <c r="O2284" s="82" t="s">
        <v>8</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x</v>
      </c>
    </row>
    <row r="2285" spans="1:30" ht="15.75" customHeight="1">
      <c r="A2285" s="323" t="str">
        <f>IF(B2285&lt;&gt;"",IF(AND(B2285='IN-TC'!$S$4,OR(TH!N2300="1111",TH!O2300="1111")),TH!D2300,""),"")</f>
        <v/>
      </c>
      <c r="B2285" s="63">
        <f t="shared" si="165"/>
        <v>11</v>
      </c>
      <c r="C2285" s="64">
        <v>42704</v>
      </c>
      <c r="D2285" s="64" t="s">
        <v>3008</v>
      </c>
      <c r="E2285" s="64">
        <v>42704</v>
      </c>
      <c r="F2285" s="72" t="s">
        <v>932</v>
      </c>
      <c r="G2285" s="67" t="s">
        <v>337</v>
      </c>
      <c r="H2285" s="329" t="s">
        <v>411</v>
      </c>
      <c r="I2285" s="408"/>
      <c r="J2285" s="408"/>
      <c r="K2285" s="399"/>
      <c r="L2285" s="408"/>
      <c r="M2285" s="65">
        <v>172495000</v>
      </c>
      <c r="N2285" s="66" t="s">
        <v>8</v>
      </c>
      <c r="O2285" s="66" t="s">
        <v>266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customHeight="1">
      <c r="A2286" s="323" t="str">
        <f>IF(B2286&lt;&gt;"",IF(AND(B2286='IN-TC'!$S$4,OR(TH!N1669="1111",TH!O1669="1111")),TH!D1669,""),"")</f>
        <v/>
      </c>
      <c r="B2286" s="63">
        <f t="shared" ref="B2286:B2349" si="168">IF(C2286&lt;&gt;"",MONTH(C2286),"")</f>
        <v>11</v>
      </c>
      <c r="C2286" s="78">
        <v>42704</v>
      </c>
      <c r="D2286" s="78" t="s">
        <v>2875</v>
      </c>
      <c r="E2286" s="78">
        <f t="shared" ref="E2286:E2295" si="169">C2286</f>
        <v>42704</v>
      </c>
      <c r="F2286" s="79" t="s">
        <v>1952</v>
      </c>
      <c r="G2286" s="79" t="s">
        <v>331</v>
      </c>
      <c r="H2286" s="80" t="s">
        <v>376</v>
      </c>
      <c r="I2286" s="406">
        <v>14730</v>
      </c>
      <c r="J2286" s="407">
        <v>17500</v>
      </c>
      <c r="K2286" s="397"/>
      <c r="L2286" s="406"/>
      <c r="M2286" s="81">
        <f>ROUND(I2286*J2286,0)</f>
        <v>257775000</v>
      </c>
      <c r="N2286" s="82" t="s">
        <v>268</v>
      </c>
      <c r="O2286" s="82" t="s">
        <v>8</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x</v>
      </c>
    </row>
    <row r="2287" spans="1:30" ht="15.75" customHeight="1">
      <c r="A2287" s="323"/>
      <c r="B2287" s="63">
        <f t="shared" si="168"/>
        <v>12</v>
      </c>
      <c r="C2287" s="1077">
        <v>42721</v>
      </c>
      <c r="D2287" s="1077" t="s">
        <v>2261</v>
      </c>
      <c r="E2287" s="78">
        <f t="shared" si="169"/>
        <v>42721</v>
      </c>
      <c r="F2287" s="310" t="s">
        <v>1952</v>
      </c>
      <c r="G2287" s="1107"/>
      <c r="H2287" s="310" t="s">
        <v>378</v>
      </c>
      <c r="I2287" s="406">
        <v>14450</v>
      </c>
      <c r="J2287" s="407">
        <v>17500</v>
      </c>
      <c r="K2287" s="1110"/>
      <c r="L2287" s="1109"/>
      <c r="M2287" s="81">
        <f>ROUND(I2287*J2287,0)</f>
        <v>252875000</v>
      </c>
      <c r="N2287" s="82" t="s">
        <v>268</v>
      </c>
      <c r="O2287" s="82" t="s">
        <v>8</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customHeight="1">
      <c r="A2288" s="323"/>
      <c r="B2288" s="63">
        <f t="shared" si="168"/>
        <v>12</v>
      </c>
      <c r="C2288" s="1077">
        <v>42705</v>
      </c>
      <c r="D2288" s="1077" t="s">
        <v>919</v>
      </c>
      <c r="E2288" s="78">
        <f t="shared" si="169"/>
        <v>42705</v>
      </c>
      <c r="F2288" s="310" t="s">
        <v>1952</v>
      </c>
      <c r="G2288" s="1107"/>
      <c r="H2288" s="310" t="s">
        <v>1953</v>
      </c>
      <c r="I2288" s="406">
        <v>14530</v>
      </c>
      <c r="J2288" s="407">
        <v>17500</v>
      </c>
      <c r="K2288" s="1110"/>
      <c r="L2288" s="1109"/>
      <c r="M2288" s="81">
        <f>ROUND(I2288*J2288,0)</f>
        <v>254275000</v>
      </c>
      <c r="N2288" s="82" t="s">
        <v>268</v>
      </c>
      <c r="O2288" s="82" t="s">
        <v>8</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customHeight="1">
      <c r="A2289" s="323" t="str">
        <f>IF(B2289&lt;&gt;"",IF(AND(B2289='IN-TC'!$S$4,OR(TH!N2323="1111",TH!O2323="1111")),TH!D2323,""),"")</f>
        <v/>
      </c>
      <c r="B2289" s="63">
        <f t="shared" si="168"/>
        <v>11</v>
      </c>
      <c r="C2289" s="64">
        <v>42704</v>
      </c>
      <c r="D2289" s="64" t="s">
        <v>3009</v>
      </c>
      <c r="E2289" s="64">
        <f t="shared" si="169"/>
        <v>42704</v>
      </c>
      <c r="F2289" s="72" t="s">
        <v>932</v>
      </c>
      <c r="G2289" s="67" t="s">
        <v>331</v>
      </c>
      <c r="H2289" s="80" t="s">
        <v>384</v>
      </c>
      <c r="I2289" s="408"/>
      <c r="J2289" s="408"/>
      <c r="K2289" s="399"/>
      <c r="L2289" s="408"/>
      <c r="M2289" s="65">
        <v>1078487000</v>
      </c>
      <c r="N2289" s="66" t="s">
        <v>8</v>
      </c>
      <c r="O2289" s="66" t="s">
        <v>266</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customHeight="1">
      <c r="A2290" s="323"/>
      <c r="B2290" s="63">
        <f t="shared" si="168"/>
        <v>12</v>
      </c>
      <c r="C2290" s="1077">
        <v>42713</v>
      </c>
      <c r="D2290" s="1077" t="s">
        <v>2227</v>
      </c>
      <c r="E2290" s="78">
        <f t="shared" si="169"/>
        <v>42713</v>
      </c>
      <c r="F2290" s="310" t="s">
        <v>1952</v>
      </c>
      <c r="G2290" s="1107"/>
      <c r="H2290" s="310" t="s">
        <v>386</v>
      </c>
      <c r="I2290" s="406">
        <v>14850</v>
      </c>
      <c r="J2290" s="407">
        <v>17500</v>
      </c>
      <c r="K2290" s="1110"/>
      <c r="L2290" s="1109"/>
      <c r="M2290" s="81">
        <f>ROUND(I2290*J2290,0)</f>
        <v>259875000</v>
      </c>
      <c r="N2290" s="82" t="s">
        <v>268</v>
      </c>
      <c r="O2290" s="82" t="s">
        <v>8</v>
      </c>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customHeight="1">
      <c r="A2291" s="323" t="str">
        <f>IF(B2291&lt;&gt;"",IF(AND(B2291='IN-TC'!$S$4,OR(TH!N2327="1111",TH!O2327="1111")),TH!D2327,""),"")</f>
        <v/>
      </c>
      <c r="B2291" s="63">
        <f t="shared" si="168"/>
        <v>11</v>
      </c>
      <c r="C2291" s="64">
        <v>42704</v>
      </c>
      <c r="D2291" s="64" t="s">
        <v>3009</v>
      </c>
      <c r="E2291" s="64">
        <f t="shared" si="169"/>
        <v>42704</v>
      </c>
      <c r="F2291" s="72" t="s">
        <v>932</v>
      </c>
      <c r="G2291" s="67" t="s">
        <v>331</v>
      </c>
      <c r="H2291" s="80" t="s">
        <v>371</v>
      </c>
      <c r="I2291" s="408"/>
      <c r="J2291" s="408"/>
      <c r="K2291" s="399"/>
      <c r="L2291" s="408"/>
      <c r="M2291" s="65">
        <v>1532766500</v>
      </c>
      <c r="N2291" s="66" t="s">
        <v>8</v>
      </c>
      <c r="O2291" s="66" t="s">
        <v>266</v>
      </c>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customHeight="1">
      <c r="A2292" s="323" t="str">
        <f>IF(B2292&lt;&gt;"",IF(AND(B2292='IN-TC'!$S$4,OR(TH!N1647="1111",TH!O1647="1111")),TH!D1647,""),"")</f>
        <v/>
      </c>
      <c r="B2292" s="63">
        <f t="shared" si="168"/>
        <v>11</v>
      </c>
      <c r="C2292" s="78">
        <v>42700</v>
      </c>
      <c r="D2292" s="78" t="s">
        <v>2643</v>
      </c>
      <c r="E2292" s="78">
        <f t="shared" si="169"/>
        <v>42700</v>
      </c>
      <c r="F2292" s="79" t="s">
        <v>668</v>
      </c>
      <c r="G2292" s="79" t="s">
        <v>331</v>
      </c>
      <c r="H2292" s="80" t="s">
        <v>342</v>
      </c>
      <c r="I2292" s="406">
        <v>4150</v>
      </c>
      <c r="J2292" s="407">
        <v>18000</v>
      </c>
      <c r="K2292" s="397"/>
      <c r="L2292" s="406"/>
      <c r="M2292" s="81">
        <f>ROUND(I2292*J2292,0)</f>
        <v>74700000</v>
      </c>
      <c r="N2292" s="82" t="s">
        <v>268</v>
      </c>
      <c r="O2292" s="82" t="s">
        <v>8</v>
      </c>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x</v>
      </c>
    </row>
    <row r="2293" spans="1:30" ht="15.75" customHeight="1">
      <c r="A2293" s="323"/>
      <c r="B2293" s="63">
        <f t="shared" si="168"/>
        <v>12</v>
      </c>
      <c r="C2293" s="1077">
        <v>42711</v>
      </c>
      <c r="D2293" s="1077" t="s">
        <v>942</v>
      </c>
      <c r="E2293" s="78">
        <f t="shared" si="169"/>
        <v>42711</v>
      </c>
      <c r="F2293" s="310" t="s">
        <v>1952</v>
      </c>
      <c r="G2293" s="1107"/>
      <c r="H2293" s="310" t="s">
        <v>381</v>
      </c>
      <c r="I2293" s="406">
        <v>14660</v>
      </c>
      <c r="J2293" s="407">
        <v>17500</v>
      </c>
      <c r="K2293" s="1110"/>
      <c r="L2293" s="1109"/>
      <c r="M2293" s="81">
        <f>ROUND(I2293*J2293,0)</f>
        <v>256550000</v>
      </c>
      <c r="N2293" s="82" t="s">
        <v>268</v>
      </c>
      <c r="O2293" s="82" t="s">
        <v>8</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customHeight="1">
      <c r="A2294" s="323"/>
      <c r="B2294" s="63">
        <f t="shared" si="168"/>
        <v>12</v>
      </c>
      <c r="C2294" s="1077">
        <v>42713</v>
      </c>
      <c r="D2294" s="1077" t="s">
        <v>1945</v>
      </c>
      <c r="E2294" s="78">
        <f t="shared" si="169"/>
        <v>42713</v>
      </c>
      <c r="F2294" s="310" t="s">
        <v>1952</v>
      </c>
      <c r="G2294" s="1107"/>
      <c r="H2294" s="310" t="s">
        <v>388</v>
      </c>
      <c r="I2294" s="406">
        <v>14800</v>
      </c>
      <c r="J2294" s="407">
        <v>17500</v>
      </c>
      <c r="K2294" s="1110"/>
      <c r="L2294" s="1109"/>
      <c r="M2294" s="81">
        <f>ROUND(I2294*J2294,0)</f>
        <v>259000000</v>
      </c>
      <c r="N2294" s="82" t="s">
        <v>268</v>
      </c>
      <c r="O2294" s="82" t="s">
        <v>8</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customHeight="1">
      <c r="A2295" s="323" t="str">
        <f>IF(B2295&lt;&gt;"",IF(AND(B2295='IN-TC'!$S$4,OR(TH!N1649="1111",TH!O1649="1111")),TH!D1649,""),"")</f>
        <v/>
      </c>
      <c r="B2295" s="63">
        <f t="shared" si="168"/>
        <v>11</v>
      </c>
      <c r="C2295" s="78">
        <v>42700</v>
      </c>
      <c r="D2295" s="78" t="s">
        <v>2645</v>
      </c>
      <c r="E2295" s="78">
        <f t="shared" si="169"/>
        <v>42700</v>
      </c>
      <c r="F2295" s="79" t="s">
        <v>668</v>
      </c>
      <c r="G2295" s="79" t="s">
        <v>331</v>
      </c>
      <c r="H2295" s="80" t="s">
        <v>354</v>
      </c>
      <c r="I2295" s="406">
        <v>4850</v>
      </c>
      <c r="J2295" s="407">
        <v>18000</v>
      </c>
      <c r="K2295" s="397"/>
      <c r="L2295" s="406"/>
      <c r="M2295" s="81">
        <f>ROUND(I2295*J2295,0)</f>
        <v>87300000</v>
      </c>
      <c r="N2295" s="82" t="s">
        <v>268</v>
      </c>
      <c r="O2295" s="82" t="s">
        <v>8</v>
      </c>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x</v>
      </c>
    </row>
    <row r="2296" spans="1:30" ht="15.75" customHeight="1">
      <c r="A2296" s="323" t="str">
        <f>IF(B2296&lt;&gt;"",IF(AND(B2296='IN-TC'!$S$4,OR(TH!N2319="1111",TH!O2319="1111")),TH!D2319,""),"")</f>
        <v/>
      </c>
      <c r="B2296" s="63">
        <f t="shared" si="168"/>
        <v>10</v>
      </c>
      <c r="C2296" s="64">
        <v>42674</v>
      </c>
      <c r="D2296" s="64" t="s">
        <v>2274</v>
      </c>
      <c r="E2296" s="64">
        <v>42674</v>
      </c>
      <c r="F2296" s="72" t="s">
        <v>932</v>
      </c>
      <c r="G2296" s="67" t="s">
        <v>331</v>
      </c>
      <c r="H2296" s="329" t="s">
        <v>357</v>
      </c>
      <c r="I2296" s="408"/>
      <c r="J2296" s="408"/>
      <c r="K2296" s="399"/>
      <c r="L2296" s="408"/>
      <c r="M2296" s="65">
        <v>85320000</v>
      </c>
      <c r="N2296" s="66" t="s">
        <v>8</v>
      </c>
      <c r="O2296" s="66" t="s">
        <v>266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customHeight="1">
      <c r="A2297" s="323" t="str">
        <f>IF(B2297&lt;&gt;"",IF(AND(B2297='IN-TC'!$S$4,OR(TH!N2316="1111",TH!O2316="1111")),TH!D2316,""),"")</f>
        <v/>
      </c>
      <c r="B2297" s="63">
        <f t="shared" si="168"/>
        <v>10</v>
      </c>
      <c r="C2297" s="64">
        <v>42674</v>
      </c>
      <c r="D2297" s="64" t="s">
        <v>2274</v>
      </c>
      <c r="E2297" s="64">
        <v>42674</v>
      </c>
      <c r="F2297" s="72" t="s">
        <v>932</v>
      </c>
      <c r="G2297" s="67" t="s">
        <v>331</v>
      </c>
      <c r="H2297" s="329" t="s">
        <v>360</v>
      </c>
      <c r="I2297" s="408"/>
      <c r="J2297" s="408"/>
      <c r="K2297" s="399"/>
      <c r="L2297" s="408"/>
      <c r="M2297" s="65">
        <v>170640000</v>
      </c>
      <c r="N2297" s="66" t="s">
        <v>8</v>
      </c>
      <c r="O2297" s="66" t="s">
        <v>266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customHeight="1">
      <c r="A2298" s="323"/>
      <c r="B2298" s="63">
        <f t="shared" si="168"/>
        <v>12</v>
      </c>
      <c r="C2298" s="1077">
        <v>42714</v>
      </c>
      <c r="D2298" s="1077" t="s">
        <v>2234</v>
      </c>
      <c r="E2298" s="78">
        <f>C2298</f>
        <v>42714</v>
      </c>
      <c r="F2298" s="310" t="s">
        <v>2225</v>
      </c>
      <c r="G2298" s="1107"/>
      <c r="H2298" s="310" t="s">
        <v>417</v>
      </c>
      <c r="I2298" s="406">
        <v>4450</v>
      </c>
      <c r="J2298" s="407">
        <v>25000</v>
      </c>
      <c r="K2298" s="1110"/>
      <c r="L2298" s="1109"/>
      <c r="M2298" s="81">
        <f>ROUND(I2298*J2298,0)</f>
        <v>111250000</v>
      </c>
      <c r="N2298" s="82" t="s">
        <v>268</v>
      </c>
      <c r="O2298" s="82" t="s">
        <v>8</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customHeight="1">
      <c r="A2299" s="323" t="str">
        <f>IF(B2299&lt;&gt;"",IF(AND(B2299='IN-TC'!$S$4,OR(TH!N2298="1111",TH!O2298="1111")),TH!D2298,""),"")</f>
        <v/>
      </c>
      <c r="B2299" s="63">
        <f t="shared" si="168"/>
        <v>12</v>
      </c>
      <c r="C2299" s="64">
        <v>42735</v>
      </c>
      <c r="D2299" s="64" t="s">
        <v>3010</v>
      </c>
      <c r="E2299" s="64">
        <v>42735</v>
      </c>
      <c r="F2299" s="72" t="s">
        <v>932</v>
      </c>
      <c r="G2299" s="67" t="s">
        <v>337</v>
      </c>
      <c r="H2299" s="329" t="s">
        <v>417</v>
      </c>
      <c r="I2299" s="408"/>
      <c r="J2299" s="408"/>
      <c r="K2299" s="399"/>
      <c r="L2299" s="408"/>
      <c r="M2299" s="65">
        <v>111250000</v>
      </c>
      <c r="N2299" s="66" t="s">
        <v>8</v>
      </c>
      <c r="O2299" s="66" t="s">
        <v>266</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customHeight="1">
      <c r="A2300" s="323"/>
      <c r="B2300" s="63">
        <f t="shared" si="168"/>
        <v>12</v>
      </c>
      <c r="C2300" s="1077">
        <v>42714</v>
      </c>
      <c r="D2300" s="1077" t="s">
        <v>2232</v>
      </c>
      <c r="E2300" s="78">
        <f>C2300</f>
        <v>42714</v>
      </c>
      <c r="F2300" s="310" t="s">
        <v>2225</v>
      </c>
      <c r="G2300" s="1107"/>
      <c r="H2300" s="310" t="s">
        <v>411</v>
      </c>
      <c r="I2300" s="406">
        <v>4195</v>
      </c>
      <c r="J2300" s="407">
        <v>25000</v>
      </c>
      <c r="K2300" s="1110"/>
      <c r="L2300" s="1109"/>
      <c r="M2300" s="81">
        <f>ROUND(I2300*J2300,0)</f>
        <v>104875000</v>
      </c>
      <c r="N2300" s="82" t="s">
        <v>268</v>
      </c>
      <c r="O2300" s="82" t="s">
        <v>8</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customHeight="1">
      <c r="A2301" s="323" t="str">
        <f>IF(B2301&lt;&gt;"",IF(AND(B2301='IN-TC'!$S$4,OR(TH!N2301="1111",TH!O2301="1111")),TH!D2301,""),"")</f>
        <v/>
      </c>
      <c r="B2301" s="63">
        <f t="shared" si="168"/>
        <v>9</v>
      </c>
      <c r="C2301" s="64">
        <v>42643</v>
      </c>
      <c r="D2301" s="64" t="s">
        <v>2271</v>
      </c>
      <c r="E2301" s="64">
        <v>42674</v>
      </c>
      <c r="F2301" s="72" t="s">
        <v>932</v>
      </c>
      <c r="G2301" s="67" t="s">
        <v>337</v>
      </c>
      <c r="H2301" s="329" t="s">
        <v>416</v>
      </c>
      <c r="I2301" s="408"/>
      <c r="J2301" s="408"/>
      <c r="K2301" s="399"/>
      <c r="L2301" s="408"/>
      <c r="M2301" s="65">
        <v>177555000</v>
      </c>
      <c r="N2301" s="66" t="s">
        <v>8</v>
      </c>
      <c r="O2301" s="66" t="s">
        <v>266</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customHeight="1">
      <c r="A2302" s="1240"/>
      <c r="B2302" s="1241">
        <f t="shared" si="168"/>
        <v>11</v>
      </c>
      <c r="C2302" s="1242">
        <v>42704</v>
      </c>
      <c r="D2302" s="1242" t="s">
        <v>2883</v>
      </c>
      <c r="E2302" s="1242">
        <f t="shared" ref="E2302:E2333" si="170">C2302</f>
        <v>42704</v>
      </c>
      <c r="F2302" s="1243" t="s">
        <v>1936</v>
      </c>
      <c r="G2302" s="1243"/>
      <c r="H2302" s="1287" t="s">
        <v>423</v>
      </c>
      <c r="I2302" s="1245">
        <v>175</v>
      </c>
      <c r="J2302" s="1246">
        <v>151000</v>
      </c>
      <c r="K2302" s="1247"/>
      <c r="L2302" s="1245"/>
      <c r="M2302" s="1248">
        <f t="shared" ref="M2302:M2327" si="171">ROUND(I2302*J2302,0)</f>
        <v>26425000</v>
      </c>
      <c r="N2302" s="1249" t="s">
        <v>268</v>
      </c>
      <c r="O2302" s="1249" t="s">
        <v>8</v>
      </c>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x</v>
      </c>
    </row>
    <row r="2303" spans="1:30" ht="15.75" customHeight="1">
      <c r="A2303" s="323" t="str">
        <f>IF(B2303&lt;&gt;"",IF(AND(B2303='IN-TC'!$S$4,OR(TH!N1568="1111",TH!O1568="1111")),TH!D1568,""),"")</f>
        <v/>
      </c>
      <c r="B2303" s="63">
        <f t="shared" si="168"/>
        <v>11</v>
      </c>
      <c r="C2303" s="78">
        <v>42679</v>
      </c>
      <c r="D2303" s="78" t="s">
        <v>944</v>
      </c>
      <c r="E2303" s="78">
        <f t="shared" si="170"/>
        <v>42679</v>
      </c>
      <c r="F2303" s="79" t="s">
        <v>669</v>
      </c>
      <c r="G2303" s="79" t="s">
        <v>337</v>
      </c>
      <c r="H2303" s="80" t="s">
        <v>1949</v>
      </c>
      <c r="I2303" s="406">
        <v>9969</v>
      </c>
      <c r="J2303" s="407">
        <v>16500</v>
      </c>
      <c r="K2303" s="397"/>
      <c r="L2303" s="406"/>
      <c r="M2303" s="81">
        <f t="shared" si="171"/>
        <v>164488500</v>
      </c>
      <c r="N2303" s="82" t="s">
        <v>268</v>
      </c>
      <c r="O2303" s="82" t="s">
        <v>8</v>
      </c>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x</v>
      </c>
    </row>
    <row r="2304" spans="1:30" ht="15.75" customHeight="1">
      <c r="A2304" s="323" t="str">
        <f>IF(B2304&lt;&gt;"",IF(AND(B2304='IN-TC'!$S$4,OR(TH!N1574="1111",TH!O1574="1111")),TH!D1574,""),"")</f>
        <v/>
      </c>
      <c r="B2304" s="63">
        <f t="shared" si="168"/>
        <v>11</v>
      </c>
      <c r="C2304" s="78">
        <v>42681</v>
      </c>
      <c r="D2304" s="78" t="s">
        <v>1945</v>
      </c>
      <c r="E2304" s="78">
        <f t="shared" si="170"/>
        <v>42681</v>
      </c>
      <c r="F2304" s="79" t="s">
        <v>669</v>
      </c>
      <c r="G2304" s="79" t="s">
        <v>337</v>
      </c>
      <c r="H2304" s="80" t="s">
        <v>1950</v>
      </c>
      <c r="I2304" s="406">
        <v>9968</v>
      </c>
      <c r="J2304" s="407">
        <v>16500</v>
      </c>
      <c r="K2304" s="397"/>
      <c r="L2304" s="406"/>
      <c r="M2304" s="81">
        <f t="shared" si="171"/>
        <v>164472000</v>
      </c>
      <c r="N2304" s="82" t="s">
        <v>268</v>
      </c>
      <c r="O2304" s="82" t="s">
        <v>8</v>
      </c>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x</v>
      </c>
    </row>
    <row r="2305" spans="1:30" ht="15.75" customHeight="1">
      <c r="A2305" s="323" t="str">
        <f>IF(B2305&lt;&gt;"",IF(AND(B2305='IN-TC'!$S$4,OR(TH!N1576="1111",TH!O1576="1111")),TH!D1576,""),"")</f>
        <v/>
      </c>
      <c r="B2305" s="63">
        <f t="shared" si="168"/>
        <v>11</v>
      </c>
      <c r="C2305" s="78">
        <v>42681</v>
      </c>
      <c r="D2305" s="78" t="s">
        <v>2226</v>
      </c>
      <c r="E2305" s="78">
        <f t="shared" si="170"/>
        <v>42681</v>
      </c>
      <c r="F2305" s="79" t="s">
        <v>669</v>
      </c>
      <c r="G2305" s="79" t="s">
        <v>337</v>
      </c>
      <c r="H2305" s="80" t="s">
        <v>421</v>
      </c>
      <c r="I2305" s="406">
        <v>9680</v>
      </c>
      <c r="J2305" s="407">
        <v>16500</v>
      </c>
      <c r="K2305" s="397"/>
      <c r="L2305" s="406"/>
      <c r="M2305" s="81">
        <f t="shared" si="171"/>
        <v>159720000</v>
      </c>
      <c r="N2305" s="82" t="s">
        <v>268</v>
      </c>
      <c r="O2305" s="82" t="s">
        <v>8</v>
      </c>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x</v>
      </c>
    </row>
    <row r="2306" spans="1:30" ht="15.75" customHeight="1">
      <c r="A2306" s="323" t="str">
        <f>IF(B2306&lt;&gt;"",IF(AND(B2306='IN-TC'!$S$4,OR(TH!N1567="1111",TH!O1567="1111")),TH!D1567,""),"")</f>
        <v/>
      </c>
      <c r="B2306" s="63">
        <f t="shared" si="168"/>
        <v>11</v>
      </c>
      <c r="C2306" s="78">
        <v>42679</v>
      </c>
      <c r="D2306" s="78" t="s">
        <v>943</v>
      </c>
      <c r="E2306" s="78">
        <f t="shared" si="170"/>
        <v>42679</v>
      </c>
      <c r="F2306" s="79" t="s">
        <v>669</v>
      </c>
      <c r="G2306" s="79" t="s">
        <v>337</v>
      </c>
      <c r="H2306" s="80" t="s">
        <v>418</v>
      </c>
      <c r="I2306" s="406">
        <v>9956</v>
      </c>
      <c r="J2306" s="407">
        <v>16500</v>
      </c>
      <c r="K2306" s="397"/>
      <c r="L2306" s="406"/>
      <c r="M2306" s="81">
        <f t="shared" si="171"/>
        <v>164274000</v>
      </c>
      <c r="N2306" s="82" t="s">
        <v>268</v>
      </c>
      <c r="O2306" s="82" t="s">
        <v>8</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x</v>
      </c>
    </row>
    <row r="2307" spans="1:30" ht="15.75" customHeight="1">
      <c r="A2307" s="323"/>
      <c r="B2307" s="63">
        <f t="shared" si="168"/>
        <v>12</v>
      </c>
      <c r="C2307" s="1077">
        <v>42705</v>
      </c>
      <c r="D2307" s="1077" t="s">
        <v>920</v>
      </c>
      <c r="E2307" s="78">
        <f t="shared" si="170"/>
        <v>42705</v>
      </c>
      <c r="F2307" s="310" t="s">
        <v>1952</v>
      </c>
      <c r="G2307" s="1107"/>
      <c r="H2307" s="310" t="s">
        <v>384</v>
      </c>
      <c r="I2307" s="406">
        <v>14480</v>
      </c>
      <c r="J2307" s="407">
        <v>17500</v>
      </c>
      <c r="K2307" s="1110"/>
      <c r="L2307" s="1109"/>
      <c r="M2307" s="81">
        <f t="shared" si="171"/>
        <v>253400000</v>
      </c>
      <c r="N2307" s="82" t="s">
        <v>268</v>
      </c>
      <c r="O2307" s="82" t="s">
        <v>8</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customHeight="1">
      <c r="A2308" s="323"/>
      <c r="B2308" s="63">
        <f t="shared" si="168"/>
        <v>12</v>
      </c>
      <c r="C2308" s="1077">
        <v>42716</v>
      </c>
      <c r="D2308" s="1077" t="s">
        <v>2239</v>
      </c>
      <c r="E2308" s="78">
        <f t="shared" si="170"/>
        <v>42716</v>
      </c>
      <c r="F2308" s="310" t="s">
        <v>1952</v>
      </c>
      <c r="G2308" s="1107"/>
      <c r="H2308" s="310" t="s">
        <v>386</v>
      </c>
      <c r="I2308" s="406">
        <v>14530</v>
      </c>
      <c r="J2308" s="407">
        <v>17500</v>
      </c>
      <c r="K2308" s="1110"/>
      <c r="L2308" s="1109"/>
      <c r="M2308" s="81">
        <f t="shared" si="171"/>
        <v>254275000</v>
      </c>
      <c r="N2308" s="82" t="s">
        <v>268</v>
      </c>
      <c r="O2308" s="82" t="s">
        <v>8</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customHeight="1">
      <c r="A2309" s="323"/>
      <c r="B2309" s="63">
        <f t="shared" si="168"/>
        <v>12</v>
      </c>
      <c r="C2309" s="1077">
        <v>42706</v>
      </c>
      <c r="D2309" s="1077" t="s">
        <v>922</v>
      </c>
      <c r="E2309" s="78">
        <f t="shared" si="170"/>
        <v>42706</v>
      </c>
      <c r="F2309" s="310" t="s">
        <v>1952</v>
      </c>
      <c r="G2309" s="1107"/>
      <c r="H2309" s="310" t="s">
        <v>371</v>
      </c>
      <c r="I2309" s="406">
        <v>14471</v>
      </c>
      <c r="J2309" s="407">
        <v>17500</v>
      </c>
      <c r="K2309" s="1110"/>
      <c r="L2309" s="1109"/>
      <c r="M2309" s="81">
        <f t="shared" si="171"/>
        <v>253242500</v>
      </c>
      <c r="N2309" s="82" t="s">
        <v>268</v>
      </c>
      <c r="O2309" s="82" t="s">
        <v>8</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customHeight="1">
      <c r="A2310" s="323"/>
      <c r="B2310" s="63">
        <f t="shared" si="168"/>
        <v>12</v>
      </c>
      <c r="C2310" s="1077">
        <v>42716</v>
      </c>
      <c r="D2310" s="1077" t="s">
        <v>2240</v>
      </c>
      <c r="E2310" s="78">
        <f t="shared" si="170"/>
        <v>42716</v>
      </c>
      <c r="F2310" s="310" t="s">
        <v>1952</v>
      </c>
      <c r="G2310" s="1107"/>
      <c r="H2310" s="310" t="s">
        <v>388</v>
      </c>
      <c r="I2310" s="406">
        <v>14480</v>
      </c>
      <c r="J2310" s="407">
        <v>17500</v>
      </c>
      <c r="K2310" s="1110"/>
      <c r="L2310" s="1109"/>
      <c r="M2310" s="81">
        <f t="shared" si="171"/>
        <v>253400000</v>
      </c>
      <c r="N2310" s="82" t="s">
        <v>268</v>
      </c>
      <c r="O2310" s="82" t="s">
        <v>8</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customHeight="1">
      <c r="A2311" s="323"/>
      <c r="B2311" s="63">
        <f t="shared" si="168"/>
        <v>12</v>
      </c>
      <c r="C2311" s="1077">
        <v>42713</v>
      </c>
      <c r="D2311" s="1077" t="s">
        <v>2226</v>
      </c>
      <c r="E2311" s="78">
        <f t="shared" si="170"/>
        <v>42713</v>
      </c>
      <c r="F2311" s="310" t="s">
        <v>1952</v>
      </c>
      <c r="G2311" s="1107"/>
      <c r="H2311" s="310" t="s">
        <v>381</v>
      </c>
      <c r="I2311" s="406">
        <v>14360</v>
      </c>
      <c r="J2311" s="407">
        <v>17500</v>
      </c>
      <c r="K2311" s="1110"/>
      <c r="L2311" s="1109"/>
      <c r="M2311" s="81">
        <f t="shared" si="171"/>
        <v>251300000</v>
      </c>
      <c r="N2311" s="82" t="s">
        <v>268</v>
      </c>
      <c r="O2311" s="82" t="s">
        <v>8</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customHeight="1">
      <c r="A2312" s="323"/>
      <c r="B2312" s="63">
        <f t="shared" si="168"/>
        <v>12</v>
      </c>
      <c r="C2312" s="1077">
        <v>42705</v>
      </c>
      <c r="D2312" s="1077" t="s">
        <v>917</v>
      </c>
      <c r="E2312" s="78">
        <f t="shared" si="170"/>
        <v>42705</v>
      </c>
      <c r="F2312" s="310" t="s">
        <v>1952</v>
      </c>
      <c r="G2312" s="1107"/>
      <c r="H2312" s="310" t="s">
        <v>376</v>
      </c>
      <c r="I2312" s="406">
        <v>14556</v>
      </c>
      <c r="J2312" s="407">
        <v>17500</v>
      </c>
      <c r="K2312" s="1110"/>
      <c r="L2312" s="1109"/>
      <c r="M2312" s="81">
        <f t="shared" si="171"/>
        <v>254730000</v>
      </c>
      <c r="N2312" s="82" t="s">
        <v>268</v>
      </c>
      <c r="O2312" s="82" t="s">
        <v>8</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customHeight="1">
      <c r="A2313" s="323"/>
      <c r="B2313" s="63">
        <f t="shared" si="168"/>
        <v>12</v>
      </c>
      <c r="C2313" s="1077">
        <v>42724</v>
      </c>
      <c r="D2313" s="1077" t="s">
        <v>2292</v>
      </c>
      <c r="E2313" s="78">
        <f t="shared" si="170"/>
        <v>42724</v>
      </c>
      <c r="F2313" s="310" t="s">
        <v>1952</v>
      </c>
      <c r="G2313" s="1107"/>
      <c r="H2313" s="310" t="s">
        <v>378</v>
      </c>
      <c r="I2313" s="406">
        <v>14530</v>
      </c>
      <c r="J2313" s="407">
        <v>17500</v>
      </c>
      <c r="K2313" s="1110"/>
      <c r="L2313" s="1109"/>
      <c r="M2313" s="81">
        <f t="shared" si="171"/>
        <v>254275000</v>
      </c>
      <c r="N2313" s="82" t="s">
        <v>268</v>
      </c>
      <c r="O2313" s="82" t="s">
        <v>8</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customHeight="1">
      <c r="A2314" s="323"/>
      <c r="B2314" s="63">
        <f t="shared" si="168"/>
        <v>12</v>
      </c>
      <c r="C2314" s="1077">
        <v>42707</v>
      </c>
      <c r="D2314" s="1077" t="s">
        <v>927</v>
      </c>
      <c r="E2314" s="78">
        <f t="shared" si="170"/>
        <v>42707</v>
      </c>
      <c r="F2314" s="310" t="s">
        <v>1952</v>
      </c>
      <c r="G2314" s="1107"/>
      <c r="H2314" s="310" t="s">
        <v>1953</v>
      </c>
      <c r="I2314" s="406">
        <v>14556</v>
      </c>
      <c r="J2314" s="407">
        <v>17500</v>
      </c>
      <c r="K2314" s="1110"/>
      <c r="L2314" s="1109"/>
      <c r="M2314" s="81">
        <f t="shared" si="171"/>
        <v>254730000</v>
      </c>
      <c r="N2314" s="82" t="s">
        <v>268</v>
      </c>
      <c r="O2314" s="82" t="s">
        <v>8</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customHeight="1">
      <c r="A2315" s="323" t="str">
        <f>IF(B2315&lt;&gt;"",IF(AND(B2315='IN-TC'!$S$4,OR(TH!N1657="1111",TH!O1657="1111")),TH!D1657,""),"")</f>
        <v/>
      </c>
      <c r="B2315" s="63">
        <f t="shared" si="168"/>
        <v>11</v>
      </c>
      <c r="C2315" s="78">
        <v>42702</v>
      </c>
      <c r="D2315" s="78" t="s">
        <v>2863</v>
      </c>
      <c r="E2315" s="78">
        <f t="shared" si="170"/>
        <v>42702</v>
      </c>
      <c r="F2315" s="79" t="s">
        <v>668</v>
      </c>
      <c r="G2315" s="79" t="s">
        <v>331</v>
      </c>
      <c r="H2315" s="80" t="s">
        <v>342</v>
      </c>
      <c r="I2315" s="406">
        <v>5140</v>
      </c>
      <c r="J2315" s="407">
        <v>18000</v>
      </c>
      <c r="K2315" s="397"/>
      <c r="L2315" s="406"/>
      <c r="M2315" s="81">
        <f t="shared" si="171"/>
        <v>92520000</v>
      </c>
      <c r="N2315" s="82" t="s">
        <v>268</v>
      </c>
      <c r="O2315" s="82" t="s">
        <v>8</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x</v>
      </c>
    </row>
    <row r="2316" spans="1:30" ht="15.75" customHeight="1">
      <c r="A2316" s="323" t="str">
        <f>IF(B2316&lt;&gt;"",IF(AND(B2316='IN-TC'!$S$4,OR(TH!N1648="1111",TH!O1648="1111")),TH!D1648,""),"")</f>
        <v/>
      </c>
      <c r="B2316" s="63">
        <f t="shared" si="168"/>
        <v>11</v>
      </c>
      <c r="C2316" s="78">
        <v>42700</v>
      </c>
      <c r="D2316" s="78" t="s">
        <v>2644</v>
      </c>
      <c r="E2316" s="78">
        <f t="shared" si="170"/>
        <v>42700</v>
      </c>
      <c r="F2316" s="79" t="s">
        <v>668</v>
      </c>
      <c r="G2316" s="79" t="s">
        <v>331</v>
      </c>
      <c r="H2316" s="80" t="s">
        <v>360</v>
      </c>
      <c r="I2316" s="406">
        <v>4670</v>
      </c>
      <c r="J2316" s="407">
        <v>18000</v>
      </c>
      <c r="K2316" s="397"/>
      <c r="L2316" s="406"/>
      <c r="M2316" s="81">
        <f t="shared" si="171"/>
        <v>84060000</v>
      </c>
      <c r="N2316" s="82" t="s">
        <v>268</v>
      </c>
      <c r="O2316" s="82" t="s">
        <v>8</v>
      </c>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x</v>
      </c>
    </row>
    <row r="2317" spans="1:30" ht="15.75" customHeight="1">
      <c r="A2317" s="323" t="str">
        <f>IF(B2317&lt;&gt;"",IF(AND(B2317='IN-TC'!$S$4,OR(TH!N1656="1111",TH!O1656="1111")),TH!D1656,""),"")</f>
        <v/>
      </c>
      <c r="B2317" s="63">
        <f t="shared" si="168"/>
        <v>11</v>
      </c>
      <c r="C2317" s="78">
        <v>42702</v>
      </c>
      <c r="D2317" s="78" t="s">
        <v>2862</v>
      </c>
      <c r="E2317" s="78">
        <f t="shared" si="170"/>
        <v>42702</v>
      </c>
      <c r="F2317" s="79" t="s">
        <v>668</v>
      </c>
      <c r="G2317" s="79" t="s">
        <v>331</v>
      </c>
      <c r="H2317" s="80" t="s">
        <v>354</v>
      </c>
      <c r="I2317" s="406">
        <v>5200</v>
      </c>
      <c r="J2317" s="407">
        <v>18000</v>
      </c>
      <c r="K2317" s="397"/>
      <c r="L2317" s="406"/>
      <c r="M2317" s="81">
        <f t="shared" si="171"/>
        <v>93600000</v>
      </c>
      <c r="N2317" s="82" t="s">
        <v>268</v>
      </c>
      <c r="O2317" s="82" t="s">
        <v>8</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x</v>
      </c>
    </row>
    <row r="2318" spans="1:30" ht="15.75" customHeight="1">
      <c r="A2318" s="323" t="str">
        <f>IF(B2318&lt;&gt;"",IF(AND(B2318='IN-TC'!$S$4,OR(TH!N1658="1111",TH!O1658="1111")),TH!D1658,""),"")</f>
        <v/>
      </c>
      <c r="B2318" s="63">
        <f t="shared" si="168"/>
        <v>11</v>
      </c>
      <c r="C2318" s="78">
        <v>42702</v>
      </c>
      <c r="D2318" s="78" t="s">
        <v>2864</v>
      </c>
      <c r="E2318" s="78">
        <f t="shared" si="170"/>
        <v>42702</v>
      </c>
      <c r="F2318" s="79" t="s">
        <v>668</v>
      </c>
      <c r="G2318" s="79" t="s">
        <v>331</v>
      </c>
      <c r="H2318" s="85" t="s">
        <v>339</v>
      </c>
      <c r="I2318" s="406">
        <v>4240</v>
      </c>
      <c r="J2318" s="407">
        <v>18000</v>
      </c>
      <c r="K2318" s="397"/>
      <c r="L2318" s="406"/>
      <c r="M2318" s="81">
        <f t="shared" si="171"/>
        <v>76320000</v>
      </c>
      <c r="N2318" s="82" t="s">
        <v>268</v>
      </c>
      <c r="O2318" s="82" t="s">
        <v>8</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x</v>
      </c>
    </row>
    <row r="2319" spans="1:30" ht="15.75" customHeight="1">
      <c r="A2319" s="323" t="str">
        <f>IF(B2319&lt;&gt;"",IF(AND(B2319='IN-TC'!$S$4,OR(TH!N1655="1111",TH!O1655="1111")),TH!D1655,""),"")</f>
        <v/>
      </c>
      <c r="B2319" s="63">
        <f t="shared" si="168"/>
        <v>11</v>
      </c>
      <c r="C2319" s="78">
        <v>42702</v>
      </c>
      <c r="D2319" s="78" t="s">
        <v>2861</v>
      </c>
      <c r="E2319" s="78">
        <f t="shared" si="170"/>
        <v>42702</v>
      </c>
      <c r="F2319" s="79" t="s">
        <v>668</v>
      </c>
      <c r="G2319" s="79" t="s">
        <v>331</v>
      </c>
      <c r="H2319" s="80" t="s">
        <v>357</v>
      </c>
      <c r="I2319" s="406">
        <v>5120</v>
      </c>
      <c r="J2319" s="407">
        <v>18000</v>
      </c>
      <c r="K2319" s="397"/>
      <c r="L2319" s="406"/>
      <c r="M2319" s="81">
        <f t="shared" si="171"/>
        <v>92160000</v>
      </c>
      <c r="N2319" s="82" t="s">
        <v>268</v>
      </c>
      <c r="O2319" s="82" t="s">
        <v>8</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x</v>
      </c>
    </row>
    <row r="2320" spans="1:30" ht="15.75" customHeight="1">
      <c r="A2320" s="323"/>
      <c r="B2320" s="63">
        <f t="shared" si="168"/>
        <v>12</v>
      </c>
      <c r="C2320" s="1077">
        <v>42716</v>
      </c>
      <c r="D2320" s="1077" t="s">
        <v>2238</v>
      </c>
      <c r="E2320" s="78">
        <f t="shared" si="170"/>
        <v>42716</v>
      </c>
      <c r="F2320" s="310" t="s">
        <v>1952</v>
      </c>
      <c r="G2320" s="1107"/>
      <c r="H2320" s="310" t="s">
        <v>381</v>
      </c>
      <c r="I2320" s="406">
        <v>14458</v>
      </c>
      <c r="J2320" s="407">
        <v>17500</v>
      </c>
      <c r="K2320" s="1110"/>
      <c r="L2320" s="1109"/>
      <c r="M2320" s="81">
        <f t="shared" si="171"/>
        <v>253015000</v>
      </c>
      <c r="N2320" s="82" t="s">
        <v>268</v>
      </c>
      <c r="O2320" s="82" t="s">
        <v>8</v>
      </c>
      <c r="P2320" s="82" t="str">
        <f>IF(AND('331-CT'!$E$7=TH!H2320,OR(N2320="331",O2320="331")),"x","")</f>
        <v/>
      </c>
      <c r="Q2320" s="82" t="str">
        <f>IF(AND(B2320='111'!$L$11,OR($N2320=$Q$7,$O2320=$Q$7)),"x","")</f>
        <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customHeight="1">
      <c r="A2321" s="323"/>
      <c r="B2321" s="63">
        <f t="shared" si="168"/>
        <v>12</v>
      </c>
      <c r="C2321" s="1077">
        <v>42707</v>
      </c>
      <c r="D2321" s="1077" t="s">
        <v>925</v>
      </c>
      <c r="E2321" s="78">
        <f t="shared" si="170"/>
        <v>42707</v>
      </c>
      <c r="F2321" s="310" t="s">
        <v>1952</v>
      </c>
      <c r="G2321" s="1107"/>
      <c r="H2321" s="310" t="s">
        <v>376</v>
      </c>
      <c r="I2321" s="406">
        <v>14630</v>
      </c>
      <c r="J2321" s="407">
        <v>17500</v>
      </c>
      <c r="K2321" s="1110"/>
      <c r="L2321" s="1109"/>
      <c r="M2321" s="81">
        <f t="shared" si="171"/>
        <v>256025000</v>
      </c>
      <c r="N2321" s="82" t="s">
        <v>268</v>
      </c>
      <c r="O2321" s="82" t="s">
        <v>8</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customHeight="1">
      <c r="A2322" s="323"/>
      <c r="B2322" s="63">
        <f t="shared" si="168"/>
        <v>12</v>
      </c>
      <c r="C2322" s="1077">
        <v>42710</v>
      </c>
      <c r="D2322" s="1077" t="s">
        <v>938</v>
      </c>
      <c r="E2322" s="78">
        <f t="shared" si="170"/>
        <v>42710</v>
      </c>
      <c r="F2322" s="310" t="s">
        <v>1952</v>
      </c>
      <c r="G2322" s="1107"/>
      <c r="H2322" s="310" t="s">
        <v>1953</v>
      </c>
      <c r="I2322" s="406">
        <v>14458</v>
      </c>
      <c r="J2322" s="407">
        <v>17500</v>
      </c>
      <c r="K2322" s="1110"/>
      <c r="L2322" s="1109"/>
      <c r="M2322" s="81">
        <f t="shared" si="171"/>
        <v>253015000</v>
      </c>
      <c r="N2322" s="82" t="s">
        <v>268</v>
      </c>
      <c r="O2322" s="82" t="s">
        <v>8</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customHeight="1">
      <c r="A2323" s="323"/>
      <c r="B2323" s="63">
        <f t="shared" si="168"/>
        <v>12</v>
      </c>
      <c r="C2323" s="1077">
        <v>42707</v>
      </c>
      <c r="D2323" s="1077" t="s">
        <v>933</v>
      </c>
      <c r="E2323" s="78">
        <f t="shared" si="170"/>
        <v>42707</v>
      </c>
      <c r="F2323" s="310" t="s">
        <v>1952</v>
      </c>
      <c r="G2323" s="1107"/>
      <c r="H2323" s="310" t="s">
        <v>384</v>
      </c>
      <c r="I2323" s="406">
        <v>14458</v>
      </c>
      <c r="J2323" s="407">
        <v>17500</v>
      </c>
      <c r="K2323" s="1110"/>
      <c r="L2323" s="1109"/>
      <c r="M2323" s="81">
        <f t="shared" si="171"/>
        <v>253015000</v>
      </c>
      <c r="N2323" s="82" t="s">
        <v>268</v>
      </c>
      <c r="O2323" s="82" t="s">
        <v>8</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customHeight="1">
      <c r="A2324" s="323"/>
      <c r="B2324" s="63">
        <f t="shared" si="168"/>
        <v>12</v>
      </c>
      <c r="C2324" s="1077">
        <v>42718</v>
      </c>
      <c r="D2324" s="1077" t="s">
        <v>2248</v>
      </c>
      <c r="E2324" s="78">
        <f t="shared" si="170"/>
        <v>42718</v>
      </c>
      <c r="F2324" s="310" t="s">
        <v>1952</v>
      </c>
      <c r="G2324" s="1107"/>
      <c r="H2324" s="310" t="s">
        <v>388</v>
      </c>
      <c r="I2324" s="406">
        <v>14520</v>
      </c>
      <c r="J2324" s="407">
        <v>17500</v>
      </c>
      <c r="K2324" s="1110"/>
      <c r="L2324" s="1109"/>
      <c r="M2324" s="81">
        <f t="shared" si="171"/>
        <v>254100000</v>
      </c>
      <c r="N2324" s="82" t="s">
        <v>268</v>
      </c>
      <c r="O2324" s="82" t="s">
        <v>8</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customHeight="1">
      <c r="A2325" s="323"/>
      <c r="B2325" s="63">
        <f t="shared" si="168"/>
        <v>12</v>
      </c>
      <c r="C2325" s="1077">
        <v>42726</v>
      </c>
      <c r="D2325" s="1077" t="s">
        <v>2298</v>
      </c>
      <c r="E2325" s="78">
        <f t="shared" si="170"/>
        <v>42726</v>
      </c>
      <c r="F2325" s="310" t="s">
        <v>1952</v>
      </c>
      <c r="G2325" s="1107"/>
      <c r="H2325" s="310" t="s">
        <v>378</v>
      </c>
      <c r="I2325" s="406">
        <v>14630</v>
      </c>
      <c r="J2325" s="407">
        <v>17500</v>
      </c>
      <c r="K2325" s="1110"/>
      <c r="L2325" s="1109"/>
      <c r="M2325" s="81">
        <f t="shared" si="171"/>
        <v>256025000</v>
      </c>
      <c r="N2325" s="82" t="s">
        <v>268</v>
      </c>
      <c r="O2325" s="82" t="s">
        <v>8</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customHeight="1">
      <c r="A2326" s="323"/>
      <c r="B2326" s="63">
        <f t="shared" si="168"/>
        <v>12</v>
      </c>
      <c r="C2326" s="1077">
        <v>42718</v>
      </c>
      <c r="D2326" s="1077" t="s">
        <v>2251</v>
      </c>
      <c r="E2326" s="78">
        <f t="shared" si="170"/>
        <v>42718</v>
      </c>
      <c r="F2326" s="310" t="s">
        <v>1952</v>
      </c>
      <c r="G2326" s="1107"/>
      <c r="H2326" s="310" t="s">
        <v>386</v>
      </c>
      <c r="I2326" s="406">
        <v>14450</v>
      </c>
      <c r="J2326" s="407">
        <v>17500</v>
      </c>
      <c r="K2326" s="1110"/>
      <c r="L2326" s="1109"/>
      <c r="M2326" s="81">
        <f t="shared" si="171"/>
        <v>252875000</v>
      </c>
      <c r="N2326" s="82" t="s">
        <v>268</v>
      </c>
      <c r="O2326" s="82" t="s">
        <v>8</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customHeight="1">
      <c r="A2327" s="323"/>
      <c r="B2327" s="63">
        <f t="shared" si="168"/>
        <v>12</v>
      </c>
      <c r="C2327" s="1077">
        <v>42709</v>
      </c>
      <c r="D2327" s="1077" t="s">
        <v>935</v>
      </c>
      <c r="E2327" s="78">
        <f t="shared" si="170"/>
        <v>42709</v>
      </c>
      <c r="F2327" s="310" t="s">
        <v>1952</v>
      </c>
      <c r="G2327" s="1107"/>
      <c r="H2327" s="310" t="s">
        <v>371</v>
      </c>
      <c r="I2327" s="406">
        <v>14480</v>
      </c>
      <c r="J2327" s="407">
        <v>17500</v>
      </c>
      <c r="K2327" s="1110"/>
      <c r="L2327" s="1109"/>
      <c r="M2327" s="81">
        <f t="shared" si="171"/>
        <v>253400000</v>
      </c>
      <c r="N2327" s="82" t="s">
        <v>268</v>
      </c>
      <c r="O2327" s="82" t="s">
        <v>8</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customHeight="1">
      <c r="A2328" s="323" t="str">
        <f>IF(B2328&lt;&gt;"",IF(AND(B2328='IN-TC'!$S$4,OR(TH!N2328="1111",TH!O2328="1111")),TH!D2328,""),"")</f>
        <v/>
      </c>
      <c r="B2328" s="63">
        <f t="shared" si="168"/>
        <v>11</v>
      </c>
      <c r="C2328" s="64">
        <v>42704</v>
      </c>
      <c r="D2328" s="64" t="s">
        <v>3009</v>
      </c>
      <c r="E2328" s="64">
        <f t="shared" si="170"/>
        <v>42704</v>
      </c>
      <c r="F2328" s="72" t="s">
        <v>932</v>
      </c>
      <c r="G2328" s="67" t="s">
        <v>331</v>
      </c>
      <c r="H2328" s="80" t="s">
        <v>342</v>
      </c>
      <c r="I2328" s="408"/>
      <c r="J2328" s="408"/>
      <c r="K2328" s="399"/>
      <c r="L2328" s="408"/>
      <c r="M2328" s="65">
        <v>167220000</v>
      </c>
      <c r="N2328" s="66" t="s">
        <v>8</v>
      </c>
      <c r="O2328" s="66" t="s">
        <v>266</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customHeight="1">
      <c r="A2329" s="323" t="str">
        <f>IF(B2329&lt;&gt;"",IF(AND(B2329='IN-TC'!$S$4,OR(TH!N2329="1111",TH!O2329="1111")),TH!D2329,""),"")</f>
        <v/>
      </c>
      <c r="B2329" s="63">
        <f t="shared" si="168"/>
        <v>11</v>
      </c>
      <c r="C2329" s="64">
        <v>42704</v>
      </c>
      <c r="D2329" s="64" t="s">
        <v>3009</v>
      </c>
      <c r="E2329" s="64">
        <f t="shared" si="170"/>
        <v>42704</v>
      </c>
      <c r="F2329" s="72" t="s">
        <v>932</v>
      </c>
      <c r="G2329" s="67" t="s">
        <v>331</v>
      </c>
      <c r="H2329" s="80" t="s">
        <v>360</v>
      </c>
      <c r="I2329" s="408"/>
      <c r="J2329" s="408"/>
      <c r="K2329" s="399"/>
      <c r="L2329" s="408"/>
      <c r="M2329" s="65">
        <v>84060000</v>
      </c>
      <c r="N2329" s="66" t="s">
        <v>8</v>
      </c>
      <c r="O2329" s="66" t="s">
        <v>266</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customHeight="1">
      <c r="A2330" s="323" t="str">
        <f>IF(B2330&lt;&gt;"",IF(AND(B2330='IN-TC'!$S$4,OR(TH!N2330="1111",TH!O2330="1111")),TH!D2330,""),"")</f>
        <v/>
      </c>
      <c r="B2330" s="63">
        <f t="shared" si="168"/>
        <v>11</v>
      </c>
      <c r="C2330" s="64">
        <v>42704</v>
      </c>
      <c r="D2330" s="64" t="s">
        <v>3009</v>
      </c>
      <c r="E2330" s="64">
        <f t="shared" si="170"/>
        <v>42704</v>
      </c>
      <c r="F2330" s="72" t="s">
        <v>932</v>
      </c>
      <c r="G2330" s="67" t="s">
        <v>331</v>
      </c>
      <c r="H2330" s="80" t="s">
        <v>354</v>
      </c>
      <c r="I2330" s="408"/>
      <c r="J2330" s="408"/>
      <c r="K2330" s="399"/>
      <c r="L2330" s="408"/>
      <c r="M2330" s="65">
        <v>180900000</v>
      </c>
      <c r="N2330" s="66" t="s">
        <v>8</v>
      </c>
      <c r="O2330" s="66" t="s">
        <v>266</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customHeight="1">
      <c r="A2331" s="323" t="str">
        <f>IF(B2331&lt;&gt;"",IF(AND(B2331='IN-TC'!$S$4,OR(TH!N2331="1111",TH!O2331="1111")),TH!D2331,""),"")</f>
        <v/>
      </c>
      <c r="B2331" s="63">
        <f t="shared" si="168"/>
        <v>11</v>
      </c>
      <c r="C2331" s="64">
        <v>42704</v>
      </c>
      <c r="D2331" s="64" t="s">
        <v>3009</v>
      </c>
      <c r="E2331" s="64">
        <f t="shared" si="170"/>
        <v>42704</v>
      </c>
      <c r="F2331" s="72" t="s">
        <v>932</v>
      </c>
      <c r="G2331" s="67" t="s">
        <v>331</v>
      </c>
      <c r="H2331" s="85" t="s">
        <v>339</v>
      </c>
      <c r="I2331" s="408"/>
      <c r="J2331" s="408"/>
      <c r="K2331" s="399"/>
      <c r="L2331" s="408"/>
      <c r="M2331" s="65">
        <v>166860000</v>
      </c>
      <c r="N2331" s="66" t="s">
        <v>8</v>
      </c>
      <c r="O2331" s="66" t="s">
        <v>266</v>
      </c>
      <c r="P2331" s="82" t="str">
        <f>IF(AND('331-CT'!$E$7=TH!H2331,OR(N2331="331",O2331="331")),"x","")</f>
        <v/>
      </c>
      <c r="Q2331" s="82" t="str">
        <f>IF(AND(B2331='111'!$L$11,OR($N2331=$Q$7,$O2331=$Q$7)),"x","")</f>
        <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customHeight="1">
      <c r="A2332" s="323" t="str">
        <f>IF(B2332&lt;&gt;"",IF(AND(B2332='IN-TC'!$S$4,OR(TH!N2332="1111",TH!O2332="1111")),TH!D2332,""),"")</f>
        <v/>
      </c>
      <c r="B2332" s="63">
        <f t="shared" si="168"/>
        <v>11</v>
      </c>
      <c r="C2332" s="64">
        <v>42704</v>
      </c>
      <c r="D2332" s="64" t="s">
        <v>3009</v>
      </c>
      <c r="E2332" s="64">
        <f t="shared" si="170"/>
        <v>42704</v>
      </c>
      <c r="F2332" s="72" t="s">
        <v>932</v>
      </c>
      <c r="G2332" s="67" t="s">
        <v>331</v>
      </c>
      <c r="H2332" s="80" t="s">
        <v>357</v>
      </c>
      <c r="I2332" s="410"/>
      <c r="J2332" s="410"/>
      <c r="K2332" s="401"/>
      <c r="L2332" s="410"/>
      <c r="M2332" s="65">
        <v>92160000</v>
      </c>
      <c r="N2332" s="66" t="s">
        <v>8</v>
      </c>
      <c r="O2332" s="66" t="s">
        <v>266</v>
      </c>
      <c r="P2332" s="82" t="str">
        <f>IF(AND('331-CT'!$E$7=TH!H2332,OR(N2332="331",O2332="331")),"x","")</f>
        <v/>
      </c>
      <c r="Q2332" s="82" t="str">
        <f>IF(AND(B2332='111'!$L$11,OR($N2332=$Q$7,$O2332=$Q$7)),"x","")</f>
        <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customHeight="1">
      <c r="A2333" s="323" t="str">
        <f>IF(B2333&lt;&gt;"",IF(AND(B2333='IN-TC'!$S$4,OR(TH!N2333="1111",TH!O2333="1111")),TH!D2333,""),"")</f>
        <v/>
      </c>
      <c r="B2333" s="63">
        <f t="shared" si="168"/>
        <v>12</v>
      </c>
      <c r="C2333" s="64">
        <v>42735</v>
      </c>
      <c r="D2333" s="64" t="s">
        <v>3011</v>
      </c>
      <c r="E2333" s="64">
        <f t="shared" si="170"/>
        <v>42735</v>
      </c>
      <c r="F2333" s="72" t="s">
        <v>932</v>
      </c>
      <c r="G2333" s="67" t="s">
        <v>331</v>
      </c>
      <c r="H2333" s="80" t="s">
        <v>386</v>
      </c>
      <c r="I2333" s="408"/>
      <c r="J2333" s="408"/>
      <c r="K2333" s="399"/>
      <c r="L2333" s="408"/>
      <c r="M2333" s="65">
        <v>2553355000</v>
      </c>
      <c r="N2333" s="66" t="s">
        <v>8</v>
      </c>
      <c r="O2333" s="66" t="s">
        <v>266</v>
      </c>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customHeight="1">
      <c r="A2334" s="323" t="str">
        <f>IF(B2334&lt;&gt;"",IF(AND(B2334='IN-TC'!$S$4,OR(TH!N2334="1111",TH!O2334="1111")),TH!D2334,""),"")</f>
        <v/>
      </c>
      <c r="B2334" s="63">
        <f t="shared" si="168"/>
        <v>12</v>
      </c>
      <c r="C2334" s="64">
        <v>42735</v>
      </c>
      <c r="D2334" s="64" t="s">
        <v>3011</v>
      </c>
      <c r="E2334" s="64">
        <f t="shared" ref="E2334:E2355" si="172">C2334</f>
        <v>42735</v>
      </c>
      <c r="F2334" s="72" t="s">
        <v>932</v>
      </c>
      <c r="G2334" s="67" t="s">
        <v>331</v>
      </c>
      <c r="H2334" s="80" t="s">
        <v>381</v>
      </c>
      <c r="I2334" s="410"/>
      <c r="J2334" s="410"/>
      <c r="K2334" s="401"/>
      <c r="L2334" s="410"/>
      <c r="M2334" s="65">
        <v>2757415000</v>
      </c>
      <c r="N2334" s="66" t="s">
        <v>8</v>
      </c>
      <c r="O2334" s="66" t="s">
        <v>266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customHeight="1">
      <c r="A2335" s="323" t="str">
        <f>IF(B2335&lt;&gt;"",IF(AND(B2335='IN-TC'!$S$4,OR(TH!N2335="1111",TH!O2335="1111")),TH!D2335,""),"")</f>
        <v/>
      </c>
      <c r="B2335" s="63">
        <f t="shared" si="168"/>
        <v>11</v>
      </c>
      <c r="C2335" s="64">
        <v>42704</v>
      </c>
      <c r="D2335" s="64" t="s">
        <v>3008</v>
      </c>
      <c r="E2335" s="64">
        <f t="shared" si="172"/>
        <v>42704</v>
      </c>
      <c r="F2335" s="72" t="s">
        <v>932</v>
      </c>
      <c r="G2335" s="67" t="s">
        <v>337</v>
      </c>
      <c r="H2335" s="80" t="s">
        <v>421</v>
      </c>
      <c r="I2335" s="408"/>
      <c r="J2335" s="408"/>
      <c r="K2335" s="399"/>
      <c r="L2335" s="408"/>
      <c r="M2335" s="65">
        <v>323647500</v>
      </c>
      <c r="N2335" s="66" t="s">
        <v>8</v>
      </c>
      <c r="O2335" s="66" t="s">
        <v>266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customHeight="1">
      <c r="A2336" s="323" t="str">
        <f>IF(B2336&lt;&gt;"",IF(AND(B2336='IN-TC'!$S$4,OR(TH!N2336="1111",TH!O2336="1111")),TH!D2336,""),"")</f>
        <v/>
      </c>
      <c r="B2336" s="63">
        <f t="shared" si="168"/>
        <v>11</v>
      </c>
      <c r="C2336" s="64">
        <v>42704</v>
      </c>
      <c r="D2336" s="64" t="s">
        <v>3008</v>
      </c>
      <c r="E2336" s="64">
        <f t="shared" si="172"/>
        <v>42704</v>
      </c>
      <c r="F2336" s="72" t="s">
        <v>932</v>
      </c>
      <c r="G2336" s="67" t="s">
        <v>337</v>
      </c>
      <c r="H2336" s="80" t="s">
        <v>423</v>
      </c>
      <c r="I2336" s="408"/>
      <c r="J2336" s="408"/>
      <c r="K2336" s="399"/>
      <c r="L2336" s="408"/>
      <c r="M2336" s="65">
        <v>358877500</v>
      </c>
      <c r="N2336" s="66" t="s">
        <v>8</v>
      </c>
      <c r="O2336" s="66" t="s">
        <v>266</v>
      </c>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customHeight="1">
      <c r="A2337" s="323" t="str">
        <f>IF(B2337&lt;&gt;"",IF(AND(B2337='IN-TC'!$S$4,OR(TH!N2337="1111",TH!O2337="1111")),TH!D2337,""),"")</f>
        <v/>
      </c>
      <c r="B2337" s="63">
        <f t="shared" si="168"/>
        <v>12</v>
      </c>
      <c r="C2337" s="64">
        <v>42735</v>
      </c>
      <c r="D2337" s="64" t="s">
        <v>3010</v>
      </c>
      <c r="E2337" s="64">
        <f t="shared" si="172"/>
        <v>42735</v>
      </c>
      <c r="F2337" s="72" t="s">
        <v>932</v>
      </c>
      <c r="G2337" s="67" t="s">
        <v>337</v>
      </c>
      <c r="H2337" s="80" t="s">
        <v>391</v>
      </c>
      <c r="I2337" s="408"/>
      <c r="J2337" s="408"/>
      <c r="K2337" s="399"/>
      <c r="L2337" s="408"/>
      <c r="M2337" s="65">
        <v>140000000</v>
      </c>
      <c r="N2337" s="66" t="s">
        <v>8</v>
      </c>
      <c r="O2337" s="66" t="s">
        <v>266</v>
      </c>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customHeight="1">
      <c r="A2338" s="323" t="str">
        <f>IF(B2338&lt;&gt;"",IF(AND(B2338='IN-TC'!$S$4,OR(TH!N2338="1111",TH!O2338="1111")),TH!D2338,""),"")</f>
        <v/>
      </c>
      <c r="B2338" s="63">
        <f t="shared" si="168"/>
        <v>11</v>
      </c>
      <c r="C2338" s="64">
        <v>42704</v>
      </c>
      <c r="D2338" s="64" t="s">
        <v>3008</v>
      </c>
      <c r="E2338" s="64">
        <f t="shared" si="172"/>
        <v>42704</v>
      </c>
      <c r="F2338" s="72" t="s">
        <v>932</v>
      </c>
      <c r="G2338" s="67" t="s">
        <v>337</v>
      </c>
      <c r="H2338" s="85" t="s">
        <v>418</v>
      </c>
      <c r="I2338" s="410"/>
      <c r="J2338" s="410"/>
      <c r="K2338" s="401"/>
      <c r="L2338" s="410"/>
      <c r="M2338" s="65">
        <v>164274000</v>
      </c>
      <c r="N2338" s="66" t="s">
        <v>8</v>
      </c>
      <c r="O2338" s="66" t="s">
        <v>266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customHeight="1">
      <c r="A2339" s="323" t="str">
        <f>IF(B2339&lt;&gt;"",IF(AND(B2339='IN-TC'!$S$4,OR(TH!N2339="1111",TH!O2339="1111")),TH!D2339,""),"")</f>
        <v/>
      </c>
      <c r="B2339" s="63">
        <f t="shared" si="168"/>
        <v>11</v>
      </c>
      <c r="C2339" s="64">
        <v>42704</v>
      </c>
      <c r="D2339" s="64" t="s">
        <v>3008</v>
      </c>
      <c r="E2339" s="64">
        <f t="shared" si="172"/>
        <v>42704</v>
      </c>
      <c r="F2339" s="72" t="s">
        <v>932</v>
      </c>
      <c r="G2339" s="67" t="s">
        <v>337</v>
      </c>
      <c r="H2339" s="85" t="s">
        <v>425</v>
      </c>
      <c r="I2339" s="410"/>
      <c r="J2339" s="410"/>
      <c r="K2339" s="401"/>
      <c r="L2339" s="410"/>
      <c r="M2339" s="65">
        <v>164670000</v>
      </c>
      <c r="N2339" s="66" t="s">
        <v>8</v>
      </c>
      <c r="O2339" s="66" t="s">
        <v>266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customHeight="1">
      <c r="A2340" s="323" t="str">
        <f>IF(B2340&lt;&gt;"",IF(AND(B2340='IN-TC'!$S$4,OR(TH!N2340="1111",TH!O2340="1111")),TH!D2340,""),"")</f>
        <v/>
      </c>
      <c r="B2340" s="63">
        <f t="shared" si="168"/>
        <v>12</v>
      </c>
      <c r="C2340" s="64">
        <v>42735</v>
      </c>
      <c r="D2340" s="64" t="s">
        <v>3011</v>
      </c>
      <c r="E2340" s="64">
        <f t="shared" si="172"/>
        <v>42735</v>
      </c>
      <c r="F2340" s="72" t="s">
        <v>932</v>
      </c>
      <c r="G2340" s="67" t="s">
        <v>331</v>
      </c>
      <c r="H2340" s="80" t="s">
        <v>371</v>
      </c>
      <c r="I2340" s="408"/>
      <c r="J2340" s="408"/>
      <c r="K2340" s="399"/>
      <c r="L2340" s="408"/>
      <c r="M2340" s="65">
        <v>2544132500</v>
      </c>
      <c r="N2340" s="66" t="s">
        <v>8</v>
      </c>
      <c r="O2340" s="66" t="s">
        <v>266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customHeight="1">
      <c r="A2341" s="323" t="str">
        <f>IF(B2341&lt;&gt;"",IF(AND(B2341='IN-TC'!$S$4,OR(TH!N2341="1111",TH!O2341="1111")),TH!D2341,""),"")</f>
        <v/>
      </c>
      <c r="B2341" s="63">
        <f t="shared" si="168"/>
        <v>12</v>
      </c>
      <c r="C2341" s="64">
        <v>42735</v>
      </c>
      <c r="D2341" s="64" t="s">
        <v>3010</v>
      </c>
      <c r="E2341" s="64">
        <f t="shared" si="172"/>
        <v>42735</v>
      </c>
      <c r="F2341" s="72" t="s">
        <v>932</v>
      </c>
      <c r="G2341" s="67" t="s">
        <v>337</v>
      </c>
      <c r="H2341" s="80" t="s">
        <v>395</v>
      </c>
      <c r="I2341" s="408"/>
      <c r="J2341" s="408"/>
      <c r="K2341" s="399"/>
      <c r="L2341" s="408"/>
      <c r="M2341" s="65">
        <v>133000000</v>
      </c>
      <c r="N2341" s="66" t="s">
        <v>8</v>
      </c>
      <c r="O2341" s="66" t="s">
        <v>266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customHeight="1">
      <c r="A2342" s="323" t="str">
        <f>IF(B2342&lt;&gt;"",IF(AND(B2342='IN-TC'!$S$4,OR(TH!N2342="1111",TH!O2342="1111")),TH!D2342,""),"")</f>
        <v/>
      </c>
      <c r="B2342" s="63">
        <f t="shared" si="168"/>
        <v>11</v>
      </c>
      <c r="C2342" s="64">
        <v>42704</v>
      </c>
      <c r="D2342" s="64" t="s">
        <v>3008</v>
      </c>
      <c r="E2342" s="64">
        <f t="shared" si="172"/>
        <v>42704</v>
      </c>
      <c r="F2342" s="72" t="s">
        <v>932</v>
      </c>
      <c r="G2342" s="67" t="s">
        <v>337</v>
      </c>
      <c r="H2342" s="80" t="s">
        <v>409</v>
      </c>
      <c r="I2342" s="408"/>
      <c r="J2342" s="408"/>
      <c r="K2342" s="399"/>
      <c r="L2342" s="408"/>
      <c r="M2342" s="65">
        <v>193700000</v>
      </c>
      <c r="N2342" s="66" t="s">
        <v>8</v>
      </c>
      <c r="O2342" s="66" t="s">
        <v>266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customHeight="1">
      <c r="A2343" s="323" t="str">
        <f>IF(B2343&lt;&gt;"",IF(AND(B2343='IN-TC'!$S$4,OR(TH!N2343="1111",TH!O2343="1111")),TH!D2343,""),"")</f>
        <v/>
      </c>
      <c r="B2343" s="63">
        <f t="shared" si="168"/>
        <v>11</v>
      </c>
      <c r="C2343" s="64">
        <v>42704</v>
      </c>
      <c r="D2343" s="64" t="s">
        <v>3008</v>
      </c>
      <c r="E2343" s="64">
        <f t="shared" si="172"/>
        <v>42704</v>
      </c>
      <c r="F2343" s="72" t="s">
        <v>932</v>
      </c>
      <c r="G2343" s="67" t="s">
        <v>337</v>
      </c>
      <c r="H2343" s="80" t="s">
        <v>404</v>
      </c>
      <c r="I2343" s="408"/>
      <c r="J2343" s="408"/>
      <c r="K2343" s="399"/>
      <c r="L2343" s="408"/>
      <c r="M2343" s="65">
        <v>180960000</v>
      </c>
      <c r="N2343" s="66" t="s">
        <v>8</v>
      </c>
      <c r="O2343" s="66" t="s">
        <v>266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customHeight="1">
      <c r="A2344" s="323" t="str">
        <f>IF(B2344&lt;&gt;"",IF(AND(B2344='IN-TC'!$S$4,OR(TH!N2344="1111",TH!O2344="1111")),TH!D2344,""),"")</f>
        <v/>
      </c>
      <c r="B2344" s="63">
        <f t="shared" si="168"/>
        <v>12</v>
      </c>
      <c r="C2344" s="64">
        <v>42735</v>
      </c>
      <c r="D2344" s="64" t="s">
        <v>3010</v>
      </c>
      <c r="E2344" s="64">
        <f t="shared" si="172"/>
        <v>42735</v>
      </c>
      <c r="F2344" s="72" t="s">
        <v>932</v>
      </c>
      <c r="G2344" s="67" t="s">
        <v>337</v>
      </c>
      <c r="H2344" s="80" t="s">
        <v>411</v>
      </c>
      <c r="I2344" s="410"/>
      <c r="J2344" s="410"/>
      <c r="K2344" s="401"/>
      <c r="L2344" s="410"/>
      <c r="M2344" s="65">
        <v>104875000</v>
      </c>
      <c r="N2344" s="66" t="s">
        <v>8</v>
      </c>
      <c r="O2344" s="66" t="s">
        <v>266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customHeight="1">
      <c r="A2345" s="323"/>
      <c r="B2345" s="63">
        <f t="shared" si="168"/>
        <v>12</v>
      </c>
      <c r="C2345" s="1077">
        <v>42714</v>
      </c>
      <c r="D2345" s="1077" t="s">
        <v>2233</v>
      </c>
      <c r="E2345" s="78">
        <f t="shared" si="172"/>
        <v>42714</v>
      </c>
      <c r="F2345" s="310" t="s">
        <v>2225</v>
      </c>
      <c r="G2345" s="1107"/>
      <c r="H2345" s="310" t="s">
        <v>407</v>
      </c>
      <c r="I2345" s="406">
        <v>4550</v>
      </c>
      <c r="J2345" s="407">
        <v>25000</v>
      </c>
      <c r="K2345" s="1110"/>
      <c r="L2345" s="1109"/>
      <c r="M2345" s="81">
        <f>ROUND(I2345*J2345,0)</f>
        <v>113750000</v>
      </c>
      <c r="N2345" s="82" t="s">
        <v>268</v>
      </c>
      <c r="O2345" s="82" t="s">
        <v>8</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customHeight="1">
      <c r="A2346" s="323" t="str">
        <f>IF(B2346&lt;&gt;"",IF(AND(B2346='IN-TC'!$S$4,OR(TH!N2346="1111",TH!O2346="1111")),TH!D2346,""),"")</f>
        <v/>
      </c>
      <c r="B2346" s="63">
        <f t="shared" si="168"/>
        <v>12</v>
      </c>
      <c r="C2346" s="64">
        <v>42735</v>
      </c>
      <c r="D2346" s="64" t="s">
        <v>3010</v>
      </c>
      <c r="E2346" s="64">
        <f t="shared" si="172"/>
        <v>42735</v>
      </c>
      <c r="F2346" s="72" t="s">
        <v>932</v>
      </c>
      <c r="G2346" s="67" t="s">
        <v>337</v>
      </c>
      <c r="H2346" s="329" t="s">
        <v>407</v>
      </c>
      <c r="I2346" s="408"/>
      <c r="J2346" s="408"/>
      <c r="K2346" s="399"/>
      <c r="L2346" s="408"/>
      <c r="M2346" s="65">
        <v>113750000</v>
      </c>
      <c r="N2346" s="66" t="s">
        <v>8</v>
      </c>
      <c r="O2346" s="66" t="s">
        <v>266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customHeight="1">
      <c r="A2347" s="323" t="str">
        <f>IF(B2347&lt;&gt;"",IF(AND(B2347='IN-TC'!$S$4,OR(TH!N2347="1111",TH!O2347="1111")),TH!D2347,""),"")</f>
        <v/>
      </c>
      <c r="B2347" s="63">
        <f t="shared" si="168"/>
        <v>12</v>
      </c>
      <c r="C2347" s="64">
        <v>42735</v>
      </c>
      <c r="D2347" s="64" t="s">
        <v>3011</v>
      </c>
      <c r="E2347" s="64">
        <f t="shared" si="172"/>
        <v>42735</v>
      </c>
      <c r="F2347" s="72" t="s">
        <v>932</v>
      </c>
      <c r="G2347" s="67" t="s">
        <v>331</v>
      </c>
      <c r="H2347" s="329" t="s">
        <v>376</v>
      </c>
      <c r="I2347" s="408"/>
      <c r="J2347" s="408"/>
      <c r="K2347" s="399"/>
      <c r="L2347" s="408"/>
      <c r="M2347" s="65">
        <v>2753650000</v>
      </c>
      <c r="N2347" s="66" t="s">
        <v>8</v>
      </c>
      <c r="O2347" s="66" t="s">
        <v>266</v>
      </c>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customHeight="1">
      <c r="A2348" s="323" t="str">
        <f>IF(B2348&lt;&gt;"",IF(AND(B2348='IN-TC'!$S$4,OR(TH!N2348="1111",TH!O2348="1111")),TH!D2348,""),"")</f>
        <v/>
      </c>
      <c r="B2348" s="63">
        <f t="shared" si="168"/>
        <v>12</v>
      </c>
      <c r="C2348" s="64">
        <v>42735</v>
      </c>
      <c r="D2348" s="64" t="s">
        <v>3011</v>
      </c>
      <c r="E2348" s="64">
        <f t="shared" si="172"/>
        <v>42735</v>
      </c>
      <c r="F2348" s="72" t="s">
        <v>932</v>
      </c>
      <c r="G2348" s="67" t="s">
        <v>331</v>
      </c>
      <c r="H2348" s="329" t="s">
        <v>1953</v>
      </c>
      <c r="I2348" s="408"/>
      <c r="J2348" s="408"/>
      <c r="K2348" s="399"/>
      <c r="L2348" s="408"/>
      <c r="M2348" s="65">
        <v>2092020000</v>
      </c>
      <c r="N2348" s="66" t="s">
        <v>8</v>
      </c>
      <c r="O2348" s="66" t="s">
        <v>266</v>
      </c>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customHeight="1">
      <c r="A2349" s="323" t="str">
        <f>IF(B2349&lt;&gt;"",IF(AND(B2349='IN-TC'!$S$4,OR(TH!N2349="1111",TH!O2349="1111")),TH!D2349,""),"")</f>
        <v/>
      </c>
      <c r="B2349" s="63">
        <f t="shared" si="168"/>
        <v>11</v>
      </c>
      <c r="C2349" s="64">
        <v>42704</v>
      </c>
      <c r="D2349" s="64" t="s">
        <v>3008</v>
      </c>
      <c r="E2349" s="64">
        <f t="shared" si="172"/>
        <v>42704</v>
      </c>
      <c r="F2349" s="72" t="s">
        <v>932</v>
      </c>
      <c r="G2349" s="67" t="s">
        <v>337</v>
      </c>
      <c r="H2349" s="329" t="s">
        <v>1950</v>
      </c>
      <c r="I2349" s="410"/>
      <c r="J2349" s="410"/>
      <c r="K2349" s="401"/>
      <c r="L2349" s="410"/>
      <c r="M2349" s="65">
        <v>493927500</v>
      </c>
      <c r="N2349" s="66" t="s">
        <v>8</v>
      </c>
      <c r="O2349" s="66" t="s">
        <v>266</v>
      </c>
      <c r="P2349" s="82" t="str">
        <f>IF(AND('331-CT'!$E$7=TH!H2349,OR(N2349="331",O2349="331")),"x","")</f>
        <v/>
      </c>
      <c r="Q2349" s="82" t="str">
        <f>IF(AND(B2349='111'!$L$11,OR($N2349=$Q$7,$O2349=$Q$7)),"x","")</f>
        <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customHeight="1">
      <c r="A2350" s="323" t="str">
        <f>IF(B2350&lt;&gt;"",IF(AND(B2350='IN-TC'!$S$4,OR(TH!N2350="1111",TH!O2350="1111")),TH!D2350,""),"")</f>
        <v/>
      </c>
      <c r="B2350" s="63">
        <f t="shared" ref="B2350:B2413" si="173">IF(C2350&lt;&gt;"",MONTH(C2350),"")</f>
        <v>12</v>
      </c>
      <c r="C2350" s="64">
        <v>42735</v>
      </c>
      <c r="D2350" s="64" t="s">
        <v>3011</v>
      </c>
      <c r="E2350" s="64">
        <f t="shared" si="172"/>
        <v>42735</v>
      </c>
      <c r="F2350" s="72" t="s">
        <v>932</v>
      </c>
      <c r="G2350" s="67" t="s">
        <v>331</v>
      </c>
      <c r="H2350" s="329" t="s">
        <v>384</v>
      </c>
      <c r="I2350" s="408"/>
      <c r="J2350" s="408"/>
      <c r="K2350" s="399"/>
      <c r="L2350" s="408"/>
      <c r="M2350" s="65">
        <v>3022120000</v>
      </c>
      <c r="N2350" s="66" t="s">
        <v>8</v>
      </c>
      <c r="O2350" s="66" t="s">
        <v>266</v>
      </c>
      <c r="P2350" s="82" t="str">
        <f>IF(AND('331-CT'!$E$7=TH!H2350,OR(N2350="331",O2350="331")),"x","")</f>
        <v/>
      </c>
      <c r="Q2350" s="82" t="str">
        <f>IF(AND(B2350='111'!$L$11,OR($N2350=$Q$7,$O2350=$Q$7)),"x","")</f>
        <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customHeight="1">
      <c r="A2351" s="323" t="str">
        <f>IF(B2351&lt;&gt;"",IF(AND(B2351='IN-TC'!$S$4,OR(TH!N2351="1111",TH!O2351="1111")),TH!D2351,""),"")</f>
        <v/>
      </c>
      <c r="B2351" s="63">
        <f t="shared" si="173"/>
        <v>12</v>
      </c>
      <c r="C2351" s="64">
        <v>42735</v>
      </c>
      <c r="D2351" s="64" t="s">
        <v>3011</v>
      </c>
      <c r="E2351" s="64">
        <f t="shared" si="172"/>
        <v>42735</v>
      </c>
      <c r="F2351" s="72" t="s">
        <v>932</v>
      </c>
      <c r="G2351" s="67" t="s">
        <v>331</v>
      </c>
      <c r="H2351" s="329" t="s">
        <v>2886</v>
      </c>
      <c r="I2351" s="408"/>
      <c r="J2351" s="408"/>
      <c r="K2351" s="399"/>
      <c r="L2351" s="408"/>
      <c r="M2351" s="65">
        <v>2540755000</v>
      </c>
      <c r="N2351" s="66" t="s">
        <v>8</v>
      </c>
      <c r="O2351" s="66" t="s">
        <v>266</v>
      </c>
      <c r="P2351" s="82" t="str">
        <f>IF(AND('331-CT'!$E$7=TH!H2351,OR(N2351="331",O2351="331")),"x","")</f>
        <v/>
      </c>
      <c r="Q2351" s="82" t="str">
        <f>IF(AND(B2351='111'!$L$11,OR($N2351=$Q$7,$O2351=$Q$7)),"x","")</f>
        <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customHeight="1">
      <c r="A2352" s="323" t="str">
        <f>IF(B2352&lt;&gt;"",IF(AND(B2352='IN-TC'!$S$4,OR(TH!N2352="1111",TH!O2352="1111")),TH!D2352,""),"")</f>
        <v/>
      </c>
      <c r="B2352" s="63">
        <f t="shared" si="173"/>
        <v>11</v>
      </c>
      <c r="C2352" s="64">
        <v>42704</v>
      </c>
      <c r="D2352" s="64" t="s">
        <v>3008</v>
      </c>
      <c r="E2352" s="64">
        <f t="shared" si="172"/>
        <v>42704</v>
      </c>
      <c r="F2352" s="72" t="s">
        <v>932</v>
      </c>
      <c r="G2352" s="67" t="s">
        <v>337</v>
      </c>
      <c r="H2352" s="329" t="s">
        <v>1949</v>
      </c>
      <c r="I2352" s="408"/>
      <c r="J2352" s="408"/>
      <c r="K2352" s="399"/>
      <c r="L2352" s="408"/>
      <c r="M2352" s="65">
        <v>338728500</v>
      </c>
      <c r="N2352" s="66" t="s">
        <v>8</v>
      </c>
      <c r="O2352" s="66" t="s">
        <v>266</v>
      </c>
      <c r="P2352" s="82" t="str">
        <f>IF(AND('331-CT'!$E$7=TH!H2352,OR(N2352="331",O2352="331")),"x","")</f>
        <v/>
      </c>
      <c r="Q2352" s="82" t="str">
        <f>IF(AND(B2352='111'!$L$11,OR($N2352=$Q$7,$O2352=$Q$7)),"x","")</f>
        <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customHeight="1">
      <c r="A2353" s="323" t="str">
        <f>IF(B2353&lt;&gt;"",IF(AND(B2353='IN-TC'!$S$4,OR(TH!N2353="1111",TH!O2353="1111")),TH!D2353,""),"")</f>
        <v/>
      </c>
      <c r="B2353" s="63">
        <f t="shared" si="173"/>
        <v>12</v>
      </c>
      <c r="C2353" s="64">
        <v>42735</v>
      </c>
      <c r="D2353" s="64" t="s">
        <v>3011</v>
      </c>
      <c r="E2353" s="64">
        <f t="shared" si="172"/>
        <v>42735</v>
      </c>
      <c r="F2353" s="72" t="s">
        <v>932</v>
      </c>
      <c r="G2353" s="67" t="s">
        <v>331</v>
      </c>
      <c r="H2353" s="329" t="s">
        <v>378</v>
      </c>
      <c r="I2353" s="408"/>
      <c r="J2353" s="408"/>
      <c r="K2353" s="399"/>
      <c r="L2353" s="408"/>
      <c r="M2353" s="65">
        <v>2827990000</v>
      </c>
      <c r="N2353" s="66" t="s">
        <v>8</v>
      </c>
      <c r="O2353" s="66" t="s">
        <v>266</v>
      </c>
      <c r="P2353" s="82" t="str">
        <f>IF(AND('331-CT'!$E$7=TH!H2353,OR(N2353="331",O2353="331")),"x","")</f>
        <v/>
      </c>
      <c r="Q2353" s="82" t="str">
        <f>IF(AND(B2353='111'!$L$11,OR($N2353=$Q$7,$O2353=$Q$7)),"x","")</f>
        <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customHeight="1">
      <c r="A2354" s="323" t="str">
        <f>IF(B2354&lt;&gt;"",IF(AND(B2354='IN-TC'!$S$4,OR(TH!N2354="1111",TH!O2354="1111")),TH!D2354,""),"")</f>
        <v/>
      </c>
      <c r="B2354" s="63">
        <f t="shared" si="173"/>
        <v>12</v>
      </c>
      <c r="C2354" s="64">
        <v>42735</v>
      </c>
      <c r="D2354" s="64" t="s">
        <v>3010</v>
      </c>
      <c r="E2354" s="64">
        <f t="shared" si="172"/>
        <v>42735</v>
      </c>
      <c r="F2354" s="72" t="s">
        <v>932</v>
      </c>
      <c r="G2354" s="67" t="s">
        <v>337</v>
      </c>
      <c r="H2354" s="329" t="s">
        <v>396</v>
      </c>
      <c r="I2354" s="410"/>
      <c r="J2354" s="410"/>
      <c r="K2354" s="401"/>
      <c r="L2354" s="410"/>
      <c r="M2354" s="65">
        <v>196000000</v>
      </c>
      <c r="N2354" s="66" t="s">
        <v>8</v>
      </c>
      <c r="O2354" s="66" t="s">
        <v>266</v>
      </c>
      <c r="P2354" s="82" t="str">
        <f>IF(AND('331-CT'!$E$7=TH!H2354,OR(N2354="331",O2354="331")),"x","")</f>
        <v/>
      </c>
      <c r="Q2354" s="82" t="str">
        <f>IF(AND(B2354='111'!$L$11,OR($N2354=$Q$7,$O2354=$Q$7)),"x","")</f>
        <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customHeight="1">
      <c r="A2355" s="323" t="str">
        <f>IF(B2355&lt;&gt;"",IF(AND(B2355='IN-TC'!$S$4,OR(TH!N2355="1111",TH!O2355="1111")),TH!D2355,""),"")</f>
        <v/>
      </c>
      <c r="B2355" s="63">
        <f t="shared" si="173"/>
        <v>12</v>
      </c>
      <c r="C2355" s="64">
        <v>42735</v>
      </c>
      <c r="D2355" s="64" t="s">
        <v>3010</v>
      </c>
      <c r="E2355" s="64">
        <f t="shared" si="172"/>
        <v>42735</v>
      </c>
      <c r="F2355" s="72" t="s">
        <v>932</v>
      </c>
      <c r="G2355" s="67" t="s">
        <v>337</v>
      </c>
      <c r="H2355" s="329" t="s">
        <v>402</v>
      </c>
      <c r="I2355" s="410"/>
      <c r="J2355" s="410"/>
      <c r="K2355" s="401"/>
      <c r="L2355" s="410"/>
      <c r="M2355" s="65">
        <v>151200000</v>
      </c>
      <c r="N2355" s="66" t="s">
        <v>8</v>
      </c>
      <c r="O2355" s="66" t="s">
        <v>266</v>
      </c>
      <c r="P2355" s="82" t="str">
        <f>IF(AND('331-CT'!$E$7=TH!H2355,OR(N2355="331",O2355="331")),"x","")</f>
        <v/>
      </c>
      <c r="Q2355" s="82" t="str">
        <f>IF(AND(B2355='111'!$L$11,OR($N2355=$Q$7,$O2355=$Q$7)),"x","")</f>
        <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customHeight="1">
      <c r="A2356" s="323" t="str">
        <f>IF(B2356&lt;&gt;"",IF(AND(B2356='IN-TC'!$S$4,OR(TH!N2356="1111",TH!O2356="1111")),TH!D2356,""),"")</f>
        <v/>
      </c>
      <c r="B2356" s="63">
        <f t="shared" si="173"/>
        <v>1</v>
      </c>
      <c r="C2356" s="64">
        <v>42371</v>
      </c>
      <c r="D2356" s="64" t="s">
        <v>851</v>
      </c>
      <c r="E2356" s="64">
        <v>42368</v>
      </c>
      <c r="F2356" s="67" t="s">
        <v>750</v>
      </c>
      <c r="G2356" s="931"/>
      <c r="H2356" s="72" t="s">
        <v>784</v>
      </c>
      <c r="I2356" s="408"/>
      <c r="J2356" s="408"/>
      <c r="K2356" s="399"/>
      <c r="L2356" s="408"/>
      <c r="M2356" s="65">
        <v>4399997</v>
      </c>
      <c r="N2356" s="66" t="s">
        <v>99</v>
      </c>
      <c r="O2356" s="66" t="s">
        <v>61</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customHeight="1">
      <c r="A2357" s="323" t="str">
        <f>IF(B2357&lt;&gt;"",IF(AND(B2357='IN-TC'!$S$4,OR(TH!N2357="1111",TH!O2357="1111")),TH!D2357,""),"")</f>
        <v/>
      </c>
      <c r="B2357" s="63">
        <f t="shared" si="173"/>
        <v>1</v>
      </c>
      <c r="C2357" s="64">
        <v>42371</v>
      </c>
      <c r="D2357" s="64" t="s">
        <v>851</v>
      </c>
      <c r="E2357" s="64">
        <v>42368</v>
      </c>
      <c r="F2357" s="67" t="s">
        <v>751</v>
      </c>
      <c r="G2357" s="931"/>
      <c r="H2357" s="72" t="s">
        <v>784</v>
      </c>
      <c r="I2357" s="408"/>
      <c r="J2357" s="408"/>
      <c r="K2357" s="399"/>
      <c r="L2357" s="408"/>
      <c r="M2357" s="65">
        <v>440003</v>
      </c>
      <c r="N2357" s="66" t="s">
        <v>9</v>
      </c>
      <c r="O2357" s="66" t="s">
        <v>61</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x</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customHeight="1">
      <c r="A2358" s="323" t="str">
        <f>IF(B2358&lt;&gt;"",IF(AND(B2358='IN-TC'!$S$4,OR(TH!N2358="1111",TH!O2358="1111")),TH!D2358,""),"")</f>
        <v/>
      </c>
      <c r="B2358" s="63">
        <f t="shared" si="173"/>
        <v>1</v>
      </c>
      <c r="C2358" s="64">
        <v>42371</v>
      </c>
      <c r="D2358" s="64" t="s">
        <v>852</v>
      </c>
      <c r="E2358" s="64">
        <v>42369</v>
      </c>
      <c r="F2358" s="67" t="s">
        <v>752</v>
      </c>
      <c r="G2358" s="67" t="s">
        <v>785</v>
      </c>
      <c r="H2358" s="329" t="s">
        <v>786</v>
      </c>
      <c r="I2358" s="410"/>
      <c r="J2358" s="410"/>
      <c r="K2358" s="401"/>
      <c r="L2358" s="410"/>
      <c r="M2358" s="65">
        <v>47150</v>
      </c>
      <c r="N2358" s="66" t="s">
        <v>99</v>
      </c>
      <c r="O2358" s="66" t="s">
        <v>61</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customHeight="1">
      <c r="A2359" s="323" t="str">
        <f>IF(B2359&lt;&gt;"",IF(AND(B2359='IN-TC'!$S$4,OR(TH!N2359="1111",TH!O2359="1111")),TH!D2359,""),"")</f>
        <v/>
      </c>
      <c r="B2359" s="63">
        <f t="shared" si="173"/>
        <v>1</v>
      </c>
      <c r="C2359" s="64">
        <v>42371</v>
      </c>
      <c r="D2359" s="64" t="s">
        <v>852</v>
      </c>
      <c r="E2359" s="64">
        <v>42369</v>
      </c>
      <c r="F2359" s="67" t="s">
        <v>753</v>
      </c>
      <c r="G2359" s="67" t="s">
        <v>785</v>
      </c>
      <c r="H2359" s="72" t="s">
        <v>786</v>
      </c>
      <c r="I2359" s="408"/>
      <c r="J2359" s="408"/>
      <c r="K2359" s="399"/>
      <c r="L2359" s="408"/>
      <c r="M2359" s="65">
        <v>4715</v>
      </c>
      <c r="N2359" s="66" t="s">
        <v>9</v>
      </c>
      <c r="O2359" s="66" t="s">
        <v>61</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x</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customHeight="1">
      <c r="A2360" s="323" t="str">
        <f>IF(B2360&lt;&gt;"",IF(AND(B2360='IN-TC'!$S$4,OR(TH!N2360="1111",TH!O2360="1111")),TH!D2360,""),"")</f>
        <v/>
      </c>
      <c r="B2360" s="63">
        <f t="shared" si="173"/>
        <v>1</v>
      </c>
      <c r="C2360" s="64">
        <v>42371</v>
      </c>
      <c r="D2360" s="64" t="s">
        <v>853</v>
      </c>
      <c r="E2360" s="64">
        <v>42367</v>
      </c>
      <c r="F2360" s="67" t="s">
        <v>750</v>
      </c>
      <c r="G2360" s="67" t="s">
        <v>787</v>
      </c>
      <c r="H2360" s="72" t="s">
        <v>788</v>
      </c>
      <c r="I2360" s="408"/>
      <c r="J2360" s="408"/>
      <c r="K2360" s="399"/>
      <c r="L2360" s="408"/>
      <c r="M2360" s="65">
        <v>2090910</v>
      </c>
      <c r="N2360" s="66" t="s">
        <v>99</v>
      </c>
      <c r="O2360" s="66" t="s">
        <v>61</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customHeight="1">
      <c r="A2361" s="323" t="str">
        <f>IF(B2361&lt;&gt;"",IF(AND(B2361='IN-TC'!$S$4,OR(TH!N2361="1111",TH!O2361="1111")),TH!D2361,""),"")</f>
        <v/>
      </c>
      <c r="B2361" s="63">
        <f t="shared" si="173"/>
        <v>1</v>
      </c>
      <c r="C2361" s="64">
        <v>42371</v>
      </c>
      <c r="D2361" s="64" t="s">
        <v>853</v>
      </c>
      <c r="E2361" s="64">
        <v>42367</v>
      </c>
      <c r="F2361" s="67" t="s">
        <v>751</v>
      </c>
      <c r="G2361" s="67" t="s">
        <v>787</v>
      </c>
      <c r="H2361" s="329" t="s">
        <v>788</v>
      </c>
      <c r="I2361" s="410"/>
      <c r="J2361" s="410"/>
      <c r="K2361" s="401"/>
      <c r="L2361" s="410"/>
      <c r="M2361" s="65">
        <v>209090</v>
      </c>
      <c r="N2361" s="66" t="s">
        <v>9</v>
      </c>
      <c r="O2361" s="66" t="s">
        <v>61</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x</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 customHeight="1">
      <c r="A2362" s="323" t="str">
        <f>IF(B2362&lt;&gt;"",IF(AND(B2362='IN-TC'!$S$4,OR(TH!N2362="1111",TH!O2362="1111")),TH!D2362,""),"")</f>
        <v/>
      </c>
      <c r="B2362" s="63">
        <f t="shared" si="173"/>
        <v>1</v>
      </c>
      <c r="C2362" s="64">
        <v>42371</v>
      </c>
      <c r="D2362" s="64" t="s">
        <v>854</v>
      </c>
      <c r="E2362" s="64">
        <v>42367</v>
      </c>
      <c r="F2362" s="67" t="s">
        <v>754</v>
      </c>
      <c r="G2362" s="67" t="s">
        <v>789</v>
      </c>
      <c r="H2362" s="72" t="s">
        <v>790</v>
      </c>
      <c r="I2362" s="408"/>
      <c r="J2362" s="408"/>
      <c r="K2362" s="399"/>
      <c r="L2362" s="408"/>
      <c r="M2362" s="65">
        <v>12000000</v>
      </c>
      <c r="N2362" s="66" t="s">
        <v>99</v>
      </c>
      <c r="O2362" s="66" t="s">
        <v>61</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6.5" customHeight="1">
      <c r="A2363" s="323" t="str">
        <f>IF(B2363&lt;&gt;"",IF(AND(B2363='IN-TC'!$S$4,OR(TH!N2363="1111",TH!O2363="1111")),TH!D2363,""),"")</f>
        <v/>
      </c>
      <c r="B2363" s="63">
        <f t="shared" si="173"/>
        <v>1</v>
      </c>
      <c r="C2363" s="64">
        <v>42371</v>
      </c>
      <c r="D2363" s="64" t="s">
        <v>854</v>
      </c>
      <c r="E2363" s="64">
        <v>42367</v>
      </c>
      <c r="F2363" s="67" t="s">
        <v>755</v>
      </c>
      <c r="G2363" s="67" t="s">
        <v>789</v>
      </c>
      <c r="H2363" s="72" t="s">
        <v>790</v>
      </c>
      <c r="I2363" s="408"/>
      <c r="J2363" s="408"/>
      <c r="K2363" s="399"/>
      <c r="L2363" s="408"/>
      <c r="M2363" s="65">
        <v>1200000</v>
      </c>
      <c r="N2363" s="66" t="s">
        <v>9</v>
      </c>
      <c r="O2363" s="66" t="s">
        <v>61</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x</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customHeight="1">
      <c r="A2364" s="323" t="str">
        <f>IF(B2364&lt;&gt;"",IF(AND(B2364='IN-TC'!$S$4,OR(TH!N2364="1111",TH!O2364="1111")),TH!D2364,""),"")</f>
        <v/>
      </c>
      <c r="B2364" s="63">
        <f t="shared" si="173"/>
        <v>1</v>
      </c>
      <c r="C2364" s="64">
        <v>42371</v>
      </c>
      <c r="D2364" s="64" t="s">
        <v>855</v>
      </c>
      <c r="E2364" s="64">
        <v>42370</v>
      </c>
      <c r="F2364" s="144" t="s">
        <v>756</v>
      </c>
      <c r="G2364" s="932" t="s">
        <v>791</v>
      </c>
      <c r="H2364" s="72" t="s">
        <v>792</v>
      </c>
      <c r="I2364" s="408"/>
      <c r="J2364" s="408"/>
      <c r="K2364" s="399"/>
      <c r="L2364" s="408"/>
      <c r="M2364" s="65">
        <v>620782</v>
      </c>
      <c r="N2364" s="66" t="s">
        <v>99</v>
      </c>
      <c r="O2364" s="66" t="s">
        <v>61</v>
      </c>
      <c r="P2364" s="82" t="str">
        <f>IF(AND('331-CT'!$E$7=TH!H2364,OR(N2364="331",O2364="331")),"x","")</f>
        <v/>
      </c>
      <c r="Q2364" s="82" t="str">
        <f>IF(AND(B2364='111'!$L$11,OR($N2364=$Q$7,$O2364=$Q$7)),"x","")</f>
        <v/>
      </c>
      <c r="R2364" s="82" t="str">
        <f>IF(AND($N2364=$Q$7,$B2364&lt;'111'!$L$11),"x","")</f>
        <v/>
      </c>
      <c r="S2364" s="82" t="str">
        <f>IF(AND($O2364=$Q$7,$B2364&lt;'111'!$L$11),"x","")</f>
        <v>x</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customHeight="1">
      <c r="A2365" s="323" t="str">
        <f>IF(B2365&lt;&gt;"",IF(AND(B2365='IN-TC'!$S$4,OR(TH!N2365="1111",TH!O2365="1111")),TH!D2365,""),"")</f>
        <v/>
      </c>
      <c r="B2365" s="63">
        <f t="shared" si="173"/>
        <v>1</v>
      </c>
      <c r="C2365" s="64">
        <v>42371</v>
      </c>
      <c r="D2365" s="64" t="s">
        <v>855</v>
      </c>
      <c r="E2365" s="64">
        <v>42370</v>
      </c>
      <c r="F2365" s="67" t="s">
        <v>757</v>
      </c>
      <c r="G2365" s="931" t="s">
        <v>791</v>
      </c>
      <c r="H2365" s="72" t="s">
        <v>792</v>
      </c>
      <c r="I2365" s="408"/>
      <c r="J2365" s="408"/>
      <c r="K2365" s="399"/>
      <c r="L2365" s="408"/>
      <c r="M2365" s="65">
        <v>62078</v>
      </c>
      <c r="N2365" s="66" t="s">
        <v>9</v>
      </c>
      <c r="O2365" s="66" t="s">
        <v>61</v>
      </c>
      <c r="P2365" s="82" t="str">
        <f>IF(AND('331-CT'!$E$7=TH!H2365,OR(N2365="331",O2365="331")),"x","")</f>
        <v/>
      </c>
      <c r="Q2365" s="82" t="str">
        <f>IF(AND(B2365='111'!$L$11,OR($N2365=$Q$7,$O2365=$Q$7)),"x","")</f>
        <v/>
      </c>
      <c r="R2365" s="82" t="str">
        <f>IF(AND($N2365=$Q$7,$B2365&lt;'111'!$L$11),"x","")</f>
        <v/>
      </c>
      <c r="S2365" s="82" t="str">
        <f>IF(AND($O2365=$Q$7,$B2365&lt;'111'!$L$11),"x","")</f>
        <v>x</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x</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customHeight="1">
      <c r="A2366" s="323" t="str">
        <f>IF(B2366&lt;&gt;"",IF(AND(B2366='IN-TC'!$S$4,OR(TH!N2366="1111",TH!O2366="1111")),TH!D2366,""),"")</f>
        <v/>
      </c>
      <c r="B2366" s="63">
        <f t="shared" si="173"/>
        <v>1</v>
      </c>
      <c r="C2366" s="64">
        <v>42371</v>
      </c>
      <c r="D2366" s="64" t="s">
        <v>856</v>
      </c>
      <c r="E2366" s="64">
        <v>42370</v>
      </c>
      <c r="F2366" s="144" t="s">
        <v>758</v>
      </c>
      <c r="G2366" s="931"/>
      <c r="H2366" s="72" t="s">
        <v>612</v>
      </c>
      <c r="I2366" s="408"/>
      <c r="J2366" s="408"/>
      <c r="K2366" s="399"/>
      <c r="L2366" s="408"/>
      <c r="M2366" s="65">
        <v>7500000</v>
      </c>
      <c r="N2366" s="66" t="s">
        <v>8</v>
      </c>
      <c r="O2366" s="66" t="s">
        <v>61</v>
      </c>
      <c r="P2366" s="82" t="str">
        <f>IF(AND('331-CT'!$E$7=TH!H2366,OR(N2366="331",O2366="331")),"x","")</f>
        <v/>
      </c>
      <c r="Q2366" s="82" t="str">
        <f>IF(AND(B2366='111'!$L$11,OR($N2366=$Q$7,$O2366=$Q$7)),"x","")</f>
        <v/>
      </c>
      <c r="R2366" s="82" t="str">
        <f>IF(AND($N2366=$Q$7,$B2366&lt;'111'!$L$11),"x","")</f>
        <v/>
      </c>
      <c r="S2366" s="82" t="str">
        <f>IF(AND($O2366=$Q$7,$B2366&lt;'111'!$L$11),"x","")</f>
        <v>x</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customHeight="1">
      <c r="A2367" s="323" t="str">
        <f>IF(B2367&lt;&gt;"",IF(AND(B2367='IN-TC'!$S$4,OR(TH!N2369="1111",TH!O2369="1111")),TH!D2369,""),"")</f>
        <v/>
      </c>
      <c r="B2367" s="63">
        <f t="shared" si="173"/>
        <v>1</v>
      </c>
      <c r="C2367" s="64">
        <v>42373</v>
      </c>
      <c r="D2367" s="64" t="s">
        <v>858</v>
      </c>
      <c r="E2367" s="64">
        <v>42373</v>
      </c>
      <c r="F2367" s="67" t="s">
        <v>759</v>
      </c>
      <c r="G2367" s="931" t="s">
        <v>793</v>
      </c>
      <c r="H2367" s="72" t="s">
        <v>794</v>
      </c>
      <c r="I2367" s="408"/>
      <c r="J2367" s="408"/>
      <c r="K2367" s="399"/>
      <c r="L2367" s="408"/>
      <c r="M2367" s="65">
        <v>16650000</v>
      </c>
      <c r="N2367" s="66" t="s">
        <v>159</v>
      </c>
      <c r="O2367" s="66" t="s">
        <v>61</v>
      </c>
      <c r="P2367" s="82" t="str">
        <f>IF(AND('331-CT'!$E$7=TH!H2367,OR(N2367="331",O2367="331")),"x","")</f>
        <v/>
      </c>
      <c r="Q2367" s="82" t="str">
        <f>IF(AND(B2367='111'!$L$11,OR($N2367=$Q$7,$O2367=$Q$7)),"x","")</f>
        <v/>
      </c>
      <c r="R2367" s="82" t="str">
        <f>IF(AND($N2367=$Q$7,$B2367&lt;'111'!$L$11),"x","")</f>
        <v/>
      </c>
      <c r="S2367" s="82" t="str">
        <f>IF(AND($O2367=$Q$7,$B2367&lt;'111'!$L$11),"x","")</f>
        <v>x</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customHeight="1">
      <c r="A2368" s="323" t="str">
        <f>IF(B2368&lt;&gt;"",IF(AND(B2368='IN-TC'!$S$4,OR(TH!N2370="1111",TH!O2370="1111")),TH!D2370,""),"")</f>
        <v/>
      </c>
      <c r="B2368" s="63">
        <f t="shared" si="173"/>
        <v>1</v>
      </c>
      <c r="C2368" s="64">
        <v>42373</v>
      </c>
      <c r="D2368" s="64" t="s">
        <v>858</v>
      </c>
      <c r="E2368" s="64">
        <v>42373</v>
      </c>
      <c r="F2368" s="67" t="s">
        <v>760</v>
      </c>
      <c r="G2368" s="933" t="s">
        <v>793</v>
      </c>
      <c r="H2368" s="329" t="s">
        <v>794</v>
      </c>
      <c r="I2368" s="410"/>
      <c r="J2368" s="410"/>
      <c r="K2368" s="401"/>
      <c r="L2368" s="410"/>
      <c r="M2368" s="65">
        <v>1665000</v>
      </c>
      <c r="N2368" s="66" t="s">
        <v>9</v>
      </c>
      <c r="O2368" s="66" t="s">
        <v>61</v>
      </c>
      <c r="P2368" s="82" t="str">
        <f>IF(AND('331-CT'!$E$7=TH!H2368,OR(N2368="331",O2368="331")),"x","")</f>
        <v/>
      </c>
      <c r="Q2368" s="82" t="str">
        <f>IF(AND(B2368='111'!$L$11,OR($N2368=$Q$7,$O2368=$Q$7)),"x","")</f>
        <v/>
      </c>
      <c r="R2368" s="82" t="str">
        <f>IF(AND($N2368=$Q$7,$B2368&lt;'111'!$L$11),"x","")</f>
        <v/>
      </c>
      <c r="S2368" s="82" t="str">
        <f>IF(AND($O2368=$Q$7,$B2368&lt;'111'!$L$11),"x","")</f>
        <v>x</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x</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1" ht="15.75" customHeight="1">
      <c r="A2369" s="323" t="str">
        <f>IF(B2369&lt;&gt;"",IF(AND(B2369='IN-TC'!$S$4,OR(TH!N2371="1111",TH!O2371="1111")),TH!D2371,""),"")</f>
        <v/>
      </c>
      <c r="B2369" s="63">
        <f t="shared" si="173"/>
        <v>1</v>
      </c>
      <c r="C2369" s="64">
        <v>42373</v>
      </c>
      <c r="D2369" s="64" t="s">
        <v>859</v>
      </c>
      <c r="E2369" s="64">
        <v>42336</v>
      </c>
      <c r="F2369" s="67" t="s">
        <v>754</v>
      </c>
      <c r="G2369" s="933" t="s">
        <v>795</v>
      </c>
      <c r="H2369" s="329" t="s">
        <v>790</v>
      </c>
      <c r="I2369" s="410"/>
      <c r="J2369" s="410"/>
      <c r="K2369" s="401"/>
      <c r="L2369" s="410"/>
      <c r="M2369" s="65">
        <v>12000000</v>
      </c>
      <c r="N2369" s="66" t="s">
        <v>99</v>
      </c>
      <c r="O2369" s="66" t="s">
        <v>61</v>
      </c>
      <c r="P2369" s="82" t="str">
        <f>IF(AND('331-CT'!$E$7=TH!H2369,OR(N2369="331",O2369="331")),"x","")</f>
        <v/>
      </c>
      <c r="Q2369" s="82" t="str">
        <f>IF(AND(B2369='111'!$L$11,OR($N2369=$Q$7,$O2369=$Q$7)),"x","")</f>
        <v/>
      </c>
      <c r="R2369" s="82" t="str">
        <f>IF(AND($N2369=$Q$7,$B2369&lt;'111'!$L$11),"x","")</f>
        <v/>
      </c>
      <c r="S2369" s="82" t="str">
        <f>IF(AND($O2369=$Q$7,$B2369&lt;'111'!$L$11),"x","")</f>
        <v>x</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1" ht="15.75" customHeight="1">
      <c r="A2370" s="323" t="str">
        <f>IF(B2370&lt;&gt;"",IF(AND(B2370='IN-TC'!$S$4,OR(TH!N2372="1111",TH!O2372="1111")),TH!D2372,""),"")</f>
        <v/>
      </c>
      <c r="B2370" s="63">
        <f t="shared" si="173"/>
        <v>1</v>
      </c>
      <c r="C2370" s="64">
        <v>42373</v>
      </c>
      <c r="D2370" s="64" t="s">
        <v>859</v>
      </c>
      <c r="E2370" s="64">
        <v>42336</v>
      </c>
      <c r="F2370" s="67" t="s">
        <v>755</v>
      </c>
      <c r="G2370" s="67" t="s">
        <v>795</v>
      </c>
      <c r="H2370" s="72" t="s">
        <v>790</v>
      </c>
      <c r="I2370" s="408"/>
      <c r="J2370" s="408"/>
      <c r="K2370" s="399"/>
      <c r="L2370" s="408"/>
      <c r="M2370" s="65">
        <v>1200000</v>
      </c>
      <c r="N2370" s="66" t="s">
        <v>9</v>
      </c>
      <c r="O2370" s="66" t="s">
        <v>61</v>
      </c>
      <c r="P2370" s="82" t="str">
        <f>IF(AND('331-CT'!$E$7=TH!H2370,OR(N2370="331",O2370="331")),"x","")</f>
        <v/>
      </c>
      <c r="Q2370" s="82" t="str">
        <f>IF(AND(B2370='111'!$L$11,OR($N2370=$Q$7,$O2370=$Q$7)),"x","")</f>
        <v/>
      </c>
      <c r="R2370" s="82" t="str">
        <f>IF(AND($N2370=$Q$7,$B2370&lt;'111'!$L$11),"x","")</f>
        <v/>
      </c>
      <c r="S2370" s="82" t="str">
        <f>IF(AND($O2370=$Q$7,$B2370&lt;'111'!$L$11),"x","")</f>
        <v>x</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x</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1" ht="15.75" customHeight="1">
      <c r="A2371" s="323" t="str">
        <f>IF(B2371&lt;&gt;"",IF(AND(B2371='IN-TC'!$S$4,OR(TH!N2373="1111",TH!O2373="1111")),TH!D2373,""),"")</f>
        <v/>
      </c>
      <c r="B2371" s="63">
        <f t="shared" si="173"/>
        <v>1</v>
      </c>
      <c r="C2371" s="64">
        <v>42373</v>
      </c>
      <c r="D2371" s="64" t="s">
        <v>860</v>
      </c>
      <c r="E2371" s="64">
        <v>42373</v>
      </c>
      <c r="F2371" s="67" t="s">
        <v>761</v>
      </c>
      <c r="G2371" s="931" t="s">
        <v>796</v>
      </c>
      <c r="H2371" s="72" t="s">
        <v>792</v>
      </c>
      <c r="I2371" s="408"/>
      <c r="J2371" s="408"/>
      <c r="K2371" s="399"/>
      <c r="L2371" s="408"/>
      <c r="M2371" s="65">
        <v>684000</v>
      </c>
      <c r="N2371" s="66" t="s">
        <v>99</v>
      </c>
      <c r="O2371" s="66" t="s">
        <v>61</v>
      </c>
      <c r="P2371" s="82" t="str">
        <f>IF(AND('331-CT'!$E$7=TH!H2371,OR(N2371="331",O2371="331")),"x","")</f>
        <v/>
      </c>
      <c r="Q2371" s="82" t="str">
        <f>IF(AND(B2371='111'!$L$11,OR($N2371=$Q$7,$O2371=$Q$7)),"x","")</f>
        <v/>
      </c>
      <c r="R2371" s="82" t="str">
        <f>IF(AND($N2371=$Q$7,$B2371&lt;'111'!$L$11),"x","")</f>
        <v/>
      </c>
      <c r="S2371" s="82" t="str">
        <f>IF(AND($O2371=$Q$7,$B2371&lt;'111'!$L$11),"x","")</f>
        <v>x</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1" ht="15.75" customHeight="1">
      <c r="A2372" s="323" t="str">
        <f>IF(B2372&lt;&gt;"",IF(AND(B2372='IN-TC'!$S$4,OR(TH!N2374="1111",TH!O2374="1111")),TH!D2374,""),"")</f>
        <v/>
      </c>
      <c r="B2372" s="63">
        <f t="shared" si="173"/>
        <v>1</v>
      </c>
      <c r="C2372" s="64">
        <v>42373</v>
      </c>
      <c r="D2372" s="64" t="s">
        <v>860</v>
      </c>
      <c r="E2372" s="64">
        <v>42373</v>
      </c>
      <c r="F2372" s="67" t="s">
        <v>762</v>
      </c>
      <c r="G2372" s="931" t="s">
        <v>796</v>
      </c>
      <c r="H2372" s="72" t="s">
        <v>792</v>
      </c>
      <c r="I2372" s="408"/>
      <c r="J2372" s="408"/>
      <c r="K2372" s="399"/>
      <c r="L2372" s="408"/>
      <c r="M2372" s="65">
        <v>68400</v>
      </c>
      <c r="N2372" s="66" t="s">
        <v>9</v>
      </c>
      <c r="O2372" s="66" t="s">
        <v>61</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x</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1" ht="15.75" customHeight="1">
      <c r="A2373" s="323" t="str">
        <f>IF(B2373&lt;&gt;"",IF(AND(B2373='IN-TC'!$S$4,OR(TH!N2375="1111",TH!O2375="1111")),TH!D2375,""),"")</f>
        <v/>
      </c>
      <c r="B2373" s="63">
        <f t="shared" si="173"/>
        <v>1</v>
      </c>
      <c r="C2373" s="64">
        <v>42373</v>
      </c>
      <c r="D2373" s="64" t="s">
        <v>861</v>
      </c>
      <c r="E2373" s="64">
        <v>42373</v>
      </c>
      <c r="F2373" s="67" t="s">
        <v>761</v>
      </c>
      <c r="G2373" s="931" t="s">
        <v>797</v>
      </c>
      <c r="H2373" s="72" t="s">
        <v>798</v>
      </c>
      <c r="I2373" s="408"/>
      <c r="J2373" s="408"/>
      <c r="K2373" s="399"/>
      <c r="L2373" s="408"/>
      <c r="M2373" s="65">
        <v>29818</v>
      </c>
      <c r="N2373" s="66" t="s">
        <v>99</v>
      </c>
      <c r="O2373" s="66" t="s">
        <v>61</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1" ht="15.75" customHeight="1">
      <c r="A2374" s="323" t="str">
        <f>IF(B2374&lt;&gt;"",IF(AND(B2374='IN-TC'!$S$4,OR(TH!N2376="1111",TH!O2376="1111")),TH!D2376,""),"")</f>
        <v/>
      </c>
      <c r="B2374" s="63">
        <f t="shared" si="173"/>
        <v>1</v>
      </c>
      <c r="C2374" s="64">
        <v>42373</v>
      </c>
      <c r="D2374" s="64" t="s">
        <v>861</v>
      </c>
      <c r="E2374" s="64">
        <v>42373</v>
      </c>
      <c r="F2374" s="67" t="s">
        <v>762</v>
      </c>
      <c r="G2374" s="931" t="s">
        <v>797</v>
      </c>
      <c r="H2374" s="72" t="s">
        <v>798</v>
      </c>
      <c r="I2374" s="408"/>
      <c r="J2374" s="408"/>
      <c r="K2374" s="399"/>
      <c r="L2374" s="408"/>
      <c r="M2374" s="65">
        <v>2982</v>
      </c>
      <c r="N2374" s="66" t="s">
        <v>9</v>
      </c>
      <c r="O2374" s="66" t="s">
        <v>61</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x</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1" ht="15.75" customHeight="1">
      <c r="A2375" s="323" t="str">
        <f>IF(B2375&lt;&gt;"",IF(AND(B2375='IN-TC'!$S$4,OR(TH!N2367="1111",TH!O2367="1111")),TH!D2367,""),"")</f>
        <v/>
      </c>
      <c r="B2375" s="63">
        <f t="shared" si="173"/>
        <v>1</v>
      </c>
      <c r="C2375" s="64">
        <v>42373</v>
      </c>
      <c r="D2375" s="64" t="s">
        <v>690</v>
      </c>
      <c r="E2375" s="64">
        <v>42373</v>
      </c>
      <c r="F2375" s="72" t="s">
        <v>1425</v>
      </c>
      <c r="G2375" s="67" t="s">
        <v>901</v>
      </c>
      <c r="H2375" s="72"/>
      <c r="I2375" s="408"/>
      <c r="J2375" s="408"/>
      <c r="K2375" s="399">
        <v>97800</v>
      </c>
      <c r="L2375" s="408">
        <v>22490</v>
      </c>
      <c r="M2375" s="65">
        <f>ROUND(K2375*L2375,0)</f>
        <v>2199522000</v>
      </c>
      <c r="N2375" s="66" t="s">
        <v>25</v>
      </c>
      <c r="O2375" s="66" t="s">
        <v>260</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1" ht="15.75" customHeight="1">
      <c r="A2376" s="323" t="str">
        <f>IF(B2376&lt;&gt;"",IF(AND(B2376='IN-TC'!$S$4,OR(TH!N2368="1111",TH!O2368="1111")),TH!D2368,""),"")</f>
        <v/>
      </c>
      <c r="B2376" s="63">
        <f t="shared" si="173"/>
        <v>1</v>
      </c>
      <c r="C2376" s="64">
        <v>42373</v>
      </c>
      <c r="D2376" s="64" t="s">
        <v>857</v>
      </c>
      <c r="E2376" s="64">
        <v>42373</v>
      </c>
      <c r="F2376" s="67" t="s">
        <v>740</v>
      </c>
      <c r="G2376" s="67" t="s">
        <v>901</v>
      </c>
      <c r="H2376" s="73" t="s">
        <v>748</v>
      </c>
      <c r="I2376" s="408"/>
      <c r="J2376" s="408"/>
      <c r="K2376" s="399"/>
      <c r="L2376" s="408"/>
      <c r="M2376" s="65">
        <v>2200000000</v>
      </c>
      <c r="N2376" s="66" t="s">
        <v>61</v>
      </c>
      <c r="O2376" s="66" t="s">
        <v>25</v>
      </c>
      <c r="P2376" s="82" t="str">
        <f>IF(AND('331-CT'!$E$7=TH!H2376,OR(N2376="331",O2376="331")),"x","")</f>
        <v/>
      </c>
      <c r="Q2376" s="82" t="str">
        <f>IF(AND(B2376='111'!$L$11,OR($N2376=$Q$7,$O2376=$Q$7)),"x","")</f>
        <v/>
      </c>
      <c r="R2376" s="82" t="str">
        <f>IF(AND($N2376=$Q$7,$B2376&lt;'111'!$L$11),"x","")</f>
        <v>x</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1" ht="15.75" customHeight="1">
      <c r="A2377" s="323" t="str">
        <f>IF(B2377&lt;&gt;"",IF(AND(B2377='IN-TC'!$S$4,OR(TH!N2377="1111",TH!O2377="1111")),TH!D2377,""),"")</f>
        <v/>
      </c>
      <c r="B2377" s="63">
        <f t="shared" si="173"/>
        <v>1</v>
      </c>
      <c r="C2377" s="64">
        <v>42374</v>
      </c>
      <c r="D2377" s="64" t="s">
        <v>862</v>
      </c>
      <c r="E2377" s="64">
        <v>42374</v>
      </c>
      <c r="F2377" s="67" t="s">
        <v>763</v>
      </c>
      <c r="G2377" s="67" t="s">
        <v>799</v>
      </c>
      <c r="H2377" s="72" t="s">
        <v>794</v>
      </c>
      <c r="I2377" s="408"/>
      <c r="J2377" s="408"/>
      <c r="K2377" s="399"/>
      <c r="L2377" s="408"/>
      <c r="M2377" s="65">
        <v>16890000</v>
      </c>
      <c r="N2377" s="66" t="s">
        <v>159</v>
      </c>
      <c r="O2377" s="66" t="s">
        <v>61</v>
      </c>
      <c r="P2377" s="82" t="str">
        <f>IF(AND('331-CT'!$E$7=TH!H2377,OR(N2377="331",O2377="331")),"x","")</f>
        <v/>
      </c>
      <c r="Q2377" s="82" t="str">
        <f>IF(AND(B2377='111'!$L$11,OR($N2377=$Q$7,$O2377=$Q$7)),"x","")</f>
        <v/>
      </c>
      <c r="R2377" s="82" t="str">
        <f>IF(AND($N2377=$Q$7,$B2377&lt;'111'!$L$11),"x","")</f>
        <v/>
      </c>
      <c r="S2377" s="82" t="str">
        <f>IF(AND($O2377=$Q$7,$B2377&lt;'111'!$L$11),"x","")</f>
        <v>x</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1" ht="15.75" customHeight="1">
      <c r="A2378" s="323" t="str">
        <f>IF(B2378&lt;&gt;"",IF(AND(B2378='IN-TC'!$S$4,OR(TH!N2378="1111",TH!O2378="1111")),TH!D2378,""),"")</f>
        <v/>
      </c>
      <c r="B2378" s="63">
        <f t="shared" si="173"/>
        <v>1</v>
      </c>
      <c r="C2378" s="64">
        <v>42374</v>
      </c>
      <c r="D2378" s="64" t="s">
        <v>862</v>
      </c>
      <c r="E2378" s="64">
        <v>42374</v>
      </c>
      <c r="F2378" s="67" t="s">
        <v>764</v>
      </c>
      <c r="G2378" s="67" t="s">
        <v>799</v>
      </c>
      <c r="H2378" s="331" t="s">
        <v>794</v>
      </c>
      <c r="I2378" s="412"/>
      <c r="J2378" s="412"/>
      <c r="K2378" s="403"/>
      <c r="L2378" s="412"/>
      <c r="M2378" s="65">
        <v>1689000</v>
      </c>
      <c r="N2378" s="66" t="s">
        <v>9</v>
      </c>
      <c r="O2378" s="66" t="s">
        <v>61</v>
      </c>
      <c r="P2378" s="82" t="str">
        <f>IF(AND('331-CT'!$E$7=TH!H2378,OR(N2378="331",O2378="331")),"x","")</f>
        <v/>
      </c>
      <c r="Q2378" s="82" t="str">
        <f>IF(AND(B2378='111'!$L$11,OR($N2378=$Q$7,$O2378=$Q$7)),"x","")</f>
        <v/>
      </c>
      <c r="R2378" s="82" t="str">
        <f>IF(AND($N2378=$Q$7,$B2378&lt;'111'!$L$11),"x","")</f>
        <v/>
      </c>
      <c r="S2378" s="82" t="str">
        <f>IF(AND($O2378=$Q$7,$B2378&lt;'111'!$L$11),"x","")</f>
        <v>x</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x</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1" ht="15.75" customHeight="1">
      <c r="A2379" s="323" t="str">
        <f>IF(B2379&lt;&gt;"",IF(AND(B2379='IN-TC'!$S$4,OR(TH!N2379="1111",TH!O2379="1111")),TH!D2379,""),"")</f>
        <v/>
      </c>
      <c r="B2379" s="63">
        <f t="shared" si="173"/>
        <v>1</v>
      </c>
      <c r="C2379" s="64">
        <v>42374</v>
      </c>
      <c r="D2379" s="64" t="s">
        <v>863</v>
      </c>
      <c r="E2379" s="64">
        <v>42350</v>
      </c>
      <c r="F2379" s="67" t="s">
        <v>754</v>
      </c>
      <c r="G2379" s="67" t="s">
        <v>800</v>
      </c>
      <c r="H2379" s="72" t="s">
        <v>790</v>
      </c>
      <c r="I2379" s="408"/>
      <c r="J2379" s="408"/>
      <c r="K2379" s="399"/>
      <c r="L2379" s="408"/>
      <c r="M2379" s="65">
        <v>12000000</v>
      </c>
      <c r="N2379" s="66" t="s">
        <v>99</v>
      </c>
      <c r="O2379" s="66" t="s">
        <v>61</v>
      </c>
      <c r="P2379" s="82" t="str">
        <f>IF(AND('331-CT'!$E$7=TH!H2379,OR(N2379="331",O2379="331")),"x","")</f>
        <v/>
      </c>
      <c r="Q2379" s="82" t="str">
        <f>IF(AND(B2379='111'!$L$11,OR($N2379=$Q$7,$O2379=$Q$7)),"x","")</f>
        <v/>
      </c>
      <c r="R2379" s="82" t="str">
        <f>IF(AND($N2379=$Q$7,$B2379&lt;'111'!$L$11),"x","")</f>
        <v/>
      </c>
      <c r="S2379" s="82" t="str">
        <f>IF(AND($O2379=$Q$7,$B2379&lt;'111'!$L$11),"x","")</f>
        <v>x</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1" ht="15.75" customHeight="1">
      <c r="A2380" s="323" t="str">
        <f>IF(B2380&lt;&gt;"",IF(AND(B2380='IN-TC'!$S$4,OR(TH!N2380="1111",TH!O2380="1111")),TH!D2380,""),"")</f>
        <v/>
      </c>
      <c r="B2380" s="63">
        <f t="shared" si="173"/>
        <v>1</v>
      </c>
      <c r="C2380" s="64">
        <v>42374</v>
      </c>
      <c r="D2380" s="64" t="s">
        <v>863</v>
      </c>
      <c r="E2380" s="64">
        <v>42350</v>
      </c>
      <c r="F2380" s="67" t="s">
        <v>755</v>
      </c>
      <c r="G2380" s="67" t="s">
        <v>800</v>
      </c>
      <c r="H2380" s="72" t="s">
        <v>790</v>
      </c>
      <c r="I2380" s="408"/>
      <c r="J2380" s="408"/>
      <c r="K2380" s="399"/>
      <c r="L2380" s="408"/>
      <c r="M2380" s="65">
        <v>1200000</v>
      </c>
      <c r="N2380" s="66" t="s">
        <v>9</v>
      </c>
      <c r="O2380" s="66" t="s">
        <v>61</v>
      </c>
      <c r="P2380" s="82" t="str">
        <f>IF(AND('331-CT'!$E$7=TH!H2380,OR(N2380="331",O2380="331")),"x","")</f>
        <v/>
      </c>
      <c r="Q2380" s="82" t="str">
        <f>IF(AND(B2380='111'!$L$11,OR($N2380=$Q$7,$O2380=$Q$7)),"x","")</f>
        <v/>
      </c>
      <c r="R2380" s="82" t="str">
        <f>IF(AND($N2380=$Q$7,$B2380&lt;'111'!$L$11),"x","")</f>
        <v/>
      </c>
      <c r="S2380" s="82" t="str">
        <f>IF(AND($O2380=$Q$7,$B2380&lt;'111'!$L$11),"x","")</f>
        <v>x</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x</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1" ht="15.75" customHeight="1">
      <c r="A2381" s="323" t="str">
        <f>IF(B2381&lt;&gt;"",IF(AND(B2381='IN-TC'!$S$4,OR(TH!N2381="1111",TH!O2381="1111")),TH!D2381,""),"")</f>
        <v/>
      </c>
      <c r="B2381" s="63">
        <f t="shared" si="173"/>
        <v>1</v>
      </c>
      <c r="C2381" s="64">
        <v>42374</v>
      </c>
      <c r="D2381" s="64" t="s">
        <v>864</v>
      </c>
      <c r="E2381" s="64">
        <v>42374</v>
      </c>
      <c r="F2381" s="67" t="s">
        <v>761</v>
      </c>
      <c r="G2381" s="67" t="s">
        <v>801</v>
      </c>
      <c r="H2381" s="72" t="s">
        <v>792</v>
      </c>
      <c r="I2381" s="408"/>
      <c r="J2381" s="408"/>
      <c r="K2381" s="399"/>
      <c r="L2381" s="408"/>
      <c r="M2381" s="65">
        <v>676700</v>
      </c>
      <c r="N2381" s="66" t="s">
        <v>99</v>
      </c>
      <c r="O2381" s="66" t="s">
        <v>61</v>
      </c>
      <c r="P2381" s="82" t="str">
        <f>IF(AND('331-CT'!$E$7=TH!H2381,OR(N2381="331",O2381="331")),"x","")</f>
        <v/>
      </c>
      <c r="Q2381" s="82" t="str">
        <f>IF(AND(B2381='111'!$L$11,OR($N2381=$Q$7,$O2381=$Q$7)),"x","")</f>
        <v/>
      </c>
      <c r="R2381" s="82" t="str">
        <f>IF(AND($N2381=$Q$7,$B2381&lt;'111'!$L$11),"x","")</f>
        <v/>
      </c>
      <c r="S2381" s="82" t="str">
        <f>IF(AND($O2381=$Q$7,$B2381&lt;'111'!$L$11),"x","")</f>
        <v>x</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1" ht="15.75" customHeight="1">
      <c r="A2382" s="323" t="str">
        <f>IF(B2382&lt;&gt;"",IF(AND(B2382='IN-TC'!$S$4,OR(TH!N2382="1111",TH!O2382="1111")),TH!D2382,""),"")</f>
        <v/>
      </c>
      <c r="B2382" s="63">
        <f t="shared" si="173"/>
        <v>1</v>
      </c>
      <c r="C2382" s="64">
        <v>42374</v>
      </c>
      <c r="D2382" s="64" t="s">
        <v>864</v>
      </c>
      <c r="E2382" s="64">
        <v>42374</v>
      </c>
      <c r="F2382" s="67" t="s">
        <v>762</v>
      </c>
      <c r="G2382" s="67" t="s">
        <v>801</v>
      </c>
      <c r="H2382" s="72" t="s">
        <v>792</v>
      </c>
      <c r="I2382" s="408"/>
      <c r="J2382" s="408"/>
      <c r="K2382" s="399"/>
      <c r="L2382" s="408"/>
      <c r="M2382" s="65">
        <v>67670</v>
      </c>
      <c r="N2382" s="66" t="s">
        <v>9</v>
      </c>
      <c r="O2382" s="66" t="s">
        <v>61</v>
      </c>
      <c r="P2382" s="82" t="str">
        <f>IF(AND('331-CT'!$E$7=TH!H2382,OR(N2382="331",O2382="331")),"x","")</f>
        <v/>
      </c>
      <c r="Q2382" s="82" t="str">
        <f>IF(AND(B2382='111'!$L$11,OR($N2382=$Q$7,$O2382=$Q$7)),"x","")</f>
        <v/>
      </c>
      <c r="R2382" s="82" t="str">
        <f>IF(AND($N2382=$Q$7,$B2382&lt;'111'!$L$11),"x","")</f>
        <v/>
      </c>
      <c r="S2382" s="82" t="str">
        <f>IF(AND($O2382=$Q$7,$B2382&lt;'111'!$L$11),"x","")</f>
        <v>x</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x</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1" ht="15.75" customHeight="1">
      <c r="A2383" s="1160" t="str">
        <f>IF(B2383&lt;&gt;"",IF(AND(B2383='IN-TC'!$S$4,OR(TH!N935="1111",TH!O935="1111")),TH!D935,""),"")</f>
        <v/>
      </c>
      <c r="B2383" s="948">
        <f t="shared" si="173"/>
        <v>11</v>
      </c>
      <c r="C2383" s="78">
        <v>42678</v>
      </c>
      <c r="D2383" s="78" t="s">
        <v>662</v>
      </c>
      <c r="E2383" s="78">
        <f>C2383</f>
        <v>42678</v>
      </c>
      <c r="F2383" s="80" t="s">
        <v>341</v>
      </c>
      <c r="G2383" s="934" t="s">
        <v>2455</v>
      </c>
      <c r="H2383" s="310" t="s">
        <v>660</v>
      </c>
      <c r="I2383" s="406">
        <v>1000</v>
      </c>
      <c r="J2383" s="1198">
        <v>15238.094999999999</v>
      </c>
      <c r="K2383" s="397"/>
      <c r="L2383" s="406"/>
      <c r="M2383" s="81">
        <f>ROUND(I2383*J2383,0)</f>
        <v>15238095</v>
      </c>
      <c r="N2383" s="82" t="s">
        <v>270</v>
      </c>
      <c r="O2383" s="82" t="s">
        <v>8</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x</v>
      </c>
      <c r="AD2383" s="82" t="str">
        <f>IF(AND(N2383="1521",MONTH(C2383)='BK-NL'!$M$11),"x","")</f>
        <v/>
      </c>
      <c r="AE2383">
        <v>1</v>
      </c>
    </row>
    <row r="2384" spans="1:31" ht="15.75" customHeight="1">
      <c r="A2384" s="323" t="str">
        <f>IF(B2384&lt;&gt;"",IF(AND(B2384='IN-TC'!$S$4,OR(TH!N2384="1111",TH!O2384="1111")),TH!D2384,""),"")</f>
        <v/>
      </c>
      <c r="B2384" s="63">
        <f t="shared" si="173"/>
        <v>1</v>
      </c>
      <c r="C2384" s="64">
        <v>42375</v>
      </c>
      <c r="D2384" s="64" t="s">
        <v>690</v>
      </c>
      <c r="E2384" s="64">
        <v>42375</v>
      </c>
      <c r="F2384" s="89" t="s">
        <v>1029</v>
      </c>
      <c r="G2384" s="67" t="s">
        <v>902</v>
      </c>
      <c r="H2384" s="72" t="s">
        <v>697</v>
      </c>
      <c r="I2384" s="408"/>
      <c r="J2384" s="408"/>
      <c r="K2384" s="399">
        <v>53.92</v>
      </c>
      <c r="L2384" s="408">
        <v>22240</v>
      </c>
      <c r="M2384" s="81">
        <f>ROUND(K2384*L2384,0)</f>
        <v>1199181</v>
      </c>
      <c r="N2384" s="66" t="s">
        <v>97</v>
      </c>
      <c r="O2384" s="66" t="s">
        <v>260</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customHeight="1">
      <c r="A2385" s="323" t="str">
        <f>IF(B2385&lt;&gt;"",IF(AND(B2385='IN-TC'!$S$4,OR(TH!N2385="1111",TH!O2385="1111")),TH!D2385,""),"")</f>
        <v/>
      </c>
      <c r="B2385" s="63">
        <f t="shared" si="173"/>
        <v>1</v>
      </c>
      <c r="C2385" s="64">
        <v>42375</v>
      </c>
      <c r="D2385" s="64" t="s">
        <v>690</v>
      </c>
      <c r="E2385" s="64">
        <v>42375</v>
      </c>
      <c r="F2385" s="67" t="s">
        <v>1030</v>
      </c>
      <c r="G2385" s="67" t="s">
        <v>902</v>
      </c>
      <c r="H2385" s="72" t="s">
        <v>698</v>
      </c>
      <c r="I2385" s="408"/>
      <c r="J2385" s="408"/>
      <c r="K2385" s="399">
        <v>129.11000000000001</v>
      </c>
      <c r="L2385" s="408">
        <v>22240</v>
      </c>
      <c r="M2385" s="81">
        <f>ROUND(K2385*L2385,0)</f>
        <v>2871406</v>
      </c>
      <c r="N2385" s="66" t="s">
        <v>97</v>
      </c>
      <c r="O2385" s="66" t="s">
        <v>260</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customHeight="1">
      <c r="A2386" s="323" t="str">
        <f>IF(B2386&lt;&gt;"",IF(AND(B2386='IN-TC'!$S$4,OR(TH!N2386="1111",TH!O2386="1111")),TH!D2386,""),"")</f>
        <v/>
      </c>
      <c r="B2386" s="63">
        <f t="shared" si="173"/>
        <v>1</v>
      </c>
      <c r="C2386" s="64">
        <v>42375</v>
      </c>
      <c r="D2386" s="64" t="s">
        <v>690</v>
      </c>
      <c r="E2386" s="64">
        <v>42375</v>
      </c>
      <c r="F2386" s="67" t="s">
        <v>1031</v>
      </c>
      <c r="G2386" s="67" t="s">
        <v>902</v>
      </c>
      <c r="H2386" s="73" t="s">
        <v>699</v>
      </c>
      <c r="I2386" s="411"/>
      <c r="J2386" s="411"/>
      <c r="K2386" s="402">
        <v>79.5</v>
      </c>
      <c r="L2386" s="411">
        <v>22240</v>
      </c>
      <c r="M2386" s="81">
        <f>ROUND(K2386*L2386,0)</f>
        <v>1768080</v>
      </c>
      <c r="N2386" s="66" t="s">
        <v>97</v>
      </c>
      <c r="O2386" s="66" t="s">
        <v>260</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customHeight="1">
      <c r="A2387" s="323" t="str">
        <f>IF(B2387&lt;&gt;"",IF(AND(B2387='IN-TC'!$S$4,OR(TH!N2387="1111",TH!O2387="1111")),TH!D2387,""),"")</f>
        <v/>
      </c>
      <c r="B2387" s="63">
        <f t="shared" si="173"/>
        <v>1</v>
      </c>
      <c r="C2387" s="64">
        <v>42375</v>
      </c>
      <c r="D2387" s="64" t="s">
        <v>690</v>
      </c>
      <c r="E2387" s="64">
        <v>42375</v>
      </c>
      <c r="F2387" s="67" t="s">
        <v>1032</v>
      </c>
      <c r="G2387" s="67" t="s">
        <v>902</v>
      </c>
      <c r="H2387" s="72" t="s">
        <v>700</v>
      </c>
      <c r="I2387" s="408"/>
      <c r="J2387" s="408"/>
      <c r="K2387" s="399">
        <v>111.29</v>
      </c>
      <c r="L2387" s="408">
        <v>22240</v>
      </c>
      <c r="M2387" s="81">
        <f>ROUND(K2387*L2387,0)</f>
        <v>2475090</v>
      </c>
      <c r="N2387" s="66" t="s">
        <v>97</v>
      </c>
      <c r="O2387" s="66" t="s">
        <v>260</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customHeight="1">
      <c r="A2388" s="323" t="str">
        <f>IF(B2388&lt;&gt;"",IF(AND(B2388='IN-TC'!$S$4,OR(TH!N2388="1111",TH!O2388="1111")),TH!D2388,""),"")</f>
        <v/>
      </c>
      <c r="B2388" s="63">
        <f t="shared" si="173"/>
        <v>1</v>
      </c>
      <c r="C2388" s="64">
        <v>42376</v>
      </c>
      <c r="D2388" s="64" t="s">
        <v>866</v>
      </c>
      <c r="E2388" s="64">
        <v>42376</v>
      </c>
      <c r="F2388" s="67" t="s">
        <v>722</v>
      </c>
      <c r="G2388" s="67" t="s">
        <v>902</v>
      </c>
      <c r="H2388" s="72" t="s">
        <v>749</v>
      </c>
      <c r="I2388" s="408"/>
      <c r="J2388" s="408"/>
      <c r="K2388" s="399"/>
      <c r="L2388" s="408"/>
      <c r="M2388" s="65">
        <v>50000000</v>
      </c>
      <c r="N2388" s="66" t="s">
        <v>25</v>
      </c>
      <c r="O2388" s="66" t="s">
        <v>61</v>
      </c>
      <c r="P2388" s="82" t="str">
        <f>IF(AND('331-CT'!$E$7=TH!H2388,OR(N2388="331",O2388="331")),"x","")</f>
        <v/>
      </c>
      <c r="Q2388" s="82" t="str">
        <f>IF(AND(B2388='111'!$L$11,OR($N2388=$Q$7,$O2388=$Q$7)),"x","")</f>
        <v/>
      </c>
      <c r="R2388" s="82" t="str">
        <f>IF(AND($N2388=$Q$7,$B2388&lt;'111'!$L$11),"x","")</f>
        <v/>
      </c>
      <c r="S2388" s="82" t="str">
        <f>IF(AND($O2388=$Q$7,$B2388&lt;'111'!$L$11),"x","")</f>
        <v>x</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customHeight="1">
      <c r="A2389" s="323" t="str">
        <f>IF(B2389&lt;&gt;"",IF(AND(B2389='IN-TC'!$S$4,OR(TH!N2391="1111",TH!O2391="1111")),TH!D2391,""),"")</f>
        <v/>
      </c>
      <c r="B2389" s="63">
        <f t="shared" si="173"/>
        <v>1</v>
      </c>
      <c r="C2389" s="64">
        <v>42376</v>
      </c>
      <c r="D2389" s="64" t="s">
        <v>867</v>
      </c>
      <c r="E2389" s="64">
        <v>42376</v>
      </c>
      <c r="F2389" s="67" t="s">
        <v>766</v>
      </c>
      <c r="G2389" s="931" t="s">
        <v>802</v>
      </c>
      <c r="H2389" s="72" t="s">
        <v>803</v>
      </c>
      <c r="I2389" s="408"/>
      <c r="J2389" s="408"/>
      <c r="K2389" s="399"/>
      <c r="L2389" s="408"/>
      <c r="M2389" s="65">
        <v>1341060</v>
      </c>
      <c r="N2389" s="83" t="s">
        <v>99</v>
      </c>
      <c r="O2389" s="66" t="s">
        <v>61</v>
      </c>
      <c r="P2389" s="82" t="str">
        <f>IF(AND('331-CT'!$E$7=TH!H2389,OR(N2389="331",O2389="331")),"x","")</f>
        <v/>
      </c>
      <c r="Q2389" s="82" t="str">
        <f>IF(AND(B2389='111'!$L$11,OR($N2389=$Q$7,$O2389=$Q$7)),"x","")</f>
        <v/>
      </c>
      <c r="R2389" s="82" t="str">
        <f>IF(AND($N2389=$Q$7,$B2389&lt;'111'!$L$11),"x","")</f>
        <v/>
      </c>
      <c r="S2389" s="82" t="str">
        <f>IF(AND($O2389=$Q$7,$B2389&lt;'111'!$L$11),"x","")</f>
        <v>x</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customHeight="1">
      <c r="A2390" s="323" t="str">
        <f>IF(B2390&lt;&gt;"",IF(AND(B2390='IN-TC'!$S$4,OR(TH!N2392="1111",TH!O2392="1111")),TH!D2392,""),"")</f>
        <v/>
      </c>
      <c r="B2390" s="63">
        <f t="shared" si="173"/>
        <v>1</v>
      </c>
      <c r="C2390" s="64">
        <v>42376</v>
      </c>
      <c r="D2390" s="64" t="s">
        <v>867</v>
      </c>
      <c r="E2390" s="64">
        <v>42376</v>
      </c>
      <c r="F2390" s="67" t="s">
        <v>767</v>
      </c>
      <c r="G2390" s="931" t="s">
        <v>802</v>
      </c>
      <c r="H2390" s="72" t="s">
        <v>803</v>
      </c>
      <c r="I2390" s="408"/>
      <c r="J2390" s="408"/>
      <c r="K2390" s="399"/>
      <c r="L2390" s="408"/>
      <c r="M2390" s="65">
        <v>134106</v>
      </c>
      <c r="N2390" s="83" t="s">
        <v>9</v>
      </c>
      <c r="O2390" s="66" t="s">
        <v>61</v>
      </c>
      <c r="P2390" s="82" t="str">
        <f>IF(AND('331-CT'!$E$7=TH!H2390,OR(N2390="331",O2390="331")),"x","")</f>
        <v/>
      </c>
      <c r="Q2390" s="82" t="str">
        <f>IF(AND(B2390='111'!$L$11,OR($N2390=$Q$7,$O2390=$Q$7)),"x","")</f>
        <v/>
      </c>
      <c r="R2390" s="82" t="str">
        <f>IF(AND($N2390=$Q$7,$B2390&lt;'111'!$L$11),"x","")</f>
        <v/>
      </c>
      <c r="S2390" s="82" t="str">
        <f>IF(AND($O2390=$Q$7,$B2390&lt;'111'!$L$11),"x","")</f>
        <v>x</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x</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customHeight="1">
      <c r="A2391" s="323" t="str">
        <f>IF(B2391&lt;&gt;"",IF(AND(B2391='IN-TC'!$S$4,OR(TH!N3612="1111",TH!O3612="1111")),TH!D3612,""),"")</f>
        <v/>
      </c>
      <c r="B2391" s="63">
        <f t="shared" si="173"/>
        <v>8</v>
      </c>
      <c r="C2391" s="64">
        <v>42601</v>
      </c>
      <c r="D2391" s="64" t="s">
        <v>690</v>
      </c>
      <c r="E2391" s="64">
        <f>C2391</f>
        <v>42601</v>
      </c>
      <c r="F2391" s="72" t="s">
        <v>1196</v>
      </c>
      <c r="G2391" s="67" t="s">
        <v>902</v>
      </c>
      <c r="H2391" s="72" t="s">
        <v>611</v>
      </c>
      <c r="I2391" s="408"/>
      <c r="J2391" s="408"/>
      <c r="K2391" s="399"/>
      <c r="L2391" s="408"/>
      <c r="M2391" s="65">
        <v>59355400</v>
      </c>
      <c r="N2391" s="66" t="s">
        <v>8</v>
      </c>
      <c r="O2391" s="66" t="s">
        <v>25</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customHeight="1">
      <c r="A2392" s="323" t="str">
        <f>IF(B2392&lt;&gt;"",IF(AND(B2392='IN-TC'!$S$4,OR(TH!N2390="1111",TH!O2390="1111")),TH!D2390,""),"")</f>
        <v/>
      </c>
      <c r="B2392" s="63">
        <f t="shared" si="173"/>
        <v>1</v>
      </c>
      <c r="C2392" s="64">
        <v>42376</v>
      </c>
      <c r="D2392" s="64" t="s">
        <v>690</v>
      </c>
      <c r="E2392" s="64">
        <v>42376</v>
      </c>
      <c r="F2392" s="67" t="s">
        <v>728</v>
      </c>
      <c r="G2392" s="67" t="s">
        <v>902</v>
      </c>
      <c r="H2392" s="67"/>
      <c r="I2392" s="408"/>
      <c r="J2392" s="408"/>
      <c r="K2392" s="399"/>
      <c r="L2392" s="408"/>
      <c r="M2392" s="65">
        <v>44000</v>
      </c>
      <c r="N2392" s="66" t="s">
        <v>99</v>
      </c>
      <c r="O2392" s="66" t="s">
        <v>25</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customHeight="1">
      <c r="A2393" s="323" t="str">
        <f>IF(B2393&lt;&gt;"",IF(AND(B2393='IN-TC'!$S$4,OR(TH!N2398="1111",TH!O2398="1111")),TH!D2398,""),"")</f>
        <v/>
      </c>
      <c r="B2393" s="63">
        <f t="shared" si="173"/>
        <v>1</v>
      </c>
      <c r="C2393" s="64">
        <v>42377</v>
      </c>
      <c r="D2393" s="64" t="s">
        <v>868</v>
      </c>
      <c r="E2393" s="64">
        <v>42377</v>
      </c>
      <c r="F2393" s="67" t="s">
        <v>768</v>
      </c>
      <c r="G2393" s="67" t="s">
        <v>804</v>
      </c>
      <c r="H2393" s="331" t="s">
        <v>805</v>
      </c>
      <c r="I2393" s="412"/>
      <c r="J2393" s="412"/>
      <c r="K2393" s="403"/>
      <c r="L2393" s="412"/>
      <c r="M2393" s="65">
        <v>5363636</v>
      </c>
      <c r="N2393" s="66" t="s">
        <v>99</v>
      </c>
      <c r="O2393" s="66" t="s">
        <v>61</v>
      </c>
      <c r="P2393" s="82" t="str">
        <f>IF(AND('331-CT'!$E$7=TH!H2393,OR(N2393="331",O2393="331")),"x","")</f>
        <v/>
      </c>
      <c r="Q2393" s="82" t="str">
        <f>IF(AND(B2393='111'!$L$11,OR($N2393=$Q$7,$O2393=$Q$7)),"x","")</f>
        <v/>
      </c>
      <c r="R2393" s="82" t="str">
        <f>IF(AND($N2393=$Q$7,$B2393&lt;'111'!$L$11),"x","")</f>
        <v/>
      </c>
      <c r="S2393" s="82" t="str">
        <f>IF(AND($O2393=$Q$7,$B2393&lt;'111'!$L$11),"x","")</f>
        <v>x</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customHeight="1">
      <c r="A2394" s="323" t="str">
        <f>IF(B2394&lt;&gt;"",IF(AND(B2394='IN-TC'!$S$4,OR(TH!N2399="1111",TH!O2399="1111")),TH!D2399,""),"")</f>
        <v/>
      </c>
      <c r="B2394" s="63">
        <f t="shared" si="173"/>
        <v>1</v>
      </c>
      <c r="C2394" s="64">
        <v>42377</v>
      </c>
      <c r="D2394" s="64" t="s">
        <v>868</v>
      </c>
      <c r="E2394" s="64">
        <v>42377</v>
      </c>
      <c r="F2394" s="67" t="s">
        <v>769</v>
      </c>
      <c r="G2394" s="67" t="s">
        <v>804</v>
      </c>
      <c r="H2394" s="72" t="s">
        <v>805</v>
      </c>
      <c r="I2394" s="408"/>
      <c r="J2394" s="408"/>
      <c r="K2394" s="399"/>
      <c r="L2394" s="408"/>
      <c r="M2394" s="65">
        <v>536364</v>
      </c>
      <c r="N2394" s="66" t="s">
        <v>9</v>
      </c>
      <c r="O2394" s="66" t="s">
        <v>61</v>
      </c>
      <c r="P2394" s="82" t="str">
        <f>IF(AND('331-CT'!$E$7=TH!H2394,OR(N2394="331",O2394="331")),"x","")</f>
        <v/>
      </c>
      <c r="Q2394" s="82" t="str">
        <f>IF(AND(B2394='111'!$L$11,OR($N2394=$Q$7,$O2394=$Q$7)),"x","")</f>
        <v/>
      </c>
      <c r="R2394" s="82" t="str">
        <f>IF(AND($N2394=$Q$7,$B2394&lt;'111'!$L$11),"x","")</f>
        <v/>
      </c>
      <c r="S2394" s="82" t="str">
        <f>IF(AND($O2394=$Q$7,$B2394&lt;'111'!$L$11),"x","")</f>
        <v>x</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x</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customHeight="1">
      <c r="A2395" s="323" t="str">
        <f>IF(B2395&lt;&gt;"",IF(AND(B2395='IN-TC'!$S$4,OR(TH!N2400="1111",TH!O2400="1111")),TH!D2400,""),"")</f>
        <v/>
      </c>
      <c r="B2395" s="63">
        <f t="shared" si="173"/>
        <v>1</v>
      </c>
      <c r="C2395" s="64">
        <v>42377</v>
      </c>
      <c r="D2395" s="64" t="s">
        <v>869</v>
      </c>
      <c r="E2395" s="64">
        <v>42377</v>
      </c>
      <c r="F2395" s="67" t="s">
        <v>770</v>
      </c>
      <c r="G2395" s="67" t="s">
        <v>806</v>
      </c>
      <c r="H2395" s="72" t="s">
        <v>792</v>
      </c>
      <c r="I2395" s="408"/>
      <c r="J2395" s="408"/>
      <c r="K2395" s="399"/>
      <c r="L2395" s="408"/>
      <c r="M2395" s="65">
        <v>851709</v>
      </c>
      <c r="N2395" s="66" t="s">
        <v>99</v>
      </c>
      <c r="O2395" s="66" t="s">
        <v>61</v>
      </c>
      <c r="P2395" s="82" t="str">
        <f>IF(AND('331-CT'!$E$7=TH!H2395,OR(N2395="331",O2395="331")),"x","")</f>
        <v/>
      </c>
      <c r="Q2395" s="82" t="str">
        <f>IF(AND(B2395='111'!$L$11,OR($N2395=$Q$7,$O2395=$Q$7)),"x","")</f>
        <v/>
      </c>
      <c r="R2395" s="82" t="str">
        <f>IF(AND($N2395=$Q$7,$B2395&lt;'111'!$L$11),"x","")</f>
        <v/>
      </c>
      <c r="S2395" s="82" t="str">
        <f>IF(AND($O2395=$Q$7,$B2395&lt;'111'!$L$11),"x","")</f>
        <v>x</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customHeight="1">
      <c r="A2396" s="323" t="str">
        <f>IF(B2396&lt;&gt;"",IF(AND(B2396='IN-TC'!$S$4,OR(TH!N2401="1111",TH!O2401="1111")),TH!D2401,""),"")</f>
        <v/>
      </c>
      <c r="B2396" s="63">
        <f t="shared" si="173"/>
        <v>1</v>
      </c>
      <c r="C2396" s="64">
        <v>42377</v>
      </c>
      <c r="D2396" s="64" t="s">
        <v>869</v>
      </c>
      <c r="E2396" s="64">
        <v>42377</v>
      </c>
      <c r="F2396" s="67" t="s">
        <v>771</v>
      </c>
      <c r="G2396" s="67" t="s">
        <v>806</v>
      </c>
      <c r="H2396" s="331" t="s">
        <v>792</v>
      </c>
      <c r="I2396" s="412"/>
      <c r="J2396" s="412"/>
      <c r="K2396" s="403"/>
      <c r="L2396" s="412"/>
      <c r="M2396" s="65">
        <v>85171</v>
      </c>
      <c r="N2396" s="66" t="s">
        <v>9</v>
      </c>
      <c r="O2396" s="66" t="s">
        <v>61</v>
      </c>
      <c r="P2396" s="82" t="str">
        <f>IF(AND('331-CT'!$E$7=TH!H2396,OR(N2396="331",O2396="331")),"x","")</f>
        <v/>
      </c>
      <c r="Q2396" s="82" t="str">
        <f>IF(AND(B2396='111'!$L$11,OR($N2396=$Q$7,$O2396=$Q$7)),"x","")</f>
        <v/>
      </c>
      <c r="R2396" s="82" t="str">
        <f>IF(AND($N2396=$Q$7,$B2396&lt;'111'!$L$11),"x","")</f>
        <v/>
      </c>
      <c r="S2396" s="82" t="str">
        <f>IF(AND($O2396=$Q$7,$B2396&lt;'111'!$L$11),"x","")</f>
        <v>x</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x</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customHeight="1">
      <c r="A2397" s="323" t="str">
        <f>IF(B2397&lt;&gt;"",IF(AND(B2397='IN-TC'!$S$4,OR(TH!N2395="1111",TH!O2395="1111")),TH!D2395,""),"")</f>
        <v/>
      </c>
      <c r="B2397" s="63">
        <f t="shared" si="173"/>
        <v>1</v>
      </c>
      <c r="C2397" s="64">
        <v>42377</v>
      </c>
      <c r="D2397" s="64" t="s">
        <v>570</v>
      </c>
      <c r="E2397" s="64">
        <v>42377</v>
      </c>
      <c r="F2397" s="67" t="s">
        <v>1055</v>
      </c>
      <c r="G2397" s="67" t="s">
        <v>901</v>
      </c>
      <c r="H2397" s="329" t="s">
        <v>587</v>
      </c>
      <c r="I2397" s="408"/>
      <c r="J2397" s="408"/>
      <c r="K2397" s="399">
        <v>230.64</v>
      </c>
      <c r="L2397" s="408">
        <v>22490</v>
      </c>
      <c r="M2397" s="65">
        <f>ROUND(K2397*L2397,0)</f>
        <v>5187094</v>
      </c>
      <c r="N2397" s="66" t="s">
        <v>99</v>
      </c>
      <c r="O2397" s="66" t="s">
        <v>576</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customHeight="1">
      <c r="A2398" s="323" t="str">
        <f>IF(B2398&lt;&gt;"",IF(AND(B2398='IN-TC'!$S$4,OR(TH!N2396="1111",TH!O2396="1111")),TH!D2396,""),"")</f>
        <v/>
      </c>
      <c r="B2398" s="63">
        <f t="shared" si="173"/>
        <v>1</v>
      </c>
      <c r="C2398" s="64">
        <v>42377</v>
      </c>
      <c r="D2398" s="64" t="s">
        <v>570</v>
      </c>
      <c r="E2398" s="64">
        <v>42377</v>
      </c>
      <c r="F2398" s="67" t="s">
        <v>1049</v>
      </c>
      <c r="G2398" s="67" t="s">
        <v>901</v>
      </c>
      <c r="H2398" s="329" t="s">
        <v>587</v>
      </c>
      <c r="I2398" s="408"/>
      <c r="J2398" s="408"/>
      <c r="K2398" s="399"/>
      <c r="L2398" s="408"/>
      <c r="M2398" s="65">
        <v>5712130</v>
      </c>
      <c r="N2398" s="66" t="s">
        <v>97</v>
      </c>
      <c r="O2398" s="66" t="s">
        <v>576</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customHeight="1">
      <c r="A2399" s="323" t="str">
        <f>IF(B2399&lt;&gt;"",IF(AND(B2399='IN-TC'!$S$4,OR(TH!N249="1111",TH!O249="1111")),TH!D249,""),"")</f>
        <v/>
      </c>
      <c r="B2399" s="63">
        <f t="shared" si="173"/>
        <v>2</v>
      </c>
      <c r="C2399" s="1087">
        <v>42402</v>
      </c>
      <c r="D2399" s="1087" t="s">
        <v>584</v>
      </c>
      <c r="E2399" s="1087">
        <f>C2399</f>
        <v>42402</v>
      </c>
      <c r="F2399" s="1155" t="s">
        <v>442</v>
      </c>
      <c r="G2399" s="1131" t="s">
        <v>979</v>
      </c>
      <c r="H2399" s="92" t="s">
        <v>587</v>
      </c>
      <c r="I2399" s="414">
        <v>12000</v>
      </c>
      <c r="J2399" s="1132">
        <v>8.58</v>
      </c>
      <c r="K2399" s="405">
        <f>I2399*J2399</f>
        <v>102960</v>
      </c>
      <c r="L2399" s="414">
        <v>22215</v>
      </c>
      <c r="M2399" s="1133">
        <f>ROUND(K2399*L2399,0)</f>
        <v>2287256400</v>
      </c>
      <c r="N2399" s="1134" t="s">
        <v>576</v>
      </c>
      <c r="O2399" s="1134" t="s">
        <v>292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customHeight="1">
      <c r="A2400" s="323" t="str">
        <f>IF(B2400&lt;&gt;"",IF(AND(B2400='IN-TC'!$S$4,OR(TH!N2527="1111",TH!O2527="1111")),TH!D2527,""),"")</f>
        <v/>
      </c>
      <c r="B2400" s="63">
        <f t="shared" si="173"/>
        <v>2</v>
      </c>
      <c r="C2400" s="64">
        <v>42403</v>
      </c>
      <c r="D2400" s="64" t="s">
        <v>687</v>
      </c>
      <c r="E2400" s="64">
        <v>42403</v>
      </c>
      <c r="F2400" s="482" t="s">
        <v>1035</v>
      </c>
      <c r="G2400" s="67" t="s">
        <v>901</v>
      </c>
      <c r="H2400" s="329" t="s">
        <v>587</v>
      </c>
      <c r="I2400" s="408"/>
      <c r="J2400" s="408"/>
      <c r="K2400" s="399">
        <v>97740.36</v>
      </c>
      <c r="L2400" s="408">
        <v>22250</v>
      </c>
      <c r="M2400" s="65">
        <f>ROUND(K2400*L2400,0)</f>
        <v>2174723010</v>
      </c>
      <c r="N2400" s="66" t="s">
        <v>260</v>
      </c>
      <c r="O2400" s="66" t="s">
        <v>576</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customHeight="1">
      <c r="A2401" s="323" t="str">
        <f>IF(B2401&lt;&gt;"",IF(AND(B2401='IN-TC'!$S$4,OR(TH!N2397="1111",TH!O2397="1111")),TH!D2397,""),"")</f>
        <v/>
      </c>
      <c r="B2401" s="63">
        <f t="shared" si="173"/>
        <v>1</v>
      </c>
      <c r="C2401" s="78">
        <v>42377</v>
      </c>
      <c r="D2401" s="64" t="s">
        <v>690</v>
      </c>
      <c r="E2401" s="78">
        <v>42377</v>
      </c>
      <c r="F2401" s="72" t="s">
        <v>1047</v>
      </c>
      <c r="G2401" s="67" t="s">
        <v>901</v>
      </c>
      <c r="H2401" s="80"/>
      <c r="I2401" s="406"/>
      <c r="J2401" s="406"/>
      <c r="K2401" s="397">
        <v>76.069999999999993</v>
      </c>
      <c r="L2401" s="406">
        <v>22490</v>
      </c>
      <c r="M2401" s="81">
        <f>ROUND(K2401*L2401,0)</f>
        <v>1710814</v>
      </c>
      <c r="N2401" s="66" t="s">
        <v>97</v>
      </c>
      <c r="O2401" s="66" t="s">
        <v>260</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customHeight="1">
      <c r="A2402" s="323" t="str">
        <f>IF(B2402&lt;&gt;"",IF(AND(B2402='IN-TC'!$S$4,OR(TH!N2404="1111",TH!O2404="1111")),TH!D2404,""),"")</f>
        <v/>
      </c>
      <c r="B2402" s="63">
        <f t="shared" si="173"/>
        <v>1</v>
      </c>
      <c r="C2402" s="64">
        <v>42380</v>
      </c>
      <c r="D2402" s="64" t="s">
        <v>870</v>
      </c>
      <c r="E2402" s="64">
        <v>42380</v>
      </c>
      <c r="F2402" s="67" t="s">
        <v>756</v>
      </c>
      <c r="G2402" s="67" t="s">
        <v>807</v>
      </c>
      <c r="H2402" s="72" t="s">
        <v>792</v>
      </c>
      <c r="I2402" s="408"/>
      <c r="J2402" s="408"/>
      <c r="K2402" s="399"/>
      <c r="L2402" s="408"/>
      <c r="M2402" s="65">
        <v>595900</v>
      </c>
      <c r="N2402" s="66" t="s">
        <v>99</v>
      </c>
      <c r="O2402" s="66" t="s">
        <v>61</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customHeight="1">
      <c r="A2403" s="323" t="str">
        <f>IF(B2403&lt;&gt;"",IF(AND(B2403='IN-TC'!$S$4,OR(TH!N2405="1111",TH!O2405="1111")),TH!D2405,""),"")</f>
        <v/>
      </c>
      <c r="B2403" s="63">
        <f t="shared" si="173"/>
        <v>1</v>
      </c>
      <c r="C2403" s="64">
        <v>42380</v>
      </c>
      <c r="D2403" s="64" t="s">
        <v>870</v>
      </c>
      <c r="E2403" s="64">
        <v>42380</v>
      </c>
      <c r="F2403" s="67" t="s">
        <v>757</v>
      </c>
      <c r="G2403" s="931" t="s">
        <v>807</v>
      </c>
      <c r="H2403" s="72" t="s">
        <v>792</v>
      </c>
      <c r="I2403" s="408"/>
      <c r="J2403" s="408"/>
      <c r="K2403" s="399"/>
      <c r="L2403" s="408"/>
      <c r="M2403" s="65">
        <v>59590</v>
      </c>
      <c r="N2403" s="66" t="s">
        <v>9</v>
      </c>
      <c r="O2403" s="66" t="s">
        <v>61</v>
      </c>
      <c r="P2403" s="82" t="str">
        <f>IF(AND('331-CT'!$E$7=TH!H2403,OR(N2403="331",O2403="331")),"x","")</f>
        <v/>
      </c>
      <c r="Q2403" s="82" t="str">
        <f>IF(AND(B2403='111'!$L$11,OR($N2403=$Q$7,$O2403=$Q$7)),"x","")</f>
        <v/>
      </c>
      <c r="R2403" s="82" t="str">
        <f>IF(AND($N2403=$Q$7,$B2403&lt;'111'!$L$11),"x","")</f>
        <v/>
      </c>
      <c r="S2403" s="82" t="str">
        <f>IF(AND($O2403=$Q$7,$B2403&lt;'111'!$L$11),"x","")</f>
        <v>x</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x</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customHeight="1">
      <c r="A2404" s="323" t="str">
        <f>IF(B2404&lt;&gt;"",IF(AND(B2404='IN-TC'!$S$4,OR(TH!N2406="1111",TH!O2406="1111")),TH!D2406,""),"")</f>
        <v/>
      </c>
      <c r="B2404" s="63">
        <f t="shared" si="173"/>
        <v>1</v>
      </c>
      <c r="C2404" s="78">
        <f>E2404</f>
        <v>42380</v>
      </c>
      <c r="D2404" s="64" t="s">
        <v>871</v>
      </c>
      <c r="E2404" s="78">
        <v>42380</v>
      </c>
      <c r="F2404" s="67" t="s">
        <v>947</v>
      </c>
      <c r="G2404" s="79"/>
      <c r="H2404" s="80" t="s">
        <v>946</v>
      </c>
      <c r="I2404" s="406"/>
      <c r="J2404" s="406"/>
      <c r="K2404" s="397"/>
      <c r="L2404" s="406"/>
      <c r="M2404" s="81">
        <v>500000000</v>
      </c>
      <c r="N2404" s="82" t="s">
        <v>266</v>
      </c>
      <c r="O2404" s="66" t="s">
        <v>61</v>
      </c>
      <c r="P2404" s="82" t="str">
        <f>IF(AND('331-CT'!$E$7=TH!H2404,OR(N2404="331",O2404="331")),"x","")</f>
        <v/>
      </c>
      <c r="Q2404" s="82" t="str">
        <f>IF(AND(B2404='111'!$L$11,OR($N2404=$Q$7,$O2404=$Q$7)),"x","")</f>
        <v/>
      </c>
      <c r="R2404" s="82" t="str">
        <f>IF(AND($N2404=$Q$7,$B2404&lt;'111'!$L$11),"x","")</f>
        <v/>
      </c>
      <c r="S2404" s="82" t="str">
        <f>IF(AND($O2404=$Q$7,$B2404&lt;'111'!$L$11),"x","")</f>
        <v>x</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customHeight="1">
      <c r="A2405" s="323" t="str">
        <f>IF(B2405&lt;&gt;"",IF(AND(B2405='IN-TC'!$S$4,OR(TH!N2402="1111",TH!O2402="1111")),TH!D2402,""),"")</f>
        <v/>
      </c>
      <c r="B2405" s="63">
        <f t="shared" si="173"/>
        <v>1</v>
      </c>
      <c r="C2405" s="64">
        <v>42380</v>
      </c>
      <c r="D2405" s="64" t="s">
        <v>690</v>
      </c>
      <c r="E2405" s="64">
        <v>42380</v>
      </c>
      <c r="F2405" s="67" t="s">
        <v>695</v>
      </c>
      <c r="G2405" s="67" t="s">
        <v>902</v>
      </c>
      <c r="H2405" s="72"/>
      <c r="I2405" s="408"/>
      <c r="J2405" s="408"/>
      <c r="K2405" s="399">
        <v>15</v>
      </c>
      <c r="L2405" s="408">
        <v>22440</v>
      </c>
      <c r="M2405" s="81">
        <f>ROUND(K2405*L2405,0)</f>
        <v>336600</v>
      </c>
      <c r="N2405" s="66" t="s">
        <v>99</v>
      </c>
      <c r="O2405" s="66" t="s">
        <v>260</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customHeight="1">
      <c r="A2406" s="323" t="str">
        <f>IF(B2406&lt;&gt;"",IF(AND(B2406='IN-TC'!$S$4,OR(TH!N2403="1111",TH!O2403="1111")),TH!D2403,""),"")</f>
        <v/>
      </c>
      <c r="B2406" s="63">
        <f t="shared" si="173"/>
        <v>1</v>
      </c>
      <c r="C2406" s="64">
        <v>42380</v>
      </c>
      <c r="D2406" s="64" t="s">
        <v>690</v>
      </c>
      <c r="E2406" s="64">
        <v>42380</v>
      </c>
      <c r="F2406" s="67" t="s">
        <v>696</v>
      </c>
      <c r="G2406" s="67" t="s">
        <v>902</v>
      </c>
      <c r="H2406" s="72"/>
      <c r="I2406" s="408"/>
      <c r="J2406" s="408"/>
      <c r="K2406" s="399">
        <v>1.5</v>
      </c>
      <c r="L2406" s="408">
        <v>22440</v>
      </c>
      <c r="M2406" s="81">
        <f>ROUND(K2406*L2406,0)</f>
        <v>33660</v>
      </c>
      <c r="N2406" s="66" t="s">
        <v>9</v>
      </c>
      <c r="O2406" s="66" t="s">
        <v>260</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x</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customHeight="1">
      <c r="A2407" s="323" t="str">
        <f>IF(B2407&lt;&gt;"",IF(AND(B2407='IN-TC'!$S$4,OR(TH!N2407="1111",TH!O2407="1111")),TH!D2407,""),"")</f>
        <v/>
      </c>
      <c r="B2407" s="63">
        <f t="shared" si="173"/>
        <v>1</v>
      </c>
      <c r="C2407" s="64">
        <v>42381</v>
      </c>
      <c r="D2407" s="64" t="s">
        <v>872</v>
      </c>
      <c r="E2407" s="64">
        <v>42381</v>
      </c>
      <c r="F2407" s="67" t="s">
        <v>761</v>
      </c>
      <c r="G2407" s="931" t="s">
        <v>808</v>
      </c>
      <c r="H2407" s="72" t="s">
        <v>792</v>
      </c>
      <c r="I2407" s="408"/>
      <c r="J2407" s="408"/>
      <c r="K2407" s="399"/>
      <c r="L2407" s="408"/>
      <c r="M2407" s="65">
        <v>790873</v>
      </c>
      <c r="N2407" s="66" t="s">
        <v>99</v>
      </c>
      <c r="O2407" s="66" t="s">
        <v>61</v>
      </c>
      <c r="P2407" s="82" t="str">
        <f>IF(AND('331-CT'!$E$7=TH!H2407,OR(N2407="331",O2407="331")),"x","")</f>
        <v/>
      </c>
      <c r="Q2407" s="82" t="str">
        <f>IF(AND(B2407='111'!$L$11,OR($N2407=$Q$7,$O2407=$Q$7)),"x","")</f>
        <v/>
      </c>
      <c r="R2407" s="82" t="str">
        <f>IF(AND($N2407=$Q$7,$B2407&lt;'111'!$L$11),"x","")</f>
        <v/>
      </c>
      <c r="S2407" s="82" t="str">
        <f>IF(AND($O2407=$Q$7,$B2407&lt;'111'!$L$11),"x","")</f>
        <v>x</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customHeight="1">
      <c r="A2408" s="323" t="str">
        <f>IF(B2408&lt;&gt;"",IF(AND(B2408='IN-TC'!$S$4,OR(TH!N2408="1111",TH!O2408="1111")),TH!D2408,""),"")</f>
        <v/>
      </c>
      <c r="B2408" s="63">
        <f t="shared" si="173"/>
        <v>1</v>
      </c>
      <c r="C2408" s="64">
        <v>42381</v>
      </c>
      <c r="D2408" s="64" t="s">
        <v>872</v>
      </c>
      <c r="E2408" s="64">
        <v>42381</v>
      </c>
      <c r="F2408" s="67" t="s">
        <v>762</v>
      </c>
      <c r="G2408" s="931" t="s">
        <v>808</v>
      </c>
      <c r="H2408" s="72" t="s">
        <v>792</v>
      </c>
      <c r="I2408" s="408"/>
      <c r="J2408" s="408"/>
      <c r="K2408" s="399"/>
      <c r="L2408" s="408"/>
      <c r="M2408" s="65">
        <v>79087</v>
      </c>
      <c r="N2408" s="66" t="s">
        <v>9</v>
      </c>
      <c r="O2408" s="66" t="s">
        <v>61</v>
      </c>
      <c r="P2408" s="82" t="str">
        <f>IF(AND('331-CT'!$E$7=TH!H2408,OR(N2408="331",O2408="331")),"x","")</f>
        <v/>
      </c>
      <c r="Q2408" s="82" t="str">
        <f>IF(AND(B2408='111'!$L$11,OR($N2408=$Q$7,$O2408=$Q$7)),"x","")</f>
        <v/>
      </c>
      <c r="R2408" s="82" t="str">
        <f>IF(AND($N2408=$Q$7,$B2408&lt;'111'!$L$11),"x","")</f>
        <v/>
      </c>
      <c r="S2408" s="82" t="str">
        <f>IF(AND($O2408=$Q$7,$B2408&lt;'111'!$L$11),"x","")</f>
        <v>x</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x</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customHeight="1">
      <c r="A2409" s="323" t="str">
        <f>IF(B2409&lt;&gt;"",IF(AND(B2409='IN-TC'!$S$4,OR(TH!N2409="1111",TH!O2409="1111")),TH!D2409,""),"")</f>
        <v/>
      </c>
      <c r="B2409" s="63">
        <f t="shared" si="173"/>
        <v>1</v>
      </c>
      <c r="C2409" s="64">
        <v>42381</v>
      </c>
      <c r="D2409" s="64" t="s">
        <v>873</v>
      </c>
      <c r="E2409" s="64">
        <v>42381</v>
      </c>
      <c r="F2409" s="67" t="s">
        <v>772</v>
      </c>
      <c r="G2409" s="931" t="s">
        <v>809</v>
      </c>
      <c r="H2409" s="72" t="s">
        <v>810</v>
      </c>
      <c r="I2409" s="408"/>
      <c r="J2409" s="408"/>
      <c r="K2409" s="399"/>
      <c r="L2409" s="408"/>
      <c r="M2409" s="65">
        <v>3325000</v>
      </c>
      <c r="N2409" s="66" t="s">
        <v>99</v>
      </c>
      <c r="O2409" s="66" t="s">
        <v>61</v>
      </c>
      <c r="P2409" s="82" t="str">
        <f>IF(AND('331-CT'!$E$7=TH!H2409,OR(N2409="331",O2409="331")),"x","")</f>
        <v/>
      </c>
      <c r="Q2409" s="82" t="str">
        <f>IF(AND(B2409='111'!$L$11,OR($N2409=$Q$7,$O2409=$Q$7)),"x","")</f>
        <v/>
      </c>
      <c r="R2409" s="82" t="str">
        <f>IF(AND($N2409=$Q$7,$B2409&lt;'111'!$L$11),"x","")</f>
        <v/>
      </c>
      <c r="S2409" s="82" t="str">
        <f>IF(AND($O2409=$Q$7,$B2409&lt;'111'!$L$11),"x","")</f>
        <v>x</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customHeight="1">
      <c r="A2410" s="323" t="str">
        <f>IF(B2410&lt;&gt;"",IF(AND(B2410='IN-TC'!$S$4,OR(TH!N2410="1111",TH!O2410="1111")),TH!D2410,""),"")</f>
        <v/>
      </c>
      <c r="B2410" s="63">
        <f t="shared" si="173"/>
        <v>1</v>
      </c>
      <c r="C2410" s="64">
        <v>42381</v>
      </c>
      <c r="D2410" s="64" t="s">
        <v>873</v>
      </c>
      <c r="E2410" s="64">
        <v>42381</v>
      </c>
      <c r="F2410" s="67" t="s">
        <v>773</v>
      </c>
      <c r="G2410" s="931" t="s">
        <v>809</v>
      </c>
      <c r="H2410" s="72" t="s">
        <v>810</v>
      </c>
      <c r="I2410" s="408"/>
      <c r="J2410" s="408"/>
      <c r="K2410" s="399"/>
      <c r="L2410" s="408"/>
      <c r="M2410" s="65">
        <v>332500</v>
      </c>
      <c r="N2410" s="66" t="s">
        <v>9</v>
      </c>
      <c r="O2410" s="66" t="s">
        <v>61</v>
      </c>
      <c r="P2410" s="82" t="str">
        <f>IF(AND('331-CT'!$E$7=TH!H2410,OR(N2410="331",O2410="331")),"x","")</f>
        <v/>
      </c>
      <c r="Q2410" s="82" t="str">
        <f>IF(AND(B2410='111'!$L$11,OR($N2410=$Q$7,$O2410=$Q$7)),"x","")</f>
        <v/>
      </c>
      <c r="R2410" s="82" t="str">
        <f>IF(AND($N2410=$Q$7,$B2410&lt;'111'!$L$11),"x","")</f>
        <v/>
      </c>
      <c r="S2410" s="82" t="str">
        <f>IF(AND($O2410=$Q$7,$B2410&lt;'111'!$L$11),"x","")</f>
        <v>x</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x</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customHeight="1">
      <c r="A2411" s="323" t="str">
        <f>IF(B2411&lt;&gt;"",IF(AND(B2411='IN-TC'!$S$4,OR(TH!N2412="1111",TH!O2412="1111")),TH!D2412,""),"")</f>
        <v/>
      </c>
      <c r="B2411" s="63">
        <f t="shared" si="173"/>
        <v>1</v>
      </c>
      <c r="C2411" s="64">
        <v>42382</v>
      </c>
      <c r="D2411" s="64" t="s">
        <v>570</v>
      </c>
      <c r="E2411" s="64">
        <v>42382</v>
      </c>
      <c r="F2411" s="67" t="s">
        <v>841</v>
      </c>
      <c r="G2411" s="67"/>
      <c r="H2411" s="67"/>
      <c r="I2411" s="411"/>
      <c r="J2411" s="411"/>
      <c r="K2411" s="402"/>
      <c r="L2411" s="411"/>
      <c r="M2411" s="65">
        <v>2000000</v>
      </c>
      <c r="N2411" s="66" t="s">
        <v>99</v>
      </c>
      <c r="O2411" s="66" t="s">
        <v>77</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customHeight="1">
      <c r="A2412" s="323" t="str">
        <f>IF(B2412&lt;&gt;"",IF(AND(B2412='IN-TC'!$S$4,OR(TH!N2411="1111",TH!O2411="1111")),TH!D2411,""),"")</f>
        <v/>
      </c>
      <c r="B2412" s="63">
        <f t="shared" si="173"/>
        <v>1</v>
      </c>
      <c r="C2412" s="64">
        <v>42382</v>
      </c>
      <c r="D2412" s="64" t="s">
        <v>690</v>
      </c>
      <c r="E2412" s="64">
        <v>42382</v>
      </c>
      <c r="F2412" s="67" t="s">
        <v>729</v>
      </c>
      <c r="G2412" s="67" t="s">
        <v>902</v>
      </c>
      <c r="H2412" s="67"/>
      <c r="I2412" s="411"/>
      <c r="J2412" s="411"/>
      <c r="K2412" s="402"/>
      <c r="L2412" s="411"/>
      <c r="M2412" s="65">
        <v>2000000</v>
      </c>
      <c r="N2412" s="66" t="s">
        <v>77</v>
      </c>
      <c r="O2412" s="66" t="s">
        <v>25</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customHeight="1">
      <c r="A2413" s="323" t="str">
        <f>IF(B2413&lt;&gt;"",IF(AND(B2413='IN-TC'!$S$4,OR(TH!N2418="1111",TH!O2418="1111")),TH!D2418,""),"")</f>
        <v/>
      </c>
      <c r="B2413" s="63">
        <f t="shared" si="173"/>
        <v>1</v>
      </c>
      <c r="C2413" s="64">
        <v>42383</v>
      </c>
      <c r="D2413" s="64" t="s">
        <v>874</v>
      </c>
      <c r="E2413" s="64">
        <v>42383</v>
      </c>
      <c r="F2413" s="67" t="s">
        <v>766</v>
      </c>
      <c r="G2413" s="931" t="s">
        <v>811</v>
      </c>
      <c r="H2413" s="72" t="s">
        <v>803</v>
      </c>
      <c r="I2413" s="408"/>
      <c r="J2413" s="408"/>
      <c r="K2413" s="399"/>
      <c r="L2413" s="408"/>
      <c r="M2413" s="65">
        <v>16662900</v>
      </c>
      <c r="N2413" s="66" t="s">
        <v>99</v>
      </c>
      <c r="O2413" s="66" t="s">
        <v>61</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customHeight="1">
      <c r="A2414" s="323" t="str">
        <f>IF(B2414&lt;&gt;"",IF(AND(B2414='IN-TC'!$S$4,OR(TH!N2419="1111",TH!O2419="1111")),TH!D2419,""),"")</f>
        <v/>
      </c>
      <c r="B2414" s="63">
        <f t="shared" ref="B2414:B2477" si="174">IF(C2414&lt;&gt;"",MONTH(C2414),"")</f>
        <v>1</v>
      </c>
      <c r="C2414" s="64">
        <v>42383</v>
      </c>
      <c r="D2414" s="64" t="s">
        <v>874</v>
      </c>
      <c r="E2414" s="64">
        <v>42383</v>
      </c>
      <c r="F2414" s="67" t="s">
        <v>767</v>
      </c>
      <c r="G2414" s="931" t="s">
        <v>811</v>
      </c>
      <c r="H2414" s="72" t="s">
        <v>803</v>
      </c>
      <c r="I2414" s="408"/>
      <c r="J2414" s="408"/>
      <c r="K2414" s="399"/>
      <c r="L2414" s="408"/>
      <c r="M2414" s="65">
        <v>1666290</v>
      </c>
      <c r="N2414" s="66" t="s">
        <v>9</v>
      </c>
      <c r="O2414" s="66" t="s">
        <v>61</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x</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customHeight="1">
      <c r="A2415" s="323" t="str">
        <f>IF(B2415&lt;&gt;"",IF(AND(B2415='IN-TC'!$S$4,OR(TH!N2413="1111",TH!O2413="1111")),TH!D2413,""),"")</f>
        <v/>
      </c>
      <c r="B2415" s="63">
        <f t="shared" si="174"/>
        <v>1</v>
      </c>
      <c r="C2415" s="64">
        <v>42383</v>
      </c>
      <c r="D2415" s="64" t="s">
        <v>687</v>
      </c>
      <c r="E2415" s="64">
        <v>42383</v>
      </c>
      <c r="F2415" s="67" t="s">
        <v>688</v>
      </c>
      <c r="G2415" s="67" t="s">
        <v>903</v>
      </c>
      <c r="H2415" s="72"/>
      <c r="I2415" s="408"/>
      <c r="J2415" s="408"/>
      <c r="K2415" s="399">
        <v>4700</v>
      </c>
      <c r="L2415" s="408">
        <v>22440</v>
      </c>
      <c r="M2415" s="81">
        <f>ROUND(K2415*L2415,0)</f>
        <v>105468000</v>
      </c>
      <c r="N2415" s="66" t="s">
        <v>260</v>
      </c>
      <c r="O2415" s="66" t="s">
        <v>260</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customHeight="1">
      <c r="A2416" s="323" t="str">
        <f>IF(B2416&lt;&gt;"",IF(AND(B2416='IN-TC'!$S$4,OR(TH!N2414="1111",TH!O2414="1111")),TH!D2414,""),"")</f>
        <v/>
      </c>
      <c r="B2416" s="63">
        <f t="shared" si="174"/>
        <v>1</v>
      </c>
      <c r="C2416" s="64">
        <v>42383</v>
      </c>
      <c r="D2416" s="64" t="s">
        <v>690</v>
      </c>
      <c r="E2416" s="64">
        <v>42383</v>
      </c>
      <c r="F2416" s="72" t="s">
        <v>1425</v>
      </c>
      <c r="G2416" s="67" t="s">
        <v>902</v>
      </c>
      <c r="H2416" s="72"/>
      <c r="I2416" s="408"/>
      <c r="J2416" s="408"/>
      <c r="K2416" s="399">
        <v>6000</v>
      </c>
      <c r="L2416" s="408">
        <v>22400</v>
      </c>
      <c r="M2416" s="81">
        <f>ROUND(K2416*L2416,0)</f>
        <v>134400000</v>
      </c>
      <c r="N2416" s="66" t="s">
        <v>25</v>
      </c>
      <c r="O2416" s="66" t="s">
        <v>260</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1" ht="15.75" customHeight="1">
      <c r="A2417" s="323" t="str">
        <f>IF(B2417&lt;&gt;"",IF(AND(B2417='IN-TC'!$S$4,OR(TH!N2006="1111",TH!O2006="1111")),TH!D2006,""),"")</f>
        <v/>
      </c>
      <c r="B2417" s="63">
        <f t="shared" si="174"/>
        <v>8</v>
      </c>
      <c r="C2417" s="78">
        <v>42613</v>
      </c>
      <c r="D2417" s="78" t="s">
        <v>570</v>
      </c>
      <c r="E2417" s="78">
        <v>42608</v>
      </c>
      <c r="F2417" s="80" t="s">
        <v>1839</v>
      </c>
      <c r="G2417" s="934" t="s">
        <v>3012</v>
      </c>
      <c r="H2417" s="80" t="s">
        <v>617</v>
      </c>
      <c r="I2417" s="406"/>
      <c r="J2417" s="406"/>
      <c r="K2417" s="397"/>
      <c r="L2417" s="406"/>
      <c r="M2417" s="81">
        <v>2188050</v>
      </c>
      <c r="N2417" s="82" t="s">
        <v>9</v>
      </c>
      <c r="O2417" s="82" t="s">
        <v>8</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x</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1" ht="15.75" customHeight="1">
      <c r="A2418" s="323" t="str">
        <f>IF(B2418&lt;&gt;"",IF(AND(B2418='IN-TC'!$S$4,OR(TH!N2416="1111",TH!O2416="1111")),TH!D2416,""),"")</f>
        <v/>
      </c>
      <c r="B2418" s="63">
        <f t="shared" si="174"/>
        <v>1</v>
      </c>
      <c r="C2418" s="64">
        <v>42383</v>
      </c>
      <c r="D2418" s="64" t="s">
        <v>690</v>
      </c>
      <c r="E2418" s="64">
        <v>42383</v>
      </c>
      <c r="F2418" s="67" t="s">
        <v>728</v>
      </c>
      <c r="G2418" s="67" t="s">
        <v>902</v>
      </c>
      <c r="H2418" s="67"/>
      <c r="I2418" s="408"/>
      <c r="J2418" s="408"/>
      <c r="K2418" s="399"/>
      <c r="L2418" s="408"/>
      <c r="M2418" s="65">
        <v>20000</v>
      </c>
      <c r="N2418" s="66" t="s">
        <v>99</v>
      </c>
      <c r="O2418" s="66" t="s">
        <v>25</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1" ht="15.75" customHeight="1">
      <c r="A2419" s="323" t="str">
        <f>IF(B2419&lt;&gt;"",IF(AND(B2419='IN-TC'!$S$4,OR(TH!N2417="1111",TH!O2417="1111")),TH!D2417,""),"")</f>
        <v/>
      </c>
      <c r="B2419" s="63">
        <f t="shared" si="174"/>
        <v>1</v>
      </c>
      <c r="C2419" s="64">
        <v>42383</v>
      </c>
      <c r="D2419" s="64" t="s">
        <v>690</v>
      </c>
      <c r="E2419" s="64">
        <v>42383</v>
      </c>
      <c r="F2419" s="67" t="s">
        <v>730</v>
      </c>
      <c r="G2419" s="67" t="s">
        <v>902</v>
      </c>
      <c r="H2419" s="67"/>
      <c r="I2419" s="408"/>
      <c r="J2419" s="408"/>
      <c r="K2419" s="399"/>
      <c r="L2419" s="408"/>
      <c r="M2419" s="65">
        <v>2000</v>
      </c>
      <c r="N2419" s="66" t="s">
        <v>9</v>
      </c>
      <c r="O2419" s="66" t="s">
        <v>25</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x</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1" ht="15.75" customHeight="1">
      <c r="A2420" s="323" t="str">
        <f>IF(B2420&lt;&gt;"",IF(AND(B2420='IN-TC'!$S$4,OR(TH!N2421="1111",TH!O2421="1111")),TH!D2421,""),"")</f>
        <v/>
      </c>
      <c r="B2420" s="63">
        <f t="shared" si="174"/>
        <v>1</v>
      </c>
      <c r="C2420" s="64">
        <v>42384</v>
      </c>
      <c r="D2420" s="64" t="s">
        <v>875</v>
      </c>
      <c r="E2420" s="64">
        <v>42384</v>
      </c>
      <c r="F2420" s="67" t="s">
        <v>761</v>
      </c>
      <c r="G2420" s="67" t="s">
        <v>812</v>
      </c>
      <c r="H2420" s="331" t="s">
        <v>798</v>
      </c>
      <c r="I2420" s="412"/>
      <c r="J2420" s="412"/>
      <c r="K2420" s="403"/>
      <c r="L2420" s="412"/>
      <c r="M2420" s="65">
        <v>306027</v>
      </c>
      <c r="N2420" s="66" t="s">
        <v>99</v>
      </c>
      <c r="O2420" s="66" t="s">
        <v>61</v>
      </c>
      <c r="P2420" s="82" t="str">
        <f>IF(AND('331-CT'!$E$7=TH!H2420,OR(N2420="331",O2420="331")),"x","")</f>
        <v/>
      </c>
      <c r="Q2420" s="82" t="str">
        <f>IF(AND(B2420='111'!$L$11,OR($N2420=$Q$7,$O2420=$Q$7)),"x","")</f>
        <v/>
      </c>
      <c r="R2420" s="82" t="str">
        <f>IF(AND($N2420=$Q$7,$B2420&lt;'111'!$L$11),"x","")</f>
        <v/>
      </c>
      <c r="S2420" s="82" t="str">
        <f>IF(AND($O2420=$Q$7,$B2420&lt;'111'!$L$11),"x","")</f>
        <v>x</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1" ht="15.75" customHeight="1">
      <c r="A2421" s="323" t="str">
        <f>IF(B2421&lt;&gt;"",IF(AND(B2421='IN-TC'!$S$4,OR(TH!N2422="1111",TH!O2422="1111")),TH!D2422,""),"")</f>
        <v/>
      </c>
      <c r="B2421" s="63">
        <f t="shared" si="174"/>
        <v>1</v>
      </c>
      <c r="C2421" s="64">
        <v>42384</v>
      </c>
      <c r="D2421" s="64" t="s">
        <v>875</v>
      </c>
      <c r="E2421" s="64">
        <v>42384</v>
      </c>
      <c r="F2421" s="67" t="s">
        <v>762</v>
      </c>
      <c r="G2421" s="67" t="s">
        <v>812</v>
      </c>
      <c r="H2421" s="331" t="s">
        <v>798</v>
      </c>
      <c r="I2421" s="412"/>
      <c r="J2421" s="412"/>
      <c r="K2421" s="403"/>
      <c r="L2421" s="412"/>
      <c r="M2421" s="65">
        <v>30603</v>
      </c>
      <c r="N2421" s="66" t="s">
        <v>9</v>
      </c>
      <c r="O2421" s="66" t="s">
        <v>61</v>
      </c>
      <c r="P2421" s="82" t="str">
        <f>IF(AND('331-CT'!$E$7=TH!H2421,OR(N2421="331",O2421="331")),"x","")</f>
        <v/>
      </c>
      <c r="Q2421" s="82" t="str">
        <f>IF(AND(B2421='111'!$L$11,OR($N2421=$Q$7,$O2421=$Q$7)),"x","")</f>
        <v/>
      </c>
      <c r="R2421" s="82" t="str">
        <f>IF(AND($N2421=$Q$7,$B2421&lt;'111'!$L$11),"x","")</f>
        <v/>
      </c>
      <c r="S2421" s="82" t="str">
        <f>IF(AND($O2421=$Q$7,$B2421&lt;'111'!$L$11),"x","")</f>
        <v>x</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x</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1" ht="15.75" customHeight="1">
      <c r="A2422" s="323" t="str">
        <f>IF(B2422&lt;&gt;"",IF(AND(B2422='IN-TC'!$S$4,OR(TH!N2423="1111",TH!O2423="1111")),TH!D2423,""),"")</f>
        <v/>
      </c>
      <c r="B2422" s="63">
        <f t="shared" si="174"/>
        <v>1</v>
      </c>
      <c r="C2422" s="64">
        <v>42384</v>
      </c>
      <c r="D2422" s="64" t="s">
        <v>876</v>
      </c>
      <c r="E2422" s="64">
        <v>42384</v>
      </c>
      <c r="F2422" s="67" t="s">
        <v>761</v>
      </c>
      <c r="G2422" s="67" t="s">
        <v>813</v>
      </c>
      <c r="H2422" s="331" t="s">
        <v>792</v>
      </c>
      <c r="I2422" s="412"/>
      <c r="J2422" s="412"/>
      <c r="K2422" s="403"/>
      <c r="L2422" s="412"/>
      <c r="M2422" s="65">
        <v>593155</v>
      </c>
      <c r="N2422" s="66" t="s">
        <v>99</v>
      </c>
      <c r="O2422" s="66" t="s">
        <v>61</v>
      </c>
      <c r="P2422" s="82" t="str">
        <f>IF(AND('331-CT'!$E$7=TH!H2422,OR(N2422="331",O2422="331")),"x","")</f>
        <v/>
      </c>
      <c r="Q2422" s="82" t="str">
        <f>IF(AND(B2422='111'!$L$11,OR($N2422=$Q$7,$O2422=$Q$7)),"x","")</f>
        <v/>
      </c>
      <c r="R2422" s="82" t="str">
        <f>IF(AND($N2422=$Q$7,$B2422&lt;'111'!$L$11),"x","")</f>
        <v/>
      </c>
      <c r="S2422" s="82" t="str">
        <f>IF(AND($O2422=$Q$7,$B2422&lt;'111'!$L$11),"x","")</f>
        <v>x</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1" ht="15.75" customHeight="1">
      <c r="A2423" s="323" t="str">
        <f>IF(B2423&lt;&gt;"",IF(AND(B2423='IN-TC'!$S$4,OR(TH!N2424="1111",TH!O2424="1111")),TH!D2424,""),"")</f>
        <v/>
      </c>
      <c r="B2423" s="63">
        <f t="shared" si="174"/>
        <v>1</v>
      </c>
      <c r="C2423" s="64">
        <v>42384</v>
      </c>
      <c r="D2423" s="64" t="s">
        <v>876</v>
      </c>
      <c r="E2423" s="64">
        <v>42384</v>
      </c>
      <c r="F2423" s="67" t="s">
        <v>762</v>
      </c>
      <c r="G2423" s="67" t="s">
        <v>813</v>
      </c>
      <c r="H2423" s="72" t="s">
        <v>792</v>
      </c>
      <c r="I2423" s="408"/>
      <c r="J2423" s="408"/>
      <c r="K2423" s="399"/>
      <c r="L2423" s="408"/>
      <c r="M2423" s="65">
        <v>59315</v>
      </c>
      <c r="N2423" s="66" t="s">
        <v>9</v>
      </c>
      <c r="O2423" s="66" t="s">
        <v>61</v>
      </c>
      <c r="P2423" s="82" t="str">
        <f>IF(AND('331-CT'!$E$7=TH!H2423,OR(N2423="331",O2423="331")),"x","")</f>
        <v/>
      </c>
      <c r="Q2423" s="82" t="str">
        <f>IF(AND(B2423='111'!$L$11,OR($N2423=$Q$7,$O2423=$Q$7)),"x","")</f>
        <v/>
      </c>
      <c r="R2423" s="82" t="str">
        <f>IF(AND($N2423=$Q$7,$B2423&lt;'111'!$L$11),"x","")</f>
        <v/>
      </c>
      <c r="S2423" s="82" t="str">
        <f>IF(AND($O2423=$Q$7,$B2423&lt;'111'!$L$11),"x","")</f>
        <v>x</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x</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1" ht="15.75" customHeight="1">
      <c r="A2424" s="323" t="str">
        <f>IF(B2424&lt;&gt;"",IF(AND(B2424='IN-TC'!$S$4,OR(TH!N2425="1111",TH!O2425="1111")),TH!D2425,""),"")</f>
        <v/>
      </c>
      <c r="B2424" s="63">
        <f t="shared" si="174"/>
        <v>1</v>
      </c>
      <c r="C2424" s="64">
        <v>42384</v>
      </c>
      <c r="D2424" s="64" t="s">
        <v>877</v>
      </c>
      <c r="E2424" s="64">
        <v>42384</v>
      </c>
      <c r="F2424" s="67" t="s">
        <v>774</v>
      </c>
      <c r="G2424" s="67" t="s">
        <v>814</v>
      </c>
      <c r="H2424" s="72" t="s">
        <v>815</v>
      </c>
      <c r="I2424" s="408"/>
      <c r="J2424" s="408"/>
      <c r="K2424" s="399"/>
      <c r="L2424" s="408"/>
      <c r="M2424" s="65">
        <v>400000</v>
      </c>
      <c r="N2424" s="66" t="s">
        <v>99</v>
      </c>
      <c r="O2424" s="66" t="s">
        <v>61</v>
      </c>
      <c r="P2424" s="82" t="str">
        <f>IF(AND('331-CT'!$E$7=TH!H2424,OR(N2424="331",O2424="331")),"x","")</f>
        <v/>
      </c>
      <c r="Q2424" s="82" t="str">
        <f>IF(AND(B2424='111'!$L$11,OR($N2424=$Q$7,$O2424=$Q$7)),"x","")</f>
        <v/>
      </c>
      <c r="R2424" s="82" t="str">
        <f>IF(AND($N2424=$Q$7,$B2424&lt;'111'!$L$11),"x","")</f>
        <v/>
      </c>
      <c r="S2424" s="82" t="str">
        <f>IF(AND($O2424=$Q$7,$B2424&lt;'111'!$L$11),"x","")</f>
        <v>x</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1" ht="15.75" customHeight="1">
      <c r="A2425" s="323" t="str">
        <f>IF(B2425&lt;&gt;"",IF(AND(B2425='IN-TC'!$S$4,OR(TH!N2426="1111",TH!O2426="1111")),TH!D2426,""),"")</f>
        <v/>
      </c>
      <c r="B2425" s="63">
        <f t="shared" si="174"/>
        <v>1</v>
      </c>
      <c r="C2425" s="64">
        <v>42384</v>
      </c>
      <c r="D2425" s="64" t="s">
        <v>877</v>
      </c>
      <c r="E2425" s="64">
        <v>42384</v>
      </c>
      <c r="F2425" s="67" t="s">
        <v>775</v>
      </c>
      <c r="G2425" s="67" t="s">
        <v>814</v>
      </c>
      <c r="H2425" s="331" t="s">
        <v>815</v>
      </c>
      <c r="I2425" s="412"/>
      <c r="J2425" s="412"/>
      <c r="K2425" s="403"/>
      <c r="L2425" s="412"/>
      <c r="M2425" s="65">
        <v>20000</v>
      </c>
      <c r="N2425" s="66" t="s">
        <v>9</v>
      </c>
      <c r="O2425" s="66" t="s">
        <v>61</v>
      </c>
      <c r="P2425" s="82" t="str">
        <f>IF(AND('331-CT'!$E$7=TH!H2425,OR(N2425="331",O2425="331")),"x","")</f>
        <v/>
      </c>
      <c r="Q2425" s="82" t="str">
        <f>IF(AND(B2425='111'!$L$11,OR($N2425=$Q$7,$O2425=$Q$7)),"x","")</f>
        <v/>
      </c>
      <c r="R2425" s="82" t="str">
        <f>IF(AND($N2425=$Q$7,$B2425&lt;'111'!$L$11),"x","")</f>
        <v/>
      </c>
      <c r="S2425" s="82" t="str">
        <f>IF(AND($O2425=$Q$7,$B2425&lt;'111'!$L$11),"x","")</f>
        <v>x</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x</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1" ht="15.75" customHeight="1">
      <c r="A2426" s="323" t="str">
        <f>IF(B2426&lt;&gt;"",IF(AND(B2426='IN-TC'!$S$4,OR(TH!N2427="1111",TH!O2427="1111")),TH!D2427,""),"")</f>
        <v/>
      </c>
      <c r="B2426" s="63">
        <f t="shared" si="174"/>
        <v>1</v>
      </c>
      <c r="C2426" s="64">
        <v>42384</v>
      </c>
      <c r="D2426" s="64" t="s">
        <v>878</v>
      </c>
      <c r="E2426" s="64">
        <v>42384</v>
      </c>
      <c r="F2426" s="67" t="s">
        <v>766</v>
      </c>
      <c r="G2426" s="67" t="s">
        <v>816</v>
      </c>
      <c r="H2426" s="72" t="s">
        <v>803</v>
      </c>
      <c r="I2426" s="412"/>
      <c r="J2426" s="412"/>
      <c r="K2426" s="403"/>
      <c r="L2426" s="412"/>
      <c r="M2426" s="65">
        <v>17435800</v>
      </c>
      <c r="N2426" s="66" t="s">
        <v>99</v>
      </c>
      <c r="O2426" s="66" t="s">
        <v>61</v>
      </c>
      <c r="P2426" s="82" t="str">
        <f>IF(AND('331-CT'!$E$7=TH!H2426,OR(N2426="331",O2426="331")),"x","")</f>
        <v/>
      </c>
      <c r="Q2426" s="82" t="str">
        <f>IF(AND(B2426='111'!$L$11,OR($N2426=$Q$7,$O2426=$Q$7)),"x","")</f>
        <v/>
      </c>
      <c r="R2426" s="82" t="str">
        <f>IF(AND($N2426=$Q$7,$B2426&lt;'111'!$L$11),"x","")</f>
        <v/>
      </c>
      <c r="S2426" s="82" t="str">
        <f>IF(AND($O2426=$Q$7,$B2426&lt;'111'!$L$11),"x","")</f>
        <v>x</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1" ht="15.75" customHeight="1">
      <c r="A2427" s="323" t="str">
        <f>IF(B2427&lt;&gt;"",IF(AND(B2427='IN-TC'!$S$4,OR(TH!N2428="1111",TH!O2428="1111")),TH!D2428,""),"")</f>
        <v/>
      </c>
      <c r="B2427" s="63">
        <f t="shared" si="174"/>
        <v>1</v>
      </c>
      <c r="C2427" s="64">
        <v>42384</v>
      </c>
      <c r="D2427" s="64" t="s">
        <v>878</v>
      </c>
      <c r="E2427" s="64">
        <v>42384</v>
      </c>
      <c r="F2427" s="67" t="s">
        <v>767</v>
      </c>
      <c r="G2427" s="67" t="s">
        <v>816</v>
      </c>
      <c r="H2427" s="72" t="s">
        <v>803</v>
      </c>
      <c r="I2427" s="412"/>
      <c r="J2427" s="412"/>
      <c r="K2427" s="403"/>
      <c r="L2427" s="412"/>
      <c r="M2427" s="65">
        <v>1743580</v>
      </c>
      <c r="N2427" s="66" t="s">
        <v>9</v>
      </c>
      <c r="O2427" s="66" t="s">
        <v>61</v>
      </c>
      <c r="P2427" s="82" t="str">
        <f>IF(AND('331-CT'!$E$7=TH!H2427,OR(N2427="331",O2427="331")),"x","")</f>
        <v/>
      </c>
      <c r="Q2427" s="82" t="str">
        <f>IF(AND(B2427='111'!$L$11,OR($N2427=$Q$7,$O2427=$Q$7)),"x","")</f>
        <v/>
      </c>
      <c r="R2427" s="82" t="str">
        <f>IF(AND($N2427=$Q$7,$B2427&lt;'111'!$L$11),"x","")</f>
        <v/>
      </c>
      <c r="S2427" s="82" t="str">
        <f>IF(AND($O2427=$Q$7,$B2427&lt;'111'!$L$11),"x","")</f>
        <v>x</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x</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1" ht="15.75" customHeight="1">
      <c r="A2428" s="323" t="str">
        <f>IF(B2428&lt;&gt;"",IF(AND(B2428='IN-TC'!$S$4,OR(TH!N2420="1111",TH!O2420="1111")),TH!D2420,""),"")</f>
        <v/>
      </c>
      <c r="B2428" s="63">
        <f t="shared" si="174"/>
        <v>1</v>
      </c>
      <c r="C2428" s="64">
        <v>42384</v>
      </c>
      <c r="D2428" s="64" t="s">
        <v>886</v>
      </c>
      <c r="E2428" s="64">
        <v>42384</v>
      </c>
      <c r="F2428" s="67" t="s">
        <v>731</v>
      </c>
      <c r="G2428" s="67" t="s">
        <v>902</v>
      </c>
      <c r="H2428" s="73" t="s">
        <v>748</v>
      </c>
      <c r="I2428" s="408"/>
      <c r="J2428" s="408"/>
      <c r="K2428" s="399"/>
      <c r="L2428" s="408"/>
      <c r="M2428" s="65">
        <v>100000000</v>
      </c>
      <c r="N2428" s="66" t="s">
        <v>61</v>
      </c>
      <c r="O2428" s="66" t="s">
        <v>25</v>
      </c>
      <c r="P2428" s="82" t="str">
        <f>IF(AND('331-CT'!$E$7=TH!H2428,OR(N2428="331",O2428="331")),"x","")</f>
        <v/>
      </c>
      <c r="Q2428" s="82" t="str">
        <f>IF(AND(B2428='111'!$L$11,OR($N2428=$Q$7,$O2428=$Q$7)),"x","")</f>
        <v/>
      </c>
      <c r="R2428" s="82" t="str">
        <f>IF(AND($N2428=$Q$7,$B2428&lt;'111'!$L$11),"x","")</f>
        <v>x</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1" ht="15.75" customHeight="1">
      <c r="A2429" s="323" t="str">
        <f>IF(B2429&lt;&gt;"",IF(AND(B2429='IN-TC'!$S$4,OR(TH!N2432="1111",TH!O2432="1111")),TH!D2432,""),"")</f>
        <v/>
      </c>
      <c r="B2429" s="63">
        <f t="shared" si="174"/>
        <v>1</v>
      </c>
      <c r="C2429" s="64">
        <v>42387</v>
      </c>
      <c r="D2429" s="64" t="s">
        <v>879</v>
      </c>
      <c r="E2429" s="64">
        <v>42387</v>
      </c>
      <c r="F2429" s="330" t="s">
        <v>776</v>
      </c>
      <c r="G2429" s="67" t="s">
        <v>817</v>
      </c>
      <c r="H2429" s="331" t="s">
        <v>792</v>
      </c>
      <c r="I2429" s="412"/>
      <c r="J2429" s="412"/>
      <c r="K2429" s="403"/>
      <c r="L2429" s="412"/>
      <c r="M2429" s="65">
        <v>1346136</v>
      </c>
      <c r="N2429" s="66" t="s">
        <v>99</v>
      </c>
      <c r="O2429" s="66" t="s">
        <v>61</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1" ht="15.75" customHeight="1">
      <c r="A2430" s="323" t="str">
        <f>IF(B2430&lt;&gt;"",IF(AND(B2430='IN-TC'!$S$4,OR(TH!N2433="1111",TH!O2433="1111")),TH!D2433,""),"")</f>
        <v/>
      </c>
      <c r="B2430" s="63">
        <f t="shared" si="174"/>
        <v>1</v>
      </c>
      <c r="C2430" s="64">
        <v>42387</v>
      </c>
      <c r="D2430" s="64" t="s">
        <v>879</v>
      </c>
      <c r="E2430" s="64">
        <v>42387</v>
      </c>
      <c r="F2430" s="330" t="s">
        <v>777</v>
      </c>
      <c r="G2430" s="67" t="s">
        <v>817</v>
      </c>
      <c r="H2430" s="72" t="s">
        <v>792</v>
      </c>
      <c r="I2430" s="408"/>
      <c r="J2430" s="408"/>
      <c r="K2430" s="399"/>
      <c r="L2430" s="408"/>
      <c r="M2430" s="65">
        <v>134614</v>
      </c>
      <c r="N2430" s="66" t="s">
        <v>9</v>
      </c>
      <c r="O2430" s="66" t="s">
        <v>61</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x</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1" ht="15.75" customHeight="1">
      <c r="A2431" s="1160" t="str">
        <f>IF(B2431&lt;&gt;"",IF(AND(B2431='IN-TC'!$S$4,OR(TH!N936="1111",TH!O936="1111")),TH!D936,""),"")</f>
        <v/>
      </c>
      <c r="B2431" s="948">
        <f t="shared" si="174"/>
        <v>11</v>
      </c>
      <c r="C2431" s="78">
        <v>42678</v>
      </c>
      <c r="D2431" s="78" t="s">
        <v>662</v>
      </c>
      <c r="E2431" s="78">
        <f>C2431</f>
        <v>42678</v>
      </c>
      <c r="F2431" s="80" t="s">
        <v>634</v>
      </c>
      <c r="G2431" s="934" t="s">
        <v>2455</v>
      </c>
      <c r="H2431" s="310" t="s">
        <v>660</v>
      </c>
      <c r="I2431" s="406"/>
      <c r="J2431" s="406"/>
      <c r="K2431" s="397"/>
      <c r="L2431" s="406"/>
      <c r="M2431" s="81">
        <v>761905</v>
      </c>
      <c r="N2431" s="82" t="s">
        <v>9</v>
      </c>
      <c r="O2431" s="82" t="s">
        <v>8</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x</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v>1</v>
      </c>
    </row>
    <row r="2432" spans="1:31" ht="15.75" customHeight="1">
      <c r="A2432" s="323" t="str">
        <f>IF(B2432&lt;&gt;"",IF(AND(B2432='IN-TC'!$S$4,OR(TH!N2429="1111",TH!O2429="1111")),TH!D2429,""),"")</f>
        <v/>
      </c>
      <c r="B2432" s="63">
        <f t="shared" si="174"/>
        <v>1</v>
      </c>
      <c r="C2432" s="64">
        <v>42387</v>
      </c>
      <c r="D2432" s="64" t="s">
        <v>690</v>
      </c>
      <c r="E2432" s="64">
        <v>42387</v>
      </c>
      <c r="F2432" s="67" t="s">
        <v>732</v>
      </c>
      <c r="G2432" s="67" t="s">
        <v>902</v>
      </c>
      <c r="H2432" s="67" t="s">
        <v>708</v>
      </c>
      <c r="I2432" s="408"/>
      <c r="J2432" s="408"/>
      <c r="K2432" s="399"/>
      <c r="L2432" s="408"/>
      <c r="M2432" s="65">
        <v>3087650</v>
      </c>
      <c r="N2432" s="66" t="s">
        <v>97</v>
      </c>
      <c r="O2432" s="66" t="s">
        <v>25</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customHeight="1">
      <c r="A2433" s="323" t="str">
        <f>IF(B2433&lt;&gt;"",IF(AND(B2433='IN-TC'!$S$4,OR(TH!N2430="1111",TH!O2430="1111")),TH!D2430,""),"")</f>
        <v/>
      </c>
      <c r="B2433" s="63">
        <f t="shared" si="174"/>
        <v>1</v>
      </c>
      <c r="C2433" s="64">
        <v>42387</v>
      </c>
      <c r="D2433" s="64" t="s">
        <v>690</v>
      </c>
      <c r="E2433" s="64">
        <v>42387</v>
      </c>
      <c r="F2433" s="67" t="s">
        <v>733</v>
      </c>
      <c r="G2433" s="67" t="s">
        <v>902</v>
      </c>
      <c r="H2433" s="67" t="s">
        <v>709</v>
      </c>
      <c r="I2433" s="408"/>
      <c r="J2433" s="408"/>
      <c r="K2433" s="399"/>
      <c r="L2433" s="408"/>
      <c r="M2433" s="65">
        <v>3859450</v>
      </c>
      <c r="N2433" s="66" t="s">
        <v>97</v>
      </c>
      <c r="O2433" s="66" t="s">
        <v>25</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customHeight="1">
      <c r="A2434" s="323" t="str">
        <f>IF(B2434&lt;&gt;"",IF(AND(B2434='IN-TC'!$S$4,OR(TH!N2431="1111",TH!O2431="1111")),TH!D2431,""),"")</f>
        <v/>
      </c>
      <c r="B2434" s="63">
        <f t="shared" si="174"/>
        <v>1</v>
      </c>
      <c r="C2434" s="64">
        <v>42387</v>
      </c>
      <c r="D2434" s="64" t="s">
        <v>690</v>
      </c>
      <c r="E2434" s="64">
        <v>42387</v>
      </c>
      <c r="F2434" s="330" t="s">
        <v>734</v>
      </c>
      <c r="G2434" s="67" t="s">
        <v>902</v>
      </c>
      <c r="H2434" s="329" t="s">
        <v>702</v>
      </c>
      <c r="I2434" s="412"/>
      <c r="J2434" s="412"/>
      <c r="K2434" s="403"/>
      <c r="L2434" s="412"/>
      <c r="M2434" s="65">
        <v>7490746</v>
      </c>
      <c r="N2434" s="66" t="s">
        <v>97</v>
      </c>
      <c r="O2434" s="66" t="s">
        <v>25</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customHeight="1">
      <c r="A2435" s="323" t="str">
        <f>IF(B2435&lt;&gt;"",IF(AND(B2435='IN-TC'!$S$4,OR(TH!N2435="1111",TH!O2435="1111")),TH!D2435,""),"")</f>
        <v/>
      </c>
      <c r="B2435" s="63">
        <f t="shared" si="174"/>
        <v>1</v>
      </c>
      <c r="C2435" s="64">
        <v>42388</v>
      </c>
      <c r="D2435" s="64" t="s">
        <v>881</v>
      </c>
      <c r="E2435" s="64">
        <v>42388</v>
      </c>
      <c r="F2435" s="330" t="s">
        <v>761</v>
      </c>
      <c r="G2435" s="67" t="s">
        <v>818</v>
      </c>
      <c r="H2435" s="72" t="s">
        <v>798</v>
      </c>
      <c r="I2435" s="408"/>
      <c r="J2435" s="408"/>
      <c r="K2435" s="399"/>
      <c r="L2435" s="408"/>
      <c r="M2435" s="65">
        <v>29145</v>
      </c>
      <c r="N2435" s="66" t="s">
        <v>99</v>
      </c>
      <c r="O2435" s="66" t="s">
        <v>61</v>
      </c>
      <c r="P2435" s="82" t="str">
        <f>IF(AND('331-CT'!$E$7=TH!H2435,OR(N2435="331",O2435="331")),"x","")</f>
        <v/>
      </c>
      <c r="Q2435" s="82" t="str">
        <f>IF(AND(B2435='111'!$L$11,OR($N2435=$Q$7,$O2435=$Q$7)),"x","")</f>
        <v/>
      </c>
      <c r="R2435" s="82" t="str">
        <f>IF(AND($N2435=$Q$7,$B2435&lt;'111'!$L$11),"x","")</f>
        <v/>
      </c>
      <c r="S2435" s="82" t="str">
        <f>IF(AND($O2435=$Q$7,$B2435&lt;'111'!$L$11),"x","")</f>
        <v>x</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customHeight="1">
      <c r="A2436" s="323" t="str">
        <f>IF(B2436&lt;&gt;"",IF(AND(B2436='IN-TC'!$S$4,OR(TH!N2436="1111",TH!O2436="1111")),TH!D2436,""),"")</f>
        <v/>
      </c>
      <c r="B2436" s="63">
        <f t="shared" si="174"/>
        <v>1</v>
      </c>
      <c r="C2436" s="64">
        <v>42388</v>
      </c>
      <c r="D2436" s="64" t="s">
        <v>881</v>
      </c>
      <c r="E2436" s="64">
        <v>42388</v>
      </c>
      <c r="F2436" s="330" t="s">
        <v>762</v>
      </c>
      <c r="G2436" s="67" t="s">
        <v>818</v>
      </c>
      <c r="H2436" s="331" t="s">
        <v>798</v>
      </c>
      <c r="I2436" s="412"/>
      <c r="J2436" s="412"/>
      <c r="K2436" s="403"/>
      <c r="L2436" s="412"/>
      <c r="M2436" s="65">
        <v>2915</v>
      </c>
      <c r="N2436" s="66" t="s">
        <v>9</v>
      </c>
      <c r="O2436" s="66" t="s">
        <v>61</v>
      </c>
      <c r="P2436" s="82" t="str">
        <f>IF(AND('331-CT'!$E$7=TH!H2436,OR(N2436="331",O2436="331")),"x","")</f>
        <v/>
      </c>
      <c r="Q2436" s="82" t="str">
        <f>IF(AND(B2436='111'!$L$11,OR($N2436=$Q$7,$O2436=$Q$7)),"x","")</f>
        <v/>
      </c>
      <c r="R2436" s="82" t="str">
        <f>IF(AND($N2436=$Q$7,$B2436&lt;'111'!$L$11),"x","")</f>
        <v/>
      </c>
      <c r="S2436" s="82" t="str">
        <f>IF(AND($O2436=$Q$7,$B2436&lt;'111'!$L$11),"x","")</f>
        <v>x</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x</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customHeight="1">
      <c r="A2437" s="323" t="str">
        <f>IF(B2437&lt;&gt;"",IF(AND(B2437='IN-TC'!$S$4,OR(TH!N2437="1111",TH!O2437="1111")),TH!D2437,""),"")</f>
        <v/>
      </c>
      <c r="B2437" s="63">
        <f t="shared" si="174"/>
        <v>1</v>
      </c>
      <c r="C2437" s="64">
        <v>42389</v>
      </c>
      <c r="D2437" s="64" t="s">
        <v>882</v>
      </c>
      <c r="E2437" s="64">
        <v>42389</v>
      </c>
      <c r="F2437" s="330" t="s">
        <v>761</v>
      </c>
      <c r="G2437" s="67" t="s">
        <v>819</v>
      </c>
      <c r="H2437" s="72" t="s">
        <v>792</v>
      </c>
      <c r="I2437" s="408"/>
      <c r="J2437" s="408"/>
      <c r="K2437" s="399"/>
      <c r="L2437" s="408"/>
      <c r="M2437" s="65">
        <v>689618</v>
      </c>
      <c r="N2437" s="66" t="s">
        <v>99</v>
      </c>
      <c r="O2437" s="66" t="s">
        <v>61</v>
      </c>
      <c r="P2437" s="82" t="str">
        <f>IF(AND('331-CT'!$E$7=TH!H2437,OR(N2437="331",O2437="331")),"x","")</f>
        <v/>
      </c>
      <c r="Q2437" s="82" t="str">
        <f>IF(AND(B2437='111'!$L$11,OR($N2437=$Q$7,$O2437=$Q$7)),"x","")</f>
        <v/>
      </c>
      <c r="R2437" s="82" t="str">
        <f>IF(AND($N2437=$Q$7,$B2437&lt;'111'!$L$11),"x","")</f>
        <v/>
      </c>
      <c r="S2437" s="82" t="str">
        <f>IF(AND($O2437=$Q$7,$B2437&lt;'111'!$L$11),"x","")</f>
        <v>x</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customHeight="1">
      <c r="A2438" s="323" t="str">
        <f>IF(B2438&lt;&gt;"",IF(AND(B2438='IN-TC'!$S$4,OR(TH!N2438="1111",TH!O2438="1111")),TH!D2438,""),"")</f>
        <v/>
      </c>
      <c r="B2438" s="63">
        <f t="shared" si="174"/>
        <v>1</v>
      </c>
      <c r="C2438" s="64">
        <v>42389</v>
      </c>
      <c r="D2438" s="64" t="s">
        <v>882</v>
      </c>
      <c r="E2438" s="64">
        <v>42389</v>
      </c>
      <c r="F2438" s="330" t="s">
        <v>762</v>
      </c>
      <c r="G2438" s="67" t="s">
        <v>819</v>
      </c>
      <c r="H2438" s="72" t="s">
        <v>792</v>
      </c>
      <c r="I2438" s="408"/>
      <c r="J2438" s="408"/>
      <c r="K2438" s="399"/>
      <c r="L2438" s="408"/>
      <c r="M2438" s="65">
        <v>68962</v>
      </c>
      <c r="N2438" s="66" t="s">
        <v>9</v>
      </c>
      <c r="O2438" s="66" t="s">
        <v>61</v>
      </c>
      <c r="P2438" s="82" t="str">
        <f>IF(AND('331-CT'!$E$7=TH!H2438,OR(N2438="331",O2438="331")),"x","")</f>
        <v/>
      </c>
      <c r="Q2438" s="82" t="str">
        <f>IF(AND(B2438='111'!$L$11,OR($N2438=$Q$7,$O2438=$Q$7)),"x","")</f>
        <v/>
      </c>
      <c r="R2438" s="82" t="str">
        <f>IF(AND($N2438=$Q$7,$B2438&lt;'111'!$L$11),"x","")</f>
        <v/>
      </c>
      <c r="S2438" s="82" t="str">
        <f>IF(AND($O2438=$Q$7,$B2438&lt;'111'!$L$11),"x","")</f>
        <v>x</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x</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customHeight="1">
      <c r="A2439" s="323" t="str">
        <f>IF(B2439&lt;&gt;"",IF(AND(B2439='IN-TC'!$S$4,OR(TH!N2439="1111",TH!O2439="1111")),TH!D2439,""),"")</f>
        <v/>
      </c>
      <c r="B2439" s="63">
        <f t="shared" si="174"/>
        <v>1</v>
      </c>
      <c r="C2439" s="64">
        <v>42390</v>
      </c>
      <c r="D2439" s="64" t="s">
        <v>883</v>
      </c>
      <c r="E2439" s="64">
        <v>42390</v>
      </c>
      <c r="F2439" s="330" t="s">
        <v>756</v>
      </c>
      <c r="G2439" s="67" t="s">
        <v>820</v>
      </c>
      <c r="H2439" s="331" t="s">
        <v>792</v>
      </c>
      <c r="I2439" s="412"/>
      <c r="J2439" s="412"/>
      <c r="K2439" s="403"/>
      <c r="L2439" s="412"/>
      <c r="M2439" s="65">
        <v>380182</v>
      </c>
      <c r="N2439" s="66" t="s">
        <v>99</v>
      </c>
      <c r="O2439" s="66" t="s">
        <v>61</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customHeight="1">
      <c r="A2440" s="323" t="str">
        <f>IF(B2440&lt;&gt;"",IF(AND(B2440='IN-TC'!$S$4,OR(TH!N2440="1111",TH!O2440="1111")),TH!D2440,""),"")</f>
        <v/>
      </c>
      <c r="B2440" s="63">
        <f t="shared" si="174"/>
        <v>1</v>
      </c>
      <c r="C2440" s="64">
        <v>42390</v>
      </c>
      <c r="D2440" s="64" t="s">
        <v>883</v>
      </c>
      <c r="E2440" s="64">
        <v>42390</v>
      </c>
      <c r="F2440" s="330" t="s">
        <v>757</v>
      </c>
      <c r="G2440" s="67" t="s">
        <v>820</v>
      </c>
      <c r="H2440" s="72" t="s">
        <v>792</v>
      </c>
      <c r="I2440" s="408"/>
      <c r="J2440" s="408"/>
      <c r="K2440" s="399"/>
      <c r="L2440" s="408"/>
      <c r="M2440" s="65">
        <v>38018</v>
      </c>
      <c r="N2440" s="66" t="s">
        <v>9</v>
      </c>
      <c r="O2440" s="66" t="s">
        <v>61</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x</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customHeight="1">
      <c r="A2441" s="323" t="str">
        <f>IF(B2441&lt;&gt;"",IF(AND(B2441='IN-TC'!$S$4,OR(TH!N2441="1111",TH!O2441="1111")),TH!D2441,""),"")</f>
        <v/>
      </c>
      <c r="B2441" s="63">
        <f t="shared" si="174"/>
        <v>1</v>
      </c>
      <c r="C2441" s="78">
        <f>E2441</f>
        <v>42390</v>
      </c>
      <c r="D2441" s="64" t="s">
        <v>884</v>
      </c>
      <c r="E2441" s="78">
        <v>42390</v>
      </c>
      <c r="F2441" s="330" t="s">
        <v>947</v>
      </c>
      <c r="G2441" s="79"/>
      <c r="H2441" s="80" t="s">
        <v>946</v>
      </c>
      <c r="I2441" s="406"/>
      <c r="J2441" s="406"/>
      <c r="K2441" s="397"/>
      <c r="L2441" s="406"/>
      <c r="M2441" s="81">
        <v>500000000</v>
      </c>
      <c r="N2441" s="82" t="s">
        <v>266</v>
      </c>
      <c r="O2441" s="66" t="s">
        <v>61</v>
      </c>
      <c r="P2441" s="82" t="str">
        <f>IF(AND('331-CT'!$E$7=TH!H2441,OR(N2441="331",O2441="331")),"x","")</f>
        <v/>
      </c>
      <c r="Q2441" s="82" t="str">
        <f>IF(AND(B2441='111'!$L$11,OR($N2441=$Q$7,$O2441=$Q$7)),"x","")</f>
        <v/>
      </c>
      <c r="R2441" s="82" t="str">
        <f>IF(AND($N2441=$Q$7,$B2441&lt;'111'!$L$11),"x","")</f>
        <v/>
      </c>
      <c r="S2441" s="82" t="str">
        <f>IF(AND($O2441=$Q$7,$B2441&lt;'111'!$L$11),"x","")</f>
        <v>x</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customHeight="1">
      <c r="A2442" s="323" t="str">
        <f>IF(B2442&lt;&gt;"",IF(AND(B2442='IN-TC'!$S$4,OR(TH!N2442="1111",TH!O2442="1111")),TH!D2442,""),"")</f>
        <v/>
      </c>
      <c r="B2442" s="63">
        <f t="shared" si="174"/>
        <v>1</v>
      </c>
      <c r="C2442" s="64">
        <v>42391</v>
      </c>
      <c r="D2442" s="64" t="s">
        <v>885</v>
      </c>
      <c r="E2442" s="64">
        <v>42391</v>
      </c>
      <c r="F2442" s="330" t="s">
        <v>724</v>
      </c>
      <c r="G2442" s="67" t="s">
        <v>901</v>
      </c>
      <c r="H2442" s="67" t="s">
        <v>748</v>
      </c>
      <c r="I2442" s="410"/>
      <c r="J2442" s="410"/>
      <c r="K2442" s="401"/>
      <c r="L2442" s="410"/>
      <c r="M2442" s="65">
        <v>20000000</v>
      </c>
      <c r="N2442" s="66" t="s">
        <v>25</v>
      </c>
      <c r="O2442" s="66" t="s">
        <v>61</v>
      </c>
      <c r="P2442" s="82" t="str">
        <f>IF(AND('331-CT'!$E$7=TH!H2442,OR(N2442="331",O2442="331")),"x","")</f>
        <v/>
      </c>
      <c r="Q2442" s="82" t="str">
        <f>IF(AND(B2442='111'!$L$11,OR($N2442=$Q$7,$O2442=$Q$7)),"x","")</f>
        <v/>
      </c>
      <c r="R2442" s="82" t="str">
        <f>IF(AND($N2442=$Q$7,$B2442&lt;'111'!$L$11),"x","")</f>
        <v/>
      </c>
      <c r="S2442" s="82" t="str">
        <f>IF(AND($O2442=$Q$7,$B2442&lt;'111'!$L$11),"x","")</f>
        <v>x</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customHeight="1">
      <c r="A2443" s="323" t="str">
        <f>IF(B2443&lt;&gt;"",IF(AND(B2443='IN-TC'!$S$4,OR(TH!N2443="1111",TH!O2443="1111")),TH!D2443,""),"")</f>
        <v/>
      </c>
      <c r="B2443" s="63">
        <f t="shared" si="174"/>
        <v>1</v>
      </c>
      <c r="C2443" s="64">
        <v>42391</v>
      </c>
      <c r="D2443" s="64" t="s">
        <v>690</v>
      </c>
      <c r="E2443" s="64">
        <v>42391</v>
      </c>
      <c r="F2443" s="330" t="s">
        <v>741</v>
      </c>
      <c r="G2443" s="67" t="s">
        <v>901</v>
      </c>
      <c r="H2443" s="72" t="s">
        <v>704</v>
      </c>
      <c r="I2443" s="408"/>
      <c r="J2443" s="408"/>
      <c r="K2443" s="399"/>
      <c r="L2443" s="408"/>
      <c r="M2443" s="65">
        <v>4045251</v>
      </c>
      <c r="N2443" s="66" t="s">
        <v>97</v>
      </c>
      <c r="O2443" s="66" t="s">
        <v>25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customHeight="1">
      <c r="A2444" s="323" t="str">
        <f>IF(B2444&lt;&gt;"",IF(AND(B2444='IN-TC'!$S$4,OR(TH!N2444="1111",TH!O2444="1111")),TH!D2444,""),"")</f>
        <v/>
      </c>
      <c r="B2444" s="63">
        <f t="shared" si="174"/>
        <v>1</v>
      </c>
      <c r="C2444" s="64">
        <v>42391</v>
      </c>
      <c r="D2444" s="64" t="s">
        <v>690</v>
      </c>
      <c r="E2444" s="64">
        <v>42391</v>
      </c>
      <c r="F2444" s="330" t="s">
        <v>742</v>
      </c>
      <c r="G2444" s="67" t="s">
        <v>901</v>
      </c>
      <c r="H2444" s="72" t="s">
        <v>714</v>
      </c>
      <c r="I2444" s="408"/>
      <c r="J2444" s="408"/>
      <c r="K2444" s="399"/>
      <c r="L2444" s="408"/>
      <c r="M2444" s="65">
        <v>7783659</v>
      </c>
      <c r="N2444" s="66" t="s">
        <v>97</v>
      </c>
      <c r="O2444" s="66" t="s">
        <v>25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customHeight="1">
      <c r="A2445" s="323" t="str">
        <f>IF(B2445&lt;&gt;"",IF(AND(B2445='IN-TC'!$S$4,OR(TH!N2445="1111",TH!O2445="1111")),TH!D2445,""),"")</f>
        <v/>
      </c>
      <c r="B2445" s="63">
        <f t="shared" si="174"/>
        <v>1</v>
      </c>
      <c r="C2445" s="64">
        <v>42391</v>
      </c>
      <c r="D2445" s="64" t="s">
        <v>690</v>
      </c>
      <c r="E2445" s="64">
        <v>42391</v>
      </c>
      <c r="F2445" s="330" t="s">
        <v>743</v>
      </c>
      <c r="G2445" s="67" t="s">
        <v>901</v>
      </c>
      <c r="H2445" s="72" t="s">
        <v>715</v>
      </c>
      <c r="I2445" s="408"/>
      <c r="J2445" s="408"/>
      <c r="K2445" s="399"/>
      <c r="L2445" s="408"/>
      <c r="M2445" s="65">
        <v>5878679</v>
      </c>
      <c r="N2445" s="66" t="s">
        <v>97</v>
      </c>
      <c r="O2445" s="66" t="s">
        <v>25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customHeight="1">
      <c r="A2446" s="323" t="str">
        <f>IF(B2446&lt;&gt;"",IF(AND(B2446='IN-TC'!$S$4,OR(TH!N2446="1111",TH!O2446="1111")),TH!D2446,""),"")</f>
        <v/>
      </c>
      <c r="B2446" s="63">
        <f t="shared" si="174"/>
        <v>1</v>
      </c>
      <c r="C2446" s="64">
        <v>42391</v>
      </c>
      <c r="D2446" s="64" t="s">
        <v>690</v>
      </c>
      <c r="E2446" s="64">
        <v>42391</v>
      </c>
      <c r="F2446" s="330" t="s">
        <v>744</v>
      </c>
      <c r="G2446" s="67" t="s">
        <v>901</v>
      </c>
      <c r="H2446" s="72" t="s">
        <v>716</v>
      </c>
      <c r="I2446" s="408"/>
      <c r="J2446" s="408"/>
      <c r="K2446" s="399"/>
      <c r="L2446" s="408"/>
      <c r="M2446" s="65">
        <v>2964125</v>
      </c>
      <c r="N2446" s="66" t="s">
        <v>97</v>
      </c>
      <c r="O2446" s="66" t="s">
        <v>25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customHeight="1">
      <c r="A2447" s="323" t="str">
        <f>IF(B2447&lt;&gt;"",IF(AND(B2447='IN-TC'!$S$4,OR(TH!N2449="1111",TH!O2449="1111")),TH!D2449,""),"")</f>
        <v/>
      </c>
      <c r="B2447" s="63">
        <f t="shared" si="174"/>
        <v>1</v>
      </c>
      <c r="C2447" s="78">
        <f>E2447</f>
        <v>42392</v>
      </c>
      <c r="D2447" s="78" t="s">
        <v>887</v>
      </c>
      <c r="E2447" s="78">
        <v>42392</v>
      </c>
      <c r="F2447" s="330" t="s">
        <v>947</v>
      </c>
      <c r="G2447" s="79"/>
      <c r="H2447" s="80" t="s">
        <v>946</v>
      </c>
      <c r="I2447" s="406"/>
      <c r="J2447" s="406"/>
      <c r="K2447" s="397"/>
      <c r="L2447" s="406"/>
      <c r="M2447" s="81">
        <v>500000000</v>
      </c>
      <c r="N2447" s="82" t="s">
        <v>266</v>
      </c>
      <c r="O2447" s="66" t="s">
        <v>61</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customHeight="1">
      <c r="A2448" s="323" t="str">
        <f>IF(B2448&lt;&gt;"",IF(AND(B2448='IN-TC'!$S$4,OR(TH!N2447="1111",TH!O2447="1111")),TH!D2447,""),"")</f>
        <v/>
      </c>
      <c r="B2448" s="63">
        <f t="shared" si="174"/>
        <v>1</v>
      </c>
      <c r="C2448" s="64">
        <v>42392</v>
      </c>
      <c r="D2448" s="64" t="s">
        <v>687</v>
      </c>
      <c r="E2448" s="64">
        <v>42392</v>
      </c>
      <c r="F2448" s="330" t="s">
        <v>723</v>
      </c>
      <c r="G2448" s="67" t="s">
        <v>902</v>
      </c>
      <c r="H2448" s="72"/>
      <c r="I2448" s="408"/>
      <c r="J2448" s="408"/>
      <c r="K2448" s="399"/>
      <c r="L2448" s="408"/>
      <c r="M2448" s="65">
        <v>4172</v>
      </c>
      <c r="N2448" s="66" t="s">
        <v>25</v>
      </c>
      <c r="O2448" s="66" t="s">
        <v>41</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customHeight="1">
      <c r="A2449" s="323" t="str">
        <f>IF(B2449&lt;&gt;"",IF(AND(B2449='IN-TC'!$S$4,OR(TH!N2448="1111",TH!O2448="1111")),TH!D2448,""),"")</f>
        <v/>
      </c>
      <c r="B2449" s="63">
        <f t="shared" si="174"/>
        <v>1</v>
      </c>
      <c r="C2449" s="64">
        <v>42392</v>
      </c>
      <c r="D2449" s="64" t="s">
        <v>687</v>
      </c>
      <c r="E2449" s="64">
        <v>42392</v>
      </c>
      <c r="F2449" s="330" t="s">
        <v>725</v>
      </c>
      <c r="G2449" s="67" t="s">
        <v>901</v>
      </c>
      <c r="H2449" s="67"/>
      <c r="I2449" s="408"/>
      <c r="J2449" s="408"/>
      <c r="K2449" s="399"/>
      <c r="L2449" s="408"/>
      <c r="M2449" s="65">
        <v>1541</v>
      </c>
      <c r="N2449" s="66" t="s">
        <v>25</v>
      </c>
      <c r="O2449" s="66" t="s">
        <v>41</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customHeight="1">
      <c r="A2450" s="323" t="str">
        <f>IF(B2450&lt;&gt;"",IF(AND(B2450='IN-TC'!$S$4,OR(TH!N2450="1111",TH!O2450="1111")),TH!D2450,""),"")</f>
        <v/>
      </c>
      <c r="B2450" s="63">
        <f t="shared" si="174"/>
        <v>1</v>
      </c>
      <c r="C2450" s="64">
        <v>42393</v>
      </c>
      <c r="D2450" s="64" t="s">
        <v>888</v>
      </c>
      <c r="E2450" s="64">
        <v>42393</v>
      </c>
      <c r="F2450" s="330" t="s">
        <v>776</v>
      </c>
      <c r="G2450" s="67" t="s">
        <v>821</v>
      </c>
      <c r="H2450" s="72" t="s">
        <v>792</v>
      </c>
      <c r="I2450" s="408"/>
      <c r="J2450" s="408"/>
      <c r="K2450" s="399"/>
      <c r="L2450" s="408"/>
      <c r="M2450" s="65">
        <v>1137764</v>
      </c>
      <c r="N2450" s="66" t="s">
        <v>99</v>
      </c>
      <c r="O2450" s="66" t="s">
        <v>61</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customHeight="1">
      <c r="A2451" s="323" t="str">
        <f>IF(B2451&lt;&gt;"",IF(AND(B2451='IN-TC'!$S$4,OR(TH!N2451="1111",TH!O2451="1111")),TH!D2451,""),"")</f>
        <v/>
      </c>
      <c r="B2451" s="63">
        <f t="shared" si="174"/>
        <v>1</v>
      </c>
      <c r="C2451" s="64">
        <v>42393</v>
      </c>
      <c r="D2451" s="64" t="s">
        <v>888</v>
      </c>
      <c r="E2451" s="64">
        <v>42393</v>
      </c>
      <c r="F2451" s="330" t="s">
        <v>777</v>
      </c>
      <c r="G2451" s="67" t="s">
        <v>821</v>
      </c>
      <c r="H2451" s="331" t="s">
        <v>792</v>
      </c>
      <c r="I2451" s="412"/>
      <c r="J2451" s="412"/>
      <c r="K2451" s="403"/>
      <c r="L2451" s="412"/>
      <c r="M2451" s="65">
        <v>113776</v>
      </c>
      <c r="N2451" s="66" t="s">
        <v>9</v>
      </c>
      <c r="O2451" s="66" t="s">
        <v>61</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x</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customHeight="1">
      <c r="A2452" s="323" t="str">
        <f>IF(B2452&lt;&gt;"",IF(AND(B2452='IN-TC'!$S$4,OR(TH!N2454="1111",TH!O2454="1111")),TH!D2454,""),"")</f>
        <v/>
      </c>
      <c r="B2452" s="63">
        <f t="shared" si="174"/>
        <v>1</v>
      </c>
      <c r="C2452" s="64">
        <v>42394</v>
      </c>
      <c r="D2452" s="64" t="s">
        <v>890</v>
      </c>
      <c r="E2452" s="64">
        <v>42394</v>
      </c>
      <c r="F2452" s="330" t="s">
        <v>722</v>
      </c>
      <c r="G2452" s="67" t="s">
        <v>902</v>
      </c>
      <c r="H2452" s="72" t="s">
        <v>223</v>
      </c>
      <c r="I2452" s="408"/>
      <c r="J2452" s="408"/>
      <c r="K2452" s="399"/>
      <c r="L2452" s="408"/>
      <c r="M2452" s="65">
        <v>2168920000</v>
      </c>
      <c r="N2452" s="66" t="s">
        <v>25</v>
      </c>
      <c r="O2452" s="66" t="s">
        <v>61</v>
      </c>
      <c r="P2452" s="82" t="str">
        <f>IF(AND('331-CT'!$E$7=TH!H2452,OR(N2452="331",O2452="331")),"x","")</f>
        <v/>
      </c>
      <c r="Q2452" s="82" t="str">
        <f>IF(AND(B2452='111'!$L$11,OR($N2452=$Q$7,$O2452=$Q$7)),"x","")</f>
        <v/>
      </c>
      <c r="R2452" s="82" t="str">
        <f>IF(AND($N2452=$Q$7,$B2452&lt;'111'!$L$11),"x","")</f>
        <v/>
      </c>
      <c r="S2452" s="82" t="str">
        <f>IF(AND($O2452=$Q$7,$B2452&lt;'111'!$L$11),"x","")</f>
        <v>x</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customHeight="1">
      <c r="A2453" s="323" t="str">
        <f>IF(B2453&lt;&gt;"",IF(AND(B2453='IN-TC'!$S$4,OR(TH!N2462="1111",TH!O2462="1111")),TH!D2462,""),"")</f>
        <v/>
      </c>
      <c r="B2453" s="63">
        <f t="shared" si="174"/>
        <v>1</v>
      </c>
      <c r="C2453" s="64">
        <v>42394</v>
      </c>
      <c r="D2453" s="64" t="s">
        <v>891</v>
      </c>
      <c r="E2453" s="64">
        <v>42394</v>
      </c>
      <c r="F2453" s="67" t="s">
        <v>778</v>
      </c>
      <c r="G2453" s="67" t="s">
        <v>822</v>
      </c>
      <c r="H2453" s="72" t="s">
        <v>823</v>
      </c>
      <c r="I2453" s="408"/>
      <c r="J2453" s="408"/>
      <c r="K2453" s="399"/>
      <c r="L2453" s="408"/>
      <c r="M2453" s="65">
        <v>15000000</v>
      </c>
      <c r="N2453" s="66" t="s">
        <v>99</v>
      </c>
      <c r="O2453" s="66" t="s">
        <v>61</v>
      </c>
      <c r="P2453" s="82" t="str">
        <f>IF(AND('331-CT'!$E$7=TH!H2453,OR(N2453="331",O2453="331")),"x","")</f>
        <v/>
      </c>
      <c r="Q2453" s="82" t="str">
        <f>IF(AND(B2453='111'!$L$11,OR($N2453=$Q$7,$O2453=$Q$7)),"x","")</f>
        <v/>
      </c>
      <c r="R2453" s="82" t="str">
        <f>IF(AND($N2453=$Q$7,$B2453&lt;'111'!$L$11),"x","")</f>
        <v/>
      </c>
      <c r="S2453" s="82" t="str">
        <f>IF(AND($O2453=$Q$7,$B2453&lt;'111'!$L$11),"x","")</f>
        <v>x</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customHeight="1">
      <c r="A2454" s="323" t="str">
        <f>IF(B2454&lt;&gt;"",IF(AND(B2454='IN-TC'!$S$4,OR(TH!N2463="1111",TH!O2463="1111")),TH!D2463,""),"")</f>
        <v/>
      </c>
      <c r="B2454" s="63">
        <f t="shared" si="174"/>
        <v>1</v>
      </c>
      <c r="C2454" s="64">
        <v>42394</v>
      </c>
      <c r="D2454" s="64" t="s">
        <v>891</v>
      </c>
      <c r="E2454" s="64">
        <v>42394</v>
      </c>
      <c r="F2454" s="67" t="s">
        <v>779</v>
      </c>
      <c r="G2454" s="67" t="s">
        <v>822</v>
      </c>
      <c r="H2454" s="72" t="s">
        <v>823</v>
      </c>
      <c r="I2454" s="408"/>
      <c r="J2454" s="408"/>
      <c r="K2454" s="399"/>
      <c r="L2454" s="408"/>
      <c r="M2454" s="65">
        <v>1500000</v>
      </c>
      <c r="N2454" s="66" t="s">
        <v>9</v>
      </c>
      <c r="O2454" s="66" t="s">
        <v>61</v>
      </c>
      <c r="P2454" s="82" t="str">
        <f>IF(AND('331-CT'!$E$7=TH!H2454,OR(N2454="331",O2454="331")),"x","")</f>
        <v/>
      </c>
      <c r="Q2454" s="82" t="str">
        <f>IF(AND(B2454='111'!$L$11,OR($N2454=$Q$7,$O2454=$Q$7)),"x","")</f>
        <v/>
      </c>
      <c r="R2454" s="82" t="str">
        <f>IF(AND($N2454=$Q$7,$B2454&lt;'111'!$L$11),"x","")</f>
        <v/>
      </c>
      <c r="S2454" s="82" t="str">
        <f>IF(AND($O2454=$Q$7,$B2454&lt;'111'!$L$11),"x","")</f>
        <v>x</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x</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customHeight="1">
      <c r="A2455" s="323" t="str">
        <f>IF(B2455&lt;&gt;"",IF(AND(B2455='IN-TC'!$S$4,OR(TH!N2458="1111",TH!O2458="1111")),TH!D2458,""),"")</f>
        <v/>
      </c>
      <c r="B2455" s="63">
        <f t="shared" si="174"/>
        <v>1</v>
      </c>
      <c r="C2455" s="64">
        <v>42394</v>
      </c>
      <c r="D2455" s="64" t="s">
        <v>570</v>
      </c>
      <c r="E2455" s="64">
        <v>42394</v>
      </c>
      <c r="F2455" s="330" t="s">
        <v>719</v>
      </c>
      <c r="G2455" s="67" t="s">
        <v>902</v>
      </c>
      <c r="H2455" s="329" t="s">
        <v>702</v>
      </c>
      <c r="I2455" s="408"/>
      <c r="J2455" s="408"/>
      <c r="K2455" s="399"/>
      <c r="L2455" s="408"/>
      <c r="M2455" s="65">
        <v>51895000</v>
      </c>
      <c r="N2455" s="66" t="s">
        <v>97</v>
      </c>
      <c r="O2455" s="66" t="s">
        <v>254</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customHeight="1">
      <c r="A2456" s="323" t="str">
        <f>IF(B2456&lt;&gt;"",IF(AND(B2456='IN-TC'!$S$4,OR(TH!N2455="1111",TH!O2455="1111")),TH!D2455,""),"")</f>
        <v/>
      </c>
      <c r="B2456" s="63">
        <f t="shared" si="174"/>
        <v>1</v>
      </c>
      <c r="C2456" s="64">
        <v>42394</v>
      </c>
      <c r="D2456" s="64" t="s">
        <v>687</v>
      </c>
      <c r="E2456" s="64">
        <v>42394</v>
      </c>
      <c r="F2456" s="330" t="s">
        <v>689</v>
      </c>
      <c r="G2456" s="67" t="s">
        <v>902</v>
      </c>
      <c r="H2456" s="72"/>
      <c r="I2456" s="408"/>
      <c r="J2456" s="408"/>
      <c r="K2456" s="399">
        <v>97000</v>
      </c>
      <c r="L2456" s="408">
        <v>22360</v>
      </c>
      <c r="M2456" s="81">
        <f>ROUND(K2456*L2456,0)</f>
        <v>2168920000</v>
      </c>
      <c r="N2456" s="66" t="s">
        <v>260</v>
      </c>
      <c r="O2456" s="66" t="s">
        <v>25</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customHeight="1">
      <c r="A2457" s="323" t="str">
        <f>IF(B2457&lt;&gt;"",IF(AND(B2457='IN-TC'!$S$4,OR(TH!N2459="1111",TH!O2459="1111")),TH!D2459,""),"")</f>
        <v/>
      </c>
      <c r="B2457" s="63">
        <f t="shared" si="174"/>
        <v>1</v>
      </c>
      <c r="C2457" s="328">
        <v>42394</v>
      </c>
      <c r="D2457" s="64" t="s">
        <v>687</v>
      </c>
      <c r="E2457" s="64">
        <v>42394</v>
      </c>
      <c r="F2457" s="67" t="s">
        <v>691</v>
      </c>
      <c r="G2457" s="67" t="s">
        <v>902</v>
      </c>
      <c r="H2457" s="72" t="s">
        <v>721</v>
      </c>
      <c r="I2457" s="408"/>
      <c r="J2457" s="408"/>
      <c r="K2457" s="399">
        <v>97000</v>
      </c>
      <c r="L2457" s="408">
        <v>22360</v>
      </c>
      <c r="M2457" s="81">
        <f>ROUND(K2457*L2457,0)</f>
        <v>2168920000</v>
      </c>
      <c r="N2457" s="66" t="s">
        <v>260</v>
      </c>
      <c r="O2457" s="66" t="s">
        <v>254</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customHeight="1">
      <c r="A2458" s="323" t="str">
        <f>IF(B2458&lt;&gt;"",IF(AND(B2458='IN-TC'!$S$4,OR(TH!N2452="1111",TH!O2452="1111")),TH!D2452,""),"")</f>
        <v/>
      </c>
      <c r="B2458" s="63">
        <f t="shared" si="174"/>
        <v>1</v>
      </c>
      <c r="C2458" s="64">
        <v>42394</v>
      </c>
      <c r="D2458" s="64" t="s">
        <v>690</v>
      </c>
      <c r="E2458" s="64">
        <v>42394</v>
      </c>
      <c r="F2458" s="330" t="s">
        <v>695</v>
      </c>
      <c r="G2458" s="67" t="s">
        <v>902</v>
      </c>
      <c r="H2458" s="72"/>
      <c r="I2458" s="408"/>
      <c r="J2458" s="408"/>
      <c r="K2458" s="399">
        <v>15</v>
      </c>
      <c r="L2458" s="408">
        <v>22370</v>
      </c>
      <c r="M2458" s="81">
        <f>ROUND(K2458*L2458,0)</f>
        <v>335550</v>
      </c>
      <c r="N2458" s="66" t="s">
        <v>99</v>
      </c>
      <c r="O2458" s="66" t="s">
        <v>260</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customHeight="1">
      <c r="A2459" s="323" t="str">
        <f>IF(B2459&lt;&gt;"",IF(AND(B2459='IN-TC'!$S$4,OR(TH!N2453="1111",TH!O2453="1111")),TH!D2453,""),"")</f>
        <v/>
      </c>
      <c r="B2459" s="63">
        <f t="shared" si="174"/>
        <v>1</v>
      </c>
      <c r="C2459" s="64">
        <v>42394</v>
      </c>
      <c r="D2459" s="64" t="s">
        <v>690</v>
      </c>
      <c r="E2459" s="64">
        <v>42394</v>
      </c>
      <c r="F2459" s="330" t="s">
        <v>696</v>
      </c>
      <c r="G2459" s="67" t="s">
        <v>902</v>
      </c>
      <c r="H2459" s="72"/>
      <c r="I2459" s="408"/>
      <c r="J2459" s="408"/>
      <c r="K2459" s="399">
        <v>1.5</v>
      </c>
      <c r="L2459" s="408">
        <v>22370</v>
      </c>
      <c r="M2459" s="81">
        <f>ROUND(K2459*L2459,0)</f>
        <v>33555</v>
      </c>
      <c r="N2459" s="66" t="s">
        <v>9</v>
      </c>
      <c r="O2459" s="66" t="s">
        <v>260</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x</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customHeight="1">
      <c r="A2460" s="323" t="str">
        <f>IF(B2460&lt;&gt;"",IF(AND(B2460='IN-TC'!$S$4,OR(TH!N2456="1111",TH!O2456="1111")),TH!D2456,""),"")</f>
        <v/>
      </c>
      <c r="B2460" s="63">
        <f t="shared" si="174"/>
        <v>1</v>
      </c>
      <c r="C2460" s="64">
        <v>42394</v>
      </c>
      <c r="D2460" s="64" t="s">
        <v>690</v>
      </c>
      <c r="E2460" s="64">
        <v>42394</v>
      </c>
      <c r="F2460" s="67" t="s">
        <v>1865</v>
      </c>
      <c r="G2460" s="67" t="s">
        <v>902</v>
      </c>
      <c r="H2460" s="329" t="s">
        <v>702</v>
      </c>
      <c r="I2460" s="408"/>
      <c r="J2460" s="408"/>
      <c r="K2460" s="399"/>
      <c r="L2460" s="408"/>
      <c r="M2460" s="65">
        <v>2171830</v>
      </c>
      <c r="N2460" s="66" t="s">
        <v>97</v>
      </c>
      <c r="O2460" s="66" t="s">
        <v>25</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customHeight="1">
      <c r="A2461" s="323" t="str">
        <f>IF(B2461&lt;&gt;"",IF(AND(B2461='IN-TC'!$S$4,OR(TH!N2457="1111",TH!O2457="1111")),TH!D2457,""),"")</f>
        <v/>
      </c>
      <c r="B2461" s="63">
        <f t="shared" si="174"/>
        <v>1</v>
      </c>
      <c r="C2461" s="64">
        <v>42394</v>
      </c>
      <c r="D2461" s="64" t="s">
        <v>690</v>
      </c>
      <c r="E2461" s="64">
        <v>42394</v>
      </c>
      <c r="F2461" s="330" t="s">
        <v>701</v>
      </c>
      <c r="G2461" s="67" t="s">
        <v>902</v>
      </c>
      <c r="H2461" s="329" t="s">
        <v>702</v>
      </c>
      <c r="I2461" s="412"/>
      <c r="J2461" s="412"/>
      <c r="K2461" s="403">
        <v>97000</v>
      </c>
      <c r="L2461" s="412">
        <v>22360</v>
      </c>
      <c r="M2461" s="81">
        <f>ROUND(K2461*L2461,0)</f>
        <v>2168920000</v>
      </c>
      <c r="N2461" s="66" t="s">
        <v>254</v>
      </c>
      <c r="O2461" s="66" t="s">
        <v>260</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customHeight="1">
      <c r="A2462" s="323" t="str">
        <f>IF(B2462&lt;&gt;"",IF(AND(B2462='IN-TC'!$S$4,OR(TH!N2460="1111",TH!O2460="1111")),TH!D2460,""),"")</f>
        <v/>
      </c>
      <c r="B2462" s="63">
        <f t="shared" si="174"/>
        <v>1</v>
      </c>
      <c r="C2462" s="64">
        <v>42394</v>
      </c>
      <c r="D2462" s="64" t="s">
        <v>690</v>
      </c>
      <c r="E2462" s="64">
        <v>42394</v>
      </c>
      <c r="F2462" s="72" t="s">
        <v>1425</v>
      </c>
      <c r="G2462" s="67" t="s">
        <v>902</v>
      </c>
      <c r="H2462" s="72"/>
      <c r="I2462" s="408"/>
      <c r="J2462" s="408"/>
      <c r="K2462" s="399">
        <v>97000</v>
      </c>
      <c r="L2462" s="408">
        <v>22360</v>
      </c>
      <c r="M2462" s="81">
        <f>ROUND(K2462*L2462,0)</f>
        <v>2168920000</v>
      </c>
      <c r="N2462" s="66" t="s">
        <v>25</v>
      </c>
      <c r="O2462" s="66" t="s">
        <v>260</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customHeight="1">
      <c r="A2463" s="323" t="str">
        <f>IF(B2463&lt;&gt;"",IF(AND(B2463='IN-TC'!$S$4,OR(TH!N2461="1111",TH!O2461="1111")),TH!D2461,""),"")</f>
        <v/>
      </c>
      <c r="B2463" s="63">
        <f t="shared" si="174"/>
        <v>1</v>
      </c>
      <c r="C2463" s="64">
        <v>42394</v>
      </c>
      <c r="D2463" s="64" t="s">
        <v>889</v>
      </c>
      <c r="E2463" s="64">
        <v>42394</v>
      </c>
      <c r="F2463" s="67" t="s">
        <v>731</v>
      </c>
      <c r="G2463" s="67" t="s">
        <v>902</v>
      </c>
      <c r="H2463" s="73" t="s">
        <v>748</v>
      </c>
      <c r="I2463" s="412"/>
      <c r="J2463" s="412"/>
      <c r="K2463" s="403"/>
      <c r="L2463" s="412"/>
      <c r="M2463" s="65">
        <v>2168920000</v>
      </c>
      <c r="N2463" s="66" t="s">
        <v>61</v>
      </c>
      <c r="O2463" s="66" t="s">
        <v>25</v>
      </c>
      <c r="P2463" s="82" t="str">
        <f>IF(AND('331-CT'!$E$7=TH!H2463,OR(N2463="331",O2463="331")),"x","")</f>
        <v/>
      </c>
      <c r="Q2463" s="82" t="str">
        <f>IF(AND(B2463='111'!$L$11,OR($N2463=$Q$7,$O2463=$Q$7)),"x","")</f>
        <v/>
      </c>
      <c r="R2463" s="82" t="str">
        <f>IF(AND($N2463=$Q$7,$B2463&lt;'111'!$L$11),"x","")</f>
        <v>x</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customHeight="1">
      <c r="A2464" s="323" t="str">
        <f>IF(B2464&lt;&gt;"",IF(AND(B2464='IN-TC'!$S$4,OR(TH!N2464="1111",TH!O2464="1111")),TH!D2464,""),"")</f>
        <v/>
      </c>
      <c r="B2464" s="63">
        <f t="shared" si="174"/>
        <v>1</v>
      </c>
      <c r="C2464" s="64">
        <v>42395</v>
      </c>
      <c r="D2464" s="64" t="s">
        <v>894</v>
      </c>
      <c r="E2464" s="64">
        <v>42395</v>
      </c>
      <c r="F2464" s="67" t="s">
        <v>722</v>
      </c>
      <c r="G2464" s="67" t="s">
        <v>902</v>
      </c>
      <c r="H2464" s="72" t="s">
        <v>749</v>
      </c>
      <c r="I2464" s="410"/>
      <c r="J2464" s="410"/>
      <c r="K2464" s="399"/>
      <c r="L2464" s="408"/>
      <c r="M2464" s="65">
        <v>45000000</v>
      </c>
      <c r="N2464" s="66" t="s">
        <v>25</v>
      </c>
      <c r="O2464" s="66" t="s">
        <v>61</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customHeight="1">
      <c r="A2465" s="323" t="str">
        <f>IF(B2465&lt;&gt;"",IF(AND(B2465='IN-TC'!$S$4,OR(TH!N2465="1111",TH!O2465="1111")),TH!D2465,""),"")</f>
        <v/>
      </c>
      <c r="B2465" s="63">
        <f t="shared" si="174"/>
        <v>1</v>
      </c>
      <c r="C2465" s="64">
        <v>42395</v>
      </c>
      <c r="D2465" s="64" t="s">
        <v>690</v>
      </c>
      <c r="E2465" s="64">
        <v>42395</v>
      </c>
      <c r="F2465" s="67" t="s">
        <v>735</v>
      </c>
      <c r="G2465" s="67" t="s">
        <v>902</v>
      </c>
      <c r="H2465" s="482" t="s">
        <v>707</v>
      </c>
      <c r="I2465" s="408"/>
      <c r="J2465" s="408"/>
      <c r="K2465" s="399"/>
      <c r="L2465" s="408"/>
      <c r="M2465" s="65">
        <v>6323855</v>
      </c>
      <c r="N2465" s="66" t="s">
        <v>97</v>
      </c>
      <c r="O2465" s="66" t="s">
        <v>25</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customHeight="1">
      <c r="A2466" s="323" t="str">
        <f>IF(B2466&lt;&gt;"",IF(AND(B2466='IN-TC'!$S$4,OR(TH!N2466="1111",TH!O2466="1111")),TH!D2466,""),"")</f>
        <v/>
      </c>
      <c r="B2466" s="63">
        <f t="shared" si="174"/>
        <v>1</v>
      </c>
      <c r="C2466" s="64">
        <v>42395</v>
      </c>
      <c r="D2466" s="64" t="s">
        <v>690</v>
      </c>
      <c r="E2466" s="64">
        <v>42395</v>
      </c>
      <c r="F2466" s="482" t="s">
        <v>736</v>
      </c>
      <c r="G2466" s="67" t="s">
        <v>902</v>
      </c>
      <c r="H2466" s="482" t="s">
        <v>710</v>
      </c>
      <c r="I2466" s="408"/>
      <c r="J2466" s="408"/>
      <c r="K2466" s="399"/>
      <c r="L2466" s="408"/>
      <c r="M2466" s="65">
        <v>6902308</v>
      </c>
      <c r="N2466" s="66" t="s">
        <v>97</v>
      </c>
      <c r="O2466" s="66" t="s">
        <v>25</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customHeight="1">
      <c r="A2467" s="323" t="str">
        <f>IF(B2467&lt;&gt;"",IF(AND(B2467='IN-TC'!$S$4,OR(TH!N2467="1111",TH!O2467="1111")),TH!D2467,""),"")</f>
        <v/>
      </c>
      <c r="B2467" s="63">
        <f t="shared" si="174"/>
        <v>1</v>
      </c>
      <c r="C2467" s="64">
        <v>42395</v>
      </c>
      <c r="D2467" s="64" t="s">
        <v>690</v>
      </c>
      <c r="E2467" s="64">
        <v>42395</v>
      </c>
      <c r="F2467" s="482" t="s">
        <v>737</v>
      </c>
      <c r="G2467" s="67" t="s">
        <v>902</v>
      </c>
      <c r="H2467" s="482" t="s">
        <v>711</v>
      </c>
      <c r="I2467" s="412"/>
      <c r="J2467" s="408"/>
      <c r="K2467" s="403"/>
      <c r="L2467" s="412"/>
      <c r="M2467" s="65">
        <v>6863849</v>
      </c>
      <c r="N2467" s="66" t="s">
        <v>97</v>
      </c>
      <c r="O2467" s="66" t="s">
        <v>25</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customHeight="1">
      <c r="A2468" s="323" t="str">
        <f>IF(B2468&lt;&gt;"",IF(AND(B2468='IN-TC'!$S$4,OR(TH!N2468="1111",TH!O2468="1111")),TH!D2468,""),"")</f>
        <v/>
      </c>
      <c r="B2468" s="63">
        <f t="shared" si="174"/>
        <v>1</v>
      </c>
      <c r="C2468" s="64">
        <v>42395</v>
      </c>
      <c r="D2468" s="64" t="s">
        <v>690</v>
      </c>
      <c r="E2468" s="64">
        <v>42395</v>
      </c>
      <c r="F2468" s="482" t="s">
        <v>738</v>
      </c>
      <c r="G2468" s="67" t="s">
        <v>902</v>
      </c>
      <c r="H2468" s="482" t="s">
        <v>718</v>
      </c>
      <c r="I2468" s="408"/>
      <c r="J2468" s="408"/>
      <c r="K2468" s="399"/>
      <c r="L2468" s="408"/>
      <c r="M2468" s="65">
        <v>8954733</v>
      </c>
      <c r="N2468" s="66" t="s">
        <v>97</v>
      </c>
      <c r="O2468" s="66" t="s">
        <v>25</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customHeight="1">
      <c r="A2469" s="323" t="str">
        <f>IF(B2469&lt;&gt;"",IF(AND(B2469='IN-TC'!$S$4,OR(TH!N2469="1111",TH!O2469="1111")),TH!D2469,""),"")</f>
        <v/>
      </c>
      <c r="B2469" s="63">
        <f t="shared" si="174"/>
        <v>1</v>
      </c>
      <c r="C2469" s="64">
        <v>42395</v>
      </c>
      <c r="D2469" s="64" t="s">
        <v>690</v>
      </c>
      <c r="E2469" s="64">
        <v>42395</v>
      </c>
      <c r="F2469" s="482" t="s">
        <v>739</v>
      </c>
      <c r="G2469" s="67" t="s">
        <v>902</v>
      </c>
      <c r="H2469" s="482" t="s">
        <v>712</v>
      </c>
      <c r="I2469" s="408"/>
      <c r="J2469" s="408"/>
      <c r="K2469" s="399"/>
      <c r="L2469" s="408"/>
      <c r="M2469" s="65">
        <v>10627708</v>
      </c>
      <c r="N2469" s="66" t="s">
        <v>97</v>
      </c>
      <c r="O2469" s="66" t="s">
        <v>25</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customHeight="1">
      <c r="A2470" s="323" t="str">
        <f>IF(B2470&lt;&gt;"",IF(AND(B2470='IN-TC'!$S$4,OR(TH!N2479="1111",TH!O2479="1111")),TH!D2479,""),"")</f>
        <v/>
      </c>
      <c r="B2470" s="63">
        <f t="shared" si="174"/>
        <v>1</v>
      </c>
      <c r="C2470" s="78">
        <f>E2470</f>
        <v>42396</v>
      </c>
      <c r="D2470" s="78" t="s">
        <v>895</v>
      </c>
      <c r="E2470" s="78">
        <v>42396</v>
      </c>
      <c r="F2470" s="482" t="s">
        <v>947</v>
      </c>
      <c r="G2470" s="79"/>
      <c r="H2470" s="80" t="s">
        <v>946</v>
      </c>
      <c r="I2470" s="406"/>
      <c r="J2470" s="406"/>
      <c r="K2470" s="397"/>
      <c r="L2470" s="406"/>
      <c r="M2470" s="81">
        <v>660000000</v>
      </c>
      <c r="N2470" s="82" t="s">
        <v>266</v>
      </c>
      <c r="O2470" s="66" t="s">
        <v>61</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customHeight="1">
      <c r="A2471" s="323" t="str">
        <f>IF(B2471&lt;&gt;"",IF(AND(B2471='IN-TC'!$S$4,OR(TH!N2473="1111",TH!O2473="1111")),TH!D2473,""),"")</f>
        <v/>
      </c>
      <c r="B2471" s="63">
        <f t="shared" si="174"/>
        <v>1</v>
      </c>
      <c r="C2471" s="64">
        <f>E2471</f>
        <v>42396</v>
      </c>
      <c r="D2471" s="64" t="s">
        <v>570</v>
      </c>
      <c r="E2471" s="64">
        <v>42396</v>
      </c>
      <c r="F2471" s="482" t="s">
        <v>601</v>
      </c>
      <c r="G2471" s="67" t="s">
        <v>902</v>
      </c>
      <c r="H2471" s="71" t="s">
        <v>586</v>
      </c>
      <c r="I2471" s="409"/>
      <c r="J2471" s="409"/>
      <c r="K2471" s="400">
        <v>5.5</v>
      </c>
      <c r="L2471" s="409">
        <v>22310</v>
      </c>
      <c r="M2471" s="65">
        <f>ROUND(K2471*L2471,0)</f>
        <v>122705</v>
      </c>
      <c r="N2471" s="66" t="s">
        <v>99</v>
      </c>
      <c r="O2471" s="66" t="s">
        <v>576</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customHeight="1">
      <c r="A2472" s="323" t="str">
        <f>IF(B2472&lt;&gt;"",IF(AND(B2472='IN-TC'!$S$4,OR(TH!N2574="1111",TH!O2574="1111")),TH!D2574,""),"")</f>
        <v/>
      </c>
      <c r="B2472" s="63">
        <f t="shared" si="174"/>
        <v>2</v>
      </c>
      <c r="C2472" s="64">
        <v>42418</v>
      </c>
      <c r="D2472" s="64" t="s">
        <v>687</v>
      </c>
      <c r="E2472" s="64">
        <v>42418</v>
      </c>
      <c r="F2472" s="482" t="s">
        <v>1034</v>
      </c>
      <c r="G2472" s="67" t="s">
        <v>902</v>
      </c>
      <c r="H2472" s="72" t="s">
        <v>586</v>
      </c>
      <c r="I2472" s="408"/>
      <c r="J2472" s="408"/>
      <c r="K2472" s="399">
        <v>1750.86</v>
      </c>
      <c r="L2472" s="408">
        <v>22370</v>
      </c>
      <c r="M2472" s="65">
        <f>ROUND(K2472*L2472,0)</f>
        <v>39166738</v>
      </c>
      <c r="N2472" s="66" t="s">
        <v>260</v>
      </c>
      <c r="O2472" s="66" t="s">
        <v>576</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customHeight="1">
      <c r="A2473" s="323" t="str">
        <f>IF(B2473&lt;&gt;"",IF(AND(B2473='IN-TC'!$S$4,OR(TH!N2575="1111",TH!O2575="1111")),TH!D2575,""),"")</f>
        <v/>
      </c>
      <c r="B2473" s="63">
        <f t="shared" si="174"/>
        <v>2</v>
      </c>
      <c r="C2473" s="64">
        <f>E2473</f>
        <v>42418</v>
      </c>
      <c r="D2473" s="64" t="s">
        <v>570</v>
      </c>
      <c r="E2473" s="64">
        <v>42418</v>
      </c>
      <c r="F2473" s="482" t="s">
        <v>1045</v>
      </c>
      <c r="G2473" s="67" t="s">
        <v>902</v>
      </c>
      <c r="H2473" s="72" t="s">
        <v>586</v>
      </c>
      <c r="I2473" s="408"/>
      <c r="J2473" s="408"/>
      <c r="K2473" s="399">
        <v>59.4</v>
      </c>
      <c r="L2473" s="408">
        <v>22370</v>
      </c>
      <c r="M2473" s="65">
        <f>ROUND(K2473*L2473,0)</f>
        <v>1328778</v>
      </c>
      <c r="N2473" s="66" t="s">
        <v>99</v>
      </c>
      <c r="O2473" s="66" t="s">
        <v>576</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customHeight="1">
      <c r="A2474" s="323" t="str">
        <f>IF(B2474&lt;&gt;"",IF(AND(B2474='IN-TC'!$S$4,OR(TH!N2576="1111",TH!O2576="1111")),TH!D2576,""),"")</f>
        <v/>
      </c>
      <c r="B2474" s="63">
        <f t="shared" si="174"/>
        <v>2</v>
      </c>
      <c r="C2474" s="64">
        <f>E2474</f>
        <v>42418</v>
      </c>
      <c r="D2474" s="64" t="s">
        <v>570</v>
      </c>
      <c r="E2474" s="64">
        <v>42418</v>
      </c>
      <c r="F2474" s="482" t="s">
        <v>1046</v>
      </c>
      <c r="G2474" s="67" t="s">
        <v>902</v>
      </c>
      <c r="H2474" s="72" t="s">
        <v>586</v>
      </c>
      <c r="I2474" s="408"/>
      <c r="J2474" s="408"/>
      <c r="K2474" s="399">
        <v>5.94</v>
      </c>
      <c r="L2474" s="408">
        <v>22370</v>
      </c>
      <c r="M2474" s="65">
        <f>ROUND(K2474*L2474,0)</f>
        <v>132878</v>
      </c>
      <c r="N2474" s="66" t="s">
        <v>9</v>
      </c>
      <c r="O2474" s="66" t="s">
        <v>576</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x</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customHeight="1">
      <c r="A2475" s="323" t="str">
        <f>IF(B2475&lt;&gt;"",IF(AND(B2475='IN-TC'!$S$4,OR(TH!N2474="1111",TH!O2474="1111")),TH!D2474,""),"")</f>
        <v/>
      </c>
      <c r="B2475" s="63">
        <f t="shared" si="174"/>
        <v>1</v>
      </c>
      <c r="C2475" s="64">
        <v>42396</v>
      </c>
      <c r="D2475" s="64" t="s">
        <v>690</v>
      </c>
      <c r="E2475" s="64">
        <v>42396</v>
      </c>
      <c r="F2475" s="72" t="s">
        <v>1425</v>
      </c>
      <c r="G2475" s="67" t="s">
        <v>902</v>
      </c>
      <c r="H2475" s="72"/>
      <c r="I2475" s="408"/>
      <c r="J2475" s="408"/>
      <c r="K2475" s="399">
        <v>39400</v>
      </c>
      <c r="L2475" s="408">
        <v>22280</v>
      </c>
      <c r="M2475" s="81">
        <f>ROUND(K2475*L2475,0)</f>
        <v>877832000</v>
      </c>
      <c r="N2475" s="66" t="s">
        <v>25</v>
      </c>
      <c r="O2475" s="66" t="s">
        <v>260</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customHeight="1">
      <c r="A2476" s="323" t="str">
        <f>IF(B2476&lt;&gt;"",IF(AND(B2476='IN-TC'!$S$4,OR(TH!N2035="1111",TH!O2035="1111")),TH!D2035,""),"")</f>
        <v/>
      </c>
      <c r="B2476" s="63">
        <f t="shared" si="174"/>
        <v>9</v>
      </c>
      <c r="C2476" s="78">
        <v>42621</v>
      </c>
      <c r="D2476" s="78" t="s">
        <v>570</v>
      </c>
      <c r="E2476" s="78">
        <f>C2476</f>
        <v>42621</v>
      </c>
      <c r="F2476" s="80" t="s">
        <v>1996</v>
      </c>
      <c r="G2476" s="934" t="s">
        <v>2051</v>
      </c>
      <c r="H2476" s="80" t="s">
        <v>617</v>
      </c>
      <c r="I2476" s="406"/>
      <c r="J2476" s="406"/>
      <c r="K2476" s="397"/>
      <c r="L2476" s="406"/>
      <c r="M2476" s="81">
        <v>19673900</v>
      </c>
      <c r="N2476" s="82" t="s">
        <v>276</v>
      </c>
      <c r="O2476" s="82" t="s">
        <v>8</v>
      </c>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customHeight="1">
      <c r="A2477" s="323" t="str">
        <f>IF(B2477&lt;&gt;"",IF(AND(B2477='IN-TC'!$S$4,OR(TH!N2477="1111",TH!O2477="1111")),TH!D2477,""),"")</f>
        <v/>
      </c>
      <c r="B2477" s="63">
        <f t="shared" si="174"/>
        <v>1</v>
      </c>
      <c r="C2477" s="64">
        <v>42396</v>
      </c>
      <c r="D2477" s="64" t="s">
        <v>690</v>
      </c>
      <c r="E2477" s="64">
        <v>42396</v>
      </c>
      <c r="F2477" s="482" t="s">
        <v>728</v>
      </c>
      <c r="G2477" s="67" t="s">
        <v>902</v>
      </c>
      <c r="H2477" s="482"/>
      <c r="I2477" s="408"/>
      <c r="J2477" s="408"/>
      <c r="K2477" s="399"/>
      <c r="L2477" s="408"/>
      <c r="M2477" s="65">
        <v>25000</v>
      </c>
      <c r="N2477" s="66" t="s">
        <v>99</v>
      </c>
      <c r="O2477" s="66" t="s">
        <v>25</v>
      </c>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customHeight="1">
      <c r="A2478" s="323" t="str">
        <f>IF(B2478&lt;&gt;"",IF(AND(B2478='IN-TC'!$S$4,OR(TH!N2478="1111",TH!O2478="1111")),TH!D2478,""),"")</f>
        <v/>
      </c>
      <c r="B2478" s="63">
        <f t="shared" ref="B2478:B2541" si="175">IF(C2478&lt;&gt;"",MONTH(C2478),"")</f>
        <v>1</v>
      </c>
      <c r="C2478" s="64">
        <v>42396</v>
      </c>
      <c r="D2478" s="64" t="s">
        <v>690</v>
      </c>
      <c r="E2478" s="64">
        <v>42396</v>
      </c>
      <c r="F2478" s="482" t="s">
        <v>730</v>
      </c>
      <c r="G2478" s="67" t="s">
        <v>902</v>
      </c>
      <c r="H2478" s="821"/>
      <c r="I2478" s="412"/>
      <c r="J2478" s="412"/>
      <c r="K2478" s="403"/>
      <c r="L2478" s="412"/>
      <c r="M2478" s="65">
        <v>2500</v>
      </c>
      <c r="N2478" s="66" t="s">
        <v>9</v>
      </c>
      <c r="O2478" s="66" t="s">
        <v>25</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x</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customHeight="1">
      <c r="A2479" s="323" t="str">
        <f>IF(B2479&lt;&gt;"",IF(AND(B2479='IN-TC'!$S$4,OR(TH!N2475="1111",TH!O2475="1111")),TH!D2475,""),"")</f>
        <v/>
      </c>
      <c r="B2479" s="63">
        <f t="shared" si="175"/>
        <v>1</v>
      </c>
      <c r="C2479" s="64">
        <v>42396</v>
      </c>
      <c r="D2479" s="64" t="s">
        <v>892</v>
      </c>
      <c r="E2479" s="64">
        <v>42396</v>
      </c>
      <c r="F2479" s="482" t="s">
        <v>731</v>
      </c>
      <c r="G2479" s="67" t="s">
        <v>902</v>
      </c>
      <c r="H2479" s="73" t="s">
        <v>748</v>
      </c>
      <c r="I2479" s="411"/>
      <c r="J2479" s="408"/>
      <c r="K2479" s="402"/>
      <c r="L2479" s="411"/>
      <c r="M2479" s="65">
        <v>850000000</v>
      </c>
      <c r="N2479" s="66" t="s">
        <v>61</v>
      </c>
      <c r="O2479" s="66" t="s">
        <v>25</v>
      </c>
      <c r="P2479" s="82" t="str">
        <f>IF(AND('331-CT'!$E$7=TH!H2479,OR(N2479="331",O2479="331")),"x","")</f>
        <v/>
      </c>
      <c r="Q2479" s="82" t="str">
        <f>IF(AND(B2479='111'!$L$11,OR($N2479=$Q$7,$O2479=$Q$7)),"x","")</f>
        <v/>
      </c>
      <c r="R2479" s="82" t="str">
        <f>IF(AND($N2479=$Q$7,$B2479&lt;'111'!$L$11),"x","")</f>
        <v>x</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customHeight="1">
      <c r="A2480" s="323" t="str">
        <f>IF(B2480&lt;&gt;"",IF(AND(B2480='IN-TC'!$S$4,OR(TH!N3007="1111",TH!O3007="1111")),TH!D3007,""),"")</f>
        <v/>
      </c>
      <c r="B2480" s="63">
        <f t="shared" si="175"/>
        <v>5</v>
      </c>
      <c r="C2480" s="64">
        <f>E2480</f>
        <v>42508</v>
      </c>
      <c r="D2480" s="64" t="s">
        <v>570</v>
      </c>
      <c r="E2480" s="64">
        <v>42508</v>
      </c>
      <c r="F2480" s="72" t="s">
        <v>1497</v>
      </c>
      <c r="G2480" s="931" t="s">
        <v>902</v>
      </c>
      <c r="H2480" s="329" t="s">
        <v>589</v>
      </c>
      <c r="I2480" s="408"/>
      <c r="J2480" s="408"/>
      <c r="K2480" s="399">
        <v>106.2</v>
      </c>
      <c r="L2480" s="408">
        <v>22270</v>
      </c>
      <c r="M2480" s="65">
        <f>ROUND(K2480*L2480,0)</f>
        <v>2365074</v>
      </c>
      <c r="N2480" s="66" t="s">
        <v>99</v>
      </c>
      <c r="O2480" s="66" t="s">
        <v>576</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customHeight="1">
      <c r="A2481" s="323" t="str">
        <f>IF(B2481&lt;&gt;"",IF(AND(B2481='IN-TC'!$S$4,OR(TH!N3008="1111",TH!O3008="1111")),TH!D3008,""),"")</f>
        <v/>
      </c>
      <c r="B2481" s="63">
        <f t="shared" si="175"/>
        <v>5</v>
      </c>
      <c r="C2481" s="64">
        <f>E2481</f>
        <v>42508</v>
      </c>
      <c r="D2481" s="64" t="s">
        <v>570</v>
      </c>
      <c r="E2481" s="64">
        <v>42508</v>
      </c>
      <c r="F2481" s="72" t="s">
        <v>1497</v>
      </c>
      <c r="G2481" s="931" t="s">
        <v>902</v>
      </c>
      <c r="H2481" s="329" t="s">
        <v>589</v>
      </c>
      <c r="I2481" s="408"/>
      <c r="J2481" s="408"/>
      <c r="K2481" s="399">
        <v>10.62</v>
      </c>
      <c r="L2481" s="408">
        <v>22270</v>
      </c>
      <c r="M2481" s="65">
        <f>ROUND(K2481*L2481,0)</f>
        <v>236507</v>
      </c>
      <c r="N2481" s="66" t="s">
        <v>99</v>
      </c>
      <c r="O2481" s="66" t="s">
        <v>576</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customHeight="1">
      <c r="A2482" s="323" t="str">
        <f>IF(B2482&lt;&gt;"",IF(AND(B2482='IN-TC'!$S$4,OR(TH!N3009="1111",TH!O3009="1111")),TH!D3009,""),"")</f>
        <v/>
      </c>
      <c r="B2482" s="63">
        <f t="shared" si="175"/>
        <v>5</v>
      </c>
      <c r="C2482" s="90">
        <f>E2482</f>
        <v>42508</v>
      </c>
      <c r="D2482" s="90" t="s">
        <v>570</v>
      </c>
      <c r="E2482" s="90">
        <v>42508</v>
      </c>
      <c r="F2482" s="72" t="s">
        <v>1499</v>
      </c>
      <c r="G2482" s="1089" t="s">
        <v>902</v>
      </c>
      <c r="H2482" s="937" t="s">
        <v>589</v>
      </c>
      <c r="I2482" s="414"/>
      <c r="J2482" s="414"/>
      <c r="K2482" s="405">
        <v>79</v>
      </c>
      <c r="L2482" s="414">
        <v>22270</v>
      </c>
      <c r="M2482" s="93">
        <f>ROUND(K2482*L2482,0)</f>
        <v>1759330</v>
      </c>
      <c r="N2482" s="83" t="s">
        <v>9</v>
      </c>
      <c r="O2482" s="83" t="s">
        <v>576</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x</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customHeight="1">
      <c r="A2483" s="323" t="str">
        <f>IF(B2483&lt;&gt;"",IF(AND(B2483='IN-TC'!$S$4,OR(TH!N2490="1111",TH!O2490="1111")),TH!D2490,""),"")</f>
        <v/>
      </c>
      <c r="B2483" s="63">
        <f t="shared" si="175"/>
        <v>1</v>
      </c>
      <c r="C2483" s="64">
        <v>42398</v>
      </c>
      <c r="D2483" s="64" t="s">
        <v>896</v>
      </c>
      <c r="E2483" s="64">
        <v>42398</v>
      </c>
      <c r="F2483" s="482" t="s">
        <v>724</v>
      </c>
      <c r="G2483" s="67" t="s">
        <v>901</v>
      </c>
      <c r="H2483" s="67" t="s">
        <v>748</v>
      </c>
      <c r="I2483" s="408"/>
      <c r="J2483" s="408"/>
      <c r="K2483" s="399"/>
      <c r="L2483" s="408"/>
      <c r="M2483" s="65">
        <v>2000000</v>
      </c>
      <c r="N2483" s="66" t="s">
        <v>25</v>
      </c>
      <c r="O2483" s="66" t="s">
        <v>61</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customHeight="1">
      <c r="A2484" s="323" t="str">
        <f>IF(B2484&lt;&gt;"",IF(AND(B2484='IN-TC'!$S$4,OR(TH!N2495="1111",TH!O2495="1111")),TH!D2495,""),"")</f>
        <v/>
      </c>
      <c r="B2484" s="63">
        <f t="shared" si="175"/>
        <v>1</v>
      </c>
      <c r="C2484" s="64">
        <v>42398</v>
      </c>
      <c r="D2484" s="64" t="s">
        <v>897</v>
      </c>
      <c r="E2484" s="64">
        <v>42398</v>
      </c>
      <c r="F2484" s="482" t="s">
        <v>761</v>
      </c>
      <c r="G2484" s="67" t="s">
        <v>824</v>
      </c>
      <c r="H2484" s="331" t="s">
        <v>792</v>
      </c>
      <c r="I2484" s="412"/>
      <c r="J2484" s="412"/>
      <c r="K2484" s="403"/>
      <c r="L2484" s="412"/>
      <c r="M2484" s="65">
        <v>660273</v>
      </c>
      <c r="N2484" s="66" t="s">
        <v>99</v>
      </c>
      <c r="O2484" s="66" t="s">
        <v>61</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customHeight="1">
      <c r="A2485" s="323" t="str">
        <f>IF(B2485&lt;&gt;"",IF(AND(B2485='IN-TC'!$S$4,OR(TH!N2496="1111",TH!O2496="1111")),TH!D2496,""),"")</f>
        <v/>
      </c>
      <c r="B2485" s="63">
        <f t="shared" si="175"/>
        <v>1</v>
      </c>
      <c r="C2485" s="64">
        <v>42398</v>
      </c>
      <c r="D2485" s="64" t="s">
        <v>897</v>
      </c>
      <c r="E2485" s="64">
        <v>42398</v>
      </c>
      <c r="F2485" s="482" t="s">
        <v>762</v>
      </c>
      <c r="G2485" s="67" t="s">
        <v>824</v>
      </c>
      <c r="H2485" s="72" t="s">
        <v>792</v>
      </c>
      <c r="I2485" s="408"/>
      <c r="J2485" s="408"/>
      <c r="K2485" s="399"/>
      <c r="L2485" s="408"/>
      <c r="M2485" s="65">
        <v>66027</v>
      </c>
      <c r="N2485" s="66" t="s">
        <v>9</v>
      </c>
      <c r="O2485" s="66" t="s">
        <v>61</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x</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customHeight="1">
      <c r="A2486" s="323" t="str">
        <f>IF(B2486&lt;&gt;"",IF(AND(B2486='IN-TC'!$S$4,OR(TH!N2487="1111",TH!O2487="1111")),TH!D2487,""),"")</f>
        <v/>
      </c>
      <c r="B2486" s="63">
        <f t="shared" si="175"/>
        <v>1</v>
      </c>
      <c r="C2486" s="64">
        <v>42398</v>
      </c>
      <c r="D2486" s="64" t="s">
        <v>570</v>
      </c>
      <c r="E2486" s="64">
        <v>42398</v>
      </c>
      <c r="F2486" s="482" t="s">
        <v>720</v>
      </c>
      <c r="G2486" s="67" t="s">
        <v>901</v>
      </c>
      <c r="H2486" s="72" t="s">
        <v>704</v>
      </c>
      <c r="I2486" s="408"/>
      <c r="J2486" s="408"/>
      <c r="K2486" s="399"/>
      <c r="L2486" s="408"/>
      <c r="M2486" s="65">
        <v>21443000</v>
      </c>
      <c r="N2486" s="66" t="s">
        <v>97</v>
      </c>
      <c r="O2486" s="66" t="s">
        <v>254</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customHeight="1">
      <c r="A2487" s="323" t="str">
        <f>IF(B2487&lt;&gt;"",IF(AND(B2487='IN-TC'!$S$4,OR(TH!N2488="1111",TH!O2488="1111")),TH!D2488,""),"")</f>
        <v/>
      </c>
      <c r="B2487" s="63">
        <f t="shared" si="175"/>
        <v>1</v>
      </c>
      <c r="C2487" s="90">
        <v>42398</v>
      </c>
      <c r="D2487" s="64" t="s">
        <v>570</v>
      </c>
      <c r="E2487" s="90">
        <v>42398</v>
      </c>
      <c r="F2487" s="482" t="s">
        <v>747</v>
      </c>
      <c r="G2487" s="91"/>
      <c r="H2487" s="92"/>
      <c r="I2487" s="414"/>
      <c r="J2487" s="414"/>
      <c r="K2487" s="405"/>
      <c r="L2487" s="414"/>
      <c r="M2487" s="93">
        <v>9640081</v>
      </c>
      <c r="N2487" s="83" t="s">
        <v>260</v>
      </c>
      <c r="O2487" s="66" t="s">
        <v>41</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customHeight="1">
      <c r="A2488" s="323" t="str">
        <f>IF(B2488&lt;&gt;"",IF(AND(B2488='IN-TC'!$S$4,OR(TH!N2483="1111",TH!O2483="1111")),TH!D2483,""),"")</f>
        <v/>
      </c>
      <c r="B2488" s="63">
        <f t="shared" si="175"/>
        <v>1</v>
      </c>
      <c r="C2488" s="64">
        <v>42398</v>
      </c>
      <c r="D2488" s="64" t="s">
        <v>687</v>
      </c>
      <c r="E2488" s="64">
        <v>42398</v>
      </c>
      <c r="F2488" s="482" t="s">
        <v>688</v>
      </c>
      <c r="G2488" s="67" t="s">
        <v>908</v>
      </c>
      <c r="H2488" s="331"/>
      <c r="I2488" s="412"/>
      <c r="J2488" s="412"/>
      <c r="K2488" s="403">
        <v>52300</v>
      </c>
      <c r="L2488" s="412">
        <v>22225</v>
      </c>
      <c r="M2488" s="81">
        <f>ROUND(K2488*L2488,0)</f>
        <v>1162367500</v>
      </c>
      <c r="N2488" s="66" t="s">
        <v>260</v>
      </c>
      <c r="O2488" s="66" t="s">
        <v>260</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customHeight="1">
      <c r="A2489" s="323" t="str">
        <f>IF(B2489&lt;&gt;"",IF(AND(B2489='IN-TC'!$S$4,OR(TH!N2489="1111",TH!O2489="1111")),TH!D2489,""),"")</f>
        <v/>
      </c>
      <c r="B2489" s="63">
        <f t="shared" si="175"/>
        <v>1</v>
      </c>
      <c r="C2489" s="64">
        <v>42398</v>
      </c>
      <c r="D2489" s="64" t="s">
        <v>687</v>
      </c>
      <c r="E2489" s="64">
        <v>42398</v>
      </c>
      <c r="F2489" s="482" t="s">
        <v>726</v>
      </c>
      <c r="G2489" s="67" t="s">
        <v>901</v>
      </c>
      <c r="H2489" s="72" t="s">
        <v>727</v>
      </c>
      <c r="I2489" s="408"/>
      <c r="J2489" s="408"/>
      <c r="K2489" s="399">
        <v>52300</v>
      </c>
      <c r="L2489" s="408">
        <f>M2489/K2489</f>
        <v>22220</v>
      </c>
      <c r="M2489" s="65">
        <v>1162106000</v>
      </c>
      <c r="N2489" s="66" t="s">
        <v>25</v>
      </c>
      <c r="O2489" s="66" t="s">
        <v>254</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customHeight="1">
      <c r="A2490" s="323" t="str">
        <f>IF(B2490&lt;&gt;"",IF(AND(B2490='IN-TC'!$S$4,OR(TH!N2484="1111",TH!O2484="1111")),TH!D2484,""),"")</f>
        <v/>
      </c>
      <c r="B2490" s="63">
        <f t="shared" si="175"/>
        <v>1</v>
      </c>
      <c r="C2490" s="64">
        <v>42398</v>
      </c>
      <c r="D2490" s="64" t="s">
        <v>690</v>
      </c>
      <c r="E2490" s="64">
        <v>42398</v>
      </c>
      <c r="F2490" s="72" t="s">
        <v>1425</v>
      </c>
      <c r="G2490" s="67" t="s">
        <v>902</v>
      </c>
      <c r="H2490" s="72"/>
      <c r="I2490" s="408"/>
      <c r="J2490" s="408"/>
      <c r="K2490" s="399">
        <v>19400</v>
      </c>
      <c r="L2490" s="408">
        <v>22225</v>
      </c>
      <c r="M2490" s="81">
        <f>ROUND(K2490*L2490,0)</f>
        <v>431165000</v>
      </c>
      <c r="N2490" s="66" t="s">
        <v>25</v>
      </c>
      <c r="O2490" s="66" t="s">
        <v>260</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customHeight="1">
      <c r="A2491" s="323" t="str">
        <f>IF(B2491&lt;&gt;"",IF(AND(B2491='IN-TC'!$S$4,OR(TH!N2485="1111",TH!O2485="1111")),TH!D2485,""),"")</f>
        <v/>
      </c>
      <c r="B2491" s="63">
        <f t="shared" si="175"/>
        <v>1</v>
      </c>
      <c r="C2491" s="64">
        <v>42398</v>
      </c>
      <c r="D2491" s="64" t="s">
        <v>690</v>
      </c>
      <c r="E2491" s="64">
        <v>42398</v>
      </c>
      <c r="F2491" s="482" t="s">
        <v>703</v>
      </c>
      <c r="G2491" s="67" t="s">
        <v>901</v>
      </c>
      <c r="H2491" s="72" t="s">
        <v>704</v>
      </c>
      <c r="I2491" s="408"/>
      <c r="J2491" s="408"/>
      <c r="K2491" s="399">
        <v>52300</v>
      </c>
      <c r="L2491" s="408">
        <v>22490</v>
      </c>
      <c r="M2491" s="81">
        <f>ROUND(K2491*L2491,0)</f>
        <v>1176227000</v>
      </c>
      <c r="N2491" s="66" t="s">
        <v>254</v>
      </c>
      <c r="O2491" s="66" t="s">
        <v>260</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customHeight="1">
      <c r="A2492" s="323" t="str">
        <f>IF(B2492&lt;&gt;"",IF(AND(B2492='IN-TC'!$S$4,OR(TH!N2486="1111",TH!O2486="1111")),TH!D2486,""),"")</f>
        <v/>
      </c>
      <c r="B2492" s="63">
        <f t="shared" si="175"/>
        <v>1</v>
      </c>
      <c r="C2492" s="64">
        <v>42398</v>
      </c>
      <c r="D2492" s="64" t="s">
        <v>690</v>
      </c>
      <c r="E2492" s="64">
        <v>42398</v>
      </c>
      <c r="F2492" s="330" t="s">
        <v>741</v>
      </c>
      <c r="G2492" s="67" t="s">
        <v>901</v>
      </c>
      <c r="H2492" s="72" t="s">
        <v>704</v>
      </c>
      <c r="I2492" s="408"/>
      <c r="J2492" s="408"/>
      <c r="K2492" s="399">
        <v>81.36</v>
      </c>
      <c r="L2492" s="408">
        <v>22490</v>
      </c>
      <c r="M2492" s="81">
        <f>ROUND(K2492*L2492,0)</f>
        <v>1829786</v>
      </c>
      <c r="N2492" s="66" t="s">
        <v>97</v>
      </c>
      <c r="O2492" s="66" t="s">
        <v>260</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customHeight="1">
      <c r="A2493" s="323" t="str">
        <f>IF(B2493&lt;&gt;"",IF(AND(B2493='IN-TC'!$S$4,OR(TH!N2493="1111",TH!O2493="1111")),TH!D2493,""),"")</f>
        <v/>
      </c>
      <c r="B2493" s="63">
        <f t="shared" si="175"/>
        <v>1</v>
      </c>
      <c r="C2493" s="64">
        <v>42398</v>
      </c>
      <c r="D2493" s="64" t="s">
        <v>690</v>
      </c>
      <c r="E2493" s="64">
        <v>42398</v>
      </c>
      <c r="F2493" s="482" t="s">
        <v>745</v>
      </c>
      <c r="G2493" s="67" t="s">
        <v>901</v>
      </c>
      <c r="H2493" s="72"/>
      <c r="I2493" s="408"/>
      <c r="J2493" s="408"/>
      <c r="K2493" s="399"/>
      <c r="L2493" s="408"/>
      <c r="M2493" s="65">
        <v>20000</v>
      </c>
      <c r="N2493" s="66" t="s">
        <v>99</v>
      </c>
      <c r="O2493" s="66" t="s">
        <v>25</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customHeight="1">
      <c r="A2494" s="323" t="str">
        <f>IF(B2494&lt;&gt;"",IF(AND(B2494='IN-TC'!$S$4,OR(TH!N2494="1111",TH!O2494="1111")),TH!D2494,""),"")</f>
        <v/>
      </c>
      <c r="B2494" s="63">
        <f t="shared" si="175"/>
        <v>1</v>
      </c>
      <c r="C2494" s="64">
        <v>42398</v>
      </c>
      <c r="D2494" s="64" t="s">
        <v>690</v>
      </c>
      <c r="E2494" s="64">
        <v>42398</v>
      </c>
      <c r="F2494" s="482" t="s">
        <v>746</v>
      </c>
      <c r="G2494" s="67" t="s">
        <v>901</v>
      </c>
      <c r="H2494" s="72"/>
      <c r="I2494" s="408"/>
      <c r="J2494" s="408"/>
      <c r="K2494" s="399"/>
      <c r="L2494" s="408"/>
      <c r="M2494" s="65">
        <v>2000</v>
      </c>
      <c r="N2494" s="66" t="s">
        <v>9</v>
      </c>
      <c r="O2494" s="66" t="s">
        <v>25</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x</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customHeight="1">
      <c r="A2495" s="323" t="str">
        <f>IF(B2495&lt;&gt;"",IF(AND(B2495='IN-TC'!$S$4,OR(TH!N2491="1111",TH!O2491="1111")),TH!D2491,""),"")</f>
        <v/>
      </c>
      <c r="B2495" s="63">
        <f t="shared" si="175"/>
        <v>1</v>
      </c>
      <c r="C2495" s="64">
        <v>42398</v>
      </c>
      <c r="D2495" s="64" t="s">
        <v>893</v>
      </c>
      <c r="E2495" s="64">
        <v>42398</v>
      </c>
      <c r="F2495" s="482" t="s">
        <v>731</v>
      </c>
      <c r="G2495" s="67" t="s">
        <v>902</v>
      </c>
      <c r="H2495" s="73" t="s">
        <v>748</v>
      </c>
      <c r="I2495" s="408"/>
      <c r="J2495" s="408"/>
      <c r="K2495" s="399"/>
      <c r="L2495" s="408"/>
      <c r="M2495" s="65">
        <v>370000000</v>
      </c>
      <c r="N2495" s="66" t="s">
        <v>61</v>
      </c>
      <c r="O2495" s="66" t="s">
        <v>25</v>
      </c>
      <c r="P2495" s="82" t="str">
        <f>IF(AND('331-CT'!$E$7=TH!H2495,OR(N2495="331",O2495="331")),"x","")</f>
        <v/>
      </c>
      <c r="Q2495" s="82" t="str">
        <f>IF(AND(B2495='111'!$L$11,OR($N2495=$Q$7,$O2495=$Q$7)),"x","")</f>
        <v/>
      </c>
      <c r="R2495" s="82" t="str">
        <f>IF(AND($N2495=$Q$7,$B2495&lt;'111'!$L$11),"x","")</f>
        <v>x</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customHeight="1">
      <c r="A2496" s="323" t="str">
        <f>IF(B2496&lt;&gt;"",IF(AND(B2496='IN-TC'!$S$4,OR(TH!N2492="1111",TH!O2492="1111")),TH!D2492,""),"")</f>
        <v/>
      </c>
      <c r="B2496" s="63">
        <f t="shared" si="175"/>
        <v>1</v>
      </c>
      <c r="C2496" s="64">
        <v>42398</v>
      </c>
      <c r="D2496" s="64" t="s">
        <v>900</v>
      </c>
      <c r="E2496" s="64">
        <v>42398</v>
      </c>
      <c r="F2496" s="482" t="s">
        <v>740</v>
      </c>
      <c r="G2496" s="67" t="s">
        <v>901</v>
      </c>
      <c r="H2496" s="73" t="s">
        <v>748</v>
      </c>
      <c r="I2496" s="411"/>
      <c r="J2496" s="411"/>
      <c r="K2496" s="402"/>
      <c r="L2496" s="411"/>
      <c r="M2496" s="65">
        <v>1170000000</v>
      </c>
      <c r="N2496" s="66" t="s">
        <v>61</v>
      </c>
      <c r="O2496" s="66" t="s">
        <v>25</v>
      </c>
      <c r="P2496" s="82" t="str">
        <f>IF(AND('331-CT'!$E$7=TH!H2496,OR(N2496="331",O2496="331")),"x","")</f>
        <v/>
      </c>
      <c r="Q2496" s="82" t="str">
        <f>IF(AND(B2496='111'!$L$11,OR($N2496=$Q$7,$O2496=$Q$7)),"x","")</f>
        <v/>
      </c>
      <c r="R2496" s="82" t="str">
        <f>IF(AND($N2496=$Q$7,$B2496&lt;'111'!$L$11),"x","")</f>
        <v>x</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customHeight="1">
      <c r="A2497" s="323" t="str">
        <f>IF(B2497&lt;&gt;"",IF(AND(B2497='IN-TC'!$S$4,OR(TH!N2506="1111",TH!O2506="1111")),TH!D2506,""),"")</f>
        <v/>
      </c>
      <c r="B2497" s="63">
        <f t="shared" si="175"/>
        <v>1</v>
      </c>
      <c r="C2497" s="64">
        <v>42399</v>
      </c>
      <c r="D2497" s="64" t="s">
        <v>898</v>
      </c>
      <c r="E2497" s="64">
        <v>42399</v>
      </c>
      <c r="F2497" s="482" t="s">
        <v>761</v>
      </c>
      <c r="G2497" s="67" t="s">
        <v>825</v>
      </c>
      <c r="H2497" s="72" t="s">
        <v>792</v>
      </c>
      <c r="I2497" s="408"/>
      <c r="J2497" s="408"/>
      <c r="K2497" s="399"/>
      <c r="L2497" s="408"/>
      <c r="M2497" s="65">
        <v>674945</v>
      </c>
      <c r="N2497" s="66" t="s">
        <v>99</v>
      </c>
      <c r="O2497" s="66" t="s">
        <v>61</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customHeight="1">
      <c r="A2498" s="323" t="str">
        <f>IF(B2498&lt;&gt;"",IF(AND(B2498='IN-TC'!$S$4,OR(TH!N2507="1111",TH!O2507="1111")),TH!D2507,""),"")</f>
        <v/>
      </c>
      <c r="B2498" s="63">
        <f t="shared" si="175"/>
        <v>1</v>
      </c>
      <c r="C2498" s="64">
        <v>42399</v>
      </c>
      <c r="D2498" s="64" t="s">
        <v>898</v>
      </c>
      <c r="E2498" s="64">
        <v>42399</v>
      </c>
      <c r="F2498" s="482" t="s">
        <v>762</v>
      </c>
      <c r="G2498" s="931" t="s">
        <v>825</v>
      </c>
      <c r="H2498" s="72" t="s">
        <v>792</v>
      </c>
      <c r="I2498" s="408"/>
      <c r="J2498" s="408"/>
      <c r="K2498" s="399"/>
      <c r="L2498" s="408"/>
      <c r="M2498" s="65">
        <v>67495</v>
      </c>
      <c r="N2498" s="66" t="s">
        <v>9</v>
      </c>
      <c r="O2498" s="66" t="s">
        <v>61</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x</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customHeight="1">
      <c r="A2499" s="323" t="str">
        <f>IF(B2499&lt;&gt;"",IF(AND(B2499='IN-TC'!$S$4,OR(TH!N2497="1111",TH!O2497="1111")),TH!D2497,""),"")</f>
        <v/>
      </c>
      <c r="B2499" s="63">
        <f t="shared" si="175"/>
        <v>1</v>
      </c>
      <c r="C2499" s="64">
        <v>42399</v>
      </c>
      <c r="D2499" s="64" t="s">
        <v>690</v>
      </c>
      <c r="E2499" s="64">
        <v>42399</v>
      </c>
      <c r="F2499" s="482" t="s">
        <v>1077</v>
      </c>
      <c r="G2499" s="67" t="s">
        <v>902</v>
      </c>
      <c r="H2499" s="73" t="s">
        <v>619</v>
      </c>
      <c r="I2499" s="411"/>
      <c r="J2499" s="411"/>
      <c r="K2499" s="402"/>
      <c r="L2499" s="411"/>
      <c r="M2499" s="65">
        <v>56980000</v>
      </c>
      <c r="N2499" s="66" t="s">
        <v>8</v>
      </c>
      <c r="O2499" s="66" t="s">
        <v>25</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customHeight="1">
      <c r="A2500" s="323" t="str">
        <f>IF(B2500&lt;&gt;"",IF(AND(B2500='IN-TC'!$S$4,OR(TH!N2498="1111",TH!O2498="1111")),TH!D2498,""),"")</f>
        <v/>
      </c>
      <c r="B2500" s="63">
        <f t="shared" si="175"/>
        <v>1</v>
      </c>
      <c r="C2500" s="64">
        <v>42399</v>
      </c>
      <c r="D2500" s="64" t="s">
        <v>690</v>
      </c>
      <c r="E2500" s="64">
        <v>42399</v>
      </c>
      <c r="F2500" s="482" t="s">
        <v>728</v>
      </c>
      <c r="G2500" s="67" t="s">
        <v>902</v>
      </c>
      <c r="H2500" s="72"/>
      <c r="I2500" s="408"/>
      <c r="J2500" s="408"/>
      <c r="K2500" s="399"/>
      <c r="L2500" s="408"/>
      <c r="M2500" s="65">
        <v>28490</v>
      </c>
      <c r="N2500" s="66" t="s">
        <v>99</v>
      </c>
      <c r="O2500" s="66" t="s">
        <v>25</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customHeight="1">
      <c r="A2501" s="323" t="str">
        <f>IF(B2501&lt;&gt;"",IF(AND(B2501='IN-TC'!$S$4,OR(TH!N2499="1111",TH!O2499="1111")),TH!D2499,""),"")</f>
        <v/>
      </c>
      <c r="B2501" s="63">
        <f t="shared" si="175"/>
        <v>1</v>
      </c>
      <c r="C2501" s="64">
        <v>42399</v>
      </c>
      <c r="D2501" s="64" t="s">
        <v>690</v>
      </c>
      <c r="E2501" s="64">
        <v>42399</v>
      </c>
      <c r="F2501" s="482" t="s">
        <v>730</v>
      </c>
      <c r="G2501" s="67" t="s">
        <v>902</v>
      </c>
      <c r="H2501" s="72"/>
      <c r="I2501" s="408"/>
      <c r="J2501" s="408"/>
      <c r="K2501" s="399"/>
      <c r="L2501" s="408"/>
      <c r="M2501" s="65">
        <v>2849</v>
      </c>
      <c r="N2501" s="66" t="s">
        <v>9</v>
      </c>
      <c r="O2501" s="66" t="s">
        <v>25</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x</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customHeight="1">
      <c r="A2502" s="323" t="str">
        <f>IF(B2502&lt;&gt;"",IF(AND(B2502='IN-TC'!$S$4,OR(TH!N1957="1111",TH!O1957="1111")),TH!D1957,""),"")</f>
        <v/>
      </c>
      <c r="B2502" s="63">
        <f t="shared" si="175"/>
        <v>6</v>
      </c>
      <c r="C2502" s="78">
        <v>42551</v>
      </c>
      <c r="D2502" s="78" t="s">
        <v>570</v>
      </c>
      <c r="E2502" s="78">
        <v>42550</v>
      </c>
      <c r="F2502" s="80" t="s">
        <v>623</v>
      </c>
      <c r="G2502" s="934" t="s">
        <v>1677</v>
      </c>
      <c r="H2502" s="80" t="s">
        <v>614</v>
      </c>
      <c r="I2502" s="406"/>
      <c r="J2502" s="406"/>
      <c r="K2502" s="397"/>
      <c r="L2502" s="406"/>
      <c r="M2502" s="81">
        <v>600000</v>
      </c>
      <c r="N2502" s="82" t="s">
        <v>579</v>
      </c>
      <c r="O2502" s="82" t="s">
        <v>8</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customHeight="1">
      <c r="A2503" s="323" t="str">
        <f>IF(B2503&lt;&gt;"",IF(AND(B2503='IN-TC'!$S$4,OR(TH!N2501="1111",TH!O2501="1111")),TH!D2501,""),"")</f>
        <v/>
      </c>
      <c r="B2503" s="63">
        <f t="shared" si="175"/>
        <v>1</v>
      </c>
      <c r="C2503" s="64">
        <v>42399</v>
      </c>
      <c r="D2503" s="64" t="s">
        <v>690</v>
      </c>
      <c r="E2503" s="64">
        <v>42399</v>
      </c>
      <c r="F2503" s="482" t="s">
        <v>728</v>
      </c>
      <c r="G2503" s="67" t="s">
        <v>902</v>
      </c>
      <c r="H2503" s="74"/>
      <c r="I2503" s="410"/>
      <c r="J2503" s="410"/>
      <c r="K2503" s="401"/>
      <c r="L2503" s="410"/>
      <c r="M2503" s="65">
        <v>20000</v>
      </c>
      <c r="N2503" s="66" t="s">
        <v>99</v>
      </c>
      <c r="O2503" s="66" t="s">
        <v>25</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customHeight="1">
      <c r="A2504" s="323" t="str">
        <f>IF(B2504&lt;&gt;"",IF(AND(B2504='IN-TC'!$S$4,OR(TH!N2502="1111",TH!O2502="1111")),TH!D2502,""),"")</f>
        <v/>
      </c>
      <c r="B2504" s="63">
        <f t="shared" si="175"/>
        <v>1</v>
      </c>
      <c r="C2504" s="64">
        <v>42399</v>
      </c>
      <c r="D2504" s="64" t="s">
        <v>690</v>
      </c>
      <c r="E2504" s="64">
        <v>42399</v>
      </c>
      <c r="F2504" s="482" t="s">
        <v>730</v>
      </c>
      <c r="G2504" s="67" t="s">
        <v>902</v>
      </c>
      <c r="H2504" s="74"/>
      <c r="I2504" s="410"/>
      <c r="J2504" s="410"/>
      <c r="K2504" s="401"/>
      <c r="L2504" s="410"/>
      <c r="M2504" s="65">
        <v>2000</v>
      </c>
      <c r="N2504" s="66" t="s">
        <v>9</v>
      </c>
      <c r="O2504" s="66" t="s">
        <v>25</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x</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customHeight="1">
      <c r="A2505" s="323" t="str">
        <f>IF(B2505&lt;&gt;"",IF(AND(B2505='IN-TC'!$S$4,OR(TH!N3530="1111",TH!O3530="1111")),TH!D3530,""),"")</f>
        <v/>
      </c>
      <c r="B2505" s="63">
        <f t="shared" si="175"/>
        <v>8</v>
      </c>
      <c r="C2505" s="64">
        <v>42586</v>
      </c>
      <c r="D2505" s="64" t="s">
        <v>690</v>
      </c>
      <c r="E2505" s="64">
        <f>C2505</f>
        <v>42586</v>
      </c>
      <c r="F2505" s="72" t="s">
        <v>1903</v>
      </c>
      <c r="G2505" s="67" t="s">
        <v>902</v>
      </c>
      <c r="H2505" s="329" t="s">
        <v>614</v>
      </c>
      <c r="I2505" s="408"/>
      <c r="J2505" s="408"/>
      <c r="K2505" s="399"/>
      <c r="L2505" s="408"/>
      <c r="M2505" s="65">
        <v>420000</v>
      </c>
      <c r="N2505" s="66" t="s">
        <v>8</v>
      </c>
      <c r="O2505" s="66" t="s">
        <v>25</v>
      </c>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customHeight="1">
      <c r="A2506" s="323" t="str">
        <f>IF(B2506&lt;&gt;"",IF(AND(B2506='IN-TC'!$S$4,OR(TH!N2504="1111",TH!O2504="1111")),TH!D2504,""),"")</f>
        <v/>
      </c>
      <c r="B2506" s="63">
        <f t="shared" si="175"/>
        <v>1</v>
      </c>
      <c r="C2506" s="64">
        <v>42399</v>
      </c>
      <c r="D2506" s="64" t="s">
        <v>690</v>
      </c>
      <c r="E2506" s="64">
        <v>42399</v>
      </c>
      <c r="F2506" s="482" t="s">
        <v>728</v>
      </c>
      <c r="G2506" s="67" t="s">
        <v>902</v>
      </c>
      <c r="H2506" s="74"/>
      <c r="I2506" s="410"/>
      <c r="J2506" s="410"/>
      <c r="K2506" s="401"/>
      <c r="L2506" s="410"/>
      <c r="M2506" s="65">
        <v>20000</v>
      </c>
      <c r="N2506" s="83" t="s">
        <v>99</v>
      </c>
      <c r="O2506" s="66" t="s">
        <v>25</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customHeight="1">
      <c r="A2507" s="323" t="str">
        <f>IF(B2507&lt;&gt;"",IF(AND(B2507='IN-TC'!$S$4,OR(TH!N2505="1111",TH!O2505="1111")),TH!D2505,""),"")</f>
        <v/>
      </c>
      <c r="B2507" s="63">
        <f t="shared" si="175"/>
        <v>1</v>
      </c>
      <c r="C2507" s="64">
        <v>42399</v>
      </c>
      <c r="D2507" s="64" t="s">
        <v>690</v>
      </c>
      <c r="E2507" s="64">
        <v>42399</v>
      </c>
      <c r="F2507" s="482" t="s">
        <v>730</v>
      </c>
      <c r="G2507" s="67" t="s">
        <v>902</v>
      </c>
      <c r="H2507" s="74"/>
      <c r="I2507" s="410"/>
      <c r="J2507" s="410"/>
      <c r="K2507" s="401"/>
      <c r="L2507" s="410"/>
      <c r="M2507" s="65">
        <v>2000</v>
      </c>
      <c r="N2507" s="83" t="s">
        <v>9</v>
      </c>
      <c r="O2507" s="66" t="s">
        <v>25</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x</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customHeight="1">
      <c r="A2508" s="323" t="str">
        <f>IF(B2508&lt;&gt;"",IF(AND(B2508='IN-TC'!$S$4,OR(TH!N2509="1111",TH!O2509="1111")),TH!D2509,""),"")</f>
        <v/>
      </c>
      <c r="B2508" s="63">
        <f t="shared" si="175"/>
        <v>1</v>
      </c>
      <c r="C2508" s="64">
        <v>42400</v>
      </c>
      <c r="D2508" s="64" t="s">
        <v>899</v>
      </c>
      <c r="E2508" s="64">
        <v>42400</v>
      </c>
      <c r="F2508" s="482" t="s">
        <v>776</v>
      </c>
      <c r="G2508" s="67" t="s">
        <v>826</v>
      </c>
      <c r="H2508" s="72" t="s">
        <v>798</v>
      </c>
      <c r="I2508" s="408"/>
      <c r="J2508" s="408"/>
      <c r="K2508" s="399"/>
      <c r="L2508" s="408"/>
      <c r="M2508" s="65">
        <v>320291</v>
      </c>
      <c r="N2508" s="66" t="s">
        <v>99</v>
      </c>
      <c r="O2508" s="66" t="s">
        <v>61</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customHeight="1">
      <c r="A2509" s="323" t="str">
        <f>IF(B2509&lt;&gt;"",IF(AND(B2509='IN-TC'!$S$4,OR(TH!N2510="1111",TH!O2510="1111")),TH!D2510,""),"")</f>
        <v/>
      </c>
      <c r="B2509" s="63">
        <f t="shared" si="175"/>
        <v>1</v>
      </c>
      <c r="C2509" s="64">
        <v>42400</v>
      </c>
      <c r="D2509" s="64" t="s">
        <v>899</v>
      </c>
      <c r="E2509" s="64">
        <v>42400</v>
      </c>
      <c r="F2509" s="482" t="s">
        <v>777</v>
      </c>
      <c r="G2509" s="67" t="s">
        <v>826</v>
      </c>
      <c r="H2509" s="72" t="s">
        <v>798</v>
      </c>
      <c r="I2509" s="408"/>
      <c r="J2509" s="408"/>
      <c r="K2509" s="399"/>
      <c r="L2509" s="408"/>
      <c r="M2509" s="65">
        <v>32029</v>
      </c>
      <c r="N2509" s="66" t="s">
        <v>9</v>
      </c>
      <c r="O2509" s="66" t="s">
        <v>61</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x</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customHeight="1">
      <c r="A2510" s="323" t="str">
        <f>IF(B2510&lt;&gt;"",IF(AND(B2510='IN-TC'!$S$4,OR(TH!N2511="1111",TH!O2511="1111")),TH!D2511,""),"")</f>
        <v/>
      </c>
      <c r="B2510" s="63">
        <f t="shared" si="175"/>
        <v>1</v>
      </c>
      <c r="C2510" s="64">
        <v>42400</v>
      </c>
      <c r="D2510" s="64" t="s">
        <v>948</v>
      </c>
      <c r="E2510" s="64">
        <v>42400</v>
      </c>
      <c r="F2510" s="482" t="s">
        <v>761</v>
      </c>
      <c r="G2510" s="67" t="s">
        <v>827</v>
      </c>
      <c r="H2510" s="72" t="s">
        <v>828</v>
      </c>
      <c r="I2510" s="408"/>
      <c r="J2510" s="408"/>
      <c r="K2510" s="399"/>
      <c r="L2510" s="408"/>
      <c r="M2510" s="65">
        <v>44018</v>
      </c>
      <c r="N2510" s="66" t="s">
        <v>99</v>
      </c>
      <c r="O2510" s="66" t="s">
        <v>61</v>
      </c>
      <c r="P2510" s="82" t="str">
        <f>IF(AND('331-CT'!$E$7=TH!H2510,OR(N2510="331",O2510="331")),"x","")</f>
        <v/>
      </c>
      <c r="Q2510" s="82" t="str">
        <f>IF(AND(B2510='111'!$L$11,OR($N2510=$Q$7,$O2510=$Q$7)),"x","")</f>
        <v/>
      </c>
      <c r="R2510" s="82" t="str">
        <f>IF(AND($N2510=$Q$7,$B2510&lt;'111'!$L$11),"x","")</f>
        <v/>
      </c>
      <c r="S2510" s="82" t="str">
        <f>IF(AND($O2510=$Q$7,$B2510&lt;'111'!$L$11),"x","")</f>
        <v>x</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customHeight="1">
      <c r="A2511" s="323" t="str">
        <f>IF(B2511&lt;&gt;"",IF(AND(B2511='IN-TC'!$S$4,OR(TH!N2512="1111",TH!O2512="1111")),TH!D2512,""),"")</f>
        <v/>
      </c>
      <c r="B2511" s="63">
        <f t="shared" si="175"/>
        <v>1</v>
      </c>
      <c r="C2511" s="64">
        <v>42400</v>
      </c>
      <c r="D2511" s="64" t="s">
        <v>948</v>
      </c>
      <c r="E2511" s="64">
        <v>42400</v>
      </c>
      <c r="F2511" s="482" t="s">
        <v>762</v>
      </c>
      <c r="G2511" s="67" t="s">
        <v>827</v>
      </c>
      <c r="H2511" s="72" t="s">
        <v>828</v>
      </c>
      <c r="I2511" s="408"/>
      <c r="J2511" s="408"/>
      <c r="K2511" s="399"/>
      <c r="L2511" s="408"/>
      <c r="M2511" s="65">
        <v>4402</v>
      </c>
      <c r="N2511" s="66" t="s">
        <v>9</v>
      </c>
      <c r="O2511" s="66" t="s">
        <v>61</v>
      </c>
      <c r="P2511" s="82" t="str">
        <f>IF(AND('331-CT'!$E$7=TH!H2511,OR(N2511="331",O2511="331")),"x","")</f>
        <v/>
      </c>
      <c r="Q2511" s="82" t="str">
        <f>IF(AND(B2511='111'!$L$11,OR($N2511=$Q$7,$O2511=$Q$7)),"x","")</f>
        <v/>
      </c>
      <c r="R2511" s="82" t="str">
        <f>IF(AND($N2511=$Q$7,$B2511&lt;'111'!$L$11),"x","")</f>
        <v/>
      </c>
      <c r="S2511" s="82" t="str">
        <f>IF(AND($O2511=$Q$7,$B2511&lt;'111'!$L$11),"x","")</f>
        <v>x</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x</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customHeight="1">
      <c r="A2512" s="323" t="str">
        <f>IF(B2512&lt;&gt;"",IF(AND(B2512='IN-TC'!$S$4,OR(TH!N2513="1111",TH!O2513="1111")),TH!D2513,""),"")</f>
        <v/>
      </c>
      <c r="B2512" s="63">
        <f t="shared" si="175"/>
        <v>1</v>
      </c>
      <c r="C2512" s="64">
        <v>42400</v>
      </c>
      <c r="D2512" s="64" t="s">
        <v>949</v>
      </c>
      <c r="E2512" s="64">
        <v>42400</v>
      </c>
      <c r="F2512" s="482" t="s">
        <v>780</v>
      </c>
      <c r="G2512" s="67" t="s">
        <v>829</v>
      </c>
      <c r="H2512" s="72" t="s">
        <v>830</v>
      </c>
      <c r="I2512" s="408"/>
      <c r="J2512" s="408"/>
      <c r="K2512" s="399"/>
      <c r="L2512" s="408"/>
      <c r="M2512" s="65">
        <v>1970034</v>
      </c>
      <c r="N2512" s="66" t="s">
        <v>99</v>
      </c>
      <c r="O2512" s="66" t="s">
        <v>61</v>
      </c>
      <c r="P2512" s="82" t="str">
        <f>IF(AND('331-CT'!$E$7=TH!H2512,OR(N2512="331",O2512="331")),"x","")</f>
        <v/>
      </c>
      <c r="Q2512" s="82" t="str">
        <f>IF(AND(B2512='111'!$L$11,OR($N2512=$Q$7,$O2512=$Q$7)),"x","")</f>
        <v/>
      </c>
      <c r="R2512" s="82" t="str">
        <f>IF(AND($N2512=$Q$7,$B2512&lt;'111'!$L$11),"x","")</f>
        <v/>
      </c>
      <c r="S2512" s="82" t="str">
        <f>IF(AND($O2512=$Q$7,$B2512&lt;'111'!$L$11),"x","")</f>
        <v>x</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customHeight="1">
      <c r="A2513" s="323" t="str">
        <f>IF(B2513&lt;&gt;"",IF(AND(B2513='IN-TC'!$S$4,OR(TH!N2514="1111",TH!O2514="1111")),TH!D2514,""),"")</f>
        <v/>
      </c>
      <c r="B2513" s="63">
        <f t="shared" si="175"/>
        <v>1</v>
      </c>
      <c r="C2513" s="64">
        <v>42400</v>
      </c>
      <c r="D2513" s="64" t="s">
        <v>949</v>
      </c>
      <c r="E2513" s="64">
        <v>42400</v>
      </c>
      <c r="F2513" s="482" t="s">
        <v>781</v>
      </c>
      <c r="G2513" s="67" t="s">
        <v>829</v>
      </c>
      <c r="H2513" s="72" t="s">
        <v>830</v>
      </c>
      <c r="I2513" s="408"/>
      <c r="J2513" s="408"/>
      <c r="K2513" s="399"/>
      <c r="L2513" s="408"/>
      <c r="M2513" s="65">
        <v>197003</v>
      </c>
      <c r="N2513" s="66" t="s">
        <v>9</v>
      </c>
      <c r="O2513" s="66" t="s">
        <v>61</v>
      </c>
      <c r="P2513" s="82" t="str">
        <f>IF(AND('331-CT'!$E$7=TH!H2513,OR(N2513="331",O2513="331")),"x","")</f>
        <v/>
      </c>
      <c r="Q2513" s="82" t="str">
        <f>IF(AND(B2513='111'!$L$11,OR($N2513=$Q$7,$O2513=$Q$7)),"x","")</f>
        <v/>
      </c>
      <c r="R2513" s="82" t="str">
        <f>IF(AND($N2513=$Q$7,$B2513&lt;'111'!$L$11),"x","")</f>
        <v/>
      </c>
      <c r="S2513" s="82" t="str">
        <f>IF(AND($O2513=$Q$7,$B2513&lt;'111'!$L$11),"x","")</f>
        <v>x</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x</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customHeight="1">
      <c r="A2514" s="323" t="str">
        <f>IF(B2514&lt;&gt;"",IF(AND(B2514='IN-TC'!$S$4,OR(TH!N2515="1111",TH!O2515="1111")),TH!D2515,""),"")</f>
        <v/>
      </c>
      <c r="B2514" s="63">
        <f t="shared" si="175"/>
        <v>1</v>
      </c>
      <c r="C2514" s="64">
        <v>42400</v>
      </c>
      <c r="D2514" s="64" t="s">
        <v>950</v>
      </c>
      <c r="E2514" s="64">
        <v>42400</v>
      </c>
      <c r="F2514" s="482" t="s">
        <v>782</v>
      </c>
      <c r="G2514" s="67" t="s">
        <v>831</v>
      </c>
      <c r="H2514" s="72" t="s">
        <v>1456</v>
      </c>
      <c r="I2514" s="408"/>
      <c r="J2514" s="408"/>
      <c r="K2514" s="399"/>
      <c r="L2514" s="408"/>
      <c r="M2514" s="65">
        <v>354533</v>
      </c>
      <c r="N2514" s="66" t="s">
        <v>99</v>
      </c>
      <c r="O2514" s="66" t="s">
        <v>61</v>
      </c>
      <c r="P2514" s="82" t="str">
        <f>IF(AND('331-CT'!$E$7=TH!H2514,OR(N2514="331",O2514="331")),"x","")</f>
        <v/>
      </c>
      <c r="Q2514" s="82" t="str">
        <f>IF(AND(B2514='111'!$L$11,OR($N2514=$Q$7,$O2514=$Q$7)),"x","")</f>
        <v/>
      </c>
      <c r="R2514" s="82" t="str">
        <f>IF(AND($N2514=$Q$7,$B2514&lt;'111'!$L$11),"x","")</f>
        <v/>
      </c>
      <c r="S2514" s="82" t="str">
        <f>IF(AND($O2514=$Q$7,$B2514&lt;'111'!$L$11),"x","")</f>
        <v>x</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customHeight="1">
      <c r="A2515" s="323" t="str">
        <f>IF(B2515&lt;&gt;"",IF(AND(B2515='IN-TC'!$S$4,OR(TH!N2516="1111",TH!O2516="1111")),TH!D2516,""),"")</f>
        <v/>
      </c>
      <c r="B2515" s="63">
        <f t="shared" si="175"/>
        <v>1</v>
      </c>
      <c r="C2515" s="64">
        <v>42400</v>
      </c>
      <c r="D2515" s="64" t="s">
        <v>950</v>
      </c>
      <c r="E2515" s="64">
        <v>42400</v>
      </c>
      <c r="F2515" s="482" t="s">
        <v>783</v>
      </c>
      <c r="G2515" s="67" t="s">
        <v>831</v>
      </c>
      <c r="H2515" s="72" t="s">
        <v>1456</v>
      </c>
      <c r="I2515" s="408"/>
      <c r="J2515" s="408"/>
      <c r="K2515" s="399"/>
      <c r="L2515" s="408"/>
      <c r="M2515" s="65">
        <v>35453</v>
      </c>
      <c r="N2515" s="66" t="s">
        <v>9</v>
      </c>
      <c r="O2515" s="66" t="s">
        <v>61</v>
      </c>
      <c r="P2515" s="82" t="str">
        <f>IF(AND('331-CT'!$E$7=TH!H2515,OR(N2515="331",O2515="331")),"x","")</f>
        <v/>
      </c>
      <c r="Q2515" s="82" t="str">
        <f>IF(AND(B2515='111'!$L$11,OR($N2515=$Q$7,$O2515=$Q$7)),"x","")</f>
        <v/>
      </c>
      <c r="R2515" s="82" t="str">
        <f>IF(AND($N2515=$Q$7,$B2515&lt;'111'!$L$11),"x","")</f>
        <v/>
      </c>
      <c r="S2515" s="82" t="str">
        <f>IF(AND($O2515=$Q$7,$B2515&lt;'111'!$L$11),"x","")</f>
        <v>x</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x</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customHeight="1">
      <c r="A2516" s="323" t="str">
        <f>IF(B2516&lt;&gt;"",IF(AND(B2516='IN-TC'!$S$4,OR(TH!N2517="1111",TH!O2517="1111")),TH!D2517,""),"")</f>
        <v/>
      </c>
      <c r="B2516" s="63">
        <f t="shared" si="175"/>
        <v>1</v>
      </c>
      <c r="C2516" s="78">
        <f>E2516</f>
        <v>42400</v>
      </c>
      <c r="D2516" s="78" t="s">
        <v>951</v>
      </c>
      <c r="E2516" s="78">
        <v>42400</v>
      </c>
      <c r="F2516" s="482" t="s">
        <v>947</v>
      </c>
      <c r="G2516" s="79"/>
      <c r="H2516" s="80" t="s">
        <v>946</v>
      </c>
      <c r="I2516" s="406"/>
      <c r="J2516" s="406"/>
      <c r="K2516" s="397"/>
      <c r="L2516" s="406"/>
      <c r="M2516" s="81">
        <v>689675000</v>
      </c>
      <c r="N2516" s="82" t="s">
        <v>266</v>
      </c>
      <c r="O2516" s="82" t="s">
        <v>61</v>
      </c>
      <c r="P2516" s="82" t="str">
        <f>IF(AND('331-CT'!$E$7=TH!H2516,OR(N2516="331",O2516="331")),"x","")</f>
        <v/>
      </c>
      <c r="Q2516" s="82" t="str">
        <f>IF(AND(B2516='111'!$L$11,OR($N2516=$Q$7,$O2516=$Q$7)),"x","")</f>
        <v/>
      </c>
      <c r="R2516" s="82" t="str">
        <f>IF(AND($N2516=$Q$7,$B2516&lt;'111'!$L$11),"x","")</f>
        <v/>
      </c>
      <c r="S2516" s="82" t="str">
        <f>IF(AND($O2516=$Q$7,$B2516&lt;'111'!$L$11),"x","")</f>
        <v>x</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customHeight="1">
      <c r="A2517" s="323" t="str">
        <f>IF(B2517&lt;&gt;"",IF(AND(B2517='IN-TC'!$S$4,OR(TH!N2518="1111",TH!O2518="1111")),TH!D2518,""),"")</f>
        <v/>
      </c>
      <c r="B2517" s="63">
        <f t="shared" si="175"/>
        <v>1</v>
      </c>
      <c r="C2517" s="90">
        <v>42400</v>
      </c>
      <c r="D2517" s="90" t="s">
        <v>952</v>
      </c>
      <c r="E2517" s="90">
        <v>42400</v>
      </c>
      <c r="F2517" s="1152" t="s">
        <v>1929</v>
      </c>
      <c r="G2517" s="91"/>
      <c r="H2517" s="92" t="s">
        <v>832</v>
      </c>
      <c r="I2517" s="414"/>
      <c r="J2517" s="414"/>
      <c r="K2517" s="405"/>
      <c r="L2517" s="414"/>
      <c r="M2517" s="93">
        <v>140608780</v>
      </c>
      <c r="N2517" s="83" t="s">
        <v>580</v>
      </c>
      <c r="O2517" s="83" t="s">
        <v>61</v>
      </c>
      <c r="P2517" s="82" t="str">
        <f>IF(AND('331-CT'!$E$7=TH!H2517,OR(N2517="331",O2517="331")),"x","")</f>
        <v/>
      </c>
      <c r="Q2517" s="82" t="str">
        <f>IF(AND(B2517='111'!$L$11,OR($N2517=$Q$7,$O2517=$Q$7)),"x","")</f>
        <v/>
      </c>
      <c r="R2517" s="82" t="str">
        <f>IF(AND($N2517=$Q$7,$B2517&lt;'111'!$L$11),"x","")</f>
        <v/>
      </c>
      <c r="S2517" s="82" t="str">
        <f>IF(AND($O2517=$Q$7,$B2517&lt;'111'!$L$11),"x","")</f>
        <v>x</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customHeight="1">
      <c r="A2518" s="1170"/>
      <c r="B2518" s="1199">
        <f t="shared" si="175"/>
        <v>12</v>
      </c>
      <c r="C2518" s="1087">
        <v>42705</v>
      </c>
      <c r="D2518" s="1087" t="s">
        <v>929</v>
      </c>
      <c r="E2518" s="90">
        <f>C2518</f>
        <v>42705</v>
      </c>
      <c r="F2518" s="1153" t="s">
        <v>1952</v>
      </c>
      <c r="G2518" s="1155" t="s">
        <v>2311</v>
      </c>
      <c r="H2518" s="1153" t="s">
        <v>1198</v>
      </c>
      <c r="I2518" s="414">
        <v>43950</v>
      </c>
      <c r="J2518" s="1108">
        <v>17500</v>
      </c>
      <c r="K2518" s="1110"/>
      <c r="L2518" s="1109"/>
      <c r="M2518" s="93">
        <f>ROUND(I2518*J2518,0)</f>
        <v>769125000</v>
      </c>
      <c r="N2518" s="83" t="s">
        <v>276</v>
      </c>
      <c r="O2518" s="83" t="s">
        <v>268</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customHeight="1">
      <c r="A2519" s="323" t="str">
        <f>IF(B2519&lt;&gt;"",IF(AND(B2519='IN-TC'!$S$4,OR(TH!N2519="1111",TH!O2519="1111")),TH!D2519,""),"")</f>
        <v/>
      </c>
      <c r="B2519" s="63">
        <f t="shared" si="175"/>
        <v>2</v>
      </c>
      <c r="C2519" s="64">
        <v>42401</v>
      </c>
      <c r="D2519" s="64" t="s">
        <v>851</v>
      </c>
      <c r="E2519" s="64">
        <v>42384</v>
      </c>
      <c r="F2519" s="482" t="s">
        <v>981</v>
      </c>
      <c r="G2519" s="931" t="s">
        <v>1002</v>
      </c>
      <c r="H2519" s="72" t="s">
        <v>605</v>
      </c>
      <c r="I2519" s="408"/>
      <c r="J2519" s="408"/>
      <c r="K2519" s="399"/>
      <c r="L2519" s="408"/>
      <c r="M2519" s="65">
        <v>4243750</v>
      </c>
      <c r="N2519" s="66" t="s">
        <v>99</v>
      </c>
      <c r="O2519" s="66" t="s">
        <v>61</v>
      </c>
      <c r="P2519" s="82" t="str">
        <f>IF(AND('331-CT'!$E$7=TH!H2519,OR(N2519="331",O2519="331")),"x","")</f>
        <v/>
      </c>
      <c r="Q2519" s="82" t="str">
        <f>IF(AND(B2519='111'!$L$11,OR($N2519=$Q$7,$O2519=$Q$7)),"x","")</f>
        <v/>
      </c>
      <c r="R2519" s="82" t="str">
        <f>IF(AND($N2519=$Q$7,$B2519&lt;'111'!$L$11),"x","")</f>
        <v/>
      </c>
      <c r="S2519" s="82" t="str">
        <f>IF(AND($O2519=$Q$7,$B2519&lt;'111'!$L$11),"x","")</f>
        <v>x</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customHeight="1">
      <c r="A2520" s="323" t="str">
        <f>IF(B2520&lt;&gt;"",IF(AND(B2520='IN-TC'!$S$4,OR(TH!N2520="1111",TH!O2520="1111")),TH!D2520,""),"")</f>
        <v/>
      </c>
      <c r="B2520" s="63">
        <f t="shared" si="175"/>
        <v>2</v>
      </c>
      <c r="C2520" s="64">
        <v>42401</v>
      </c>
      <c r="D2520" s="64" t="s">
        <v>851</v>
      </c>
      <c r="E2520" s="64">
        <v>42384</v>
      </c>
      <c r="F2520" s="482" t="s">
        <v>982</v>
      </c>
      <c r="G2520" s="931" t="s">
        <v>1002</v>
      </c>
      <c r="H2520" s="72" t="s">
        <v>605</v>
      </c>
      <c r="I2520" s="408"/>
      <c r="J2520" s="408"/>
      <c r="K2520" s="399"/>
      <c r="L2520" s="408"/>
      <c r="M2520" s="65">
        <v>424375</v>
      </c>
      <c r="N2520" s="66" t="s">
        <v>9</v>
      </c>
      <c r="O2520" s="66" t="s">
        <v>61</v>
      </c>
      <c r="P2520" s="82" t="str">
        <f>IF(AND('331-CT'!$E$7=TH!H2520,OR(N2520="331",O2520="331")),"x","")</f>
        <v/>
      </c>
      <c r="Q2520" s="82" t="str">
        <f>IF(AND(B2520='111'!$L$11,OR($N2520=$Q$7,$O2520=$Q$7)),"x","")</f>
        <v/>
      </c>
      <c r="R2520" s="82" t="str">
        <f>IF(AND($N2520=$Q$7,$B2520&lt;'111'!$L$11),"x","")</f>
        <v/>
      </c>
      <c r="S2520" s="82" t="str">
        <f>IF(AND($O2520=$Q$7,$B2520&lt;'111'!$L$11),"x","")</f>
        <v>x</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x</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customHeight="1">
      <c r="A2521" s="323" t="str">
        <f>IF(B2521&lt;&gt;"",IF(AND(B2521='IN-TC'!$S$4,OR(TH!N2521="1111",TH!O2521="1111")),TH!D2521,""),"")</f>
        <v/>
      </c>
      <c r="B2521" s="63">
        <f t="shared" si="175"/>
        <v>2</v>
      </c>
      <c r="C2521" s="1092">
        <v>42401</v>
      </c>
      <c r="D2521" s="1092" t="s">
        <v>852</v>
      </c>
      <c r="E2521" s="1092">
        <f>C2521</f>
        <v>42401</v>
      </c>
      <c r="F2521" s="482" t="s">
        <v>947</v>
      </c>
      <c r="G2521" s="1094"/>
      <c r="H2521" s="1093" t="s">
        <v>946</v>
      </c>
      <c r="I2521" s="1095"/>
      <c r="J2521" s="1095"/>
      <c r="K2521" s="1096"/>
      <c r="L2521" s="1095"/>
      <c r="M2521" s="1097">
        <v>367250000</v>
      </c>
      <c r="N2521" s="1098" t="s">
        <v>266</v>
      </c>
      <c r="O2521" s="1098" t="s">
        <v>61</v>
      </c>
      <c r="P2521" s="82" t="str">
        <f>IF(AND('331-CT'!$E$7=TH!H2521,OR(N2521="331",O2521="331")),"x","")</f>
        <v/>
      </c>
      <c r="Q2521" s="82" t="str">
        <f>IF(AND(B2521='111'!$L$11,OR($N2521=$Q$7,$O2521=$Q$7)),"x","")</f>
        <v/>
      </c>
      <c r="R2521" s="82" t="str">
        <f>IF(AND($N2521=$Q$7,$B2521&lt;'111'!$L$11),"x","")</f>
        <v/>
      </c>
      <c r="S2521" s="82" t="str">
        <f>IF(AND($O2521=$Q$7,$B2521&lt;'111'!$L$11),"x","")</f>
        <v>x</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customHeight="1">
      <c r="A2522" s="323" t="str">
        <f>IF(B2522&lt;&gt;"",IF(AND(B2522='IN-TC'!$S$4,OR(TH!N2522="1111",TH!O2522="1111")),TH!D2522,""),"")</f>
        <v/>
      </c>
      <c r="B2522" s="63">
        <f t="shared" si="175"/>
        <v>2</v>
      </c>
      <c r="C2522" s="1092">
        <v>42401</v>
      </c>
      <c r="D2522" s="1092" t="s">
        <v>853</v>
      </c>
      <c r="E2522" s="1092">
        <f>C2522</f>
        <v>42401</v>
      </c>
      <c r="F2522" s="482" t="s">
        <v>947</v>
      </c>
      <c r="G2522" s="1094"/>
      <c r="H2522" s="1093" t="s">
        <v>3001</v>
      </c>
      <c r="I2522" s="1095"/>
      <c r="J2522" s="1095"/>
      <c r="K2522" s="1096"/>
      <c r="L2522" s="1095"/>
      <c r="M2522" s="1097">
        <v>500000000</v>
      </c>
      <c r="N2522" s="1098" t="s">
        <v>266</v>
      </c>
      <c r="O2522" s="1098" t="s">
        <v>61</v>
      </c>
      <c r="P2522" s="82" t="str">
        <f>IF(AND('331-CT'!$E$7=TH!H2522,OR(N2522="331",O2522="331")),"x","")</f>
        <v/>
      </c>
      <c r="Q2522" s="82" t="str">
        <f>IF(AND(B2522='111'!$L$11,OR($N2522=$Q$7,$O2522=$Q$7)),"x","")</f>
        <v/>
      </c>
      <c r="R2522" s="82" t="str">
        <f>IF(AND($N2522=$Q$7,$B2522&lt;'111'!$L$11),"x","")</f>
        <v/>
      </c>
      <c r="S2522" s="82" t="str">
        <f>IF(AND($O2522=$Q$7,$B2522&lt;'111'!$L$11),"x","")</f>
        <v>x</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customHeight="1">
      <c r="A2523" s="323" t="str">
        <f>IF(B2523&lt;&gt;"",IF(AND(B2523='IN-TC'!$S$4,OR(TH!N2531="1111",TH!O2531="1111")),TH!D2531,""),"")</f>
        <v/>
      </c>
      <c r="B2523" s="63">
        <f t="shared" si="175"/>
        <v>2</v>
      </c>
      <c r="C2523" s="64">
        <v>42402</v>
      </c>
      <c r="D2523" s="64" t="s">
        <v>854</v>
      </c>
      <c r="E2523" s="64">
        <v>42402</v>
      </c>
      <c r="F2523" s="482" t="s">
        <v>983</v>
      </c>
      <c r="G2523" s="931" t="s">
        <v>1003</v>
      </c>
      <c r="H2523" s="72" t="s">
        <v>815</v>
      </c>
      <c r="I2523" s="408"/>
      <c r="J2523" s="408"/>
      <c r="K2523" s="399"/>
      <c r="L2523" s="408"/>
      <c r="M2523" s="65">
        <v>500000</v>
      </c>
      <c r="N2523" s="66" t="s">
        <v>99</v>
      </c>
      <c r="O2523" s="66" t="s">
        <v>61</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customHeight="1">
      <c r="A2524" s="323" t="str">
        <f>IF(B2524&lt;&gt;"",IF(AND(B2524='IN-TC'!$S$4,OR(TH!N2532="1111",TH!O2532="1111")),TH!D2532,""),"")</f>
        <v/>
      </c>
      <c r="B2524" s="63">
        <f t="shared" si="175"/>
        <v>2</v>
      </c>
      <c r="C2524" s="64">
        <v>42402</v>
      </c>
      <c r="D2524" s="64" t="s">
        <v>854</v>
      </c>
      <c r="E2524" s="64">
        <v>42402</v>
      </c>
      <c r="F2524" s="482" t="s">
        <v>984</v>
      </c>
      <c r="G2524" s="931" t="s">
        <v>1003</v>
      </c>
      <c r="H2524" s="72" t="s">
        <v>815</v>
      </c>
      <c r="I2524" s="408"/>
      <c r="J2524" s="408"/>
      <c r="K2524" s="399"/>
      <c r="L2524" s="408"/>
      <c r="M2524" s="65">
        <v>25000</v>
      </c>
      <c r="N2524" s="66" t="s">
        <v>9</v>
      </c>
      <c r="O2524" s="66" t="s">
        <v>61</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x</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customHeight="1">
      <c r="A2525" s="323" t="str">
        <f>IF(B2525&lt;&gt;"",IF(AND(B2525='IN-TC'!$S$4,OR(TH!N2523="1111",TH!O2523="1111")),TH!D2523,""),"")</f>
        <v/>
      </c>
      <c r="B2525" s="63">
        <f t="shared" si="175"/>
        <v>2</v>
      </c>
      <c r="C2525" s="64">
        <v>42402</v>
      </c>
      <c r="D2525" s="64" t="s">
        <v>687</v>
      </c>
      <c r="E2525" s="64">
        <v>42402</v>
      </c>
      <c r="F2525" s="482" t="s">
        <v>1026</v>
      </c>
      <c r="G2525" s="67" t="s">
        <v>902</v>
      </c>
      <c r="H2525" s="72"/>
      <c r="I2525" s="408"/>
      <c r="J2525" s="408"/>
      <c r="K2525" s="399"/>
      <c r="L2525" s="408"/>
      <c r="M2525" s="65">
        <v>27118300</v>
      </c>
      <c r="N2525" s="66" t="s">
        <v>25</v>
      </c>
      <c r="O2525" s="66" t="s">
        <v>18</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customHeight="1">
      <c r="A2526" s="323" t="str">
        <f>IF(B2526&lt;&gt;"",IF(AND(B2526='IN-TC'!$S$4,OR(TH!N2036="1111",TH!O2036="1111")),TH!D2036,""),"")</f>
        <v/>
      </c>
      <c r="B2526" s="63">
        <f t="shared" si="175"/>
        <v>9</v>
      </c>
      <c r="C2526" s="78">
        <v>42621</v>
      </c>
      <c r="D2526" s="78" t="s">
        <v>570</v>
      </c>
      <c r="E2526" s="78">
        <f>C2526</f>
        <v>42621</v>
      </c>
      <c r="F2526" s="80" t="s">
        <v>1997</v>
      </c>
      <c r="G2526" s="934" t="s">
        <v>2051</v>
      </c>
      <c r="H2526" s="80" t="s">
        <v>617</v>
      </c>
      <c r="I2526" s="406"/>
      <c r="J2526" s="406"/>
      <c r="K2526" s="397"/>
      <c r="L2526" s="406"/>
      <c r="M2526" s="81">
        <v>1967390</v>
      </c>
      <c r="N2526" s="82" t="s">
        <v>9</v>
      </c>
      <c r="O2526" s="82" t="s">
        <v>8</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x</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customHeight="1">
      <c r="A2527" s="323" t="str">
        <f>IF(B2527&lt;&gt;"",IF(AND(B2527='IN-TC'!$S$4,OR(TH!N2525="1111",TH!O2525="1111")),TH!D2525,""),"")</f>
        <v/>
      </c>
      <c r="B2527" s="63">
        <f t="shared" si="175"/>
        <v>2</v>
      </c>
      <c r="C2527" s="145">
        <v>42402</v>
      </c>
      <c r="D2527" s="145" t="s">
        <v>690</v>
      </c>
      <c r="E2527" s="145">
        <v>42402</v>
      </c>
      <c r="F2527" s="482" t="s">
        <v>728</v>
      </c>
      <c r="G2527" s="67" t="s">
        <v>902</v>
      </c>
      <c r="H2527" s="72"/>
      <c r="I2527" s="413"/>
      <c r="J2527" s="413"/>
      <c r="K2527" s="404"/>
      <c r="L2527" s="413"/>
      <c r="M2527" s="146">
        <v>25000</v>
      </c>
      <c r="N2527" s="147" t="s">
        <v>99</v>
      </c>
      <c r="O2527" s="66" t="s">
        <v>25</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customHeight="1">
      <c r="A2528" s="323" t="str">
        <f>IF(B2528&lt;&gt;"",IF(AND(B2528='IN-TC'!$S$4,OR(TH!N2526="1111",TH!O2526="1111")),TH!D2526,""),"")</f>
        <v/>
      </c>
      <c r="B2528" s="63">
        <f t="shared" si="175"/>
        <v>2</v>
      </c>
      <c r="C2528" s="64">
        <v>42402</v>
      </c>
      <c r="D2528" s="64" t="s">
        <v>690</v>
      </c>
      <c r="E2528" s="64">
        <v>42402</v>
      </c>
      <c r="F2528" s="482" t="s">
        <v>730</v>
      </c>
      <c r="G2528" s="67" t="s">
        <v>902</v>
      </c>
      <c r="H2528" s="72"/>
      <c r="I2528" s="408"/>
      <c r="J2528" s="408"/>
      <c r="K2528" s="399"/>
      <c r="L2528" s="408"/>
      <c r="M2528" s="65">
        <v>2500</v>
      </c>
      <c r="N2528" s="66" t="s">
        <v>9</v>
      </c>
      <c r="O2528" s="66" t="s">
        <v>25</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x</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customHeight="1">
      <c r="A2529" s="323" t="str">
        <f>IF(B2529&lt;&gt;"",IF(AND(B2529='IN-TC'!$S$4,OR(TH!N2533="1111",TH!O2533="1111")),TH!D2533,""),"")</f>
        <v/>
      </c>
      <c r="B2529" s="63">
        <f t="shared" si="175"/>
        <v>2</v>
      </c>
      <c r="C2529" s="64">
        <v>42403</v>
      </c>
      <c r="D2529" s="64" t="s">
        <v>855</v>
      </c>
      <c r="E2529" s="64">
        <v>42403</v>
      </c>
      <c r="F2529" s="482" t="s">
        <v>985</v>
      </c>
      <c r="G2529" s="931" t="s">
        <v>1004</v>
      </c>
      <c r="H2529" s="72" t="s">
        <v>798</v>
      </c>
      <c r="I2529" s="408"/>
      <c r="J2529" s="408"/>
      <c r="K2529" s="399"/>
      <c r="L2529" s="408"/>
      <c r="M2529" s="65">
        <v>112291</v>
      </c>
      <c r="N2529" s="66" t="s">
        <v>99</v>
      </c>
      <c r="O2529" s="66" t="s">
        <v>61</v>
      </c>
      <c r="P2529" s="82" t="str">
        <f>IF(AND('331-CT'!$E$7=TH!H2529,OR(N2529="331",O2529="331")),"x","")</f>
        <v/>
      </c>
      <c r="Q2529" s="82" t="str">
        <f>IF(AND(B2529='111'!$L$11,OR($N2529=$Q$7,$O2529=$Q$7)),"x","")</f>
        <v/>
      </c>
      <c r="R2529" s="82" t="str">
        <f>IF(AND($N2529=$Q$7,$B2529&lt;'111'!$L$11),"x","")</f>
        <v/>
      </c>
      <c r="S2529" s="82" t="str">
        <f>IF(AND($O2529=$Q$7,$B2529&lt;'111'!$L$11),"x","")</f>
        <v>x</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customHeight="1">
      <c r="A2530" s="323" t="str">
        <f>IF(B2530&lt;&gt;"",IF(AND(B2530='IN-TC'!$S$4,OR(TH!N2534="1111",TH!O2534="1111")),TH!D2534,""),"")</f>
        <v/>
      </c>
      <c r="B2530" s="63">
        <f t="shared" si="175"/>
        <v>2</v>
      </c>
      <c r="C2530" s="64">
        <v>42403</v>
      </c>
      <c r="D2530" s="64" t="s">
        <v>855</v>
      </c>
      <c r="E2530" s="64">
        <v>42403</v>
      </c>
      <c r="F2530" s="482" t="s">
        <v>986</v>
      </c>
      <c r="G2530" s="931" t="s">
        <v>1004</v>
      </c>
      <c r="H2530" s="72" t="s">
        <v>798</v>
      </c>
      <c r="I2530" s="408"/>
      <c r="J2530" s="408"/>
      <c r="K2530" s="399"/>
      <c r="L2530" s="408"/>
      <c r="M2530" s="65">
        <v>11229</v>
      </c>
      <c r="N2530" s="66" t="s">
        <v>9</v>
      </c>
      <c r="O2530" s="66" t="s">
        <v>61</v>
      </c>
      <c r="P2530" s="82" t="str">
        <f>IF(AND('331-CT'!$E$7=TH!H2530,OR(N2530="331",O2530="331")),"x","")</f>
        <v/>
      </c>
      <c r="Q2530" s="82" t="str">
        <f>IF(AND(B2530='111'!$L$11,OR($N2530=$Q$7,$O2530=$Q$7)),"x","")</f>
        <v/>
      </c>
      <c r="R2530" s="82" t="str">
        <f>IF(AND($N2530=$Q$7,$B2530&lt;'111'!$L$11),"x","")</f>
        <v/>
      </c>
      <c r="S2530" s="82" t="str">
        <f>IF(AND($O2530=$Q$7,$B2530&lt;'111'!$L$11),"x","")</f>
        <v>x</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x</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customHeight="1">
      <c r="A2531" s="323" t="str">
        <f>IF(B2531&lt;&gt;"",IF(AND(B2531='IN-TC'!$S$4,OR(TH!N2550="1111",TH!O2550="1111")),TH!D2550,""),"")</f>
        <v/>
      </c>
      <c r="B2531" s="63">
        <f t="shared" si="175"/>
        <v>2</v>
      </c>
      <c r="C2531" s="64">
        <v>42403</v>
      </c>
      <c r="D2531" s="64" t="s">
        <v>856</v>
      </c>
      <c r="E2531" s="64">
        <v>42403</v>
      </c>
      <c r="F2531" s="482" t="s">
        <v>987</v>
      </c>
      <c r="G2531" s="931" t="s">
        <v>1005</v>
      </c>
      <c r="H2531" s="72" t="s">
        <v>792</v>
      </c>
      <c r="I2531" s="408"/>
      <c r="J2531" s="408"/>
      <c r="K2531" s="399"/>
      <c r="L2531" s="408"/>
      <c r="M2531" s="65">
        <v>660273</v>
      </c>
      <c r="N2531" s="66" t="s">
        <v>99</v>
      </c>
      <c r="O2531" s="66" t="s">
        <v>61</v>
      </c>
      <c r="P2531" s="82" t="str">
        <f>IF(AND('331-CT'!$E$7=TH!H2531,OR(N2531="331",O2531="331")),"x","")</f>
        <v/>
      </c>
      <c r="Q2531" s="82" t="str">
        <f>IF(AND(B2531='111'!$L$11,OR($N2531=$Q$7,$O2531=$Q$7)),"x","")</f>
        <v/>
      </c>
      <c r="R2531" s="82" t="str">
        <f>IF(AND($N2531=$Q$7,$B2531&lt;'111'!$L$11),"x","")</f>
        <v/>
      </c>
      <c r="S2531" s="82" t="str">
        <f>IF(AND($O2531=$Q$7,$B2531&lt;'111'!$L$11),"x","")</f>
        <v>x</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customHeight="1">
      <c r="A2532" s="323" t="str">
        <f>IF(B2532&lt;&gt;"",IF(AND(B2532='IN-TC'!$S$4,OR(TH!N2551="1111",TH!O2551="1111")),TH!D2551,""),"")</f>
        <v/>
      </c>
      <c r="B2532" s="63">
        <f t="shared" si="175"/>
        <v>2</v>
      </c>
      <c r="C2532" s="64">
        <v>42403</v>
      </c>
      <c r="D2532" s="64" t="s">
        <v>856</v>
      </c>
      <c r="E2532" s="64">
        <v>42403</v>
      </c>
      <c r="F2532" s="482" t="s">
        <v>988</v>
      </c>
      <c r="G2532" s="931" t="s">
        <v>1005</v>
      </c>
      <c r="H2532" s="72" t="s">
        <v>792</v>
      </c>
      <c r="I2532" s="408"/>
      <c r="J2532" s="408"/>
      <c r="K2532" s="399"/>
      <c r="L2532" s="408"/>
      <c r="M2532" s="65">
        <v>66027</v>
      </c>
      <c r="N2532" s="66" t="s">
        <v>9</v>
      </c>
      <c r="O2532" s="66" t="s">
        <v>61</v>
      </c>
      <c r="P2532" s="82" t="str">
        <f>IF(AND('331-CT'!$E$7=TH!H2532,OR(N2532="331",O2532="331")),"x","")</f>
        <v/>
      </c>
      <c r="Q2532" s="82" t="str">
        <f>IF(AND(B2532='111'!$L$11,OR($N2532=$Q$7,$O2532=$Q$7)),"x","")</f>
        <v/>
      </c>
      <c r="R2532" s="82" t="str">
        <f>IF(AND($N2532=$Q$7,$B2532&lt;'111'!$L$11),"x","")</f>
        <v/>
      </c>
      <c r="S2532" s="82" t="str">
        <f>IF(AND($O2532=$Q$7,$B2532&lt;'111'!$L$11),"x","")</f>
        <v>x</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x</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customHeight="1">
      <c r="A2533" s="323" t="str">
        <f>IF(B2533&lt;&gt;"",IF(AND(B2533='IN-TC'!$S$4,OR(TH!N2528="1111",TH!O2528="1111")),TH!D2528,""),"")</f>
        <v/>
      </c>
      <c r="B2533" s="63">
        <f t="shared" si="175"/>
        <v>2</v>
      </c>
      <c r="C2533" s="64">
        <f>E2533</f>
        <v>42403</v>
      </c>
      <c r="D2533" s="306" t="s">
        <v>570</v>
      </c>
      <c r="E2533" s="306">
        <v>42403</v>
      </c>
      <c r="F2533" s="482" t="s">
        <v>1050</v>
      </c>
      <c r="G2533" s="67" t="s">
        <v>901</v>
      </c>
      <c r="H2533" s="308" t="s">
        <v>587</v>
      </c>
      <c r="I2533" s="408"/>
      <c r="J2533" s="408"/>
      <c r="K2533" s="399">
        <v>54.22</v>
      </c>
      <c r="L2533" s="408">
        <v>22250</v>
      </c>
      <c r="M2533" s="65">
        <f>ROUND(K2533*L2533,0)</f>
        <v>1206395</v>
      </c>
      <c r="N2533" s="309" t="s">
        <v>99</v>
      </c>
      <c r="O2533" s="66" t="s">
        <v>576</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customHeight="1">
      <c r="A2534" s="323" t="str">
        <f>IF(B2534&lt;&gt;"",IF(AND(B2534='IN-TC'!$S$4,OR(TH!N2529="1111",TH!O2529="1111")),TH!D2529,""),"")</f>
        <v/>
      </c>
      <c r="B2534" s="63">
        <f t="shared" si="175"/>
        <v>2</v>
      </c>
      <c r="C2534" s="64">
        <f>E2534</f>
        <v>42403</v>
      </c>
      <c r="D2534" s="306" t="s">
        <v>570</v>
      </c>
      <c r="E2534" s="306">
        <v>42403</v>
      </c>
      <c r="F2534" s="482" t="s">
        <v>1051</v>
      </c>
      <c r="G2534" s="67" t="s">
        <v>901</v>
      </c>
      <c r="H2534" s="308" t="s">
        <v>587</v>
      </c>
      <c r="I2534" s="408"/>
      <c r="J2534" s="408"/>
      <c r="K2534" s="399">
        <v>5.42</v>
      </c>
      <c r="L2534" s="408">
        <v>22250</v>
      </c>
      <c r="M2534" s="65">
        <f>ROUND(K2534*L2534,0)</f>
        <v>120595</v>
      </c>
      <c r="N2534" s="309" t="s">
        <v>9</v>
      </c>
      <c r="O2534" s="66" t="s">
        <v>576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x</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customHeight="1">
      <c r="A2535" s="323" t="str">
        <f>IF(B2535&lt;&gt;"",IF(AND(B2535='IN-TC'!$S$4,OR(TH!N2592="1111",TH!O2592="1111")),TH!D2592,""),"")</f>
        <v/>
      </c>
      <c r="B2535" s="63">
        <f t="shared" si="175"/>
        <v>2</v>
      </c>
      <c r="C2535" s="64">
        <v>42420</v>
      </c>
      <c r="D2535" s="64" t="s">
        <v>687</v>
      </c>
      <c r="E2535" s="64">
        <v>42420</v>
      </c>
      <c r="F2535" s="482" t="s">
        <v>1035</v>
      </c>
      <c r="G2535" s="67" t="s">
        <v>901</v>
      </c>
      <c r="H2535" s="329" t="s">
        <v>587</v>
      </c>
      <c r="I2535" s="408"/>
      <c r="J2535" s="408"/>
      <c r="K2535" s="399">
        <v>4819.12</v>
      </c>
      <c r="L2535" s="408">
        <v>22345</v>
      </c>
      <c r="M2535" s="65">
        <f>ROUND(K2535*L2535,0)</f>
        <v>107683236</v>
      </c>
      <c r="N2535" s="66" t="s">
        <v>260</v>
      </c>
      <c r="O2535" s="66" t="s">
        <v>576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customHeight="1">
      <c r="A2536" s="323" t="str">
        <f>IF(B2536&lt;&gt;"",IF(AND(B2536='IN-TC'!$S$4,OR(TH!N2535="1111",TH!O2535="1111")),TH!D2535,""),"")</f>
        <v/>
      </c>
      <c r="B2536" s="63">
        <f t="shared" si="175"/>
        <v>2</v>
      </c>
      <c r="C2536" s="64">
        <v>42403</v>
      </c>
      <c r="D2536" s="64" t="s">
        <v>687</v>
      </c>
      <c r="E2536" s="64">
        <v>42403</v>
      </c>
      <c r="F2536" s="482" t="s">
        <v>1027</v>
      </c>
      <c r="G2536" s="67" t="s">
        <v>903</v>
      </c>
      <c r="H2536" s="72"/>
      <c r="I2536" s="408"/>
      <c r="J2536" s="408"/>
      <c r="K2536" s="399"/>
      <c r="L2536" s="408"/>
      <c r="M2536" s="65">
        <v>500000000</v>
      </c>
      <c r="N2536" s="66" t="s">
        <v>25</v>
      </c>
      <c r="O2536" s="66" t="s">
        <v>25</v>
      </c>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customHeight="1">
      <c r="A2537" s="323" t="str">
        <f>IF(B2537&lt;&gt;"",IF(AND(B2537='IN-TC'!$S$4,OR(TH!N1115="1111",TH!O1115="1111")),TH!D1115,""),"")</f>
        <v/>
      </c>
      <c r="B2537" s="948">
        <f t="shared" si="175"/>
        <v>12</v>
      </c>
      <c r="C2537" s="1336">
        <v>42706</v>
      </c>
      <c r="D2537" s="64" t="s">
        <v>674</v>
      </c>
      <c r="E2537" s="64">
        <f>C2537</f>
        <v>42706</v>
      </c>
      <c r="F2537" s="1141" t="s">
        <v>2495</v>
      </c>
      <c r="G2537" s="91" t="s">
        <v>2311</v>
      </c>
      <c r="H2537" s="72" t="s">
        <v>1198</v>
      </c>
      <c r="I2537" s="1185">
        <v>2000</v>
      </c>
      <c r="J2537" s="1185">
        <v>7500</v>
      </c>
      <c r="K2537" s="401"/>
      <c r="L2537" s="410"/>
      <c r="M2537" s="65">
        <f>ROUND(I2537*J2537,0)</f>
        <v>15000000</v>
      </c>
      <c r="N2537" s="66" t="s">
        <v>276</v>
      </c>
      <c r="O2537" s="66" t="s">
        <v>270</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x</v>
      </c>
      <c r="AC2537" s="82" t="str">
        <f>IF(AND(OR(LEFT(TH!N2537,2)="15",LEFT(TH!O2537,2)="15"),TK!$E$7=TH!F2537),"x","")</f>
        <v/>
      </c>
      <c r="AD2537" s="82" t="str">
        <f>IF(AND(N2537="1521",MONTH(C2537)='BK-NL'!$M$11),"x","")</f>
        <v/>
      </c>
    </row>
    <row r="2538" spans="1:30" ht="15.75" customHeight="1">
      <c r="A2538" s="323" t="str">
        <f>IF(B2538&lt;&gt;"",IF(AND(B2538='IN-TC'!$S$4,OR(TH!N2530="1111",TH!O2530="1111")),TH!D2530,""),"")</f>
        <v/>
      </c>
      <c r="B2538" s="63">
        <f t="shared" si="175"/>
        <v>2</v>
      </c>
      <c r="C2538" s="64">
        <v>42403</v>
      </c>
      <c r="D2538" s="64" t="s">
        <v>690</v>
      </c>
      <c r="E2538" s="64">
        <v>42403</v>
      </c>
      <c r="F2538" s="72" t="s">
        <v>1425</v>
      </c>
      <c r="G2538" s="67" t="s">
        <v>901</v>
      </c>
      <c r="H2538" s="72"/>
      <c r="I2538" s="408"/>
      <c r="J2538" s="408"/>
      <c r="K2538" s="399">
        <v>97700</v>
      </c>
      <c r="L2538" s="408">
        <v>22280</v>
      </c>
      <c r="M2538" s="65">
        <f>ROUND(K2538*L2538,0)</f>
        <v>2176756000</v>
      </c>
      <c r="N2538" s="66" t="s">
        <v>25</v>
      </c>
      <c r="O2538" s="66" t="s">
        <v>260</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customHeight="1">
      <c r="A2539" s="323" t="str">
        <f>IF(B2539&lt;&gt;"",IF(AND(B2539='IN-TC'!$S$4,OR(TH!N1910="1111",TH!O1910="1111")),TH!D1910,""),"")</f>
        <v/>
      </c>
      <c r="B2539" s="63">
        <f t="shared" si="175"/>
        <v>4</v>
      </c>
      <c r="C2539" s="78">
        <v>42490</v>
      </c>
      <c r="D2539" s="78" t="s">
        <v>570</v>
      </c>
      <c r="E2539" s="78">
        <v>42475</v>
      </c>
      <c r="F2539" s="80" t="s">
        <v>1062</v>
      </c>
      <c r="G2539" s="934" t="s">
        <v>1398</v>
      </c>
      <c r="H2539" s="80" t="s">
        <v>616</v>
      </c>
      <c r="I2539" s="406"/>
      <c r="J2539" s="406"/>
      <c r="K2539" s="397"/>
      <c r="L2539" s="406"/>
      <c r="M2539" s="81">
        <v>6218860</v>
      </c>
      <c r="N2539" s="82" t="s">
        <v>579</v>
      </c>
      <c r="O2539" s="82" t="s">
        <v>8</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customHeight="1">
      <c r="A2540" s="323" t="str">
        <f>IF(B2540&lt;&gt;"",IF(AND(B2540='IN-TC'!$S$4,OR(TH!N2538="1111",TH!O2538="1111")),TH!D2538,""),"")</f>
        <v/>
      </c>
      <c r="B2540" s="63">
        <f t="shared" si="175"/>
        <v>2</v>
      </c>
      <c r="C2540" s="64">
        <v>42403</v>
      </c>
      <c r="D2540" s="64" t="s">
        <v>690</v>
      </c>
      <c r="E2540" s="64">
        <v>42403</v>
      </c>
      <c r="F2540" s="482" t="s">
        <v>728</v>
      </c>
      <c r="G2540" s="67" t="s">
        <v>902</v>
      </c>
      <c r="H2540" s="72"/>
      <c r="I2540" s="408"/>
      <c r="J2540" s="408"/>
      <c r="K2540" s="399"/>
      <c r="L2540" s="408"/>
      <c r="M2540" s="65">
        <v>50000</v>
      </c>
      <c r="N2540" s="66" t="s">
        <v>99</v>
      </c>
      <c r="O2540" s="66" t="s">
        <v>25</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customHeight="1">
      <c r="A2541" s="323" t="str">
        <f>IF(B2541&lt;&gt;"",IF(AND(B2541='IN-TC'!$S$4,OR(TH!N2539="1111",TH!O2539="1111")),TH!D2539,""),"")</f>
        <v/>
      </c>
      <c r="B2541" s="63">
        <f t="shared" si="175"/>
        <v>2</v>
      </c>
      <c r="C2541" s="64">
        <v>42403</v>
      </c>
      <c r="D2541" s="64" t="s">
        <v>690</v>
      </c>
      <c r="E2541" s="64">
        <v>42403</v>
      </c>
      <c r="F2541" s="482" t="s">
        <v>730</v>
      </c>
      <c r="G2541" s="67" t="s">
        <v>902</v>
      </c>
      <c r="H2541" s="72"/>
      <c r="I2541" s="408"/>
      <c r="J2541" s="408"/>
      <c r="K2541" s="399"/>
      <c r="L2541" s="408"/>
      <c r="M2541" s="65">
        <v>5000</v>
      </c>
      <c r="N2541" s="66" t="s">
        <v>9</v>
      </c>
      <c r="O2541" s="66" t="s">
        <v>25</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x</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customHeight="1">
      <c r="A2542" s="323" t="str">
        <f>IF(B2542&lt;&gt;"",IF(AND(B2542='IN-TC'!$S$4,OR(TH!N2054="1111",TH!O2054="1111")),TH!D2054,""),"")</f>
        <v/>
      </c>
      <c r="B2542" s="63">
        <f t="shared" ref="B2542:B2605" si="176">IF(C2542&lt;&gt;"",MONTH(C2542),"")</f>
        <v>10</v>
      </c>
      <c r="C2542" s="78">
        <v>42674</v>
      </c>
      <c r="D2542" s="78" t="s">
        <v>570</v>
      </c>
      <c r="E2542" s="78">
        <f>C2542</f>
        <v>42674</v>
      </c>
      <c r="F2542" s="80" t="s">
        <v>2102</v>
      </c>
      <c r="G2542" s="934" t="s">
        <v>2105</v>
      </c>
      <c r="H2542" s="918" t="s">
        <v>613</v>
      </c>
      <c r="I2542" s="406"/>
      <c r="J2542" s="406"/>
      <c r="K2542" s="397"/>
      <c r="L2542" s="406"/>
      <c r="M2542" s="81">
        <v>46800000</v>
      </c>
      <c r="N2542" s="82" t="s">
        <v>579</v>
      </c>
      <c r="O2542" s="82" t="s">
        <v>8</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customHeight="1">
      <c r="A2543" s="323" t="str">
        <f>IF(B2543&lt;&gt;"",IF(AND(B2543='IN-TC'!$S$4,OR(TH!N2541="1111",TH!O2541="1111")),TH!D2541,""),"")</f>
        <v/>
      </c>
      <c r="B2543" s="63">
        <f t="shared" si="176"/>
        <v>2</v>
      </c>
      <c r="C2543" s="64">
        <v>42403</v>
      </c>
      <c r="D2543" s="64" t="s">
        <v>690</v>
      </c>
      <c r="E2543" s="64">
        <v>42403</v>
      </c>
      <c r="F2543" s="482" t="s">
        <v>728</v>
      </c>
      <c r="G2543" s="67" t="s">
        <v>902</v>
      </c>
      <c r="H2543" s="72"/>
      <c r="I2543" s="408"/>
      <c r="J2543" s="408"/>
      <c r="K2543" s="399"/>
      <c r="L2543" s="408"/>
      <c r="M2543" s="65">
        <v>20000</v>
      </c>
      <c r="N2543" s="66" t="s">
        <v>99</v>
      </c>
      <c r="O2543" s="66" t="s">
        <v>25</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customHeight="1">
      <c r="A2544" s="323" t="str">
        <f>IF(B2544&lt;&gt;"",IF(AND(B2544='IN-TC'!$S$4,OR(TH!N2542="1111",TH!O2542="1111")),TH!D2542,""),"")</f>
        <v/>
      </c>
      <c r="B2544" s="63">
        <f t="shared" si="176"/>
        <v>2</v>
      </c>
      <c r="C2544" s="64">
        <v>42403</v>
      </c>
      <c r="D2544" s="64" t="s">
        <v>690</v>
      </c>
      <c r="E2544" s="64">
        <v>42403</v>
      </c>
      <c r="F2544" s="482" t="s">
        <v>730</v>
      </c>
      <c r="G2544" s="67" t="s">
        <v>902</v>
      </c>
      <c r="H2544" s="72"/>
      <c r="I2544" s="408"/>
      <c r="J2544" s="408"/>
      <c r="K2544" s="399"/>
      <c r="L2544" s="408"/>
      <c r="M2544" s="65">
        <v>2000</v>
      </c>
      <c r="N2544" s="66" t="s">
        <v>9</v>
      </c>
      <c r="O2544" s="66" t="s">
        <v>25</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x</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customHeight="1">
      <c r="A2545" s="323" t="str">
        <f>IF(B2545&lt;&gt;"",IF(AND(B2545='IN-TC'!$S$4,OR(TH!N2543="1111",TH!O2543="1111")),TH!D2543,""),"")</f>
        <v/>
      </c>
      <c r="B2545" s="63">
        <f t="shared" si="176"/>
        <v>2</v>
      </c>
      <c r="C2545" s="64">
        <v>42403</v>
      </c>
      <c r="D2545" s="64" t="s">
        <v>690</v>
      </c>
      <c r="E2545" s="64">
        <v>42403</v>
      </c>
      <c r="F2545" s="482" t="s">
        <v>1081</v>
      </c>
      <c r="G2545" s="67" t="s">
        <v>902</v>
      </c>
      <c r="H2545" s="72" t="s">
        <v>609</v>
      </c>
      <c r="I2545" s="408"/>
      <c r="J2545" s="408"/>
      <c r="K2545" s="399"/>
      <c r="L2545" s="408"/>
      <c r="M2545" s="65">
        <v>60000000</v>
      </c>
      <c r="N2545" s="66" t="s">
        <v>8</v>
      </c>
      <c r="O2545" s="66" t="s">
        <v>25</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customHeight="1">
      <c r="A2546" s="323" t="str">
        <f>IF(B2546&lt;&gt;"",IF(AND(B2546='IN-TC'!$S$4,OR(TH!N2544="1111",TH!O2544="1111")),TH!D2544,""),"")</f>
        <v/>
      </c>
      <c r="B2546" s="63">
        <f t="shared" si="176"/>
        <v>2</v>
      </c>
      <c r="C2546" s="64">
        <v>42403</v>
      </c>
      <c r="D2546" s="64" t="s">
        <v>690</v>
      </c>
      <c r="E2546" s="64">
        <v>42403</v>
      </c>
      <c r="F2546" s="482" t="s">
        <v>728</v>
      </c>
      <c r="G2546" s="67" t="s">
        <v>902</v>
      </c>
      <c r="H2546" s="72"/>
      <c r="I2546" s="408"/>
      <c r="J2546" s="408"/>
      <c r="K2546" s="399"/>
      <c r="L2546" s="408"/>
      <c r="M2546" s="65">
        <v>30000</v>
      </c>
      <c r="N2546" s="66" t="s">
        <v>99</v>
      </c>
      <c r="O2546" s="66" t="s">
        <v>25</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customHeight="1">
      <c r="A2547" s="323" t="str">
        <f>IF(B2547&lt;&gt;"",IF(AND(B2547='IN-TC'!$S$4,OR(TH!N2545="1111",TH!O2545="1111")),TH!D2545,""),"")</f>
        <v/>
      </c>
      <c r="B2547" s="63">
        <f t="shared" si="176"/>
        <v>2</v>
      </c>
      <c r="C2547" s="64">
        <v>42403</v>
      </c>
      <c r="D2547" s="64" t="s">
        <v>690</v>
      </c>
      <c r="E2547" s="64">
        <v>42403</v>
      </c>
      <c r="F2547" s="482" t="s">
        <v>730</v>
      </c>
      <c r="G2547" s="67" t="s">
        <v>902</v>
      </c>
      <c r="H2547" s="72"/>
      <c r="I2547" s="408"/>
      <c r="J2547" s="408"/>
      <c r="K2547" s="399"/>
      <c r="L2547" s="408"/>
      <c r="M2547" s="65">
        <v>3000</v>
      </c>
      <c r="N2547" s="66" t="s">
        <v>9</v>
      </c>
      <c r="O2547" s="66" t="s">
        <v>25</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x</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customHeight="1">
      <c r="A2548" s="323" t="str">
        <f>IF(B2548&lt;&gt;"",IF(AND(B2548='IN-TC'!$S$4,OR(TH!N2546="1111",TH!O2546="1111")),TH!D2546,""),"")</f>
        <v/>
      </c>
      <c r="B2548" s="63">
        <f t="shared" si="176"/>
        <v>2</v>
      </c>
      <c r="C2548" s="64">
        <v>42403</v>
      </c>
      <c r="D2548" s="64" t="s">
        <v>690</v>
      </c>
      <c r="E2548" s="64">
        <v>42403</v>
      </c>
      <c r="F2548" s="482" t="s">
        <v>1082</v>
      </c>
      <c r="G2548" s="67" t="s">
        <v>902</v>
      </c>
      <c r="H2548" s="72"/>
      <c r="I2548" s="408"/>
      <c r="J2548" s="408"/>
      <c r="K2548" s="399"/>
      <c r="L2548" s="408"/>
      <c r="M2548" s="65">
        <v>32260140</v>
      </c>
      <c r="N2548" s="66" t="s">
        <v>18</v>
      </c>
      <c r="O2548" s="66" t="s">
        <v>25</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customHeight="1">
      <c r="A2549" s="323" t="str">
        <f>IF(B2549&lt;&gt;"",IF(AND(B2549='IN-TC'!$S$4,OR(TH!N2547="1111",TH!O2547="1111")),TH!D2547,""),"")</f>
        <v/>
      </c>
      <c r="B2549" s="63">
        <f t="shared" si="176"/>
        <v>2</v>
      </c>
      <c r="C2549" s="64">
        <v>42403</v>
      </c>
      <c r="D2549" s="64" t="s">
        <v>690</v>
      </c>
      <c r="E2549" s="64">
        <v>42403</v>
      </c>
      <c r="F2549" s="482" t="s">
        <v>728</v>
      </c>
      <c r="G2549" s="67" t="s">
        <v>902</v>
      </c>
      <c r="H2549" s="72"/>
      <c r="I2549" s="408"/>
      <c r="J2549" s="408"/>
      <c r="K2549" s="399"/>
      <c r="L2549" s="408"/>
      <c r="M2549" s="65">
        <v>25000</v>
      </c>
      <c r="N2549" s="66" t="s">
        <v>99</v>
      </c>
      <c r="O2549" s="66" t="s">
        <v>25</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customHeight="1">
      <c r="A2550" s="323" t="str">
        <f>IF(B2550&lt;&gt;"",IF(AND(B2550='IN-TC'!$S$4,OR(TH!N2548="1111",TH!O2548="1111")),TH!D2548,""),"")</f>
        <v/>
      </c>
      <c r="B2550" s="63">
        <f t="shared" si="176"/>
        <v>2</v>
      </c>
      <c r="C2550" s="145">
        <v>42403</v>
      </c>
      <c r="D2550" s="64" t="s">
        <v>690</v>
      </c>
      <c r="E2550" s="145">
        <v>42403</v>
      </c>
      <c r="F2550" s="482" t="s">
        <v>730</v>
      </c>
      <c r="G2550" s="67" t="s">
        <v>902</v>
      </c>
      <c r="H2550" s="72"/>
      <c r="I2550" s="413"/>
      <c r="J2550" s="413"/>
      <c r="K2550" s="404"/>
      <c r="L2550" s="413"/>
      <c r="M2550" s="146">
        <v>2500</v>
      </c>
      <c r="N2550" s="147" t="s">
        <v>9</v>
      </c>
      <c r="O2550" s="66" t="s">
        <v>25</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x</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customHeight="1">
      <c r="A2551" s="323" t="str">
        <f>IF(B2551&lt;&gt;"",IF(AND(B2551='IN-TC'!$S$4,OR(TH!N2549="1111",TH!O2549="1111")),TH!D2549,""),"")</f>
        <v/>
      </c>
      <c r="B2551" s="63">
        <f t="shared" si="176"/>
        <v>2</v>
      </c>
      <c r="C2551" s="64">
        <v>42403</v>
      </c>
      <c r="D2551" s="64" t="s">
        <v>857</v>
      </c>
      <c r="E2551" s="64">
        <v>42403</v>
      </c>
      <c r="F2551" s="482" t="s">
        <v>740</v>
      </c>
      <c r="G2551" s="67" t="s">
        <v>901</v>
      </c>
      <c r="H2551" s="73" t="s">
        <v>748</v>
      </c>
      <c r="I2551" s="408"/>
      <c r="J2551" s="408"/>
      <c r="K2551" s="399"/>
      <c r="L2551" s="408"/>
      <c r="M2551" s="65">
        <v>1670000000</v>
      </c>
      <c r="N2551" s="66" t="s">
        <v>61</v>
      </c>
      <c r="O2551" s="66" t="s">
        <v>25</v>
      </c>
      <c r="P2551" s="82" t="str">
        <f>IF(AND('331-CT'!$E$7=TH!H2551,OR(N2551="331",O2551="331")),"x","")</f>
        <v/>
      </c>
      <c r="Q2551" s="82" t="str">
        <f>IF(AND(B2551='111'!$L$11,OR($N2551=$Q$7,$O2551=$Q$7)),"x","")</f>
        <v/>
      </c>
      <c r="R2551" s="82" t="str">
        <f>IF(AND($N2551=$Q$7,$B2551&lt;'111'!$L$11),"x","")</f>
        <v>x</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customHeight="1">
      <c r="A2552" s="323" t="str">
        <f>IF(B2552&lt;&gt;"",IF(AND(B2552='IN-TC'!$S$4,OR(TH!N2560="1111",TH!O2560="1111")),TH!D2560,""),"")</f>
        <v/>
      </c>
      <c r="B2552" s="63">
        <f t="shared" si="176"/>
        <v>2</v>
      </c>
      <c r="C2552" s="64">
        <v>42404</v>
      </c>
      <c r="D2552" s="64" t="s">
        <v>858</v>
      </c>
      <c r="E2552" s="64">
        <v>42404</v>
      </c>
      <c r="F2552" s="482" t="s">
        <v>756</v>
      </c>
      <c r="G2552" s="67" t="s">
        <v>1006</v>
      </c>
      <c r="H2552" s="331" t="s">
        <v>792</v>
      </c>
      <c r="I2552" s="412"/>
      <c r="J2552" s="412"/>
      <c r="K2552" s="403"/>
      <c r="L2552" s="412"/>
      <c r="M2552" s="65">
        <v>452873</v>
      </c>
      <c r="N2552" s="66" t="s">
        <v>99</v>
      </c>
      <c r="O2552" s="66" t="s">
        <v>61</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customHeight="1">
      <c r="A2553" s="323" t="str">
        <f>IF(B2553&lt;&gt;"",IF(AND(B2553='IN-TC'!$S$4,OR(TH!N2561="1111",TH!O2561="1111")),TH!D2561,""),"")</f>
        <v/>
      </c>
      <c r="B2553" s="63">
        <f t="shared" si="176"/>
        <v>2</v>
      </c>
      <c r="C2553" s="64">
        <v>42404</v>
      </c>
      <c r="D2553" s="64" t="s">
        <v>858</v>
      </c>
      <c r="E2553" s="64">
        <v>42404</v>
      </c>
      <c r="F2553" s="482" t="s">
        <v>757</v>
      </c>
      <c r="G2553" s="67" t="s">
        <v>1006</v>
      </c>
      <c r="H2553" s="72" t="s">
        <v>792</v>
      </c>
      <c r="I2553" s="408"/>
      <c r="J2553" s="408"/>
      <c r="K2553" s="399"/>
      <c r="L2553" s="408"/>
      <c r="M2553" s="65">
        <v>45287</v>
      </c>
      <c r="N2553" s="66" t="s">
        <v>9</v>
      </c>
      <c r="O2553" s="66" t="s">
        <v>61</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x</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customHeight="1">
      <c r="A2554" s="323" t="str">
        <f>IF(B2554&lt;&gt;"",IF(AND(B2554='IN-TC'!$S$4,OR(TH!N2552="1111",TH!O2552="1111")),TH!D2552,""),"")</f>
        <v/>
      </c>
      <c r="B2554" s="63">
        <f t="shared" si="176"/>
        <v>2</v>
      </c>
      <c r="C2554" s="145">
        <v>42404</v>
      </c>
      <c r="D2554" s="64" t="s">
        <v>886</v>
      </c>
      <c r="E2554" s="145">
        <v>42404</v>
      </c>
      <c r="F2554" s="482" t="s">
        <v>731</v>
      </c>
      <c r="G2554" s="67" t="s">
        <v>902</v>
      </c>
      <c r="H2554" s="73" t="s">
        <v>748</v>
      </c>
      <c r="I2554" s="413"/>
      <c r="J2554" s="413"/>
      <c r="K2554" s="404"/>
      <c r="L2554" s="413"/>
      <c r="M2554" s="146">
        <v>390000000</v>
      </c>
      <c r="N2554" s="147" t="s">
        <v>61</v>
      </c>
      <c r="O2554" s="66" t="s">
        <v>25</v>
      </c>
      <c r="P2554" s="82" t="str">
        <f>IF(AND('331-CT'!$E$7=TH!H2554,OR(N2554="331",O2554="331")),"x","")</f>
        <v/>
      </c>
      <c r="Q2554" s="82" t="str">
        <f>IF(AND(B2554='111'!$L$11,OR($N2554=$Q$7,$O2554=$Q$7)),"x","")</f>
        <v/>
      </c>
      <c r="R2554" s="82" t="str">
        <f>IF(AND($N2554=$Q$7,$B2554&lt;'111'!$L$11),"x","")</f>
        <v>x</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customHeight="1">
      <c r="A2555" s="323" t="str">
        <f>IF(B2555&lt;&gt;"",IF(AND(B2555='IN-TC'!$S$4,OR(TH!N3010="1111",TH!O3010="1111")),TH!D3010,""),"")</f>
        <v/>
      </c>
      <c r="B2555" s="63">
        <f t="shared" si="176"/>
        <v>5</v>
      </c>
      <c r="C2555" s="64">
        <f>E2555</f>
        <v>42508</v>
      </c>
      <c r="D2555" s="64" t="s">
        <v>570</v>
      </c>
      <c r="E2555" s="64">
        <v>42508</v>
      </c>
      <c r="F2555" s="72" t="s">
        <v>1049</v>
      </c>
      <c r="G2555" s="931"/>
      <c r="H2555" s="329" t="s">
        <v>589</v>
      </c>
      <c r="I2555" s="408"/>
      <c r="J2555" s="408"/>
      <c r="K2555" s="399"/>
      <c r="L2555" s="408"/>
      <c r="M2555" s="65">
        <v>1062030</v>
      </c>
      <c r="N2555" s="66" t="s">
        <v>576</v>
      </c>
      <c r="O2555" s="66" t="s">
        <v>41</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customHeight="1">
      <c r="A2556" s="323" t="str">
        <f>IF(B2556&lt;&gt;"",IF(AND(B2556='IN-TC'!$S$4,OR(TH!N258="1111",TH!O258="1111")),TH!D258,""),"")</f>
        <v/>
      </c>
      <c r="B2556" s="63">
        <f t="shared" si="176"/>
        <v>6</v>
      </c>
      <c r="C2556" s="1087">
        <v>42532</v>
      </c>
      <c r="D2556" s="1087" t="s">
        <v>585</v>
      </c>
      <c r="E2556" s="1087">
        <f>C2556</f>
        <v>42532</v>
      </c>
      <c r="F2556" s="1155" t="s">
        <v>441</v>
      </c>
      <c r="G2556" s="1131" t="s">
        <v>1536</v>
      </c>
      <c r="H2556" s="92" t="s">
        <v>589</v>
      </c>
      <c r="I2556" s="414">
        <v>1000</v>
      </c>
      <c r="J2556" s="1132">
        <v>11.5</v>
      </c>
      <c r="K2556" s="405">
        <f>I2556*J2556</f>
        <v>11500</v>
      </c>
      <c r="L2556" s="414">
        <v>22405</v>
      </c>
      <c r="M2556" s="1133">
        <f>ROUND(K2556*L2556,0)</f>
        <v>257657500</v>
      </c>
      <c r="N2556" s="1134" t="s">
        <v>576</v>
      </c>
      <c r="O2556" s="1134" t="s">
        <v>292</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customHeight="1">
      <c r="A2557" s="323" t="str">
        <f>IF(B2557&lt;&gt;"",IF(AND(B2557='IN-TC'!$S$4,OR(TH!N259="1111",TH!O259="1111")),TH!D259,""),"")</f>
        <v/>
      </c>
      <c r="B2557" s="63">
        <f t="shared" si="176"/>
        <v>6</v>
      </c>
      <c r="C2557" s="1087">
        <v>42532</v>
      </c>
      <c r="D2557" s="1087" t="s">
        <v>585</v>
      </c>
      <c r="E2557" s="1087">
        <f>C2557</f>
        <v>42532</v>
      </c>
      <c r="F2557" s="1155" t="s">
        <v>1503</v>
      </c>
      <c r="G2557" s="1131" t="s">
        <v>1536</v>
      </c>
      <c r="H2557" s="92" t="s">
        <v>589</v>
      </c>
      <c r="I2557" s="414">
        <v>2640</v>
      </c>
      <c r="J2557" s="1132">
        <v>8.6</v>
      </c>
      <c r="K2557" s="405">
        <f>I2557*J2557</f>
        <v>22704</v>
      </c>
      <c r="L2557" s="414">
        <v>22405</v>
      </c>
      <c r="M2557" s="1133">
        <f>ROUND(K2557*L2557,0)</f>
        <v>508683120</v>
      </c>
      <c r="N2557" s="1134" t="s">
        <v>576</v>
      </c>
      <c r="O2557" s="1134" t="s">
        <v>292</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customHeight="1">
      <c r="A2558" s="323" t="str">
        <f>IF(B2558&lt;&gt;"",IF(AND(B2558='IN-TC'!$S$4,OR(TH!N3163="1111",TH!O3163="1111")),TH!D3163,""),"")</f>
        <v/>
      </c>
      <c r="B2558" s="63">
        <f t="shared" si="176"/>
        <v>6</v>
      </c>
      <c r="C2558" s="64">
        <v>42536</v>
      </c>
      <c r="D2558" s="64" t="s">
        <v>687</v>
      </c>
      <c r="E2558" s="64">
        <f>C2558</f>
        <v>42536</v>
      </c>
      <c r="F2558" s="72" t="s">
        <v>1171</v>
      </c>
      <c r="G2558" s="67" t="s">
        <v>902</v>
      </c>
      <c r="H2558" s="329" t="s">
        <v>589</v>
      </c>
      <c r="I2558" s="408"/>
      <c r="J2558" s="408"/>
      <c r="K2558" s="399">
        <v>32451.62</v>
      </c>
      <c r="L2558" s="408">
        <v>22350</v>
      </c>
      <c r="M2558" s="65">
        <f>ROUND(K2558*L2558,0)</f>
        <v>725293707</v>
      </c>
      <c r="N2558" s="66" t="s">
        <v>260</v>
      </c>
      <c r="O2558" s="66" t="s">
        <v>576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customHeight="1">
      <c r="A2559" s="323" t="str">
        <f>IF(B2559&lt;&gt;"",IF(AND(B2559='IN-TC'!$S$4,OR(TH!N3164="1111",TH!O3164="1111")),TH!D3164,""),"")</f>
        <v/>
      </c>
      <c r="B2559" s="63">
        <f t="shared" si="176"/>
        <v>6</v>
      </c>
      <c r="C2559" s="64">
        <v>42536</v>
      </c>
      <c r="D2559" s="64" t="s">
        <v>570</v>
      </c>
      <c r="E2559" s="64">
        <f>C2559</f>
        <v>42536</v>
      </c>
      <c r="F2559" s="72" t="s">
        <v>599</v>
      </c>
      <c r="G2559" s="67" t="s">
        <v>902</v>
      </c>
      <c r="H2559" s="329" t="s">
        <v>589</v>
      </c>
      <c r="I2559" s="408"/>
      <c r="J2559" s="408"/>
      <c r="K2559" s="399">
        <v>10</v>
      </c>
      <c r="L2559" s="408">
        <v>22350</v>
      </c>
      <c r="M2559" s="65">
        <f>ROUND(K2559*L2559,0)</f>
        <v>223500</v>
      </c>
      <c r="N2559" s="66" t="s">
        <v>99</v>
      </c>
      <c r="O2559" s="66" t="s">
        <v>576</v>
      </c>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customHeight="1">
      <c r="A2560" s="323" t="str">
        <f>IF(B2560&lt;&gt;"",IF(AND(B2560='IN-TC'!$S$4,OR(TH!N2553="1111",TH!O2553="1111")),TH!D2553,""),"")</f>
        <v/>
      </c>
      <c r="B2560" s="63">
        <f t="shared" si="176"/>
        <v>2</v>
      </c>
      <c r="C2560" s="64">
        <v>42405</v>
      </c>
      <c r="D2560" s="64" t="s">
        <v>687</v>
      </c>
      <c r="E2560" s="64">
        <v>42405</v>
      </c>
      <c r="F2560" s="482" t="s">
        <v>1028</v>
      </c>
      <c r="G2560" s="67" t="s">
        <v>902</v>
      </c>
      <c r="H2560" s="72"/>
      <c r="I2560" s="408"/>
      <c r="J2560" s="408"/>
      <c r="K2560" s="399"/>
      <c r="L2560" s="408"/>
      <c r="M2560" s="65">
        <v>32260140</v>
      </c>
      <c r="N2560" s="66" t="s">
        <v>25</v>
      </c>
      <c r="O2560" s="66" t="s">
        <v>18</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customHeight="1">
      <c r="A2561" s="323" t="str">
        <f>IF(B2561&lt;&gt;"",IF(AND(B2561='IN-TC'!$S$4,OR(TH!N3165="1111",TH!O3165="1111")),TH!D3165,""),"")</f>
        <v/>
      </c>
      <c r="B2561" s="63">
        <f t="shared" si="176"/>
        <v>6</v>
      </c>
      <c r="C2561" s="64">
        <v>42536</v>
      </c>
      <c r="D2561" s="64" t="s">
        <v>570</v>
      </c>
      <c r="E2561" s="64">
        <f>C2561</f>
        <v>42536</v>
      </c>
      <c r="F2561" s="72" t="s">
        <v>1174</v>
      </c>
      <c r="G2561" s="67" t="s">
        <v>902</v>
      </c>
      <c r="H2561" s="329" t="s">
        <v>589</v>
      </c>
      <c r="I2561" s="408"/>
      <c r="J2561" s="408"/>
      <c r="K2561" s="399">
        <v>1</v>
      </c>
      <c r="L2561" s="408">
        <v>22350</v>
      </c>
      <c r="M2561" s="65">
        <f>ROUND(K2561*L2561,0)</f>
        <v>22350</v>
      </c>
      <c r="N2561" s="66" t="s">
        <v>9</v>
      </c>
      <c r="O2561" s="66" t="s">
        <v>576</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x</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customHeight="1">
      <c r="A2562" s="323" t="str">
        <f>IF(B2562&lt;&gt;"",IF(AND(B2562='IN-TC'!$S$4,OR(TH!N2570="1111",TH!O2570="1111")),TH!D2570,""),"")</f>
        <v/>
      </c>
      <c r="B2562" s="63">
        <f t="shared" si="176"/>
        <v>2</v>
      </c>
      <c r="C2562" s="64">
        <v>42406</v>
      </c>
      <c r="D2562" s="64" t="s">
        <v>859</v>
      </c>
      <c r="E2562" s="64">
        <v>42406</v>
      </c>
      <c r="F2562" s="482" t="s">
        <v>987</v>
      </c>
      <c r="G2562" s="67" t="s">
        <v>1007</v>
      </c>
      <c r="H2562" s="72" t="s">
        <v>792</v>
      </c>
      <c r="I2562" s="408"/>
      <c r="J2562" s="408"/>
      <c r="K2562" s="399"/>
      <c r="L2562" s="408"/>
      <c r="M2562" s="65">
        <v>798518</v>
      </c>
      <c r="N2562" s="66" t="s">
        <v>99</v>
      </c>
      <c r="O2562" s="66" t="s">
        <v>61</v>
      </c>
      <c r="P2562" s="82" t="str">
        <f>IF(AND('331-CT'!$E$7=TH!H2562,OR(N2562="331",O2562="331")),"x","")</f>
        <v/>
      </c>
      <c r="Q2562" s="82" t="str">
        <f>IF(AND(B2562='111'!$L$11,OR($N2562=$Q$7,$O2562=$Q$7)),"x","")</f>
        <v/>
      </c>
      <c r="R2562" s="82" t="str">
        <f>IF(AND($N2562=$Q$7,$B2562&lt;'111'!$L$11),"x","")</f>
        <v/>
      </c>
      <c r="S2562" s="82" t="str">
        <f>IF(AND($O2562=$Q$7,$B2562&lt;'111'!$L$11),"x","")</f>
        <v>x</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customHeight="1">
      <c r="A2563" s="323" t="str">
        <f>IF(B2563&lt;&gt;"",IF(AND(B2563='IN-TC'!$S$4,OR(TH!N2571="1111",TH!O2571="1111")),TH!D2571,""),"")</f>
        <v/>
      </c>
      <c r="B2563" s="63">
        <f t="shared" si="176"/>
        <v>2</v>
      </c>
      <c r="C2563" s="64">
        <v>42406</v>
      </c>
      <c r="D2563" s="64" t="s">
        <v>859</v>
      </c>
      <c r="E2563" s="64">
        <v>42406</v>
      </c>
      <c r="F2563" s="482" t="s">
        <v>988</v>
      </c>
      <c r="G2563" s="67" t="s">
        <v>1007</v>
      </c>
      <c r="H2563" s="72" t="s">
        <v>792</v>
      </c>
      <c r="I2563" s="408"/>
      <c r="J2563" s="408"/>
      <c r="K2563" s="399"/>
      <c r="L2563" s="408"/>
      <c r="M2563" s="65">
        <v>79852</v>
      </c>
      <c r="N2563" s="66" t="s">
        <v>9</v>
      </c>
      <c r="O2563" s="66" t="s">
        <v>61</v>
      </c>
      <c r="P2563" s="82" t="str">
        <f>IF(AND('331-CT'!$E$7=TH!H2563,OR(N2563="331",O2563="331")),"x","")</f>
        <v/>
      </c>
      <c r="Q2563" s="82" t="str">
        <f>IF(AND(B2563='111'!$L$11,OR($N2563=$Q$7,$O2563=$Q$7)),"x","")</f>
        <v/>
      </c>
      <c r="R2563" s="82" t="str">
        <f>IF(AND($N2563=$Q$7,$B2563&lt;'111'!$L$11),"x","")</f>
        <v/>
      </c>
      <c r="S2563" s="82" t="str">
        <f>IF(AND($O2563=$Q$7,$B2563&lt;'111'!$L$11),"x","")</f>
        <v>x</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x</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customHeight="1">
      <c r="A2564" s="323" t="str">
        <f>IF(B2564&lt;&gt;"",IF(AND(B2564='IN-TC'!$S$4,OR(TH!N2572="1111",TH!O2572="1111")),TH!D2572,""),"")</f>
        <v/>
      </c>
      <c r="B2564" s="63">
        <f t="shared" si="176"/>
        <v>2</v>
      </c>
      <c r="C2564" s="1092">
        <v>42415</v>
      </c>
      <c r="D2564" s="1092" t="s">
        <v>860</v>
      </c>
      <c r="E2564" s="1092">
        <f>C2564</f>
        <v>42415</v>
      </c>
      <c r="F2564" s="482" t="s">
        <v>947</v>
      </c>
      <c r="G2564" s="1094"/>
      <c r="H2564" s="1093" t="s">
        <v>946</v>
      </c>
      <c r="I2564" s="1095"/>
      <c r="J2564" s="1095"/>
      <c r="K2564" s="1096"/>
      <c r="L2564" s="1095"/>
      <c r="M2564" s="1097">
        <v>400000000</v>
      </c>
      <c r="N2564" s="1098" t="s">
        <v>266</v>
      </c>
      <c r="O2564" s="1098" t="s">
        <v>61</v>
      </c>
      <c r="P2564" s="82" t="str">
        <f>IF(AND('331-CT'!$E$7=TH!H2564,OR(N2564="331",O2564="331")),"x","")</f>
        <v/>
      </c>
      <c r="Q2564" s="82" t="str">
        <f>IF(AND(B2564='111'!$L$11,OR($N2564=$Q$7,$O2564=$Q$7)),"x","")</f>
        <v/>
      </c>
      <c r="R2564" s="82" t="str">
        <f>IF(AND($N2564=$Q$7,$B2564&lt;'111'!$L$11),"x","")</f>
        <v/>
      </c>
      <c r="S2564" s="82" t="str">
        <f>IF(AND($O2564=$Q$7,$B2564&lt;'111'!$L$11),"x","")</f>
        <v>x</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customHeight="1">
      <c r="A2565" s="323" t="str">
        <f>IF(B2565&lt;&gt;"",IF(AND(B2565='IN-TC'!$S$4,OR(TH!N2573="1111",TH!O2573="1111")),TH!D2573,""),"")</f>
        <v/>
      </c>
      <c r="B2565" s="63">
        <f t="shared" si="176"/>
        <v>2</v>
      </c>
      <c r="C2565" s="1092">
        <v>42415</v>
      </c>
      <c r="D2565" s="1092" t="s">
        <v>861</v>
      </c>
      <c r="E2565" s="1092">
        <f>C2565</f>
        <v>42415</v>
      </c>
      <c r="F2565" s="482" t="s">
        <v>947</v>
      </c>
      <c r="G2565" s="1094"/>
      <c r="H2565" s="1093" t="s">
        <v>3001</v>
      </c>
      <c r="I2565" s="1095"/>
      <c r="J2565" s="1095"/>
      <c r="K2565" s="1096"/>
      <c r="L2565" s="1095"/>
      <c r="M2565" s="1097">
        <v>500000000</v>
      </c>
      <c r="N2565" s="1098" t="s">
        <v>266</v>
      </c>
      <c r="O2565" s="1098" t="s">
        <v>61</v>
      </c>
      <c r="P2565" s="82" t="str">
        <f>IF(AND('331-CT'!$E$7=TH!H2565,OR(N2565="331",O2565="331")),"x","")</f>
        <v/>
      </c>
      <c r="Q2565" s="82" t="str">
        <f>IF(AND(B2565='111'!$L$11,OR($N2565=$Q$7,$O2565=$Q$7)),"x","")</f>
        <v/>
      </c>
      <c r="R2565" s="82" t="str">
        <f>IF(AND($N2565=$Q$7,$B2565&lt;'111'!$L$11),"x","")</f>
        <v/>
      </c>
      <c r="S2565" s="82" t="str">
        <f>IF(AND($O2565=$Q$7,$B2565&lt;'111'!$L$11),"x","")</f>
        <v>x</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customHeight="1">
      <c r="A2566" s="323" t="str">
        <f>IF(B2566&lt;&gt;"",IF(AND(B2566='IN-TC'!$S$4,OR(TH!N2562="1111",TH!O2562="1111")),TH!D2562,""),"")</f>
        <v/>
      </c>
      <c r="B2566" s="63">
        <f t="shared" si="176"/>
        <v>2</v>
      </c>
      <c r="C2566" s="145">
        <v>42415</v>
      </c>
      <c r="D2566" s="64" t="s">
        <v>690</v>
      </c>
      <c r="E2566" s="145">
        <v>42415</v>
      </c>
      <c r="F2566" s="482" t="s">
        <v>1029</v>
      </c>
      <c r="G2566" s="67" t="s">
        <v>902</v>
      </c>
      <c r="H2566" s="72" t="s">
        <v>697</v>
      </c>
      <c r="I2566" s="408"/>
      <c r="J2566" s="408"/>
      <c r="K2566" s="399"/>
      <c r="L2566" s="408"/>
      <c r="M2566" s="146">
        <v>1341984</v>
      </c>
      <c r="N2566" s="66" t="s">
        <v>97</v>
      </c>
      <c r="O2566" s="66" t="s">
        <v>25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customHeight="1">
      <c r="A2567" s="323" t="str">
        <f>IF(B2567&lt;&gt;"",IF(AND(B2567='IN-TC'!$S$4,OR(TH!N2563="1111",TH!O2563="1111")),TH!D2563,""),"")</f>
        <v/>
      </c>
      <c r="B2567" s="63">
        <f t="shared" si="176"/>
        <v>2</v>
      </c>
      <c r="C2567" s="64">
        <v>42415</v>
      </c>
      <c r="D2567" s="64" t="s">
        <v>690</v>
      </c>
      <c r="E2567" s="64">
        <v>42415</v>
      </c>
      <c r="F2567" s="482" t="s">
        <v>1030</v>
      </c>
      <c r="G2567" s="67" t="s">
        <v>902</v>
      </c>
      <c r="H2567" s="329" t="s">
        <v>698</v>
      </c>
      <c r="I2567" s="410"/>
      <c r="J2567" s="410"/>
      <c r="K2567" s="401"/>
      <c r="L2567" s="410"/>
      <c r="M2567" s="65">
        <v>2892064</v>
      </c>
      <c r="N2567" s="66" t="s">
        <v>97</v>
      </c>
      <c r="O2567" s="66" t="s">
        <v>25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customHeight="1">
      <c r="A2568" s="323" t="str">
        <f>IF(B2568&lt;&gt;"",IF(AND(B2568='IN-TC'!$S$4,OR(TH!N2564="1111",TH!O2564="1111")),TH!D2564,""),"")</f>
        <v/>
      </c>
      <c r="B2568" s="63">
        <f t="shared" si="176"/>
        <v>2</v>
      </c>
      <c r="C2568" s="64">
        <v>42415</v>
      </c>
      <c r="D2568" s="64" t="s">
        <v>690</v>
      </c>
      <c r="E2568" s="64">
        <v>42415</v>
      </c>
      <c r="F2568" s="482" t="s">
        <v>1031</v>
      </c>
      <c r="G2568" s="67" t="s">
        <v>902</v>
      </c>
      <c r="H2568" s="329" t="s">
        <v>699</v>
      </c>
      <c r="I2568" s="410"/>
      <c r="J2568" s="410"/>
      <c r="K2568" s="401"/>
      <c r="L2568" s="410"/>
      <c r="M2568" s="65">
        <v>1780800</v>
      </c>
      <c r="N2568" s="66" t="s">
        <v>97</v>
      </c>
      <c r="O2568" s="66" t="s">
        <v>25</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customHeight="1">
      <c r="A2569" s="323" t="str">
        <f>IF(B2569&lt;&gt;"",IF(AND(B2569='IN-TC'!$S$4,OR(TH!N2565="1111",TH!O2565="1111")),TH!D2565,""),"")</f>
        <v/>
      </c>
      <c r="B2569" s="63">
        <f t="shared" si="176"/>
        <v>2</v>
      </c>
      <c r="C2569" s="64">
        <v>42415</v>
      </c>
      <c r="D2569" s="64" t="s">
        <v>690</v>
      </c>
      <c r="E2569" s="64">
        <v>42415</v>
      </c>
      <c r="F2569" s="482" t="s">
        <v>1032</v>
      </c>
      <c r="G2569" s="67" t="s">
        <v>902</v>
      </c>
      <c r="H2569" s="72" t="s">
        <v>700</v>
      </c>
      <c r="I2569" s="408"/>
      <c r="J2569" s="408"/>
      <c r="K2569" s="399"/>
      <c r="L2569" s="408"/>
      <c r="M2569" s="65">
        <v>2492896</v>
      </c>
      <c r="N2569" s="66" t="s">
        <v>97</v>
      </c>
      <c r="O2569" s="66" t="s">
        <v>25</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customHeight="1">
      <c r="A2570" s="323" t="str">
        <f>IF(B2570&lt;&gt;"",IF(AND(B2570='IN-TC'!$S$4,OR(TH!N2566="1111",TH!O2566="1111")),TH!D2566,""),"")</f>
        <v/>
      </c>
      <c r="B2570" s="63">
        <f t="shared" si="176"/>
        <v>2</v>
      </c>
      <c r="C2570" s="64">
        <v>42415</v>
      </c>
      <c r="D2570" s="64" t="s">
        <v>690</v>
      </c>
      <c r="E2570" s="64">
        <v>42415</v>
      </c>
      <c r="F2570" s="482" t="s">
        <v>745</v>
      </c>
      <c r="G2570" s="67" t="s">
        <v>901</v>
      </c>
      <c r="H2570" s="72"/>
      <c r="I2570" s="408"/>
      <c r="J2570" s="408"/>
      <c r="K2570" s="399"/>
      <c r="L2570" s="408"/>
      <c r="M2570" s="65">
        <v>50000</v>
      </c>
      <c r="N2570" s="66" t="s">
        <v>99</v>
      </c>
      <c r="O2570" s="66" t="s">
        <v>25</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customHeight="1">
      <c r="A2571" s="323" t="str">
        <f>IF(B2571&lt;&gt;"",IF(AND(B2571='IN-TC'!$S$4,OR(TH!N2567="1111",TH!O2567="1111")),TH!D2567,""),"")</f>
        <v/>
      </c>
      <c r="B2571" s="63">
        <f t="shared" si="176"/>
        <v>2</v>
      </c>
      <c r="C2571" s="64">
        <v>42415</v>
      </c>
      <c r="D2571" s="64" t="s">
        <v>690</v>
      </c>
      <c r="E2571" s="64">
        <v>42415</v>
      </c>
      <c r="F2571" s="482" t="s">
        <v>746</v>
      </c>
      <c r="G2571" s="67" t="s">
        <v>901</v>
      </c>
      <c r="H2571" s="72"/>
      <c r="I2571" s="408"/>
      <c r="J2571" s="408"/>
      <c r="K2571" s="399"/>
      <c r="L2571" s="408"/>
      <c r="M2571" s="65">
        <v>5000</v>
      </c>
      <c r="N2571" s="66" t="s">
        <v>9</v>
      </c>
      <c r="O2571" s="66" t="s">
        <v>25</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x</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customHeight="1">
      <c r="A2572" s="323" t="str">
        <f>IF(B2572&lt;&gt;"",IF(AND(B2572='IN-TC'!$S$4,OR(TH!N2568="1111",TH!O2568="1111")),TH!D2568,""),"")</f>
        <v/>
      </c>
      <c r="B2572" s="63">
        <f t="shared" si="176"/>
        <v>2</v>
      </c>
      <c r="C2572" s="64">
        <v>42415</v>
      </c>
      <c r="D2572" s="64" t="s">
        <v>690</v>
      </c>
      <c r="E2572" s="64">
        <v>42415</v>
      </c>
      <c r="F2572" s="482" t="s">
        <v>745</v>
      </c>
      <c r="G2572" s="67" t="s">
        <v>901</v>
      </c>
      <c r="H2572" s="72"/>
      <c r="I2572" s="408"/>
      <c r="J2572" s="408"/>
      <c r="K2572" s="399"/>
      <c r="L2572" s="408"/>
      <c r="M2572" s="65">
        <v>50000</v>
      </c>
      <c r="N2572" s="66" t="s">
        <v>99</v>
      </c>
      <c r="O2572" s="66" t="s">
        <v>25</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customHeight="1">
      <c r="A2573" s="323" t="str">
        <f>IF(B2573&lt;&gt;"",IF(AND(B2573='IN-TC'!$S$4,OR(TH!N2569="1111",TH!O2569="1111")),TH!D2569,""),"")</f>
        <v/>
      </c>
      <c r="B2573" s="63">
        <f t="shared" si="176"/>
        <v>2</v>
      </c>
      <c r="C2573" s="64">
        <v>42415</v>
      </c>
      <c r="D2573" s="64" t="s">
        <v>690</v>
      </c>
      <c r="E2573" s="64">
        <v>42415</v>
      </c>
      <c r="F2573" s="482" t="s">
        <v>746</v>
      </c>
      <c r="G2573" s="67" t="s">
        <v>901</v>
      </c>
      <c r="H2573" s="72"/>
      <c r="I2573" s="408"/>
      <c r="J2573" s="408"/>
      <c r="K2573" s="399"/>
      <c r="L2573" s="408"/>
      <c r="M2573" s="65">
        <v>5000</v>
      </c>
      <c r="N2573" s="66" t="s">
        <v>9</v>
      </c>
      <c r="O2573" s="66" t="s">
        <v>25</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x</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customHeight="1">
      <c r="A2574" s="323" t="str">
        <f>IF(B2574&lt;&gt;"",IF(AND(B2574='IN-TC'!$S$4,OR(TH!N2588="1111",TH!O2588="1111")),TH!D2588,""),"")</f>
        <v/>
      </c>
      <c r="B2574" s="63">
        <f t="shared" si="176"/>
        <v>2</v>
      </c>
      <c r="C2574" s="64">
        <v>42418</v>
      </c>
      <c r="D2574" s="64" t="s">
        <v>862</v>
      </c>
      <c r="E2574" s="64">
        <v>42418</v>
      </c>
      <c r="F2574" s="482" t="s">
        <v>987</v>
      </c>
      <c r="G2574" s="67" t="s">
        <v>1008</v>
      </c>
      <c r="H2574" s="72" t="s">
        <v>792</v>
      </c>
      <c r="I2574" s="408"/>
      <c r="J2574" s="408"/>
      <c r="K2574" s="399"/>
      <c r="L2574" s="408"/>
      <c r="M2574" s="65">
        <v>602391</v>
      </c>
      <c r="N2574" s="66" t="s">
        <v>99</v>
      </c>
      <c r="O2574" s="66" t="s">
        <v>61</v>
      </c>
      <c r="P2574" s="82" t="str">
        <f>IF(AND('331-CT'!$E$7=TH!H2574,OR(N2574="331",O2574="331")),"x","")</f>
        <v/>
      </c>
      <c r="Q2574" s="82" t="str">
        <f>IF(AND(B2574='111'!$L$11,OR($N2574=$Q$7,$O2574=$Q$7)),"x","")</f>
        <v/>
      </c>
      <c r="R2574" s="82" t="str">
        <f>IF(AND($N2574=$Q$7,$B2574&lt;'111'!$L$11),"x","")</f>
        <v/>
      </c>
      <c r="S2574" s="82" t="str">
        <f>IF(AND($O2574=$Q$7,$B2574&lt;'111'!$L$11),"x","")</f>
        <v>x</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customHeight="1">
      <c r="A2575" s="323" t="str">
        <f>IF(B2575&lt;&gt;"",IF(AND(B2575='IN-TC'!$S$4,OR(TH!N2589="1111",TH!O2589="1111")),TH!D2589,""),"")</f>
        <v/>
      </c>
      <c r="B2575" s="63">
        <f t="shared" si="176"/>
        <v>2</v>
      </c>
      <c r="C2575" s="64">
        <v>42418</v>
      </c>
      <c r="D2575" s="64" t="s">
        <v>862</v>
      </c>
      <c r="E2575" s="64">
        <v>42418</v>
      </c>
      <c r="F2575" s="482" t="s">
        <v>988</v>
      </c>
      <c r="G2575" s="67" t="s">
        <v>1008</v>
      </c>
      <c r="H2575" s="72" t="s">
        <v>792</v>
      </c>
      <c r="I2575" s="408"/>
      <c r="J2575" s="408"/>
      <c r="K2575" s="399"/>
      <c r="L2575" s="408"/>
      <c r="M2575" s="65">
        <v>60239</v>
      </c>
      <c r="N2575" s="66" t="s">
        <v>9</v>
      </c>
      <c r="O2575" s="66" t="s">
        <v>61</v>
      </c>
      <c r="P2575" s="82" t="str">
        <f>IF(AND('331-CT'!$E$7=TH!H2575,OR(N2575="331",O2575="331")),"x","")</f>
        <v/>
      </c>
      <c r="Q2575" s="82" t="str">
        <f>IF(AND(B2575='111'!$L$11,OR($N2575=$Q$7,$O2575=$Q$7)),"x","")</f>
        <v/>
      </c>
      <c r="R2575" s="82" t="str">
        <f>IF(AND($N2575=$Q$7,$B2575&lt;'111'!$L$11),"x","")</f>
        <v/>
      </c>
      <c r="S2575" s="82" t="str">
        <f>IF(AND($O2575=$Q$7,$B2575&lt;'111'!$L$11),"x","")</f>
        <v>x</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x</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customHeight="1">
      <c r="A2576" s="323" t="str">
        <f>IF(B2576&lt;&gt;"",IF(AND(B2576='IN-TC'!$S$4,OR(TH!N2598="1111",TH!O2598="1111")),TH!D2598,""),"")</f>
        <v/>
      </c>
      <c r="B2576" s="63">
        <f t="shared" si="176"/>
        <v>2</v>
      </c>
      <c r="C2576" s="64">
        <v>42418</v>
      </c>
      <c r="D2576" s="64" t="s">
        <v>863</v>
      </c>
      <c r="E2576" s="64">
        <v>42418</v>
      </c>
      <c r="F2576" s="482" t="s">
        <v>985</v>
      </c>
      <c r="G2576" s="67" t="s">
        <v>1009</v>
      </c>
      <c r="H2576" s="72" t="s">
        <v>798</v>
      </c>
      <c r="I2576" s="408"/>
      <c r="J2576" s="408"/>
      <c r="K2576" s="399"/>
      <c r="L2576" s="408"/>
      <c r="M2576" s="65">
        <v>106982</v>
      </c>
      <c r="N2576" s="66" t="s">
        <v>99</v>
      </c>
      <c r="O2576" s="66" t="s">
        <v>61</v>
      </c>
      <c r="P2576" s="82" t="str">
        <f>IF(AND('331-CT'!$E$7=TH!H2576,OR(N2576="331",O2576="331")),"x","")</f>
        <v/>
      </c>
      <c r="Q2576" s="82" t="str">
        <f>IF(AND(B2576='111'!$L$11,OR($N2576=$Q$7,$O2576=$Q$7)),"x","")</f>
        <v/>
      </c>
      <c r="R2576" s="82" t="str">
        <f>IF(AND($N2576=$Q$7,$B2576&lt;'111'!$L$11),"x","")</f>
        <v/>
      </c>
      <c r="S2576" s="82" t="str">
        <f>IF(AND($O2576=$Q$7,$B2576&lt;'111'!$L$11),"x","")</f>
        <v>x</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customHeight="1">
      <c r="A2577" s="323" t="str">
        <f>IF(B2577&lt;&gt;"",IF(AND(B2577='IN-TC'!$S$4,OR(TH!N2599="1111",TH!O2599="1111")),TH!D2599,""),"")</f>
        <v/>
      </c>
      <c r="B2577" s="63">
        <f t="shared" si="176"/>
        <v>2</v>
      </c>
      <c r="C2577" s="64">
        <v>42418</v>
      </c>
      <c r="D2577" s="64" t="s">
        <v>863</v>
      </c>
      <c r="E2577" s="64">
        <v>42418</v>
      </c>
      <c r="F2577" s="482" t="s">
        <v>986</v>
      </c>
      <c r="G2577" s="67" t="s">
        <v>1009</v>
      </c>
      <c r="H2577" s="72" t="s">
        <v>798</v>
      </c>
      <c r="I2577" s="408"/>
      <c r="J2577" s="408"/>
      <c r="K2577" s="399"/>
      <c r="L2577" s="408"/>
      <c r="M2577" s="65">
        <v>10698</v>
      </c>
      <c r="N2577" s="66" t="s">
        <v>9</v>
      </c>
      <c r="O2577" s="66" t="s">
        <v>61</v>
      </c>
      <c r="P2577" s="82" t="str">
        <f>IF(AND('331-CT'!$E$7=TH!H2577,OR(N2577="331",O2577="331")),"x","")</f>
        <v/>
      </c>
      <c r="Q2577" s="82" t="str">
        <f>IF(AND(B2577='111'!$L$11,OR($N2577=$Q$7,$O2577=$Q$7)),"x","")</f>
        <v/>
      </c>
      <c r="R2577" s="82" t="str">
        <f>IF(AND($N2577=$Q$7,$B2577&lt;'111'!$L$11),"x","")</f>
        <v/>
      </c>
      <c r="S2577" s="82" t="str">
        <f>IF(AND($O2577=$Q$7,$B2577&lt;'111'!$L$11),"x","")</f>
        <v>x</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x</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customHeight="1">
      <c r="A2578" s="323" t="str">
        <f>IF(B2578&lt;&gt;"",IF(AND(B2578='IN-TC'!$S$4,OR(TH!N2577="1111",TH!O2577="1111")),TH!D2577,""),"")</f>
        <v/>
      </c>
      <c r="B2578" s="63">
        <f t="shared" si="176"/>
        <v>2</v>
      </c>
      <c r="C2578" s="64">
        <f t="shared" ref="C2578:C2583" si="177">E2578</f>
        <v>42418</v>
      </c>
      <c r="D2578" s="64" t="s">
        <v>570</v>
      </c>
      <c r="E2578" s="64">
        <v>42418</v>
      </c>
      <c r="F2578" s="482" t="s">
        <v>1047</v>
      </c>
      <c r="G2578" s="67" t="s">
        <v>902</v>
      </c>
      <c r="H2578" s="72" t="s">
        <v>586</v>
      </c>
      <c r="I2578" s="408"/>
      <c r="J2578" s="408"/>
      <c r="K2578" s="399">
        <v>96.8</v>
      </c>
      <c r="L2578" s="408">
        <v>22370</v>
      </c>
      <c r="M2578" s="65">
        <f>ROUND(K2578*L2578,0)</f>
        <v>2165416</v>
      </c>
      <c r="N2578" s="66" t="s">
        <v>97</v>
      </c>
      <c r="O2578" s="66" t="s">
        <v>576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customHeight="1">
      <c r="A2579" s="323" t="str">
        <f>IF(B2579&lt;&gt;"",IF(AND(B2579='IN-TC'!$S$4,OR(TH!N2578="1111",TH!O2578="1111")),TH!D2578,""),"")</f>
        <v/>
      </c>
      <c r="B2579" s="63">
        <f t="shared" si="176"/>
        <v>2</v>
      </c>
      <c r="C2579" s="64">
        <f t="shared" si="177"/>
        <v>42418</v>
      </c>
      <c r="D2579" s="64" t="s">
        <v>570</v>
      </c>
      <c r="E2579" s="64">
        <v>42418</v>
      </c>
      <c r="F2579" s="482" t="s">
        <v>1074</v>
      </c>
      <c r="G2579" s="67" t="s">
        <v>902</v>
      </c>
      <c r="H2579" s="72" t="s">
        <v>586</v>
      </c>
      <c r="I2579" s="408"/>
      <c r="J2579" s="408"/>
      <c r="K2579" s="399">
        <v>247</v>
      </c>
      <c r="L2579" s="408">
        <v>22370</v>
      </c>
      <c r="M2579" s="65">
        <f>ROUND(K2579*L2579,0)</f>
        <v>5525390</v>
      </c>
      <c r="N2579" s="66" t="s">
        <v>99</v>
      </c>
      <c r="O2579" s="66" t="s">
        <v>576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customHeight="1">
      <c r="A2580" s="323" t="str">
        <f>IF(B2580&lt;&gt;"",IF(AND(B2580='IN-TC'!$S$4,OR(TH!N2579="1111",TH!O2579="1111")),TH!D2579,""),"")</f>
        <v/>
      </c>
      <c r="B2580" s="63">
        <f t="shared" si="176"/>
        <v>2</v>
      </c>
      <c r="C2580" s="64">
        <f t="shared" si="177"/>
        <v>42418</v>
      </c>
      <c r="D2580" s="64" t="s">
        <v>570</v>
      </c>
      <c r="E2580" s="64">
        <v>42418</v>
      </c>
      <c r="F2580" s="482" t="s">
        <v>1049</v>
      </c>
      <c r="G2580" s="67"/>
      <c r="H2580" s="72" t="s">
        <v>586</v>
      </c>
      <c r="I2580" s="408"/>
      <c r="J2580" s="408"/>
      <c r="K2580" s="399"/>
      <c r="L2580" s="408"/>
      <c r="M2580" s="65">
        <v>2167200</v>
      </c>
      <c r="N2580" s="66" t="s">
        <v>97</v>
      </c>
      <c r="O2580" s="66" t="s">
        <v>576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customHeight="1">
      <c r="A2581" s="323" t="str">
        <f>IF(B2581&lt;&gt;"",IF(AND(B2581='IN-TC'!$S$4,OR(TH!N256="1111",TH!O256="1111")),TH!D256,""),"")</f>
        <v/>
      </c>
      <c r="B2581" s="63">
        <f t="shared" si="176"/>
        <v>5</v>
      </c>
      <c r="C2581" s="1087">
        <f t="shared" si="177"/>
        <v>42502</v>
      </c>
      <c r="D2581" s="1087" t="s">
        <v>585</v>
      </c>
      <c r="E2581" s="1087">
        <v>42502</v>
      </c>
      <c r="F2581" s="1155" t="s">
        <v>443</v>
      </c>
      <c r="G2581" s="1131" t="s">
        <v>1504</v>
      </c>
      <c r="H2581" s="92" t="s">
        <v>586</v>
      </c>
      <c r="I2581" s="414">
        <v>4800</v>
      </c>
      <c r="J2581" s="1132">
        <v>8.6999999999999993</v>
      </c>
      <c r="K2581" s="405">
        <f>I2581*J2581</f>
        <v>41760</v>
      </c>
      <c r="L2581" s="414">
        <v>22255</v>
      </c>
      <c r="M2581" s="1133">
        <f t="shared" ref="M2581:M2591" si="178">ROUND(K2581*L2581,0)</f>
        <v>929368800</v>
      </c>
      <c r="N2581" s="1134" t="s">
        <v>576</v>
      </c>
      <c r="O2581" s="1134" t="s">
        <v>292</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customHeight="1">
      <c r="A2582" s="323" t="str">
        <f>IF(B2582&lt;&gt;"",IF(AND(B2582='IN-TC'!$S$4,OR(TH!N3018="1111",TH!O3018="1111")),TH!D3018,""),"")</f>
        <v/>
      </c>
      <c r="B2582" s="63">
        <f t="shared" si="176"/>
        <v>5</v>
      </c>
      <c r="C2582" s="64">
        <f t="shared" si="177"/>
        <v>42517</v>
      </c>
      <c r="D2582" s="64" t="s">
        <v>687</v>
      </c>
      <c r="E2582" s="306">
        <v>42517</v>
      </c>
      <c r="F2582" s="72" t="s">
        <v>1436</v>
      </c>
      <c r="G2582" s="931" t="s">
        <v>902</v>
      </c>
      <c r="H2582" s="1103" t="s">
        <v>586</v>
      </c>
      <c r="I2582" s="408"/>
      <c r="J2582" s="408"/>
      <c r="K2582" s="399">
        <v>41493</v>
      </c>
      <c r="L2582" s="408">
        <v>22290</v>
      </c>
      <c r="M2582" s="65">
        <f t="shared" si="178"/>
        <v>924878970</v>
      </c>
      <c r="N2582" s="66" t="s">
        <v>260</v>
      </c>
      <c r="O2582" s="66" t="s">
        <v>576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customHeight="1">
      <c r="A2583" s="323" t="str">
        <f>IF(B2583&lt;&gt;"",IF(AND(B2583='IN-TC'!$S$4,OR(TH!N3019="1111",TH!O3019="1111")),TH!D3019,""),"")</f>
        <v/>
      </c>
      <c r="B2583" s="63">
        <f t="shared" si="176"/>
        <v>5</v>
      </c>
      <c r="C2583" s="64">
        <f t="shared" si="177"/>
        <v>42517</v>
      </c>
      <c r="D2583" s="64" t="s">
        <v>570</v>
      </c>
      <c r="E2583" s="306">
        <v>42517</v>
      </c>
      <c r="F2583" s="72" t="s">
        <v>1499</v>
      </c>
      <c r="G2583" s="931" t="s">
        <v>902</v>
      </c>
      <c r="H2583" s="1103" t="s">
        <v>586</v>
      </c>
      <c r="I2583" s="408"/>
      <c r="J2583" s="408"/>
      <c r="K2583" s="399">
        <v>267</v>
      </c>
      <c r="L2583" s="408">
        <v>22290</v>
      </c>
      <c r="M2583" s="65">
        <f t="shared" si="178"/>
        <v>5951430</v>
      </c>
      <c r="N2583" s="66" t="s">
        <v>99</v>
      </c>
      <c r="O2583" s="66" t="s">
        <v>576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customHeight="1">
      <c r="A2584" s="323" t="str">
        <f>IF(B2584&lt;&gt;"",IF(AND(B2584='IN-TC'!$S$4,OR(TH!N2580="1111",TH!O2580="1111")),TH!D2580,""),"")</f>
        <v/>
      </c>
      <c r="B2584" s="63">
        <f t="shared" si="176"/>
        <v>2</v>
      </c>
      <c r="C2584" s="64">
        <v>42418</v>
      </c>
      <c r="D2584" s="64" t="s">
        <v>690</v>
      </c>
      <c r="E2584" s="64">
        <v>42418</v>
      </c>
      <c r="F2584" s="482" t="s">
        <v>1036</v>
      </c>
      <c r="G2584" s="67" t="s">
        <v>902</v>
      </c>
      <c r="H2584" s="72" t="s">
        <v>707</v>
      </c>
      <c r="I2584" s="408"/>
      <c r="J2584" s="408"/>
      <c r="K2584" s="399">
        <v>282.44</v>
      </c>
      <c r="L2584" s="408">
        <v>22370</v>
      </c>
      <c r="M2584" s="65">
        <f t="shared" si="178"/>
        <v>6318183</v>
      </c>
      <c r="N2584" s="66" t="s">
        <v>97</v>
      </c>
      <c r="O2584" s="66" t="s">
        <v>260</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customHeight="1">
      <c r="A2585" s="323" t="str">
        <f>IF(B2585&lt;&gt;"",IF(AND(B2585='IN-TC'!$S$4,OR(TH!N2581="1111",TH!O2581="1111")),TH!D2581,""),"")</f>
        <v/>
      </c>
      <c r="B2585" s="63">
        <f t="shared" si="176"/>
        <v>2</v>
      </c>
      <c r="C2585" s="64">
        <v>42418</v>
      </c>
      <c r="D2585" s="64" t="s">
        <v>690</v>
      </c>
      <c r="E2585" s="64">
        <v>42418</v>
      </c>
      <c r="F2585" s="482" t="s">
        <v>1037</v>
      </c>
      <c r="G2585" s="67" t="s">
        <v>902</v>
      </c>
      <c r="H2585" s="72" t="s">
        <v>708</v>
      </c>
      <c r="I2585" s="408"/>
      <c r="J2585" s="408"/>
      <c r="K2585" s="399">
        <v>137.78</v>
      </c>
      <c r="L2585" s="408">
        <v>22370</v>
      </c>
      <c r="M2585" s="65">
        <f t="shared" si="178"/>
        <v>3082139</v>
      </c>
      <c r="N2585" s="66" t="s">
        <v>97</v>
      </c>
      <c r="O2585" s="66" t="s">
        <v>260</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customHeight="1">
      <c r="A2586" s="323" t="str">
        <f>IF(B2586&lt;&gt;"",IF(AND(B2586='IN-TC'!$S$4,OR(TH!N2582="1111",TH!O2582="1111")),TH!D2582,""),"")</f>
        <v/>
      </c>
      <c r="B2586" s="63">
        <f t="shared" si="176"/>
        <v>2</v>
      </c>
      <c r="C2586" s="64">
        <v>42418</v>
      </c>
      <c r="D2586" s="64" t="s">
        <v>690</v>
      </c>
      <c r="E2586" s="64">
        <v>42418</v>
      </c>
      <c r="F2586" s="482" t="s">
        <v>1038</v>
      </c>
      <c r="G2586" s="67" t="s">
        <v>902</v>
      </c>
      <c r="H2586" s="72" t="s">
        <v>709</v>
      </c>
      <c r="I2586" s="408"/>
      <c r="J2586" s="408"/>
      <c r="K2586" s="399">
        <v>172.22</v>
      </c>
      <c r="L2586" s="408">
        <v>22370</v>
      </c>
      <c r="M2586" s="65">
        <f t="shared" si="178"/>
        <v>3852561</v>
      </c>
      <c r="N2586" s="66" t="s">
        <v>97</v>
      </c>
      <c r="O2586" s="66" t="s">
        <v>260</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customHeight="1">
      <c r="A2587" s="323" t="str">
        <f>IF(B2587&lt;&gt;"",IF(AND(B2587='IN-TC'!$S$4,OR(TH!N2583="1111",TH!O2583="1111")),TH!D2583,""),"")</f>
        <v/>
      </c>
      <c r="B2587" s="63">
        <f t="shared" si="176"/>
        <v>2</v>
      </c>
      <c r="C2587" s="64">
        <v>42418</v>
      </c>
      <c r="D2587" s="64" t="s">
        <v>690</v>
      </c>
      <c r="E2587" s="64">
        <v>42418</v>
      </c>
      <c r="F2587" s="482" t="s">
        <v>1039</v>
      </c>
      <c r="G2587" s="67" t="s">
        <v>902</v>
      </c>
      <c r="H2587" s="72" t="s">
        <v>710</v>
      </c>
      <c r="I2587" s="408"/>
      <c r="J2587" s="408"/>
      <c r="K2587" s="399">
        <v>308.27999999999997</v>
      </c>
      <c r="L2587" s="408">
        <v>22370</v>
      </c>
      <c r="M2587" s="65">
        <f t="shared" si="178"/>
        <v>6896224</v>
      </c>
      <c r="N2587" s="66" t="s">
        <v>97</v>
      </c>
      <c r="O2587" s="66" t="s">
        <v>260</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customHeight="1">
      <c r="A2588" s="323" t="str">
        <f>IF(B2588&lt;&gt;"",IF(AND(B2588='IN-TC'!$S$4,OR(TH!N2584="1111",TH!O2584="1111")),TH!D2584,""),"")</f>
        <v/>
      </c>
      <c r="B2588" s="63">
        <f t="shared" si="176"/>
        <v>2</v>
      </c>
      <c r="C2588" s="64">
        <v>42418</v>
      </c>
      <c r="D2588" s="64" t="s">
        <v>690</v>
      </c>
      <c r="E2588" s="64">
        <v>42418</v>
      </c>
      <c r="F2588" s="482" t="s">
        <v>1040</v>
      </c>
      <c r="G2588" s="67" t="s">
        <v>902</v>
      </c>
      <c r="H2588" s="72" t="s">
        <v>711</v>
      </c>
      <c r="I2588" s="408"/>
      <c r="J2588" s="408"/>
      <c r="K2588" s="399">
        <v>306.56</v>
      </c>
      <c r="L2588" s="408">
        <v>22370</v>
      </c>
      <c r="M2588" s="65">
        <f t="shared" si="178"/>
        <v>6857747</v>
      </c>
      <c r="N2588" s="66" t="s">
        <v>97</v>
      </c>
      <c r="O2588" s="66" t="s">
        <v>260</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customHeight="1">
      <c r="A2589" s="323" t="str">
        <f>IF(B2589&lt;&gt;"",IF(AND(B2589='IN-TC'!$S$4,OR(TH!N2585="1111",TH!O2585="1111")),TH!D2585,""),"")</f>
        <v/>
      </c>
      <c r="B2589" s="63">
        <f t="shared" si="176"/>
        <v>2</v>
      </c>
      <c r="C2589" s="64">
        <v>42418</v>
      </c>
      <c r="D2589" s="64" t="s">
        <v>690</v>
      </c>
      <c r="E2589" s="64">
        <v>42418</v>
      </c>
      <c r="F2589" s="482" t="s">
        <v>1041</v>
      </c>
      <c r="G2589" s="67" t="s">
        <v>902</v>
      </c>
      <c r="H2589" s="72" t="s">
        <v>718</v>
      </c>
      <c r="I2589" s="408"/>
      <c r="J2589" s="408"/>
      <c r="K2589" s="399">
        <v>210.11</v>
      </c>
      <c r="L2589" s="408">
        <v>22370</v>
      </c>
      <c r="M2589" s="65">
        <f t="shared" si="178"/>
        <v>4700161</v>
      </c>
      <c r="N2589" s="66" t="s">
        <v>97</v>
      </c>
      <c r="O2589" s="66" t="s">
        <v>260</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customHeight="1">
      <c r="A2590" s="323" t="str">
        <f>IF(B2590&lt;&gt;"",IF(AND(B2590='IN-TC'!$S$4,OR(TH!N2586="1111",TH!O2586="1111")),TH!D2586,""),"")</f>
        <v/>
      </c>
      <c r="B2590" s="63">
        <f t="shared" si="176"/>
        <v>2</v>
      </c>
      <c r="C2590" s="64">
        <v>42418</v>
      </c>
      <c r="D2590" s="64" t="s">
        <v>690</v>
      </c>
      <c r="E2590" s="64">
        <v>42418</v>
      </c>
      <c r="F2590" s="482" t="s">
        <v>1042</v>
      </c>
      <c r="G2590" s="67" t="s">
        <v>902</v>
      </c>
      <c r="H2590" s="72" t="s">
        <v>713</v>
      </c>
      <c r="I2590" s="408"/>
      <c r="J2590" s="408"/>
      <c r="K2590" s="399">
        <v>567.11</v>
      </c>
      <c r="L2590" s="408">
        <v>22370</v>
      </c>
      <c r="M2590" s="65">
        <f t="shared" si="178"/>
        <v>12686251</v>
      </c>
      <c r="N2590" s="66" t="s">
        <v>97</v>
      </c>
      <c r="O2590" s="66" t="s">
        <v>260</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customHeight="1">
      <c r="A2591" s="323" t="str">
        <f>IF(B2591&lt;&gt;"",IF(AND(B2591='IN-TC'!$S$4,OR(TH!N2587="1111",TH!O2587="1111")),TH!D2587,""),"")</f>
        <v/>
      </c>
      <c r="B2591" s="63">
        <f t="shared" si="176"/>
        <v>2</v>
      </c>
      <c r="C2591" s="64">
        <v>42418</v>
      </c>
      <c r="D2591" s="64" t="s">
        <v>690</v>
      </c>
      <c r="E2591" s="64">
        <v>42418</v>
      </c>
      <c r="F2591" s="482" t="s">
        <v>739</v>
      </c>
      <c r="G2591" s="67" t="s">
        <v>902</v>
      </c>
      <c r="H2591" s="72" t="s">
        <v>712</v>
      </c>
      <c r="I2591" s="408"/>
      <c r="J2591" s="408"/>
      <c r="K2591" s="399">
        <v>306.56</v>
      </c>
      <c r="L2591" s="408">
        <v>22370</v>
      </c>
      <c r="M2591" s="65">
        <f t="shared" si="178"/>
        <v>6857747</v>
      </c>
      <c r="N2591" s="66" t="s">
        <v>97</v>
      </c>
      <c r="O2591" s="66" t="s">
        <v>260</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customHeight="1">
      <c r="A2592" s="323" t="str">
        <f>IF(B2592&lt;&gt;"",IF(AND(B2592='IN-TC'!$S$4,OR(TH!N2606="1111",TH!O2606="1111")),TH!D2606,""),"")</f>
        <v/>
      </c>
      <c r="B2592" s="63">
        <f t="shared" si="176"/>
        <v>2</v>
      </c>
      <c r="C2592" s="64">
        <v>42419</v>
      </c>
      <c r="D2592" s="64" t="s">
        <v>864</v>
      </c>
      <c r="E2592" s="64">
        <v>42419</v>
      </c>
      <c r="F2592" s="482" t="s">
        <v>989</v>
      </c>
      <c r="G2592" s="67" t="s">
        <v>1010</v>
      </c>
      <c r="H2592" s="72" t="s">
        <v>1011</v>
      </c>
      <c r="I2592" s="413"/>
      <c r="J2592" s="413"/>
      <c r="K2592" s="404"/>
      <c r="L2592" s="413"/>
      <c r="M2592" s="65">
        <v>4889537</v>
      </c>
      <c r="N2592" s="66" t="s">
        <v>579</v>
      </c>
      <c r="O2592" s="66" t="s">
        <v>61</v>
      </c>
      <c r="P2592" s="82" t="str">
        <f>IF(AND('331-CT'!$E$7=TH!H2592,OR(N2592="331",O2592="331")),"x","")</f>
        <v/>
      </c>
      <c r="Q2592" s="82" t="str">
        <f>IF(AND(B2592='111'!$L$11,OR($N2592=$Q$7,$O2592=$Q$7)),"x","")</f>
        <v/>
      </c>
      <c r="R2592" s="82" t="str">
        <f>IF(AND($N2592=$Q$7,$B2592&lt;'111'!$L$11),"x","")</f>
        <v/>
      </c>
      <c r="S2592" s="82" t="str">
        <f>IF(AND($O2592=$Q$7,$B2592&lt;'111'!$L$11),"x","")</f>
        <v>x</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customHeight="1">
      <c r="A2593" s="323" t="str">
        <f>IF(B2593&lt;&gt;"",IF(AND(B2593='IN-TC'!$S$4,OR(TH!N2608="1111",TH!O2608="1111")),TH!D2608,""),"")</f>
        <v/>
      </c>
      <c r="B2593" s="63">
        <f t="shared" si="176"/>
        <v>2</v>
      </c>
      <c r="C2593" s="64">
        <v>42419</v>
      </c>
      <c r="D2593" s="64" t="s">
        <v>864</v>
      </c>
      <c r="E2593" s="64">
        <v>42419</v>
      </c>
      <c r="F2593" s="482" t="s">
        <v>990</v>
      </c>
      <c r="G2593" s="67" t="s">
        <v>1010</v>
      </c>
      <c r="H2593" s="72" t="s">
        <v>1011</v>
      </c>
      <c r="I2593" s="413"/>
      <c r="J2593" s="413"/>
      <c r="K2593" s="404"/>
      <c r="L2593" s="413"/>
      <c r="M2593" s="65">
        <v>270263</v>
      </c>
      <c r="N2593" s="66" t="s">
        <v>9</v>
      </c>
      <c r="O2593" s="66" t="s">
        <v>61</v>
      </c>
      <c r="P2593" s="82" t="str">
        <f>IF(AND('331-CT'!$E$7=TH!H2593,OR(N2593="331",O2593="331")),"x","")</f>
        <v/>
      </c>
      <c r="Q2593" s="82" t="str">
        <f>IF(AND(B2593='111'!$L$11,OR($N2593=$Q$7,$O2593=$Q$7)),"x","")</f>
        <v/>
      </c>
      <c r="R2593" s="82" t="str">
        <f>IF(AND($N2593=$Q$7,$B2593&lt;'111'!$L$11),"x","")</f>
        <v/>
      </c>
      <c r="S2593" s="82" t="str">
        <f>IF(AND($O2593=$Q$7,$B2593&lt;'111'!$L$11),"x","")</f>
        <v>x</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x</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customHeight="1">
      <c r="A2594" s="323" t="str">
        <f>IF(B2594&lt;&gt;"",IF(AND(B2594='IN-TC'!$S$4,OR(TH!N2590="1111",TH!O2590="1111")),TH!D2590,""),"")</f>
        <v/>
      </c>
      <c r="B2594" s="63">
        <f t="shared" si="176"/>
        <v>2</v>
      </c>
      <c r="C2594" s="64">
        <v>42419</v>
      </c>
      <c r="D2594" s="64" t="s">
        <v>687</v>
      </c>
      <c r="E2594" s="64">
        <v>42419</v>
      </c>
      <c r="F2594" s="482" t="s">
        <v>1027</v>
      </c>
      <c r="G2594" s="67" t="s">
        <v>903</v>
      </c>
      <c r="H2594" s="72"/>
      <c r="I2594" s="408"/>
      <c r="J2594" s="408"/>
      <c r="K2594" s="399"/>
      <c r="L2594" s="408"/>
      <c r="M2594" s="65">
        <v>5000000</v>
      </c>
      <c r="N2594" s="66" t="s">
        <v>25</v>
      </c>
      <c r="O2594" s="66" t="s">
        <v>25</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customHeight="1">
      <c r="A2595" s="323" t="str">
        <f>IF(B2595&lt;&gt;"",IF(AND(B2595='IN-TC'!$S$4,OR(TH!N3713="1111",TH!O3713="1111")),TH!D3713,""),"")</f>
        <v/>
      </c>
      <c r="B2595" s="63">
        <f t="shared" si="176"/>
        <v>9</v>
      </c>
      <c r="C2595" s="64">
        <v>42627</v>
      </c>
      <c r="D2595" s="64" t="s">
        <v>690</v>
      </c>
      <c r="E2595" s="64">
        <f>C2595</f>
        <v>42627</v>
      </c>
      <c r="F2595" s="72" t="s">
        <v>2002</v>
      </c>
      <c r="G2595" s="67" t="s">
        <v>1544</v>
      </c>
      <c r="H2595" s="72" t="s">
        <v>617</v>
      </c>
      <c r="I2595" s="408"/>
      <c r="J2595" s="408"/>
      <c r="K2595" s="399"/>
      <c r="L2595" s="408"/>
      <c r="M2595" s="65">
        <v>24068550</v>
      </c>
      <c r="N2595" s="66" t="s">
        <v>8</v>
      </c>
      <c r="O2595" s="66" t="s">
        <v>25</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x</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customHeight="1">
      <c r="A2596" s="323" t="str">
        <f>IF(B2596&lt;&gt;"",IF(AND(B2596='IN-TC'!$S$4,OR(TH!N2593="1111",TH!O2593="1111")),TH!D2593,""),"")</f>
        <v/>
      </c>
      <c r="B2596" s="63">
        <f t="shared" si="176"/>
        <v>2</v>
      </c>
      <c r="C2596" s="64">
        <f>E2596</f>
        <v>42420</v>
      </c>
      <c r="D2596" s="306" t="s">
        <v>570</v>
      </c>
      <c r="E2596" s="306">
        <v>42420</v>
      </c>
      <c r="F2596" s="482" t="s">
        <v>1052</v>
      </c>
      <c r="G2596" s="67" t="s">
        <v>901</v>
      </c>
      <c r="H2596" s="308" t="s">
        <v>587</v>
      </c>
      <c r="I2596" s="408"/>
      <c r="J2596" s="408"/>
      <c r="K2596" s="399">
        <v>154.44</v>
      </c>
      <c r="L2596" s="408">
        <v>22345</v>
      </c>
      <c r="M2596" s="65">
        <f>ROUND(K2596*L2596,0)</f>
        <v>3450962</v>
      </c>
      <c r="N2596" s="309" t="s">
        <v>99</v>
      </c>
      <c r="O2596" s="66" t="s">
        <v>576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customHeight="1">
      <c r="A2597" s="323" t="str">
        <f>IF(B2597&lt;&gt;"",IF(AND(B2597='IN-TC'!$S$4,OR(TH!N2594="1111",TH!O2594="1111")),TH!D2594,""),"")</f>
        <v/>
      </c>
      <c r="B2597" s="63">
        <f t="shared" si="176"/>
        <v>2</v>
      </c>
      <c r="C2597" s="64">
        <f>E2597</f>
        <v>42420</v>
      </c>
      <c r="D2597" s="306" t="s">
        <v>570</v>
      </c>
      <c r="E2597" s="306">
        <v>42420</v>
      </c>
      <c r="F2597" s="482" t="s">
        <v>1053</v>
      </c>
      <c r="G2597" s="67" t="s">
        <v>901</v>
      </c>
      <c r="H2597" s="308" t="s">
        <v>587</v>
      </c>
      <c r="I2597" s="408"/>
      <c r="J2597" s="408"/>
      <c r="K2597" s="399">
        <v>15.44</v>
      </c>
      <c r="L2597" s="408">
        <v>22345</v>
      </c>
      <c r="M2597" s="65">
        <f>ROUND(K2597*L2597,0)</f>
        <v>345007</v>
      </c>
      <c r="N2597" s="309" t="s">
        <v>9</v>
      </c>
      <c r="O2597" s="66" t="s">
        <v>576</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x</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customHeight="1">
      <c r="A2598" s="323" t="str">
        <f>IF(B2598&lt;&gt;"",IF(AND(B2598='IN-TC'!$S$4,OR(TH!N2595="1111",TH!O2595="1111")),TH!D2595,""),"")</f>
        <v/>
      </c>
      <c r="B2598" s="63">
        <f t="shared" si="176"/>
        <v>2</v>
      </c>
      <c r="C2598" s="64">
        <f>E2598</f>
        <v>42420</v>
      </c>
      <c r="D2598" s="306" t="s">
        <v>570</v>
      </c>
      <c r="E2598" s="306">
        <v>42420</v>
      </c>
      <c r="F2598" s="482" t="s">
        <v>1055</v>
      </c>
      <c r="G2598" s="67" t="s">
        <v>901</v>
      </c>
      <c r="H2598" s="329" t="s">
        <v>587</v>
      </c>
      <c r="I2598" s="408"/>
      <c r="J2598" s="408"/>
      <c r="K2598" s="399">
        <v>171</v>
      </c>
      <c r="L2598" s="408">
        <v>22345</v>
      </c>
      <c r="M2598" s="65">
        <f>ROUND(K2598*L2598,0)</f>
        <v>3820995</v>
      </c>
      <c r="N2598" s="66" t="s">
        <v>99</v>
      </c>
      <c r="O2598" s="66" t="s">
        <v>576</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customHeight="1">
      <c r="A2599" s="323" t="str">
        <f>IF(B2599&lt;&gt;"",IF(AND(B2599='IN-TC'!$S$4,OR(TH!N2596="1111",TH!O2596="1111")),TH!D2596,""),"")</f>
        <v/>
      </c>
      <c r="B2599" s="63">
        <f t="shared" si="176"/>
        <v>2</v>
      </c>
      <c r="C2599" s="64">
        <f>E2599</f>
        <v>42420</v>
      </c>
      <c r="D2599" s="306" t="s">
        <v>570</v>
      </c>
      <c r="E2599" s="306">
        <v>42420</v>
      </c>
      <c r="F2599" s="482" t="s">
        <v>1049</v>
      </c>
      <c r="G2599" s="67"/>
      <c r="H2599" s="329" t="s">
        <v>587</v>
      </c>
      <c r="I2599" s="408"/>
      <c r="J2599" s="408"/>
      <c r="K2599" s="399"/>
      <c r="L2599" s="408"/>
      <c r="M2599" s="65">
        <v>4093800</v>
      </c>
      <c r="N2599" s="66" t="s">
        <v>576</v>
      </c>
      <c r="O2599" s="66" t="s">
        <v>41</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customHeight="1">
      <c r="A2600" s="323" t="str">
        <f>IF(B2600&lt;&gt;"",IF(AND(B2600='IN-TC'!$S$4,OR(TH!N250="1111",TH!O250="1111")),TH!D250,""),"")</f>
        <v/>
      </c>
      <c r="B2600" s="63">
        <f t="shared" si="176"/>
        <v>3</v>
      </c>
      <c r="C2600" s="1087">
        <v>42443</v>
      </c>
      <c r="D2600" s="1087" t="s">
        <v>585</v>
      </c>
      <c r="E2600" s="1087">
        <f>C2600</f>
        <v>42443</v>
      </c>
      <c r="F2600" s="1155" t="s">
        <v>442</v>
      </c>
      <c r="G2600" s="1131" t="s">
        <v>980</v>
      </c>
      <c r="H2600" s="92" t="s">
        <v>587</v>
      </c>
      <c r="I2600" s="414">
        <v>12500</v>
      </c>
      <c r="J2600" s="1132">
        <v>8.43</v>
      </c>
      <c r="K2600" s="405">
        <f>I2600*J2600</f>
        <v>105375</v>
      </c>
      <c r="L2600" s="414">
        <v>22255</v>
      </c>
      <c r="M2600" s="1133">
        <f>ROUND(K2600*L2600,0)</f>
        <v>2345120625</v>
      </c>
      <c r="N2600" s="1134" t="s">
        <v>576</v>
      </c>
      <c r="O2600" s="1134" t="s">
        <v>292</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customHeight="1">
      <c r="A2601" s="323" t="str">
        <f>IF(B2601&lt;&gt;"",IF(AND(B2601='IN-TC'!$S$4,OR(TH!N2597="1111",TH!O2597="1111")),TH!D2597,""),"")</f>
        <v/>
      </c>
      <c r="B2601" s="63">
        <f t="shared" si="176"/>
        <v>2</v>
      </c>
      <c r="C2601" s="64">
        <v>42420</v>
      </c>
      <c r="D2601" s="64" t="s">
        <v>690</v>
      </c>
      <c r="E2601" s="64">
        <v>42420</v>
      </c>
      <c r="F2601" s="72" t="s">
        <v>1047</v>
      </c>
      <c r="G2601" s="67" t="s">
        <v>901</v>
      </c>
      <c r="H2601" s="72"/>
      <c r="I2601" s="408"/>
      <c r="J2601" s="408"/>
      <c r="K2601" s="399">
        <v>161.63999999999999</v>
      </c>
      <c r="L2601" s="408">
        <v>22345</v>
      </c>
      <c r="M2601" s="65">
        <f>ROUND(K2601*L2601,0)</f>
        <v>3611846</v>
      </c>
      <c r="N2601" s="66" t="s">
        <v>97</v>
      </c>
      <c r="O2601" s="66" t="s">
        <v>260</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customHeight="1">
      <c r="A2602" s="323" t="str">
        <f>IF(B2602&lt;&gt;"",IF(AND(B2602='IN-TC'!$S$4,OR(TH!N2609="1111",TH!O2609="1111")),TH!D2609,""),"")</f>
        <v/>
      </c>
      <c r="B2602" s="63">
        <f t="shared" si="176"/>
        <v>2</v>
      </c>
      <c r="C2602" s="64">
        <v>42422</v>
      </c>
      <c r="D2602" s="64" t="s">
        <v>865</v>
      </c>
      <c r="E2602" s="64">
        <v>42422</v>
      </c>
      <c r="F2602" s="482" t="s">
        <v>987</v>
      </c>
      <c r="G2602" s="67" t="s">
        <v>1012</v>
      </c>
      <c r="H2602" s="331" t="s">
        <v>792</v>
      </c>
      <c r="I2602" s="412"/>
      <c r="J2602" s="412"/>
      <c r="K2602" s="403"/>
      <c r="L2602" s="412"/>
      <c r="M2602" s="65">
        <v>538591</v>
      </c>
      <c r="N2602" s="66" t="s">
        <v>99</v>
      </c>
      <c r="O2602" s="66" t="s">
        <v>61</v>
      </c>
      <c r="P2602" s="82" t="str">
        <f>IF(AND('331-CT'!$E$7=TH!H2602,OR(N2602="331",O2602="331")),"x","")</f>
        <v/>
      </c>
      <c r="Q2602" s="82" t="str">
        <f>IF(AND(B2602='111'!$L$11,OR($N2602=$Q$7,$O2602=$Q$7)),"x","")</f>
        <v/>
      </c>
      <c r="R2602" s="82" t="str">
        <f>IF(AND($N2602=$Q$7,$B2602&lt;'111'!$L$11),"x","")</f>
        <v/>
      </c>
      <c r="S2602" s="82" t="str">
        <f>IF(AND($O2602=$Q$7,$B2602&lt;'111'!$L$11),"x","")</f>
        <v>x</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customHeight="1">
      <c r="A2603" s="323" t="str">
        <f>IF(B2603&lt;&gt;"",IF(AND(B2603='IN-TC'!$S$4,OR(TH!N2610="1111",TH!O2610="1111")),TH!D2610,""),"")</f>
        <v/>
      </c>
      <c r="B2603" s="63">
        <f t="shared" si="176"/>
        <v>2</v>
      </c>
      <c r="C2603" s="64">
        <v>42422</v>
      </c>
      <c r="D2603" s="64" t="s">
        <v>865</v>
      </c>
      <c r="E2603" s="64">
        <v>42422</v>
      </c>
      <c r="F2603" s="482" t="s">
        <v>988</v>
      </c>
      <c r="G2603" s="67" t="s">
        <v>1012</v>
      </c>
      <c r="H2603" s="72" t="s">
        <v>792</v>
      </c>
      <c r="I2603" s="408"/>
      <c r="J2603" s="408"/>
      <c r="K2603" s="399"/>
      <c r="L2603" s="408"/>
      <c r="M2603" s="65">
        <v>53859</v>
      </c>
      <c r="N2603" s="66" t="s">
        <v>9</v>
      </c>
      <c r="O2603" s="66" t="s">
        <v>61</v>
      </c>
      <c r="P2603" s="82" t="str">
        <f>IF(AND('331-CT'!$E$7=TH!H2603,OR(N2603="331",O2603="331")),"x","")</f>
        <v/>
      </c>
      <c r="Q2603" s="82" t="str">
        <f>IF(AND(B2603='111'!$L$11,OR($N2603=$Q$7,$O2603=$Q$7)),"x","")</f>
        <v/>
      </c>
      <c r="R2603" s="82" t="str">
        <f>IF(AND($N2603=$Q$7,$B2603&lt;'111'!$L$11),"x","")</f>
        <v/>
      </c>
      <c r="S2603" s="82" t="str">
        <f>IF(AND($O2603=$Q$7,$B2603&lt;'111'!$L$11),"x","")</f>
        <v>x</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x</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customHeight="1">
      <c r="A2604" s="323" t="str">
        <f>IF(B2604&lt;&gt;"",IF(AND(B2604='IN-TC'!$S$4,OR(TH!N2618="1111",TH!O2618="1111")),TH!D2618,""),"")</f>
        <v/>
      </c>
      <c r="B2604" s="63">
        <f t="shared" si="176"/>
        <v>2</v>
      </c>
      <c r="C2604" s="1092">
        <v>42422</v>
      </c>
      <c r="D2604" s="1092" t="s">
        <v>866</v>
      </c>
      <c r="E2604" s="1092">
        <f>C2604</f>
        <v>42422</v>
      </c>
      <c r="F2604" s="482" t="s">
        <v>947</v>
      </c>
      <c r="G2604" s="1094"/>
      <c r="H2604" s="1093" t="s">
        <v>3001</v>
      </c>
      <c r="I2604" s="1095"/>
      <c r="J2604" s="1095"/>
      <c r="K2604" s="1096"/>
      <c r="L2604" s="1095"/>
      <c r="M2604" s="1097">
        <v>456000000</v>
      </c>
      <c r="N2604" s="1098" t="s">
        <v>266</v>
      </c>
      <c r="O2604" s="1098" t="s">
        <v>61</v>
      </c>
      <c r="P2604" s="82" t="str">
        <f>IF(AND('331-CT'!$E$7=TH!H2604,OR(N2604="331",O2604="331")),"x","")</f>
        <v/>
      </c>
      <c r="Q2604" s="82" t="str">
        <f>IF(AND(B2604='111'!$L$11,OR($N2604=$Q$7,$O2604=$Q$7)),"x","")</f>
        <v/>
      </c>
      <c r="R2604" s="82" t="str">
        <f>IF(AND($N2604=$Q$7,$B2604&lt;'111'!$L$11),"x","")</f>
        <v/>
      </c>
      <c r="S2604" s="82" t="str">
        <f>IF(AND($O2604=$Q$7,$B2604&lt;'111'!$L$11),"x","")</f>
        <v>x</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customHeight="1">
      <c r="A2605" s="323" t="str">
        <f>IF(B2605&lt;&gt;"",IF(AND(B2605='IN-TC'!$S$4,OR(TH!N2600="1111",TH!O2600="1111")),TH!D2600,""),"")</f>
        <v/>
      </c>
      <c r="B2605" s="63">
        <f t="shared" si="176"/>
        <v>2</v>
      </c>
      <c r="C2605" s="64">
        <v>42422</v>
      </c>
      <c r="D2605" s="64" t="s">
        <v>687</v>
      </c>
      <c r="E2605" s="64">
        <v>42422</v>
      </c>
      <c r="F2605" s="482" t="s">
        <v>688</v>
      </c>
      <c r="G2605" s="67" t="s">
        <v>903</v>
      </c>
      <c r="H2605" s="72"/>
      <c r="I2605" s="408"/>
      <c r="J2605" s="408"/>
      <c r="K2605" s="399">
        <v>3600</v>
      </c>
      <c r="L2605" s="408">
        <v>22340</v>
      </c>
      <c r="M2605" s="65">
        <f t="shared" ref="M2605:M2610" si="179">ROUND(K2605*L2605,0)</f>
        <v>80424000</v>
      </c>
      <c r="N2605" s="66" t="s">
        <v>260</v>
      </c>
      <c r="O2605" s="66" t="s">
        <v>260</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customHeight="1">
      <c r="A2606" s="323" t="str">
        <f>IF(B2606&lt;&gt;"",IF(AND(B2606='IN-TC'!$S$4,OR(TH!N2601="1111",TH!O2601="1111")),TH!D2601,""),"")</f>
        <v/>
      </c>
      <c r="B2606" s="63">
        <f t="shared" ref="B2606:B2669" si="180">IF(C2606&lt;&gt;"",MONTH(C2606),"")</f>
        <v>2</v>
      </c>
      <c r="C2606" s="64">
        <v>42422</v>
      </c>
      <c r="D2606" s="64" t="s">
        <v>690</v>
      </c>
      <c r="E2606" s="64">
        <v>42422</v>
      </c>
      <c r="F2606" s="72" t="s">
        <v>1425</v>
      </c>
      <c r="G2606" s="67" t="s">
        <v>902</v>
      </c>
      <c r="H2606" s="72"/>
      <c r="I2606" s="408"/>
      <c r="J2606" s="408"/>
      <c r="K2606" s="399">
        <v>10800</v>
      </c>
      <c r="L2606" s="408">
        <v>22375</v>
      </c>
      <c r="M2606" s="65">
        <f t="shared" si="179"/>
        <v>241650000</v>
      </c>
      <c r="N2606" s="66" t="s">
        <v>25</v>
      </c>
      <c r="O2606" s="66" t="s">
        <v>260</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customHeight="1">
      <c r="A2607" s="323" t="str">
        <f>IF(B2607&lt;&gt;"",IF(AND(B2607='IN-TC'!$S$4,OR(TH!N2602="1111",TH!O2602="1111")),TH!D2602,""),"")</f>
        <v/>
      </c>
      <c r="B2607" s="63">
        <f t="shared" si="180"/>
        <v>2</v>
      </c>
      <c r="C2607" s="64">
        <v>42422</v>
      </c>
      <c r="D2607" s="64" t="s">
        <v>690</v>
      </c>
      <c r="E2607" s="64">
        <v>42422</v>
      </c>
      <c r="F2607" s="482" t="s">
        <v>742</v>
      </c>
      <c r="G2607" s="67" t="s">
        <v>901</v>
      </c>
      <c r="H2607" s="72" t="s">
        <v>714</v>
      </c>
      <c r="I2607" s="408"/>
      <c r="J2607" s="408"/>
      <c r="K2607" s="399">
        <v>244.49</v>
      </c>
      <c r="L2607" s="408">
        <v>22340</v>
      </c>
      <c r="M2607" s="65">
        <f t="shared" si="179"/>
        <v>5461907</v>
      </c>
      <c r="N2607" s="66" t="s">
        <v>97</v>
      </c>
      <c r="O2607" s="66" t="s">
        <v>260</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customHeight="1">
      <c r="A2608" s="323" t="str">
        <f>IF(B2608&lt;&gt;"",IF(AND(B2608='IN-TC'!$S$4,OR(TH!N2603="1111",TH!O2603="1111")),TH!D2603,""),"")</f>
        <v/>
      </c>
      <c r="B2608" s="63">
        <f t="shared" si="180"/>
        <v>2</v>
      </c>
      <c r="C2608" s="64">
        <v>42422</v>
      </c>
      <c r="D2608" s="64" t="s">
        <v>690</v>
      </c>
      <c r="E2608" s="64">
        <v>42422</v>
      </c>
      <c r="F2608" s="482" t="s">
        <v>743</v>
      </c>
      <c r="G2608" s="67" t="s">
        <v>901</v>
      </c>
      <c r="H2608" s="72" t="s">
        <v>715</v>
      </c>
      <c r="I2608" s="408"/>
      <c r="J2608" s="408"/>
      <c r="K2608" s="399">
        <v>213.81</v>
      </c>
      <c r="L2608" s="408">
        <v>22340</v>
      </c>
      <c r="M2608" s="65">
        <f t="shared" si="179"/>
        <v>4776515</v>
      </c>
      <c r="N2608" s="66" t="s">
        <v>97</v>
      </c>
      <c r="O2608" s="66" t="s">
        <v>260</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customHeight="1">
      <c r="A2609" s="323" t="str">
        <f>IF(B2609&lt;&gt;"",IF(AND(B2609='IN-TC'!$S$4,OR(TH!N2604="1111",TH!O2604="1111")),TH!D2604,""),"")</f>
        <v/>
      </c>
      <c r="B2609" s="63">
        <f t="shared" si="180"/>
        <v>2</v>
      </c>
      <c r="C2609" s="64">
        <v>42422</v>
      </c>
      <c r="D2609" s="64" t="s">
        <v>690</v>
      </c>
      <c r="E2609" s="64">
        <v>42422</v>
      </c>
      <c r="F2609" s="482" t="s">
        <v>744</v>
      </c>
      <c r="G2609" s="67" t="s">
        <v>901</v>
      </c>
      <c r="H2609" s="72" t="s">
        <v>716</v>
      </c>
      <c r="I2609" s="408"/>
      <c r="J2609" s="408"/>
      <c r="K2609" s="399">
        <v>113.8</v>
      </c>
      <c r="L2609" s="408">
        <v>22340</v>
      </c>
      <c r="M2609" s="65">
        <f t="shared" si="179"/>
        <v>2542292</v>
      </c>
      <c r="N2609" s="66" t="s">
        <v>97</v>
      </c>
      <c r="O2609" s="66" t="s">
        <v>260</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customHeight="1">
      <c r="A2610" s="323" t="str">
        <f>IF(B2610&lt;&gt;"",IF(AND(B2610='IN-TC'!$S$4,OR(TH!N2605="1111",TH!O2605="1111")),TH!D2605,""),"")</f>
        <v/>
      </c>
      <c r="B2610" s="63">
        <f t="shared" si="180"/>
        <v>2</v>
      </c>
      <c r="C2610" s="64">
        <v>42422</v>
      </c>
      <c r="D2610" s="64" t="s">
        <v>690</v>
      </c>
      <c r="E2610" s="64">
        <v>42422</v>
      </c>
      <c r="F2610" s="482" t="s">
        <v>1044</v>
      </c>
      <c r="G2610" s="67" t="s">
        <v>901</v>
      </c>
      <c r="H2610" s="72" t="s">
        <v>717</v>
      </c>
      <c r="I2610" s="408"/>
      <c r="J2610" s="408"/>
      <c r="K2610" s="399">
        <v>248.73</v>
      </c>
      <c r="L2610" s="408">
        <v>22340</v>
      </c>
      <c r="M2610" s="65">
        <f t="shared" si="179"/>
        <v>5556628</v>
      </c>
      <c r="N2610" s="66" t="s">
        <v>97</v>
      </c>
      <c r="O2610" s="66" t="s">
        <v>260</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customHeight="1">
      <c r="A2611" s="323" t="str">
        <f>IF(B2611&lt;&gt;"",IF(AND(B2611='IN-TC'!$S$4,OR(TH!N2619="1111",TH!O2619="1111")),TH!D2619,""),"")</f>
        <v/>
      </c>
      <c r="B2611" s="63">
        <f t="shared" si="180"/>
        <v>2</v>
      </c>
      <c r="C2611" s="64">
        <v>42423</v>
      </c>
      <c r="D2611" s="64" t="s">
        <v>867</v>
      </c>
      <c r="E2611" s="64">
        <v>42423</v>
      </c>
      <c r="F2611" s="482" t="s">
        <v>991</v>
      </c>
      <c r="G2611" s="67" t="s">
        <v>1013</v>
      </c>
      <c r="H2611" s="72" t="s">
        <v>1014</v>
      </c>
      <c r="I2611" s="408"/>
      <c r="J2611" s="408"/>
      <c r="K2611" s="399"/>
      <c r="L2611" s="408"/>
      <c r="M2611" s="65">
        <v>238000</v>
      </c>
      <c r="N2611" s="66" t="s">
        <v>99</v>
      </c>
      <c r="O2611" s="66" t="s">
        <v>61</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customHeight="1">
      <c r="A2612" s="323" t="str">
        <f>IF(B2612&lt;&gt;"",IF(AND(B2612='IN-TC'!$S$4,OR(TH!N2607="1111",TH!O2607="1111")),TH!D2607,""),"")</f>
        <v/>
      </c>
      <c r="B2612" s="63">
        <f t="shared" si="180"/>
        <v>2</v>
      </c>
      <c r="C2612" s="64">
        <v>42423</v>
      </c>
      <c r="D2612" s="64" t="s">
        <v>889</v>
      </c>
      <c r="E2612" s="64">
        <v>42423</v>
      </c>
      <c r="F2612" s="482" t="s">
        <v>731</v>
      </c>
      <c r="G2612" s="67" t="s">
        <v>902</v>
      </c>
      <c r="H2612" s="73" t="s">
        <v>748</v>
      </c>
      <c r="I2612" s="408"/>
      <c r="J2612" s="408"/>
      <c r="K2612" s="399"/>
      <c r="L2612" s="408"/>
      <c r="M2612" s="65">
        <v>240000000</v>
      </c>
      <c r="N2612" s="66" t="s">
        <v>61</v>
      </c>
      <c r="O2612" s="66" t="s">
        <v>25</v>
      </c>
      <c r="P2612" s="82" t="str">
        <f>IF(AND('331-CT'!$E$7=TH!H2612,OR(N2612="331",O2612="331")),"x","")</f>
        <v/>
      </c>
      <c r="Q2612" s="82" t="str">
        <f>IF(AND(B2612='111'!$L$11,OR($N2612=$Q$7,$O2612=$Q$7)),"x","")</f>
        <v/>
      </c>
      <c r="R2612" s="82" t="str">
        <f>IF(AND($N2612=$Q$7,$B2612&lt;'111'!$L$11),"x","")</f>
        <v>x</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customHeight="1">
      <c r="A2613" s="323" t="str">
        <f>IF(B2613&lt;&gt;"",IF(AND(B2613='IN-TC'!$S$4,OR(TH!N2621="1111",TH!O2621="1111")),TH!D2621,""),"")</f>
        <v/>
      </c>
      <c r="B2613" s="63">
        <f t="shared" si="180"/>
        <v>2</v>
      </c>
      <c r="C2613" s="64">
        <v>42424</v>
      </c>
      <c r="D2613" s="64" t="s">
        <v>868</v>
      </c>
      <c r="E2613" s="64">
        <v>42424</v>
      </c>
      <c r="F2613" s="482" t="s">
        <v>756</v>
      </c>
      <c r="G2613" s="931" t="s">
        <v>1015</v>
      </c>
      <c r="H2613" s="72" t="s">
        <v>792</v>
      </c>
      <c r="I2613" s="408"/>
      <c r="J2613" s="408"/>
      <c r="K2613" s="399"/>
      <c r="L2613" s="408"/>
      <c r="M2613" s="65">
        <v>313527</v>
      </c>
      <c r="N2613" s="66" t="s">
        <v>99</v>
      </c>
      <c r="O2613" s="66" t="s">
        <v>61</v>
      </c>
      <c r="P2613" s="82" t="str">
        <f>IF(AND('331-CT'!$E$7=TH!H2613,OR(N2613="331",O2613="331")),"x","")</f>
        <v/>
      </c>
      <c r="Q2613" s="82" t="str">
        <f>IF(AND(B2613='111'!$L$11,OR($N2613=$Q$7,$O2613=$Q$7)),"x","")</f>
        <v/>
      </c>
      <c r="R2613" s="82" t="str">
        <f>IF(AND($N2613=$Q$7,$B2613&lt;'111'!$L$11),"x","")</f>
        <v/>
      </c>
      <c r="S2613" s="82" t="str">
        <f>IF(AND($O2613=$Q$7,$B2613&lt;'111'!$L$11),"x","")</f>
        <v>x</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customHeight="1">
      <c r="A2614" s="323" t="str">
        <f>IF(B2614&lt;&gt;"",IF(AND(B2614='IN-TC'!$S$4,OR(TH!N2622="1111",TH!O2622="1111")),TH!D2622,""),"")</f>
        <v/>
      </c>
      <c r="B2614" s="63">
        <f t="shared" si="180"/>
        <v>2</v>
      </c>
      <c r="C2614" s="64">
        <v>42424</v>
      </c>
      <c r="D2614" s="64" t="s">
        <v>868</v>
      </c>
      <c r="E2614" s="64">
        <v>42424</v>
      </c>
      <c r="F2614" s="482" t="s">
        <v>757</v>
      </c>
      <c r="G2614" s="931" t="s">
        <v>1015</v>
      </c>
      <c r="H2614" s="72" t="s">
        <v>792</v>
      </c>
      <c r="I2614" s="408"/>
      <c r="J2614" s="408"/>
      <c r="K2614" s="399"/>
      <c r="L2614" s="408"/>
      <c r="M2614" s="65">
        <v>31353</v>
      </c>
      <c r="N2614" s="66" t="s">
        <v>9</v>
      </c>
      <c r="O2614" s="66" t="s">
        <v>61</v>
      </c>
      <c r="P2614" s="82" t="str">
        <f>IF(AND('331-CT'!$E$7=TH!H2614,OR(N2614="331",O2614="331")),"x","")</f>
        <v/>
      </c>
      <c r="Q2614" s="82" t="str">
        <f>IF(AND(B2614='111'!$L$11,OR($N2614=$Q$7,$O2614=$Q$7)),"x","")</f>
        <v/>
      </c>
      <c r="R2614" s="82" t="str">
        <f>IF(AND($N2614=$Q$7,$B2614&lt;'111'!$L$11),"x","")</f>
        <v/>
      </c>
      <c r="S2614" s="82" t="str">
        <f>IF(AND($O2614=$Q$7,$B2614&lt;'111'!$L$11),"x","")</f>
        <v>x</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x</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customHeight="1">
      <c r="A2615" s="323" t="str">
        <f>IF(B2615&lt;&gt;"",IF(AND(B2615='IN-TC'!$S$4,OR(TH!N2611="1111",TH!O2611="1111")),TH!D2611,""),"")</f>
        <v/>
      </c>
      <c r="B2615" s="63">
        <f t="shared" si="180"/>
        <v>2</v>
      </c>
      <c r="C2615" s="64">
        <v>42424</v>
      </c>
      <c r="D2615" s="64" t="s">
        <v>869</v>
      </c>
      <c r="E2615" s="64">
        <v>42424</v>
      </c>
      <c r="F2615" s="482" t="s">
        <v>722</v>
      </c>
      <c r="G2615" s="67" t="s">
        <v>902</v>
      </c>
      <c r="H2615" s="67" t="s">
        <v>748</v>
      </c>
      <c r="I2615" s="408"/>
      <c r="J2615" s="408"/>
      <c r="K2615" s="399"/>
      <c r="L2615" s="408"/>
      <c r="M2615" s="65">
        <v>32000000</v>
      </c>
      <c r="N2615" s="66" t="s">
        <v>25</v>
      </c>
      <c r="O2615" s="66" t="s">
        <v>61</v>
      </c>
      <c r="P2615" s="82" t="str">
        <f>IF(AND('331-CT'!$E$7=TH!H2615,OR(N2615="331",O2615="331")),"x","")</f>
        <v/>
      </c>
      <c r="Q2615" s="82" t="str">
        <f>IF(AND(B2615='111'!$L$11,OR($N2615=$Q$7,$O2615=$Q$7)),"x","")</f>
        <v/>
      </c>
      <c r="R2615" s="82" t="str">
        <f>IF(AND($N2615=$Q$7,$B2615&lt;'111'!$L$11),"x","")</f>
        <v/>
      </c>
      <c r="S2615" s="82" t="str">
        <f>IF(AND($O2615=$Q$7,$B2615&lt;'111'!$L$11),"x","")</f>
        <v>x</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customHeight="1">
      <c r="A2616" s="323" t="str">
        <f>IF(B2616&lt;&gt;"",IF(AND(B2616='IN-TC'!$S$4,OR(TH!N2612="1111",TH!O2612="1111")),TH!D2612,""),"")</f>
        <v/>
      </c>
      <c r="B2616" s="63">
        <f t="shared" si="180"/>
        <v>2</v>
      </c>
      <c r="C2616" s="64">
        <v>42424</v>
      </c>
      <c r="D2616" s="64" t="s">
        <v>687</v>
      </c>
      <c r="E2616" s="64">
        <v>42424</v>
      </c>
      <c r="F2616" s="482" t="s">
        <v>723</v>
      </c>
      <c r="G2616" s="67" t="s">
        <v>902</v>
      </c>
      <c r="H2616" s="72"/>
      <c r="I2616" s="408"/>
      <c r="J2616" s="408"/>
      <c r="K2616" s="399"/>
      <c r="L2616" s="408"/>
      <c r="M2616" s="65">
        <v>10829</v>
      </c>
      <c r="N2616" s="66" t="s">
        <v>25</v>
      </c>
      <c r="O2616" s="66" t="s">
        <v>41</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customHeight="1">
      <c r="A2617" s="323" t="str">
        <f>IF(B2617&lt;&gt;"",IF(AND(B2617='IN-TC'!$S$4,OR(TH!N2613="1111",TH!O2613="1111")),TH!D2613,""),"")</f>
        <v/>
      </c>
      <c r="B2617" s="63">
        <f t="shared" si="180"/>
        <v>2</v>
      </c>
      <c r="C2617" s="64">
        <v>42424</v>
      </c>
      <c r="D2617" s="64" t="s">
        <v>687</v>
      </c>
      <c r="E2617" s="64">
        <v>42424</v>
      </c>
      <c r="F2617" s="482" t="s">
        <v>725</v>
      </c>
      <c r="G2617" s="67" t="s">
        <v>901</v>
      </c>
      <c r="H2617" s="72"/>
      <c r="I2617" s="408"/>
      <c r="J2617" s="408"/>
      <c r="K2617" s="399"/>
      <c r="L2617" s="408"/>
      <c r="M2617" s="65">
        <v>1376</v>
      </c>
      <c r="N2617" s="66" t="s">
        <v>25</v>
      </c>
      <c r="O2617" s="66" t="s">
        <v>41</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customHeight="1">
      <c r="A2618" s="323" t="str">
        <f>IF(B2618&lt;&gt;"",IF(AND(B2618='IN-TC'!$S$4,OR(TH!N2037="1111",TH!O2037="1111")),TH!D2037,""),"")</f>
        <v/>
      </c>
      <c r="B2618" s="63">
        <f t="shared" si="180"/>
        <v>9</v>
      </c>
      <c r="C2618" s="78">
        <v>42629</v>
      </c>
      <c r="D2618" s="78" t="s">
        <v>570</v>
      </c>
      <c r="E2618" s="78">
        <f>C2618</f>
        <v>42629</v>
      </c>
      <c r="F2618" s="80" t="s">
        <v>1998</v>
      </c>
      <c r="G2618" s="934" t="s">
        <v>2052</v>
      </c>
      <c r="H2618" s="80" t="s">
        <v>617</v>
      </c>
      <c r="I2618" s="406"/>
      <c r="J2618" s="406"/>
      <c r="K2618" s="397"/>
      <c r="L2618" s="406"/>
      <c r="M2618" s="93">
        <v>21960800</v>
      </c>
      <c r="N2618" s="82" t="s">
        <v>276</v>
      </c>
      <c r="O2618" s="82" t="s">
        <v>8</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customHeight="1">
      <c r="A2619" s="323" t="str">
        <f>IF(B2619&lt;&gt;"",IF(AND(B2619='IN-TC'!$S$4,OR(TH!N2615="1111",TH!O2615="1111")),TH!D2615,""),"")</f>
        <v/>
      </c>
      <c r="B2619" s="63">
        <f t="shared" si="180"/>
        <v>2</v>
      </c>
      <c r="C2619" s="64">
        <v>42424</v>
      </c>
      <c r="D2619" s="64" t="s">
        <v>690</v>
      </c>
      <c r="E2619" s="64">
        <v>42424</v>
      </c>
      <c r="F2619" s="482" t="s">
        <v>728</v>
      </c>
      <c r="G2619" s="67" t="s">
        <v>902</v>
      </c>
      <c r="H2619" s="72"/>
      <c r="I2619" s="408"/>
      <c r="J2619" s="408"/>
      <c r="K2619" s="399"/>
      <c r="L2619" s="408"/>
      <c r="M2619" s="65">
        <v>45000</v>
      </c>
      <c r="N2619" s="66" t="s">
        <v>99</v>
      </c>
      <c r="O2619" s="66" t="s">
        <v>25</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customHeight="1">
      <c r="A2620" s="323" t="str">
        <f>IF(B2620&lt;&gt;"",IF(AND(B2620='IN-TC'!$S$4,OR(TH!N2616="1111",TH!O2616="1111")),TH!D2616,""),"")</f>
        <v/>
      </c>
      <c r="B2620" s="63">
        <f t="shared" si="180"/>
        <v>2</v>
      </c>
      <c r="C2620" s="64">
        <v>42424</v>
      </c>
      <c r="D2620" s="64" t="s">
        <v>690</v>
      </c>
      <c r="E2620" s="64">
        <v>42424</v>
      </c>
      <c r="F2620" s="482" t="s">
        <v>730</v>
      </c>
      <c r="G2620" s="67" t="s">
        <v>902</v>
      </c>
      <c r="H2620" s="72"/>
      <c r="I2620" s="408"/>
      <c r="J2620" s="408"/>
      <c r="K2620" s="399"/>
      <c r="L2620" s="408"/>
      <c r="M2620" s="65">
        <v>4500</v>
      </c>
      <c r="N2620" s="66" t="s">
        <v>9</v>
      </c>
      <c r="O2620" s="66" t="s">
        <v>25</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x</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customHeight="1">
      <c r="A2621" s="323" t="str">
        <f>IF(B2621&lt;&gt;"",IF(AND(B2621='IN-TC'!$S$4,OR(TH!N2617="1111",TH!O2617="1111")),TH!D2617,""),"")</f>
        <v/>
      </c>
      <c r="B2621" s="63">
        <f t="shared" si="180"/>
        <v>2</v>
      </c>
      <c r="C2621" s="64">
        <v>42424</v>
      </c>
      <c r="D2621" s="64" t="s">
        <v>690</v>
      </c>
      <c r="E2621" s="64">
        <v>42424</v>
      </c>
      <c r="F2621" s="482" t="s">
        <v>1043</v>
      </c>
      <c r="G2621" s="67" t="s">
        <v>902</v>
      </c>
      <c r="H2621" s="72"/>
      <c r="I2621" s="408"/>
      <c r="J2621" s="408"/>
      <c r="K2621" s="399">
        <v>3</v>
      </c>
      <c r="L2621" s="408">
        <v>22340</v>
      </c>
      <c r="M2621" s="65">
        <f>ROUND(K2621*L2621,0)</f>
        <v>67020</v>
      </c>
      <c r="N2621" s="66" t="s">
        <v>99</v>
      </c>
      <c r="O2621" s="66" t="s">
        <v>260</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customHeight="1">
      <c r="A2622" s="323" t="str">
        <f>IF(B2622&lt;&gt;"",IF(AND(B2622='IN-TC'!$S$4,OR(TH!N2623="1111",TH!O2623="1111")),TH!D2623,""),"")</f>
        <v/>
      </c>
      <c r="B2622" s="63">
        <f t="shared" si="180"/>
        <v>2</v>
      </c>
      <c r="C2622" s="64">
        <v>42425</v>
      </c>
      <c r="D2622" s="306" t="s">
        <v>870</v>
      </c>
      <c r="E2622" s="64">
        <v>42425</v>
      </c>
      <c r="F2622" s="482" t="s">
        <v>992</v>
      </c>
      <c r="G2622" s="931" t="s">
        <v>1016</v>
      </c>
      <c r="H2622" s="72" t="s">
        <v>823</v>
      </c>
      <c r="I2622" s="408"/>
      <c r="J2622" s="408"/>
      <c r="K2622" s="399"/>
      <c r="L2622" s="408"/>
      <c r="M2622" s="65">
        <v>15000000</v>
      </c>
      <c r="N2622" s="66" t="s">
        <v>99</v>
      </c>
      <c r="O2622" s="66" t="s">
        <v>61</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customHeight="1">
      <c r="A2623" s="323" t="str">
        <f>IF(B2623&lt;&gt;"",IF(AND(B2623='IN-TC'!$S$4,OR(TH!N2624="1111",TH!O2624="1111")),TH!D2624,""),"")</f>
        <v/>
      </c>
      <c r="B2623" s="63">
        <f t="shared" si="180"/>
        <v>2</v>
      </c>
      <c r="C2623" s="64">
        <v>42425</v>
      </c>
      <c r="D2623" s="306" t="s">
        <v>870</v>
      </c>
      <c r="E2623" s="64">
        <v>42425</v>
      </c>
      <c r="F2623" s="482" t="s">
        <v>993</v>
      </c>
      <c r="G2623" s="67" t="s">
        <v>1016</v>
      </c>
      <c r="H2623" s="72" t="s">
        <v>823</v>
      </c>
      <c r="I2623" s="408"/>
      <c r="J2623" s="408"/>
      <c r="K2623" s="399"/>
      <c r="L2623" s="408"/>
      <c r="M2623" s="65">
        <v>1500000</v>
      </c>
      <c r="N2623" s="66" t="s">
        <v>9</v>
      </c>
      <c r="O2623" s="66" t="s">
        <v>61</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x</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customHeight="1">
      <c r="A2624" s="323" t="str">
        <f>IF(B2624&lt;&gt;"",IF(AND(B2624='IN-TC'!$S$4,OR(TH!N1116="1111",TH!O1116="1111")),TH!D1116,""),"")</f>
        <v/>
      </c>
      <c r="B2624" s="948">
        <f t="shared" si="180"/>
        <v>12</v>
      </c>
      <c r="C2624" s="1336">
        <v>42707</v>
      </c>
      <c r="D2624" s="64" t="s">
        <v>675</v>
      </c>
      <c r="E2624" s="64">
        <f>C2624</f>
        <v>42707</v>
      </c>
      <c r="F2624" s="1141" t="s">
        <v>2495</v>
      </c>
      <c r="G2624" s="91" t="s">
        <v>2311</v>
      </c>
      <c r="H2624" s="72" t="s">
        <v>1198</v>
      </c>
      <c r="I2624" s="1185">
        <v>8000</v>
      </c>
      <c r="J2624" s="1185">
        <v>4500</v>
      </c>
      <c r="K2624" s="401"/>
      <c r="L2624" s="410"/>
      <c r="M2624" s="65">
        <f>ROUND(I2624*J2624,0)</f>
        <v>36000000</v>
      </c>
      <c r="N2624" s="66" t="s">
        <v>276</v>
      </c>
      <c r="O2624" s="66" t="s">
        <v>270</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x</v>
      </c>
      <c r="AC2624" s="82" t="str">
        <f>IF(AND(OR(LEFT(TH!N2624,2)="15",LEFT(TH!O2624,2)="15"),TK!$E$7=TH!F2624),"x","")</f>
        <v/>
      </c>
      <c r="AD2624" s="82" t="str">
        <f>IF(AND(N2624="1521",MONTH(C2624)='BK-NL'!$M$11),"x","")</f>
        <v/>
      </c>
    </row>
    <row r="2625" spans="1:30" ht="15.75" customHeight="1">
      <c r="A2625" s="323" t="str">
        <f>IF(B2625&lt;&gt;"",IF(AND(B2625='IN-TC'!$S$4,OR(TH!N2625="1111",TH!O2625="1111")),TH!D2625,""),"")</f>
        <v/>
      </c>
      <c r="B2625" s="63">
        <f t="shared" si="180"/>
        <v>2</v>
      </c>
      <c r="C2625" s="64">
        <v>42426</v>
      </c>
      <c r="D2625" s="64" t="s">
        <v>871</v>
      </c>
      <c r="E2625" s="64">
        <v>42426</v>
      </c>
      <c r="F2625" s="482" t="s">
        <v>994</v>
      </c>
      <c r="G2625" s="67" t="s">
        <v>1017</v>
      </c>
      <c r="H2625" s="72" t="s">
        <v>1018</v>
      </c>
      <c r="I2625" s="408"/>
      <c r="J2625" s="408"/>
      <c r="K2625" s="399"/>
      <c r="L2625" s="408"/>
      <c r="M2625" s="65">
        <v>8227273</v>
      </c>
      <c r="N2625" s="66" t="s">
        <v>99</v>
      </c>
      <c r="O2625" s="66" t="s">
        <v>61</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customHeight="1">
      <c r="A2626" s="323" t="str">
        <f>IF(B2626&lt;&gt;"",IF(AND(B2626='IN-TC'!$S$4,OR(TH!N2626="1111",TH!O2626="1111")),TH!D2626,""),"")</f>
        <v/>
      </c>
      <c r="B2626" s="63">
        <f t="shared" si="180"/>
        <v>2</v>
      </c>
      <c r="C2626" s="64">
        <v>42426</v>
      </c>
      <c r="D2626" s="64" t="s">
        <v>871</v>
      </c>
      <c r="E2626" s="64">
        <v>42426</v>
      </c>
      <c r="F2626" s="482" t="s">
        <v>995</v>
      </c>
      <c r="G2626" s="67" t="s">
        <v>1017</v>
      </c>
      <c r="H2626" s="72" t="s">
        <v>1018</v>
      </c>
      <c r="I2626" s="408"/>
      <c r="J2626" s="408"/>
      <c r="K2626" s="399"/>
      <c r="L2626" s="408"/>
      <c r="M2626" s="65">
        <v>822727</v>
      </c>
      <c r="N2626" s="66" t="s">
        <v>9</v>
      </c>
      <c r="O2626" s="66" t="s">
        <v>61</v>
      </c>
      <c r="P2626" s="82" t="str">
        <f>IF(AND('331-CT'!$E$7=TH!H2626,OR(N2626="331",O2626="331")),"x","")</f>
        <v/>
      </c>
      <c r="Q2626" s="82" t="str">
        <f>IF(AND(B2626='111'!$L$11,OR($N2626=$Q$7,$O2626=$Q$7)),"x","")</f>
        <v/>
      </c>
      <c r="R2626" s="82" t="str">
        <f>IF(AND($N2626=$Q$7,$B2626&lt;'111'!$L$11),"x","")</f>
        <v/>
      </c>
      <c r="S2626" s="82" t="str">
        <f>IF(AND($O2626=$Q$7,$B2626&lt;'111'!$L$11),"x","")</f>
        <v>x</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x</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customHeight="1">
      <c r="A2627" s="323" t="str">
        <f>IF(B2627&lt;&gt;"",IF(AND(B2627='IN-TC'!$S$4,OR(TH!N2627="1111",TH!O2627="1111")),TH!D2627,""),"")</f>
        <v/>
      </c>
      <c r="B2627" s="63">
        <f t="shared" si="180"/>
        <v>2</v>
      </c>
      <c r="C2627" s="64">
        <v>42427</v>
      </c>
      <c r="D2627" s="64" t="s">
        <v>872</v>
      </c>
      <c r="E2627" s="64">
        <v>42427</v>
      </c>
      <c r="F2627" s="482" t="s">
        <v>996</v>
      </c>
      <c r="G2627" s="67" t="s">
        <v>1019</v>
      </c>
      <c r="H2627" s="72" t="s">
        <v>1020</v>
      </c>
      <c r="I2627" s="408"/>
      <c r="J2627" s="408"/>
      <c r="K2627" s="399"/>
      <c r="L2627" s="408"/>
      <c r="M2627" s="65">
        <v>2100000</v>
      </c>
      <c r="N2627" s="66" t="s">
        <v>99</v>
      </c>
      <c r="O2627" s="66" t="s">
        <v>61</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customHeight="1">
      <c r="A2628" s="323" t="str">
        <f>IF(B2628&lt;&gt;"",IF(AND(B2628='IN-TC'!$S$4,OR(TH!N2628="1111",TH!O2628="1111")),TH!D2628,""),"")</f>
        <v/>
      </c>
      <c r="B2628" s="63">
        <f t="shared" si="180"/>
        <v>2</v>
      </c>
      <c r="C2628" s="64">
        <v>42427</v>
      </c>
      <c r="D2628" s="64" t="s">
        <v>3013</v>
      </c>
      <c r="E2628" s="64">
        <v>42427</v>
      </c>
      <c r="F2628" s="482" t="s">
        <v>987</v>
      </c>
      <c r="G2628" s="67" t="s">
        <v>1021</v>
      </c>
      <c r="H2628" s="72" t="s">
        <v>792</v>
      </c>
      <c r="I2628" s="408"/>
      <c r="J2628" s="408"/>
      <c r="K2628" s="399"/>
      <c r="L2628" s="408"/>
      <c r="M2628" s="65">
        <v>512318</v>
      </c>
      <c r="N2628" s="66" t="s">
        <v>99</v>
      </c>
      <c r="O2628" s="66" t="s">
        <v>61</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customHeight="1">
      <c r="A2629" s="323" t="str">
        <f>IF(B2629&lt;&gt;"",IF(AND(B2629='IN-TC'!$S$4,OR(TH!N2629="1111",TH!O2629="1111")),TH!D2629,""),"")</f>
        <v/>
      </c>
      <c r="B2629" s="63">
        <f t="shared" si="180"/>
        <v>2</v>
      </c>
      <c r="C2629" s="64">
        <v>42427</v>
      </c>
      <c r="D2629" s="64" t="s">
        <v>3013</v>
      </c>
      <c r="E2629" s="64">
        <v>42427</v>
      </c>
      <c r="F2629" s="482" t="s">
        <v>988</v>
      </c>
      <c r="G2629" s="67" t="s">
        <v>1021</v>
      </c>
      <c r="H2629" s="72" t="s">
        <v>792</v>
      </c>
      <c r="I2629" s="408"/>
      <c r="J2629" s="408"/>
      <c r="K2629" s="399"/>
      <c r="L2629" s="408"/>
      <c r="M2629" s="65">
        <v>51232</v>
      </c>
      <c r="N2629" s="66" t="s">
        <v>9</v>
      </c>
      <c r="O2629" s="66" t="s">
        <v>61</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x</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customHeight="1">
      <c r="A2630" s="323" t="str">
        <f>IF(B2630&lt;&gt;"",IF(AND(B2630='IN-TC'!$S$4,OR(TH!N2630="1111",TH!O2630="1111")),TH!D2630,""),"")</f>
        <v/>
      </c>
      <c r="B2630" s="63">
        <f t="shared" si="180"/>
        <v>2</v>
      </c>
      <c r="C2630" s="64">
        <v>42429</v>
      </c>
      <c r="D2630" s="64" t="s">
        <v>873</v>
      </c>
      <c r="E2630" s="64">
        <v>42429</v>
      </c>
      <c r="F2630" s="482" t="s">
        <v>997</v>
      </c>
      <c r="G2630" s="67" t="s">
        <v>1022</v>
      </c>
      <c r="H2630" s="72" t="s">
        <v>798</v>
      </c>
      <c r="I2630" s="408"/>
      <c r="J2630" s="408"/>
      <c r="K2630" s="399"/>
      <c r="L2630" s="408"/>
      <c r="M2630" s="65">
        <v>945909</v>
      </c>
      <c r="N2630" s="66" t="s">
        <v>99</v>
      </c>
      <c r="O2630" s="66" t="s">
        <v>61</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customHeight="1">
      <c r="A2631" s="323" t="str">
        <f>IF(B2631&lt;&gt;"",IF(AND(B2631='IN-TC'!$S$4,OR(TH!N2631="1111",TH!O2631="1111")),TH!D2631,""),"")</f>
        <v/>
      </c>
      <c r="B2631" s="63">
        <f t="shared" si="180"/>
        <v>2</v>
      </c>
      <c r="C2631" s="64">
        <v>42429</v>
      </c>
      <c r="D2631" s="64" t="s">
        <v>873</v>
      </c>
      <c r="E2631" s="64">
        <v>42429</v>
      </c>
      <c r="F2631" s="482" t="s">
        <v>998</v>
      </c>
      <c r="G2631" s="67" t="s">
        <v>1022</v>
      </c>
      <c r="H2631" s="72" t="s">
        <v>798</v>
      </c>
      <c r="I2631" s="408"/>
      <c r="J2631" s="408"/>
      <c r="K2631" s="399"/>
      <c r="L2631" s="408"/>
      <c r="M2631" s="65">
        <v>94591</v>
      </c>
      <c r="N2631" s="66" t="s">
        <v>9</v>
      </c>
      <c r="O2631" s="66" t="s">
        <v>61</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x</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customHeight="1">
      <c r="A2632" s="323" t="str">
        <f>IF(B2632&lt;&gt;"",IF(AND(B2632='IN-TC'!$S$4,OR(TH!N2632="1111",TH!O2632="1111")),TH!D2632,""),"")</f>
        <v/>
      </c>
      <c r="B2632" s="63">
        <f t="shared" si="180"/>
        <v>2</v>
      </c>
      <c r="C2632" s="64">
        <v>42429</v>
      </c>
      <c r="D2632" s="64" t="s">
        <v>874</v>
      </c>
      <c r="E2632" s="64">
        <v>42429</v>
      </c>
      <c r="F2632" s="482" t="s">
        <v>983</v>
      </c>
      <c r="G2632" s="67" t="s">
        <v>1023</v>
      </c>
      <c r="H2632" s="72" t="s">
        <v>815</v>
      </c>
      <c r="I2632" s="408"/>
      <c r="J2632" s="408"/>
      <c r="K2632" s="399"/>
      <c r="L2632" s="408"/>
      <c r="M2632" s="65">
        <v>500000</v>
      </c>
      <c r="N2632" s="66" t="s">
        <v>99</v>
      </c>
      <c r="O2632" s="66" t="s">
        <v>61</v>
      </c>
      <c r="P2632" s="82" t="str">
        <f>IF(AND('331-CT'!$E$7=TH!H2632,OR(N2632="331",O2632="331")),"x","")</f>
        <v/>
      </c>
      <c r="Q2632" s="82" t="str">
        <f>IF(AND(B2632='111'!$L$11,OR($N2632=$Q$7,$O2632=$Q$7)),"x","")</f>
        <v/>
      </c>
      <c r="R2632" s="82" t="str">
        <f>IF(AND($N2632=$Q$7,$B2632&lt;'111'!$L$11),"x","")</f>
        <v/>
      </c>
      <c r="S2632" s="82" t="str">
        <f>IF(AND($O2632=$Q$7,$B2632&lt;'111'!$L$11),"x","")</f>
        <v>x</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customHeight="1">
      <c r="A2633" s="323" t="str">
        <f>IF(B2633&lt;&gt;"",IF(AND(B2633='IN-TC'!$S$4,OR(TH!N2633="1111",TH!O2633="1111")),TH!D2633,""),"")</f>
        <v/>
      </c>
      <c r="B2633" s="63">
        <f t="shared" si="180"/>
        <v>2</v>
      </c>
      <c r="C2633" s="64">
        <v>42429</v>
      </c>
      <c r="D2633" s="64" t="s">
        <v>875</v>
      </c>
      <c r="E2633" s="64">
        <v>42429</v>
      </c>
      <c r="F2633" s="482" t="s">
        <v>984</v>
      </c>
      <c r="G2633" s="67" t="s">
        <v>1023</v>
      </c>
      <c r="H2633" s="72" t="s">
        <v>815</v>
      </c>
      <c r="I2633" s="408"/>
      <c r="J2633" s="408"/>
      <c r="K2633" s="399"/>
      <c r="L2633" s="408"/>
      <c r="M2633" s="65">
        <v>25000</v>
      </c>
      <c r="N2633" s="66" t="s">
        <v>9</v>
      </c>
      <c r="O2633" s="66" t="s">
        <v>61</v>
      </c>
      <c r="P2633" s="82" t="str">
        <f>IF(AND('331-CT'!$E$7=TH!H2633,OR(N2633="331",O2633="331")),"x","")</f>
        <v/>
      </c>
      <c r="Q2633" s="82" t="str">
        <f>IF(AND(B2633='111'!$L$11,OR($N2633=$Q$7,$O2633=$Q$7)),"x","")</f>
        <v/>
      </c>
      <c r="R2633" s="82" t="str">
        <f>IF(AND($N2633=$Q$7,$B2633&lt;'111'!$L$11),"x","")</f>
        <v/>
      </c>
      <c r="S2633" s="82" t="str">
        <f>IF(AND($O2633=$Q$7,$B2633&lt;'111'!$L$11),"x","")</f>
        <v>x</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x</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customHeight="1">
      <c r="A2634" s="323" t="str">
        <f>IF(B2634&lt;&gt;"",IF(AND(B2634='IN-TC'!$S$4,OR(TH!N2828="1111",TH!O2828="1111")),TH!D2828,""),"")</f>
        <v/>
      </c>
      <c r="B2634" s="63">
        <f t="shared" si="180"/>
        <v>2</v>
      </c>
      <c r="C2634" s="64">
        <v>42429</v>
      </c>
      <c r="D2634" s="64" t="s">
        <v>876</v>
      </c>
      <c r="E2634" s="64">
        <v>42429</v>
      </c>
      <c r="F2634" s="482" t="s">
        <v>999</v>
      </c>
      <c r="G2634" s="67" t="s">
        <v>1024</v>
      </c>
      <c r="H2634" s="72" t="s">
        <v>1025</v>
      </c>
      <c r="I2634" s="408"/>
      <c r="J2634" s="408"/>
      <c r="K2634" s="399"/>
      <c r="L2634" s="408"/>
      <c r="M2634" s="65">
        <v>1461818</v>
      </c>
      <c r="N2634" s="66" t="s">
        <v>99</v>
      </c>
      <c r="O2634" s="66" t="s">
        <v>61</v>
      </c>
      <c r="P2634" s="82" t="str">
        <f>IF(AND('331-CT'!$E$7=TH!H2634,OR(N2634="331",O2634="331")),"x","")</f>
        <v/>
      </c>
      <c r="Q2634" s="82" t="str">
        <f>IF(AND(B2634='111'!$L$11,OR($N2634=$Q$7,$O2634=$Q$7)),"x","")</f>
        <v/>
      </c>
      <c r="R2634" s="82" t="str">
        <f>IF(AND($N2634=$Q$7,$B2634&lt;'111'!$L$11),"x","")</f>
        <v/>
      </c>
      <c r="S2634" s="82" t="str">
        <f>IF(AND($O2634=$Q$7,$B2634&lt;'111'!$L$11),"x","")</f>
        <v>x</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customHeight="1">
      <c r="A2635" s="323" t="str">
        <f>IF(B2635&lt;&gt;"",IF(AND(B2635='IN-TC'!$S$4,OR(TH!N2829="1111",TH!O2829="1111")),TH!D2829,""),"")</f>
        <v/>
      </c>
      <c r="B2635" s="63">
        <f t="shared" si="180"/>
        <v>2</v>
      </c>
      <c r="C2635" s="64">
        <v>42429</v>
      </c>
      <c r="D2635" s="64" t="s">
        <v>876</v>
      </c>
      <c r="E2635" s="64">
        <v>42429</v>
      </c>
      <c r="F2635" s="482" t="s">
        <v>1000</v>
      </c>
      <c r="G2635" s="67" t="s">
        <v>1024</v>
      </c>
      <c r="H2635" s="72" t="s">
        <v>1025</v>
      </c>
      <c r="I2635" s="408"/>
      <c r="J2635" s="408"/>
      <c r="K2635" s="399"/>
      <c r="L2635" s="408"/>
      <c r="M2635" s="65">
        <v>146182</v>
      </c>
      <c r="N2635" s="66" t="s">
        <v>9</v>
      </c>
      <c r="O2635" s="66" t="s">
        <v>61</v>
      </c>
      <c r="P2635" s="82" t="str">
        <f>IF(AND('331-CT'!$E$7=TH!H2635,OR(N2635="331",O2635="331")),"x","")</f>
        <v/>
      </c>
      <c r="Q2635" s="82" t="str">
        <f>IF(AND(B2635='111'!$L$11,OR($N2635=$Q$7,$O2635=$Q$7)),"x","")</f>
        <v/>
      </c>
      <c r="R2635" s="82" t="str">
        <f>IF(AND($N2635=$Q$7,$B2635&lt;'111'!$L$11),"x","")</f>
        <v/>
      </c>
      <c r="S2635" s="82" t="str">
        <f>IF(AND($O2635=$Q$7,$B2635&lt;'111'!$L$11),"x","")</f>
        <v>x</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x</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customHeight="1">
      <c r="A2636" s="323" t="str">
        <f>IF(B2636&lt;&gt;"",IF(AND(B2636='IN-TC'!$S$4,OR(TH!N2830="1111",TH!O2830="1111")),TH!D2830,""),"")</f>
        <v/>
      </c>
      <c r="B2636" s="63">
        <f t="shared" si="180"/>
        <v>2</v>
      </c>
      <c r="C2636" s="90">
        <v>42429</v>
      </c>
      <c r="D2636" s="90" t="s">
        <v>877</v>
      </c>
      <c r="E2636" s="90">
        <v>42429</v>
      </c>
      <c r="F2636" s="1152" t="s">
        <v>1001</v>
      </c>
      <c r="G2636" s="91"/>
      <c r="H2636" s="937" t="s">
        <v>832</v>
      </c>
      <c r="I2636" s="1109"/>
      <c r="J2636" s="1109"/>
      <c r="K2636" s="1110"/>
      <c r="L2636" s="1109"/>
      <c r="M2636" s="93">
        <v>114054537</v>
      </c>
      <c r="N2636" s="83" t="s">
        <v>580</v>
      </c>
      <c r="O2636" s="83" t="s">
        <v>61</v>
      </c>
      <c r="P2636" s="82" t="str">
        <f>IF(AND('331-CT'!$E$7=TH!H2636,OR(N2636="331",O2636="331")),"x","")</f>
        <v/>
      </c>
      <c r="Q2636" s="82" t="str">
        <f>IF(AND(B2636='111'!$L$11,OR($N2636=$Q$7,$O2636=$Q$7)),"x","")</f>
        <v/>
      </c>
      <c r="R2636" s="82" t="str">
        <f>IF(AND($N2636=$Q$7,$B2636&lt;'111'!$L$11),"x","")</f>
        <v/>
      </c>
      <c r="S2636" s="82" t="str">
        <f>IF(AND($O2636=$Q$7,$B2636&lt;'111'!$L$11),"x","")</f>
        <v>x</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customHeight="1">
      <c r="A2637" s="323" t="str">
        <f>IF(B2637&lt;&gt;"",IF(AND(B2637='IN-TC'!$S$4,OR(TH!N2038="1111",TH!O2038="1111")),TH!D2038,""),"")</f>
        <v/>
      </c>
      <c r="B2637" s="63">
        <f t="shared" si="180"/>
        <v>9</v>
      </c>
      <c r="C2637" s="78">
        <v>42629</v>
      </c>
      <c r="D2637" s="78" t="s">
        <v>570</v>
      </c>
      <c r="E2637" s="78">
        <f>C2637</f>
        <v>42629</v>
      </c>
      <c r="F2637" s="80" t="s">
        <v>1999</v>
      </c>
      <c r="G2637" s="934" t="s">
        <v>2052</v>
      </c>
      <c r="H2637" s="80" t="s">
        <v>617</v>
      </c>
      <c r="I2637" s="406"/>
      <c r="J2637" s="406"/>
      <c r="K2637" s="397"/>
      <c r="L2637" s="406"/>
      <c r="M2637" s="93">
        <v>2196080</v>
      </c>
      <c r="N2637" s="82" t="s">
        <v>9</v>
      </c>
      <c r="O2637" s="82" t="s">
        <v>8</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x</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customHeight="1">
      <c r="A2638" s="323" t="str">
        <f>IF(B2638&lt;&gt;"",IF(AND(B2638='IN-TC'!$S$4,OR(TH!N3798="1111",TH!O3798="1111")),TH!D3798,""),"")</f>
        <v/>
      </c>
      <c r="B2638" s="63">
        <f t="shared" si="180"/>
        <v>9</v>
      </c>
      <c r="C2638" s="64">
        <v>42635</v>
      </c>
      <c r="D2638" s="64" t="s">
        <v>690</v>
      </c>
      <c r="E2638" s="64">
        <v>42635</v>
      </c>
      <c r="F2638" s="72" t="s">
        <v>2047</v>
      </c>
      <c r="G2638" s="67" t="s">
        <v>902</v>
      </c>
      <c r="H2638" s="329" t="s">
        <v>617</v>
      </c>
      <c r="I2638" s="408"/>
      <c r="J2638" s="408"/>
      <c r="K2638" s="399"/>
      <c r="L2638" s="408"/>
      <c r="M2638" s="65">
        <v>21641290</v>
      </c>
      <c r="N2638" s="66" t="s">
        <v>8</v>
      </c>
      <c r="O2638" s="66" t="s">
        <v>25</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customHeight="1">
      <c r="A2639" s="323" t="str">
        <f>IF(B2639&lt;&gt;"",IF(AND(B2639='IN-TC'!$S$4,OR(TH!N2634="1111",TH!O2634="1111")),TH!D2634,""),"")</f>
        <v/>
      </c>
      <c r="B2639" s="63">
        <f t="shared" si="180"/>
        <v>3</v>
      </c>
      <c r="C2639" s="306">
        <v>42430</v>
      </c>
      <c r="D2639" s="306" t="s">
        <v>851</v>
      </c>
      <c r="E2639" s="306">
        <v>42400</v>
      </c>
      <c r="F2639" s="482" t="s">
        <v>1164</v>
      </c>
      <c r="G2639" s="931" t="s">
        <v>1166</v>
      </c>
      <c r="H2639" s="72" t="s">
        <v>786</v>
      </c>
      <c r="I2639" s="408"/>
      <c r="J2639" s="408"/>
      <c r="K2639" s="399"/>
      <c r="L2639" s="408"/>
      <c r="M2639" s="65">
        <v>80705</v>
      </c>
      <c r="N2639" s="66" t="s">
        <v>99</v>
      </c>
      <c r="O2639" s="66" t="s">
        <v>61</v>
      </c>
      <c r="P2639" s="82" t="str">
        <f>IF(AND('331-CT'!$E$7=TH!H2639,OR(N2639="331",O2639="331")),"x","")</f>
        <v/>
      </c>
      <c r="Q2639" s="82" t="str">
        <f>IF(AND(B2639='111'!$L$11,OR($N2639=$Q$7,$O2639=$Q$7)),"x","")</f>
        <v/>
      </c>
      <c r="R2639" s="82" t="str">
        <f>IF(AND($N2639=$Q$7,$B2639&lt;'111'!$L$11),"x","")</f>
        <v/>
      </c>
      <c r="S2639" s="82" t="str">
        <f>IF(AND($O2639=$Q$7,$B2639&lt;'111'!$L$11),"x","")</f>
        <v>x</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customHeight="1">
      <c r="A2640" s="323" t="str">
        <f>IF(B2640&lt;&gt;"",IF(AND(B2640='IN-TC'!$S$4,OR(TH!N2635="1111",TH!O2635="1111")),TH!D2635,""),"")</f>
        <v/>
      </c>
      <c r="B2640" s="63">
        <f t="shared" si="180"/>
        <v>3</v>
      </c>
      <c r="C2640" s="306">
        <v>42430</v>
      </c>
      <c r="D2640" s="306" t="s">
        <v>851</v>
      </c>
      <c r="E2640" s="306">
        <v>42400</v>
      </c>
      <c r="F2640" s="482" t="s">
        <v>1165</v>
      </c>
      <c r="G2640" s="931" t="s">
        <v>1166</v>
      </c>
      <c r="H2640" s="72" t="s">
        <v>786</v>
      </c>
      <c r="I2640" s="408"/>
      <c r="J2640" s="408"/>
      <c r="K2640" s="399"/>
      <c r="L2640" s="408"/>
      <c r="M2640" s="65">
        <v>8071</v>
      </c>
      <c r="N2640" s="66" t="s">
        <v>9</v>
      </c>
      <c r="O2640" s="66" t="s">
        <v>61</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x</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customHeight="1">
      <c r="A2641" s="323" t="str">
        <f>IF(B2641&lt;&gt;"",IF(AND(B2641='IN-TC'!$S$4,OR(TH!N2636="1111",TH!O2636="1111")),TH!D2636,""),"")</f>
        <v/>
      </c>
      <c r="B2641" s="63">
        <f t="shared" si="180"/>
        <v>3</v>
      </c>
      <c r="C2641" s="306">
        <v>42430</v>
      </c>
      <c r="D2641" s="306" t="s">
        <v>852</v>
      </c>
      <c r="E2641" s="306">
        <v>42395</v>
      </c>
      <c r="F2641" s="482" t="s">
        <v>1352</v>
      </c>
      <c r="G2641" s="67" t="s">
        <v>1354</v>
      </c>
      <c r="H2641" s="72" t="s">
        <v>1355</v>
      </c>
      <c r="I2641" s="408"/>
      <c r="J2641" s="408"/>
      <c r="K2641" s="399"/>
      <c r="L2641" s="408"/>
      <c r="M2641" s="65">
        <v>731818</v>
      </c>
      <c r="N2641" s="66" t="s">
        <v>99</v>
      </c>
      <c r="O2641" s="66" t="s">
        <v>61</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customHeight="1">
      <c r="A2642" s="323" t="str">
        <f>IF(B2642&lt;&gt;"",IF(AND(B2642='IN-TC'!$S$4,OR(TH!N2637="1111",TH!O2637="1111")),TH!D2637,""),"")</f>
        <v/>
      </c>
      <c r="B2642" s="63">
        <f t="shared" si="180"/>
        <v>3</v>
      </c>
      <c r="C2642" s="306">
        <v>42430</v>
      </c>
      <c r="D2642" s="306" t="s">
        <v>852</v>
      </c>
      <c r="E2642" s="306">
        <v>42395</v>
      </c>
      <c r="F2642" s="482" t="s">
        <v>1353</v>
      </c>
      <c r="G2642" s="67" t="s">
        <v>1354</v>
      </c>
      <c r="H2642" s="72" t="s">
        <v>1355</v>
      </c>
      <c r="I2642" s="408"/>
      <c r="J2642" s="408"/>
      <c r="K2642" s="399"/>
      <c r="L2642" s="408"/>
      <c r="M2642" s="65">
        <v>73182</v>
      </c>
      <c r="N2642" s="66" t="s">
        <v>9</v>
      </c>
      <c r="O2642" s="66" t="s">
        <v>61</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x</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customHeight="1">
      <c r="A2643" s="323" t="str">
        <f>IF(B2643&lt;&gt;"",IF(AND(B2643='IN-TC'!$S$4,OR(TH!N2072="1111",TH!O2072="1111")),TH!D2072,""),"")</f>
        <v/>
      </c>
      <c r="B2643" s="63">
        <f t="shared" si="180"/>
        <v>10</v>
      </c>
      <c r="C2643" s="78">
        <v>42674</v>
      </c>
      <c r="D2643" s="78" t="s">
        <v>570</v>
      </c>
      <c r="E2643" s="78">
        <v>42613</v>
      </c>
      <c r="F2643" s="80" t="s">
        <v>2131</v>
      </c>
      <c r="G2643" s="934" t="s">
        <v>2132</v>
      </c>
      <c r="H2643" s="80" t="s">
        <v>1365</v>
      </c>
      <c r="I2643" s="406"/>
      <c r="J2643" s="406"/>
      <c r="K2643" s="397"/>
      <c r="L2643" s="406"/>
      <c r="M2643" s="81">
        <v>505306</v>
      </c>
      <c r="N2643" s="82" t="s">
        <v>9</v>
      </c>
      <c r="O2643" s="82" t="s">
        <v>8</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x</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customHeight="1">
      <c r="A2644" s="323" t="str">
        <f>IF(B2644&lt;&gt;"",IF(AND(B2644='IN-TC'!$S$4,OR(TH!N2073="1111",TH!O2073="1111")),TH!D2073,""),"")</f>
        <v/>
      </c>
      <c r="B2644" s="63">
        <f t="shared" si="180"/>
        <v>10</v>
      </c>
      <c r="C2644" s="78">
        <v>42674</v>
      </c>
      <c r="D2644" s="78" t="s">
        <v>570</v>
      </c>
      <c r="E2644" s="78">
        <v>42643</v>
      </c>
      <c r="F2644" s="80" t="s">
        <v>2130</v>
      </c>
      <c r="G2644" s="934" t="s">
        <v>2133</v>
      </c>
      <c r="H2644" s="80" t="s">
        <v>1365</v>
      </c>
      <c r="I2644" s="406"/>
      <c r="J2644" s="406"/>
      <c r="K2644" s="397"/>
      <c r="L2644" s="406"/>
      <c r="M2644" s="81">
        <v>7745394</v>
      </c>
      <c r="N2644" s="82" t="s">
        <v>99</v>
      </c>
      <c r="O2644" s="82" t="s">
        <v>8</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customHeight="1">
      <c r="A2645" s="323" t="str">
        <f>IF(B2645&lt;&gt;"",IF(AND(B2645='IN-TC'!$S$4,OR(TH!N2640="1111",TH!O2640="1111")),TH!D2640,""),"")</f>
        <v/>
      </c>
      <c r="B2645" s="63">
        <f t="shared" si="180"/>
        <v>3</v>
      </c>
      <c r="C2645" s="306">
        <v>42430</v>
      </c>
      <c r="D2645" s="306" t="s">
        <v>854</v>
      </c>
      <c r="E2645" s="306">
        <v>42372</v>
      </c>
      <c r="F2645" s="482" t="s">
        <v>1132</v>
      </c>
      <c r="G2645" s="931" t="s">
        <v>1134</v>
      </c>
      <c r="H2645" s="72" t="s">
        <v>1135</v>
      </c>
      <c r="I2645" s="408"/>
      <c r="J2645" s="408"/>
      <c r="K2645" s="399"/>
      <c r="L2645" s="408"/>
      <c r="M2645" s="65">
        <v>17272500</v>
      </c>
      <c r="N2645" s="66" t="s">
        <v>159</v>
      </c>
      <c r="O2645" s="66" t="s">
        <v>61</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customHeight="1">
      <c r="A2646" s="323" t="str">
        <f>IF(B2646&lt;&gt;"",IF(AND(B2646='IN-TC'!$S$4,OR(TH!N2641="1111",TH!O2641="1111")),TH!D2641,""),"")</f>
        <v/>
      </c>
      <c r="B2646" s="63">
        <f t="shared" si="180"/>
        <v>3</v>
      </c>
      <c r="C2646" s="306">
        <v>42430</v>
      </c>
      <c r="D2646" s="306" t="s">
        <v>854</v>
      </c>
      <c r="E2646" s="306">
        <v>42372</v>
      </c>
      <c r="F2646" s="482" t="s">
        <v>1133</v>
      </c>
      <c r="G2646" s="931" t="s">
        <v>1134</v>
      </c>
      <c r="H2646" s="72" t="s">
        <v>1135</v>
      </c>
      <c r="I2646" s="408"/>
      <c r="J2646" s="408"/>
      <c r="K2646" s="399"/>
      <c r="L2646" s="408"/>
      <c r="M2646" s="65">
        <v>1727250</v>
      </c>
      <c r="N2646" s="66" t="s">
        <v>9</v>
      </c>
      <c r="O2646" s="66" t="s">
        <v>61</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x</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customHeight="1">
      <c r="A2647" s="323" t="str">
        <f>IF(B2647&lt;&gt;"",IF(AND(B2647='IN-TC'!$S$4,OR(TH!N2642="1111",TH!O2642="1111")),TH!D2642,""),"")</f>
        <v/>
      </c>
      <c r="B2647" s="63">
        <f t="shared" si="180"/>
        <v>3</v>
      </c>
      <c r="C2647" s="306">
        <v>42430</v>
      </c>
      <c r="D2647" s="306" t="s">
        <v>855</v>
      </c>
      <c r="E2647" s="306">
        <v>42416</v>
      </c>
      <c r="F2647" s="482" t="s">
        <v>754</v>
      </c>
      <c r="G2647" s="931" t="s">
        <v>1351</v>
      </c>
      <c r="H2647" s="72" t="s">
        <v>790</v>
      </c>
      <c r="I2647" s="408"/>
      <c r="J2647" s="408"/>
      <c r="K2647" s="399"/>
      <c r="L2647" s="408"/>
      <c r="M2647" s="65">
        <v>12000000</v>
      </c>
      <c r="N2647" s="66" t="s">
        <v>99</v>
      </c>
      <c r="O2647" s="66" t="s">
        <v>61</v>
      </c>
      <c r="P2647" s="82" t="str">
        <f>IF(AND('331-CT'!$E$7=TH!H2647,OR(N2647="331",O2647="331")),"x","")</f>
        <v/>
      </c>
      <c r="Q2647" s="82" t="str">
        <f>IF(AND(B2647='111'!$L$11,OR($N2647=$Q$7,$O2647=$Q$7)),"x","")</f>
        <v/>
      </c>
      <c r="R2647" s="82" t="str">
        <f>IF(AND($N2647=$Q$7,$B2647&lt;'111'!$L$11),"x","")</f>
        <v/>
      </c>
      <c r="S2647" s="82" t="str">
        <f>IF(AND($O2647=$Q$7,$B2647&lt;'111'!$L$11),"x","")</f>
        <v>x</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customHeight="1">
      <c r="A2648" s="323" t="str">
        <f>IF(B2648&lt;&gt;"",IF(AND(B2648='IN-TC'!$S$4,OR(TH!N2643="1111",TH!O2643="1111")),TH!D2643,""),"")</f>
        <v/>
      </c>
      <c r="B2648" s="63">
        <f t="shared" si="180"/>
        <v>3</v>
      </c>
      <c r="C2648" s="306">
        <v>42430</v>
      </c>
      <c r="D2648" s="306" t="s">
        <v>855</v>
      </c>
      <c r="E2648" s="306">
        <v>42416</v>
      </c>
      <c r="F2648" s="482" t="s">
        <v>755</v>
      </c>
      <c r="G2648" s="931" t="s">
        <v>1351</v>
      </c>
      <c r="H2648" s="72" t="s">
        <v>790</v>
      </c>
      <c r="I2648" s="408"/>
      <c r="J2648" s="408"/>
      <c r="K2648" s="399"/>
      <c r="L2648" s="408"/>
      <c r="M2648" s="65">
        <v>1200000</v>
      </c>
      <c r="N2648" s="66" t="s">
        <v>9</v>
      </c>
      <c r="O2648" s="66" t="s">
        <v>61</v>
      </c>
      <c r="P2648" s="82" t="str">
        <f>IF(AND('331-CT'!$E$7=TH!H2648,OR(N2648="331",O2648="331")),"x","")</f>
        <v/>
      </c>
      <c r="Q2648" s="82" t="str">
        <f>IF(AND(B2648='111'!$L$11,OR($N2648=$Q$7,$O2648=$Q$7)),"x","")</f>
        <v/>
      </c>
      <c r="R2648" s="82" t="str">
        <f>IF(AND($N2648=$Q$7,$B2648&lt;'111'!$L$11),"x","")</f>
        <v/>
      </c>
      <c r="S2648" s="82" t="str">
        <f>IF(AND($O2648=$Q$7,$B2648&lt;'111'!$L$11),"x","")</f>
        <v>x</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x</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customHeight="1">
      <c r="A2649" s="323" t="str">
        <f>IF(B2649&lt;&gt;"",IF(AND(B2649='IN-TC'!$S$4,OR(TH!N2644="1111",TH!O2644="1111")),TH!D2644,""),"")</f>
        <v/>
      </c>
      <c r="B2649" s="63">
        <f t="shared" si="180"/>
        <v>3</v>
      </c>
      <c r="C2649" s="306">
        <v>42430</v>
      </c>
      <c r="D2649" s="306" t="s">
        <v>856</v>
      </c>
      <c r="E2649" s="306">
        <v>42430</v>
      </c>
      <c r="F2649" s="482" t="s">
        <v>1087</v>
      </c>
      <c r="G2649" s="307" t="s">
        <v>902</v>
      </c>
      <c r="H2649" s="308" t="s">
        <v>748</v>
      </c>
      <c r="I2649" s="408"/>
      <c r="J2649" s="408"/>
      <c r="K2649" s="399"/>
      <c r="L2649" s="408"/>
      <c r="M2649" s="65">
        <v>33000000</v>
      </c>
      <c r="N2649" s="66" t="s">
        <v>25</v>
      </c>
      <c r="O2649" s="66" t="s">
        <v>61</v>
      </c>
      <c r="P2649" s="82" t="str">
        <f>IF(AND('331-CT'!$E$7=TH!H2649,OR(N2649="331",O2649="331")),"x","")</f>
        <v/>
      </c>
      <c r="Q2649" s="82" t="str">
        <f>IF(AND(B2649='111'!$L$11,OR($N2649=$Q$7,$O2649=$Q$7)),"x","")</f>
        <v/>
      </c>
      <c r="R2649" s="82" t="str">
        <f>IF(AND($N2649=$Q$7,$B2649&lt;'111'!$L$11),"x","")</f>
        <v/>
      </c>
      <c r="S2649" s="82" t="str">
        <f>IF(AND($O2649=$Q$7,$B2649&lt;'111'!$L$11),"x","")</f>
        <v>x</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customHeight="1">
      <c r="A2650" s="323" t="str">
        <f>IF(B2650&lt;&gt;"",IF(AND(B2650='IN-TC'!$S$4,OR(TH!N2645="1111",TH!O2645="1111")),TH!D2645,""),"")</f>
        <v/>
      </c>
      <c r="B2650" s="63">
        <f t="shared" si="180"/>
        <v>3</v>
      </c>
      <c r="C2650" s="306">
        <v>42430</v>
      </c>
      <c r="D2650" s="306" t="s">
        <v>858</v>
      </c>
      <c r="E2650" s="306">
        <v>42430</v>
      </c>
      <c r="F2650" s="482" t="s">
        <v>756</v>
      </c>
      <c r="G2650" s="935" t="s">
        <v>1088</v>
      </c>
      <c r="H2650" s="308" t="s">
        <v>1089</v>
      </c>
      <c r="I2650" s="408"/>
      <c r="J2650" s="408"/>
      <c r="K2650" s="399"/>
      <c r="L2650" s="408"/>
      <c r="M2650" s="65">
        <v>435455</v>
      </c>
      <c r="N2650" s="309" t="s">
        <v>99</v>
      </c>
      <c r="O2650" s="66" t="s">
        <v>61</v>
      </c>
      <c r="P2650" s="82" t="str">
        <f>IF(AND('331-CT'!$E$7=TH!H2650,OR(N2650="331",O2650="331")),"x","")</f>
        <v/>
      </c>
      <c r="Q2650" s="82" t="str">
        <f>IF(AND(B2650='111'!$L$11,OR($N2650=$Q$7,$O2650=$Q$7)),"x","")</f>
        <v/>
      </c>
      <c r="R2650" s="82" t="str">
        <f>IF(AND($N2650=$Q$7,$B2650&lt;'111'!$L$11),"x","")</f>
        <v/>
      </c>
      <c r="S2650" s="82" t="str">
        <f>IF(AND($O2650=$Q$7,$B2650&lt;'111'!$L$11),"x","")</f>
        <v>x</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customHeight="1">
      <c r="A2651" s="323" t="str">
        <f>IF(B2651&lt;&gt;"",IF(AND(B2651='IN-TC'!$S$4,OR(TH!N2646="1111",TH!O2646="1111")),TH!D2646,""),"")</f>
        <v/>
      </c>
      <c r="B2651" s="63">
        <f t="shared" si="180"/>
        <v>3</v>
      </c>
      <c r="C2651" s="306">
        <v>42430</v>
      </c>
      <c r="D2651" s="306" t="s">
        <v>858</v>
      </c>
      <c r="E2651" s="306">
        <v>42430</v>
      </c>
      <c r="F2651" s="482" t="s">
        <v>757</v>
      </c>
      <c r="G2651" s="935" t="s">
        <v>1088</v>
      </c>
      <c r="H2651" s="308" t="s">
        <v>1089</v>
      </c>
      <c r="I2651" s="408"/>
      <c r="J2651" s="408"/>
      <c r="K2651" s="399"/>
      <c r="L2651" s="408"/>
      <c r="M2651" s="65">
        <v>43545</v>
      </c>
      <c r="N2651" s="309" t="s">
        <v>9</v>
      </c>
      <c r="O2651" s="66" t="s">
        <v>61</v>
      </c>
      <c r="P2651" s="82" t="str">
        <f>IF(AND('331-CT'!$E$7=TH!H2651,OR(N2651="331",O2651="331")),"x","")</f>
        <v/>
      </c>
      <c r="Q2651" s="82" t="str">
        <f>IF(AND(B2651='111'!$L$11,OR($N2651=$Q$7,$O2651=$Q$7)),"x","")</f>
        <v/>
      </c>
      <c r="R2651" s="82" t="str">
        <f>IF(AND($N2651=$Q$7,$B2651&lt;'111'!$L$11),"x","")</f>
        <v/>
      </c>
      <c r="S2651" s="82" t="str">
        <f>IF(AND($O2651=$Q$7,$B2651&lt;'111'!$L$11),"x","")</f>
        <v>x</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x</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customHeight="1">
      <c r="A2652" s="323" t="str">
        <f>IF(B2652&lt;&gt;"",IF(AND(B2652='IN-TC'!$S$4,OR(TH!N2647="1111",TH!O2647="1111")),TH!D2647,""),"")</f>
        <v/>
      </c>
      <c r="B2652" s="63">
        <f t="shared" si="180"/>
        <v>3</v>
      </c>
      <c r="C2652" s="306">
        <v>42430</v>
      </c>
      <c r="D2652" s="306" t="s">
        <v>859</v>
      </c>
      <c r="E2652" s="306">
        <v>42430</v>
      </c>
      <c r="F2652" s="482" t="s">
        <v>1090</v>
      </c>
      <c r="G2652" s="935" t="s">
        <v>1091</v>
      </c>
      <c r="H2652" s="308" t="s">
        <v>1093</v>
      </c>
      <c r="I2652" s="408"/>
      <c r="J2652" s="408"/>
      <c r="K2652" s="399"/>
      <c r="L2652" s="408"/>
      <c r="M2652" s="65">
        <v>1697500</v>
      </c>
      <c r="N2652" s="309" t="s">
        <v>99</v>
      </c>
      <c r="O2652" s="66" t="s">
        <v>61</v>
      </c>
      <c r="P2652" s="82" t="str">
        <f>IF(AND('331-CT'!$E$7=TH!H2652,OR(N2652="331",O2652="331")),"x","")</f>
        <v/>
      </c>
      <c r="Q2652" s="82" t="str">
        <f>IF(AND(B2652='111'!$L$11,OR($N2652=$Q$7,$O2652=$Q$7)),"x","")</f>
        <v/>
      </c>
      <c r="R2652" s="82" t="str">
        <f>IF(AND($N2652=$Q$7,$B2652&lt;'111'!$L$11),"x","")</f>
        <v/>
      </c>
      <c r="S2652" s="82" t="str">
        <f>IF(AND($O2652=$Q$7,$B2652&lt;'111'!$L$11),"x","")</f>
        <v>x</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customHeight="1">
      <c r="A2653" s="323" t="str">
        <f>IF(B2653&lt;&gt;"",IF(AND(B2653='IN-TC'!$S$4,OR(TH!N2648="1111",TH!O2648="1111")),TH!D2648,""),"")</f>
        <v/>
      </c>
      <c r="B2653" s="63">
        <f t="shared" si="180"/>
        <v>3</v>
      </c>
      <c r="C2653" s="306">
        <v>42430</v>
      </c>
      <c r="D2653" s="306" t="s">
        <v>859</v>
      </c>
      <c r="E2653" s="306">
        <v>42430</v>
      </c>
      <c r="F2653" s="482" t="s">
        <v>1092</v>
      </c>
      <c r="G2653" s="935" t="s">
        <v>1091</v>
      </c>
      <c r="H2653" s="308" t="s">
        <v>1093</v>
      </c>
      <c r="I2653" s="408"/>
      <c r="J2653" s="408"/>
      <c r="K2653" s="399"/>
      <c r="L2653" s="408"/>
      <c r="M2653" s="65">
        <v>169750</v>
      </c>
      <c r="N2653" s="309" t="s">
        <v>9</v>
      </c>
      <c r="O2653" s="66" t="s">
        <v>61</v>
      </c>
      <c r="P2653" s="82" t="str">
        <f>IF(AND('331-CT'!$E$7=TH!H2653,OR(N2653="331",O2653="331")),"x","")</f>
        <v/>
      </c>
      <c r="Q2653" s="82" t="str">
        <f>IF(AND(B2653='111'!$L$11,OR($N2653=$Q$7,$O2653=$Q$7)),"x","")</f>
        <v/>
      </c>
      <c r="R2653" s="82" t="str">
        <f>IF(AND($N2653=$Q$7,$B2653&lt;'111'!$L$11),"x","")</f>
        <v/>
      </c>
      <c r="S2653" s="82" t="str">
        <f>IF(AND($O2653=$Q$7,$B2653&lt;'111'!$L$11),"x","")</f>
        <v>x</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x</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customHeight="1">
      <c r="A2654" s="323" t="str">
        <f>IF(B2654&lt;&gt;"",IF(AND(B2654='IN-TC'!$S$4,OR(TH!N2652="1111",TH!O2652="1111")),TH!D2652,""),"")</f>
        <v/>
      </c>
      <c r="B2654" s="63">
        <f t="shared" si="180"/>
        <v>3</v>
      </c>
      <c r="C2654" s="1092">
        <v>42430</v>
      </c>
      <c r="D2654" s="1092" t="s">
        <v>860</v>
      </c>
      <c r="E2654" s="1092">
        <f>C2654</f>
        <v>42430</v>
      </c>
      <c r="F2654" s="482" t="s">
        <v>947</v>
      </c>
      <c r="G2654" s="1094"/>
      <c r="H2654" s="1093" t="s">
        <v>3001</v>
      </c>
      <c r="I2654" s="1095"/>
      <c r="J2654" s="1095"/>
      <c r="K2654" s="1096"/>
      <c r="L2654" s="1095"/>
      <c r="M2654" s="1097">
        <v>400000000</v>
      </c>
      <c r="N2654" s="1098" t="s">
        <v>266</v>
      </c>
      <c r="O2654" s="1098" t="s">
        <v>61</v>
      </c>
      <c r="P2654" s="82" t="str">
        <f>IF(AND('331-CT'!$E$7=TH!H2654,OR(N2654="331",O2654="331")),"x","")</f>
        <v/>
      </c>
      <c r="Q2654" s="82" t="str">
        <f>IF(AND(B2654='111'!$L$11,OR($N2654=$Q$7,$O2654=$Q$7)),"x","")</f>
        <v/>
      </c>
      <c r="R2654" s="82" t="str">
        <f>IF(AND($N2654=$Q$7,$B2654&lt;'111'!$L$11),"x","")</f>
        <v/>
      </c>
      <c r="S2654" s="82" t="str">
        <f>IF(AND($O2654=$Q$7,$B2654&lt;'111'!$L$11),"x","")</f>
        <v>x</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customHeight="1">
      <c r="A2655" s="323" t="str">
        <f>IF(B2655&lt;&gt;"",IF(AND(B2655='IN-TC'!$S$4,OR(TH!N2039="1111",TH!O2039="1111")),TH!D2039,""),"")</f>
        <v/>
      </c>
      <c r="B2655" s="63">
        <f t="shared" si="180"/>
        <v>9</v>
      </c>
      <c r="C2655" s="78">
        <v>42639</v>
      </c>
      <c r="D2655" s="78" t="s">
        <v>570</v>
      </c>
      <c r="E2655" s="78">
        <f>C2655</f>
        <v>42639</v>
      </c>
      <c r="F2655" s="80" t="s">
        <v>2000</v>
      </c>
      <c r="G2655" s="934" t="s">
        <v>2053</v>
      </c>
      <c r="H2655" s="80" t="s">
        <v>617</v>
      </c>
      <c r="I2655" s="406"/>
      <c r="J2655" s="406"/>
      <c r="K2655" s="397"/>
      <c r="L2655" s="406"/>
      <c r="M2655" s="81">
        <v>19112400</v>
      </c>
      <c r="N2655" s="82" t="s">
        <v>276</v>
      </c>
      <c r="O2655" s="82" t="s">
        <v>8</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customHeight="1">
      <c r="A2656" s="323" t="str">
        <f>IF(B2656&lt;&gt;"",IF(AND(B2656='IN-TC'!$S$4,OR(TH!N2650="1111",TH!O2650="1111")),TH!D2650,""),"")</f>
        <v/>
      </c>
      <c r="B2656" s="63">
        <f t="shared" si="180"/>
        <v>3</v>
      </c>
      <c r="C2656" s="64">
        <v>42430</v>
      </c>
      <c r="D2656" s="306" t="s">
        <v>690</v>
      </c>
      <c r="E2656" s="64">
        <v>42430</v>
      </c>
      <c r="F2656" s="482" t="s">
        <v>1179</v>
      </c>
      <c r="G2656" s="67" t="s">
        <v>902</v>
      </c>
      <c r="H2656" s="72"/>
      <c r="I2656" s="408"/>
      <c r="J2656" s="408"/>
      <c r="K2656" s="399"/>
      <c r="L2656" s="408"/>
      <c r="M2656" s="65">
        <v>45000</v>
      </c>
      <c r="N2656" s="66" t="s">
        <v>99</v>
      </c>
      <c r="O2656" s="66" t="s">
        <v>25</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1" ht="15.75" customHeight="1">
      <c r="A2657" s="323" t="str">
        <f>IF(B2657&lt;&gt;"",IF(AND(B2657='IN-TC'!$S$4,OR(TH!N2651="1111",TH!O2651="1111")),TH!D2651,""),"")</f>
        <v/>
      </c>
      <c r="B2657" s="63">
        <f t="shared" si="180"/>
        <v>3</v>
      </c>
      <c r="C2657" s="64">
        <v>42430</v>
      </c>
      <c r="D2657" s="306" t="s">
        <v>690</v>
      </c>
      <c r="E2657" s="64">
        <v>42430</v>
      </c>
      <c r="F2657" s="482" t="s">
        <v>1180</v>
      </c>
      <c r="G2657" s="67" t="s">
        <v>902</v>
      </c>
      <c r="H2657" s="72"/>
      <c r="I2657" s="408"/>
      <c r="J2657" s="408"/>
      <c r="K2657" s="399"/>
      <c r="L2657" s="408"/>
      <c r="M2657" s="65">
        <v>4500</v>
      </c>
      <c r="N2657" s="66" t="s">
        <v>9</v>
      </c>
      <c r="O2657" s="66" t="s">
        <v>25</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x</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1" ht="15.75" customHeight="1">
      <c r="A2658" s="323" t="str">
        <f>IF(B2658&lt;&gt;"",IF(AND(B2658='IN-TC'!$S$4,OR(TH!N2653="1111",TH!O2653="1111")),TH!D2653,""),"")</f>
        <v/>
      </c>
      <c r="B2658" s="63">
        <f t="shared" si="180"/>
        <v>3</v>
      </c>
      <c r="C2658" s="306">
        <v>42431</v>
      </c>
      <c r="D2658" s="306" t="s">
        <v>861</v>
      </c>
      <c r="E2658" s="306">
        <v>42373</v>
      </c>
      <c r="F2658" s="482" t="s">
        <v>1132</v>
      </c>
      <c r="G2658" s="935" t="s">
        <v>1136</v>
      </c>
      <c r="H2658" s="72" t="s">
        <v>1135</v>
      </c>
      <c r="I2658" s="408"/>
      <c r="J2658" s="408"/>
      <c r="K2658" s="399"/>
      <c r="L2658" s="408"/>
      <c r="M2658" s="65">
        <v>16822500</v>
      </c>
      <c r="N2658" s="309" t="s">
        <v>159</v>
      </c>
      <c r="O2658" s="66" t="s">
        <v>61</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1" ht="15.75" customHeight="1">
      <c r="A2659" s="323" t="str">
        <f>IF(B2659&lt;&gt;"",IF(AND(B2659='IN-TC'!$S$4,OR(TH!N2654="1111",TH!O2654="1111")),TH!D2654,""),"")</f>
        <v/>
      </c>
      <c r="B2659" s="63">
        <f t="shared" si="180"/>
        <v>3</v>
      </c>
      <c r="C2659" s="306">
        <v>42431</v>
      </c>
      <c r="D2659" s="306" t="s">
        <v>861</v>
      </c>
      <c r="E2659" s="306">
        <v>42373</v>
      </c>
      <c r="F2659" s="482" t="s">
        <v>1133</v>
      </c>
      <c r="G2659" s="935" t="s">
        <v>1136</v>
      </c>
      <c r="H2659" s="72" t="s">
        <v>1135</v>
      </c>
      <c r="I2659" s="408"/>
      <c r="J2659" s="408"/>
      <c r="K2659" s="399"/>
      <c r="L2659" s="408"/>
      <c r="M2659" s="65">
        <v>1682250</v>
      </c>
      <c r="N2659" s="309" t="s">
        <v>9</v>
      </c>
      <c r="O2659" s="66" t="s">
        <v>61</v>
      </c>
      <c r="P2659" s="82" t="str">
        <f>IF(AND('331-CT'!$E$7=TH!H2659,OR(N2659="331",O2659="331")),"x","")</f>
        <v/>
      </c>
      <c r="Q2659" s="82" t="str">
        <f>IF(AND(B2659='111'!$L$11,OR($N2659=$Q$7,$O2659=$Q$7)),"x","")</f>
        <v/>
      </c>
      <c r="R2659" s="82" t="str">
        <f>IF(AND($N2659=$Q$7,$B2659&lt;'111'!$L$11),"x","")</f>
        <v/>
      </c>
      <c r="S2659" s="82" t="str">
        <f>IF(AND($O2659=$Q$7,$B2659&lt;'111'!$L$11),"x","")</f>
        <v>x</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x</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1" ht="15.75" customHeight="1">
      <c r="A2660" s="323" t="str">
        <f>IF(B2660&lt;&gt;"",IF(AND(B2660='IN-TC'!$S$4,OR(TH!N2655="1111",TH!O2655="1111")),TH!D2655,""),"")</f>
        <v/>
      </c>
      <c r="B2660" s="63">
        <f t="shared" si="180"/>
        <v>3</v>
      </c>
      <c r="C2660" s="306">
        <v>42431</v>
      </c>
      <c r="D2660" s="306" t="s">
        <v>862</v>
      </c>
      <c r="E2660" s="306">
        <v>42375</v>
      </c>
      <c r="F2660" s="482" t="s">
        <v>1137</v>
      </c>
      <c r="G2660" s="935" t="s">
        <v>1139</v>
      </c>
      <c r="H2660" s="72" t="s">
        <v>1140</v>
      </c>
      <c r="I2660" s="408"/>
      <c r="J2660" s="408"/>
      <c r="K2660" s="399"/>
      <c r="L2660" s="408"/>
      <c r="M2660" s="65">
        <v>18091920</v>
      </c>
      <c r="N2660" s="309" t="s">
        <v>159</v>
      </c>
      <c r="O2660" s="66" t="s">
        <v>61</v>
      </c>
      <c r="P2660" s="82" t="str">
        <f>IF(AND('331-CT'!$E$7=TH!H2660,OR(N2660="331",O2660="331")),"x","")</f>
        <v/>
      </c>
      <c r="Q2660" s="82" t="str">
        <f>IF(AND(B2660='111'!$L$11,OR($N2660=$Q$7,$O2660=$Q$7)),"x","")</f>
        <v/>
      </c>
      <c r="R2660" s="82" t="str">
        <f>IF(AND($N2660=$Q$7,$B2660&lt;'111'!$L$11),"x","")</f>
        <v/>
      </c>
      <c r="S2660" s="82" t="str">
        <f>IF(AND($O2660=$Q$7,$B2660&lt;'111'!$L$11),"x","")</f>
        <v>x</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1" ht="15.75" customHeight="1">
      <c r="A2661" s="323" t="str">
        <f>IF(B2661&lt;&gt;"",IF(AND(B2661='IN-TC'!$S$4,OR(TH!N2656="1111",TH!O2656="1111")),TH!D2656,""),"")</f>
        <v/>
      </c>
      <c r="B2661" s="63">
        <f t="shared" si="180"/>
        <v>3</v>
      </c>
      <c r="C2661" s="306">
        <v>42431</v>
      </c>
      <c r="D2661" s="306" t="s">
        <v>862</v>
      </c>
      <c r="E2661" s="306">
        <v>42375</v>
      </c>
      <c r="F2661" s="482" t="s">
        <v>1138</v>
      </c>
      <c r="G2661" s="935" t="s">
        <v>1139</v>
      </c>
      <c r="H2661" s="72" t="s">
        <v>1140</v>
      </c>
      <c r="I2661" s="408"/>
      <c r="J2661" s="408"/>
      <c r="K2661" s="399"/>
      <c r="L2661" s="408"/>
      <c r="M2661" s="65">
        <v>1809192</v>
      </c>
      <c r="N2661" s="309" t="s">
        <v>9</v>
      </c>
      <c r="O2661" s="66" t="s">
        <v>61</v>
      </c>
      <c r="P2661" s="82" t="str">
        <f>IF(AND('331-CT'!$E$7=TH!H2661,OR(N2661="331",O2661="331")),"x","")</f>
        <v/>
      </c>
      <c r="Q2661" s="82" t="str">
        <f>IF(AND(B2661='111'!$L$11,OR($N2661=$Q$7,$O2661=$Q$7)),"x","")</f>
        <v/>
      </c>
      <c r="R2661" s="82" t="str">
        <f>IF(AND($N2661=$Q$7,$B2661&lt;'111'!$L$11),"x","")</f>
        <v/>
      </c>
      <c r="S2661" s="82" t="str">
        <f>IF(AND($O2661=$Q$7,$B2661&lt;'111'!$L$11),"x","")</f>
        <v>x</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x</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1" ht="15.75" customHeight="1">
      <c r="A2662" s="323" t="str">
        <f>IF(B2662&lt;&gt;"",IF(AND(B2662='IN-TC'!$S$4,OR(TH!N2657="1111",TH!O2657="1111")),TH!D2657,""),"")</f>
        <v/>
      </c>
      <c r="B2662" s="63">
        <f t="shared" si="180"/>
        <v>3</v>
      </c>
      <c r="C2662" s="306">
        <v>42431</v>
      </c>
      <c r="D2662" s="306" t="s">
        <v>863</v>
      </c>
      <c r="E2662" s="306">
        <v>42375</v>
      </c>
      <c r="F2662" s="482" t="s">
        <v>1141</v>
      </c>
      <c r="G2662" s="935" t="s">
        <v>1143</v>
      </c>
      <c r="H2662" s="72" t="s">
        <v>1144</v>
      </c>
      <c r="I2662" s="408"/>
      <c r="J2662" s="408"/>
      <c r="K2662" s="399"/>
      <c r="L2662" s="408"/>
      <c r="M2662" s="65">
        <v>18091200</v>
      </c>
      <c r="N2662" s="309" t="s">
        <v>159</v>
      </c>
      <c r="O2662" s="66" t="s">
        <v>61</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1" ht="15.75" customHeight="1">
      <c r="A2663" s="323" t="str">
        <f>IF(B2663&lt;&gt;"",IF(AND(B2663='IN-TC'!$S$4,OR(TH!N2658="1111",TH!O2658="1111")),TH!D2658,""),"")</f>
        <v/>
      </c>
      <c r="B2663" s="63">
        <f t="shared" si="180"/>
        <v>3</v>
      </c>
      <c r="C2663" s="306">
        <v>42431</v>
      </c>
      <c r="D2663" s="306" t="s">
        <v>863</v>
      </c>
      <c r="E2663" s="306">
        <v>42375</v>
      </c>
      <c r="F2663" s="482" t="s">
        <v>1142</v>
      </c>
      <c r="G2663" s="935" t="s">
        <v>1143</v>
      </c>
      <c r="H2663" s="72" t="s">
        <v>1144</v>
      </c>
      <c r="I2663" s="408"/>
      <c r="J2663" s="408"/>
      <c r="K2663" s="399"/>
      <c r="L2663" s="408"/>
      <c r="M2663" s="65">
        <v>1809120</v>
      </c>
      <c r="N2663" s="309" t="s">
        <v>9</v>
      </c>
      <c r="O2663" s="66" t="s">
        <v>61</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x</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1" ht="15.75" customHeight="1">
      <c r="A2664" s="323" t="str">
        <f>IF(B2664&lt;&gt;"",IF(AND(B2664='IN-TC'!$S$4,OR(TH!N2074="1111",TH!O2074="1111")),TH!D2074,""),"")</f>
        <v/>
      </c>
      <c r="B2664" s="63">
        <f t="shared" si="180"/>
        <v>10</v>
      </c>
      <c r="C2664" s="78">
        <v>42674</v>
      </c>
      <c r="D2664" s="78" t="s">
        <v>570</v>
      </c>
      <c r="E2664" s="78">
        <v>42643</v>
      </c>
      <c r="F2664" s="80" t="s">
        <v>2131</v>
      </c>
      <c r="G2664" s="934" t="s">
        <v>2133</v>
      </c>
      <c r="H2664" s="80" t="s">
        <v>1365</v>
      </c>
      <c r="I2664" s="406"/>
      <c r="J2664" s="406"/>
      <c r="K2664" s="397"/>
      <c r="L2664" s="406"/>
      <c r="M2664" s="81">
        <v>515782</v>
      </c>
      <c r="N2664" s="82" t="s">
        <v>9</v>
      </c>
      <c r="O2664" s="82" t="s">
        <v>8</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x</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1" ht="15.75" customHeight="1">
      <c r="A2665" s="323" t="str">
        <f>IF(B2665&lt;&gt;"",IF(AND(B2665='IN-TC'!$S$4,OR(TH!N2130="1111",TH!O2130="1111")),TH!D2130,""),"")</f>
        <v/>
      </c>
      <c r="B2665" s="63">
        <f t="shared" si="180"/>
        <v>12</v>
      </c>
      <c r="C2665" s="78">
        <v>42705</v>
      </c>
      <c r="D2665" s="78" t="s">
        <v>570</v>
      </c>
      <c r="E2665" s="78">
        <v>42674</v>
      </c>
      <c r="F2665" s="80" t="s">
        <v>2130</v>
      </c>
      <c r="G2665" s="934" t="s">
        <v>2663</v>
      </c>
      <c r="H2665" s="80" t="s">
        <v>1365</v>
      </c>
      <c r="I2665" s="406"/>
      <c r="J2665" s="406"/>
      <c r="K2665" s="397"/>
      <c r="L2665" s="406"/>
      <c r="M2665" s="81">
        <v>7567302</v>
      </c>
      <c r="N2665" s="82" t="s">
        <v>579</v>
      </c>
      <c r="O2665" s="82" t="s">
        <v>8</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v>1</v>
      </c>
    </row>
    <row r="2666" spans="1:31" ht="15.75" customHeight="1">
      <c r="A2666" s="323" t="str">
        <f>IF(B2666&lt;&gt;"",IF(AND(B2666='IN-TC'!$S$4,OR(TH!N2661="1111",TH!O2661="1111")),TH!D2661,""),"")</f>
        <v/>
      </c>
      <c r="B2666" s="63">
        <f t="shared" si="180"/>
        <v>3</v>
      </c>
      <c r="C2666" s="306">
        <v>42433</v>
      </c>
      <c r="D2666" s="306" t="s">
        <v>865</v>
      </c>
      <c r="E2666" s="306">
        <v>42433</v>
      </c>
      <c r="F2666" s="482" t="s">
        <v>776</v>
      </c>
      <c r="G2666" s="935" t="s">
        <v>1095</v>
      </c>
      <c r="H2666" s="308" t="s">
        <v>1089</v>
      </c>
      <c r="I2666" s="412"/>
      <c r="J2666" s="412"/>
      <c r="K2666" s="403"/>
      <c r="L2666" s="412"/>
      <c r="M2666" s="65">
        <f>444164+656818</f>
        <v>1100982</v>
      </c>
      <c r="N2666" s="309" t="s">
        <v>99</v>
      </c>
      <c r="O2666" s="66" t="s">
        <v>61</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1" ht="15.75" customHeight="1">
      <c r="A2667" s="323" t="str">
        <f>IF(B2667&lt;&gt;"",IF(AND(B2667='IN-TC'!$S$4,OR(TH!N2662="1111",TH!O2662="1111")),TH!D2662,""),"")</f>
        <v/>
      </c>
      <c r="B2667" s="63">
        <f t="shared" si="180"/>
        <v>3</v>
      </c>
      <c r="C2667" s="306">
        <v>42433</v>
      </c>
      <c r="D2667" s="306" t="s">
        <v>865</v>
      </c>
      <c r="E2667" s="306">
        <v>42433</v>
      </c>
      <c r="F2667" s="482" t="s">
        <v>998</v>
      </c>
      <c r="G2667" s="935" t="s">
        <v>1095</v>
      </c>
      <c r="H2667" s="308" t="s">
        <v>1089</v>
      </c>
      <c r="I2667" s="408"/>
      <c r="J2667" s="408"/>
      <c r="K2667" s="399"/>
      <c r="L2667" s="408"/>
      <c r="M2667" s="65">
        <v>110098</v>
      </c>
      <c r="N2667" s="309" t="s">
        <v>9</v>
      </c>
      <c r="O2667" s="66" t="s">
        <v>61</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x</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1" ht="15.75" customHeight="1">
      <c r="A2668" s="323" t="str">
        <f>IF(B2668&lt;&gt;"",IF(AND(B2668='IN-TC'!$S$4,OR(TH!N2663="1111",TH!O2663="1111")),TH!D2663,""),"")</f>
        <v/>
      </c>
      <c r="B2668" s="63">
        <f t="shared" si="180"/>
        <v>3</v>
      </c>
      <c r="C2668" s="306">
        <v>42433</v>
      </c>
      <c r="D2668" s="306" t="s">
        <v>866</v>
      </c>
      <c r="E2668" s="306">
        <v>42377</v>
      </c>
      <c r="F2668" s="482" t="s">
        <v>1132</v>
      </c>
      <c r="G2668" s="935" t="s">
        <v>1145</v>
      </c>
      <c r="H2668" s="72" t="s">
        <v>1135</v>
      </c>
      <c r="I2668" s="408"/>
      <c r="J2668" s="408"/>
      <c r="K2668" s="399"/>
      <c r="L2668" s="408"/>
      <c r="M2668" s="65">
        <v>17272500</v>
      </c>
      <c r="N2668" s="309" t="s">
        <v>159</v>
      </c>
      <c r="O2668" s="66" t="s">
        <v>61</v>
      </c>
      <c r="P2668" s="82" t="str">
        <f>IF(AND('331-CT'!$E$7=TH!H2668,OR(N2668="331",O2668="331")),"x","")</f>
        <v/>
      </c>
      <c r="Q2668" s="82" t="str">
        <f>IF(AND(B2668='111'!$L$11,OR($N2668=$Q$7,$O2668=$Q$7)),"x","")</f>
        <v/>
      </c>
      <c r="R2668" s="82" t="str">
        <f>IF(AND($N2668=$Q$7,$B2668&lt;'111'!$L$11),"x","")</f>
        <v/>
      </c>
      <c r="S2668" s="82" t="str">
        <f>IF(AND($O2668=$Q$7,$B2668&lt;'111'!$L$11),"x","")</f>
        <v>x</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1" ht="15.75" customHeight="1">
      <c r="A2669" s="323" t="str">
        <f>IF(B2669&lt;&gt;"",IF(AND(B2669='IN-TC'!$S$4,OR(TH!N2664="1111",TH!O2664="1111")),TH!D2664,""),"")</f>
        <v/>
      </c>
      <c r="B2669" s="63">
        <f t="shared" si="180"/>
        <v>3</v>
      </c>
      <c r="C2669" s="306">
        <v>42433</v>
      </c>
      <c r="D2669" s="306" t="s">
        <v>866</v>
      </c>
      <c r="E2669" s="306">
        <v>42377</v>
      </c>
      <c r="F2669" s="482" t="s">
        <v>1133</v>
      </c>
      <c r="G2669" s="935" t="s">
        <v>1145</v>
      </c>
      <c r="H2669" s="72" t="s">
        <v>1135</v>
      </c>
      <c r="I2669" s="408"/>
      <c r="J2669" s="408"/>
      <c r="K2669" s="399"/>
      <c r="L2669" s="408"/>
      <c r="M2669" s="65">
        <v>1727250</v>
      </c>
      <c r="N2669" s="309" t="s">
        <v>9</v>
      </c>
      <c r="O2669" s="66" t="s">
        <v>61</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x</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1" ht="15.75" customHeight="1">
      <c r="A2670" s="323" t="str">
        <f>IF(B2670&lt;&gt;"",IF(AND(B2670='IN-TC'!$S$4,OR(TH!N2665="1111",TH!O2665="1111")),TH!D2665,""),"")</f>
        <v/>
      </c>
      <c r="B2670" s="63">
        <f t="shared" ref="B2670:B2733" si="181">IF(C2670&lt;&gt;"",MONTH(C2670),"")</f>
        <v>3</v>
      </c>
      <c r="C2670" s="306">
        <v>42434</v>
      </c>
      <c r="D2670" s="306" t="s">
        <v>867</v>
      </c>
      <c r="E2670" s="306">
        <v>42434</v>
      </c>
      <c r="F2670" s="482" t="s">
        <v>1130</v>
      </c>
      <c r="G2670" s="935" t="s">
        <v>1131</v>
      </c>
      <c r="H2670" s="308" t="s">
        <v>830</v>
      </c>
      <c r="I2670" s="408"/>
      <c r="J2670" s="408"/>
      <c r="K2670" s="399"/>
      <c r="L2670" s="408"/>
      <c r="M2670" s="65">
        <v>1911132</v>
      </c>
      <c r="N2670" s="309" t="s">
        <v>99</v>
      </c>
      <c r="O2670" s="66" t="s">
        <v>61</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1" ht="15.75" customHeight="1">
      <c r="A2671" s="323" t="str">
        <f>IF(B2671&lt;&gt;"",IF(AND(B2671='IN-TC'!$S$4,OR(TH!N2666="1111",TH!O2666="1111")),TH!D2666,""),"")</f>
        <v/>
      </c>
      <c r="B2671" s="63">
        <f t="shared" si="181"/>
        <v>3</v>
      </c>
      <c r="C2671" s="306">
        <v>42434</v>
      </c>
      <c r="D2671" s="306" t="s">
        <v>867</v>
      </c>
      <c r="E2671" s="306">
        <v>42434</v>
      </c>
      <c r="F2671" s="482" t="s">
        <v>1163</v>
      </c>
      <c r="G2671" s="935" t="s">
        <v>1131</v>
      </c>
      <c r="H2671" s="308" t="s">
        <v>830</v>
      </c>
      <c r="I2671" s="408"/>
      <c r="J2671" s="408"/>
      <c r="K2671" s="399"/>
      <c r="L2671" s="408"/>
      <c r="M2671" s="65">
        <v>191113</v>
      </c>
      <c r="N2671" s="309" t="s">
        <v>9</v>
      </c>
      <c r="O2671" s="66" t="s">
        <v>61</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x</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1" ht="15.75" customHeight="1">
      <c r="A2672" s="323" t="str">
        <f>IF(B2672&lt;&gt;"",IF(AND(B2672='IN-TC'!$S$4,OR(TH!N2667="1111",TH!O2667="1111")),TH!D2667,""),"")</f>
        <v/>
      </c>
      <c r="B2672" s="63">
        <f t="shared" si="181"/>
        <v>3</v>
      </c>
      <c r="C2672" s="306">
        <v>42435</v>
      </c>
      <c r="D2672" s="306" t="s">
        <v>868</v>
      </c>
      <c r="E2672" s="306">
        <v>42435</v>
      </c>
      <c r="F2672" s="482" t="s">
        <v>761</v>
      </c>
      <c r="G2672" s="935" t="s">
        <v>1096</v>
      </c>
      <c r="H2672" s="308" t="s">
        <v>1089</v>
      </c>
      <c r="I2672" s="412"/>
      <c r="J2672" s="412"/>
      <c r="K2672" s="403"/>
      <c r="L2672" s="412"/>
      <c r="M2672" s="65">
        <v>564864</v>
      </c>
      <c r="N2672" s="309" t="s">
        <v>99</v>
      </c>
      <c r="O2672" s="66" t="s">
        <v>61</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customHeight="1">
      <c r="A2673" s="323" t="str">
        <f>IF(B2673&lt;&gt;"",IF(AND(B2673='IN-TC'!$S$4,OR(TH!N2668="1111",TH!O2668="1111")),TH!D2668,""),"")</f>
        <v/>
      </c>
      <c r="B2673" s="63">
        <f t="shared" si="181"/>
        <v>3</v>
      </c>
      <c r="C2673" s="306">
        <v>42435</v>
      </c>
      <c r="D2673" s="306" t="s">
        <v>868</v>
      </c>
      <c r="E2673" s="306">
        <v>42435</v>
      </c>
      <c r="F2673" s="482" t="s">
        <v>762</v>
      </c>
      <c r="G2673" s="935" t="s">
        <v>1096</v>
      </c>
      <c r="H2673" s="308" t="s">
        <v>1089</v>
      </c>
      <c r="I2673" s="408"/>
      <c r="J2673" s="408"/>
      <c r="K2673" s="399"/>
      <c r="L2673" s="408"/>
      <c r="M2673" s="65">
        <v>56486</v>
      </c>
      <c r="N2673" s="309" t="s">
        <v>9</v>
      </c>
      <c r="O2673" s="66" t="s">
        <v>61</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x</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customHeight="1">
      <c r="A2674" s="323" t="str">
        <f>IF(B2674&lt;&gt;"",IF(AND(B2674='IN-TC'!$S$4,OR(TH!N2682="1111",TH!O2682="1111")),TH!D2682,""),"")</f>
        <v/>
      </c>
      <c r="B2674" s="63">
        <f t="shared" si="181"/>
        <v>3</v>
      </c>
      <c r="C2674" s="64">
        <v>42436</v>
      </c>
      <c r="D2674" s="306" t="s">
        <v>869</v>
      </c>
      <c r="E2674" s="64">
        <v>42436</v>
      </c>
      <c r="F2674" s="482" t="s">
        <v>1087</v>
      </c>
      <c r="G2674" s="307" t="s">
        <v>902</v>
      </c>
      <c r="H2674" s="308" t="s">
        <v>1186</v>
      </c>
      <c r="I2674" s="408"/>
      <c r="J2674" s="408"/>
      <c r="K2674" s="399"/>
      <c r="L2674" s="408"/>
      <c r="M2674" s="65">
        <v>1900000000</v>
      </c>
      <c r="N2674" s="66" t="s">
        <v>25</v>
      </c>
      <c r="O2674" s="66" t="s">
        <v>61</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customHeight="1">
      <c r="A2675" s="323" t="str">
        <f>IF(B2675&lt;&gt;"",IF(AND(B2675='IN-TC'!$S$4,OR(TH!N2683="1111",TH!O2683="1111")),TH!D2683,""),"")</f>
        <v/>
      </c>
      <c r="B2675" s="63">
        <f t="shared" si="181"/>
        <v>3</v>
      </c>
      <c r="C2675" s="1092">
        <v>42436</v>
      </c>
      <c r="D2675" s="1092" t="s">
        <v>870</v>
      </c>
      <c r="E2675" s="1092">
        <f>C2675</f>
        <v>42436</v>
      </c>
      <c r="F2675" s="482" t="s">
        <v>947</v>
      </c>
      <c r="G2675" s="1094"/>
      <c r="H2675" s="1093" t="s">
        <v>3001</v>
      </c>
      <c r="I2675" s="1095"/>
      <c r="J2675" s="1095"/>
      <c r="K2675" s="1096"/>
      <c r="L2675" s="1095"/>
      <c r="M2675" s="1097">
        <v>500000000</v>
      </c>
      <c r="N2675" s="1098" t="s">
        <v>266</v>
      </c>
      <c r="O2675" s="1098" t="s">
        <v>61</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customHeight="1">
      <c r="A2676" s="323" t="str">
        <f>IF(B2676&lt;&gt;"",IF(AND(B2676='IN-TC'!$S$4,OR(TH!N2673="1111",TH!O2673="1111")),TH!D2673,""),"")</f>
        <v/>
      </c>
      <c r="B2676" s="63">
        <f t="shared" si="181"/>
        <v>3</v>
      </c>
      <c r="C2676" s="306">
        <v>42436</v>
      </c>
      <c r="D2676" s="306" t="s">
        <v>570</v>
      </c>
      <c r="E2676" s="306">
        <v>42436</v>
      </c>
      <c r="F2676" s="72" t="s">
        <v>719</v>
      </c>
      <c r="G2676" s="307" t="s">
        <v>902</v>
      </c>
      <c r="H2676" s="329" t="s">
        <v>707</v>
      </c>
      <c r="I2676" s="408"/>
      <c r="J2676" s="408"/>
      <c r="K2676" s="399"/>
      <c r="L2676" s="408"/>
      <c r="M2676" s="65">
        <v>14350000</v>
      </c>
      <c r="N2676" s="309" t="s">
        <v>254</v>
      </c>
      <c r="O2676" s="66" t="s">
        <v>41</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customHeight="1">
      <c r="A2677" s="323" t="str">
        <f>IF(B2677&lt;&gt;"",IF(AND(B2677='IN-TC'!$S$4,OR(TH!N2670="1111",TH!O2670="1111")),TH!D2670,""),"")</f>
        <v/>
      </c>
      <c r="B2677" s="63">
        <f t="shared" si="181"/>
        <v>3</v>
      </c>
      <c r="C2677" s="306">
        <v>42436</v>
      </c>
      <c r="D2677" s="64" t="s">
        <v>687</v>
      </c>
      <c r="E2677" s="306">
        <v>42436</v>
      </c>
      <c r="F2677" s="72" t="s">
        <v>1680</v>
      </c>
      <c r="G2677" s="307" t="s">
        <v>902</v>
      </c>
      <c r="H2677" s="72" t="s">
        <v>1168</v>
      </c>
      <c r="I2677" s="408"/>
      <c r="J2677" s="408"/>
      <c r="K2677" s="399">
        <v>82000</v>
      </c>
      <c r="L2677" s="408">
        <v>22300</v>
      </c>
      <c r="M2677" s="65">
        <v>1828600000</v>
      </c>
      <c r="N2677" s="309" t="s">
        <v>260</v>
      </c>
      <c r="O2677" s="66" t="s">
        <v>254</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customHeight="1">
      <c r="A2678" s="323" t="str">
        <f>IF(B2678&lt;&gt;"",IF(AND(B2678='IN-TC'!$S$4,OR(TH!N2671="1111",TH!O2671="1111")),TH!D2671,""),"")</f>
        <v/>
      </c>
      <c r="B2678" s="63">
        <f t="shared" si="181"/>
        <v>3</v>
      </c>
      <c r="C2678" s="306">
        <v>42436</v>
      </c>
      <c r="D2678" s="64" t="s">
        <v>687</v>
      </c>
      <c r="E2678" s="306">
        <v>42436</v>
      </c>
      <c r="F2678" s="482" t="s">
        <v>1167</v>
      </c>
      <c r="G2678" s="307" t="s">
        <v>902</v>
      </c>
      <c r="H2678" s="329"/>
      <c r="I2678" s="408"/>
      <c r="J2678" s="408"/>
      <c r="K2678" s="399">
        <v>82000</v>
      </c>
      <c r="L2678" s="408">
        <v>22300</v>
      </c>
      <c r="M2678" s="65">
        <v>1828600000</v>
      </c>
      <c r="N2678" s="309" t="s">
        <v>260</v>
      </c>
      <c r="O2678" s="66" t="s">
        <v>25</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customHeight="1">
      <c r="A2679" s="323" t="str">
        <f>IF(B2679&lt;&gt;"",IF(AND(B2679='IN-TC'!$S$4,OR(TH!N2679="1111",TH!O2679="1111")),TH!D2679,""),"")</f>
        <v/>
      </c>
      <c r="B2679" s="63">
        <f t="shared" si="181"/>
        <v>3</v>
      </c>
      <c r="C2679" s="64">
        <v>42436</v>
      </c>
      <c r="D2679" s="306" t="s">
        <v>687</v>
      </c>
      <c r="E2679" s="64">
        <v>42436</v>
      </c>
      <c r="F2679" s="72" t="s">
        <v>1187</v>
      </c>
      <c r="G2679" s="67" t="s">
        <v>902</v>
      </c>
      <c r="H2679" s="329" t="s">
        <v>705</v>
      </c>
      <c r="I2679" s="408"/>
      <c r="J2679" s="408"/>
      <c r="K2679" s="399"/>
      <c r="L2679" s="408"/>
      <c r="M2679" s="65">
        <v>1251036</v>
      </c>
      <c r="N2679" s="66" t="s">
        <v>25</v>
      </c>
      <c r="O2679" s="66" t="s">
        <v>18</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customHeight="1">
      <c r="A2680" s="323" t="str">
        <f>IF(B2680&lt;&gt;"",IF(AND(B2680='IN-TC'!$S$4,OR(TH!N2669="1111",TH!O2669="1111")),TH!D2669,""),"")</f>
        <v/>
      </c>
      <c r="B2680" s="63">
        <f t="shared" si="181"/>
        <v>3</v>
      </c>
      <c r="C2680" s="306">
        <v>42436</v>
      </c>
      <c r="D2680" s="64" t="s">
        <v>690</v>
      </c>
      <c r="E2680" s="306">
        <v>42436</v>
      </c>
      <c r="F2680" s="72" t="s">
        <v>1425</v>
      </c>
      <c r="G2680" s="307" t="s">
        <v>902</v>
      </c>
      <c r="H2680" s="308"/>
      <c r="I2680" s="408"/>
      <c r="J2680" s="408"/>
      <c r="K2680" s="399">
        <v>82000</v>
      </c>
      <c r="L2680" s="408">
        <v>22300</v>
      </c>
      <c r="M2680" s="65">
        <v>1828600000</v>
      </c>
      <c r="N2680" s="66" t="s">
        <v>25</v>
      </c>
      <c r="O2680" s="309" t="s">
        <v>260</v>
      </c>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customHeight="1">
      <c r="A2681" s="323" t="str">
        <f>IF(B2681&lt;&gt;"",IF(AND(B2681='IN-TC'!$S$4,OR(TH!N2672="1111",TH!O2672="1111")),TH!D2672,""),"")</f>
        <v/>
      </c>
      <c r="B2681" s="63">
        <f t="shared" si="181"/>
        <v>3</v>
      </c>
      <c r="C2681" s="306">
        <v>42436</v>
      </c>
      <c r="D2681" s="64" t="s">
        <v>690</v>
      </c>
      <c r="E2681" s="306">
        <v>42436</v>
      </c>
      <c r="F2681" s="72" t="s">
        <v>1170</v>
      </c>
      <c r="G2681" s="307" t="s">
        <v>902</v>
      </c>
      <c r="H2681" s="329" t="s">
        <v>707</v>
      </c>
      <c r="I2681" s="408"/>
      <c r="J2681" s="408"/>
      <c r="K2681" s="399">
        <v>82000</v>
      </c>
      <c r="L2681" s="408">
        <v>22300</v>
      </c>
      <c r="M2681" s="65">
        <v>1828600000</v>
      </c>
      <c r="N2681" s="309" t="s">
        <v>254</v>
      </c>
      <c r="O2681" s="309" t="s">
        <v>260</v>
      </c>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customHeight="1">
      <c r="A2682" s="323" t="str">
        <f>IF(B2682&lt;&gt;"",IF(AND(B2682='IN-TC'!$S$4,OR(TH!N2674="1111",TH!O2674="1111")),TH!D2674,""),"")</f>
        <v/>
      </c>
      <c r="B2682" s="63">
        <f t="shared" si="181"/>
        <v>3</v>
      </c>
      <c r="C2682" s="64">
        <v>42436</v>
      </c>
      <c r="D2682" s="306" t="s">
        <v>690</v>
      </c>
      <c r="E2682" s="64">
        <v>42436</v>
      </c>
      <c r="F2682" s="72" t="s">
        <v>1036</v>
      </c>
      <c r="G2682" s="67" t="s">
        <v>902</v>
      </c>
      <c r="H2682" s="329" t="s">
        <v>707</v>
      </c>
      <c r="I2682" s="408"/>
      <c r="J2682" s="408"/>
      <c r="K2682" s="399">
        <v>191.33001792114695</v>
      </c>
      <c r="L2682" s="408">
        <v>22320</v>
      </c>
      <c r="M2682" s="65">
        <v>4270486</v>
      </c>
      <c r="N2682" s="66" t="s">
        <v>97</v>
      </c>
      <c r="O2682" s="66" t="s">
        <v>25</v>
      </c>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customHeight="1">
      <c r="A2683" s="323" t="str">
        <f>IF(B2683&lt;&gt;"",IF(AND(B2683='IN-TC'!$S$4,OR(TH!N2675="1111",TH!O2675="1111")),TH!D2675,""),"")</f>
        <v/>
      </c>
      <c r="B2683" s="63">
        <f t="shared" si="181"/>
        <v>3</v>
      </c>
      <c r="C2683" s="64">
        <v>42436</v>
      </c>
      <c r="D2683" s="306" t="s">
        <v>690</v>
      </c>
      <c r="E2683" s="64">
        <v>42436</v>
      </c>
      <c r="F2683" s="72" t="s">
        <v>1029</v>
      </c>
      <c r="G2683" s="67" t="s">
        <v>902</v>
      </c>
      <c r="H2683" s="329" t="s">
        <v>705</v>
      </c>
      <c r="I2683" s="408"/>
      <c r="J2683" s="408"/>
      <c r="K2683" s="399">
        <v>56.05</v>
      </c>
      <c r="L2683" s="408">
        <v>22320</v>
      </c>
      <c r="M2683" s="65">
        <v>1251036</v>
      </c>
      <c r="N2683" s="66" t="s">
        <v>18</v>
      </c>
      <c r="O2683" s="66" t="s">
        <v>25</v>
      </c>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customHeight="1">
      <c r="A2684" s="323" t="str">
        <f>IF(B2684&lt;&gt;"",IF(AND(B2684='IN-TC'!$S$4,OR(TH!N2676="1111",TH!O2676="1111")),TH!D2676,""),"")</f>
        <v/>
      </c>
      <c r="B2684" s="63">
        <f t="shared" si="181"/>
        <v>3</v>
      </c>
      <c r="C2684" s="64">
        <v>42436</v>
      </c>
      <c r="D2684" s="306" t="s">
        <v>690</v>
      </c>
      <c r="E2684" s="64">
        <v>42436</v>
      </c>
      <c r="F2684" s="72" t="s">
        <v>1030</v>
      </c>
      <c r="G2684" s="67" t="s">
        <v>902</v>
      </c>
      <c r="H2684" s="329" t="s">
        <v>698</v>
      </c>
      <c r="I2684" s="408"/>
      <c r="J2684" s="408"/>
      <c r="K2684" s="399">
        <v>120.78001792114695</v>
      </c>
      <c r="L2684" s="408">
        <v>22320</v>
      </c>
      <c r="M2684" s="65">
        <v>2695810</v>
      </c>
      <c r="N2684" s="66" t="s">
        <v>97</v>
      </c>
      <c r="O2684" s="66" t="s">
        <v>25</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customHeight="1">
      <c r="A2685" s="323" t="str">
        <f>IF(B2685&lt;&gt;"",IF(AND(B2685='IN-TC'!$S$4,OR(TH!N2677="1111",TH!O2677="1111")),TH!D2677,""),"")</f>
        <v/>
      </c>
      <c r="B2685" s="63">
        <f t="shared" si="181"/>
        <v>3</v>
      </c>
      <c r="C2685" s="64">
        <v>42436</v>
      </c>
      <c r="D2685" s="306" t="s">
        <v>690</v>
      </c>
      <c r="E2685" s="64">
        <v>42436</v>
      </c>
      <c r="F2685" s="72" t="s">
        <v>1031</v>
      </c>
      <c r="G2685" s="67" t="s">
        <v>902</v>
      </c>
      <c r="H2685" s="329" t="s">
        <v>699</v>
      </c>
      <c r="I2685" s="408"/>
      <c r="J2685" s="408"/>
      <c r="K2685" s="399">
        <v>74.369982078853042</v>
      </c>
      <c r="L2685" s="408">
        <v>22320</v>
      </c>
      <c r="M2685" s="65">
        <v>1659938</v>
      </c>
      <c r="N2685" s="66" t="s">
        <v>97</v>
      </c>
      <c r="O2685" s="66" t="s">
        <v>25</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customHeight="1">
      <c r="A2686" s="323" t="str">
        <f>IF(B2686&lt;&gt;"",IF(AND(B2686='IN-TC'!$S$4,OR(TH!N2678="1111",TH!O2678="1111")),TH!D2678,""),"")</f>
        <v/>
      </c>
      <c r="B2686" s="63">
        <f t="shared" si="181"/>
        <v>3</v>
      </c>
      <c r="C2686" s="64">
        <v>42436</v>
      </c>
      <c r="D2686" s="306" t="s">
        <v>690</v>
      </c>
      <c r="E2686" s="64">
        <v>42436</v>
      </c>
      <c r="F2686" s="72" t="s">
        <v>1032</v>
      </c>
      <c r="G2686" s="67" t="s">
        <v>902</v>
      </c>
      <c r="H2686" s="329" t="s">
        <v>706</v>
      </c>
      <c r="I2686" s="408"/>
      <c r="J2686" s="408"/>
      <c r="K2686" s="399">
        <v>104.10999103942652</v>
      </c>
      <c r="L2686" s="408">
        <v>22320</v>
      </c>
      <c r="M2686" s="65">
        <v>2323735</v>
      </c>
      <c r="N2686" s="66" t="s">
        <v>97</v>
      </c>
      <c r="O2686" s="66" t="s">
        <v>25</v>
      </c>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customHeight="1">
      <c r="A2687" s="323" t="str">
        <f>IF(B2687&lt;&gt;"",IF(AND(B2687='IN-TC'!$S$4,OR(TH!N2680="1111",TH!O2680="1111")),TH!D2680,""),"")</f>
        <v/>
      </c>
      <c r="B2687" s="63">
        <f t="shared" si="181"/>
        <v>3</v>
      </c>
      <c r="C2687" s="64">
        <v>42436</v>
      </c>
      <c r="D2687" s="306" t="s">
        <v>690</v>
      </c>
      <c r="E2687" s="64">
        <v>42436</v>
      </c>
      <c r="F2687" s="72" t="s">
        <v>1029</v>
      </c>
      <c r="G2687" s="67" t="s">
        <v>902</v>
      </c>
      <c r="H2687" s="329" t="s">
        <v>705</v>
      </c>
      <c r="I2687" s="408"/>
      <c r="J2687" s="408"/>
      <c r="K2687" s="399">
        <v>50.440008960573479</v>
      </c>
      <c r="L2687" s="408">
        <v>22320</v>
      </c>
      <c r="M2687" s="65">
        <v>1125821</v>
      </c>
      <c r="N2687" s="66" t="s">
        <v>97</v>
      </c>
      <c r="O2687" s="66" t="s">
        <v>25</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customHeight="1">
      <c r="A2688" s="323" t="str">
        <f>IF(B2688&lt;&gt;"",IF(AND(B2688='IN-TC'!$S$4,OR(TH!N2681="1111",TH!O2681="1111")),TH!D2681,""),"")</f>
        <v/>
      </c>
      <c r="B2688" s="63">
        <f t="shared" si="181"/>
        <v>3</v>
      </c>
      <c r="C2688" s="64">
        <v>42436</v>
      </c>
      <c r="D2688" s="306" t="s">
        <v>857</v>
      </c>
      <c r="E2688" s="64">
        <v>42436</v>
      </c>
      <c r="F2688" s="72" t="s">
        <v>1126</v>
      </c>
      <c r="G2688" s="67" t="s">
        <v>902</v>
      </c>
      <c r="H2688" s="308" t="s">
        <v>748</v>
      </c>
      <c r="I2688" s="408"/>
      <c r="J2688" s="408"/>
      <c r="K2688" s="399"/>
      <c r="L2688" s="408"/>
      <c r="M2688" s="65">
        <v>1828600000</v>
      </c>
      <c r="N2688" s="309" t="s">
        <v>61</v>
      </c>
      <c r="O2688" s="66" t="s">
        <v>25</v>
      </c>
      <c r="P2688" s="82" t="str">
        <f>IF(AND('331-CT'!$E$7=TH!H2688,OR(N2688="331",O2688="331")),"x","")</f>
        <v/>
      </c>
      <c r="Q2688" s="82" t="str">
        <f>IF(AND(B2688='111'!$L$11,OR($N2688=$Q$7,$O2688=$Q$7)),"x","")</f>
        <v/>
      </c>
      <c r="R2688" s="82" t="str">
        <f>IF(AND($N2688=$Q$7,$B2688&lt;'111'!$L$11),"x","")</f>
        <v>x</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customHeight="1">
      <c r="A2689" s="323" t="str">
        <f>IF(B2689&lt;&gt;"",IF(AND(B2689='IN-TC'!$S$4,OR(TH!N2684="1111",TH!O2684="1111")),TH!D2684,""),"")</f>
        <v/>
      </c>
      <c r="B2689" s="63">
        <f t="shared" si="181"/>
        <v>3</v>
      </c>
      <c r="C2689" s="306">
        <v>42437</v>
      </c>
      <c r="D2689" s="306" t="s">
        <v>871</v>
      </c>
      <c r="E2689" s="306">
        <v>42437</v>
      </c>
      <c r="F2689" s="72" t="s">
        <v>1087</v>
      </c>
      <c r="G2689" s="307" t="s">
        <v>902</v>
      </c>
      <c r="H2689" s="308" t="s">
        <v>748</v>
      </c>
      <c r="I2689" s="408"/>
      <c r="J2689" s="408"/>
      <c r="K2689" s="399"/>
      <c r="L2689" s="408"/>
      <c r="M2689" s="65">
        <v>64000000</v>
      </c>
      <c r="N2689" s="66" t="s">
        <v>25</v>
      </c>
      <c r="O2689" s="66" t="s">
        <v>61</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customHeight="1">
      <c r="A2690" s="323" t="str">
        <f>IF(B2690&lt;&gt;"",IF(AND(B2690='IN-TC'!$S$4,OR(TH!N2685="1111",TH!O2685="1111")),TH!D2685,""),"")</f>
        <v/>
      </c>
      <c r="B2690" s="63">
        <f t="shared" si="181"/>
        <v>3</v>
      </c>
      <c r="C2690" s="306">
        <v>42437</v>
      </c>
      <c r="D2690" s="306" t="s">
        <v>872</v>
      </c>
      <c r="E2690" s="306">
        <v>42437</v>
      </c>
      <c r="F2690" s="72" t="s">
        <v>756</v>
      </c>
      <c r="G2690" s="935" t="s">
        <v>1097</v>
      </c>
      <c r="H2690" s="308" t="s">
        <v>1089</v>
      </c>
      <c r="I2690" s="408"/>
      <c r="J2690" s="408"/>
      <c r="K2690" s="399"/>
      <c r="L2690" s="408"/>
      <c r="M2690" s="65">
        <v>452873</v>
      </c>
      <c r="N2690" s="309" t="s">
        <v>99</v>
      </c>
      <c r="O2690" s="66" t="s">
        <v>61</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customHeight="1">
      <c r="A2691" s="323" t="str">
        <f>IF(B2691&lt;&gt;"",IF(AND(B2691='IN-TC'!$S$4,OR(TH!N2696="1111",TH!O2696="1111")),TH!D2696,""),"")</f>
        <v/>
      </c>
      <c r="B2691" s="63">
        <f t="shared" si="181"/>
        <v>3</v>
      </c>
      <c r="C2691" s="306">
        <v>42437</v>
      </c>
      <c r="D2691" s="306" t="s">
        <v>872</v>
      </c>
      <c r="E2691" s="306">
        <v>42437</v>
      </c>
      <c r="F2691" s="72" t="s">
        <v>757</v>
      </c>
      <c r="G2691" s="935" t="s">
        <v>1097</v>
      </c>
      <c r="H2691" s="308" t="s">
        <v>1089</v>
      </c>
      <c r="I2691" s="408"/>
      <c r="J2691" s="408"/>
      <c r="K2691" s="399"/>
      <c r="L2691" s="408"/>
      <c r="M2691" s="65">
        <v>45287</v>
      </c>
      <c r="N2691" s="309" t="s">
        <v>9</v>
      </c>
      <c r="O2691" s="66" t="s">
        <v>61</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x</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customHeight="1">
      <c r="A2692" s="323" t="str">
        <f>IF(B2692&lt;&gt;"",IF(AND(B2692='IN-TC'!$S$4,OR(TH!N2698="1111",TH!O2698="1111")),TH!D2698,""),"")</f>
        <v/>
      </c>
      <c r="B2692" s="63">
        <f t="shared" si="181"/>
        <v>3</v>
      </c>
      <c r="C2692" s="64">
        <v>42437</v>
      </c>
      <c r="D2692" s="306" t="s">
        <v>873</v>
      </c>
      <c r="E2692" s="64">
        <v>42437</v>
      </c>
      <c r="F2692" s="72" t="s">
        <v>1087</v>
      </c>
      <c r="G2692" s="307" t="s">
        <v>902</v>
      </c>
      <c r="H2692" s="308" t="s">
        <v>1188</v>
      </c>
      <c r="I2692" s="408"/>
      <c r="J2692" s="408"/>
      <c r="K2692" s="399"/>
      <c r="L2692" s="408"/>
      <c r="M2692" s="65">
        <v>1928600000</v>
      </c>
      <c r="N2692" s="66" t="s">
        <v>25</v>
      </c>
      <c r="O2692" s="66" t="s">
        <v>61</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customHeight="1">
      <c r="A2693" s="323" t="str">
        <f>IF(B2693&lt;&gt;"",IF(AND(B2693='IN-TC'!$S$4,OR(TH!N4048="1111",TH!O4048="1111")),TH!D4048,""),"")</f>
        <v/>
      </c>
      <c r="B2693" s="63">
        <f t="shared" si="181"/>
        <v>11</v>
      </c>
      <c r="C2693" s="64">
        <v>42678</v>
      </c>
      <c r="D2693" s="64" t="s">
        <v>864</v>
      </c>
      <c r="E2693" s="64">
        <f>C2693</f>
        <v>42678</v>
      </c>
      <c r="F2693" s="72" t="s">
        <v>765</v>
      </c>
      <c r="G2693" s="931" t="s">
        <v>2455</v>
      </c>
      <c r="H2693" s="308" t="s">
        <v>660</v>
      </c>
      <c r="I2693" s="408"/>
      <c r="J2693" s="408"/>
      <c r="K2693" s="399"/>
      <c r="L2693" s="408"/>
      <c r="M2693" s="65">
        <v>16000000</v>
      </c>
      <c r="N2693" s="66" t="s">
        <v>8</v>
      </c>
      <c r="O2693" s="66" t="s">
        <v>61</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customHeight="1">
      <c r="A2694" s="323" t="str">
        <f>IF(B2694&lt;&gt;"",IF(AND(B2694='IN-TC'!$S$4,OR(TH!N2689="1111",TH!O2689="1111")),TH!D2689,""),"")</f>
        <v/>
      </c>
      <c r="B2694" s="63">
        <f t="shared" si="181"/>
        <v>3</v>
      </c>
      <c r="C2694" s="306">
        <v>42437</v>
      </c>
      <c r="D2694" s="306" t="s">
        <v>570</v>
      </c>
      <c r="E2694" s="306">
        <v>42437</v>
      </c>
      <c r="F2694" s="72" t="s">
        <v>719</v>
      </c>
      <c r="G2694" s="307" t="s">
        <v>902</v>
      </c>
      <c r="H2694" s="308" t="s">
        <v>708</v>
      </c>
      <c r="I2694" s="408"/>
      <c r="J2694" s="408"/>
      <c r="K2694" s="399"/>
      <c r="L2694" s="408">
        <v>22300</v>
      </c>
      <c r="M2694" s="410">
        <v>7520000</v>
      </c>
      <c r="N2694" s="309" t="s">
        <v>254</v>
      </c>
      <c r="O2694" s="66" t="s">
        <v>41</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customHeight="1">
      <c r="A2695" s="323" t="str">
        <f>IF(B2695&lt;&gt;"",IF(AND(B2695='IN-TC'!$S$4,OR(TH!N2691="1111",TH!O2691="1111")),TH!D2691,""),"")</f>
        <v/>
      </c>
      <c r="B2695" s="63">
        <f t="shared" si="181"/>
        <v>3</v>
      </c>
      <c r="C2695" s="306">
        <v>42437</v>
      </c>
      <c r="D2695" s="306" t="s">
        <v>570</v>
      </c>
      <c r="E2695" s="306">
        <v>42437</v>
      </c>
      <c r="F2695" s="72" t="s">
        <v>719</v>
      </c>
      <c r="G2695" s="307" t="s">
        <v>902</v>
      </c>
      <c r="H2695" s="308" t="s">
        <v>709</v>
      </c>
      <c r="I2695" s="408"/>
      <c r="J2695" s="408"/>
      <c r="K2695" s="399"/>
      <c r="L2695" s="408">
        <v>22300</v>
      </c>
      <c r="M2695" s="65">
        <v>9250000</v>
      </c>
      <c r="N2695" s="309" t="s">
        <v>254</v>
      </c>
      <c r="O2695" s="66" t="s">
        <v>41</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customHeight="1">
      <c r="A2696" s="323" t="str">
        <f>IF(B2696&lt;&gt;"",IF(AND(B2696='IN-TC'!$S$4,OR(TH!N2686="1111",TH!O2686="1111")),TH!D2686,""),"")</f>
        <v/>
      </c>
      <c r="B2696" s="63">
        <f t="shared" si="181"/>
        <v>3</v>
      </c>
      <c r="C2696" s="64">
        <v>42437</v>
      </c>
      <c r="D2696" s="64" t="s">
        <v>687</v>
      </c>
      <c r="E2696" s="306">
        <v>42437</v>
      </c>
      <c r="F2696" s="72" t="s">
        <v>1167</v>
      </c>
      <c r="G2696" s="307" t="s">
        <v>902</v>
      </c>
      <c r="H2696" s="72"/>
      <c r="I2696" s="408"/>
      <c r="J2696" s="408"/>
      <c r="K2696" s="399">
        <v>90000</v>
      </c>
      <c r="L2696" s="408">
        <v>22300</v>
      </c>
      <c r="M2696" s="65">
        <v>2007000000</v>
      </c>
      <c r="N2696" s="309" t="s">
        <v>260</v>
      </c>
      <c r="O2696" s="66" t="s">
        <v>25</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customHeight="1">
      <c r="A2697" s="323" t="str">
        <f>IF(B2697&lt;&gt;"",IF(AND(B2697='IN-TC'!$S$4,OR(TH!N2687="1111",TH!O2687="1111")),TH!D2687,""),"")</f>
        <v/>
      </c>
      <c r="B2697" s="63">
        <f t="shared" si="181"/>
        <v>3</v>
      </c>
      <c r="C2697" s="64">
        <v>42437</v>
      </c>
      <c r="D2697" s="64" t="s">
        <v>687</v>
      </c>
      <c r="E2697" s="306">
        <v>42437</v>
      </c>
      <c r="F2697" s="72" t="s">
        <v>1681</v>
      </c>
      <c r="G2697" s="307" t="s">
        <v>902</v>
      </c>
      <c r="H2697" s="72" t="s">
        <v>1169</v>
      </c>
      <c r="I2697" s="408"/>
      <c r="J2697" s="408"/>
      <c r="K2697" s="399">
        <v>90000</v>
      </c>
      <c r="L2697" s="408">
        <v>22300</v>
      </c>
      <c r="M2697" s="65">
        <v>2007000000</v>
      </c>
      <c r="N2697" s="309" t="s">
        <v>260</v>
      </c>
      <c r="O2697" s="66" t="s">
        <v>254</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customHeight="1">
      <c r="A2698" s="323" t="str">
        <f>IF(B2698&lt;&gt;"",IF(AND(B2698='IN-TC'!$S$4,OR(TH!N2688="1111",TH!O2688="1111")),TH!D2688,""),"")</f>
        <v/>
      </c>
      <c r="B2698" s="63">
        <f t="shared" si="181"/>
        <v>3</v>
      </c>
      <c r="C2698" s="306">
        <v>42437</v>
      </c>
      <c r="D2698" s="64" t="s">
        <v>690</v>
      </c>
      <c r="E2698" s="306">
        <v>42437</v>
      </c>
      <c r="F2698" s="72" t="s">
        <v>1170</v>
      </c>
      <c r="G2698" s="307" t="s">
        <v>902</v>
      </c>
      <c r="H2698" s="308" t="s">
        <v>708</v>
      </c>
      <c r="I2698" s="408"/>
      <c r="J2698" s="408"/>
      <c r="K2698" s="399">
        <v>40000</v>
      </c>
      <c r="L2698" s="408">
        <v>22300</v>
      </c>
      <c r="M2698" s="65">
        <v>892000000</v>
      </c>
      <c r="N2698" s="309" t="s">
        <v>254</v>
      </c>
      <c r="O2698" s="309" t="s">
        <v>260</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customHeight="1">
      <c r="A2699" s="323" t="str">
        <f>IF(B2699&lt;&gt;"",IF(AND(B2699='IN-TC'!$S$4,OR(TH!N2690="1111",TH!O2690="1111")),TH!D2690,""),"")</f>
        <v/>
      </c>
      <c r="B2699" s="63">
        <f t="shared" si="181"/>
        <v>3</v>
      </c>
      <c r="C2699" s="306">
        <v>42437</v>
      </c>
      <c r="D2699" s="64" t="s">
        <v>690</v>
      </c>
      <c r="E2699" s="306">
        <v>42437</v>
      </c>
      <c r="F2699" s="72" t="s">
        <v>1170</v>
      </c>
      <c r="G2699" s="307" t="s">
        <v>902</v>
      </c>
      <c r="H2699" s="308" t="s">
        <v>709</v>
      </c>
      <c r="I2699" s="408"/>
      <c r="J2699" s="408"/>
      <c r="K2699" s="399">
        <v>50000</v>
      </c>
      <c r="L2699" s="408">
        <v>22300</v>
      </c>
      <c r="M2699" s="65">
        <v>1115000000</v>
      </c>
      <c r="N2699" s="309" t="s">
        <v>254</v>
      </c>
      <c r="O2699" s="309" t="s">
        <v>260</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customHeight="1">
      <c r="A2700" s="323" t="str">
        <f>IF(B2700&lt;&gt;"",IF(AND(B2700='IN-TC'!$S$4,OR(TH!N2692="1111",TH!O2692="1111")),TH!D2692,""),"")</f>
        <v/>
      </c>
      <c r="B2700" s="63">
        <f t="shared" si="181"/>
        <v>3</v>
      </c>
      <c r="C2700" s="306">
        <v>42437</v>
      </c>
      <c r="D2700" s="64" t="s">
        <v>690</v>
      </c>
      <c r="E2700" s="306">
        <v>42437</v>
      </c>
      <c r="F2700" s="72" t="s">
        <v>1425</v>
      </c>
      <c r="G2700" s="307" t="s">
        <v>902</v>
      </c>
      <c r="H2700" s="308"/>
      <c r="I2700" s="408"/>
      <c r="J2700" s="408"/>
      <c r="K2700" s="399">
        <v>90000</v>
      </c>
      <c r="L2700" s="408">
        <v>22300</v>
      </c>
      <c r="M2700" s="65">
        <v>2007000000</v>
      </c>
      <c r="N2700" s="66" t="s">
        <v>25</v>
      </c>
      <c r="O2700" s="309" t="s">
        <v>260</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customHeight="1">
      <c r="A2701" s="323" t="str">
        <f>IF(B2701&lt;&gt;"",IF(AND(B2701='IN-TC'!$S$4,OR(TH!N2693="1111",TH!O2693="1111")),TH!D2693,""),"")</f>
        <v/>
      </c>
      <c r="B2701" s="63">
        <f t="shared" si="181"/>
        <v>3</v>
      </c>
      <c r="C2701" s="64">
        <v>42437</v>
      </c>
      <c r="D2701" s="306" t="s">
        <v>690</v>
      </c>
      <c r="E2701" s="64">
        <v>42437</v>
      </c>
      <c r="F2701" s="72" t="s">
        <v>1037</v>
      </c>
      <c r="G2701" s="67" t="s">
        <v>902</v>
      </c>
      <c r="H2701" s="72" t="s">
        <v>708</v>
      </c>
      <c r="I2701" s="408"/>
      <c r="J2701" s="408"/>
      <c r="K2701" s="399">
        <v>93.371818996415769</v>
      </c>
      <c r="L2701" s="408">
        <v>22320</v>
      </c>
      <c r="M2701" s="65">
        <v>2084059</v>
      </c>
      <c r="N2701" s="66" t="s">
        <v>97</v>
      </c>
      <c r="O2701" s="66" t="s">
        <v>25</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customHeight="1">
      <c r="A2702" s="323" t="str">
        <f>IF(B2702&lt;&gt;"",IF(AND(B2702='IN-TC'!$S$4,OR(TH!N2694="1111",TH!O2694="1111")),TH!D2694,""),"")</f>
        <v/>
      </c>
      <c r="B2702" s="63">
        <f t="shared" si="181"/>
        <v>3</v>
      </c>
      <c r="C2702" s="64">
        <v>42437</v>
      </c>
      <c r="D2702" s="306" t="s">
        <v>690</v>
      </c>
      <c r="E2702" s="64">
        <v>42437</v>
      </c>
      <c r="F2702" s="72" t="s">
        <v>1038</v>
      </c>
      <c r="G2702" s="67" t="s">
        <v>902</v>
      </c>
      <c r="H2702" s="72" t="s">
        <v>709</v>
      </c>
      <c r="I2702" s="408"/>
      <c r="J2702" s="408"/>
      <c r="K2702" s="399">
        <v>113.9410394265233</v>
      </c>
      <c r="L2702" s="408">
        <v>22320</v>
      </c>
      <c r="M2702" s="65">
        <v>2543164</v>
      </c>
      <c r="N2702" s="66" t="s">
        <v>97</v>
      </c>
      <c r="O2702" s="66" t="s">
        <v>25</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customHeight="1">
      <c r="A2703" s="323" t="str">
        <f>IF(B2703&lt;&gt;"",IF(AND(B2703='IN-TC'!$S$4,OR(TH!N2040="1111",TH!O2040="1111")),TH!D2040,""),"")</f>
        <v/>
      </c>
      <c r="B2703" s="63">
        <f t="shared" si="181"/>
        <v>9</v>
      </c>
      <c r="C2703" s="78">
        <v>42639</v>
      </c>
      <c r="D2703" s="78" t="s">
        <v>570</v>
      </c>
      <c r="E2703" s="78">
        <f>C2703</f>
        <v>42639</v>
      </c>
      <c r="F2703" s="80" t="s">
        <v>2001</v>
      </c>
      <c r="G2703" s="934" t="s">
        <v>2053</v>
      </c>
      <c r="H2703" s="80" t="s">
        <v>617</v>
      </c>
      <c r="I2703" s="406"/>
      <c r="J2703" s="406"/>
      <c r="K2703" s="397"/>
      <c r="L2703" s="406"/>
      <c r="M2703" s="81">
        <v>1911240</v>
      </c>
      <c r="N2703" s="82" t="s">
        <v>9</v>
      </c>
      <c r="O2703" s="82" t="s">
        <v>8</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x</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customHeight="1">
      <c r="A2704" s="323" t="str">
        <f>IF(B2704&lt;&gt;"",IF(AND(B2704='IN-TC'!$S$4,OR(TH!N2695="1111",TH!O2695="1111")),TH!D2695,""),"")</f>
        <v/>
      </c>
      <c r="B2704" s="63">
        <f t="shared" si="181"/>
        <v>3</v>
      </c>
      <c r="C2704" s="64">
        <v>42437</v>
      </c>
      <c r="D2704" s="306" t="s">
        <v>886</v>
      </c>
      <c r="E2704" s="64">
        <v>42437</v>
      </c>
      <c r="F2704" s="72" t="s">
        <v>1126</v>
      </c>
      <c r="G2704" s="67" t="s">
        <v>902</v>
      </c>
      <c r="H2704" s="308" t="s">
        <v>748</v>
      </c>
      <c r="I2704" s="408"/>
      <c r="J2704" s="408"/>
      <c r="K2704" s="399"/>
      <c r="L2704" s="408"/>
      <c r="M2704" s="65">
        <v>2025000000</v>
      </c>
      <c r="N2704" s="309" t="s">
        <v>61</v>
      </c>
      <c r="O2704" s="66" t="s">
        <v>25</v>
      </c>
      <c r="P2704" s="82" t="str">
        <f>IF(AND('331-CT'!$E$7=TH!H2704,OR(N2704="331",O2704="331")),"x","")</f>
        <v/>
      </c>
      <c r="Q2704" s="82" t="str">
        <f>IF(AND(B2704='111'!$L$11,OR($N2704=$Q$7,$O2704=$Q$7)),"x","")</f>
        <v/>
      </c>
      <c r="R2704" s="82" t="str">
        <f>IF(AND($N2704=$Q$7,$B2704&lt;'111'!$L$11),"x","")</f>
        <v>x</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customHeight="1">
      <c r="A2705" s="323" t="str">
        <f>IF(B2705&lt;&gt;"",IF(AND(B2705='IN-TC'!$S$4,OR(TH!N2700="1111",TH!O2700="1111")),TH!D2700,""),"")</f>
        <v/>
      </c>
      <c r="B2705" s="63">
        <f t="shared" si="181"/>
        <v>3</v>
      </c>
      <c r="C2705" s="306">
        <v>42438</v>
      </c>
      <c r="D2705" s="306" t="s">
        <v>875</v>
      </c>
      <c r="E2705" s="306">
        <v>42438</v>
      </c>
      <c r="F2705" s="72" t="s">
        <v>1098</v>
      </c>
      <c r="G2705" s="935" t="s">
        <v>1099</v>
      </c>
      <c r="H2705" s="308" t="s">
        <v>612</v>
      </c>
      <c r="I2705" s="408"/>
      <c r="J2705" s="408"/>
      <c r="K2705" s="399"/>
      <c r="L2705" s="408"/>
      <c r="M2705" s="65">
        <v>7500000</v>
      </c>
      <c r="N2705" s="309" t="s">
        <v>99</v>
      </c>
      <c r="O2705" s="66" t="s">
        <v>61</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customHeight="1">
      <c r="A2706" s="323" t="str">
        <f>IF(B2706&lt;&gt;"",IF(AND(B2706='IN-TC'!$S$4,OR(TH!N2701="1111",TH!O2701="1111")),TH!D2701,""),"")</f>
        <v/>
      </c>
      <c r="B2706" s="63">
        <f t="shared" si="181"/>
        <v>3</v>
      </c>
      <c r="C2706" s="306">
        <v>42439</v>
      </c>
      <c r="D2706" s="306" t="s">
        <v>876</v>
      </c>
      <c r="E2706" s="306">
        <v>42439</v>
      </c>
      <c r="F2706" s="72" t="s">
        <v>1159</v>
      </c>
      <c r="G2706" s="935" t="s">
        <v>1107</v>
      </c>
      <c r="H2706" s="308" t="s">
        <v>1108</v>
      </c>
      <c r="I2706" s="408"/>
      <c r="J2706" s="408"/>
      <c r="K2706" s="399"/>
      <c r="L2706" s="408"/>
      <c r="M2706" s="65">
        <v>17737273</v>
      </c>
      <c r="N2706" s="309" t="s">
        <v>99</v>
      </c>
      <c r="O2706" s="66" t="s">
        <v>61</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customHeight="1">
      <c r="A2707" s="323" t="str">
        <f>IF(B2707&lt;&gt;"",IF(AND(B2707='IN-TC'!$S$4,OR(TH!N2702="1111",TH!O2702="1111")),TH!D2702,""),"")</f>
        <v/>
      </c>
      <c r="B2707" s="63">
        <f t="shared" si="181"/>
        <v>3</v>
      </c>
      <c r="C2707" s="306">
        <v>42439</v>
      </c>
      <c r="D2707" s="306" t="s">
        <v>876</v>
      </c>
      <c r="E2707" s="306">
        <v>42439</v>
      </c>
      <c r="F2707" s="72" t="s">
        <v>1106</v>
      </c>
      <c r="G2707" s="935" t="s">
        <v>1107</v>
      </c>
      <c r="H2707" s="308" t="s">
        <v>1108</v>
      </c>
      <c r="I2707" s="408"/>
      <c r="J2707" s="408"/>
      <c r="K2707" s="399"/>
      <c r="L2707" s="408"/>
      <c r="M2707" s="65">
        <v>1773727</v>
      </c>
      <c r="N2707" s="309" t="s">
        <v>9</v>
      </c>
      <c r="O2707" s="66" t="s">
        <v>61</v>
      </c>
      <c r="P2707" s="82" t="str">
        <f>IF(AND('331-CT'!$E$7=TH!H2707,OR(N2707="331",O2707="331")),"x","")</f>
        <v/>
      </c>
      <c r="Q2707" s="82" t="str">
        <f>IF(AND(B2707='111'!$L$11,OR($N2707=$Q$7,$O2707=$Q$7)),"x","")</f>
        <v/>
      </c>
      <c r="R2707" s="82" t="str">
        <f>IF(AND($N2707=$Q$7,$B2707&lt;'111'!$L$11),"x","")</f>
        <v/>
      </c>
      <c r="S2707" s="82" t="str">
        <f>IF(AND($O2707=$Q$7,$B2707&lt;'111'!$L$11),"x","")</f>
        <v>x</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x</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customHeight="1">
      <c r="A2708" s="323" t="str">
        <f>IF(B2708&lt;&gt;"",IF(AND(B2708='IN-TC'!$S$4,OR(TH!N2703="1111",TH!O2703="1111")),TH!D2703,""),"")</f>
        <v/>
      </c>
      <c r="B2708" s="63">
        <f t="shared" si="181"/>
        <v>3</v>
      </c>
      <c r="C2708" s="306">
        <v>42439</v>
      </c>
      <c r="D2708" s="306" t="s">
        <v>877</v>
      </c>
      <c r="E2708" s="306">
        <v>42439</v>
      </c>
      <c r="F2708" s="72" t="s">
        <v>1109</v>
      </c>
      <c r="G2708" s="935" t="s">
        <v>1110</v>
      </c>
      <c r="H2708" s="308" t="s">
        <v>1111</v>
      </c>
      <c r="I2708" s="408"/>
      <c r="J2708" s="408"/>
      <c r="K2708" s="399"/>
      <c r="L2708" s="408"/>
      <c r="M2708" s="65">
        <v>2650000</v>
      </c>
      <c r="N2708" s="309" t="s">
        <v>99</v>
      </c>
      <c r="O2708" s="66" t="s">
        <v>61</v>
      </c>
      <c r="P2708" s="82" t="str">
        <f>IF(AND('331-CT'!$E$7=TH!H2708,OR(N2708="331",O2708="331")),"x","")</f>
        <v/>
      </c>
      <c r="Q2708" s="82" t="str">
        <f>IF(AND(B2708='111'!$L$11,OR($N2708=$Q$7,$O2708=$Q$7)),"x","")</f>
        <v/>
      </c>
      <c r="R2708" s="82" t="str">
        <f>IF(AND($N2708=$Q$7,$B2708&lt;'111'!$L$11),"x","")</f>
        <v/>
      </c>
      <c r="S2708" s="82" t="str">
        <f>IF(AND($O2708=$Q$7,$B2708&lt;'111'!$L$11),"x","")</f>
        <v>x</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customHeight="1">
      <c r="A2709" s="323" t="str">
        <f>IF(B2709&lt;&gt;"",IF(AND(B2709='IN-TC'!$S$4,OR(TH!N2704="1111",TH!O2704="1111")),TH!D2704,""),"")</f>
        <v/>
      </c>
      <c r="B2709" s="63">
        <f t="shared" si="181"/>
        <v>3</v>
      </c>
      <c r="C2709" s="306">
        <v>42440</v>
      </c>
      <c r="D2709" s="306" t="s">
        <v>878</v>
      </c>
      <c r="E2709" s="306">
        <v>42440</v>
      </c>
      <c r="F2709" s="72" t="s">
        <v>756</v>
      </c>
      <c r="G2709" s="935" t="s">
        <v>1100</v>
      </c>
      <c r="H2709" s="308" t="s">
        <v>1089</v>
      </c>
      <c r="I2709" s="408"/>
      <c r="J2709" s="408"/>
      <c r="K2709" s="399"/>
      <c r="L2709" s="408"/>
      <c r="M2709" s="65">
        <v>513836</v>
      </c>
      <c r="N2709" s="309" t="s">
        <v>99</v>
      </c>
      <c r="O2709" s="66" t="s">
        <v>61</v>
      </c>
      <c r="P2709" s="82" t="str">
        <f>IF(AND('331-CT'!$E$7=TH!H2709,OR(N2709="331",O2709="331")),"x","")</f>
        <v/>
      </c>
      <c r="Q2709" s="82" t="str">
        <f>IF(AND(B2709='111'!$L$11,OR($N2709=$Q$7,$O2709=$Q$7)),"x","")</f>
        <v/>
      </c>
      <c r="R2709" s="82" t="str">
        <f>IF(AND($N2709=$Q$7,$B2709&lt;'111'!$L$11),"x","")</f>
        <v/>
      </c>
      <c r="S2709" s="82" t="str">
        <f>IF(AND($O2709=$Q$7,$B2709&lt;'111'!$L$11),"x","")</f>
        <v>x</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customHeight="1">
      <c r="A2710" s="323" t="str">
        <f>IF(B2710&lt;&gt;"",IF(AND(B2710='IN-TC'!$S$4,OR(TH!N2705="1111",TH!O2705="1111")),TH!D2705,""),"")</f>
        <v/>
      </c>
      <c r="B2710" s="63">
        <f t="shared" si="181"/>
        <v>3</v>
      </c>
      <c r="C2710" s="306">
        <v>42440</v>
      </c>
      <c r="D2710" s="306" t="s">
        <v>878</v>
      </c>
      <c r="E2710" s="306">
        <v>42440</v>
      </c>
      <c r="F2710" s="72" t="s">
        <v>757</v>
      </c>
      <c r="G2710" s="935" t="s">
        <v>1100</v>
      </c>
      <c r="H2710" s="308" t="s">
        <v>1089</v>
      </c>
      <c r="I2710" s="408"/>
      <c r="J2710" s="408"/>
      <c r="K2710" s="399"/>
      <c r="L2710" s="408"/>
      <c r="M2710" s="65">
        <v>51384</v>
      </c>
      <c r="N2710" s="309" t="s">
        <v>9</v>
      </c>
      <c r="O2710" s="66" t="s">
        <v>61</v>
      </c>
      <c r="P2710" s="82" t="str">
        <f>IF(AND('331-CT'!$E$7=TH!H2710,OR(N2710="331",O2710="331")),"x","")</f>
        <v/>
      </c>
      <c r="Q2710" s="82" t="str">
        <f>IF(AND(B2710='111'!$L$11,OR($N2710=$Q$7,$O2710=$Q$7)),"x","")</f>
        <v/>
      </c>
      <c r="R2710" s="82" t="str">
        <f>IF(AND($N2710=$Q$7,$B2710&lt;'111'!$L$11),"x","")</f>
        <v/>
      </c>
      <c r="S2710" s="82" t="str">
        <f>IF(AND($O2710=$Q$7,$B2710&lt;'111'!$L$11),"x","")</f>
        <v>x</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x</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customHeight="1">
      <c r="A2711" s="323" t="str">
        <f>IF(B2711&lt;&gt;"",IF(AND(B2711='IN-TC'!$S$4,OR(TH!N2706="1111",TH!O2706="1111")),TH!D2706,""),"")</f>
        <v/>
      </c>
      <c r="B2711" s="63">
        <f t="shared" si="181"/>
        <v>3</v>
      </c>
      <c r="C2711" s="306">
        <v>42441</v>
      </c>
      <c r="D2711" s="306" t="s">
        <v>879</v>
      </c>
      <c r="E2711" s="306">
        <v>42441</v>
      </c>
      <c r="F2711" s="72" t="s">
        <v>1101</v>
      </c>
      <c r="G2711" s="935" t="s">
        <v>1103</v>
      </c>
      <c r="H2711" s="308" t="s">
        <v>1104</v>
      </c>
      <c r="I2711" s="408"/>
      <c r="J2711" s="408"/>
      <c r="K2711" s="399"/>
      <c r="L2711" s="408"/>
      <c r="M2711" s="65">
        <v>2000000</v>
      </c>
      <c r="N2711" s="309" t="s">
        <v>99</v>
      </c>
      <c r="O2711" s="66" t="s">
        <v>61</v>
      </c>
      <c r="P2711" s="82" t="str">
        <f>IF(AND('331-CT'!$E$7=TH!H2711,OR(N2711="331",O2711="331")),"x","")</f>
        <v/>
      </c>
      <c r="Q2711" s="82" t="str">
        <f>IF(AND(B2711='111'!$L$11,OR($N2711=$Q$7,$O2711=$Q$7)),"x","")</f>
        <v/>
      </c>
      <c r="R2711" s="82" t="str">
        <f>IF(AND($N2711=$Q$7,$B2711&lt;'111'!$L$11),"x","")</f>
        <v/>
      </c>
      <c r="S2711" s="82" t="str">
        <f>IF(AND($O2711=$Q$7,$B2711&lt;'111'!$L$11),"x","")</f>
        <v>x</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customHeight="1">
      <c r="A2712" s="323" t="str">
        <f>IF(B2712&lt;&gt;"",IF(AND(B2712='IN-TC'!$S$4,OR(TH!N2707="1111",TH!O2707="1111")),TH!D2707,""),"")</f>
        <v/>
      </c>
      <c r="B2712" s="63">
        <f t="shared" si="181"/>
        <v>3</v>
      </c>
      <c r="C2712" s="306">
        <v>42441</v>
      </c>
      <c r="D2712" s="306" t="s">
        <v>879</v>
      </c>
      <c r="E2712" s="306">
        <v>42441</v>
      </c>
      <c r="F2712" s="72" t="s">
        <v>1102</v>
      </c>
      <c r="G2712" s="935" t="s">
        <v>1103</v>
      </c>
      <c r="H2712" s="308" t="s">
        <v>1104</v>
      </c>
      <c r="I2712" s="408"/>
      <c r="J2712" s="408"/>
      <c r="K2712" s="399"/>
      <c r="L2712" s="408"/>
      <c r="M2712" s="65">
        <v>200000</v>
      </c>
      <c r="N2712" s="309" t="s">
        <v>9</v>
      </c>
      <c r="O2712" s="66" t="s">
        <v>61</v>
      </c>
      <c r="P2712" s="82" t="str">
        <f>IF(AND('331-CT'!$E$7=TH!H2712,OR(N2712="331",O2712="331")),"x","")</f>
        <v/>
      </c>
      <c r="Q2712" s="82" t="str">
        <f>IF(AND(B2712='111'!$L$11,OR($N2712=$Q$7,$O2712=$Q$7)),"x","")</f>
        <v/>
      </c>
      <c r="R2712" s="82" t="str">
        <f>IF(AND($N2712=$Q$7,$B2712&lt;'111'!$L$11),"x","")</f>
        <v/>
      </c>
      <c r="S2712" s="82" t="str">
        <f>IF(AND($O2712=$Q$7,$B2712&lt;'111'!$L$11),"x","")</f>
        <v>x</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x</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customHeight="1">
      <c r="A2713" s="323" t="str">
        <f>IF(B2713&lt;&gt;"",IF(AND(B2713='IN-TC'!$S$4,OR(TH!N2708="1111",TH!O2708="1111")),TH!D2708,""),"")</f>
        <v/>
      </c>
      <c r="B2713" s="63">
        <f t="shared" si="181"/>
        <v>3</v>
      </c>
      <c r="C2713" s="306">
        <v>42441</v>
      </c>
      <c r="D2713" s="306" t="s">
        <v>880</v>
      </c>
      <c r="E2713" s="306">
        <v>42441</v>
      </c>
      <c r="F2713" s="72" t="s">
        <v>761</v>
      </c>
      <c r="G2713" s="935" t="s">
        <v>1105</v>
      </c>
      <c r="H2713" s="308" t="s">
        <v>1089</v>
      </c>
      <c r="I2713" s="408"/>
      <c r="J2713" s="408"/>
      <c r="K2713" s="399"/>
      <c r="L2713" s="408"/>
      <c r="M2713" s="65">
        <v>643682</v>
      </c>
      <c r="N2713" s="309" t="s">
        <v>99</v>
      </c>
      <c r="O2713" s="66" t="s">
        <v>61</v>
      </c>
      <c r="P2713" s="82" t="str">
        <f>IF(AND('331-CT'!$E$7=TH!H2713,OR(N2713="331",O2713="331")),"x","")</f>
        <v/>
      </c>
      <c r="Q2713" s="82" t="str">
        <f>IF(AND(B2713='111'!$L$11,OR($N2713=$Q$7,$O2713=$Q$7)),"x","")</f>
        <v/>
      </c>
      <c r="R2713" s="82" t="str">
        <f>IF(AND($N2713=$Q$7,$B2713&lt;'111'!$L$11),"x","")</f>
        <v/>
      </c>
      <c r="S2713" s="82" t="str">
        <f>IF(AND($O2713=$Q$7,$B2713&lt;'111'!$L$11),"x","")</f>
        <v>x</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customHeight="1">
      <c r="A2714" s="323" t="str">
        <f>IF(B2714&lt;&gt;"",IF(AND(B2714='IN-TC'!$S$4,OR(TH!N2709="1111",TH!O2709="1111")),TH!D2709,""),"")</f>
        <v/>
      </c>
      <c r="B2714" s="63">
        <f t="shared" si="181"/>
        <v>3</v>
      </c>
      <c r="C2714" s="306">
        <v>42441</v>
      </c>
      <c r="D2714" s="306" t="s">
        <v>880</v>
      </c>
      <c r="E2714" s="306">
        <v>42441</v>
      </c>
      <c r="F2714" s="72" t="s">
        <v>762</v>
      </c>
      <c r="G2714" s="935" t="s">
        <v>1105</v>
      </c>
      <c r="H2714" s="308" t="s">
        <v>1089</v>
      </c>
      <c r="I2714" s="408"/>
      <c r="J2714" s="408"/>
      <c r="K2714" s="399"/>
      <c r="L2714" s="408"/>
      <c r="M2714" s="65">
        <v>64368</v>
      </c>
      <c r="N2714" s="309" t="s">
        <v>9</v>
      </c>
      <c r="O2714" s="66" t="s">
        <v>61</v>
      </c>
      <c r="P2714" s="82" t="str">
        <f>IF(AND('331-CT'!$E$7=TH!H2714,OR(N2714="331",O2714="331")),"x","")</f>
        <v/>
      </c>
      <c r="Q2714" s="82" t="str">
        <f>IF(AND(B2714='111'!$L$11,OR($N2714=$Q$7,$O2714=$Q$7)),"x","")</f>
        <v/>
      </c>
      <c r="R2714" s="82" t="str">
        <f>IF(AND($N2714=$Q$7,$B2714&lt;'111'!$L$11),"x","")</f>
        <v/>
      </c>
      <c r="S2714" s="82" t="str">
        <f>IF(AND($O2714=$Q$7,$B2714&lt;'111'!$L$11),"x","")</f>
        <v>x</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x</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customHeight="1">
      <c r="A2715" s="323" t="str">
        <f>IF(B2715&lt;&gt;"",IF(AND(B2715='IN-TC'!$S$4,OR(TH!N2710="1111",TH!O2710="1111")),TH!D2710,""),"")</f>
        <v/>
      </c>
      <c r="B2715" s="63">
        <f t="shared" si="181"/>
        <v>3</v>
      </c>
      <c r="C2715" s="306">
        <v>42443</v>
      </c>
      <c r="D2715" s="306" t="s">
        <v>881</v>
      </c>
      <c r="E2715" s="306">
        <v>42443</v>
      </c>
      <c r="F2715" s="72" t="s">
        <v>1112</v>
      </c>
      <c r="G2715" s="935" t="s">
        <v>1114</v>
      </c>
      <c r="H2715" s="308" t="s">
        <v>1115</v>
      </c>
      <c r="I2715" s="408"/>
      <c r="J2715" s="408"/>
      <c r="K2715" s="399"/>
      <c r="L2715" s="408"/>
      <c r="M2715" s="65">
        <v>1413000</v>
      </c>
      <c r="N2715" s="309" t="s">
        <v>99</v>
      </c>
      <c r="O2715" s="66" t="s">
        <v>61</v>
      </c>
      <c r="P2715" s="82" t="str">
        <f>IF(AND('331-CT'!$E$7=TH!H2715,OR(N2715="331",O2715="331")),"x","")</f>
        <v/>
      </c>
      <c r="Q2715" s="82" t="str">
        <f>IF(AND(B2715='111'!$L$11,OR($N2715=$Q$7,$O2715=$Q$7)),"x","")</f>
        <v/>
      </c>
      <c r="R2715" s="82" t="str">
        <f>IF(AND($N2715=$Q$7,$B2715&lt;'111'!$L$11),"x","")</f>
        <v/>
      </c>
      <c r="S2715" s="82" t="str">
        <f>IF(AND($O2715=$Q$7,$B2715&lt;'111'!$L$11),"x","")</f>
        <v>x</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customHeight="1">
      <c r="A2716" s="323" t="str">
        <f>IF(B2716&lt;&gt;"",IF(AND(B2716='IN-TC'!$S$4,OR(TH!N2711="1111",TH!O2711="1111")),TH!D2711,""),"")</f>
        <v/>
      </c>
      <c r="B2716" s="63">
        <f t="shared" si="181"/>
        <v>3</v>
      </c>
      <c r="C2716" s="64">
        <v>42443</v>
      </c>
      <c r="D2716" s="306" t="s">
        <v>881</v>
      </c>
      <c r="E2716" s="64">
        <v>42443</v>
      </c>
      <c r="F2716" s="72" t="s">
        <v>1113</v>
      </c>
      <c r="G2716" s="935" t="s">
        <v>1114</v>
      </c>
      <c r="H2716" s="72" t="s">
        <v>1115</v>
      </c>
      <c r="I2716" s="408"/>
      <c r="J2716" s="408"/>
      <c r="K2716" s="399"/>
      <c r="L2716" s="408"/>
      <c r="M2716" s="65">
        <v>141300</v>
      </c>
      <c r="N2716" s="66" t="s">
        <v>9</v>
      </c>
      <c r="O2716" s="66" t="s">
        <v>61</v>
      </c>
      <c r="P2716" s="82" t="str">
        <f>IF(AND('331-CT'!$E$7=TH!H2716,OR(N2716="331",O2716="331")),"x","")</f>
        <v/>
      </c>
      <c r="Q2716" s="82" t="str">
        <f>IF(AND(B2716='111'!$L$11,OR($N2716=$Q$7,$O2716=$Q$7)),"x","")</f>
        <v/>
      </c>
      <c r="R2716" s="82" t="str">
        <f>IF(AND($N2716=$Q$7,$B2716&lt;'111'!$L$11),"x","")</f>
        <v/>
      </c>
      <c r="S2716" s="82" t="str">
        <f>IF(AND($O2716=$Q$7,$B2716&lt;'111'!$L$11),"x","")</f>
        <v>x</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x</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customHeight="1">
      <c r="A2717" s="323" t="str">
        <f>IF(B2717&lt;&gt;"",IF(AND(B2717='IN-TC'!$S$4,OR(TH!N2712="1111",TH!O2712="1111")),TH!D2712,""),"")</f>
        <v/>
      </c>
      <c r="B2717" s="63">
        <f t="shared" si="181"/>
        <v>3</v>
      </c>
      <c r="C2717" s="64">
        <v>42443</v>
      </c>
      <c r="D2717" s="306" t="s">
        <v>882</v>
      </c>
      <c r="E2717" s="64">
        <v>42443</v>
      </c>
      <c r="F2717" s="72" t="s">
        <v>1356</v>
      </c>
      <c r="G2717" s="935" t="s">
        <v>1358</v>
      </c>
      <c r="H2717" s="72" t="s">
        <v>1359</v>
      </c>
      <c r="I2717" s="408"/>
      <c r="J2717" s="408"/>
      <c r="K2717" s="399"/>
      <c r="L2717" s="408"/>
      <c r="M2717" s="65">
        <v>800000</v>
      </c>
      <c r="N2717" s="66" t="s">
        <v>99</v>
      </c>
      <c r="O2717" s="66" t="s">
        <v>61</v>
      </c>
      <c r="P2717" s="82" t="str">
        <f>IF(AND('331-CT'!$E$7=TH!H2717,OR(N2717="331",O2717="331")),"x","")</f>
        <v/>
      </c>
      <c r="Q2717" s="82" t="str">
        <f>IF(AND(B2717='111'!$L$11,OR($N2717=$Q$7,$O2717=$Q$7)),"x","")</f>
        <v/>
      </c>
      <c r="R2717" s="82" t="str">
        <f>IF(AND($N2717=$Q$7,$B2717&lt;'111'!$L$11),"x","")</f>
        <v/>
      </c>
      <c r="S2717" s="82" t="str">
        <f>IF(AND($O2717=$Q$7,$B2717&lt;'111'!$L$11),"x","")</f>
        <v>x</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customHeight="1">
      <c r="A2718" s="323" t="str">
        <f>IF(B2718&lt;&gt;"",IF(AND(B2718='IN-TC'!$S$4,OR(TH!N2713="1111",TH!O2713="1111")),TH!D2713,""),"")</f>
        <v/>
      </c>
      <c r="B2718" s="63">
        <f t="shared" si="181"/>
        <v>3</v>
      </c>
      <c r="C2718" s="64">
        <v>42443</v>
      </c>
      <c r="D2718" s="306" t="s">
        <v>882</v>
      </c>
      <c r="E2718" s="64">
        <v>42443</v>
      </c>
      <c r="F2718" s="72" t="s">
        <v>1357</v>
      </c>
      <c r="G2718" s="935" t="s">
        <v>1358</v>
      </c>
      <c r="H2718" s="72" t="s">
        <v>1359</v>
      </c>
      <c r="I2718" s="408"/>
      <c r="J2718" s="408"/>
      <c r="K2718" s="399"/>
      <c r="L2718" s="408"/>
      <c r="M2718" s="65">
        <v>80000</v>
      </c>
      <c r="N2718" s="66" t="s">
        <v>9</v>
      </c>
      <c r="O2718" s="66" t="s">
        <v>61</v>
      </c>
      <c r="P2718" s="82" t="str">
        <f>IF(AND('331-CT'!$E$7=TH!H2718,OR(N2718="331",O2718="331")),"x","")</f>
        <v/>
      </c>
      <c r="Q2718" s="82" t="str">
        <f>IF(AND(B2718='111'!$L$11,OR($N2718=$Q$7,$O2718=$Q$7)),"x","")</f>
        <v/>
      </c>
      <c r="R2718" s="82" t="str">
        <f>IF(AND($N2718=$Q$7,$B2718&lt;'111'!$L$11),"x","")</f>
        <v/>
      </c>
      <c r="S2718" s="82" t="str">
        <f>IF(AND($O2718=$Q$7,$B2718&lt;'111'!$L$11),"x","")</f>
        <v>x</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x</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customHeight="1">
      <c r="A2719" s="323" t="str">
        <f>IF(B2719&lt;&gt;"",IF(AND(B2719='IN-TC'!$S$4,OR(TH!N2714="1111",TH!O2714="1111")),TH!D2714,""),"")</f>
        <v/>
      </c>
      <c r="B2719" s="63">
        <f t="shared" si="181"/>
        <v>3</v>
      </c>
      <c r="C2719" s="64">
        <v>42443</v>
      </c>
      <c r="D2719" s="306" t="s">
        <v>883</v>
      </c>
      <c r="E2719" s="64">
        <v>42443</v>
      </c>
      <c r="F2719" s="72" t="s">
        <v>754</v>
      </c>
      <c r="G2719" s="935" t="s">
        <v>1360</v>
      </c>
      <c r="H2719" s="72" t="s">
        <v>790</v>
      </c>
      <c r="I2719" s="408"/>
      <c r="J2719" s="408"/>
      <c r="K2719" s="399"/>
      <c r="L2719" s="408"/>
      <c r="M2719" s="65">
        <v>7900000</v>
      </c>
      <c r="N2719" s="66" t="s">
        <v>99</v>
      </c>
      <c r="O2719" s="66" t="s">
        <v>61</v>
      </c>
      <c r="P2719" s="82" t="str">
        <f>IF(AND('331-CT'!$E$7=TH!H2719,OR(N2719="331",O2719="331")),"x","")</f>
        <v/>
      </c>
      <c r="Q2719" s="82" t="str">
        <f>IF(AND(B2719='111'!$L$11,OR($N2719=$Q$7,$O2719=$Q$7)),"x","")</f>
        <v/>
      </c>
      <c r="R2719" s="82" t="str">
        <f>IF(AND($N2719=$Q$7,$B2719&lt;'111'!$L$11),"x","")</f>
        <v/>
      </c>
      <c r="S2719" s="82" t="str">
        <f>IF(AND($O2719=$Q$7,$B2719&lt;'111'!$L$11),"x","")</f>
        <v>x</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customHeight="1">
      <c r="A2720" s="323" t="str">
        <f>IF(B2720&lt;&gt;"",IF(AND(B2720='IN-TC'!$S$4,OR(TH!N2715="1111",TH!O2715="1111")),TH!D2715,""),"")</f>
        <v/>
      </c>
      <c r="B2720" s="63">
        <f t="shared" si="181"/>
        <v>3</v>
      </c>
      <c r="C2720" s="64">
        <v>42443</v>
      </c>
      <c r="D2720" s="306" t="s">
        <v>883</v>
      </c>
      <c r="E2720" s="64">
        <v>42443</v>
      </c>
      <c r="F2720" s="72" t="s">
        <v>755</v>
      </c>
      <c r="G2720" s="935" t="s">
        <v>1360</v>
      </c>
      <c r="H2720" s="72" t="s">
        <v>790</v>
      </c>
      <c r="I2720" s="408"/>
      <c r="J2720" s="408"/>
      <c r="K2720" s="399"/>
      <c r="L2720" s="408"/>
      <c r="M2720" s="65">
        <v>790000</v>
      </c>
      <c r="N2720" s="66" t="s">
        <v>9</v>
      </c>
      <c r="O2720" s="66" t="s">
        <v>61</v>
      </c>
      <c r="P2720" s="82" t="str">
        <f>IF(AND('331-CT'!$E$7=TH!H2720,OR(N2720="331",O2720="331")),"x","")</f>
        <v/>
      </c>
      <c r="Q2720" s="82" t="str">
        <f>IF(AND(B2720='111'!$L$11,OR($N2720=$Q$7,$O2720=$Q$7)),"x","")</f>
        <v/>
      </c>
      <c r="R2720" s="82" t="str">
        <f>IF(AND($N2720=$Q$7,$B2720&lt;'111'!$L$11),"x","")</f>
        <v/>
      </c>
      <c r="S2720" s="82" t="str">
        <f>IF(AND($O2720=$Q$7,$B2720&lt;'111'!$L$11),"x","")</f>
        <v>x</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x</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customHeight="1">
      <c r="A2721" s="323" t="str">
        <f>IF(B2721&lt;&gt;"",IF(AND(B2721='IN-TC'!$S$4,OR(TH!N2718="1111",TH!O2718="1111")),TH!D2718,""),"")</f>
        <v/>
      </c>
      <c r="B2721" s="63">
        <f t="shared" si="181"/>
        <v>3</v>
      </c>
      <c r="C2721" s="64">
        <v>42443</v>
      </c>
      <c r="D2721" s="306" t="s">
        <v>884</v>
      </c>
      <c r="E2721" s="64">
        <v>42443</v>
      </c>
      <c r="F2721" s="72" t="s">
        <v>750</v>
      </c>
      <c r="G2721" s="935" t="s">
        <v>1361</v>
      </c>
      <c r="H2721" s="72" t="s">
        <v>1018</v>
      </c>
      <c r="I2721" s="408"/>
      <c r="J2721" s="408"/>
      <c r="K2721" s="399"/>
      <c r="L2721" s="408"/>
      <c r="M2721" s="65">
        <v>1318180</v>
      </c>
      <c r="N2721" s="66" t="s">
        <v>99</v>
      </c>
      <c r="O2721" s="66" t="s">
        <v>61</v>
      </c>
      <c r="P2721" s="82" t="str">
        <f>IF(AND('331-CT'!$E$7=TH!H2721,OR(N2721="331",O2721="331")),"x","")</f>
        <v/>
      </c>
      <c r="Q2721" s="82" t="str">
        <f>IF(AND(B2721='111'!$L$11,OR($N2721=$Q$7,$O2721=$Q$7)),"x","")</f>
        <v/>
      </c>
      <c r="R2721" s="82" t="str">
        <f>IF(AND($N2721=$Q$7,$B2721&lt;'111'!$L$11),"x","")</f>
        <v/>
      </c>
      <c r="S2721" s="82" t="str">
        <f>IF(AND($O2721=$Q$7,$B2721&lt;'111'!$L$11),"x","")</f>
        <v>x</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customHeight="1">
      <c r="A2722" s="323" t="str">
        <f>IF(B2722&lt;&gt;"",IF(AND(B2722='IN-TC'!$S$4,OR(TH!N2756="1111",TH!O2756="1111")),TH!D2756,""),"")</f>
        <v/>
      </c>
      <c r="B2722" s="63">
        <f t="shared" si="181"/>
        <v>3</v>
      </c>
      <c r="C2722" s="64">
        <v>42443</v>
      </c>
      <c r="D2722" s="306" t="s">
        <v>884</v>
      </c>
      <c r="E2722" s="64">
        <v>42443</v>
      </c>
      <c r="F2722" s="72" t="s">
        <v>751</v>
      </c>
      <c r="G2722" s="935" t="s">
        <v>1361</v>
      </c>
      <c r="H2722" s="72" t="s">
        <v>1018</v>
      </c>
      <c r="I2722" s="408"/>
      <c r="J2722" s="408"/>
      <c r="K2722" s="399"/>
      <c r="L2722" s="408"/>
      <c r="M2722" s="65">
        <v>131820</v>
      </c>
      <c r="N2722" s="66" t="s">
        <v>9</v>
      </c>
      <c r="O2722" s="66" t="s">
        <v>61</v>
      </c>
      <c r="P2722" s="82" t="str">
        <f>IF(AND('331-CT'!$E$7=TH!H2722,OR(N2722="331",O2722="331")),"x","")</f>
        <v/>
      </c>
      <c r="Q2722" s="82" t="str">
        <f>IF(AND(B2722='111'!$L$11,OR($N2722=$Q$7,$O2722=$Q$7)),"x","")</f>
        <v/>
      </c>
      <c r="R2722" s="82" t="str">
        <f>IF(AND($N2722=$Q$7,$B2722&lt;'111'!$L$11),"x","")</f>
        <v/>
      </c>
      <c r="S2722" s="82" t="str">
        <f>IF(AND($O2722=$Q$7,$B2722&lt;'111'!$L$11),"x","")</f>
        <v>x</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x</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customHeight="1">
      <c r="A2723" s="323" t="str">
        <f>IF(B2723&lt;&gt;"",IF(AND(B2723='IN-TC'!$S$4,OR(TH!N2757="1111",TH!O2757="1111")),TH!D2757,""),"")</f>
        <v/>
      </c>
      <c r="B2723" s="63">
        <f t="shared" si="181"/>
        <v>3</v>
      </c>
      <c r="C2723" s="1092">
        <v>42443</v>
      </c>
      <c r="D2723" s="1092" t="s">
        <v>885</v>
      </c>
      <c r="E2723" s="1092">
        <f>C2723</f>
        <v>42443</v>
      </c>
      <c r="F2723" s="482" t="s">
        <v>947</v>
      </c>
      <c r="G2723" s="1094"/>
      <c r="H2723" s="1093" t="s">
        <v>3001</v>
      </c>
      <c r="I2723" s="1095"/>
      <c r="J2723" s="1095"/>
      <c r="K2723" s="1096"/>
      <c r="L2723" s="1095"/>
      <c r="M2723" s="1097">
        <v>500000000</v>
      </c>
      <c r="N2723" s="1098" t="s">
        <v>266</v>
      </c>
      <c r="O2723" s="1098" t="s">
        <v>61</v>
      </c>
      <c r="P2723" s="82" t="str">
        <f>IF(AND('331-CT'!$E$7=TH!H2723,OR(N2723="331",O2723="331")),"x","")</f>
        <v/>
      </c>
      <c r="Q2723" s="82" t="str">
        <f>IF(AND(B2723='111'!$L$11,OR($N2723=$Q$7,$O2723=$Q$7)),"x","")</f>
        <v/>
      </c>
      <c r="R2723" s="82" t="str">
        <f>IF(AND($N2723=$Q$7,$B2723&lt;'111'!$L$11),"x","")</f>
        <v/>
      </c>
      <c r="S2723" s="82" t="str">
        <f>IF(AND($O2723=$Q$7,$B2723&lt;'111'!$L$11),"x","")</f>
        <v>x</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customHeight="1">
      <c r="A2724" s="323" t="str">
        <f>IF(B2724&lt;&gt;"",IF(AND(B2724='IN-TC'!$S$4,OR(TH!N2716="1111",TH!O2716="1111")),TH!D2716,""),"")</f>
        <v/>
      </c>
      <c r="B2724" s="63">
        <f t="shared" si="181"/>
        <v>3</v>
      </c>
      <c r="C2724" s="64">
        <v>42443</v>
      </c>
      <c r="D2724" s="306" t="s">
        <v>690</v>
      </c>
      <c r="E2724" s="64">
        <v>42443</v>
      </c>
      <c r="F2724" s="72" t="s">
        <v>1179</v>
      </c>
      <c r="G2724" s="935" t="s">
        <v>901</v>
      </c>
      <c r="H2724" s="72"/>
      <c r="I2724" s="408"/>
      <c r="J2724" s="408"/>
      <c r="K2724" s="399"/>
      <c r="L2724" s="408"/>
      <c r="M2724" s="65">
        <v>25000</v>
      </c>
      <c r="N2724" s="66" t="s">
        <v>99</v>
      </c>
      <c r="O2724" s="66" t="s">
        <v>25</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customHeight="1">
      <c r="A2725" s="323" t="str">
        <f>IF(B2725&lt;&gt;"",IF(AND(B2725='IN-TC'!$S$4,OR(TH!N2717="1111",TH!O2717="1111")),TH!D2717,""),"")</f>
        <v/>
      </c>
      <c r="B2725" s="63">
        <f t="shared" si="181"/>
        <v>3</v>
      </c>
      <c r="C2725" s="306">
        <v>42443</v>
      </c>
      <c r="D2725" s="306" t="s">
        <v>690</v>
      </c>
      <c r="E2725" s="306">
        <v>42443</v>
      </c>
      <c r="F2725" s="72" t="s">
        <v>1180</v>
      </c>
      <c r="G2725" s="307" t="s">
        <v>901</v>
      </c>
      <c r="H2725" s="308"/>
      <c r="I2725" s="408"/>
      <c r="J2725" s="408"/>
      <c r="K2725" s="399"/>
      <c r="L2725" s="408"/>
      <c r="M2725" s="65">
        <v>2500</v>
      </c>
      <c r="N2725" s="309" t="s">
        <v>9</v>
      </c>
      <c r="O2725" s="66" t="s">
        <v>25</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x</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customHeight="1">
      <c r="A2726" s="323" t="str">
        <f>IF(B2726&lt;&gt;"",IF(AND(B2726='IN-TC'!$S$4,OR(TH!N2719="1111",TH!O2719="1111")),TH!D2719,""),"")</f>
        <v/>
      </c>
      <c r="B2726" s="63">
        <f t="shared" si="181"/>
        <v>3</v>
      </c>
      <c r="C2726" s="306">
        <v>42444</v>
      </c>
      <c r="D2726" s="64" t="s">
        <v>687</v>
      </c>
      <c r="E2726" s="306">
        <v>42444</v>
      </c>
      <c r="F2726" s="72" t="s">
        <v>1171</v>
      </c>
      <c r="G2726" s="935" t="s">
        <v>901</v>
      </c>
      <c r="H2726" s="308" t="s">
        <v>587</v>
      </c>
      <c r="I2726" s="408"/>
      <c r="J2726" s="408"/>
      <c r="K2726" s="399">
        <v>100100</v>
      </c>
      <c r="L2726" s="408">
        <v>22295</v>
      </c>
      <c r="M2726" s="65">
        <v>2231729500</v>
      </c>
      <c r="N2726" s="309" t="s">
        <v>260</v>
      </c>
      <c r="O2726" s="66" t="s">
        <v>576</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customHeight="1">
      <c r="A2727" s="323" t="str">
        <f>IF(B2727&lt;&gt;"",IF(AND(B2727='IN-TC'!$S$4,OR(TH!N2720="1111",TH!O2720="1111")),TH!D2720,""),"")</f>
        <v/>
      </c>
      <c r="B2727" s="63">
        <f t="shared" si="181"/>
        <v>3</v>
      </c>
      <c r="C2727" s="306">
        <v>42444</v>
      </c>
      <c r="D2727" s="64" t="s">
        <v>690</v>
      </c>
      <c r="E2727" s="306">
        <v>42444</v>
      </c>
      <c r="F2727" s="72" t="s">
        <v>1425</v>
      </c>
      <c r="G2727" s="935" t="s">
        <v>901</v>
      </c>
      <c r="H2727" s="308"/>
      <c r="I2727" s="408"/>
      <c r="J2727" s="408"/>
      <c r="K2727" s="399">
        <v>100000</v>
      </c>
      <c r="L2727" s="408">
        <v>22295</v>
      </c>
      <c r="M2727" s="65">
        <v>2229500000</v>
      </c>
      <c r="N2727" s="66" t="s">
        <v>25</v>
      </c>
      <c r="O2727" s="66" t="s">
        <v>260</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customHeight="1">
      <c r="A2728" s="323" t="str">
        <f>IF(B2728&lt;&gt;"",IF(AND(B2728='IN-TC'!$S$4,OR(TH!N2721="1111",TH!O2721="1111")),TH!D2721,""),"")</f>
        <v/>
      </c>
      <c r="B2728" s="63">
        <f t="shared" si="181"/>
        <v>3</v>
      </c>
      <c r="C2728" s="306">
        <v>42444</v>
      </c>
      <c r="D2728" s="64" t="s">
        <v>690</v>
      </c>
      <c r="E2728" s="306">
        <v>42444</v>
      </c>
      <c r="F2728" s="72" t="s">
        <v>1172</v>
      </c>
      <c r="G2728" s="935" t="s">
        <v>901</v>
      </c>
      <c r="H2728" s="308"/>
      <c r="I2728" s="408"/>
      <c r="J2728" s="408"/>
      <c r="K2728" s="399">
        <v>15</v>
      </c>
      <c r="L2728" s="408">
        <v>22295</v>
      </c>
      <c r="M2728" s="65">
        <v>334425</v>
      </c>
      <c r="N2728" s="309" t="s">
        <v>99</v>
      </c>
      <c r="O2728" s="66" t="s">
        <v>260</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customHeight="1">
      <c r="A2729" s="323" t="str">
        <f>IF(B2729&lt;&gt;"",IF(AND(B2729='IN-TC'!$S$4,OR(TH!N2722="1111",TH!O2722="1111")),TH!D2722,""),"")</f>
        <v/>
      </c>
      <c r="B2729" s="63">
        <f t="shared" si="181"/>
        <v>3</v>
      </c>
      <c r="C2729" s="306">
        <v>42444</v>
      </c>
      <c r="D2729" s="64" t="s">
        <v>690</v>
      </c>
      <c r="E2729" s="306">
        <v>42444</v>
      </c>
      <c r="F2729" s="72" t="s">
        <v>1173</v>
      </c>
      <c r="G2729" s="935" t="s">
        <v>901</v>
      </c>
      <c r="H2729" s="308"/>
      <c r="I2729" s="408"/>
      <c r="J2729" s="408"/>
      <c r="K2729" s="399">
        <v>1.5</v>
      </c>
      <c r="L2729" s="408">
        <v>22295</v>
      </c>
      <c r="M2729" s="65">
        <v>33443</v>
      </c>
      <c r="N2729" s="309" t="s">
        <v>9</v>
      </c>
      <c r="O2729" s="66" t="s">
        <v>260</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x</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customHeight="1">
      <c r="A2730" s="323" t="str">
        <f>IF(B2730&lt;&gt;"",IF(AND(B2730='IN-TC'!$S$4,OR(TH!N2723="1111",TH!O2723="1111")),TH!D2723,""),"")</f>
        <v/>
      </c>
      <c r="B2730" s="63">
        <f t="shared" si="181"/>
        <v>3</v>
      </c>
      <c r="C2730" s="306">
        <v>42444</v>
      </c>
      <c r="D2730" s="64" t="s">
        <v>690</v>
      </c>
      <c r="E2730" s="306">
        <v>42444</v>
      </c>
      <c r="F2730" s="72" t="s">
        <v>599</v>
      </c>
      <c r="G2730" s="935" t="s">
        <v>901</v>
      </c>
      <c r="H2730" s="72"/>
      <c r="I2730" s="408"/>
      <c r="J2730" s="408"/>
      <c r="K2730" s="399">
        <v>10</v>
      </c>
      <c r="L2730" s="408">
        <v>22295</v>
      </c>
      <c r="M2730" s="65">
        <v>222950</v>
      </c>
      <c r="N2730" s="309" t="s">
        <v>99</v>
      </c>
      <c r="O2730" s="66" t="s">
        <v>260</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customHeight="1">
      <c r="A2731" s="323" t="str">
        <f>IF(B2731&lt;&gt;"",IF(AND(B2731='IN-TC'!$S$4,OR(TH!N2724="1111",TH!O2724="1111")),TH!D2724,""),"")</f>
        <v/>
      </c>
      <c r="B2731" s="63">
        <f t="shared" si="181"/>
        <v>3</v>
      </c>
      <c r="C2731" s="306">
        <v>42444</v>
      </c>
      <c r="D2731" s="64" t="s">
        <v>690</v>
      </c>
      <c r="E2731" s="306">
        <v>42444</v>
      </c>
      <c r="F2731" s="72" t="s">
        <v>1174</v>
      </c>
      <c r="G2731" s="935" t="s">
        <v>901</v>
      </c>
      <c r="H2731" s="72"/>
      <c r="I2731" s="408"/>
      <c r="J2731" s="408"/>
      <c r="K2731" s="399">
        <v>1</v>
      </c>
      <c r="L2731" s="408">
        <v>22295</v>
      </c>
      <c r="M2731" s="65">
        <v>22295</v>
      </c>
      <c r="N2731" s="309" t="s">
        <v>9</v>
      </c>
      <c r="O2731" s="66" t="s">
        <v>260</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x</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customHeight="1">
      <c r="A2732" s="323" t="str">
        <f>IF(B2732&lt;&gt;"",IF(AND(B2732='IN-TC'!$S$4,OR(TH!N2725="1111",TH!O2725="1111")),TH!D2725,""),"")</f>
        <v/>
      </c>
      <c r="B2732" s="63">
        <f t="shared" si="181"/>
        <v>3</v>
      </c>
      <c r="C2732" s="306">
        <v>42444</v>
      </c>
      <c r="D2732" s="64" t="s">
        <v>690</v>
      </c>
      <c r="E2732" s="306">
        <v>42444</v>
      </c>
      <c r="F2732" s="72" t="s">
        <v>1175</v>
      </c>
      <c r="G2732" s="935" t="s">
        <v>901</v>
      </c>
      <c r="H2732" s="308"/>
      <c r="I2732" s="408"/>
      <c r="J2732" s="408"/>
      <c r="K2732" s="399">
        <v>31.64</v>
      </c>
      <c r="L2732" s="408">
        <v>22295</v>
      </c>
      <c r="M2732" s="65">
        <v>705414</v>
      </c>
      <c r="N2732" s="309" t="s">
        <v>99</v>
      </c>
      <c r="O2732" s="66" t="s">
        <v>260</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customHeight="1">
      <c r="A2733" s="323" t="str">
        <f>IF(B2733&lt;&gt;"",IF(AND(B2733='IN-TC'!$S$4,OR(TH!N2726="1111",TH!O2726="1111")),TH!D2726,""),"")</f>
        <v/>
      </c>
      <c r="B2733" s="63">
        <f t="shared" si="181"/>
        <v>3</v>
      </c>
      <c r="C2733" s="64">
        <v>42444</v>
      </c>
      <c r="D2733" s="64" t="s">
        <v>690</v>
      </c>
      <c r="E2733" s="64">
        <v>42444</v>
      </c>
      <c r="F2733" s="72" t="s">
        <v>1176</v>
      </c>
      <c r="G2733" s="935" t="s">
        <v>901</v>
      </c>
      <c r="H2733" s="72"/>
      <c r="I2733" s="408"/>
      <c r="J2733" s="408"/>
      <c r="K2733" s="399">
        <v>3.16</v>
      </c>
      <c r="L2733" s="408">
        <v>22295</v>
      </c>
      <c r="M2733" s="65">
        <v>70452</v>
      </c>
      <c r="N2733" s="66" t="s">
        <v>9</v>
      </c>
      <c r="O2733" s="66" t="s">
        <v>260</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x</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customHeight="1">
      <c r="A2734" s="323" t="str">
        <f>IF(B2734&lt;&gt;"",IF(AND(B2734='IN-TC'!$S$4,OR(TH!N2727="1111",TH!O2727="1111")),TH!D2727,""),"")</f>
        <v/>
      </c>
      <c r="B2734" s="63">
        <f t="shared" ref="B2734:B2797" si="182">IF(C2734&lt;&gt;"",MONTH(C2734),"")</f>
        <v>3</v>
      </c>
      <c r="C2734" s="64">
        <v>42444</v>
      </c>
      <c r="D2734" s="306" t="s">
        <v>690</v>
      </c>
      <c r="E2734" s="64">
        <v>42444</v>
      </c>
      <c r="F2734" s="72" t="s">
        <v>1181</v>
      </c>
      <c r="G2734" s="935" t="s">
        <v>903</v>
      </c>
      <c r="H2734" s="72"/>
      <c r="I2734" s="408"/>
      <c r="J2734" s="408"/>
      <c r="K2734" s="399"/>
      <c r="L2734" s="408"/>
      <c r="M2734" s="65">
        <v>310000000</v>
      </c>
      <c r="N2734" s="66" t="s">
        <v>25</v>
      </c>
      <c r="O2734" s="66" t="s">
        <v>25</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customHeight="1">
      <c r="A2735" s="323" t="str">
        <f>IF(B2735&lt;&gt;"",IF(AND(B2735='IN-TC'!$S$4,OR(TH!N2728="1111",TH!O2728="1111")),TH!D2728,""),"")</f>
        <v/>
      </c>
      <c r="B2735" s="63">
        <f t="shared" si="182"/>
        <v>3</v>
      </c>
      <c r="C2735" s="64">
        <v>42444</v>
      </c>
      <c r="D2735" s="306" t="s">
        <v>690</v>
      </c>
      <c r="E2735" s="64">
        <v>42444</v>
      </c>
      <c r="F2735" s="482" t="s">
        <v>744</v>
      </c>
      <c r="G2735" s="67" t="s">
        <v>901</v>
      </c>
      <c r="H2735" s="329" t="s">
        <v>716</v>
      </c>
      <c r="I2735" s="408"/>
      <c r="J2735" s="408"/>
      <c r="K2735" s="399">
        <v>106.36998207885304</v>
      </c>
      <c r="L2735" s="408">
        <v>22320</v>
      </c>
      <c r="M2735" s="65">
        <v>2374178</v>
      </c>
      <c r="N2735" s="66" t="s">
        <v>97</v>
      </c>
      <c r="O2735" s="66" t="s">
        <v>25</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customHeight="1">
      <c r="A2736" s="323" t="str">
        <f>IF(B2736&lt;&gt;"",IF(AND(B2736='IN-TC'!$S$4,OR(TH!N3533="1111",TH!O3533="1111")),TH!D3533,""),"")</f>
        <v/>
      </c>
      <c r="B2736" s="63">
        <f t="shared" si="182"/>
        <v>8</v>
      </c>
      <c r="C2736" s="64">
        <v>42586</v>
      </c>
      <c r="D2736" s="64" t="s">
        <v>690</v>
      </c>
      <c r="E2736" s="64">
        <f>C2736</f>
        <v>42586</v>
      </c>
      <c r="F2736" s="72" t="s">
        <v>1903</v>
      </c>
      <c r="G2736" s="67" t="s">
        <v>902</v>
      </c>
      <c r="H2736" s="329" t="s">
        <v>614</v>
      </c>
      <c r="I2736" s="408"/>
      <c r="J2736" s="408"/>
      <c r="K2736" s="399"/>
      <c r="L2736" s="408"/>
      <c r="M2736" s="65">
        <v>9215000</v>
      </c>
      <c r="N2736" s="66" t="s">
        <v>8</v>
      </c>
      <c r="O2736" s="66" t="s">
        <v>25</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customHeight="1">
      <c r="A2737" s="323" t="str">
        <f>IF(B2737&lt;&gt;"",IF(AND(B2737='IN-TC'!$S$4,OR(TH!N2730="1111",TH!O2730="1111")),TH!D2730,""),"")</f>
        <v/>
      </c>
      <c r="B2737" s="63">
        <f t="shared" si="182"/>
        <v>3</v>
      </c>
      <c r="C2737" s="64">
        <v>42444</v>
      </c>
      <c r="D2737" s="306" t="s">
        <v>690</v>
      </c>
      <c r="E2737" s="64">
        <v>42444</v>
      </c>
      <c r="F2737" s="72" t="s">
        <v>1179</v>
      </c>
      <c r="G2737" s="67" t="s">
        <v>902</v>
      </c>
      <c r="H2737" s="72"/>
      <c r="I2737" s="408"/>
      <c r="J2737" s="408"/>
      <c r="K2737" s="399"/>
      <c r="L2737" s="408"/>
      <c r="M2737" s="65">
        <v>20000</v>
      </c>
      <c r="N2737" s="66" t="s">
        <v>99</v>
      </c>
      <c r="O2737" s="66" t="s">
        <v>25</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customHeight="1">
      <c r="A2738" s="323" t="str">
        <f>IF(B2738&lt;&gt;"",IF(AND(B2738='IN-TC'!$S$4,OR(TH!N2731="1111",TH!O2731="1111")),TH!D2731,""),"")</f>
        <v/>
      </c>
      <c r="B2738" s="63">
        <f t="shared" si="182"/>
        <v>3</v>
      </c>
      <c r="C2738" s="64">
        <v>42444</v>
      </c>
      <c r="D2738" s="306" t="s">
        <v>690</v>
      </c>
      <c r="E2738" s="64">
        <v>42444</v>
      </c>
      <c r="F2738" s="72" t="s">
        <v>1180</v>
      </c>
      <c r="G2738" s="67" t="s">
        <v>902</v>
      </c>
      <c r="H2738" s="329"/>
      <c r="I2738" s="408"/>
      <c r="J2738" s="408"/>
      <c r="K2738" s="399"/>
      <c r="L2738" s="408"/>
      <c r="M2738" s="65">
        <v>2000</v>
      </c>
      <c r="N2738" s="66" t="s">
        <v>9</v>
      </c>
      <c r="O2738" s="66" t="s">
        <v>25</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x</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customHeight="1">
      <c r="A2739" s="323" t="str">
        <f>IF(B2739&lt;&gt;"",IF(AND(B2739='IN-TC'!$S$4,OR(TH!N1988="1111",TH!O1988="1111")),TH!D1988,""),"")</f>
        <v/>
      </c>
      <c r="B2739" s="63">
        <f t="shared" si="182"/>
        <v>8</v>
      </c>
      <c r="C2739" s="78">
        <v>42613</v>
      </c>
      <c r="D2739" s="78" t="s">
        <v>570</v>
      </c>
      <c r="E2739" s="78">
        <v>42586</v>
      </c>
      <c r="F2739" s="80" t="s">
        <v>1156</v>
      </c>
      <c r="G2739" s="934" t="s">
        <v>1831</v>
      </c>
      <c r="H2739" s="80" t="s">
        <v>614</v>
      </c>
      <c r="I2739" s="406"/>
      <c r="J2739" s="406"/>
      <c r="K2739" s="397"/>
      <c r="L2739" s="406"/>
      <c r="M2739" s="81">
        <v>2775000</v>
      </c>
      <c r="N2739" s="82" t="s">
        <v>579</v>
      </c>
      <c r="O2739" s="82" t="s">
        <v>8</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customHeight="1">
      <c r="A2740" s="323" t="str">
        <f>IF(B2740&lt;&gt;"",IF(AND(B2740='IN-TC'!$S$4,OR(TH!N2733="1111",TH!O2733="1111")),TH!D2733,""),"")</f>
        <v/>
      </c>
      <c r="B2740" s="63">
        <f t="shared" si="182"/>
        <v>3</v>
      </c>
      <c r="C2740" s="64">
        <v>42444</v>
      </c>
      <c r="D2740" s="306" t="s">
        <v>690</v>
      </c>
      <c r="E2740" s="64">
        <v>42444</v>
      </c>
      <c r="F2740" s="72" t="s">
        <v>1179</v>
      </c>
      <c r="G2740" s="67" t="s">
        <v>902</v>
      </c>
      <c r="H2740" s="72"/>
      <c r="I2740" s="408"/>
      <c r="J2740" s="408"/>
      <c r="K2740" s="399"/>
      <c r="L2740" s="408"/>
      <c r="M2740" s="65">
        <v>20000</v>
      </c>
      <c r="N2740" s="66" t="s">
        <v>99</v>
      </c>
      <c r="O2740" s="66" t="s">
        <v>25</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customHeight="1">
      <c r="A2741" s="323" t="str">
        <f>IF(B2741&lt;&gt;"",IF(AND(B2741='IN-TC'!$S$4,OR(TH!N2734="1111",TH!O2734="1111")),TH!D2734,""),"")</f>
        <v/>
      </c>
      <c r="B2741" s="63">
        <f t="shared" si="182"/>
        <v>3</v>
      </c>
      <c r="C2741" s="64">
        <v>42444</v>
      </c>
      <c r="D2741" s="306" t="s">
        <v>690</v>
      </c>
      <c r="E2741" s="64">
        <v>42444</v>
      </c>
      <c r="F2741" s="72" t="s">
        <v>1180</v>
      </c>
      <c r="G2741" s="67" t="s">
        <v>902</v>
      </c>
      <c r="H2741" s="329"/>
      <c r="I2741" s="408"/>
      <c r="J2741" s="408"/>
      <c r="K2741" s="399"/>
      <c r="L2741" s="408"/>
      <c r="M2741" s="65">
        <v>2000</v>
      </c>
      <c r="N2741" s="66" t="s">
        <v>9</v>
      </c>
      <c r="O2741" s="66" t="s">
        <v>25</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x</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customHeight="1">
      <c r="A2742" s="323" t="str">
        <f>IF(B2742&lt;&gt;"",IF(AND(B2742='IN-TC'!$S$4,OR(TH!N3939="1111",TH!O3939="1111")),TH!D3939,""),"")</f>
        <v>C31</v>
      </c>
      <c r="B2742" s="63">
        <f t="shared" si="182"/>
        <v>10</v>
      </c>
      <c r="C2742" s="64">
        <v>42647</v>
      </c>
      <c r="D2742" s="64" t="s">
        <v>690</v>
      </c>
      <c r="E2742" s="64">
        <f>C2742</f>
        <v>42647</v>
      </c>
      <c r="F2742" s="72" t="s">
        <v>2139</v>
      </c>
      <c r="G2742" s="67" t="s">
        <v>902</v>
      </c>
      <c r="H2742" s="72" t="s">
        <v>617</v>
      </c>
      <c r="I2742" s="408"/>
      <c r="J2742" s="408"/>
      <c r="K2742" s="399"/>
      <c r="L2742" s="408"/>
      <c r="M2742" s="65">
        <v>24156880</v>
      </c>
      <c r="N2742" s="66" t="s">
        <v>8</v>
      </c>
      <c r="O2742" s="66" t="s">
        <v>25</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customHeight="1">
      <c r="A2743" s="323" t="str">
        <f>IF(B2743&lt;&gt;"",IF(AND(B2743='IN-TC'!$S$4,OR(TH!N2736="1111",TH!O2736="1111")),TH!D2736,""),"")</f>
        <v/>
      </c>
      <c r="B2743" s="63">
        <f t="shared" si="182"/>
        <v>3</v>
      </c>
      <c r="C2743" s="64">
        <v>42444</v>
      </c>
      <c r="D2743" s="306" t="s">
        <v>690</v>
      </c>
      <c r="E2743" s="64">
        <v>42444</v>
      </c>
      <c r="F2743" s="72" t="s">
        <v>1179</v>
      </c>
      <c r="G2743" s="67" t="s">
        <v>902</v>
      </c>
      <c r="H2743" s="72"/>
      <c r="I2743" s="408"/>
      <c r="J2743" s="408"/>
      <c r="K2743" s="399"/>
      <c r="L2743" s="408"/>
      <c r="M2743" s="65">
        <v>25000</v>
      </c>
      <c r="N2743" s="66" t="s">
        <v>99</v>
      </c>
      <c r="O2743" s="66" t="s">
        <v>25</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customHeight="1">
      <c r="A2744" s="323" t="str">
        <f>IF(B2744&lt;&gt;"",IF(AND(B2744='IN-TC'!$S$4,OR(TH!N2737="1111",TH!O2737="1111")),TH!D2737,""),"")</f>
        <v/>
      </c>
      <c r="B2744" s="63">
        <f t="shared" si="182"/>
        <v>3</v>
      </c>
      <c r="C2744" s="64">
        <v>42444</v>
      </c>
      <c r="D2744" s="306" t="s">
        <v>690</v>
      </c>
      <c r="E2744" s="64">
        <v>42444</v>
      </c>
      <c r="F2744" s="72" t="s">
        <v>1180</v>
      </c>
      <c r="G2744" s="67" t="s">
        <v>902</v>
      </c>
      <c r="H2744" s="329"/>
      <c r="I2744" s="408"/>
      <c r="J2744" s="408"/>
      <c r="K2744" s="399"/>
      <c r="L2744" s="408"/>
      <c r="M2744" s="65">
        <v>2500</v>
      </c>
      <c r="N2744" s="66" t="s">
        <v>9</v>
      </c>
      <c r="O2744" s="66" t="s">
        <v>25</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x</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customHeight="1">
      <c r="A2745" s="323" t="str">
        <f>IF(B2745&lt;&gt;"",IF(AND(B2745='IN-TC'!$S$4,OR(TH!N2738="1111",TH!O2738="1111")),TH!D2738,""),"")</f>
        <v/>
      </c>
      <c r="B2745" s="63">
        <f t="shared" si="182"/>
        <v>3</v>
      </c>
      <c r="C2745" s="64">
        <v>42444</v>
      </c>
      <c r="D2745" s="306" t="s">
        <v>690</v>
      </c>
      <c r="E2745" s="64">
        <v>42444</v>
      </c>
      <c r="F2745" s="72" t="s">
        <v>1192</v>
      </c>
      <c r="G2745" s="67" t="s">
        <v>902</v>
      </c>
      <c r="H2745" s="72" t="s">
        <v>661</v>
      </c>
      <c r="I2745" s="408"/>
      <c r="J2745" s="408"/>
      <c r="K2745" s="399"/>
      <c r="L2745" s="408"/>
      <c r="M2745" s="65">
        <v>36300000</v>
      </c>
      <c r="N2745" s="66" t="s">
        <v>8</v>
      </c>
      <c r="O2745" s="66" t="s">
        <v>25</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customHeight="1">
      <c r="A2746" s="323" t="str">
        <f>IF(B2746&lt;&gt;"",IF(AND(B2746='IN-TC'!$S$4,OR(TH!N2739="1111",TH!O2739="1111")),TH!D2739,""),"")</f>
        <v/>
      </c>
      <c r="B2746" s="63">
        <f t="shared" si="182"/>
        <v>3</v>
      </c>
      <c r="C2746" s="64">
        <v>42444</v>
      </c>
      <c r="D2746" s="306" t="s">
        <v>690</v>
      </c>
      <c r="E2746" s="64">
        <v>42444</v>
      </c>
      <c r="F2746" s="72" t="s">
        <v>1179</v>
      </c>
      <c r="G2746" s="67" t="s">
        <v>902</v>
      </c>
      <c r="H2746" s="72"/>
      <c r="I2746" s="408"/>
      <c r="J2746" s="408"/>
      <c r="K2746" s="399"/>
      <c r="L2746" s="408"/>
      <c r="M2746" s="65">
        <v>25000</v>
      </c>
      <c r="N2746" s="66" t="s">
        <v>99</v>
      </c>
      <c r="O2746" s="66" t="s">
        <v>25</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customHeight="1">
      <c r="A2747" s="323" t="str">
        <f>IF(B2747&lt;&gt;"",IF(AND(B2747='IN-TC'!$S$4,OR(TH!N2740="1111",TH!O2740="1111")),TH!D2740,""),"")</f>
        <v/>
      </c>
      <c r="B2747" s="63">
        <f t="shared" si="182"/>
        <v>3</v>
      </c>
      <c r="C2747" s="64">
        <v>42444</v>
      </c>
      <c r="D2747" s="306" t="s">
        <v>690</v>
      </c>
      <c r="E2747" s="64">
        <v>42444</v>
      </c>
      <c r="F2747" s="72" t="s">
        <v>1180</v>
      </c>
      <c r="G2747" s="67" t="s">
        <v>902</v>
      </c>
      <c r="H2747" s="329"/>
      <c r="I2747" s="408"/>
      <c r="J2747" s="408"/>
      <c r="K2747" s="399"/>
      <c r="L2747" s="408"/>
      <c r="M2747" s="65">
        <v>2500</v>
      </c>
      <c r="N2747" s="66" t="s">
        <v>9</v>
      </c>
      <c r="O2747" s="66" t="s">
        <v>25</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x</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customHeight="1">
      <c r="A2748" s="323" t="str">
        <f>IF(B2748&lt;&gt;"",IF(AND(B2748='IN-TC'!$S$4,OR(TH!N2741="1111",TH!O2741="1111")),TH!D2741,""),"")</f>
        <v/>
      </c>
      <c r="B2748" s="63">
        <f t="shared" si="182"/>
        <v>3</v>
      </c>
      <c r="C2748" s="78">
        <v>42444</v>
      </c>
      <c r="D2748" s="1077" t="s">
        <v>690</v>
      </c>
      <c r="E2748" s="78">
        <v>42444</v>
      </c>
      <c r="F2748" s="72" t="s">
        <v>1193</v>
      </c>
      <c r="G2748" s="79" t="s">
        <v>902</v>
      </c>
      <c r="H2748" s="918"/>
      <c r="I2748" s="406"/>
      <c r="J2748" s="406"/>
      <c r="K2748" s="397"/>
      <c r="L2748" s="406"/>
      <c r="M2748" s="81">
        <v>72666115</v>
      </c>
      <c r="N2748" s="82" t="s">
        <v>581</v>
      </c>
      <c r="O2748" s="66" t="s">
        <v>25</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customHeight="1">
      <c r="A2749" s="323" t="str">
        <f>IF(B2749&lt;&gt;"",IF(AND(B2749='IN-TC'!$S$4,OR(TH!N2742="1111",TH!O2742="1111")),TH!D2742,""),"")</f>
        <v/>
      </c>
      <c r="B2749" s="63">
        <f t="shared" si="182"/>
        <v>3</v>
      </c>
      <c r="C2749" s="78">
        <v>42444</v>
      </c>
      <c r="D2749" s="1077" t="s">
        <v>690</v>
      </c>
      <c r="E2749" s="78">
        <v>42444</v>
      </c>
      <c r="F2749" s="72" t="s">
        <v>1194</v>
      </c>
      <c r="G2749" s="79" t="s">
        <v>902</v>
      </c>
      <c r="H2749" s="918"/>
      <c r="I2749" s="406"/>
      <c r="J2749" s="406"/>
      <c r="K2749" s="397"/>
      <c r="L2749" s="406"/>
      <c r="M2749" s="81">
        <v>19101465</v>
      </c>
      <c r="N2749" s="82" t="s">
        <v>582</v>
      </c>
      <c r="O2749" s="66" t="s">
        <v>25</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customHeight="1">
      <c r="A2750" s="323" t="str">
        <f>IF(B2750&lt;&gt;"",IF(AND(B2750='IN-TC'!$S$4,OR(TH!N2743="1111",TH!O2743="1111")),TH!D2743,""),"")</f>
        <v/>
      </c>
      <c r="B2750" s="63">
        <f t="shared" si="182"/>
        <v>3</v>
      </c>
      <c r="C2750" s="78">
        <v>42444</v>
      </c>
      <c r="D2750" s="1077" t="s">
        <v>690</v>
      </c>
      <c r="E2750" s="78">
        <v>42444</v>
      </c>
      <c r="F2750" s="72" t="s">
        <v>1195</v>
      </c>
      <c r="G2750" s="79" t="s">
        <v>902</v>
      </c>
      <c r="H2750" s="80"/>
      <c r="I2750" s="406"/>
      <c r="J2750" s="406"/>
      <c r="K2750" s="397"/>
      <c r="L2750" s="406"/>
      <c r="M2750" s="81">
        <v>8232420</v>
      </c>
      <c r="N2750" s="82" t="s">
        <v>583</v>
      </c>
      <c r="O2750" s="66" t="s">
        <v>25</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customHeight="1">
      <c r="A2751" s="323" t="str">
        <f>IF(B2751&lt;&gt;"",IF(AND(B2751='IN-TC'!$S$4,OR(TH!N2744="1111",TH!O2744="1111")),TH!D2744,""),"")</f>
        <v/>
      </c>
      <c r="B2751" s="63">
        <f t="shared" si="182"/>
        <v>3</v>
      </c>
      <c r="C2751" s="64">
        <v>42444</v>
      </c>
      <c r="D2751" s="306" t="s">
        <v>690</v>
      </c>
      <c r="E2751" s="64">
        <v>42444</v>
      </c>
      <c r="F2751" s="72" t="s">
        <v>1179</v>
      </c>
      <c r="G2751" s="67" t="s">
        <v>902</v>
      </c>
      <c r="H2751" s="72"/>
      <c r="I2751" s="408"/>
      <c r="J2751" s="408"/>
      <c r="K2751" s="399"/>
      <c r="L2751" s="408"/>
      <c r="M2751" s="65">
        <v>50000</v>
      </c>
      <c r="N2751" s="66" t="s">
        <v>99</v>
      </c>
      <c r="O2751" s="66" t="s">
        <v>25</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customHeight="1">
      <c r="A2752" s="323" t="str">
        <f>IF(B2752&lt;&gt;"",IF(AND(B2752='IN-TC'!$S$4,OR(TH!N2745="1111",TH!O2745="1111")),TH!D2745,""),"")</f>
        <v/>
      </c>
      <c r="B2752" s="63">
        <f t="shared" si="182"/>
        <v>3</v>
      </c>
      <c r="C2752" s="64">
        <v>42444</v>
      </c>
      <c r="D2752" s="306" t="s">
        <v>690</v>
      </c>
      <c r="E2752" s="64">
        <v>42444</v>
      </c>
      <c r="F2752" s="72" t="s">
        <v>1180</v>
      </c>
      <c r="G2752" s="67" t="s">
        <v>902</v>
      </c>
      <c r="H2752" s="329"/>
      <c r="I2752" s="408"/>
      <c r="J2752" s="408"/>
      <c r="K2752" s="399"/>
      <c r="L2752" s="408"/>
      <c r="M2752" s="65">
        <v>5000</v>
      </c>
      <c r="N2752" s="66" t="s">
        <v>9</v>
      </c>
      <c r="O2752" s="66" t="s">
        <v>25</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x</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1" ht="15.75" customHeight="1">
      <c r="A2753" s="323" t="str">
        <f>IF(B2753&lt;&gt;"",IF(AND(B2753='IN-TC'!$S$4,OR(TH!N891="1111",TH!O891="1111")),TH!D891,""),"")</f>
        <v/>
      </c>
      <c r="B2753" s="63">
        <f t="shared" si="182"/>
        <v>9</v>
      </c>
      <c r="C2753" s="78">
        <v>42634</v>
      </c>
      <c r="D2753" s="78" t="s">
        <v>663</v>
      </c>
      <c r="E2753" s="78">
        <f>C2753</f>
        <v>42634</v>
      </c>
      <c r="F2753" s="80" t="s">
        <v>639</v>
      </c>
      <c r="G2753" s="934" t="s">
        <v>1969</v>
      </c>
      <c r="H2753" s="80" t="s">
        <v>1403</v>
      </c>
      <c r="I2753" s="406"/>
      <c r="J2753" s="406"/>
      <c r="K2753" s="397"/>
      <c r="L2753" s="406"/>
      <c r="M2753" s="81">
        <v>3360000</v>
      </c>
      <c r="N2753" s="82" t="s">
        <v>9</v>
      </c>
      <c r="O2753" s="82" t="s">
        <v>8</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x</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1" ht="15.75" customHeight="1">
      <c r="A2754" s="323" t="str">
        <f>IF(B2754&lt;&gt;"",IF(AND(B2754='IN-TC'!$S$4,OR(TH!N2747="1111",TH!O2747="1111")),TH!D2747,""),"")</f>
        <v/>
      </c>
      <c r="B2754" s="63">
        <f t="shared" si="182"/>
        <v>3</v>
      </c>
      <c r="C2754" s="64">
        <v>42444</v>
      </c>
      <c r="D2754" s="306" t="s">
        <v>690</v>
      </c>
      <c r="E2754" s="64">
        <v>42444</v>
      </c>
      <c r="F2754" s="72" t="s">
        <v>1179</v>
      </c>
      <c r="G2754" s="67" t="s">
        <v>902</v>
      </c>
      <c r="H2754" s="72"/>
      <c r="I2754" s="408"/>
      <c r="J2754" s="408"/>
      <c r="K2754" s="399"/>
      <c r="L2754" s="408"/>
      <c r="M2754" s="65">
        <v>20000</v>
      </c>
      <c r="N2754" s="66" t="s">
        <v>99</v>
      </c>
      <c r="O2754" s="66" t="s">
        <v>25</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1" ht="15.75" customHeight="1">
      <c r="A2755" s="323" t="str">
        <f>IF(B2755&lt;&gt;"",IF(AND(B2755='IN-TC'!$S$4,OR(TH!N2748="1111",TH!O2748="1111")),TH!D2748,""),"")</f>
        <v/>
      </c>
      <c r="B2755" s="63">
        <f t="shared" si="182"/>
        <v>3</v>
      </c>
      <c r="C2755" s="64">
        <v>42444</v>
      </c>
      <c r="D2755" s="306" t="s">
        <v>690</v>
      </c>
      <c r="E2755" s="64">
        <v>42444</v>
      </c>
      <c r="F2755" s="72" t="s">
        <v>1180</v>
      </c>
      <c r="G2755" s="67" t="s">
        <v>902</v>
      </c>
      <c r="H2755" s="75"/>
      <c r="I2755" s="408"/>
      <c r="J2755" s="408"/>
      <c r="K2755" s="399"/>
      <c r="L2755" s="408"/>
      <c r="M2755" s="65">
        <v>2000</v>
      </c>
      <c r="N2755" s="66" t="s">
        <v>9</v>
      </c>
      <c r="O2755" s="66" t="s">
        <v>25</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x</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1" ht="15.75" customHeight="1">
      <c r="A2756" s="323" t="str">
        <f>IF(B2756&lt;&gt;"",IF(AND(B2756='IN-TC'!$S$4,OR(TH!N4467="1111",TH!O4467="1111")),TH!D4467,""),"")</f>
        <v/>
      </c>
      <c r="B2756" s="63">
        <f t="shared" si="182"/>
        <v>12</v>
      </c>
      <c r="C2756" s="64">
        <v>42713</v>
      </c>
      <c r="D2756" s="64" t="s">
        <v>690</v>
      </c>
      <c r="E2756" s="64">
        <f>C2756</f>
        <v>42713</v>
      </c>
      <c r="F2756" s="72" t="s">
        <v>1196</v>
      </c>
      <c r="G2756" s="67" t="s">
        <v>901</v>
      </c>
      <c r="H2756" s="75" t="s">
        <v>611</v>
      </c>
      <c r="I2756" s="408"/>
      <c r="J2756" s="408"/>
      <c r="K2756" s="399"/>
      <c r="L2756" s="408"/>
      <c r="M2756" s="65">
        <v>50000000</v>
      </c>
      <c r="N2756" s="66" t="s">
        <v>8</v>
      </c>
      <c r="O2756" s="66" t="s">
        <v>25</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1" ht="15.75" customHeight="1">
      <c r="A2757" s="323" t="str">
        <f>IF(B2757&lt;&gt;"",IF(AND(B2757='IN-TC'!$S$4,OR(TH!N2750="1111",TH!O2750="1111")),TH!D2750,""),"")</f>
        <v/>
      </c>
      <c r="B2757" s="63">
        <f t="shared" si="182"/>
        <v>3</v>
      </c>
      <c r="C2757" s="64">
        <v>42444</v>
      </c>
      <c r="D2757" s="306" t="s">
        <v>690</v>
      </c>
      <c r="E2757" s="64">
        <v>42444</v>
      </c>
      <c r="F2757" s="72" t="s">
        <v>1179</v>
      </c>
      <c r="G2757" s="67" t="s">
        <v>902</v>
      </c>
      <c r="H2757" s="72"/>
      <c r="I2757" s="408"/>
      <c r="J2757" s="408"/>
      <c r="K2757" s="399"/>
      <c r="L2757" s="408"/>
      <c r="M2757" s="65">
        <v>20000</v>
      </c>
      <c r="N2757" s="66" t="s">
        <v>99</v>
      </c>
      <c r="O2757" s="66" t="s">
        <v>25</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1" ht="15.75" customHeight="1">
      <c r="A2758" s="323" t="str">
        <f>IF(B2758&lt;&gt;"",IF(AND(B2758='IN-TC'!$S$4,OR(TH!N2751="1111",TH!O2751="1111")),TH!D2751,""),"")</f>
        <v/>
      </c>
      <c r="B2758" s="63">
        <f t="shared" si="182"/>
        <v>3</v>
      </c>
      <c r="C2758" s="64">
        <v>42444</v>
      </c>
      <c r="D2758" s="306" t="s">
        <v>690</v>
      </c>
      <c r="E2758" s="64">
        <v>42444</v>
      </c>
      <c r="F2758" s="72" t="s">
        <v>1180</v>
      </c>
      <c r="G2758" s="67" t="s">
        <v>902</v>
      </c>
      <c r="H2758" s="329"/>
      <c r="I2758" s="408"/>
      <c r="J2758" s="408"/>
      <c r="K2758" s="399"/>
      <c r="L2758" s="408"/>
      <c r="M2758" s="65">
        <v>2000</v>
      </c>
      <c r="N2758" s="66" t="s">
        <v>9</v>
      </c>
      <c r="O2758" s="66" t="s">
        <v>25</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x</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1" ht="15.75" customHeight="1">
      <c r="A2759" s="323" t="str">
        <f>IF(B2759&lt;&gt;"",IF(AND(B2759='IN-TC'!$S$4,OR(TH!N1911="1111",TH!O1911="1111")),TH!D1911,""),"")</f>
        <v/>
      </c>
      <c r="B2759" s="63">
        <f t="shared" si="182"/>
        <v>4</v>
      </c>
      <c r="C2759" s="78">
        <v>42490</v>
      </c>
      <c r="D2759" s="78" t="s">
        <v>570</v>
      </c>
      <c r="E2759" s="78">
        <v>42475</v>
      </c>
      <c r="F2759" s="80" t="s">
        <v>1063</v>
      </c>
      <c r="G2759" s="934" t="s">
        <v>1398</v>
      </c>
      <c r="H2759" s="80" t="s">
        <v>616</v>
      </c>
      <c r="I2759" s="406"/>
      <c r="J2759" s="406"/>
      <c r="K2759" s="397"/>
      <c r="L2759" s="406"/>
      <c r="M2759" s="81">
        <v>621886</v>
      </c>
      <c r="N2759" s="1073" t="s">
        <v>9</v>
      </c>
      <c r="O2759" s="82" t="s">
        <v>8</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x</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1" ht="15.75" customHeight="1">
      <c r="A2760" s="323" t="str">
        <f>IF(B2760&lt;&gt;"",IF(AND(B2760='IN-TC'!$S$4,OR(TH!N2753="1111",TH!O2753="1111")),TH!D2753,""),"")</f>
        <v/>
      </c>
      <c r="B2760" s="63">
        <f t="shared" si="182"/>
        <v>3</v>
      </c>
      <c r="C2760" s="64">
        <v>42444</v>
      </c>
      <c r="D2760" s="306" t="s">
        <v>690</v>
      </c>
      <c r="E2760" s="64">
        <v>42444</v>
      </c>
      <c r="F2760" s="72" t="s">
        <v>1179</v>
      </c>
      <c r="G2760" s="67" t="s">
        <v>902</v>
      </c>
      <c r="H2760" s="72"/>
      <c r="I2760" s="408"/>
      <c r="J2760" s="408"/>
      <c r="K2760" s="399"/>
      <c r="L2760" s="408"/>
      <c r="M2760" s="65">
        <v>20000</v>
      </c>
      <c r="N2760" s="66" t="s">
        <v>99</v>
      </c>
      <c r="O2760" s="66" t="s">
        <v>25</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1" ht="15.75" customHeight="1">
      <c r="A2761" s="323" t="str">
        <f>IF(B2761&lt;&gt;"",IF(AND(B2761='IN-TC'!$S$4,OR(TH!N2754="1111",TH!O2754="1111")),TH!D2754,""),"")</f>
        <v/>
      </c>
      <c r="B2761" s="63">
        <f t="shared" si="182"/>
        <v>3</v>
      </c>
      <c r="C2761" s="306">
        <v>42444</v>
      </c>
      <c r="D2761" s="306" t="s">
        <v>690</v>
      </c>
      <c r="E2761" s="306">
        <v>42444</v>
      </c>
      <c r="F2761" s="72" t="s">
        <v>1180</v>
      </c>
      <c r="G2761" s="931" t="s">
        <v>902</v>
      </c>
      <c r="H2761" s="72"/>
      <c r="I2761" s="408"/>
      <c r="J2761" s="408"/>
      <c r="K2761" s="399"/>
      <c r="L2761" s="408"/>
      <c r="M2761" s="65">
        <v>2000</v>
      </c>
      <c r="N2761" s="66" t="s">
        <v>9</v>
      </c>
      <c r="O2761" s="66" t="s">
        <v>25</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x</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1" ht="15.75" customHeight="1">
      <c r="A2762" s="323" t="str">
        <f>IF(B2762&lt;&gt;"",IF(AND(B2762='IN-TC'!$S$4,OR(TH!N2755="1111",TH!O2755="1111")),TH!D2755,""),"")</f>
        <v/>
      </c>
      <c r="B2762" s="63">
        <f t="shared" si="182"/>
        <v>3</v>
      </c>
      <c r="C2762" s="306">
        <v>42444</v>
      </c>
      <c r="D2762" s="306" t="s">
        <v>889</v>
      </c>
      <c r="E2762" s="306">
        <v>42444</v>
      </c>
      <c r="F2762" s="72" t="s">
        <v>1126</v>
      </c>
      <c r="G2762" s="935" t="s">
        <v>901</v>
      </c>
      <c r="H2762" s="329" t="s">
        <v>748</v>
      </c>
      <c r="I2762" s="408"/>
      <c r="J2762" s="408"/>
      <c r="K2762" s="399"/>
      <c r="L2762" s="408"/>
      <c r="M2762" s="65">
        <v>1900000000</v>
      </c>
      <c r="N2762" s="309" t="s">
        <v>61</v>
      </c>
      <c r="O2762" s="66" t="s">
        <v>25</v>
      </c>
      <c r="P2762" s="82" t="str">
        <f>IF(AND('331-CT'!$E$7=TH!H2762,OR(N2762="331",O2762="331")),"x","")</f>
        <v/>
      </c>
      <c r="Q2762" s="82" t="str">
        <f>IF(AND(B2762='111'!$L$11,OR($N2762=$Q$7,$O2762=$Q$7)),"x","")</f>
        <v/>
      </c>
      <c r="R2762" s="82" t="str">
        <f>IF(AND($N2762=$Q$7,$B2762&lt;'111'!$L$11),"x","")</f>
        <v>x</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1" ht="15.75" customHeight="1">
      <c r="A2763" s="1160" t="str">
        <f>IF(B2763&lt;&gt;"",IF(AND(B2763='IN-TC'!$S$4,OR(TH!N943="1111",TH!O943="1111")),TH!D943,""),"")</f>
        <v/>
      </c>
      <c r="B2763" s="948">
        <f t="shared" si="182"/>
        <v>11</v>
      </c>
      <c r="C2763" s="78">
        <v>42685</v>
      </c>
      <c r="D2763" s="78" t="s">
        <v>666</v>
      </c>
      <c r="E2763" s="78">
        <f>C2763</f>
        <v>42685</v>
      </c>
      <c r="F2763" s="80" t="s">
        <v>352</v>
      </c>
      <c r="G2763" s="934" t="s">
        <v>2189</v>
      </c>
      <c r="H2763" s="310" t="s">
        <v>604</v>
      </c>
      <c r="I2763" s="406">
        <v>600</v>
      </c>
      <c r="J2763" s="406">
        <v>8000</v>
      </c>
      <c r="K2763" s="397"/>
      <c r="L2763" s="406"/>
      <c r="M2763" s="81">
        <f>ROUND(I2763*J2763,0)</f>
        <v>4800000</v>
      </c>
      <c r="N2763" s="82" t="s">
        <v>270</v>
      </c>
      <c r="O2763" s="82" t="s">
        <v>8</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c r="AE2763">
        <v>1</v>
      </c>
    </row>
    <row r="2764" spans="1:31" ht="15.75" customHeight="1">
      <c r="A2764" s="323" t="str">
        <f>IF(B2764&lt;&gt;"",IF(AND(B2764='IN-TC'!$S$4,OR(TH!N2759="1111",TH!O2759="1111")),TH!D2759,""),"")</f>
        <v/>
      </c>
      <c r="B2764" s="63">
        <f t="shared" si="182"/>
        <v>3</v>
      </c>
      <c r="C2764" s="306">
        <v>42446</v>
      </c>
      <c r="D2764" s="306" t="s">
        <v>888</v>
      </c>
      <c r="E2764" s="306">
        <v>42446</v>
      </c>
      <c r="F2764" s="72" t="s">
        <v>1122</v>
      </c>
      <c r="G2764" s="935" t="s">
        <v>1124</v>
      </c>
      <c r="H2764" s="308" t="s">
        <v>1125</v>
      </c>
      <c r="I2764" s="408"/>
      <c r="J2764" s="408"/>
      <c r="K2764" s="399"/>
      <c r="L2764" s="408"/>
      <c r="M2764" s="65">
        <v>1033880</v>
      </c>
      <c r="N2764" s="309" t="s">
        <v>99</v>
      </c>
      <c r="O2764" s="66" t="s">
        <v>61</v>
      </c>
      <c r="P2764" s="82" t="str">
        <f>IF(AND('331-CT'!$E$7=TH!H2764,OR(N2764="331",O2764="331")),"x","")</f>
        <v/>
      </c>
      <c r="Q2764" s="82" t="str">
        <f>IF(AND(B2764='111'!$L$11,OR($N2764=$Q$7,$O2764=$Q$7)),"x","")</f>
        <v/>
      </c>
      <c r="R2764" s="82" t="str">
        <f>IF(AND($N2764=$Q$7,$B2764&lt;'111'!$L$11),"x","")</f>
        <v/>
      </c>
      <c r="S2764" s="82" t="str">
        <f>IF(AND($O2764=$Q$7,$B2764&lt;'111'!$L$11),"x","")</f>
        <v>x</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1" ht="15.75" customHeight="1">
      <c r="A2765" s="323" t="str">
        <f>IF(B2765&lt;&gt;"",IF(AND(B2765='IN-TC'!$S$4,OR(TH!N2768="1111",TH!O2768="1111")),TH!D2768,""),"")</f>
        <v/>
      </c>
      <c r="B2765" s="63">
        <f t="shared" si="182"/>
        <v>3</v>
      </c>
      <c r="C2765" s="306">
        <v>42446</v>
      </c>
      <c r="D2765" s="306" t="s">
        <v>888</v>
      </c>
      <c r="E2765" s="306">
        <v>42446</v>
      </c>
      <c r="F2765" s="72" t="s">
        <v>1123</v>
      </c>
      <c r="G2765" s="935" t="s">
        <v>1124</v>
      </c>
      <c r="H2765" s="329" t="s">
        <v>1125</v>
      </c>
      <c r="I2765" s="408"/>
      <c r="J2765" s="408"/>
      <c r="K2765" s="399"/>
      <c r="L2765" s="408"/>
      <c r="M2765" s="65">
        <v>103388</v>
      </c>
      <c r="N2765" s="309" t="s">
        <v>9</v>
      </c>
      <c r="O2765" s="66" t="s">
        <v>61</v>
      </c>
      <c r="P2765" s="82" t="str">
        <f>IF(AND('331-CT'!$E$7=TH!H2765,OR(N2765="331",O2765="331")),"x","")</f>
        <v/>
      </c>
      <c r="Q2765" s="82" t="str">
        <f>IF(AND(B2765='111'!$L$11,OR($N2765=$Q$7,$O2765=$Q$7)),"x","")</f>
        <v/>
      </c>
      <c r="R2765" s="82" t="str">
        <f>IF(AND($N2765=$Q$7,$B2765&lt;'111'!$L$11),"x","")</f>
        <v/>
      </c>
      <c r="S2765" s="82" t="str">
        <f>IF(AND($O2765=$Q$7,$B2765&lt;'111'!$L$11),"x","")</f>
        <v>x</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x</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1" ht="15.75" customHeight="1">
      <c r="A2766" s="323" t="str">
        <f>IF(B2766&lt;&gt;"",IF(AND(B2766='IN-TC'!$S$4,OR(TH!N2769="1111",TH!O2769="1111")),TH!D2769,""),"")</f>
        <v/>
      </c>
      <c r="B2766" s="63">
        <f t="shared" si="182"/>
        <v>3</v>
      </c>
      <c r="C2766" s="64">
        <v>42446</v>
      </c>
      <c r="D2766" s="306" t="s">
        <v>890</v>
      </c>
      <c r="E2766" s="64">
        <v>42446</v>
      </c>
      <c r="F2766" s="72" t="s">
        <v>756</v>
      </c>
      <c r="G2766" s="935" t="s">
        <v>1322</v>
      </c>
      <c r="H2766" s="72" t="s">
        <v>792</v>
      </c>
      <c r="I2766" s="408"/>
      <c r="J2766" s="408"/>
      <c r="K2766" s="399"/>
      <c r="L2766" s="408"/>
      <c r="M2766" s="65">
        <v>513836</v>
      </c>
      <c r="N2766" s="66" t="s">
        <v>99</v>
      </c>
      <c r="O2766" s="66" t="s">
        <v>61</v>
      </c>
      <c r="P2766" s="82" t="str">
        <f>IF(AND('331-CT'!$E$7=TH!H2766,OR(N2766="331",O2766="331")),"x","")</f>
        <v/>
      </c>
      <c r="Q2766" s="82" t="str">
        <f>IF(AND(B2766='111'!$L$11,OR($N2766=$Q$7,$O2766=$Q$7)),"x","")</f>
        <v/>
      </c>
      <c r="R2766" s="82" t="str">
        <f>IF(AND($N2766=$Q$7,$B2766&lt;'111'!$L$11),"x","")</f>
        <v/>
      </c>
      <c r="S2766" s="82" t="str">
        <f>IF(AND($O2766=$Q$7,$B2766&lt;'111'!$L$11),"x","")</f>
        <v>x</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1" ht="15.75" customHeight="1">
      <c r="A2767" s="323" t="str">
        <f>IF(B2767&lt;&gt;"",IF(AND(B2767='IN-TC'!$S$4,OR(TH!N2770="1111",TH!O2770="1111")),TH!D2770,""),"")</f>
        <v/>
      </c>
      <c r="B2767" s="63">
        <f t="shared" si="182"/>
        <v>3</v>
      </c>
      <c r="C2767" s="64">
        <v>42446</v>
      </c>
      <c r="D2767" s="306" t="s">
        <v>890</v>
      </c>
      <c r="E2767" s="64">
        <v>42446</v>
      </c>
      <c r="F2767" s="72" t="s">
        <v>757</v>
      </c>
      <c r="G2767" s="935" t="s">
        <v>1322</v>
      </c>
      <c r="H2767" s="72" t="s">
        <v>792</v>
      </c>
      <c r="I2767" s="408"/>
      <c r="J2767" s="408"/>
      <c r="K2767" s="399"/>
      <c r="L2767" s="408"/>
      <c r="M2767" s="65">
        <v>51384</v>
      </c>
      <c r="N2767" s="66" t="s">
        <v>9</v>
      </c>
      <c r="O2767" s="66" t="s">
        <v>61</v>
      </c>
      <c r="P2767" s="82" t="str">
        <f>IF(AND('331-CT'!$E$7=TH!H2767,OR(N2767="331",O2767="331")),"x","")</f>
        <v/>
      </c>
      <c r="Q2767" s="82" t="str">
        <f>IF(AND(B2767='111'!$L$11,OR($N2767=$Q$7,$O2767=$Q$7)),"x","")</f>
        <v/>
      </c>
      <c r="R2767" s="82" t="str">
        <f>IF(AND($N2767=$Q$7,$B2767&lt;'111'!$L$11),"x","")</f>
        <v/>
      </c>
      <c r="S2767" s="82" t="str">
        <f>IF(AND($O2767=$Q$7,$B2767&lt;'111'!$L$11),"x","")</f>
        <v>x</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x</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1" ht="15.75" customHeight="1">
      <c r="A2768" s="323" t="str">
        <f>IF(B2768&lt;&gt;"",IF(AND(B2768='IN-TC'!$S$4,OR(TH!N2760="1111",TH!O2760="1111")),TH!D2760,""),"")</f>
        <v/>
      </c>
      <c r="B2768" s="63">
        <f t="shared" si="182"/>
        <v>3</v>
      </c>
      <c r="C2768" s="64">
        <v>42446</v>
      </c>
      <c r="D2768" s="64" t="s">
        <v>690</v>
      </c>
      <c r="E2768" s="64">
        <v>42446</v>
      </c>
      <c r="F2768" s="330" t="s">
        <v>742</v>
      </c>
      <c r="G2768" s="935" t="s">
        <v>901</v>
      </c>
      <c r="H2768" s="72" t="s">
        <v>714</v>
      </c>
      <c r="I2768" s="408"/>
      <c r="J2768" s="408"/>
      <c r="K2768" s="399">
        <v>228.54</v>
      </c>
      <c r="L2768" s="408">
        <v>22320</v>
      </c>
      <c r="M2768" s="65">
        <v>5101013</v>
      </c>
      <c r="N2768" s="66" t="s">
        <v>97</v>
      </c>
      <c r="O2768" s="66" t="s">
        <v>260</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customHeight="1">
      <c r="A2769" s="323" t="str">
        <f>IF(B2769&lt;&gt;"",IF(AND(B2769='IN-TC'!$S$4,OR(TH!N2761="1111",TH!O2761="1111")),TH!D2761,""),"")</f>
        <v/>
      </c>
      <c r="B2769" s="63">
        <f t="shared" si="182"/>
        <v>3</v>
      </c>
      <c r="C2769" s="64">
        <v>42446</v>
      </c>
      <c r="D2769" s="306" t="s">
        <v>690</v>
      </c>
      <c r="E2769" s="64">
        <v>42446</v>
      </c>
      <c r="F2769" s="482" t="s">
        <v>1044</v>
      </c>
      <c r="G2769" s="935" t="s">
        <v>901</v>
      </c>
      <c r="H2769" s="72" t="s">
        <v>717</v>
      </c>
      <c r="I2769" s="408"/>
      <c r="J2769" s="408"/>
      <c r="K2769" s="399">
        <v>138.60999103942652</v>
      </c>
      <c r="L2769" s="408">
        <v>22320</v>
      </c>
      <c r="M2769" s="65">
        <v>3093775</v>
      </c>
      <c r="N2769" s="66" t="s">
        <v>97</v>
      </c>
      <c r="O2769" s="66" t="s">
        <v>25</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customHeight="1">
      <c r="A2770" s="323" t="str">
        <f>IF(B2770&lt;&gt;"",IF(AND(B2770='IN-TC'!$S$4,OR(TH!N2762="1111",TH!O2762="1111")),TH!D2762,""),"")</f>
        <v/>
      </c>
      <c r="B2770" s="63">
        <f t="shared" si="182"/>
        <v>3</v>
      </c>
      <c r="C2770" s="64">
        <v>42446</v>
      </c>
      <c r="D2770" s="306" t="s">
        <v>690</v>
      </c>
      <c r="E2770" s="64">
        <v>42446</v>
      </c>
      <c r="F2770" s="482" t="s">
        <v>1682</v>
      </c>
      <c r="G2770" s="935" t="s">
        <v>901</v>
      </c>
      <c r="H2770" s="310" t="s">
        <v>727</v>
      </c>
      <c r="I2770" s="406"/>
      <c r="J2770" s="406"/>
      <c r="K2770" s="397">
        <v>267.39999999999998</v>
      </c>
      <c r="L2770" s="406">
        <v>22320</v>
      </c>
      <c r="M2770" s="65">
        <v>5968368</v>
      </c>
      <c r="N2770" s="66" t="s">
        <v>97</v>
      </c>
      <c r="O2770" s="66" t="s">
        <v>25</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customHeight="1">
      <c r="A2771" s="323" t="str">
        <f>IF(B2771&lt;&gt;"",IF(AND(B2771='IN-TC'!$S$4,OR(TH!N2763="1111",TH!O2763="1111")),TH!D2763,""),"")</f>
        <v/>
      </c>
      <c r="B2771" s="63">
        <f t="shared" si="182"/>
        <v>3</v>
      </c>
      <c r="C2771" s="64">
        <v>42446</v>
      </c>
      <c r="D2771" s="306" t="s">
        <v>690</v>
      </c>
      <c r="E2771" s="64">
        <v>42446</v>
      </c>
      <c r="F2771" s="482" t="s">
        <v>743</v>
      </c>
      <c r="G2771" s="935" t="s">
        <v>901</v>
      </c>
      <c r="H2771" s="310" t="s">
        <v>715</v>
      </c>
      <c r="I2771" s="406"/>
      <c r="J2771" s="406"/>
      <c r="K2771" s="397">
        <v>199.85</v>
      </c>
      <c r="L2771" s="406">
        <v>22320</v>
      </c>
      <c r="M2771" s="65">
        <v>4460652</v>
      </c>
      <c r="N2771" s="66" t="s">
        <v>97</v>
      </c>
      <c r="O2771" s="66" t="s">
        <v>25</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customHeight="1">
      <c r="A2772" s="323" t="str">
        <f>IF(B2772&lt;&gt;"",IF(AND(B2772='IN-TC'!$S$4,OR(TH!N2764="1111",TH!O2764="1111")),TH!D2764,""),"")</f>
        <v/>
      </c>
      <c r="B2772" s="63">
        <f t="shared" si="182"/>
        <v>3</v>
      </c>
      <c r="C2772" s="64">
        <v>42446</v>
      </c>
      <c r="D2772" s="306" t="s">
        <v>690</v>
      </c>
      <c r="E2772" s="64">
        <v>42446</v>
      </c>
      <c r="F2772" s="72" t="s">
        <v>1182</v>
      </c>
      <c r="G2772" s="935" t="s">
        <v>901</v>
      </c>
      <c r="H2772" s="72"/>
      <c r="I2772" s="408"/>
      <c r="J2772" s="408"/>
      <c r="K2772" s="399"/>
      <c r="L2772" s="408"/>
      <c r="M2772" s="65">
        <v>50000</v>
      </c>
      <c r="N2772" s="66" t="s">
        <v>99</v>
      </c>
      <c r="O2772" s="66" t="s">
        <v>25</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customHeight="1">
      <c r="A2773" s="323" t="str">
        <f>IF(B2773&lt;&gt;"",IF(AND(B2773='IN-TC'!$S$4,OR(TH!N2765="1111",TH!O2765="1111")),TH!D2765,""),"")</f>
        <v/>
      </c>
      <c r="B2773" s="63">
        <f t="shared" si="182"/>
        <v>3</v>
      </c>
      <c r="C2773" s="64">
        <v>42446</v>
      </c>
      <c r="D2773" s="306" t="s">
        <v>690</v>
      </c>
      <c r="E2773" s="64">
        <v>42446</v>
      </c>
      <c r="F2773" s="72" t="s">
        <v>1184</v>
      </c>
      <c r="G2773" s="67" t="s">
        <v>901</v>
      </c>
      <c r="H2773" s="72"/>
      <c r="I2773" s="408"/>
      <c r="J2773" s="408"/>
      <c r="K2773" s="399"/>
      <c r="L2773" s="408"/>
      <c r="M2773" s="65">
        <v>5000</v>
      </c>
      <c r="N2773" s="66" t="s">
        <v>9</v>
      </c>
      <c r="O2773" s="66" t="s">
        <v>25</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x</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customHeight="1">
      <c r="A2774" s="323" t="str">
        <f>IF(B2774&lt;&gt;"",IF(AND(B2774='IN-TC'!$S$4,OR(TH!N2766="1111",TH!O2766="1111")),TH!D2766,""),"")</f>
        <v/>
      </c>
      <c r="B2774" s="63">
        <f t="shared" si="182"/>
        <v>3</v>
      </c>
      <c r="C2774" s="64">
        <v>42446</v>
      </c>
      <c r="D2774" s="306" t="s">
        <v>690</v>
      </c>
      <c r="E2774" s="64">
        <v>42446</v>
      </c>
      <c r="F2774" s="72" t="s">
        <v>1183</v>
      </c>
      <c r="G2774" s="67" t="s">
        <v>901</v>
      </c>
      <c r="H2774" s="72"/>
      <c r="I2774" s="408"/>
      <c r="J2774" s="408"/>
      <c r="K2774" s="399"/>
      <c r="L2774" s="408"/>
      <c r="M2774" s="65">
        <v>50000</v>
      </c>
      <c r="N2774" s="66" t="s">
        <v>99</v>
      </c>
      <c r="O2774" s="66" t="s">
        <v>25</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customHeight="1">
      <c r="A2775" s="323" t="str">
        <f>IF(B2775&lt;&gt;"",IF(AND(B2775='IN-TC'!$S$4,OR(TH!N2767="1111",TH!O2767="1111")),TH!D2767,""),"")</f>
        <v/>
      </c>
      <c r="B2775" s="63">
        <f t="shared" si="182"/>
        <v>3</v>
      </c>
      <c r="C2775" s="64">
        <v>42446</v>
      </c>
      <c r="D2775" s="306" t="s">
        <v>690</v>
      </c>
      <c r="E2775" s="64">
        <v>42446</v>
      </c>
      <c r="F2775" s="72" t="s">
        <v>1184</v>
      </c>
      <c r="G2775" s="67" t="s">
        <v>901</v>
      </c>
      <c r="H2775" s="72"/>
      <c r="I2775" s="408"/>
      <c r="J2775" s="408"/>
      <c r="K2775" s="399"/>
      <c r="L2775" s="408"/>
      <c r="M2775" s="65">
        <v>5000</v>
      </c>
      <c r="N2775" s="66" t="s">
        <v>9</v>
      </c>
      <c r="O2775" s="66" t="s">
        <v>25</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x</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customHeight="1">
      <c r="A2776" s="323" t="str">
        <f>IF(B2776&lt;&gt;"",IF(AND(B2776='IN-TC'!$S$4,OR(TH!N2771="1111",TH!O2771="1111")),TH!D2771,""),"")</f>
        <v/>
      </c>
      <c r="B2776" s="63">
        <f t="shared" si="182"/>
        <v>3</v>
      </c>
      <c r="C2776" s="64">
        <v>42447</v>
      </c>
      <c r="D2776" s="306" t="s">
        <v>891</v>
      </c>
      <c r="E2776" s="64">
        <v>42447</v>
      </c>
      <c r="F2776" s="72" t="s">
        <v>1094</v>
      </c>
      <c r="G2776" s="67" t="s">
        <v>1323</v>
      </c>
      <c r="H2776" s="329" t="s">
        <v>792</v>
      </c>
      <c r="I2776" s="408"/>
      <c r="J2776" s="408"/>
      <c r="K2776" s="399"/>
      <c r="L2776" s="408"/>
      <c r="M2776" s="65">
        <v>551727</v>
      </c>
      <c r="N2776" s="66" t="s">
        <v>99</v>
      </c>
      <c r="O2776" s="66" t="s">
        <v>61</v>
      </c>
      <c r="P2776" s="82" t="str">
        <f>IF(AND('331-CT'!$E$7=TH!H2776,OR(N2776="331",O2776="331")),"x","")</f>
        <v/>
      </c>
      <c r="Q2776" s="82" t="str">
        <f>IF(AND(B2776='111'!$L$11,OR($N2776=$Q$7,$O2776=$Q$7)),"x","")</f>
        <v/>
      </c>
      <c r="R2776" s="82" t="str">
        <f>IF(AND($N2776=$Q$7,$B2776&lt;'111'!$L$11),"x","")</f>
        <v/>
      </c>
      <c r="S2776" s="82" t="str">
        <f>IF(AND($O2776=$Q$7,$B2776&lt;'111'!$L$11),"x","")</f>
        <v>x</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customHeight="1">
      <c r="A2777" s="323" t="str">
        <f>IF(B2777&lt;&gt;"",IF(AND(B2777='IN-TC'!$S$4,OR(TH!N2781="1111",TH!O2781="1111")),TH!D2781,""),"")</f>
        <v/>
      </c>
      <c r="B2777" s="63">
        <f t="shared" si="182"/>
        <v>3</v>
      </c>
      <c r="C2777" s="64">
        <v>42447</v>
      </c>
      <c r="D2777" s="306" t="s">
        <v>891</v>
      </c>
      <c r="E2777" s="64">
        <v>42447</v>
      </c>
      <c r="F2777" s="72" t="s">
        <v>1324</v>
      </c>
      <c r="G2777" s="67" t="s">
        <v>1323</v>
      </c>
      <c r="H2777" s="72" t="s">
        <v>792</v>
      </c>
      <c r="I2777" s="408"/>
      <c r="J2777" s="408"/>
      <c r="K2777" s="399"/>
      <c r="L2777" s="408"/>
      <c r="M2777" s="65">
        <v>55173</v>
      </c>
      <c r="N2777" s="66" t="s">
        <v>9</v>
      </c>
      <c r="O2777" s="66" t="s">
        <v>61</v>
      </c>
      <c r="P2777" s="82" t="str">
        <f>IF(AND('331-CT'!$E$7=TH!H2777,OR(N2777="331",O2777="331")),"x","")</f>
        <v/>
      </c>
      <c r="Q2777" s="82" t="str">
        <f>IF(AND(B2777='111'!$L$11,OR($N2777=$Q$7,$O2777=$Q$7)),"x","")</f>
        <v/>
      </c>
      <c r="R2777" s="82" t="str">
        <f>IF(AND($N2777=$Q$7,$B2777&lt;'111'!$L$11),"x","")</f>
        <v/>
      </c>
      <c r="S2777" s="82" t="str">
        <f>IF(AND($O2777=$Q$7,$B2777&lt;'111'!$L$11),"x","")</f>
        <v>x</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x</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customHeight="1">
      <c r="A2778" s="323" t="str">
        <f>IF(B2778&lt;&gt;"",IF(AND(B2778='IN-TC'!$S$4,OR(TH!N2782="1111",TH!O2782="1111")),TH!D2782,""),"")</f>
        <v/>
      </c>
      <c r="B2778" s="63">
        <f t="shared" si="182"/>
        <v>3</v>
      </c>
      <c r="C2778" s="64">
        <v>42449</v>
      </c>
      <c r="D2778" s="306" t="s">
        <v>894</v>
      </c>
      <c r="E2778" s="64">
        <v>42449</v>
      </c>
      <c r="F2778" s="72" t="s">
        <v>1094</v>
      </c>
      <c r="G2778" s="67" t="s">
        <v>1325</v>
      </c>
      <c r="H2778" s="72" t="s">
        <v>792</v>
      </c>
      <c r="I2778" s="408"/>
      <c r="J2778" s="408"/>
      <c r="K2778" s="399"/>
      <c r="L2778" s="408"/>
      <c r="M2778" s="65">
        <v>446636</v>
      </c>
      <c r="N2778" s="66" t="s">
        <v>99</v>
      </c>
      <c r="O2778" s="66" t="s">
        <v>61</v>
      </c>
      <c r="P2778" s="82" t="str">
        <f>IF(AND('331-CT'!$E$7=TH!H2778,OR(N2778="331",O2778="331")),"x","")</f>
        <v/>
      </c>
      <c r="Q2778" s="82" t="str">
        <f>IF(AND(B2778='111'!$L$11,OR($N2778=$Q$7,$O2778=$Q$7)),"x","")</f>
        <v/>
      </c>
      <c r="R2778" s="82" t="str">
        <f>IF(AND($N2778=$Q$7,$B2778&lt;'111'!$L$11),"x","")</f>
        <v/>
      </c>
      <c r="S2778" s="82" t="str">
        <f>IF(AND($O2778=$Q$7,$B2778&lt;'111'!$L$11),"x","")</f>
        <v>x</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customHeight="1">
      <c r="A2779" s="323" t="str">
        <f>IF(B2779&lt;&gt;"",IF(AND(B2779='IN-TC'!$S$4,OR(TH!N2783="1111",TH!O2783="1111")),TH!D2783,""),"")</f>
        <v/>
      </c>
      <c r="B2779" s="63">
        <f t="shared" si="182"/>
        <v>3</v>
      </c>
      <c r="C2779" s="64">
        <v>42449</v>
      </c>
      <c r="D2779" s="306" t="s">
        <v>894</v>
      </c>
      <c r="E2779" s="64">
        <v>42449</v>
      </c>
      <c r="F2779" s="72" t="s">
        <v>1324</v>
      </c>
      <c r="G2779" s="67" t="s">
        <v>1325</v>
      </c>
      <c r="H2779" s="329" t="s">
        <v>792</v>
      </c>
      <c r="I2779" s="408"/>
      <c r="J2779" s="408"/>
      <c r="K2779" s="399"/>
      <c r="L2779" s="408"/>
      <c r="M2779" s="65">
        <v>44664</v>
      </c>
      <c r="N2779" s="66" t="s">
        <v>9</v>
      </c>
      <c r="O2779" s="66" t="s">
        <v>61</v>
      </c>
      <c r="P2779" s="82" t="str">
        <f>IF(AND('331-CT'!$E$7=TH!H2779,OR(N2779="331",O2779="331")),"x","")</f>
        <v/>
      </c>
      <c r="Q2779" s="82" t="str">
        <f>IF(AND(B2779='111'!$L$11,OR($N2779=$Q$7,$O2779=$Q$7)),"x","")</f>
        <v/>
      </c>
      <c r="R2779" s="82" t="str">
        <f>IF(AND($N2779=$Q$7,$B2779&lt;'111'!$L$11),"x","")</f>
        <v/>
      </c>
      <c r="S2779" s="82" t="str">
        <f>IF(AND($O2779=$Q$7,$B2779&lt;'111'!$L$11),"x","")</f>
        <v>x</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x</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customHeight="1">
      <c r="A2780" s="1170"/>
      <c r="B2780" s="1199">
        <f t="shared" si="182"/>
        <v>12</v>
      </c>
      <c r="C2780" s="1087">
        <v>42707</v>
      </c>
      <c r="D2780" s="1087" t="s">
        <v>2264</v>
      </c>
      <c r="E2780" s="90">
        <f>C2780</f>
        <v>42707</v>
      </c>
      <c r="F2780" s="1153" t="s">
        <v>1952</v>
      </c>
      <c r="G2780" s="1155" t="s">
        <v>2311</v>
      </c>
      <c r="H2780" s="1153" t="s">
        <v>1198</v>
      </c>
      <c r="I2780" s="414">
        <v>43730</v>
      </c>
      <c r="J2780" s="1108">
        <v>17500</v>
      </c>
      <c r="K2780" s="1110"/>
      <c r="L2780" s="1109"/>
      <c r="M2780" s="93">
        <f>ROUND(I2780*J2780,0)</f>
        <v>765275000</v>
      </c>
      <c r="N2780" s="83" t="s">
        <v>276</v>
      </c>
      <c r="O2780" s="83" t="s">
        <v>268</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customHeight="1">
      <c r="A2781" s="323" t="str">
        <f>IF(B2781&lt;&gt;"",IF(AND(B2781='IN-TC'!$S$4,OR(TH!N2772="1111",TH!O2772="1111")),TH!D2772,""),"")</f>
        <v/>
      </c>
      <c r="B2781" s="63">
        <f t="shared" si="182"/>
        <v>3</v>
      </c>
      <c r="C2781" s="64">
        <v>42450</v>
      </c>
      <c r="D2781" s="306" t="s">
        <v>690</v>
      </c>
      <c r="E2781" s="64">
        <v>42450</v>
      </c>
      <c r="F2781" s="72" t="s">
        <v>1172</v>
      </c>
      <c r="G2781" s="67" t="s">
        <v>902</v>
      </c>
      <c r="H2781" s="329"/>
      <c r="I2781" s="408"/>
      <c r="J2781" s="408"/>
      <c r="K2781" s="399"/>
      <c r="L2781" s="408"/>
      <c r="M2781" s="65">
        <v>333900</v>
      </c>
      <c r="N2781" s="66" t="s">
        <v>99</v>
      </c>
      <c r="O2781" s="66" t="s">
        <v>25</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customHeight="1">
      <c r="A2782" s="323" t="str">
        <f>IF(B2782&lt;&gt;"",IF(AND(B2782='IN-TC'!$S$4,OR(TH!N2773="1111",TH!O2773="1111")),TH!D2773,""),"")</f>
        <v/>
      </c>
      <c r="B2782" s="63">
        <f t="shared" si="182"/>
        <v>3</v>
      </c>
      <c r="C2782" s="64">
        <v>42450</v>
      </c>
      <c r="D2782" s="306" t="s">
        <v>690</v>
      </c>
      <c r="E2782" s="64">
        <v>42450</v>
      </c>
      <c r="F2782" s="72" t="s">
        <v>1173</v>
      </c>
      <c r="G2782" s="67" t="s">
        <v>902</v>
      </c>
      <c r="H2782" s="329"/>
      <c r="I2782" s="408"/>
      <c r="J2782" s="408"/>
      <c r="K2782" s="399"/>
      <c r="L2782" s="408"/>
      <c r="M2782" s="65">
        <v>33390</v>
      </c>
      <c r="N2782" s="66" t="s">
        <v>9</v>
      </c>
      <c r="O2782" s="66" t="s">
        <v>25</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x</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customHeight="1">
      <c r="A2783" s="323" t="str">
        <f>IF(B2783&lt;&gt;"",IF(AND(B2783='IN-TC'!$S$4,OR(TH!N2775="1111",TH!O2775="1111")),TH!D2775,""),"")</f>
        <v/>
      </c>
      <c r="B2783" s="63">
        <f t="shared" si="182"/>
        <v>3</v>
      </c>
      <c r="C2783" s="306">
        <v>42450</v>
      </c>
      <c r="D2783" s="306" t="s">
        <v>690</v>
      </c>
      <c r="E2783" s="306">
        <v>42450</v>
      </c>
      <c r="F2783" s="72" t="s">
        <v>1038</v>
      </c>
      <c r="G2783" s="935" t="s">
        <v>902</v>
      </c>
      <c r="H2783" s="308" t="s">
        <v>710</v>
      </c>
      <c r="I2783" s="408"/>
      <c r="J2783" s="408"/>
      <c r="K2783" s="399">
        <v>288.53001792114696</v>
      </c>
      <c r="L2783" s="408">
        <v>22320</v>
      </c>
      <c r="M2783" s="65">
        <v>6439990</v>
      </c>
      <c r="N2783" s="66" t="s">
        <v>97</v>
      </c>
      <c r="O2783" s="66" t="s">
        <v>25</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customHeight="1">
      <c r="A2784" s="323" t="str">
        <f>IF(B2784&lt;&gt;"",IF(AND(B2784='IN-TC'!$S$4,OR(TH!N2776="1111",TH!O2776="1111")),TH!D2776,""),"")</f>
        <v/>
      </c>
      <c r="B2784" s="63">
        <f t="shared" si="182"/>
        <v>3</v>
      </c>
      <c r="C2784" s="64">
        <v>42450</v>
      </c>
      <c r="D2784" s="306" t="s">
        <v>690</v>
      </c>
      <c r="E2784" s="64">
        <v>42450</v>
      </c>
      <c r="F2784" s="72" t="s">
        <v>737</v>
      </c>
      <c r="G2784" s="67" t="s">
        <v>902</v>
      </c>
      <c r="H2784" s="72" t="s">
        <v>711</v>
      </c>
      <c r="I2784" s="408"/>
      <c r="J2784" s="408"/>
      <c r="K2784" s="399">
        <v>286.91998207885302</v>
      </c>
      <c r="L2784" s="408">
        <v>22320</v>
      </c>
      <c r="M2784" s="65">
        <v>6404054</v>
      </c>
      <c r="N2784" s="66" t="s">
        <v>97</v>
      </c>
      <c r="O2784" s="66" t="s">
        <v>25</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customHeight="1">
      <c r="A2785" s="323" t="str">
        <f>IF(B2785&lt;&gt;"",IF(AND(B2785='IN-TC'!$S$4,OR(TH!N2777="1111",TH!O2777="1111")),TH!D2777,""),"")</f>
        <v/>
      </c>
      <c r="B2785" s="63">
        <f t="shared" si="182"/>
        <v>3</v>
      </c>
      <c r="C2785" s="64">
        <v>42450</v>
      </c>
      <c r="D2785" s="306" t="s">
        <v>690</v>
      </c>
      <c r="E2785" s="64">
        <v>42450</v>
      </c>
      <c r="F2785" s="72" t="s">
        <v>1041</v>
      </c>
      <c r="G2785" s="67" t="s">
        <v>902</v>
      </c>
      <c r="H2785" s="72" t="s">
        <v>718</v>
      </c>
      <c r="I2785" s="408"/>
      <c r="J2785" s="408"/>
      <c r="K2785" s="399">
        <v>196.65999103942653</v>
      </c>
      <c r="L2785" s="408">
        <v>22320</v>
      </c>
      <c r="M2785" s="65">
        <v>4389451</v>
      </c>
      <c r="N2785" s="66" t="s">
        <v>97</v>
      </c>
      <c r="O2785" s="66" t="s">
        <v>25</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customHeight="1">
      <c r="A2786" s="323" t="str">
        <f>IF(B2786&lt;&gt;"",IF(AND(B2786='IN-TC'!$S$4,OR(TH!N2778="1111",TH!O2778="1111")),TH!D2778,""),"")</f>
        <v/>
      </c>
      <c r="B2786" s="63">
        <f t="shared" si="182"/>
        <v>3</v>
      </c>
      <c r="C2786" s="64">
        <v>42450</v>
      </c>
      <c r="D2786" s="306" t="s">
        <v>690</v>
      </c>
      <c r="E2786" s="64">
        <v>42450</v>
      </c>
      <c r="F2786" s="72" t="s">
        <v>739</v>
      </c>
      <c r="G2786" s="67" t="s">
        <v>902</v>
      </c>
      <c r="H2786" s="72" t="s">
        <v>712</v>
      </c>
      <c r="I2786" s="408"/>
      <c r="J2786" s="408"/>
      <c r="K2786" s="399">
        <v>286.91998207885302</v>
      </c>
      <c r="L2786" s="408">
        <v>22320</v>
      </c>
      <c r="M2786" s="65">
        <v>6404054</v>
      </c>
      <c r="N2786" s="66" t="s">
        <v>97</v>
      </c>
      <c r="O2786" s="66" t="s">
        <v>25</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customHeight="1">
      <c r="A2787" s="323" t="str">
        <f>IF(B2787&lt;&gt;"",IF(AND(B2787='IN-TC'!$S$4,OR(TH!N2779="1111",TH!O2779="1111")),TH!D2779,""),"")</f>
        <v/>
      </c>
      <c r="B2787" s="63">
        <f t="shared" si="182"/>
        <v>3</v>
      </c>
      <c r="C2787" s="64">
        <v>42450</v>
      </c>
      <c r="D2787" s="306" t="s">
        <v>690</v>
      </c>
      <c r="E2787" s="64">
        <v>42450</v>
      </c>
      <c r="F2787" s="72" t="s">
        <v>1042</v>
      </c>
      <c r="G2787" s="67" t="s">
        <v>902</v>
      </c>
      <c r="H2787" s="72" t="s">
        <v>713</v>
      </c>
      <c r="I2787" s="408"/>
      <c r="J2787" s="408"/>
      <c r="K2787" s="399">
        <v>283.7</v>
      </c>
      <c r="L2787" s="408">
        <v>22320</v>
      </c>
      <c r="M2787" s="65">
        <v>6332184</v>
      </c>
      <c r="N2787" s="66" t="s">
        <v>97</v>
      </c>
      <c r="O2787" s="66" t="s">
        <v>25</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customHeight="1">
      <c r="A2788" s="323" t="str">
        <f>IF(B2788&lt;&gt;"",IF(AND(B2788='IN-TC'!$S$4,OR(TH!N2780="1111",TH!O2780="1111")),TH!D2780,""),"")</f>
        <v/>
      </c>
      <c r="B2788" s="63">
        <f t="shared" si="182"/>
        <v>3</v>
      </c>
      <c r="C2788" s="64">
        <v>42450</v>
      </c>
      <c r="D2788" s="306" t="s">
        <v>690</v>
      </c>
      <c r="E2788" s="64">
        <v>42450</v>
      </c>
      <c r="F2788" s="72" t="s">
        <v>1629</v>
      </c>
      <c r="G2788" s="67" t="s">
        <v>902</v>
      </c>
      <c r="H2788" s="72" t="s">
        <v>721</v>
      </c>
      <c r="I2788" s="408"/>
      <c r="J2788" s="408"/>
      <c r="K2788" s="399">
        <v>571.5099910394265</v>
      </c>
      <c r="L2788" s="408">
        <v>22320</v>
      </c>
      <c r="M2788" s="65">
        <v>12756103</v>
      </c>
      <c r="N2788" s="66" t="s">
        <v>97</v>
      </c>
      <c r="O2788" s="66" t="s">
        <v>25</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customHeight="1">
      <c r="A2789" s="323" t="str">
        <f>IF(B2789&lt;&gt;"",IF(AND(B2789='IN-TC'!$S$4,OR(TH!N2784="1111",TH!O2784="1111")),TH!D2784,""),"")</f>
        <v/>
      </c>
      <c r="B2789" s="63">
        <f t="shared" si="182"/>
        <v>3</v>
      </c>
      <c r="C2789" s="64">
        <v>42452</v>
      </c>
      <c r="D2789" s="306" t="s">
        <v>895</v>
      </c>
      <c r="E2789" s="64">
        <v>42452</v>
      </c>
      <c r="F2789" s="72" t="s">
        <v>600</v>
      </c>
      <c r="G2789" s="67" t="s">
        <v>1299</v>
      </c>
      <c r="H2789" s="72" t="s">
        <v>1300</v>
      </c>
      <c r="I2789" s="408"/>
      <c r="J2789" s="408"/>
      <c r="K2789" s="399"/>
      <c r="L2789" s="408"/>
      <c r="M2789" s="65">
        <v>1025134</v>
      </c>
      <c r="N2789" s="66" t="s">
        <v>99</v>
      </c>
      <c r="O2789" s="66" t="s">
        <v>61</v>
      </c>
      <c r="P2789" s="82" t="str">
        <f>IF(AND('331-CT'!$E$7=TH!H2789,OR(N2789="331",O2789="331")),"x","")</f>
        <v/>
      </c>
      <c r="Q2789" s="82" t="str">
        <f>IF(AND(B2789='111'!$L$11,OR($N2789=$Q$7,$O2789=$Q$7)),"x","")</f>
        <v/>
      </c>
      <c r="R2789" s="82" t="str">
        <f>IF(AND($N2789=$Q$7,$B2789&lt;'111'!$L$11),"x","")</f>
        <v/>
      </c>
      <c r="S2789" s="82" t="str">
        <f>IF(AND($O2789=$Q$7,$B2789&lt;'111'!$L$11),"x","")</f>
        <v>x</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customHeight="1">
      <c r="A2790" s="323" t="str">
        <f>IF(B2790&lt;&gt;"",IF(AND(B2790='IN-TC'!$S$4,OR(TH!N2786="1111",TH!O2786="1111")),TH!D2786,""),"")</f>
        <v/>
      </c>
      <c r="B2790" s="63">
        <f t="shared" si="182"/>
        <v>3</v>
      </c>
      <c r="C2790" s="64">
        <v>42452</v>
      </c>
      <c r="D2790" s="306" t="s">
        <v>895</v>
      </c>
      <c r="E2790" s="64">
        <v>42452</v>
      </c>
      <c r="F2790" s="72" t="s">
        <v>1298</v>
      </c>
      <c r="G2790" s="67" t="s">
        <v>1299</v>
      </c>
      <c r="H2790" s="329" t="s">
        <v>1300</v>
      </c>
      <c r="I2790" s="410"/>
      <c r="J2790" s="410"/>
      <c r="K2790" s="401"/>
      <c r="L2790" s="410"/>
      <c r="M2790" s="65">
        <v>102513</v>
      </c>
      <c r="N2790" s="66" t="s">
        <v>9</v>
      </c>
      <c r="O2790" s="66" t="s">
        <v>61</v>
      </c>
      <c r="P2790" s="82" t="str">
        <f>IF(AND('331-CT'!$E$7=TH!H2790,OR(N2790="331",O2790="331")),"x","")</f>
        <v/>
      </c>
      <c r="Q2790" s="82" t="str">
        <f>IF(AND(B2790='111'!$L$11,OR($N2790=$Q$7,$O2790=$Q$7)),"x","")</f>
        <v/>
      </c>
      <c r="R2790" s="82" t="str">
        <f>IF(AND($N2790=$Q$7,$B2790&lt;'111'!$L$11),"x","")</f>
        <v/>
      </c>
      <c r="S2790" s="82" t="str">
        <f>IF(AND($O2790=$Q$7,$B2790&lt;'111'!$L$11),"x","")</f>
        <v>x</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x</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customHeight="1">
      <c r="A2791" s="323" t="str">
        <f>IF(B2791&lt;&gt;"",IF(AND(B2791='IN-TC'!$S$4,OR(TH!N2787="1111",TH!O2787="1111")),TH!D2787,""),"")</f>
        <v/>
      </c>
      <c r="B2791" s="63">
        <f t="shared" si="182"/>
        <v>3</v>
      </c>
      <c r="C2791" s="64">
        <v>42452</v>
      </c>
      <c r="D2791" s="306" t="s">
        <v>896</v>
      </c>
      <c r="E2791" s="64">
        <v>42452</v>
      </c>
      <c r="F2791" s="72" t="s">
        <v>756</v>
      </c>
      <c r="G2791" s="67" t="s">
        <v>1326</v>
      </c>
      <c r="H2791" s="72" t="s">
        <v>792</v>
      </c>
      <c r="I2791" s="408"/>
      <c r="J2791" s="408"/>
      <c r="K2791" s="399"/>
      <c r="L2791" s="408"/>
      <c r="M2791" s="65">
        <v>520418</v>
      </c>
      <c r="N2791" s="66" t="s">
        <v>99</v>
      </c>
      <c r="O2791" s="66" t="s">
        <v>61</v>
      </c>
      <c r="P2791" s="82" t="str">
        <f>IF(AND('331-CT'!$E$7=TH!H2791,OR(N2791="331",O2791="331")),"x","")</f>
        <v/>
      </c>
      <c r="Q2791" s="82" t="str">
        <f>IF(AND(B2791='111'!$L$11,OR($N2791=$Q$7,$O2791=$Q$7)),"x","")</f>
        <v/>
      </c>
      <c r="R2791" s="82" t="str">
        <f>IF(AND($N2791=$Q$7,$B2791&lt;'111'!$L$11),"x","")</f>
        <v/>
      </c>
      <c r="S2791" s="82" t="str">
        <f>IF(AND($O2791=$Q$7,$B2791&lt;'111'!$L$11),"x","")</f>
        <v>x</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customHeight="1">
      <c r="A2792" s="323" t="str">
        <f>IF(B2792&lt;&gt;"",IF(AND(B2792='IN-TC'!$S$4,OR(TH!N2788="1111",TH!O2788="1111")),TH!D2788,""),"")</f>
        <v/>
      </c>
      <c r="B2792" s="63">
        <f t="shared" si="182"/>
        <v>3</v>
      </c>
      <c r="C2792" s="64">
        <v>42452</v>
      </c>
      <c r="D2792" s="306" t="s">
        <v>896</v>
      </c>
      <c r="E2792" s="64">
        <v>42452</v>
      </c>
      <c r="F2792" s="72" t="s">
        <v>757</v>
      </c>
      <c r="G2792" s="67" t="s">
        <v>1326</v>
      </c>
      <c r="H2792" s="72" t="s">
        <v>792</v>
      </c>
      <c r="I2792" s="408"/>
      <c r="J2792" s="408"/>
      <c r="K2792" s="399"/>
      <c r="L2792" s="408"/>
      <c r="M2792" s="65">
        <v>52042</v>
      </c>
      <c r="N2792" s="66" t="s">
        <v>9</v>
      </c>
      <c r="O2792" s="66" t="s">
        <v>61</v>
      </c>
      <c r="P2792" s="82" t="str">
        <f>IF(AND('331-CT'!$E$7=TH!H2792,OR(N2792="331",O2792="331")),"x","")</f>
        <v/>
      </c>
      <c r="Q2792" s="82" t="str">
        <f>IF(AND(B2792='111'!$L$11,OR($N2792=$Q$7,$O2792=$Q$7)),"x","")</f>
        <v/>
      </c>
      <c r="R2792" s="82" t="str">
        <f>IF(AND($N2792=$Q$7,$B2792&lt;'111'!$L$11),"x","")</f>
        <v/>
      </c>
      <c r="S2792" s="82" t="str">
        <f>IF(AND($O2792=$Q$7,$B2792&lt;'111'!$L$11),"x","")</f>
        <v>x</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x</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customHeight="1">
      <c r="A2793" s="323" t="str">
        <f>IF(B2793&lt;&gt;"",IF(AND(B2793='IN-TC'!$S$4,OR(TH!N2785="1111",TH!O2785="1111")),TH!D2785,""),"")</f>
        <v/>
      </c>
      <c r="B2793" s="63">
        <f t="shared" si="182"/>
        <v>3</v>
      </c>
      <c r="C2793" s="90">
        <v>42452</v>
      </c>
      <c r="D2793" s="1087" t="s">
        <v>690</v>
      </c>
      <c r="E2793" s="90">
        <v>42452</v>
      </c>
      <c r="F2793" s="72" t="s">
        <v>1199</v>
      </c>
      <c r="G2793" s="1089" t="s">
        <v>902</v>
      </c>
      <c r="H2793" s="92" t="s">
        <v>1200</v>
      </c>
      <c r="I2793" s="414"/>
      <c r="J2793" s="414"/>
      <c r="K2793" s="405"/>
      <c r="L2793" s="414"/>
      <c r="M2793" s="93">
        <v>2520000</v>
      </c>
      <c r="N2793" s="83" t="s">
        <v>90</v>
      </c>
      <c r="O2793" s="66" t="s">
        <v>25</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customHeight="1">
      <c r="A2794" s="323" t="str">
        <f>IF(B2794&lt;&gt;"",IF(AND(B2794='IN-TC'!$S$4,OR(TH!N2789="1111",TH!O2789="1111")),TH!D2789,""),"")</f>
        <v/>
      </c>
      <c r="B2794" s="63">
        <f t="shared" si="182"/>
        <v>3</v>
      </c>
      <c r="C2794" s="306">
        <f>E2794</f>
        <v>42453</v>
      </c>
      <c r="D2794" s="64" t="s">
        <v>897</v>
      </c>
      <c r="E2794" s="64">
        <v>42453</v>
      </c>
      <c r="F2794" s="72" t="s">
        <v>947</v>
      </c>
      <c r="G2794" s="79"/>
      <c r="H2794" s="1093" t="s">
        <v>3001</v>
      </c>
      <c r="I2794" s="406"/>
      <c r="J2794" s="406"/>
      <c r="K2794" s="397"/>
      <c r="L2794" s="406"/>
      <c r="M2794" s="81">
        <v>648000000</v>
      </c>
      <c r="N2794" s="82" t="s">
        <v>266</v>
      </c>
      <c r="O2794" s="66" t="s">
        <v>61</v>
      </c>
      <c r="P2794" s="82" t="str">
        <f>IF(AND('331-CT'!$E$7=TH!H2794,OR(N2794="331",O2794="331")),"x","")</f>
        <v/>
      </c>
      <c r="Q2794" s="82" t="str">
        <f>IF(AND(B2794='111'!$L$11,OR($N2794=$Q$7,$O2794=$Q$7)),"x","")</f>
        <v/>
      </c>
      <c r="R2794" s="82" t="str">
        <f>IF(AND($N2794=$Q$7,$B2794&lt;'111'!$L$11),"x","")</f>
        <v/>
      </c>
      <c r="S2794" s="82" t="str">
        <f>IF(AND($O2794=$Q$7,$B2794&lt;'111'!$L$11),"x","")</f>
        <v>x</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customHeight="1">
      <c r="A2795" s="323" t="str">
        <f>IF(B2795&lt;&gt;"",IF(AND(B2795='IN-TC'!$S$4,OR(TH!N2790="1111",TH!O2790="1111")),TH!D2790,""),"")</f>
        <v/>
      </c>
      <c r="B2795" s="63">
        <f t="shared" si="182"/>
        <v>3</v>
      </c>
      <c r="C2795" s="64">
        <v>42453</v>
      </c>
      <c r="D2795" s="64" t="s">
        <v>898</v>
      </c>
      <c r="E2795" s="64">
        <v>42453</v>
      </c>
      <c r="F2795" s="72" t="s">
        <v>1094</v>
      </c>
      <c r="G2795" s="931" t="s">
        <v>1327</v>
      </c>
      <c r="H2795" s="72" t="s">
        <v>792</v>
      </c>
      <c r="I2795" s="408"/>
      <c r="J2795" s="408"/>
      <c r="K2795" s="399"/>
      <c r="L2795" s="408"/>
      <c r="M2795" s="65">
        <v>673527</v>
      </c>
      <c r="N2795" s="66" t="s">
        <v>99</v>
      </c>
      <c r="O2795" s="66" t="s">
        <v>61</v>
      </c>
      <c r="P2795" s="82" t="str">
        <f>IF(AND('331-CT'!$E$7=TH!H2795,OR(N2795="331",O2795="331")),"x","")</f>
        <v/>
      </c>
      <c r="Q2795" s="82" t="str">
        <f>IF(AND(B2795='111'!$L$11,OR($N2795=$Q$7,$O2795=$Q$7)),"x","")</f>
        <v/>
      </c>
      <c r="R2795" s="82" t="str">
        <f>IF(AND($N2795=$Q$7,$B2795&lt;'111'!$L$11),"x","")</f>
        <v/>
      </c>
      <c r="S2795" s="82" t="str">
        <f>IF(AND($O2795=$Q$7,$B2795&lt;'111'!$L$11),"x","")</f>
        <v>x</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customHeight="1">
      <c r="A2796" s="323" t="str">
        <f>IF(B2796&lt;&gt;"",IF(AND(B2796='IN-TC'!$S$4,OR(TH!N2799="1111",TH!O2799="1111")),TH!D2799,""),"")</f>
        <v/>
      </c>
      <c r="B2796" s="63">
        <f t="shared" si="182"/>
        <v>3</v>
      </c>
      <c r="C2796" s="64">
        <v>42453</v>
      </c>
      <c r="D2796" s="64" t="s">
        <v>898</v>
      </c>
      <c r="E2796" s="64">
        <v>42453</v>
      </c>
      <c r="F2796" s="72" t="s">
        <v>1324</v>
      </c>
      <c r="G2796" s="935" t="s">
        <v>1327</v>
      </c>
      <c r="H2796" s="329" t="s">
        <v>792</v>
      </c>
      <c r="I2796" s="408"/>
      <c r="J2796" s="408"/>
      <c r="K2796" s="399"/>
      <c r="L2796" s="408"/>
      <c r="M2796" s="65">
        <v>67353</v>
      </c>
      <c r="N2796" s="66" t="s">
        <v>9</v>
      </c>
      <c r="O2796" s="66" t="s">
        <v>61</v>
      </c>
      <c r="P2796" s="82" t="str">
        <f>IF(AND('331-CT'!$E$7=TH!H2796,OR(N2796="331",O2796="331")),"x","")</f>
        <v/>
      </c>
      <c r="Q2796" s="82" t="str">
        <f>IF(AND(B2796='111'!$L$11,OR($N2796=$Q$7,$O2796=$Q$7)),"x","")</f>
        <v/>
      </c>
      <c r="R2796" s="82" t="str">
        <f>IF(AND($N2796=$Q$7,$B2796&lt;'111'!$L$11),"x","")</f>
        <v/>
      </c>
      <c r="S2796" s="82" t="str">
        <f>IF(AND($O2796=$Q$7,$B2796&lt;'111'!$L$11),"x","")</f>
        <v>x</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x</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customHeight="1">
      <c r="A2797" s="323" t="str">
        <f>IF(B2797&lt;&gt;"",IF(AND(B2797='IN-TC'!$S$4,OR(TH!N2800="1111",TH!O2800="1111")),TH!D2800,""),"")</f>
        <v/>
      </c>
      <c r="B2797" s="63">
        <f t="shared" si="182"/>
        <v>3</v>
      </c>
      <c r="C2797" s="78">
        <v>42454</v>
      </c>
      <c r="D2797" s="64" t="s">
        <v>899</v>
      </c>
      <c r="E2797" s="78">
        <v>42454</v>
      </c>
      <c r="F2797" s="72" t="s">
        <v>756</v>
      </c>
      <c r="G2797" s="949" t="s">
        <v>1328</v>
      </c>
      <c r="H2797" s="80" t="s">
        <v>792</v>
      </c>
      <c r="I2797" s="406"/>
      <c r="J2797" s="406"/>
      <c r="K2797" s="397"/>
      <c r="L2797" s="406"/>
      <c r="M2797" s="81">
        <v>376855</v>
      </c>
      <c r="N2797" s="82" t="s">
        <v>99</v>
      </c>
      <c r="O2797" s="66" t="s">
        <v>61</v>
      </c>
      <c r="P2797" s="82" t="str">
        <f>IF(AND('331-CT'!$E$7=TH!H2797,OR(N2797="331",O2797="331")),"x","")</f>
        <v/>
      </c>
      <c r="Q2797" s="82" t="str">
        <f>IF(AND(B2797='111'!$L$11,OR($N2797=$Q$7,$O2797=$Q$7)),"x","")</f>
        <v/>
      </c>
      <c r="R2797" s="82" t="str">
        <f>IF(AND($N2797=$Q$7,$B2797&lt;'111'!$L$11),"x","")</f>
        <v/>
      </c>
      <c r="S2797" s="82" t="str">
        <f>IF(AND($O2797=$Q$7,$B2797&lt;'111'!$L$11),"x","")</f>
        <v>x</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customHeight="1">
      <c r="A2798" s="323" t="str">
        <f>IF(B2798&lt;&gt;"",IF(AND(B2798='IN-TC'!$S$4,OR(TH!N2801="1111",TH!O2801="1111")),TH!D2801,""),"")</f>
        <v/>
      </c>
      <c r="B2798" s="63">
        <f t="shared" ref="B2798:B2861" si="183">IF(C2798&lt;&gt;"",MONTH(C2798),"")</f>
        <v>3</v>
      </c>
      <c r="C2798" s="78">
        <v>42454</v>
      </c>
      <c r="D2798" s="64" t="s">
        <v>899</v>
      </c>
      <c r="E2798" s="78">
        <v>42454</v>
      </c>
      <c r="F2798" s="72" t="s">
        <v>757</v>
      </c>
      <c r="G2798" s="949" t="s">
        <v>1328</v>
      </c>
      <c r="H2798" s="80" t="s">
        <v>792</v>
      </c>
      <c r="I2798" s="406"/>
      <c r="J2798" s="406"/>
      <c r="K2798" s="397"/>
      <c r="L2798" s="406"/>
      <c r="M2798" s="81">
        <v>37685</v>
      </c>
      <c r="N2798" s="82" t="s">
        <v>9</v>
      </c>
      <c r="O2798" s="66" t="s">
        <v>61</v>
      </c>
      <c r="P2798" s="82" t="str">
        <f>IF(AND('331-CT'!$E$7=TH!H2798,OR(N2798="331",O2798="331")),"x","")</f>
        <v/>
      </c>
      <c r="Q2798" s="82" t="str">
        <f>IF(AND(B2798='111'!$L$11,OR($N2798=$Q$7,$O2798=$Q$7)),"x","")</f>
        <v/>
      </c>
      <c r="R2798" s="82" t="str">
        <f>IF(AND($N2798=$Q$7,$B2798&lt;'111'!$L$11),"x","")</f>
        <v/>
      </c>
      <c r="S2798" s="82" t="str">
        <f>IF(AND($O2798=$Q$7,$B2798&lt;'111'!$L$11),"x","")</f>
        <v>x</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x</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customHeight="1">
      <c r="A2799" s="323" t="str">
        <f>IF(B2799&lt;&gt;"",IF(AND(B2799='IN-TC'!$S$4,OR(TH!N2791="1111",TH!O2791="1111")),TH!D2791,""),"")</f>
        <v/>
      </c>
      <c r="B2799" s="63">
        <f t="shared" si="183"/>
        <v>3</v>
      </c>
      <c r="C2799" s="78">
        <v>42454</v>
      </c>
      <c r="D2799" s="78" t="s">
        <v>690</v>
      </c>
      <c r="E2799" s="78">
        <v>42454</v>
      </c>
      <c r="F2799" s="72" t="s">
        <v>1201</v>
      </c>
      <c r="G2799" s="949" t="s">
        <v>902</v>
      </c>
      <c r="H2799" s="80"/>
      <c r="I2799" s="406"/>
      <c r="J2799" s="406"/>
      <c r="K2799" s="397"/>
      <c r="L2799" s="406"/>
      <c r="M2799" s="81">
        <v>50000</v>
      </c>
      <c r="N2799" s="82" t="s">
        <v>99</v>
      </c>
      <c r="O2799" s="66" t="s">
        <v>25</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customHeight="1">
      <c r="A2800" s="323" t="str">
        <f>IF(B2800&lt;&gt;"",IF(AND(B2800='IN-TC'!$S$4,OR(TH!N2792="1111",TH!O2792="1111")),TH!D2792,""),"")</f>
        <v/>
      </c>
      <c r="B2800" s="63">
        <f t="shared" si="183"/>
        <v>3</v>
      </c>
      <c r="C2800" s="78">
        <v>42454</v>
      </c>
      <c r="D2800" s="78" t="s">
        <v>690</v>
      </c>
      <c r="E2800" s="78">
        <v>42454</v>
      </c>
      <c r="F2800" s="72" t="s">
        <v>1184</v>
      </c>
      <c r="G2800" s="949" t="s">
        <v>902</v>
      </c>
      <c r="H2800" s="80"/>
      <c r="I2800" s="406"/>
      <c r="J2800" s="406"/>
      <c r="K2800" s="397"/>
      <c r="L2800" s="406"/>
      <c r="M2800" s="81">
        <v>5000</v>
      </c>
      <c r="N2800" s="82" t="s">
        <v>9</v>
      </c>
      <c r="O2800" s="66" t="s">
        <v>25</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x</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1" ht="15.75" customHeight="1">
      <c r="A2801" s="323" t="str">
        <f>IF(B2801&lt;&gt;"",IF(AND(B2801='IN-TC'!$S$4,OR(TH!N2793="1111",TH!O2793="1111")),TH!D2793,""),"")</f>
        <v/>
      </c>
      <c r="B2801" s="63">
        <f t="shared" si="183"/>
        <v>3</v>
      </c>
      <c r="C2801" s="64">
        <v>42454</v>
      </c>
      <c r="D2801" s="306" t="s">
        <v>690</v>
      </c>
      <c r="E2801" s="64">
        <v>42454</v>
      </c>
      <c r="F2801" s="72" t="s">
        <v>1182</v>
      </c>
      <c r="G2801" s="935" t="s">
        <v>902</v>
      </c>
      <c r="H2801" s="72"/>
      <c r="I2801" s="408"/>
      <c r="J2801" s="408"/>
      <c r="K2801" s="399"/>
      <c r="L2801" s="408"/>
      <c r="M2801" s="65">
        <v>50000</v>
      </c>
      <c r="N2801" s="66" t="s">
        <v>99</v>
      </c>
      <c r="O2801" s="66" t="s">
        <v>25</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1" ht="15.75" customHeight="1">
      <c r="A2802" s="323" t="str">
        <f>IF(B2802&lt;&gt;"",IF(AND(B2802='IN-TC'!$S$4,OR(TH!N2794="1111",TH!O2794="1111")),TH!D2794,""),"")</f>
        <v/>
      </c>
      <c r="B2802" s="63">
        <f t="shared" si="183"/>
        <v>3</v>
      </c>
      <c r="C2802" s="64">
        <v>42454</v>
      </c>
      <c r="D2802" s="306" t="s">
        <v>690</v>
      </c>
      <c r="E2802" s="64">
        <v>42454</v>
      </c>
      <c r="F2802" s="72" t="s">
        <v>1184</v>
      </c>
      <c r="G2802" s="935" t="s">
        <v>902</v>
      </c>
      <c r="H2802" s="72"/>
      <c r="I2802" s="408"/>
      <c r="J2802" s="408"/>
      <c r="K2802" s="399"/>
      <c r="L2802" s="408"/>
      <c r="M2802" s="65">
        <v>5000</v>
      </c>
      <c r="N2802" s="66" t="s">
        <v>9</v>
      </c>
      <c r="O2802" s="66" t="s">
        <v>25</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x</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1" ht="15.75" customHeight="1">
      <c r="A2803" s="323" t="str">
        <f>IF(B2803&lt;&gt;"",IF(AND(B2803='IN-TC'!$S$4,OR(TH!N2795="1111",TH!O2795="1111")),TH!D2795,""),"")</f>
        <v/>
      </c>
      <c r="B2803" s="63">
        <f t="shared" si="183"/>
        <v>3</v>
      </c>
      <c r="C2803" s="64">
        <v>42454</v>
      </c>
      <c r="D2803" s="306" t="s">
        <v>690</v>
      </c>
      <c r="E2803" s="64">
        <v>42454</v>
      </c>
      <c r="F2803" s="72" t="s">
        <v>1183</v>
      </c>
      <c r="G2803" s="935" t="s">
        <v>902</v>
      </c>
      <c r="H2803" s="72"/>
      <c r="I2803" s="408"/>
      <c r="J2803" s="408"/>
      <c r="K2803" s="399"/>
      <c r="L2803" s="408"/>
      <c r="M2803" s="65">
        <v>50000</v>
      </c>
      <c r="N2803" s="66" t="s">
        <v>99</v>
      </c>
      <c r="O2803" s="66" t="s">
        <v>25</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1" ht="15.75" customHeight="1">
      <c r="A2804" s="323" t="str">
        <f>IF(B2804&lt;&gt;"",IF(AND(B2804='IN-TC'!$S$4,OR(TH!N2796="1111",TH!O2796="1111")),TH!D2796,""),"")</f>
        <v/>
      </c>
      <c r="B2804" s="63">
        <f t="shared" si="183"/>
        <v>3</v>
      </c>
      <c r="C2804" s="306">
        <v>42454</v>
      </c>
      <c r="D2804" s="306" t="s">
        <v>690</v>
      </c>
      <c r="E2804" s="306">
        <v>42454</v>
      </c>
      <c r="F2804" s="72" t="s">
        <v>1184</v>
      </c>
      <c r="G2804" s="307" t="s">
        <v>902</v>
      </c>
      <c r="H2804" s="308"/>
      <c r="I2804" s="408"/>
      <c r="J2804" s="408"/>
      <c r="K2804" s="399"/>
      <c r="L2804" s="408"/>
      <c r="M2804" s="65">
        <v>5000</v>
      </c>
      <c r="N2804" s="309" t="s">
        <v>9</v>
      </c>
      <c r="O2804" s="66" t="s">
        <v>25</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x</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1" ht="15.75" customHeight="1">
      <c r="A2805" s="323" t="str">
        <f>IF(B2805&lt;&gt;"",IF(AND(B2805='IN-TC'!$S$4,OR(TH!N2797="1111",TH!O2797="1111")),TH!D2797,""),"")</f>
        <v/>
      </c>
      <c r="B2805" s="63">
        <f t="shared" si="183"/>
        <v>3</v>
      </c>
      <c r="C2805" s="306">
        <v>42454</v>
      </c>
      <c r="D2805" s="306" t="s">
        <v>690</v>
      </c>
      <c r="E2805" s="306">
        <v>42454</v>
      </c>
      <c r="F2805" s="72" t="s">
        <v>1202</v>
      </c>
      <c r="G2805" s="935" t="s">
        <v>902</v>
      </c>
      <c r="H2805" s="308"/>
      <c r="I2805" s="408"/>
      <c r="J2805" s="408"/>
      <c r="K2805" s="399"/>
      <c r="L2805" s="408"/>
      <c r="M2805" s="65">
        <v>50000</v>
      </c>
      <c r="N2805" s="309" t="s">
        <v>99</v>
      </c>
      <c r="O2805" s="66" t="s">
        <v>25</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1" ht="15.75" customHeight="1">
      <c r="A2806" s="323" t="str">
        <f>IF(B2806&lt;&gt;"",IF(AND(B2806='IN-TC'!$S$4,OR(TH!N2798="1111",TH!O2798="1111")),TH!D2798,""),"")</f>
        <v/>
      </c>
      <c r="B2806" s="63">
        <f t="shared" si="183"/>
        <v>3</v>
      </c>
      <c r="C2806" s="306">
        <v>42454</v>
      </c>
      <c r="D2806" s="306" t="s">
        <v>690</v>
      </c>
      <c r="E2806" s="306">
        <v>42454</v>
      </c>
      <c r="F2806" s="72" t="s">
        <v>1184</v>
      </c>
      <c r="G2806" s="935" t="s">
        <v>902</v>
      </c>
      <c r="H2806" s="308"/>
      <c r="I2806" s="408"/>
      <c r="J2806" s="408"/>
      <c r="K2806" s="399"/>
      <c r="L2806" s="408"/>
      <c r="M2806" s="65">
        <v>5000</v>
      </c>
      <c r="N2806" s="309" t="s">
        <v>9</v>
      </c>
      <c r="O2806" s="66" t="s">
        <v>25</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x</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1" ht="15.75" customHeight="1">
      <c r="A2807" s="323" t="str">
        <f>IF(B2807&lt;&gt;"",IF(AND(B2807='IN-TC'!$S$4,OR(TH!N2802="1111",TH!O2802="1111")),TH!D2802,""),"")</f>
        <v/>
      </c>
      <c r="B2807" s="63">
        <f t="shared" si="183"/>
        <v>3</v>
      </c>
      <c r="C2807" s="64">
        <v>42456</v>
      </c>
      <c r="D2807" s="306" t="s">
        <v>948</v>
      </c>
      <c r="E2807" s="64">
        <v>42456</v>
      </c>
      <c r="F2807" s="72" t="s">
        <v>756</v>
      </c>
      <c r="G2807" s="67" t="s">
        <v>1329</v>
      </c>
      <c r="H2807" s="329" t="s">
        <v>792</v>
      </c>
      <c r="I2807" s="408"/>
      <c r="J2807" s="408"/>
      <c r="K2807" s="399"/>
      <c r="L2807" s="408"/>
      <c r="M2807" s="65">
        <v>385827</v>
      </c>
      <c r="N2807" s="66" t="s">
        <v>99</v>
      </c>
      <c r="O2807" s="66" t="s">
        <v>61</v>
      </c>
      <c r="P2807" s="82" t="str">
        <f>IF(AND('331-CT'!$E$7=TH!H2807,OR(N2807="331",O2807="331")),"x","")</f>
        <v/>
      </c>
      <c r="Q2807" s="82" t="str">
        <f>IF(AND(B2807='111'!$L$11,OR($N2807=$Q$7,$O2807=$Q$7)),"x","")</f>
        <v/>
      </c>
      <c r="R2807" s="82" t="str">
        <f>IF(AND($N2807=$Q$7,$B2807&lt;'111'!$L$11),"x","")</f>
        <v/>
      </c>
      <c r="S2807" s="82" t="str">
        <f>IF(AND($O2807=$Q$7,$B2807&lt;'111'!$L$11),"x","")</f>
        <v>x</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1" ht="15.75" customHeight="1">
      <c r="A2808" s="323" t="str">
        <f>IF(B2808&lt;&gt;"",IF(AND(B2808='IN-TC'!$S$4,OR(TH!N2803="1111",TH!O2803="1111")),TH!D2803,""),"")</f>
        <v/>
      </c>
      <c r="B2808" s="63">
        <f t="shared" si="183"/>
        <v>3</v>
      </c>
      <c r="C2808" s="64">
        <v>42456</v>
      </c>
      <c r="D2808" s="306" t="s">
        <v>948</v>
      </c>
      <c r="E2808" s="64">
        <v>42456</v>
      </c>
      <c r="F2808" s="72" t="s">
        <v>757</v>
      </c>
      <c r="G2808" s="67" t="s">
        <v>1329</v>
      </c>
      <c r="H2808" s="72" t="s">
        <v>792</v>
      </c>
      <c r="I2808" s="408"/>
      <c r="J2808" s="408"/>
      <c r="K2808" s="399"/>
      <c r="L2808" s="408"/>
      <c r="M2808" s="65">
        <v>38583</v>
      </c>
      <c r="N2808" s="66" t="s">
        <v>9</v>
      </c>
      <c r="O2808" s="66" t="s">
        <v>61</v>
      </c>
      <c r="P2808" s="82" t="str">
        <f>IF(AND('331-CT'!$E$7=TH!H2808,OR(N2808="331",O2808="331")),"x","")</f>
        <v/>
      </c>
      <c r="Q2808" s="82" t="str">
        <f>IF(AND(B2808='111'!$L$11,OR($N2808=$Q$7,$O2808=$Q$7)),"x","")</f>
        <v/>
      </c>
      <c r="R2808" s="82" t="str">
        <f>IF(AND($N2808=$Q$7,$B2808&lt;'111'!$L$11),"x","")</f>
        <v/>
      </c>
      <c r="S2808" s="82" t="str">
        <f>IF(AND($O2808=$Q$7,$B2808&lt;'111'!$L$11),"x","")</f>
        <v>x</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x</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1" ht="15.75" customHeight="1">
      <c r="A2809" s="323" t="str">
        <f>IF(B2809&lt;&gt;"",IF(AND(B2809='IN-TC'!$S$4,OR(TH!N2804="1111",TH!O2804="1111")),TH!D2804,""),"")</f>
        <v/>
      </c>
      <c r="B2809" s="63">
        <f t="shared" si="183"/>
        <v>3</v>
      </c>
      <c r="C2809" s="64">
        <v>42457</v>
      </c>
      <c r="D2809" s="306" t="s">
        <v>949</v>
      </c>
      <c r="E2809" s="64">
        <v>42457</v>
      </c>
      <c r="F2809" s="72" t="s">
        <v>1407</v>
      </c>
      <c r="G2809" s="67" t="s">
        <v>1302</v>
      </c>
      <c r="H2809" s="72" t="s">
        <v>823</v>
      </c>
      <c r="I2809" s="408"/>
      <c r="J2809" s="408"/>
      <c r="K2809" s="399"/>
      <c r="L2809" s="408"/>
      <c r="M2809" s="65">
        <v>15000000</v>
      </c>
      <c r="N2809" s="66" t="s">
        <v>99</v>
      </c>
      <c r="O2809" s="66" t="s">
        <v>61</v>
      </c>
      <c r="P2809" s="82" t="str">
        <f>IF(AND('331-CT'!$E$7=TH!H2809,OR(N2809="331",O2809="331")),"x","")</f>
        <v/>
      </c>
      <c r="Q2809" s="82" t="str">
        <f>IF(AND(B2809='111'!$L$11,OR($N2809=$Q$7,$O2809=$Q$7)),"x","")</f>
        <v/>
      </c>
      <c r="R2809" s="82" t="str">
        <f>IF(AND($N2809=$Q$7,$B2809&lt;'111'!$L$11),"x","")</f>
        <v/>
      </c>
      <c r="S2809" s="82" t="str">
        <f>IF(AND($O2809=$Q$7,$B2809&lt;'111'!$L$11),"x","")</f>
        <v>x</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1" ht="15.75" customHeight="1">
      <c r="A2810" s="323" t="str">
        <f>IF(B2810&lt;&gt;"",IF(AND(B2810='IN-TC'!$S$4,OR(TH!N2805="1111",TH!O2805="1111")),TH!D2805,""),"")</f>
        <v/>
      </c>
      <c r="B2810" s="63">
        <f t="shared" si="183"/>
        <v>3</v>
      </c>
      <c r="C2810" s="64">
        <v>42457</v>
      </c>
      <c r="D2810" s="306" t="s">
        <v>949</v>
      </c>
      <c r="E2810" s="64">
        <v>42457</v>
      </c>
      <c r="F2810" s="72" t="s">
        <v>1408</v>
      </c>
      <c r="G2810" s="67" t="s">
        <v>1302</v>
      </c>
      <c r="H2810" s="329" t="s">
        <v>823</v>
      </c>
      <c r="I2810" s="410"/>
      <c r="J2810" s="410"/>
      <c r="K2810" s="401"/>
      <c r="L2810" s="410"/>
      <c r="M2810" s="65">
        <v>1500000</v>
      </c>
      <c r="N2810" s="66" t="s">
        <v>9</v>
      </c>
      <c r="O2810" s="66" t="s">
        <v>61</v>
      </c>
      <c r="P2810" s="82" t="str">
        <f>IF(AND('331-CT'!$E$7=TH!H2810,OR(N2810="331",O2810="331")),"x","")</f>
        <v/>
      </c>
      <c r="Q2810" s="82" t="str">
        <f>IF(AND(B2810='111'!$L$11,OR($N2810=$Q$7,$O2810=$Q$7)),"x","")</f>
        <v/>
      </c>
      <c r="R2810" s="82" t="str">
        <f>IF(AND($N2810=$Q$7,$B2810&lt;'111'!$L$11),"x","")</f>
        <v/>
      </c>
      <c r="S2810" s="82" t="str">
        <f>IF(AND($O2810=$Q$7,$B2810&lt;'111'!$L$11),"x","")</f>
        <v>x</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x</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1" ht="15.75" customHeight="1">
      <c r="A2811" s="1160" t="str">
        <f>IF(B2811&lt;&gt;"",IF(AND(B2811='IN-TC'!$S$4,OR(TH!N937="1111",TH!O937="1111")),TH!D937,""),"")</f>
        <v/>
      </c>
      <c r="B2811" s="948">
        <f t="shared" si="183"/>
        <v>11</v>
      </c>
      <c r="C2811" s="78">
        <v>42679</v>
      </c>
      <c r="D2811" s="78" t="s">
        <v>663</v>
      </c>
      <c r="E2811" s="78">
        <f>C2811</f>
        <v>42679</v>
      </c>
      <c r="F2811" s="80" t="s">
        <v>341</v>
      </c>
      <c r="G2811" s="934" t="s">
        <v>2517</v>
      </c>
      <c r="H2811" s="310" t="s">
        <v>660</v>
      </c>
      <c r="I2811" s="406">
        <v>1000</v>
      </c>
      <c r="J2811" s="1198">
        <v>15238.094999999999</v>
      </c>
      <c r="K2811" s="397"/>
      <c r="L2811" s="406"/>
      <c r="M2811" s="81">
        <f>ROUND(I2811*J2811,0)</f>
        <v>15238095</v>
      </c>
      <c r="N2811" s="82" t="s">
        <v>270</v>
      </c>
      <c r="O2811" s="82" t="s">
        <v>8</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x</v>
      </c>
      <c r="AD2811" s="82" t="str">
        <f>IF(AND(N2811="1521",MONTH(C2811)='BK-NL'!$M$11),"x","")</f>
        <v/>
      </c>
      <c r="AE2811">
        <v>1</v>
      </c>
    </row>
    <row r="2812" spans="1:31" ht="15.75" customHeight="1">
      <c r="A2812" s="323" t="str">
        <f>IF(B2812&lt;&gt;"",IF(AND(B2812='IN-TC'!$S$4,OR(TH!N2816="1111",TH!O2816="1111")),TH!D2816,""),"")</f>
        <v/>
      </c>
      <c r="B2812" s="63">
        <f t="shared" si="183"/>
        <v>3</v>
      </c>
      <c r="C2812" s="64">
        <v>42458</v>
      </c>
      <c r="D2812" s="306" t="s">
        <v>951</v>
      </c>
      <c r="E2812" s="64">
        <v>42458</v>
      </c>
      <c r="F2812" s="72" t="s">
        <v>1094</v>
      </c>
      <c r="G2812" s="67" t="s">
        <v>1331</v>
      </c>
      <c r="H2812" s="72" t="s">
        <v>792</v>
      </c>
      <c r="I2812" s="408"/>
      <c r="J2812" s="408"/>
      <c r="K2812" s="399"/>
      <c r="L2812" s="408"/>
      <c r="M2812" s="65">
        <v>714764</v>
      </c>
      <c r="N2812" s="66" t="s">
        <v>99</v>
      </c>
      <c r="O2812" s="66" t="s">
        <v>61</v>
      </c>
      <c r="P2812" s="82" t="str">
        <f>IF(AND('331-CT'!$E$7=TH!H2812,OR(N2812="331",O2812="331")),"x","")</f>
        <v/>
      </c>
      <c r="Q2812" s="82" t="str">
        <f>IF(AND(B2812='111'!$L$11,OR($N2812=$Q$7,$O2812=$Q$7)),"x","")</f>
        <v/>
      </c>
      <c r="R2812" s="82" t="str">
        <f>IF(AND($N2812=$Q$7,$B2812&lt;'111'!$L$11),"x","")</f>
        <v/>
      </c>
      <c r="S2812" s="82" t="str">
        <f>IF(AND($O2812=$Q$7,$B2812&lt;'111'!$L$11),"x","")</f>
        <v>x</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1" ht="15.75" customHeight="1">
      <c r="A2813" s="323" t="str">
        <f>IF(B2813&lt;&gt;"",IF(AND(B2813='IN-TC'!$S$4,OR(TH!N2817="1111",TH!O2817="1111")),TH!D2817,""),"")</f>
        <v/>
      </c>
      <c r="B2813" s="63">
        <f t="shared" si="183"/>
        <v>3</v>
      </c>
      <c r="C2813" s="64">
        <v>42458</v>
      </c>
      <c r="D2813" s="306" t="s">
        <v>951</v>
      </c>
      <c r="E2813" s="64">
        <v>42458</v>
      </c>
      <c r="F2813" s="72" t="s">
        <v>1324</v>
      </c>
      <c r="G2813" s="67" t="s">
        <v>1331</v>
      </c>
      <c r="H2813" s="72" t="s">
        <v>792</v>
      </c>
      <c r="I2813" s="408"/>
      <c r="J2813" s="408"/>
      <c r="K2813" s="399"/>
      <c r="L2813" s="408"/>
      <c r="M2813" s="65">
        <v>71476</v>
      </c>
      <c r="N2813" s="66" t="s">
        <v>9</v>
      </c>
      <c r="O2813" s="66" t="s">
        <v>61</v>
      </c>
      <c r="P2813" s="82" t="str">
        <f>IF(AND('331-CT'!$E$7=TH!H2813,OR(N2813="331",O2813="331")),"x","")</f>
        <v/>
      </c>
      <c r="Q2813" s="82" t="str">
        <f>IF(AND(B2813='111'!$L$11,OR($N2813=$Q$7,$O2813=$Q$7)),"x","")</f>
        <v/>
      </c>
      <c r="R2813" s="82" t="str">
        <f>IF(AND($N2813=$Q$7,$B2813&lt;'111'!$L$11),"x","")</f>
        <v/>
      </c>
      <c r="S2813" s="82" t="str">
        <f>IF(AND($O2813=$Q$7,$B2813&lt;'111'!$L$11),"x","")</f>
        <v>x</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x</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1" ht="15.75" customHeight="1">
      <c r="A2814" s="323" t="str">
        <f>IF(B2814&lt;&gt;"",IF(AND(B2814='IN-TC'!$S$4,OR(TH!N2806="1111",TH!O2806="1111")),TH!D2806,""),"")</f>
        <v/>
      </c>
      <c r="B2814" s="63">
        <f t="shared" si="183"/>
        <v>3</v>
      </c>
      <c r="C2814" s="64">
        <v>42458</v>
      </c>
      <c r="D2814" s="64" t="s">
        <v>687</v>
      </c>
      <c r="E2814" s="64">
        <v>42458</v>
      </c>
      <c r="F2814" s="72" t="s">
        <v>1177</v>
      </c>
      <c r="G2814" s="67" t="s">
        <v>901</v>
      </c>
      <c r="H2814" s="72" t="s">
        <v>587</v>
      </c>
      <c r="I2814" s="408"/>
      <c r="J2814" s="408"/>
      <c r="K2814" s="399">
        <v>4930.13</v>
      </c>
      <c r="L2814" s="408">
        <v>22280</v>
      </c>
      <c r="M2814" s="65">
        <v>109843296</v>
      </c>
      <c r="N2814" s="66" t="s">
        <v>260</v>
      </c>
      <c r="O2814" s="66" t="s">
        <v>576</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1" ht="15.75" customHeight="1">
      <c r="A2815" s="323" t="str">
        <f>IF(B2815&lt;&gt;"",IF(AND(B2815='IN-TC'!$S$4,OR(TH!N2807="1111",TH!O2807="1111")),TH!D2807,""),"")</f>
        <v/>
      </c>
      <c r="B2815" s="63">
        <f t="shared" si="183"/>
        <v>3</v>
      </c>
      <c r="C2815" s="78">
        <v>42458</v>
      </c>
      <c r="D2815" s="78" t="s">
        <v>570</v>
      </c>
      <c r="E2815" s="78">
        <v>42458</v>
      </c>
      <c r="F2815" s="72" t="s">
        <v>1052</v>
      </c>
      <c r="G2815" s="79" t="s">
        <v>901</v>
      </c>
      <c r="H2815" s="72" t="s">
        <v>587</v>
      </c>
      <c r="I2815" s="406"/>
      <c r="J2815" s="406"/>
      <c r="K2815" s="397">
        <v>158.06</v>
      </c>
      <c r="L2815" s="406">
        <v>22280</v>
      </c>
      <c r="M2815" s="81">
        <v>3521577</v>
      </c>
      <c r="N2815" s="82" t="s">
        <v>99</v>
      </c>
      <c r="O2815" s="82" t="s">
        <v>576</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1" ht="15.75" customHeight="1">
      <c r="A2816" s="323" t="str">
        <f>IF(B2816&lt;&gt;"",IF(AND(B2816='IN-TC'!$S$4,OR(TH!N2808="1111",TH!O2808="1111")),TH!D2808,""),"")</f>
        <v/>
      </c>
      <c r="B2816" s="63">
        <f t="shared" si="183"/>
        <v>3</v>
      </c>
      <c r="C2816" s="78">
        <v>42458</v>
      </c>
      <c r="D2816" s="78" t="s">
        <v>570</v>
      </c>
      <c r="E2816" s="78">
        <v>42458</v>
      </c>
      <c r="F2816" s="72" t="s">
        <v>1053</v>
      </c>
      <c r="G2816" s="934" t="s">
        <v>901</v>
      </c>
      <c r="H2816" s="72" t="s">
        <v>587</v>
      </c>
      <c r="I2816" s="406"/>
      <c r="J2816" s="406"/>
      <c r="K2816" s="397">
        <v>15.81</v>
      </c>
      <c r="L2816" s="406">
        <v>22280</v>
      </c>
      <c r="M2816" s="81">
        <v>352247</v>
      </c>
      <c r="N2816" s="82" t="s">
        <v>9</v>
      </c>
      <c r="O2816" s="82" t="s">
        <v>576</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x</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customHeight="1">
      <c r="A2817" s="323" t="str">
        <f>IF(B2817&lt;&gt;"",IF(AND(B2817='IN-TC'!$S$4,OR(TH!N2809="1111",TH!O2809="1111")),TH!D2809,""),"")</f>
        <v/>
      </c>
      <c r="B2817" s="63">
        <f t="shared" si="183"/>
        <v>3</v>
      </c>
      <c r="C2817" s="78">
        <v>42458</v>
      </c>
      <c r="D2817" s="78" t="s">
        <v>570</v>
      </c>
      <c r="E2817" s="78">
        <v>42458</v>
      </c>
      <c r="F2817" s="72" t="s">
        <v>1055</v>
      </c>
      <c r="G2817" s="934" t="s">
        <v>901</v>
      </c>
      <c r="H2817" s="72" t="s">
        <v>587</v>
      </c>
      <c r="I2817" s="406"/>
      <c r="J2817" s="406"/>
      <c r="K2817" s="397">
        <v>171</v>
      </c>
      <c r="L2817" s="406">
        <v>22280</v>
      </c>
      <c r="M2817" s="81">
        <v>3809880</v>
      </c>
      <c r="N2817" s="82" t="s">
        <v>99</v>
      </c>
      <c r="O2817" s="82" t="s">
        <v>576</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customHeight="1">
      <c r="A2818" s="323" t="str">
        <f>IF(B2818&lt;&gt;"",IF(AND(B2818='IN-TC'!$S$4,OR(TH!N2814="1111",TH!O2814="1111")),TH!D2814,""),"")</f>
        <v/>
      </c>
      <c r="B2818" s="63">
        <f t="shared" si="183"/>
        <v>3</v>
      </c>
      <c r="C2818" s="925">
        <v>42458</v>
      </c>
      <c r="D2818" s="64" t="s">
        <v>570</v>
      </c>
      <c r="E2818" s="925">
        <v>42458</v>
      </c>
      <c r="F2818" s="72" t="s">
        <v>1332</v>
      </c>
      <c r="G2818" s="929"/>
      <c r="H2818" s="922"/>
      <c r="I2818" s="923"/>
      <c r="J2818" s="923"/>
      <c r="K2818" s="924"/>
      <c r="L2818" s="923"/>
      <c r="M2818" s="1074">
        <v>3842009</v>
      </c>
      <c r="N2818" s="1075" t="s">
        <v>260</v>
      </c>
      <c r="O2818" s="66" t="s">
        <v>41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customHeight="1">
      <c r="A2819" s="323" t="str">
        <f>IF(B2819&lt;&gt;"",IF(AND(B2819='IN-TC'!$S$4,OR(TH!N2810="1111",TH!O2810="1111")),TH!D2810,""),"")</f>
        <v/>
      </c>
      <c r="B2819" s="63">
        <f t="shared" si="183"/>
        <v>3</v>
      </c>
      <c r="C2819" s="78">
        <v>42458</v>
      </c>
      <c r="D2819" s="78" t="s">
        <v>570</v>
      </c>
      <c r="E2819" s="78">
        <v>42458</v>
      </c>
      <c r="F2819" s="72" t="s">
        <v>1049</v>
      </c>
      <c r="G2819" s="934" t="s">
        <v>901</v>
      </c>
      <c r="H2819" s="72" t="s">
        <v>587</v>
      </c>
      <c r="I2819" s="406"/>
      <c r="J2819" s="406"/>
      <c r="K2819" s="397"/>
      <c r="L2819" s="406"/>
      <c r="M2819" s="81">
        <v>4135875</v>
      </c>
      <c r="N2819" s="1073" t="s">
        <v>576</v>
      </c>
      <c r="O2819" s="66" t="s">
        <v>41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customHeight="1">
      <c r="A2820" s="323" t="str">
        <f>IF(B2820&lt;&gt;"",IF(AND(B2820='IN-TC'!$S$4,OR(TH!N2811="1111",TH!O2811="1111")),TH!D2811,""),"")</f>
        <v/>
      </c>
      <c r="B2820" s="63">
        <f t="shared" si="183"/>
        <v>3</v>
      </c>
      <c r="C2820" s="64">
        <v>42458</v>
      </c>
      <c r="D2820" s="64" t="s">
        <v>690</v>
      </c>
      <c r="E2820" s="64">
        <v>42458</v>
      </c>
      <c r="F2820" s="72" t="s">
        <v>1047</v>
      </c>
      <c r="G2820" s="931" t="s">
        <v>901</v>
      </c>
      <c r="H2820" s="72"/>
      <c r="I2820" s="408"/>
      <c r="J2820" s="408"/>
      <c r="K2820" s="399">
        <v>136.25</v>
      </c>
      <c r="L2820" s="408">
        <v>22295</v>
      </c>
      <c r="M2820" s="65">
        <v>3037694</v>
      </c>
      <c r="N2820" s="66" t="s">
        <v>97</v>
      </c>
      <c r="O2820" s="66" t="s">
        <v>260</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customHeight="1">
      <c r="A2821" s="323" t="str">
        <f>IF(B2821&lt;&gt;"",IF(AND(B2821='IN-TC'!$S$4,OR(TH!N2812="1111",TH!O2812="1111")),TH!D2812,""),"")</f>
        <v/>
      </c>
      <c r="B2821" s="63">
        <f t="shared" si="183"/>
        <v>3</v>
      </c>
      <c r="C2821" s="64">
        <v>42458</v>
      </c>
      <c r="D2821" s="64" t="s">
        <v>690</v>
      </c>
      <c r="E2821" s="64">
        <v>42458</v>
      </c>
      <c r="F2821" s="72" t="s">
        <v>601</v>
      </c>
      <c r="G2821" s="931" t="s">
        <v>901</v>
      </c>
      <c r="H2821" s="72"/>
      <c r="I2821" s="408"/>
      <c r="J2821" s="408"/>
      <c r="K2821" s="399">
        <v>5</v>
      </c>
      <c r="L2821" s="408">
        <v>22295</v>
      </c>
      <c r="M2821" s="65">
        <v>111475</v>
      </c>
      <c r="N2821" s="66" t="s">
        <v>99</v>
      </c>
      <c r="O2821" s="66" t="s">
        <v>260</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customHeight="1">
      <c r="A2822" s="323" t="str">
        <f>IF(B2822&lt;&gt;"",IF(AND(B2822='IN-TC'!$S$4,OR(TH!N2813="1111",TH!O2813="1111")),TH!D2813,""),"")</f>
        <v/>
      </c>
      <c r="B2822" s="63">
        <f t="shared" si="183"/>
        <v>3</v>
      </c>
      <c r="C2822" s="64">
        <v>42458</v>
      </c>
      <c r="D2822" s="64" t="s">
        <v>690</v>
      </c>
      <c r="E2822" s="64">
        <v>42458</v>
      </c>
      <c r="F2822" s="72" t="s">
        <v>1178</v>
      </c>
      <c r="G2822" s="931" t="s">
        <v>901</v>
      </c>
      <c r="H2822" s="72"/>
      <c r="I2822" s="408"/>
      <c r="J2822" s="408"/>
      <c r="K2822" s="399">
        <v>0.5</v>
      </c>
      <c r="L2822" s="408">
        <v>22295</v>
      </c>
      <c r="M2822" s="65">
        <v>11148</v>
      </c>
      <c r="N2822" s="66" t="s">
        <v>9</v>
      </c>
      <c r="O2822" s="66" t="s">
        <v>260</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x</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customHeight="1">
      <c r="A2823" s="323" t="str">
        <f>IF(B2823&lt;&gt;"",IF(AND(B2823='IN-TC'!$S$4,OR(TH!N2821="1111",TH!O2821="1111")),TH!D2821,""),"")</f>
        <v/>
      </c>
      <c r="B2823" s="63">
        <f t="shared" si="183"/>
        <v>3</v>
      </c>
      <c r="C2823" s="64">
        <v>42459</v>
      </c>
      <c r="D2823" s="64" t="s">
        <v>952</v>
      </c>
      <c r="E2823" s="64">
        <v>42459</v>
      </c>
      <c r="F2823" s="72" t="s">
        <v>1087</v>
      </c>
      <c r="G2823" s="931" t="s">
        <v>902</v>
      </c>
      <c r="H2823" s="72" t="s">
        <v>748</v>
      </c>
      <c r="I2823" s="408"/>
      <c r="J2823" s="408"/>
      <c r="K2823" s="399"/>
      <c r="L2823" s="408"/>
      <c r="M2823" s="65">
        <v>25000000</v>
      </c>
      <c r="N2823" s="66" t="s">
        <v>25</v>
      </c>
      <c r="O2823" s="66" t="s">
        <v>61</v>
      </c>
      <c r="P2823" s="82" t="str">
        <f>IF(AND('331-CT'!$E$7=TH!H2823,OR(N2823="331",O2823="331")),"x","")</f>
        <v/>
      </c>
      <c r="Q2823" s="82" t="str">
        <f>IF(AND(B2823='111'!$L$11,OR($N2823=$Q$7,$O2823=$Q$7)),"x","")</f>
        <v/>
      </c>
      <c r="R2823" s="82" t="str">
        <f>IF(AND($N2823=$Q$7,$B2823&lt;'111'!$L$11),"x","")</f>
        <v/>
      </c>
      <c r="S2823" s="82" t="str">
        <f>IF(AND($O2823=$Q$7,$B2823&lt;'111'!$L$11),"x","")</f>
        <v>x</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customHeight="1">
      <c r="A2824" s="323" t="str">
        <f>IF(B2824&lt;&gt;"",IF(AND(B2824='IN-TC'!$S$4,OR(TH!N2822="1111",TH!O2822="1111")),TH!D2822,""),"")</f>
        <v/>
      </c>
      <c r="B2824" s="63">
        <f t="shared" si="183"/>
        <v>3</v>
      </c>
      <c r="C2824" s="64">
        <v>42459</v>
      </c>
      <c r="D2824" s="64" t="s">
        <v>1367</v>
      </c>
      <c r="E2824" s="64">
        <v>42459</v>
      </c>
      <c r="F2824" s="72" t="s">
        <v>999</v>
      </c>
      <c r="G2824" s="931" t="s">
        <v>1301</v>
      </c>
      <c r="H2824" s="72" t="s">
        <v>1025</v>
      </c>
      <c r="I2824" s="408"/>
      <c r="J2824" s="408"/>
      <c r="K2824" s="399"/>
      <c r="L2824" s="408"/>
      <c r="M2824" s="65">
        <v>462727</v>
      </c>
      <c r="N2824" s="66" t="s">
        <v>99</v>
      </c>
      <c r="O2824" s="66" t="s">
        <v>61</v>
      </c>
      <c r="P2824" s="82" t="str">
        <f>IF(AND('331-CT'!$E$7=TH!H2824,OR(N2824="331",O2824="331")),"x","")</f>
        <v/>
      </c>
      <c r="Q2824" s="82" t="str">
        <f>IF(AND(B2824='111'!$L$11,OR($N2824=$Q$7,$O2824=$Q$7)),"x","")</f>
        <v/>
      </c>
      <c r="R2824" s="82" t="str">
        <f>IF(AND($N2824=$Q$7,$B2824&lt;'111'!$L$11),"x","")</f>
        <v/>
      </c>
      <c r="S2824" s="82" t="str">
        <f>IF(AND($O2824=$Q$7,$B2824&lt;'111'!$L$11),"x","")</f>
        <v>x</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customHeight="1">
      <c r="A2825" s="323" t="str">
        <f>IF(B2825&lt;&gt;"",IF(AND(B2825='IN-TC'!$S$4,OR(TH!N2823="1111",TH!O2823="1111")),TH!D2823,""),"")</f>
        <v/>
      </c>
      <c r="B2825" s="63">
        <f t="shared" si="183"/>
        <v>3</v>
      </c>
      <c r="C2825" s="64">
        <v>42459</v>
      </c>
      <c r="D2825" s="64" t="s">
        <v>1368</v>
      </c>
      <c r="E2825" s="64">
        <v>42459</v>
      </c>
      <c r="F2825" s="72" t="s">
        <v>1000</v>
      </c>
      <c r="G2825" s="931" t="s">
        <v>1301</v>
      </c>
      <c r="H2825" s="72" t="s">
        <v>1025</v>
      </c>
      <c r="I2825" s="408"/>
      <c r="J2825" s="408"/>
      <c r="K2825" s="399"/>
      <c r="L2825" s="408"/>
      <c r="M2825" s="65">
        <v>46273</v>
      </c>
      <c r="N2825" s="66" t="s">
        <v>9</v>
      </c>
      <c r="O2825" s="66" t="s">
        <v>61</v>
      </c>
      <c r="P2825" s="82" t="str">
        <f>IF(AND('331-CT'!$E$7=TH!H2825,OR(N2825="331",O2825="331")),"x","")</f>
        <v/>
      </c>
      <c r="Q2825" s="82" t="str">
        <f>IF(AND(B2825='111'!$L$11,OR($N2825=$Q$7,$O2825=$Q$7)),"x","")</f>
        <v/>
      </c>
      <c r="R2825" s="82" t="str">
        <f>IF(AND($N2825=$Q$7,$B2825&lt;'111'!$L$11),"x","")</f>
        <v/>
      </c>
      <c r="S2825" s="82" t="str">
        <f>IF(AND($O2825=$Q$7,$B2825&lt;'111'!$L$11),"x","")</f>
        <v>x</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x</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customHeight="1">
      <c r="A2826" s="323" t="str">
        <f>IF(B2826&lt;&gt;"",IF(AND(B2826='IN-TC'!$S$4,OR(TH!N2824="1111",TH!O2824="1111")),TH!D2824,""),"")</f>
        <v/>
      </c>
      <c r="B2826" s="63">
        <f t="shared" si="183"/>
        <v>3</v>
      </c>
      <c r="C2826" s="64">
        <v>42459</v>
      </c>
      <c r="D2826" s="64" t="s">
        <v>2217</v>
      </c>
      <c r="E2826" s="64">
        <f>C2826</f>
        <v>42459</v>
      </c>
      <c r="F2826" s="72" t="s">
        <v>1336</v>
      </c>
      <c r="G2826" s="931" t="s">
        <v>1334</v>
      </c>
      <c r="H2826" s="329" t="s">
        <v>606</v>
      </c>
      <c r="I2826" s="408"/>
      <c r="J2826" s="408"/>
      <c r="K2826" s="399"/>
      <c r="L2826" s="408"/>
      <c r="M2826" s="65">
        <v>9114999</v>
      </c>
      <c r="N2826" s="66" t="s">
        <v>8</v>
      </c>
      <c r="O2826" s="66" t="s">
        <v>61</v>
      </c>
      <c r="P2826" s="82" t="str">
        <f>IF(AND('331-CT'!$E$7=TH!H2826,OR(N2826="331",O2826="331")),"x","")</f>
        <v/>
      </c>
      <c r="Q2826" s="82" t="str">
        <f>IF(AND(B2826='111'!$L$11,OR($N2826=$Q$7,$O2826=$Q$7)),"x","")</f>
        <v/>
      </c>
      <c r="R2826" s="82" t="str">
        <f>IF(AND($N2826=$Q$7,$B2826&lt;'111'!$L$11),"x","")</f>
        <v/>
      </c>
      <c r="S2826" s="82" t="str">
        <f>IF(AND($O2826=$Q$7,$B2826&lt;'111'!$L$11),"x","")</f>
        <v>x</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customHeight="1">
      <c r="A2827" s="323" t="str">
        <f>IF(B2827&lt;&gt;"",IF(AND(B2827='IN-TC'!$S$4,OR(TH!N3996="1111",TH!O3996="1111")),TH!D3996,""),"")</f>
        <v>C41</v>
      </c>
      <c r="B2827" s="63">
        <f t="shared" si="183"/>
        <v>10</v>
      </c>
      <c r="C2827" s="64">
        <v>42653</v>
      </c>
      <c r="D2827" s="64" t="s">
        <v>690</v>
      </c>
      <c r="E2827" s="64">
        <f>C2827</f>
        <v>42653</v>
      </c>
      <c r="F2827" s="72" t="s">
        <v>2155</v>
      </c>
      <c r="G2827" s="67" t="s">
        <v>1544</v>
      </c>
      <c r="H2827" s="329" t="s">
        <v>617</v>
      </c>
      <c r="I2827" s="408"/>
      <c r="J2827" s="408"/>
      <c r="K2827" s="399"/>
      <c r="L2827" s="408"/>
      <c r="M2827" s="65">
        <v>21023640</v>
      </c>
      <c r="N2827" s="66" t="s">
        <v>8</v>
      </c>
      <c r="O2827" s="66" t="s">
        <v>25</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x</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customHeight="1">
      <c r="A2828" s="323" t="str">
        <f>IF(B2828&lt;&gt;"",IF(AND(B2828='IN-TC'!$S$4,OR(TH!N2819="1111",TH!O2819="1111")),TH!D2819,""),"")</f>
        <v/>
      </c>
      <c r="B2828" s="63">
        <f t="shared" si="183"/>
        <v>3</v>
      </c>
      <c r="C2828" s="64">
        <v>42459</v>
      </c>
      <c r="D2828" s="64" t="s">
        <v>690</v>
      </c>
      <c r="E2828" s="64">
        <v>42459</v>
      </c>
      <c r="F2828" s="72" t="s">
        <v>1179</v>
      </c>
      <c r="G2828" s="931" t="s">
        <v>902</v>
      </c>
      <c r="H2828" s="72"/>
      <c r="I2828" s="408"/>
      <c r="J2828" s="408"/>
      <c r="K2828" s="399"/>
      <c r="L2828" s="408"/>
      <c r="M2828" s="65">
        <v>45000</v>
      </c>
      <c r="N2828" s="66" t="s">
        <v>99</v>
      </c>
      <c r="O2828" s="66" t="s">
        <v>25</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customHeight="1">
      <c r="A2829" s="323" t="str">
        <f>IF(B2829&lt;&gt;"",IF(AND(B2829='IN-TC'!$S$4,OR(TH!N2820="1111",TH!O2820="1111")),TH!D2820,""),"")</f>
        <v/>
      </c>
      <c r="B2829" s="63">
        <f t="shared" si="183"/>
        <v>3</v>
      </c>
      <c r="C2829" s="64">
        <v>42459</v>
      </c>
      <c r="D2829" s="64" t="s">
        <v>690</v>
      </c>
      <c r="E2829" s="64">
        <v>42459</v>
      </c>
      <c r="F2829" s="72" t="s">
        <v>1180</v>
      </c>
      <c r="G2829" s="931" t="s">
        <v>902</v>
      </c>
      <c r="H2829" s="72"/>
      <c r="I2829" s="408"/>
      <c r="J2829" s="408"/>
      <c r="K2829" s="399"/>
      <c r="L2829" s="408"/>
      <c r="M2829" s="65">
        <v>4500</v>
      </c>
      <c r="N2829" s="66" t="s">
        <v>9</v>
      </c>
      <c r="O2829" s="66" t="s">
        <v>25</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x</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customHeight="1">
      <c r="A2830" s="323" t="str">
        <f>IF(B2830&lt;&gt;"",IF(AND(B2830='IN-TC'!$S$4,OR(TH!N2825="1111",TH!O2825="1111")),TH!D2825,""),"")</f>
        <v/>
      </c>
      <c r="B2830" s="63">
        <f t="shared" si="183"/>
        <v>3</v>
      </c>
      <c r="C2830" s="64">
        <v>42460</v>
      </c>
      <c r="D2830" s="64" t="s">
        <v>2218</v>
      </c>
      <c r="E2830" s="64">
        <f>C2830</f>
        <v>42460</v>
      </c>
      <c r="F2830" s="72" t="s">
        <v>1341</v>
      </c>
      <c r="G2830" s="931"/>
      <c r="H2830" s="329" t="s">
        <v>1343</v>
      </c>
      <c r="I2830" s="408"/>
      <c r="J2830" s="408"/>
      <c r="K2830" s="399"/>
      <c r="L2830" s="408"/>
      <c r="M2830" s="65">
        <v>1796363</v>
      </c>
      <c r="N2830" s="66" t="s">
        <v>99</v>
      </c>
      <c r="O2830" s="66" t="s">
        <v>61</v>
      </c>
      <c r="P2830" s="82" t="str">
        <f>IF(AND('331-CT'!$E$7=TH!H2830,OR(N2830="331",O2830="331")),"x","")</f>
        <v/>
      </c>
      <c r="Q2830" s="82" t="str">
        <f>IF(AND(B2830='111'!$L$11,OR($N2830=$Q$7,$O2830=$Q$7)),"x","")</f>
        <v/>
      </c>
      <c r="R2830" s="82" t="str">
        <f>IF(AND($N2830=$Q$7,$B2830&lt;'111'!$L$11),"x","")</f>
        <v/>
      </c>
      <c r="S2830" s="82" t="str">
        <f>IF(AND($O2830=$Q$7,$B2830&lt;'111'!$L$11),"x","")</f>
        <v>x</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customHeight="1">
      <c r="A2831" s="323" t="str">
        <f>IF(B2831&lt;&gt;"",IF(AND(B2831='IN-TC'!$S$4,OR(TH!N2826="1111",TH!O2826="1111")),TH!D2826,""),"")</f>
        <v/>
      </c>
      <c r="B2831" s="63">
        <f t="shared" si="183"/>
        <v>3</v>
      </c>
      <c r="C2831" s="64">
        <v>42460</v>
      </c>
      <c r="D2831" s="64" t="s">
        <v>2218</v>
      </c>
      <c r="E2831" s="64">
        <f>C2831</f>
        <v>42460</v>
      </c>
      <c r="F2831" s="72" t="s">
        <v>1342</v>
      </c>
      <c r="G2831" s="931"/>
      <c r="H2831" s="329" t="s">
        <v>1343</v>
      </c>
      <c r="I2831" s="408"/>
      <c r="J2831" s="408"/>
      <c r="K2831" s="399"/>
      <c r="L2831" s="408"/>
      <c r="M2831" s="65">
        <v>179637</v>
      </c>
      <c r="N2831" s="66" t="s">
        <v>9</v>
      </c>
      <c r="O2831" s="66" t="s">
        <v>61</v>
      </c>
      <c r="P2831" s="82" t="str">
        <f>IF(AND('331-CT'!$E$7=TH!H2831,OR(N2831="331",O2831="331")),"x","")</f>
        <v/>
      </c>
      <c r="Q2831" s="82" t="str">
        <f>IF(AND(B2831='111'!$L$11,OR($N2831=$Q$7,$O2831=$Q$7)),"x","")</f>
        <v/>
      </c>
      <c r="R2831" s="82" t="str">
        <f>IF(AND($N2831=$Q$7,$B2831&lt;'111'!$L$11),"x","")</f>
        <v/>
      </c>
      <c r="S2831" s="82" t="str">
        <f>IF(AND($O2831=$Q$7,$B2831&lt;'111'!$L$11),"x","")</f>
        <v>x</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x</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customHeight="1">
      <c r="A2832" s="323" t="str">
        <f>IF(B2832&lt;&gt;"",IF(AND(B2832='IN-TC'!$S$4,OR(TH!N2833="1111",TH!O2833="1111")),TH!D2833,""),"")</f>
        <v/>
      </c>
      <c r="B2832" s="63">
        <f t="shared" si="183"/>
        <v>3</v>
      </c>
      <c r="C2832" s="64">
        <v>42460</v>
      </c>
      <c r="D2832" s="64" t="s">
        <v>2219</v>
      </c>
      <c r="E2832" s="64">
        <f>C2832</f>
        <v>42460</v>
      </c>
      <c r="F2832" s="72" t="s">
        <v>1344</v>
      </c>
      <c r="G2832" s="931" t="s">
        <v>1346</v>
      </c>
      <c r="H2832" s="329" t="s">
        <v>1347</v>
      </c>
      <c r="I2832" s="408"/>
      <c r="J2832" s="408"/>
      <c r="K2832" s="399"/>
      <c r="L2832" s="408"/>
      <c r="M2832" s="65">
        <v>29670</v>
      </c>
      <c r="N2832" s="66" t="s">
        <v>99</v>
      </c>
      <c r="O2832" s="66" t="s">
        <v>61</v>
      </c>
      <c r="P2832" s="82" t="str">
        <f>IF(AND('331-CT'!$E$7=TH!H2832,OR(N2832="331",O2832="331")),"x","")</f>
        <v/>
      </c>
      <c r="Q2832" s="82" t="str">
        <f>IF(AND(B2832='111'!$L$11,OR($N2832=$Q$7,$O2832=$Q$7)),"x","")</f>
        <v/>
      </c>
      <c r="R2832" s="82" t="str">
        <f>IF(AND($N2832=$Q$7,$B2832&lt;'111'!$L$11),"x","")</f>
        <v/>
      </c>
      <c r="S2832" s="82" t="str">
        <f>IF(AND($O2832=$Q$7,$B2832&lt;'111'!$L$11),"x","")</f>
        <v>x</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customHeight="1">
      <c r="A2833" s="323" t="str">
        <f>IF(B2833&lt;&gt;"",IF(AND(B2833='IN-TC'!$S$4,OR(TH!N2834="1111",TH!O2834="1111")),TH!D2834,""),"")</f>
        <v/>
      </c>
      <c r="B2833" s="63">
        <f t="shared" si="183"/>
        <v>3</v>
      </c>
      <c r="C2833" s="64">
        <v>42460</v>
      </c>
      <c r="D2833" s="64" t="s">
        <v>2219</v>
      </c>
      <c r="E2833" s="64">
        <f>C2833</f>
        <v>42460</v>
      </c>
      <c r="F2833" s="72" t="s">
        <v>1345</v>
      </c>
      <c r="G2833" s="931" t="s">
        <v>1346</v>
      </c>
      <c r="H2833" s="329" t="s">
        <v>1347</v>
      </c>
      <c r="I2833" s="408"/>
      <c r="J2833" s="408"/>
      <c r="K2833" s="399"/>
      <c r="L2833" s="408"/>
      <c r="M2833" s="65">
        <v>2967</v>
      </c>
      <c r="N2833" s="66" t="s">
        <v>9</v>
      </c>
      <c r="O2833" s="66" t="s">
        <v>61</v>
      </c>
      <c r="P2833" s="82" t="str">
        <f>IF(AND('331-CT'!$E$7=TH!H2833,OR(N2833="331",O2833="331")),"x","")</f>
        <v/>
      </c>
      <c r="Q2833" s="82" t="str">
        <f>IF(AND(B2833='111'!$L$11,OR($N2833=$Q$7,$O2833=$Q$7)),"x","")</f>
        <v/>
      </c>
      <c r="R2833" s="82" t="str">
        <f>IF(AND($N2833=$Q$7,$B2833&lt;'111'!$L$11),"x","")</f>
        <v/>
      </c>
      <c r="S2833" s="82" t="str">
        <f>IF(AND($O2833=$Q$7,$B2833&lt;'111'!$L$11),"x","")</f>
        <v>x</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x</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customHeight="1">
      <c r="A2834" s="323" t="str">
        <f>IF(B2834&lt;&gt;"",IF(AND(B2834='IN-TC'!$S$4,OR(TH!N2835="1111",TH!O2835="1111")),TH!D2835,""),"")</f>
        <v/>
      </c>
      <c r="B2834" s="63">
        <f t="shared" si="183"/>
        <v>3</v>
      </c>
      <c r="C2834" s="90">
        <v>42460</v>
      </c>
      <c r="D2834" s="90" t="s">
        <v>2220</v>
      </c>
      <c r="E2834" s="90">
        <v>42460</v>
      </c>
      <c r="F2834" s="92" t="s">
        <v>1204</v>
      </c>
      <c r="G2834" s="1089"/>
      <c r="H2834" s="92" t="s">
        <v>832</v>
      </c>
      <c r="I2834" s="414"/>
      <c r="J2834" s="414"/>
      <c r="K2834" s="405"/>
      <c r="L2834" s="414"/>
      <c r="M2834" s="93">
        <v>140728119</v>
      </c>
      <c r="N2834" s="83" t="s">
        <v>580</v>
      </c>
      <c r="O2834" s="83" t="s">
        <v>61</v>
      </c>
      <c r="P2834" s="82" t="str">
        <f>IF(AND('331-CT'!$E$7=TH!H2834,OR(N2834="331",O2834="331")),"x","")</f>
        <v/>
      </c>
      <c r="Q2834" s="82" t="str">
        <f>IF(AND(B2834='111'!$L$11,OR($N2834=$Q$7,$O2834=$Q$7)),"x","")</f>
        <v/>
      </c>
      <c r="R2834" s="82" t="str">
        <f>IF(AND($N2834=$Q$7,$B2834&lt;'111'!$L$11),"x","")</f>
        <v/>
      </c>
      <c r="S2834" s="82" t="str">
        <f>IF(AND($O2834=$Q$7,$B2834&lt;'111'!$L$11),"x","")</f>
        <v>x</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customHeight="1">
      <c r="A2835" s="323" t="str">
        <f>IF(B2835&lt;&gt;"",IF(AND(B2835='IN-TC'!$S$4,OR(TH!N2827="1111",TH!O2827="1111")),TH!D2827,""),"")</f>
        <v/>
      </c>
      <c r="B2835" s="63">
        <f t="shared" si="183"/>
        <v>3</v>
      </c>
      <c r="C2835" s="1077">
        <v>42460</v>
      </c>
      <c r="D2835" s="1077" t="s">
        <v>570</v>
      </c>
      <c r="E2835" s="1077">
        <f t="shared" ref="E2835:E2844" si="184">C2835</f>
        <v>42460</v>
      </c>
      <c r="F2835" s="80" t="s">
        <v>1339</v>
      </c>
      <c r="G2835" s="949"/>
      <c r="H2835" s="310" t="s">
        <v>1340</v>
      </c>
      <c r="I2835" s="406"/>
      <c r="J2835" s="406"/>
      <c r="K2835" s="397"/>
      <c r="L2835" s="406"/>
      <c r="M2835" s="81">
        <v>13069999</v>
      </c>
      <c r="N2835" s="1073" t="s">
        <v>75</v>
      </c>
      <c r="O2835" s="1073" t="s">
        <v>90</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customHeight="1">
      <c r="A2836" s="323" t="str">
        <f>IF(B2836&lt;&gt;"",IF(AND(B2836='IN-TC'!$S$4,OR(TH!N2836="1111",TH!O2836="1111")),TH!D2836,""),"")</f>
        <v/>
      </c>
      <c r="B2836" s="63">
        <f t="shared" si="183"/>
        <v>4</v>
      </c>
      <c r="C2836" s="64">
        <v>42462</v>
      </c>
      <c r="D2836" s="64" t="s">
        <v>851</v>
      </c>
      <c r="E2836" s="64">
        <f t="shared" si="184"/>
        <v>42462</v>
      </c>
      <c r="F2836" s="72" t="s">
        <v>997</v>
      </c>
      <c r="G2836" s="931" t="s">
        <v>1372</v>
      </c>
      <c r="H2836" s="72" t="s">
        <v>792</v>
      </c>
      <c r="I2836" s="408"/>
      <c r="J2836" s="408"/>
      <c r="K2836" s="399"/>
      <c r="L2836" s="408"/>
      <c r="M2836" s="65">
        <v>1036637</v>
      </c>
      <c r="N2836" s="66" t="s">
        <v>99</v>
      </c>
      <c r="O2836" s="66" t="s">
        <v>61</v>
      </c>
      <c r="P2836" s="82" t="str">
        <f>IF(AND('331-CT'!$E$7=TH!H2836,OR(N2836="331",O2836="331")),"x","")</f>
        <v/>
      </c>
      <c r="Q2836" s="82" t="str">
        <f>IF(AND(B2836='111'!$L$11,OR($N2836=$Q$7,$O2836=$Q$7)),"x","")</f>
        <v/>
      </c>
      <c r="R2836" s="82" t="str">
        <f>IF(AND($N2836=$Q$7,$B2836&lt;'111'!$L$11),"x","")</f>
        <v/>
      </c>
      <c r="S2836" s="82" t="str">
        <f>IF(AND($O2836=$Q$7,$B2836&lt;'111'!$L$11),"x","")</f>
        <v>x</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customHeight="1">
      <c r="A2837" s="323" t="str">
        <f>IF(B2837&lt;&gt;"",IF(AND(B2837='IN-TC'!$S$4,OR(TH!N2837="1111",TH!O2837="1111")),TH!D2837,""),"")</f>
        <v/>
      </c>
      <c r="B2837" s="63">
        <f t="shared" si="183"/>
        <v>4</v>
      </c>
      <c r="C2837" s="64">
        <v>42462</v>
      </c>
      <c r="D2837" s="64" t="s">
        <v>851</v>
      </c>
      <c r="E2837" s="64">
        <f t="shared" si="184"/>
        <v>42462</v>
      </c>
      <c r="F2837" s="72" t="s">
        <v>1373</v>
      </c>
      <c r="G2837" s="931" t="s">
        <v>1372</v>
      </c>
      <c r="H2837" s="72" t="s">
        <v>792</v>
      </c>
      <c r="I2837" s="408"/>
      <c r="J2837" s="408"/>
      <c r="K2837" s="399"/>
      <c r="L2837" s="408"/>
      <c r="M2837" s="65">
        <v>103663</v>
      </c>
      <c r="N2837" s="66" t="s">
        <v>9</v>
      </c>
      <c r="O2837" s="66" t="s">
        <v>61</v>
      </c>
      <c r="P2837" s="82" t="str">
        <f>IF(AND('331-CT'!$E$7=TH!H2837,OR(N2837="331",O2837="331")),"x","")</f>
        <v/>
      </c>
      <c r="Q2837" s="82" t="str">
        <f>IF(AND(B2837='111'!$L$11,OR($N2837=$Q$7,$O2837=$Q$7)),"x","")</f>
        <v/>
      </c>
      <c r="R2837" s="82" t="str">
        <f>IF(AND($N2837=$Q$7,$B2837&lt;'111'!$L$11),"x","")</f>
        <v/>
      </c>
      <c r="S2837" s="82" t="str">
        <f>IF(AND($O2837=$Q$7,$B2837&lt;'111'!$L$11),"x","")</f>
        <v>x</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x</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customHeight="1">
      <c r="A2838" s="323" t="str">
        <f>IF(B2838&lt;&gt;"",IF(AND(B2838='IN-TC'!$S$4,OR(TH!N2838="1111",TH!O2838="1111")),TH!D2838,""),"")</f>
        <v/>
      </c>
      <c r="B2838" s="63">
        <f t="shared" si="183"/>
        <v>4</v>
      </c>
      <c r="C2838" s="1092">
        <v>42464</v>
      </c>
      <c r="D2838" s="1092" t="s">
        <v>852</v>
      </c>
      <c r="E2838" s="1092">
        <f t="shared" si="184"/>
        <v>42464</v>
      </c>
      <c r="F2838" s="482" t="s">
        <v>947</v>
      </c>
      <c r="G2838" s="1094"/>
      <c r="H2838" s="1093" t="s">
        <v>946</v>
      </c>
      <c r="I2838" s="1095"/>
      <c r="J2838" s="1095"/>
      <c r="K2838" s="1096"/>
      <c r="L2838" s="1095"/>
      <c r="M2838" s="1097">
        <v>400000000</v>
      </c>
      <c r="N2838" s="1098" t="s">
        <v>266</v>
      </c>
      <c r="O2838" s="1098" t="s">
        <v>61</v>
      </c>
      <c r="P2838" s="82" t="str">
        <f>IF(AND('331-CT'!$E$7=TH!H2838,OR(N2838="331",O2838="331")),"x","")</f>
        <v/>
      </c>
      <c r="Q2838" s="82" t="str">
        <f>IF(AND(B2838='111'!$L$11,OR($N2838=$Q$7,$O2838=$Q$7)),"x","")</f>
        <v/>
      </c>
      <c r="R2838" s="82" t="str">
        <f>IF(AND($N2838=$Q$7,$B2838&lt;'111'!$L$11),"x","")</f>
        <v/>
      </c>
      <c r="S2838" s="82" t="str">
        <f>IF(AND($O2838=$Q$7,$B2838&lt;'111'!$L$11),"x","")</f>
        <v>x</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customHeight="1">
      <c r="A2839" s="323" t="str">
        <f>IF(B2839&lt;&gt;"",IF(AND(B2839='IN-TC'!$S$4,OR(TH!N2839="1111",TH!O2839="1111")),TH!D2839,""),"")</f>
        <v/>
      </c>
      <c r="B2839" s="63">
        <f t="shared" si="183"/>
        <v>4</v>
      </c>
      <c r="C2839" s="1092">
        <v>42464</v>
      </c>
      <c r="D2839" s="1092" t="s">
        <v>853</v>
      </c>
      <c r="E2839" s="1092">
        <f t="shared" si="184"/>
        <v>42464</v>
      </c>
      <c r="F2839" s="482" t="s">
        <v>947</v>
      </c>
      <c r="G2839" s="1094"/>
      <c r="H2839" s="1093" t="s">
        <v>3001</v>
      </c>
      <c r="I2839" s="1095"/>
      <c r="J2839" s="1095"/>
      <c r="K2839" s="1096"/>
      <c r="L2839" s="1095"/>
      <c r="M2839" s="1097">
        <v>400000000</v>
      </c>
      <c r="N2839" s="1098" t="s">
        <v>266</v>
      </c>
      <c r="O2839" s="1098" t="s">
        <v>61</v>
      </c>
      <c r="P2839" s="82" t="str">
        <f>IF(AND('331-CT'!$E$7=TH!H2839,OR(N2839="331",O2839="331")),"x","")</f>
        <v/>
      </c>
      <c r="Q2839" s="82" t="str">
        <f>IF(AND(B2839='111'!$L$11,OR($N2839=$Q$7,$O2839=$Q$7)),"x","")</f>
        <v/>
      </c>
      <c r="R2839" s="82" t="str">
        <f>IF(AND($N2839=$Q$7,$B2839&lt;'111'!$L$11),"x","")</f>
        <v/>
      </c>
      <c r="S2839" s="82" t="str">
        <f>IF(AND($O2839=$Q$7,$B2839&lt;'111'!$L$11),"x","")</f>
        <v>x</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customHeight="1">
      <c r="A2840" s="323" t="str">
        <f>IF(B2840&lt;&gt;"",IF(AND(B2840='IN-TC'!$S$4,OR(TH!N2866="1111",TH!O2866="1111")),TH!D2866,""),"")</f>
        <v/>
      </c>
      <c r="B2840" s="63">
        <f t="shared" si="183"/>
        <v>4</v>
      </c>
      <c r="C2840" s="64">
        <v>42464</v>
      </c>
      <c r="D2840" s="64" t="s">
        <v>854</v>
      </c>
      <c r="E2840" s="64">
        <f t="shared" si="184"/>
        <v>42464</v>
      </c>
      <c r="F2840" s="72" t="s">
        <v>996</v>
      </c>
      <c r="G2840" s="931" t="s">
        <v>1374</v>
      </c>
      <c r="H2840" s="72" t="s">
        <v>1020</v>
      </c>
      <c r="I2840" s="408"/>
      <c r="J2840" s="408"/>
      <c r="K2840" s="399"/>
      <c r="L2840" s="408"/>
      <c r="M2840" s="65">
        <v>2100000</v>
      </c>
      <c r="N2840" s="66" t="s">
        <v>99</v>
      </c>
      <c r="O2840" s="66" t="s">
        <v>61</v>
      </c>
      <c r="P2840" s="82" t="str">
        <f>IF(AND('331-CT'!$E$7=TH!H2840,OR(N2840="331",O2840="331")),"x","")</f>
        <v/>
      </c>
      <c r="Q2840" s="82" t="str">
        <f>IF(AND(B2840='111'!$L$11,OR($N2840=$Q$7,$O2840=$Q$7)),"x","")</f>
        <v/>
      </c>
      <c r="R2840" s="82" t="str">
        <f>IF(AND($N2840=$Q$7,$B2840&lt;'111'!$L$11),"x","")</f>
        <v/>
      </c>
      <c r="S2840" s="82" t="str">
        <f>IF(AND($O2840=$Q$7,$B2840&lt;'111'!$L$11),"x","")</f>
        <v>x</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customHeight="1">
      <c r="A2841" s="323" t="str">
        <f>IF(B2841&lt;&gt;"",IF(AND(B2841='IN-TC'!$S$4,OR(TH!N2867="1111",TH!O2867="1111")),TH!D2867,""),"")</f>
        <v/>
      </c>
      <c r="B2841" s="63">
        <f t="shared" si="183"/>
        <v>4</v>
      </c>
      <c r="C2841" s="64">
        <v>42464</v>
      </c>
      <c r="D2841" s="64" t="s">
        <v>855</v>
      </c>
      <c r="E2841" s="64">
        <f t="shared" si="184"/>
        <v>42464</v>
      </c>
      <c r="F2841" s="72" t="s">
        <v>761</v>
      </c>
      <c r="G2841" s="931" t="s">
        <v>1375</v>
      </c>
      <c r="H2841" s="72" t="s">
        <v>792</v>
      </c>
      <c r="I2841" s="408"/>
      <c r="J2841" s="408"/>
      <c r="K2841" s="399"/>
      <c r="L2841" s="408"/>
      <c r="M2841" s="65">
        <v>646036</v>
      </c>
      <c r="N2841" s="66" t="s">
        <v>99</v>
      </c>
      <c r="O2841" s="66" t="s">
        <v>61</v>
      </c>
      <c r="P2841" s="82" t="str">
        <f>IF(AND('331-CT'!$E$7=TH!H2841,OR(N2841="331",O2841="331")),"x","")</f>
        <v/>
      </c>
      <c r="Q2841" s="82" t="str">
        <f>IF(AND(B2841='111'!$L$11,OR($N2841=$Q$7,$O2841=$Q$7)),"x","")</f>
        <v/>
      </c>
      <c r="R2841" s="82" t="str">
        <f>IF(AND($N2841=$Q$7,$B2841&lt;'111'!$L$11),"x","")</f>
        <v/>
      </c>
      <c r="S2841" s="82" t="str">
        <f>IF(AND($O2841=$Q$7,$B2841&lt;'111'!$L$11),"x","")</f>
        <v>x</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customHeight="1">
      <c r="A2842" s="323" t="str">
        <f>IF(B2842&lt;&gt;"",IF(AND(B2842='IN-TC'!$S$4,OR(TH!N2868="1111",TH!O2868="1111")),TH!D2868,""),"")</f>
        <v/>
      </c>
      <c r="B2842" s="63">
        <f t="shared" si="183"/>
        <v>4</v>
      </c>
      <c r="C2842" s="64">
        <v>42464</v>
      </c>
      <c r="D2842" s="64" t="s">
        <v>855</v>
      </c>
      <c r="E2842" s="64">
        <f t="shared" si="184"/>
        <v>42464</v>
      </c>
      <c r="F2842" s="72" t="s">
        <v>762</v>
      </c>
      <c r="G2842" s="931" t="s">
        <v>1375</v>
      </c>
      <c r="H2842" s="72" t="s">
        <v>792</v>
      </c>
      <c r="I2842" s="408"/>
      <c r="J2842" s="408"/>
      <c r="K2842" s="399"/>
      <c r="L2842" s="408"/>
      <c r="M2842" s="65">
        <v>64604</v>
      </c>
      <c r="N2842" s="66" t="s">
        <v>9</v>
      </c>
      <c r="O2842" s="66" t="s">
        <v>61</v>
      </c>
      <c r="P2842" s="82" t="str">
        <f>IF(AND('331-CT'!$E$7=TH!H2842,OR(N2842="331",O2842="331")),"x","")</f>
        <v/>
      </c>
      <c r="Q2842" s="82" t="str">
        <f>IF(AND(B2842='111'!$L$11,OR($N2842=$Q$7,$O2842=$Q$7)),"x","")</f>
        <v/>
      </c>
      <c r="R2842" s="82" t="str">
        <f>IF(AND($N2842=$Q$7,$B2842&lt;'111'!$L$11),"x","")</f>
        <v/>
      </c>
      <c r="S2842" s="82" t="str">
        <f>IF(AND($O2842=$Q$7,$B2842&lt;'111'!$L$11),"x","")</f>
        <v>x</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x</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customHeight="1">
      <c r="A2843" s="323" t="str">
        <f>IF(B2843&lt;&gt;"",IF(AND(B2843='IN-TC'!$S$4,OR(TH!N2869="1111",TH!O2869="1111")),TH!D2869,""),"")</f>
        <v/>
      </c>
      <c r="B2843" s="63">
        <f t="shared" si="183"/>
        <v>4</v>
      </c>
      <c r="C2843" s="64">
        <v>42465</v>
      </c>
      <c r="D2843" s="64" t="s">
        <v>856</v>
      </c>
      <c r="E2843" s="64">
        <f t="shared" si="184"/>
        <v>42465</v>
      </c>
      <c r="F2843" s="72" t="s">
        <v>1376</v>
      </c>
      <c r="G2843" s="931" t="s">
        <v>1377</v>
      </c>
      <c r="H2843" s="72" t="s">
        <v>830</v>
      </c>
      <c r="I2843" s="408"/>
      <c r="J2843" s="408"/>
      <c r="K2843" s="399"/>
      <c r="L2843" s="408"/>
      <c r="M2843" s="65">
        <v>1981538</v>
      </c>
      <c r="N2843" s="66" t="s">
        <v>99</v>
      </c>
      <c r="O2843" s="66" t="s">
        <v>61</v>
      </c>
      <c r="P2843" s="82" t="str">
        <f>IF(AND('331-CT'!$E$7=TH!H2843,OR(N2843="331",O2843="331")),"x","")</f>
        <v/>
      </c>
      <c r="Q2843" s="82" t="str">
        <f>IF(AND(B2843='111'!$L$11,OR($N2843=$Q$7,$O2843=$Q$7)),"x","")</f>
        <v/>
      </c>
      <c r="R2843" s="82" t="str">
        <f>IF(AND($N2843=$Q$7,$B2843&lt;'111'!$L$11),"x","")</f>
        <v/>
      </c>
      <c r="S2843" s="82" t="str">
        <f>IF(AND($O2843=$Q$7,$B2843&lt;'111'!$L$11),"x","")</f>
        <v>x</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customHeight="1">
      <c r="A2844" s="323" t="str">
        <f>IF(B2844&lt;&gt;"",IF(AND(B2844='IN-TC'!$S$4,OR(TH!N2870="1111",TH!O2870="1111")),TH!D2870,""),"")</f>
        <v/>
      </c>
      <c r="B2844" s="63">
        <f t="shared" si="183"/>
        <v>4</v>
      </c>
      <c r="C2844" s="64">
        <v>42465</v>
      </c>
      <c r="D2844" s="64" t="s">
        <v>856</v>
      </c>
      <c r="E2844" s="64">
        <f t="shared" si="184"/>
        <v>42465</v>
      </c>
      <c r="F2844" s="72" t="s">
        <v>1378</v>
      </c>
      <c r="G2844" s="931" t="s">
        <v>1377</v>
      </c>
      <c r="H2844" s="72" t="s">
        <v>830</v>
      </c>
      <c r="I2844" s="408"/>
      <c r="J2844" s="408"/>
      <c r="K2844" s="399"/>
      <c r="L2844" s="408"/>
      <c r="M2844" s="65">
        <v>198154</v>
      </c>
      <c r="N2844" s="66" t="s">
        <v>9</v>
      </c>
      <c r="O2844" s="66" t="s">
        <v>61</v>
      </c>
      <c r="P2844" s="82" t="str">
        <f>IF(AND('331-CT'!$E$7=TH!H2844,OR(N2844="331",O2844="331")),"x","")</f>
        <v/>
      </c>
      <c r="Q2844" s="82" t="str">
        <f>IF(AND(B2844='111'!$L$11,OR($N2844=$Q$7,$O2844=$Q$7)),"x","")</f>
        <v/>
      </c>
      <c r="R2844" s="82" t="str">
        <f>IF(AND($N2844=$Q$7,$B2844&lt;'111'!$L$11),"x","")</f>
        <v/>
      </c>
      <c r="S2844" s="82" t="str">
        <f>IF(AND($O2844=$Q$7,$B2844&lt;'111'!$L$11),"x","")</f>
        <v>x</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x</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customHeight="1">
      <c r="A2845" s="323" t="str">
        <f>IF(B2845&lt;&gt;"",IF(AND(B2845='IN-TC'!$S$4,OR(TH!N2909="1111",TH!O2909="1111")),TH!D2909,""),"")</f>
        <v/>
      </c>
      <c r="B2845" s="63">
        <f t="shared" si="183"/>
        <v>4</v>
      </c>
      <c r="C2845" s="64">
        <f t="shared" ref="C2845:C2856" si="185">E2845</f>
        <v>42466</v>
      </c>
      <c r="D2845" s="64" t="s">
        <v>690</v>
      </c>
      <c r="E2845" s="64">
        <v>42466</v>
      </c>
      <c r="F2845" s="72" t="s">
        <v>1172</v>
      </c>
      <c r="G2845" s="931" t="s">
        <v>902</v>
      </c>
      <c r="H2845" s="72"/>
      <c r="I2845" s="408"/>
      <c r="J2845" s="408"/>
      <c r="K2845" s="399"/>
      <c r="L2845" s="408"/>
      <c r="M2845" s="65">
        <v>333900</v>
      </c>
      <c r="N2845" s="66" t="s">
        <v>99</v>
      </c>
      <c r="O2845" s="66" t="s">
        <v>25</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customHeight="1">
      <c r="A2846" s="323" t="str">
        <f>IF(B2846&lt;&gt;"",IF(AND(B2846='IN-TC'!$S$4,OR(TH!N2910="1111",TH!O2910="1111")),TH!D2910,""),"")</f>
        <v/>
      </c>
      <c r="B2846" s="63">
        <f t="shared" si="183"/>
        <v>4</v>
      </c>
      <c r="C2846" s="64">
        <f t="shared" si="185"/>
        <v>42466</v>
      </c>
      <c r="D2846" s="64" t="s">
        <v>690</v>
      </c>
      <c r="E2846" s="64">
        <v>42466</v>
      </c>
      <c r="F2846" s="72" t="s">
        <v>1173</v>
      </c>
      <c r="G2846" s="931" t="s">
        <v>902</v>
      </c>
      <c r="H2846" s="72"/>
      <c r="I2846" s="408"/>
      <c r="J2846" s="408"/>
      <c r="K2846" s="399"/>
      <c r="L2846" s="408"/>
      <c r="M2846" s="65">
        <v>33390</v>
      </c>
      <c r="N2846" s="66" t="s">
        <v>9</v>
      </c>
      <c r="O2846" s="66" t="s">
        <v>25</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x</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customHeight="1">
      <c r="A2847" s="323" t="str">
        <f>IF(B2847&lt;&gt;"",IF(AND(B2847='IN-TC'!$S$4,OR(TH!N2911="1111",TH!O2911="1111")),TH!D2911,""),"")</f>
        <v/>
      </c>
      <c r="B2847" s="63">
        <f t="shared" si="183"/>
        <v>4</v>
      </c>
      <c r="C2847" s="64">
        <f t="shared" si="185"/>
        <v>42466</v>
      </c>
      <c r="D2847" s="64" t="s">
        <v>690</v>
      </c>
      <c r="E2847" s="64">
        <v>42466</v>
      </c>
      <c r="F2847" s="72" t="s">
        <v>1029</v>
      </c>
      <c r="G2847" s="931" t="s">
        <v>902</v>
      </c>
      <c r="H2847" s="329" t="s">
        <v>705</v>
      </c>
      <c r="I2847" s="408"/>
      <c r="J2847" s="408"/>
      <c r="K2847" s="399"/>
      <c r="L2847" s="408"/>
      <c r="M2847" s="65">
        <v>1203494</v>
      </c>
      <c r="N2847" s="66" t="s">
        <v>97</v>
      </c>
      <c r="O2847" s="66" t="s">
        <v>25</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customHeight="1">
      <c r="A2848" s="323" t="str">
        <f>IF(B2848&lt;&gt;"",IF(AND(B2848='IN-TC'!$S$4,OR(TH!N2912="1111",TH!O2912="1111")),TH!D2912,""),"")</f>
        <v/>
      </c>
      <c r="B2848" s="63">
        <f t="shared" si="183"/>
        <v>4</v>
      </c>
      <c r="C2848" s="64">
        <f t="shared" si="185"/>
        <v>42466</v>
      </c>
      <c r="D2848" s="64" t="s">
        <v>690</v>
      </c>
      <c r="E2848" s="64">
        <v>42466</v>
      </c>
      <c r="F2848" s="72" t="s">
        <v>1030</v>
      </c>
      <c r="G2848" s="931" t="s">
        <v>902</v>
      </c>
      <c r="H2848" s="329" t="s">
        <v>698</v>
      </c>
      <c r="I2848" s="408"/>
      <c r="J2848" s="408"/>
      <c r="K2848" s="399"/>
      <c r="L2848" s="408"/>
      <c r="M2848" s="65">
        <v>2881735</v>
      </c>
      <c r="N2848" s="66" t="s">
        <v>97</v>
      </c>
      <c r="O2848" s="66" t="s">
        <v>25</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customHeight="1">
      <c r="A2849" s="323" t="str">
        <f>IF(B2849&lt;&gt;"",IF(AND(B2849='IN-TC'!$S$4,OR(TH!N2913="1111",TH!O2913="1111")),TH!D2913,""),"")</f>
        <v/>
      </c>
      <c r="B2849" s="63">
        <f t="shared" si="183"/>
        <v>4</v>
      </c>
      <c r="C2849" s="64">
        <f t="shared" si="185"/>
        <v>42466</v>
      </c>
      <c r="D2849" s="64" t="s">
        <v>690</v>
      </c>
      <c r="E2849" s="64">
        <v>42466</v>
      </c>
      <c r="F2849" s="72" t="s">
        <v>1031</v>
      </c>
      <c r="G2849" s="931" t="s">
        <v>902</v>
      </c>
      <c r="H2849" s="329" t="s">
        <v>699</v>
      </c>
      <c r="I2849" s="408"/>
      <c r="J2849" s="408"/>
      <c r="K2849" s="399"/>
      <c r="L2849" s="408"/>
      <c r="M2849" s="65">
        <v>1774440</v>
      </c>
      <c r="N2849" s="66" t="s">
        <v>97</v>
      </c>
      <c r="O2849" s="66" t="s">
        <v>25</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customHeight="1">
      <c r="A2850" s="323" t="str">
        <f>IF(B2850&lt;&gt;"",IF(AND(B2850='IN-TC'!$S$4,OR(TH!N2914="1111",TH!O2914="1111")),TH!D2914,""),"")</f>
        <v/>
      </c>
      <c r="B2850" s="63">
        <f t="shared" si="183"/>
        <v>4</v>
      </c>
      <c r="C2850" s="64">
        <f t="shared" si="185"/>
        <v>42466</v>
      </c>
      <c r="D2850" s="64" t="s">
        <v>690</v>
      </c>
      <c r="E2850" s="64">
        <v>42466</v>
      </c>
      <c r="F2850" s="72" t="s">
        <v>1032</v>
      </c>
      <c r="G2850" s="931" t="s">
        <v>902</v>
      </c>
      <c r="H2850" s="329" t="s">
        <v>706</v>
      </c>
      <c r="I2850" s="408"/>
      <c r="J2850" s="408"/>
      <c r="K2850" s="399"/>
      <c r="L2850" s="408"/>
      <c r="M2850" s="65">
        <v>2483993</v>
      </c>
      <c r="N2850" s="66" t="s">
        <v>97</v>
      </c>
      <c r="O2850" s="66" t="s">
        <v>25</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customHeight="1">
      <c r="A2851" s="323" t="str">
        <f>IF(B2851&lt;&gt;"",IF(AND(B2851='IN-TC'!$S$4,OR(TH!N2871="1111",TH!O2871="1111")),TH!D2871,""),"")</f>
        <v/>
      </c>
      <c r="B2851" s="63">
        <f t="shared" si="183"/>
        <v>4</v>
      </c>
      <c r="C2851" s="64">
        <f t="shared" si="185"/>
        <v>42468</v>
      </c>
      <c r="D2851" s="64" t="s">
        <v>858</v>
      </c>
      <c r="E2851" s="64">
        <v>42468</v>
      </c>
      <c r="F2851" s="72" t="s">
        <v>1087</v>
      </c>
      <c r="G2851" s="931" t="s">
        <v>902</v>
      </c>
      <c r="H2851" s="72" t="s">
        <v>1343</v>
      </c>
      <c r="I2851" s="408"/>
      <c r="J2851" s="408"/>
      <c r="K2851" s="399"/>
      <c r="L2851" s="408"/>
      <c r="M2851" s="65">
        <v>20000000</v>
      </c>
      <c r="N2851" s="66" t="s">
        <v>25</v>
      </c>
      <c r="O2851" s="66" t="s">
        <v>61</v>
      </c>
      <c r="P2851" s="82" t="str">
        <f>IF(AND('331-CT'!$E$7=TH!H2851,OR(N2851="331",O2851="331")),"x","")</f>
        <v/>
      </c>
      <c r="Q2851" s="82" t="str">
        <f>IF(AND(B2851='111'!$L$11,OR($N2851=$Q$7,$O2851=$Q$7)),"x","")</f>
        <v/>
      </c>
      <c r="R2851" s="82" t="str">
        <f>IF(AND($N2851=$Q$7,$B2851&lt;'111'!$L$11),"x","")</f>
        <v/>
      </c>
      <c r="S2851" s="82" t="str">
        <f>IF(AND($O2851=$Q$7,$B2851&lt;'111'!$L$11),"x","")</f>
        <v>x</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customHeight="1">
      <c r="A2852" s="323" t="str">
        <f>IF(B2852&lt;&gt;"",IF(AND(B2852='IN-TC'!$S$4,OR(TH!N2896="1111",TH!O2896="1111")),TH!D2896,""),"")</f>
        <v/>
      </c>
      <c r="B2852" s="63">
        <f t="shared" si="183"/>
        <v>4</v>
      </c>
      <c r="C2852" s="64">
        <f t="shared" si="185"/>
        <v>42468</v>
      </c>
      <c r="D2852" s="64" t="s">
        <v>690</v>
      </c>
      <c r="E2852" s="64">
        <v>42468</v>
      </c>
      <c r="F2852" s="72" t="s">
        <v>1423</v>
      </c>
      <c r="G2852" s="931" t="s">
        <v>902</v>
      </c>
      <c r="H2852" s="72"/>
      <c r="I2852" s="408"/>
      <c r="J2852" s="408"/>
      <c r="K2852" s="399">
        <v>5</v>
      </c>
      <c r="L2852" s="408">
        <v>22260</v>
      </c>
      <c r="M2852" s="65">
        <f>ROUND(K2852*L2852,0)</f>
        <v>111300</v>
      </c>
      <c r="N2852" s="66" t="s">
        <v>99</v>
      </c>
      <c r="O2852" s="66" t="s">
        <v>260</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customHeight="1">
      <c r="A2853" s="323" t="str">
        <f>IF(B2853&lt;&gt;"",IF(AND(B2853='IN-TC'!$S$4,OR(TH!N2897="1111",TH!O2897="1111")),TH!D2897,""),"")</f>
        <v/>
      </c>
      <c r="B2853" s="63">
        <f t="shared" si="183"/>
        <v>4</v>
      </c>
      <c r="C2853" s="64">
        <f t="shared" si="185"/>
        <v>42468</v>
      </c>
      <c r="D2853" s="64" t="s">
        <v>690</v>
      </c>
      <c r="E2853" s="64">
        <v>42468</v>
      </c>
      <c r="F2853" s="72" t="s">
        <v>1424</v>
      </c>
      <c r="G2853" s="931" t="s">
        <v>902</v>
      </c>
      <c r="H2853" s="72"/>
      <c r="I2853" s="408"/>
      <c r="J2853" s="408"/>
      <c r="K2853" s="399">
        <v>0.5</v>
      </c>
      <c r="L2853" s="408">
        <v>22260</v>
      </c>
      <c r="M2853" s="65">
        <f>ROUND(K2853*L2853,0)</f>
        <v>11130</v>
      </c>
      <c r="N2853" s="66" t="s">
        <v>9</v>
      </c>
      <c r="O2853" s="66" t="s">
        <v>260</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x</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23" t="str">
        <f>IF(B2854&lt;&gt;"",IF(AND(B2854='IN-TC'!$S$4,OR(TH!N2906="1111",TH!O2906="1111")),TH!D2906,""),"")</f>
        <v/>
      </c>
      <c r="B2854" s="63">
        <f t="shared" si="183"/>
        <v>4</v>
      </c>
      <c r="C2854" s="64">
        <f t="shared" si="185"/>
        <v>42468</v>
      </c>
      <c r="D2854" s="64" t="s">
        <v>690</v>
      </c>
      <c r="E2854" s="64">
        <v>42468</v>
      </c>
      <c r="F2854" s="72" t="s">
        <v>1426</v>
      </c>
      <c r="G2854" s="931" t="s">
        <v>901</v>
      </c>
      <c r="H2854" s="72" t="s">
        <v>1410</v>
      </c>
      <c r="I2854" s="408"/>
      <c r="J2854" s="408"/>
      <c r="K2854" s="399"/>
      <c r="L2854" s="408"/>
      <c r="M2854" s="65">
        <v>1000000</v>
      </c>
      <c r="N2854" s="309" t="s">
        <v>8</v>
      </c>
      <c r="O2854" s="66" t="s">
        <v>25</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23" t="str">
        <f>IF(B2855&lt;&gt;"",IF(AND(B2855='IN-TC'!$S$4,OR(TH!N2907="1111",TH!O2907="1111")),TH!D2907,""),"")</f>
        <v/>
      </c>
      <c r="B2855" s="63">
        <f t="shared" si="183"/>
        <v>4</v>
      </c>
      <c r="C2855" s="64">
        <f t="shared" si="185"/>
        <v>42468</v>
      </c>
      <c r="D2855" s="64" t="s">
        <v>690</v>
      </c>
      <c r="E2855" s="64">
        <v>42468</v>
      </c>
      <c r="F2855" s="72" t="s">
        <v>1179</v>
      </c>
      <c r="G2855" s="931" t="s">
        <v>901</v>
      </c>
      <c r="H2855" s="72"/>
      <c r="I2855" s="408"/>
      <c r="J2855" s="408"/>
      <c r="K2855" s="399"/>
      <c r="L2855" s="408"/>
      <c r="M2855" s="65">
        <v>20000</v>
      </c>
      <c r="N2855" s="66" t="s">
        <v>99</v>
      </c>
      <c r="O2855" s="66" t="s">
        <v>25</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customHeight="1">
      <c r="A2856" s="323" t="str">
        <f>IF(B2856&lt;&gt;"",IF(AND(B2856='IN-TC'!$S$4,OR(TH!N2908="1111",TH!O2908="1111")),TH!D2908,""),"")</f>
        <v/>
      </c>
      <c r="B2856" s="63">
        <f t="shared" si="183"/>
        <v>4</v>
      </c>
      <c r="C2856" s="64">
        <f t="shared" si="185"/>
        <v>42468</v>
      </c>
      <c r="D2856" s="64" t="s">
        <v>690</v>
      </c>
      <c r="E2856" s="64">
        <v>42468</v>
      </c>
      <c r="F2856" s="72" t="s">
        <v>1180</v>
      </c>
      <c r="G2856" s="931" t="s">
        <v>901</v>
      </c>
      <c r="H2856" s="72"/>
      <c r="I2856" s="408"/>
      <c r="J2856" s="408"/>
      <c r="K2856" s="399"/>
      <c r="L2856" s="408"/>
      <c r="M2856" s="65">
        <v>2000</v>
      </c>
      <c r="N2856" s="66" t="s">
        <v>9</v>
      </c>
      <c r="O2856" s="66" t="s">
        <v>25</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x</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customHeight="1">
      <c r="A2857" s="323" t="str">
        <f>IF(B2857&lt;&gt;"",IF(AND(B2857='IN-TC'!$S$4,OR(TH!N4011="1111",TH!O4011="1111")),TH!D4011,""),"")</f>
        <v>C48</v>
      </c>
      <c r="B2857" s="63">
        <f t="shared" si="183"/>
        <v>10</v>
      </c>
      <c r="C2857" s="64">
        <v>42662</v>
      </c>
      <c r="D2857" s="64" t="s">
        <v>690</v>
      </c>
      <c r="E2857" s="64">
        <f>C2857</f>
        <v>42662</v>
      </c>
      <c r="F2857" s="72" t="s">
        <v>2158</v>
      </c>
      <c r="G2857" s="67" t="s">
        <v>1544</v>
      </c>
      <c r="H2857" s="329" t="s">
        <v>617</v>
      </c>
      <c r="I2857" s="408"/>
      <c r="J2857" s="408"/>
      <c r="K2857" s="399"/>
      <c r="L2857" s="408"/>
      <c r="M2857" s="65">
        <v>20797260</v>
      </c>
      <c r="N2857" s="66" t="s">
        <v>8</v>
      </c>
      <c r="O2857" s="66" t="s">
        <v>25</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x</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customHeight="1">
      <c r="A2858" s="323" t="str">
        <f>IF(B2858&lt;&gt;"",IF(AND(B2858='IN-TC'!$S$4,OR(TH!N2916="1111",TH!O2916="1111")),TH!D2916,""),"")</f>
        <v/>
      </c>
      <c r="B2858" s="63">
        <f t="shared" si="183"/>
        <v>4</v>
      </c>
      <c r="C2858" s="64">
        <f>E2858</f>
        <v>42468</v>
      </c>
      <c r="D2858" s="64" t="s">
        <v>690</v>
      </c>
      <c r="E2858" s="64">
        <v>42468</v>
      </c>
      <c r="F2858" s="72" t="s">
        <v>1179</v>
      </c>
      <c r="G2858" s="931" t="s">
        <v>902</v>
      </c>
      <c r="H2858" s="72"/>
      <c r="I2858" s="408"/>
      <c r="J2858" s="408"/>
      <c r="K2858" s="399"/>
      <c r="L2858" s="408"/>
      <c r="M2858" s="65">
        <v>45000</v>
      </c>
      <c r="N2858" s="66" t="s">
        <v>99</v>
      </c>
      <c r="O2858" s="66" t="s">
        <v>25</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customHeight="1">
      <c r="A2859" s="323" t="str">
        <f>IF(B2859&lt;&gt;"",IF(AND(B2859='IN-TC'!$S$4,OR(TH!N2917="1111",TH!O2917="1111")),TH!D2917,""),"")</f>
        <v/>
      </c>
      <c r="B2859" s="63">
        <f t="shared" si="183"/>
        <v>4</v>
      </c>
      <c r="C2859" s="64">
        <f>E2859</f>
        <v>42468</v>
      </c>
      <c r="D2859" s="64" t="s">
        <v>690</v>
      </c>
      <c r="E2859" s="64">
        <v>42468</v>
      </c>
      <c r="F2859" s="72" t="s">
        <v>1180</v>
      </c>
      <c r="G2859" s="931" t="s">
        <v>902</v>
      </c>
      <c r="H2859" s="72"/>
      <c r="I2859" s="408"/>
      <c r="J2859" s="408"/>
      <c r="K2859" s="399"/>
      <c r="L2859" s="408"/>
      <c r="M2859" s="65">
        <v>4500</v>
      </c>
      <c r="N2859" s="66" t="s">
        <v>9</v>
      </c>
      <c r="O2859" s="66" t="s">
        <v>25</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x</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customHeight="1">
      <c r="A2860" s="323" t="str">
        <f>IF(B2860&lt;&gt;"",IF(AND(B2860='IN-TC'!$S$4,OR(TH!N842="1111",TH!O842="1111")),TH!D842,""),"")</f>
        <v/>
      </c>
      <c r="B2860" s="63">
        <f t="shared" si="183"/>
        <v>7</v>
      </c>
      <c r="C2860" s="64">
        <v>42567</v>
      </c>
      <c r="D2860" s="78" t="s">
        <v>662</v>
      </c>
      <c r="E2860" s="78">
        <f>C2860</f>
        <v>42567</v>
      </c>
      <c r="F2860" s="79" t="s">
        <v>1392</v>
      </c>
      <c r="G2860" s="934" t="s">
        <v>1711</v>
      </c>
      <c r="H2860" s="80" t="s">
        <v>1391</v>
      </c>
      <c r="I2860" s="406"/>
      <c r="J2860" s="406"/>
      <c r="K2860" s="397"/>
      <c r="L2860" s="406"/>
      <c r="M2860" s="81">
        <v>636400</v>
      </c>
      <c r="N2860" s="82" t="s">
        <v>9</v>
      </c>
      <c r="O2860" s="82" t="s">
        <v>8</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x</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customHeight="1">
      <c r="A2861" s="323" t="str">
        <f>IF(B2861&lt;&gt;"",IF(AND(B2861='IN-TC'!$S$4,OR(TH!N2873="1111",TH!O2873="1111")),TH!D2873,""),"")</f>
        <v/>
      </c>
      <c r="B2861" s="63">
        <f t="shared" si="183"/>
        <v>4</v>
      </c>
      <c r="C2861" s="64">
        <v>42475</v>
      </c>
      <c r="D2861" s="64" t="s">
        <v>860</v>
      </c>
      <c r="E2861" s="64">
        <f>C2861</f>
        <v>42475</v>
      </c>
      <c r="F2861" s="72" t="s">
        <v>997</v>
      </c>
      <c r="G2861" s="931" t="s">
        <v>1379</v>
      </c>
      <c r="H2861" s="72" t="s">
        <v>792</v>
      </c>
      <c r="I2861" s="408"/>
      <c r="J2861" s="408"/>
      <c r="K2861" s="399"/>
      <c r="L2861" s="408"/>
      <c r="M2861" s="65">
        <v>2879537</v>
      </c>
      <c r="N2861" s="66" t="s">
        <v>99</v>
      </c>
      <c r="O2861" s="66" t="s">
        <v>61</v>
      </c>
      <c r="P2861" s="82" t="str">
        <f>IF(AND('331-CT'!$E$7=TH!H2861,OR(N2861="331",O2861="331")),"x","")</f>
        <v/>
      </c>
      <c r="Q2861" s="82" t="str">
        <f>IF(AND(B2861='111'!$L$11,OR($N2861=$Q$7,$O2861=$Q$7)),"x","")</f>
        <v/>
      </c>
      <c r="R2861" s="82" t="str">
        <f>IF(AND($N2861=$Q$7,$B2861&lt;'111'!$L$11),"x","")</f>
        <v/>
      </c>
      <c r="S2861" s="82" t="str">
        <f>IF(AND($O2861=$Q$7,$B2861&lt;'111'!$L$11),"x","")</f>
        <v>x</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customHeight="1">
      <c r="A2862" s="323" t="str">
        <f>IF(B2862&lt;&gt;"",IF(AND(B2862='IN-TC'!$S$4,OR(TH!N2874="1111",TH!O2874="1111")),TH!D2874,""),"")</f>
        <v/>
      </c>
      <c r="B2862" s="63">
        <f t="shared" ref="B2862:B2925" si="186">IF(C2862&lt;&gt;"",MONTH(C2862),"")</f>
        <v>4</v>
      </c>
      <c r="C2862" s="64">
        <v>42475</v>
      </c>
      <c r="D2862" s="64" t="s">
        <v>860</v>
      </c>
      <c r="E2862" s="64">
        <f>C2862</f>
        <v>42475</v>
      </c>
      <c r="F2862" s="72" t="s">
        <v>1373</v>
      </c>
      <c r="G2862" s="931" t="s">
        <v>1379</v>
      </c>
      <c r="H2862" s="72" t="s">
        <v>792</v>
      </c>
      <c r="I2862" s="408"/>
      <c r="J2862" s="408"/>
      <c r="K2862" s="399"/>
      <c r="L2862" s="408"/>
      <c r="M2862" s="65">
        <v>287953</v>
      </c>
      <c r="N2862" s="66" t="s">
        <v>9</v>
      </c>
      <c r="O2862" s="66" t="s">
        <v>61</v>
      </c>
      <c r="P2862" s="82" t="str">
        <f>IF(AND('331-CT'!$E$7=TH!H2862,OR(N2862="331",O2862="331")),"x","")</f>
        <v/>
      </c>
      <c r="Q2862" s="82" t="str">
        <f>IF(AND(B2862='111'!$L$11,OR($N2862=$Q$7,$O2862=$Q$7)),"x","")</f>
        <v/>
      </c>
      <c r="R2862" s="82" t="str">
        <f>IF(AND($N2862=$Q$7,$B2862&lt;'111'!$L$11),"x","")</f>
        <v/>
      </c>
      <c r="S2862" s="82" t="str">
        <f>IF(AND($O2862=$Q$7,$B2862&lt;'111'!$L$11),"x","")</f>
        <v>x</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x</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customHeight="1">
      <c r="A2863" s="323" t="str">
        <f>IF(B2863&lt;&gt;"",IF(AND(B2863='IN-TC'!$S$4,OR(TH!N2875="1111",TH!O2875="1111")),TH!D2875,""),"")</f>
        <v/>
      </c>
      <c r="B2863" s="63">
        <f t="shared" si="186"/>
        <v>4</v>
      </c>
      <c r="C2863" s="64">
        <v>42475</v>
      </c>
      <c r="D2863" s="64" t="s">
        <v>861</v>
      </c>
      <c r="E2863" s="64">
        <f>C2863</f>
        <v>42475</v>
      </c>
      <c r="F2863" s="72" t="s">
        <v>1380</v>
      </c>
      <c r="G2863" s="931" t="s">
        <v>1381</v>
      </c>
      <c r="H2863" s="72" t="s">
        <v>1382</v>
      </c>
      <c r="I2863" s="408"/>
      <c r="J2863" s="408"/>
      <c r="K2863" s="399"/>
      <c r="L2863" s="408"/>
      <c r="M2863" s="65">
        <v>1935000</v>
      </c>
      <c r="N2863" s="66" t="s">
        <v>99</v>
      </c>
      <c r="O2863" s="66" t="s">
        <v>61</v>
      </c>
      <c r="P2863" s="82" t="str">
        <f>IF(AND('331-CT'!$E$7=TH!H2863,OR(N2863="331",O2863="331")),"x","")</f>
        <v/>
      </c>
      <c r="Q2863" s="82" t="str">
        <f>IF(AND(B2863='111'!$L$11,OR($N2863=$Q$7,$O2863=$Q$7)),"x","")</f>
        <v/>
      </c>
      <c r="R2863" s="82" t="str">
        <f>IF(AND($N2863=$Q$7,$B2863&lt;'111'!$L$11),"x","")</f>
        <v/>
      </c>
      <c r="S2863" s="82" t="str">
        <f>IF(AND($O2863=$Q$7,$B2863&lt;'111'!$L$11),"x","")</f>
        <v>x</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customHeight="1">
      <c r="A2864" s="323" t="str">
        <f>IF(B2864&lt;&gt;"",IF(AND(B2864='IN-TC'!$S$4,OR(TH!N2898="1111",TH!O2898="1111")),TH!D2898,""),"")</f>
        <v/>
      </c>
      <c r="B2864" s="63">
        <f t="shared" si="186"/>
        <v>4</v>
      </c>
      <c r="C2864" s="64">
        <f t="shared" ref="C2864:C2877" si="187">E2864</f>
        <v>42475</v>
      </c>
      <c r="D2864" s="64" t="s">
        <v>690</v>
      </c>
      <c r="E2864" s="64">
        <v>42475</v>
      </c>
      <c r="F2864" s="72" t="s">
        <v>1423</v>
      </c>
      <c r="G2864" s="931" t="s">
        <v>902</v>
      </c>
      <c r="H2864" s="72"/>
      <c r="I2864" s="408"/>
      <c r="J2864" s="408"/>
      <c r="K2864" s="399">
        <v>5</v>
      </c>
      <c r="L2864" s="408">
        <v>22260</v>
      </c>
      <c r="M2864" s="65">
        <f t="shared" ref="M2864:M2870" si="188">ROUND(K2864*L2864,0)</f>
        <v>111300</v>
      </c>
      <c r="N2864" s="66" t="s">
        <v>99</v>
      </c>
      <c r="O2864" s="66" t="s">
        <v>260</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customHeight="1">
      <c r="A2865" s="323" t="str">
        <f>IF(B2865&lt;&gt;"",IF(AND(B2865='IN-TC'!$S$4,OR(TH!N2899="1111",TH!O2899="1111")),TH!D2899,""),"")</f>
        <v/>
      </c>
      <c r="B2865" s="63">
        <f t="shared" si="186"/>
        <v>4</v>
      </c>
      <c r="C2865" s="64">
        <f t="shared" si="187"/>
        <v>42475</v>
      </c>
      <c r="D2865" s="64" t="s">
        <v>690</v>
      </c>
      <c r="E2865" s="64">
        <v>42475</v>
      </c>
      <c r="F2865" s="72" t="s">
        <v>1424</v>
      </c>
      <c r="G2865" s="931" t="s">
        <v>902</v>
      </c>
      <c r="H2865" s="72"/>
      <c r="I2865" s="408"/>
      <c r="J2865" s="408"/>
      <c r="K2865" s="399">
        <v>0.5</v>
      </c>
      <c r="L2865" s="408">
        <v>22260</v>
      </c>
      <c r="M2865" s="65">
        <f t="shared" si="188"/>
        <v>11130</v>
      </c>
      <c r="N2865" s="66" t="s">
        <v>9</v>
      </c>
      <c r="O2865" s="66" t="s">
        <v>260</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x</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customHeight="1">
      <c r="A2866" s="323" t="str">
        <f>IF(B2866&lt;&gt;"",IF(AND(B2866='IN-TC'!$S$4,OR(TH!N2900="1111",TH!O2900="1111")),TH!D2900,""),"")</f>
        <v/>
      </c>
      <c r="B2866" s="63">
        <f t="shared" si="186"/>
        <v>4</v>
      </c>
      <c r="C2866" s="64">
        <f t="shared" si="187"/>
        <v>42475</v>
      </c>
      <c r="D2866" s="64" t="s">
        <v>690</v>
      </c>
      <c r="E2866" s="64">
        <v>42475</v>
      </c>
      <c r="F2866" s="330" t="s">
        <v>742</v>
      </c>
      <c r="G2866" s="931" t="s">
        <v>901</v>
      </c>
      <c r="H2866" s="72" t="s">
        <v>714</v>
      </c>
      <c r="I2866" s="410"/>
      <c r="J2866" s="410"/>
      <c r="K2866" s="401">
        <v>244.21</v>
      </c>
      <c r="L2866" s="408">
        <v>22260</v>
      </c>
      <c r="M2866" s="65">
        <f t="shared" si="188"/>
        <v>5436115</v>
      </c>
      <c r="N2866" s="66" t="s">
        <v>97</v>
      </c>
      <c r="O2866" s="66" t="s">
        <v>260</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customHeight="1">
      <c r="A2867" s="323" t="str">
        <f>IF(B2867&lt;&gt;"",IF(AND(B2867='IN-TC'!$S$4,OR(TH!N2901="1111",TH!O2901="1111")),TH!D2901,""),"")</f>
        <v/>
      </c>
      <c r="B2867" s="63">
        <f t="shared" si="186"/>
        <v>4</v>
      </c>
      <c r="C2867" s="64">
        <f t="shared" si="187"/>
        <v>42475</v>
      </c>
      <c r="D2867" s="64" t="s">
        <v>690</v>
      </c>
      <c r="E2867" s="64">
        <v>42475</v>
      </c>
      <c r="F2867" s="482" t="s">
        <v>743</v>
      </c>
      <c r="G2867" s="931" t="s">
        <v>901</v>
      </c>
      <c r="H2867" s="72" t="s">
        <v>715</v>
      </c>
      <c r="I2867" s="408"/>
      <c r="J2867" s="408"/>
      <c r="K2867" s="399">
        <v>213.56</v>
      </c>
      <c r="L2867" s="408">
        <v>22260</v>
      </c>
      <c r="M2867" s="65">
        <f t="shared" si="188"/>
        <v>4753846</v>
      </c>
      <c r="N2867" s="66" t="s">
        <v>97</v>
      </c>
      <c r="O2867" s="66" t="s">
        <v>260</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customHeight="1">
      <c r="A2868" s="323" t="str">
        <f>IF(B2868&lt;&gt;"",IF(AND(B2868='IN-TC'!$S$4,OR(TH!N2902="1111",TH!O2902="1111")),TH!D2902,""),"")</f>
        <v/>
      </c>
      <c r="B2868" s="63">
        <f t="shared" si="186"/>
        <v>4</v>
      </c>
      <c r="C2868" s="64">
        <f t="shared" si="187"/>
        <v>42475</v>
      </c>
      <c r="D2868" s="64" t="s">
        <v>690</v>
      </c>
      <c r="E2868" s="64">
        <v>42475</v>
      </c>
      <c r="F2868" s="482" t="s">
        <v>744</v>
      </c>
      <c r="G2868" s="931" t="s">
        <v>901</v>
      </c>
      <c r="H2868" s="72" t="s">
        <v>716</v>
      </c>
      <c r="I2868" s="408"/>
      <c r="J2868" s="408"/>
      <c r="K2868" s="399">
        <v>113.67</v>
      </c>
      <c r="L2868" s="408">
        <v>22260</v>
      </c>
      <c r="M2868" s="65">
        <f t="shared" si="188"/>
        <v>2530294</v>
      </c>
      <c r="N2868" s="66" t="s">
        <v>97</v>
      </c>
      <c r="O2868" s="66" t="s">
        <v>260</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customHeight="1">
      <c r="A2869" s="323" t="str">
        <f>IF(B2869&lt;&gt;"",IF(AND(B2869='IN-TC'!$S$4,OR(TH!N2903="1111",TH!O2903="1111")),TH!D2903,""),"")</f>
        <v/>
      </c>
      <c r="B2869" s="63">
        <f t="shared" si="186"/>
        <v>4</v>
      </c>
      <c r="C2869" s="64">
        <f t="shared" si="187"/>
        <v>42475</v>
      </c>
      <c r="D2869" s="64" t="s">
        <v>690</v>
      </c>
      <c r="E2869" s="64">
        <v>42475</v>
      </c>
      <c r="F2869" s="482" t="s">
        <v>1044</v>
      </c>
      <c r="G2869" s="931" t="s">
        <v>901</v>
      </c>
      <c r="H2869" s="72" t="s">
        <v>717</v>
      </c>
      <c r="I2869" s="408"/>
      <c r="J2869" s="408"/>
      <c r="K2869" s="399">
        <v>148.11000000000001</v>
      </c>
      <c r="L2869" s="408">
        <v>22260</v>
      </c>
      <c r="M2869" s="65">
        <f t="shared" si="188"/>
        <v>3296929</v>
      </c>
      <c r="N2869" s="66" t="s">
        <v>97</v>
      </c>
      <c r="O2869" s="66" t="s">
        <v>260</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customHeight="1">
      <c r="A2870" s="323" t="str">
        <f>IF(B2870&lt;&gt;"",IF(AND(B2870='IN-TC'!$S$4,OR(TH!N2904="1111",TH!O2904="1111")),TH!D2904,""),"")</f>
        <v/>
      </c>
      <c r="B2870" s="63">
        <f t="shared" si="186"/>
        <v>4</v>
      </c>
      <c r="C2870" s="64">
        <f t="shared" si="187"/>
        <v>42475</v>
      </c>
      <c r="D2870" s="64" t="s">
        <v>690</v>
      </c>
      <c r="E2870" s="64">
        <v>42475</v>
      </c>
      <c r="F2870" s="482" t="s">
        <v>1682</v>
      </c>
      <c r="G2870" s="931" t="s">
        <v>901</v>
      </c>
      <c r="H2870" s="72" t="s">
        <v>727</v>
      </c>
      <c r="I2870" s="408"/>
      <c r="J2870" s="408"/>
      <c r="K2870" s="399">
        <v>180.14</v>
      </c>
      <c r="L2870" s="408">
        <v>22260</v>
      </c>
      <c r="M2870" s="65">
        <f t="shared" si="188"/>
        <v>4009916</v>
      </c>
      <c r="N2870" s="66" t="s">
        <v>97</v>
      </c>
      <c r="O2870" s="66" t="s">
        <v>260</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customHeight="1">
      <c r="A2871" s="323" t="str">
        <f>IF(B2871&lt;&gt;"",IF(AND(B2871='IN-TC'!$S$4,OR(TH!N2918="1111",TH!O2918="1111")),TH!D2918,""),"")</f>
        <v/>
      </c>
      <c r="B2871" s="63">
        <f t="shared" si="186"/>
        <v>4</v>
      </c>
      <c r="C2871" s="64">
        <f t="shared" si="187"/>
        <v>42475</v>
      </c>
      <c r="D2871" s="64" t="s">
        <v>690</v>
      </c>
      <c r="E2871" s="64">
        <v>42475</v>
      </c>
      <c r="F2871" s="72" t="s">
        <v>1428</v>
      </c>
      <c r="G2871" s="931" t="s">
        <v>902</v>
      </c>
      <c r="H2871" s="72" t="s">
        <v>1753</v>
      </c>
      <c r="I2871" s="408"/>
      <c r="J2871" s="408"/>
      <c r="K2871" s="399"/>
      <c r="L2871" s="408"/>
      <c r="M2871" s="65">
        <v>19958000</v>
      </c>
      <c r="N2871" s="66" t="s">
        <v>25</v>
      </c>
      <c r="O2871" s="66" t="s">
        <v>581</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customHeight="1">
      <c r="A2872" s="323" t="str">
        <f>IF(B2872&lt;&gt;"",IF(AND(B2872='IN-TC'!$S$4,OR(TH!N2919="1111",TH!O2919="1111")),TH!D2919,""),"")</f>
        <v/>
      </c>
      <c r="B2872" s="63">
        <f t="shared" si="186"/>
        <v>4</v>
      </c>
      <c r="C2872" s="64">
        <f t="shared" si="187"/>
        <v>42475</v>
      </c>
      <c r="D2872" s="64" t="s">
        <v>690</v>
      </c>
      <c r="E2872" s="64">
        <v>42475</v>
      </c>
      <c r="F2872" s="72" t="s">
        <v>1171</v>
      </c>
      <c r="G2872" s="931" t="s">
        <v>902</v>
      </c>
      <c r="H2872" s="1103" t="s">
        <v>1435</v>
      </c>
      <c r="I2872" s="408"/>
      <c r="J2872" s="408"/>
      <c r="K2872" s="399"/>
      <c r="L2872" s="408"/>
      <c r="M2872" s="65">
        <v>1600000000</v>
      </c>
      <c r="N2872" s="66" t="s">
        <v>25</v>
      </c>
      <c r="O2872" s="66" t="s">
        <v>254</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customHeight="1">
      <c r="A2873" s="323" t="str">
        <f>IF(B2873&lt;&gt;"",IF(AND(B2873='IN-TC'!$S$4,OR(TH!N2920="1111",TH!O2920="1111")),TH!D2920,""),"")</f>
        <v/>
      </c>
      <c r="B2873" s="63">
        <f t="shared" si="186"/>
        <v>4</v>
      </c>
      <c r="C2873" s="64">
        <f t="shared" si="187"/>
        <v>42475</v>
      </c>
      <c r="D2873" s="64" t="s">
        <v>690</v>
      </c>
      <c r="E2873" s="64">
        <v>42475</v>
      </c>
      <c r="F2873" s="72" t="s">
        <v>599</v>
      </c>
      <c r="G2873" s="931" t="s">
        <v>902</v>
      </c>
      <c r="H2873" s="1103"/>
      <c r="I2873" s="408"/>
      <c r="J2873" s="408"/>
      <c r="K2873" s="399"/>
      <c r="L2873" s="408"/>
      <c r="M2873" s="65">
        <v>222800</v>
      </c>
      <c r="N2873" s="66" t="s">
        <v>99</v>
      </c>
      <c r="O2873" s="66" t="s">
        <v>25</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customHeight="1">
      <c r="A2874" s="323" t="str">
        <f>IF(B2874&lt;&gt;"",IF(AND(B2874='IN-TC'!$S$4,OR(TH!N2921="1111",TH!O2921="1111")),TH!D2921,""),"")</f>
        <v/>
      </c>
      <c r="B2874" s="63">
        <f t="shared" si="186"/>
        <v>4</v>
      </c>
      <c r="C2874" s="64">
        <f t="shared" si="187"/>
        <v>42475</v>
      </c>
      <c r="D2874" s="64" t="s">
        <v>690</v>
      </c>
      <c r="E2874" s="64">
        <v>42475</v>
      </c>
      <c r="F2874" s="72" t="s">
        <v>1174</v>
      </c>
      <c r="G2874" s="931" t="s">
        <v>902</v>
      </c>
      <c r="H2874" s="1103"/>
      <c r="I2874" s="408"/>
      <c r="J2874" s="408"/>
      <c r="K2874" s="399"/>
      <c r="L2874" s="408"/>
      <c r="M2874" s="65">
        <v>22280</v>
      </c>
      <c r="N2874" s="66" t="s">
        <v>9</v>
      </c>
      <c r="O2874" s="66" t="s">
        <v>25</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x</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customHeight="1">
      <c r="A2875" s="323" t="str">
        <f>IF(B2875&lt;&gt;"",IF(AND(B2875='IN-TC'!$S$4,OR(TH!N2922="1111",TH!O2922="1111")),TH!D2922,""),"")</f>
        <v/>
      </c>
      <c r="B2875" s="63">
        <f t="shared" si="186"/>
        <v>4</v>
      </c>
      <c r="C2875" s="64">
        <f t="shared" si="187"/>
        <v>42475</v>
      </c>
      <c r="D2875" s="64" t="s">
        <v>690</v>
      </c>
      <c r="E2875" s="64">
        <v>42475</v>
      </c>
      <c r="F2875" s="72" t="s">
        <v>600</v>
      </c>
      <c r="G2875" s="931" t="s">
        <v>902</v>
      </c>
      <c r="H2875" s="1103"/>
      <c r="I2875" s="408"/>
      <c r="J2875" s="408"/>
      <c r="K2875" s="399"/>
      <c r="L2875" s="408"/>
      <c r="M2875" s="65">
        <v>615374</v>
      </c>
      <c r="N2875" s="66" t="s">
        <v>99</v>
      </c>
      <c r="O2875" s="66" t="s">
        <v>25</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customHeight="1">
      <c r="A2876" s="323" t="str">
        <f>IF(B2876&lt;&gt;"",IF(AND(B2876='IN-TC'!$S$4,OR(TH!N2923="1111",TH!O2923="1111")),TH!D2923,""),"")</f>
        <v/>
      </c>
      <c r="B2876" s="63">
        <f t="shared" si="186"/>
        <v>4</v>
      </c>
      <c r="C2876" s="64">
        <f t="shared" si="187"/>
        <v>42475</v>
      </c>
      <c r="D2876" s="64" t="s">
        <v>690</v>
      </c>
      <c r="E2876" s="64">
        <v>42475</v>
      </c>
      <c r="F2876" s="72" t="s">
        <v>1298</v>
      </c>
      <c r="G2876" s="931" t="s">
        <v>902</v>
      </c>
      <c r="H2876" s="1103"/>
      <c r="I2876" s="408"/>
      <c r="J2876" s="408"/>
      <c r="K2876" s="399"/>
      <c r="L2876" s="408"/>
      <c r="M2876" s="65">
        <v>61493</v>
      </c>
      <c r="N2876" s="66" t="s">
        <v>9</v>
      </c>
      <c r="O2876" s="66" t="s">
        <v>25</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x</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customHeight="1">
      <c r="A2877" s="323" t="str">
        <f>IF(B2877&lt;&gt;"",IF(AND(B2877='IN-TC'!$S$4,OR(TH!N2876="1111",TH!O2876="1111")),TH!D2876,""),"")</f>
        <v/>
      </c>
      <c r="B2877" s="63">
        <f t="shared" si="186"/>
        <v>4</v>
      </c>
      <c r="C2877" s="64">
        <f t="shared" si="187"/>
        <v>42475</v>
      </c>
      <c r="D2877" s="64" t="s">
        <v>857</v>
      </c>
      <c r="E2877" s="64">
        <v>42475</v>
      </c>
      <c r="F2877" s="72" t="s">
        <v>1126</v>
      </c>
      <c r="G2877" s="931" t="s">
        <v>902</v>
      </c>
      <c r="H2877" s="72" t="s">
        <v>748</v>
      </c>
      <c r="I2877" s="408"/>
      <c r="J2877" s="408"/>
      <c r="K2877" s="399"/>
      <c r="L2877" s="408"/>
      <c r="M2877" s="65">
        <v>1600000000</v>
      </c>
      <c r="N2877" s="66" t="s">
        <v>61</v>
      </c>
      <c r="O2877" s="66" t="s">
        <v>25</v>
      </c>
      <c r="P2877" s="82" t="str">
        <f>IF(AND('331-CT'!$E$7=TH!H2877,OR(N2877="331",O2877="331")),"x","")</f>
        <v/>
      </c>
      <c r="Q2877" s="82" t="str">
        <f>IF(AND(B2877='111'!$L$11,OR($N2877=$Q$7,$O2877=$Q$7)),"x","")</f>
        <v/>
      </c>
      <c r="R2877" s="82" t="str">
        <f>IF(AND($N2877=$Q$7,$B2877&lt;'111'!$L$11),"x","")</f>
        <v>x</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customHeight="1">
      <c r="A2878" s="323" t="str">
        <f>IF(B2878&lt;&gt;"",IF(AND(B2878='IN-TC'!$S$4,OR(TH!N2877="1111",TH!O2877="1111")),TH!D2877,""),"")</f>
        <v/>
      </c>
      <c r="B2878" s="63">
        <f t="shared" si="186"/>
        <v>4</v>
      </c>
      <c r="C2878" s="64">
        <v>42477</v>
      </c>
      <c r="D2878" s="64" t="s">
        <v>862</v>
      </c>
      <c r="E2878" s="64">
        <f>C2878</f>
        <v>42477</v>
      </c>
      <c r="F2878" s="72" t="s">
        <v>756</v>
      </c>
      <c r="G2878" s="931" t="s">
        <v>1383</v>
      </c>
      <c r="H2878" s="72" t="s">
        <v>792</v>
      </c>
      <c r="I2878" s="408"/>
      <c r="J2878" s="408"/>
      <c r="K2878" s="399"/>
      <c r="L2878" s="408"/>
      <c r="M2878" s="65">
        <v>484527</v>
      </c>
      <c r="N2878" s="66" t="s">
        <v>99</v>
      </c>
      <c r="O2878" s="66" t="s">
        <v>61</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customHeight="1">
      <c r="A2879" s="323" t="str">
        <f>IF(B2879&lt;&gt;"",IF(AND(B2879='IN-TC'!$S$4,OR(TH!N2878="1111",TH!O2878="1111")),TH!D2878,""),"")</f>
        <v/>
      </c>
      <c r="B2879" s="63">
        <f t="shared" si="186"/>
        <v>4</v>
      </c>
      <c r="C2879" s="64">
        <v>42477</v>
      </c>
      <c r="D2879" s="64" t="s">
        <v>862</v>
      </c>
      <c r="E2879" s="64">
        <f>C2879</f>
        <v>42477</v>
      </c>
      <c r="F2879" s="72" t="s">
        <v>757</v>
      </c>
      <c r="G2879" s="931" t="s">
        <v>1383</v>
      </c>
      <c r="H2879" s="72" t="s">
        <v>792</v>
      </c>
      <c r="I2879" s="408"/>
      <c r="J2879" s="408"/>
      <c r="K2879" s="399"/>
      <c r="L2879" s="408"/>
      <c r="M2879" s="65">
        <v>48453</v>
      </c>
      <c r="N2879" s="66" t="s">
        <v>9</v>
      </c>
      <c r="O2879" s="66" t="s">
        <v>61</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x</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customHeight="1">
      <c r="A2880" s="323" t="str">
        <f>IF(B2880&lt;&gt;"",IF(AND(B2880='IN-TC'!$S$4,OR(TH!N2879="1111",TH!O2879="1111")),TH!D2879,""),"")</f>
        <v/>
      </c>
      <c r="B2880" s="63">
        <f t="shared" si="186"/>
        <v>4</v>
      </c>
      <c r="C2880" s="1092">
        <v>42478</v>
      </c>
      <c r="D2880" s="1092" t="s">
        <v>863</v>
      </c>
      <c r="E2880" s="1092">
        <f>C2880</f>
        <v>42478</v>
      </c>
      <c r="F2880" s="482" t="s">
        <v>947</v>
      </c>
      <c r="G2880" s="1094"/>
      <c r="H2880" s="1093" t="s">
        <v>946</v>
      </c>
      <c r="I2880" s="1095"/>
      <c r="J2880" s="1095"/>
      <c r="K2880" s="1096"/>
      <c r="L2880" s="1095"/>
      <c r="M2880" s="1097">
        <v>466295000</v>
      </c>
      <c r="N2880" s="1098" t="s">
        <v>266</v>
      </c>
      <c r="O2880" s="1098" t="s">
        <v>61</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customHeight="1">
      <c r="A2881" s="323" t="str">
        <f>IF(B2881&lt;&gt;"",IF(AND(B2881='IN-TC'!$S$4,OR(TH!N2880="1111",TH!O2880="1111")),TH!D2880,""),"")</f>
        <v/>
      </c>
      <c r="B2881" s="63">
        <f t="shared" si="186"/>
        <v>4</v>
      </c>
      <c r="C2881" s="1092">
        <v>42478</v>
      </c>
      <c r="D2881" s="1092" t="s">
        <v>864</v>
      </c>
      <c r="E2881" s="1092">
        <f>C2881</f>
        <v>42478</v>
      </c>
      <c r="F2881" s="482" t="s">
        <v>947</v>
      </c>
      <c r="G2881" s="1094"/>
      <c r="H2881" s="1093" t="s">
        <v>3001</v>
      </c>
      <c r="I2881" s="1095"/>
      <c r="J2881" s="1095"/>
      <c r="K2881" s="1096"/>
      <c r="L2881" s="1095"/>
      <c r="M2881" s="1097">
        <v>376200000</v>
      </c>
      <c r="N2881" s="1098" t="s">
        <v>266</v>
      </c>
      <c r="O2881" s="1098" t="s">
        <v>61</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customHeight="1">
      <c r="A2882" s="323" t="str">
        <f>IF(B2882&lt;&gt;"",IF(AND(B2882='IN-TC'!$S$4,OR(TH!N2924="1111",TH!O2924="1111")),TH!D2924,""),"")</f>
        <v/>
      </c>
      <c r="B2882" s="63">
        <f t="shared" si="186"/>
        <v>4</v>
      </c>
      <c r="C2882" s="64">
        <f>E2882</f>
        <v>42479</v>
      </c>
      <c r="D2882" s="64" t="s">
        <v>690</v>
      </c>
      <c r="E2882" s="64">
        <v>42479</v>
      </c>
      <c r="F2882" s="72" t="s">
        <v>1038</v>
      </c>
      <c r="G2882" s="931" t="s">
        <v>902</v>
      </c>
      <c r="H2882" s="329" t="s">
        <v>710</v>
      </c>
      <c r="I2882" s="408"/>
      <c r="J2882" s="408"/>
      <c r="K2882" s="399"/>
      <c r="L2882" s="408"/>
      <c r="M2882" s="65">
        <v>6883892</v>
      </c>
      <c r="N2882" s="66" t="s">
        <v>97</v>
      </c>
      <c r="O2882" s="66" t="s">
        <v>25</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customHeight="1">
      <c r="A2883" s="323" t="str">
        <f>IF(B2883&lt;&gt;"",IF(AND(B2883='IN-TC'!$S$4,OR(TH!N2925="1111",TH!O2925="1111")),TH!D2925,""),"")</f>
        <v/>
      </c>
      <c r="B2883" s="63">
        <f t="shared" si="186"/>
        <v>4</v>
      </c>
      <c r="C2883" s="64">
        <f>E2883</f>
        <v>42479</v>
      </c>
      <c r="D2883" s="64" t="s">
        <v>690</v>
      </c>
      <c r="E2883" s="64">
        <v>42479</v>
      </c>
      <c r="F2883" s="72" t="s">
        <v>737</v>
      </c>
      <c r="G2883" s="931" t="s">
        <v>902</v>
      </c>
      <c r="H2883" s="329" t="s">
        <v>711</v>
      </c>
      <c r="I2883" s="408"/>
      <c r="J2883" s="408"/>
      <c r="K2883" s="399"/>
      <c r="L2883" s="408"/>
      <c r="M2883" s="65">
        <v>6845485</v>
      </c>
      <c r="N2883" s="66" t="s">
        <v>97</v>
      </c>
      <c r="O2883" s="66" t="s">
        <v>25</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customHeight="1">
      <c r="A2884" s="323" t="str">
        <f>IF(B2884&lt;&gt;"",IF(AND(B2884='IN-TC'!$S$4,OR(TH!N2926="1111",TH!O2926="1111")),TH!D2926,""),"")</f>
        <v/>
      </c>
      <c r="B2884" s="63">
        <f t="shared" si="186"/>
        <v>4</v>
      </c>
      <c r="C2884" s="64">
        <f>E2884</f>
        <v>42479</v>
      </c>
      <c r="D2884" s="64" t="s">
        <v>690</v>
      </c>
      <c r="E2884" s="64">
        <v>42479</v>
      </c>
      <c r="F2884" s="72" t="s">
        <v>1041</v>
      </c>
      <c r="G2884" s="931" t="s">
        <v>902</v>
      </c>
      <c r="H2884" s="329" t="s">
        <v>718</v>
      </c>
      <c r="I2884" s="408"/>
      <c r="J2884" s="408"/>
      <c r="K2884" s="399"/>
      <c r="L2884" s="408"/>
      <c r="M2884" s="65">
        <v>4691756</v>
      </c>
      <c r="N2884" s="66" t="s">
        <v>97</v>
      </c>
      <c r="O2884" s="66" t="s">
        <v>25</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customHeight="1">
      <c r="A2885" s="323" t="str">
        <f>IF(B2885&lt;&gt;"",IF(AND(B2885='IN-TC'!$S$4,OR(TH!N2905="1111",TH!O2905="1111")),TH!D2905,""),"")</f>
        <v/>
      </c>
      <c r="B2885" s="63">
        <f t="shared" si="186"/>
        <v>4</v>
      </c>
      <c r="C2885" s="64">
        <f>E2885</f>
        <v>42481</v>
      </c>
      <c r="D2885" s="64" t="s">
        <v>690</v>
      </c>
      <c r="E2885" s="64">
        <v>42481</v>
      </c>
      <c r="F2885" s="72" t="s">
        <v>1425</v>
      </c>
      <c r="G2885" s="67" t="s">
        <v>903</v>
      </c>
      <c r="H2885" s="72"/>
      <c r="I2885" s="408"/>
      <c r="J2885" s="408"/>
      <c r="K2885" s="399">
        <v>3900</v>
      </c>
      <c r="L2885" s="408">
        <v>22260</v>
      </c>
      <c r="M2885" s="65">
        <f>ROUND(K2885*L2885,0)</f>
        <v>86814000</v>
      </c>
      <c r="N2885" s="66" t="s">
        <v>25</v>
      </c>
      <c r="O2885" s="66" t="s">
        <v>260</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customHeight="1">
      <c r="A2886" s="1170"/>
      <c r="B2886" s="1199">
        <f t="shared" si="186"/>
        <v>12</v>
      </c>
      <c r="C2886" s="1087">
        <v>42709</v>
      </c>
      <c r="D2886" s="1087" t="s">
        <v>2266</v>
      </c>
      <c r="E2886" s="90">
        <f>C2886</f>
        <v>42709</v>
      </c>
      <c r="F2886" s="1153" t="s">
        <v>1952</v>
      </c>
      <c r="G2886" s="1155" t="s">
        <v>2311</v>
      </c>
      <c r="H2886" s="1153" t="s">
        <v>1198</v>
      </c>
      <c r="I2886" s="414">
        <v>44395</v>
      </c>
      <c r="J2886" s="1108">
        <v>17500</v>
      </c>
      <c r="K2886" s="1110"/>
      <c r="L2886" s="1109"/>
      <c r="M2886" s="93">
        <f>ROUND(I2886*J2886,0)</f>
        <v>776912500</v>
      </c>
      <c r="N2886" s="83" t="s">
        <v>276</v>
      </c>
      <c r="O2886" s="83" t="s">
        <v>268</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customHeight="1">
      <c r="A2887" s="323" t="str">
        <f>IF(B2887&lt;&gt;"",IF(AND(B2887='IN-TC'!$S$4,OR(TH!N2928="1111",TH!O2928="1111")),TH!D2928,""),"")</f>
        <v/>
      </c>
      <c r="B2887" s="63">
        <f t="shared" si="186"/>
        <v>4</v>
      </c>
      <c r="C2887" s="64">
        <f t="shared" ref="C2887:C2892" si="189">E2887</f>
        <v>42481</v>
      </c>
      <c r="D2887" s="64" t="s">
        <v>690</v>
      </c>
      <c r="E2887" s="64">
        <v>42481</v>
      </c>
      <c r="F2887" s="72" t="s">
        <v>739</v>
      </c>
      <c r="G2887" s="931" t="s">
        <v>902</v>
      </c>
      <c r="H2887" s="329" t="s">
        <v>712</v>
      </c>
      <c r="I2887" s="408"/>
      <c r="J2887" s="408"/>
      <c r="K2887" s="399"/>
      <c r="L2887" s="408"/>
      <c r="M2887" s="65">
        <v>6845767</v>
      </c>
      <c r="N2887" s="66" t="s">
        <v>97</v>
      </c>
      <c r="O2887" s="66" t="s">
        <v>25</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customHeight="1">
      <c r="A2888" s="323" t="str">
        <f>IF(B2888&lt;&gt;"",IF(AND(B2888='IN-TC'!$S$4,OR(TH!N2929="1111",TH!O2929="1111")),TH!D2929,""),"")</f>
        <v/>
      </c>
      <c r="B2888" s="63">
        <f t="shared" si="186"/>
        <v>4</v>
      </c>
      <c r="C2888" s="64">
        <f t="shared" si="189"/>
        <v>42481</v>
      </c>
      <c r="D2888" s="64" t="s">
        <v>690</v>
      </c>
      <c r="E2888" s="64">
        <v>42481</v>
      </c>
      <c r="F2888" s="72" t="s">
        <v>1042</v>
      </c>
      <c r="G2888" s="931" t="s">
        <v>902</v>
      </c>
      <c r="H2888" s="329" t="s">
        <v>713</v>
      </c>
      <c r="I2888" s="408"/>
      <c r="J2888" s="408"/>
      <c r="K2888" s="399"/>
      <c r="L2888" s="408"/>
      <c r="M2888" s="65">
        <v>6768763</v>
      </c>
      <c r="N2888" s="66" t="s">
        <v>97</v>
      </c>
      <c r="O2888" s="66" t="s">
        <v>25</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customHeight="1">
      <c r="A2889" s="323" t="str">
        <f>IF(B2889&lt;&gt;"",IF(AND(B2889='IN-TC'!$S$4,OR(TH!N2930="1111",TH!O2930="1111")),TH!D2930,""),"")</f>
        <v/>
      </c>
      <c r="B2889" s="63">
        <f t="shared" si="186"/>
        <v>4</v>
      </c>
      <c r="C2889" s="64">
        <f t="shared" si="189"/>
        <v>42481</v>
      </c>
      <c r="D2889" s="64" t="s">
        <v>690</v>
      </c>
      <c r="E2889" s="64">
        <v>42481</v>
      </c>
      <c r="F2889" s="72" t="s">
        <v>1629</v>
      </c>
      <c r="G2889" s="931" t="s">
        <v>902</v>
      </c>
      <c r="H2889" s="329" t="s">
        <v>721</v>
      </c>
      <c r="I2889" s="410"/>
      <c r="J2889" s="410"/>
      <c r="K2889" s="401"/>
      <c r="L2889" s="410"/>
      <c r="M2889" s="65">
        <v>7461130</v>
      </c>
      <c r="N2889" s="66" t="s">
        <v>97</v>
      </c>
      <c r="O2889" s="66" t="s">
        <v>25</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customHeight="1">
      <c r="A2890" s="323" t="str">
        <f>IF(B2890&lt;&gt;"",IF(AND(B2890='IN-TC'!$S$4,OR(TH!N2931="1111",TH!O2931="1111")),TH!D2931,""),"")</f>
        <v/>
      </c>
      <c r="B2890" s="63">
        <f t="shared" si="186"/>
        <v>4</v>
      </c>
      <c r="C2890" s="64">
        <f t="shared" si="189"/>
        <v>42481</v>
      </c>
      <c r="D2890" s="64" t="s">
        <v>690</v>
      </c>
      <c r="E2890" s="64">
        <v>42481</v>
      </c>
      <c r="F2890" s="72" t="s">
        <v>1630</v>
      </c>
      <c r="G2890" s="931" t="s">
        <v>902</v>
      </c>
      <c r="H2890" s="72" t="s">
        <v>1168</v>
      </c>
      <c r="I2890" s="408"/>
      <c r="J2890" s="408"/>
      <c r="K2890" s="399"/>
      <c r="L2890" s="408"/>
      <c r="M2890" s="65">
        <v>8545435</v>
      </c>
      <c r="N2890" s="66" t="s">
        <v>97</v>
      </c>
      <c r="O2890" s="66" t="s">
        <v>25</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customHeight="1">
      <c r="A2891" s="323" t="str">
        <f>IF(B2891&lt;&gt;"",IF(AND(B2891='IN-TC'!$S$4,OR(TH!N2932="1111",TH!O2932="1111")),TH!D2932,""),"")</f>
        <v/>
      </c>
      <c r="B2891" s="63">
        <f t="shared" si="186"/>
        <v>4</v>
      </c>
      <c r="C2891" s="64">
        <f t="shared" si="189"/>
        <v>42481</v>
      </c>
      <c r="D2891" s="64" t="s">
        <v>690</v>
      </c>
      <c r="E2891" s="64">
        <v>42481</v>
      </c>
      <c r="F2891" s="72" t="s">
        <v>1631</v>
      </c>
      <c r="G2891" s="931" t="s">
        <v>902</v>
      </c>
      <c r="H2891" s="72" t="s">
        <v>1169</v>
      </c>
      <c r="I2891" s="408"/>
      <c r="J2891" s="408"/>
      <c r="K2891" s="399"/>
      <c r="L2891" s="408"/>
      <c r="M2891" s="65">
        <v>9155887</v>
      </c>
      <c r="N2891" s="66" t="s">
        <v>97</v>
      </c>
      <c r="O2891" s="66" t="s">
        <v>25</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customHeight="1">
      <c r="A2892" s="323" t="str">
        <f>IF(B2892&lt;&gt;"",IF(AND(B2892='IN-TC'!$S$4,OR(TH!N2933="1111",TH!O2933="1111")),TH!D2933,""),"")</f>
        <v/>
      </c>
      <c r="B2892" s="63">
        <f t="shared" si="186"/>
        <v>4</v>
      </c>
      <c r="C2892" s="64">
        <f t="shared" si="189"/>
        <v>42482</v>
      </c>
      <c r="D2892" s="64" t="s">
        <v>690</v>
      </c>
      <c r="E2892" s="64">
        <v>42482</v>
      </c>
      <c r="F2892" s="72" t="s">
        <v>1430</v>
      </c>
      <c r="G2892" s="931" t="s">
        <v>902</v>
      </c>
      <c r="H2892" s="308" t="s">
        <v>1340</v>
      </c>
      <c r="I2892" s="408"/>
      <c r="J2892" s="408"/>
      <c r="K2892" s="399"/>
      <c r="L2892" s="408"/>
      <c r="M2892" s="65">
        <v>136832</v>
      </c>
      <c r="N2892" s="66" t="s">
        <v>103</v>
      </c>
      <c r="O2892" s="66" t="s">
        <v>25</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customHeight="1">
      <c r="A2893" s="323" t="str">
        <f>IF(B2893&lt;&gt;"",IF(AND(B2893='IN-TC'!$S$4,OR(TH!N2881="1111",TH!O2881="1111")),TH!D2881,""),"")</f>
        <v/>
      </c>
      <c r="B2893" s="63">
        <f t="shared" si="186"/>
        <v>4</v>
      </c>
      <c r="C2893" s="64">
        <v>42484</v>
      </c>
      <c r="D2893" s="64" t="s">
        <v>865</v>
      </c>
      <c r="E2893" s="64">
        <v>42484</v>
      </c>
      <c r="F2893" s="72" t="s">
        <v>996</v>
      </c>
      <c r="G2893" s="931" t="s">
        <v>1401</v>
      </c>
      <c r="H2893" s="72" t="s">
        <v>1020</v>
      </c>
      <c r="I2893" s="408"/>
      <c r="J2893" s="408"/>
      <c r="K2893" s="399"/>
      <c r="L2893" s="408"/>
      <c r="M2893" s="65">
        <v>2100000</v>
      </c>
      <c r="N2893" s="66" t="s">
        <v>99</v>
      </c>
      <c r="O2893" s="66" t="s">
        <v>61</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customHeight="1">
      <c r="A2894" s="323" t="str">
        <f>IF(B2894&lt;&gt;"",IF(AND(B2894='IN-TC'!$S$4,OR(TH!N2882="1111",TH!O2882="1111")),TH!D2882,""),"")</f>
        <v/>
      </c>
      <c r="B2894" s="63">
        <f t="shared" si="186"/>
        <v>4</v>
      </c>
      <c r="C2894" s="64">
        <v>42485</v>
      </c>
      <c r="D2894" s="64" t="s">
        <v>866</v>
      </c>
      <c r="E2894" s="64">
        <v>42485</v>
      </c>
      <c r="F2894" s="72" t="s">
        <v>776</v>
      </c>
      <c r="G2894" s="931" t="s">
        <v>1419</v>
      </c>
      <c r="H2894" s="72" t="s">
        <v>792</v>
      </c>
      <c r="I2894" s="408"/>
      <c r="J2894" s="408"/>
      <c r="K2894" s="399"/>
      <c r="L2894" s="408"/>
      <c r="M2894" s="65">
        <v>1660746</v>
      </c>
      <c r="N2894" s="66" t="s">
        <v>99</v>
      </c>
      <c r="O2894" s="66" t="s">
        <v>61</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7.25" customHeight="1">
      <c r="A2895" s="323" t="str">
        <f>IF(B2895&lt;&gt;"",IF(AND(B2895='IN-TC'!$S$4,OR(TH!N2883="1111",TH!O2883="1111")),TH!D2883,""),"")</f>
        <v/>
      </c>
      <c r="B2895" s="63">
        <f t="shared" si="186"/>
        <v>4</v>
      </c>
      <c r="C2895" s="64">
        <v>42485</v>
      </c>
      <c r="D2895" s="64" t="s">
        <v>866</v>
      </c>
      <c r="E2895" s="64">
        <v>42485</v>
      </c>
      <c r="F2895" s="72" t="s">
        <v>777</v>
      </c>
      <c r="G2895" s="931" t="s">
        <v>1419</v>
      </c>
      <c r="H2895" s="72" t="s">
        <v>792</v>
      </c>
      <c r="I2895" s="408"/>
      <c r="J2895" s="408"/>
      <c r="K2895" s="399"/>
      <c r="L2895" s="408"/>
      <c r="M2895" s="65">
        <v>166074</v>
      </c>
      <c r="N2895" s="66" t="s">
        <v>9</v>
      </c>
      <c r="O2895" s="66" t="s">
        <v>61</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x</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customHeight="1">
      <c r="A2896" s="323" t="str">
        <f>IF(B2896&lt;&gt;"",IF(AND(B2896='IN-TC'!$S$4,OR(TH!N2884="1111",TH!O2884="1111")),TH!D2884,""),"")</f>
        <v/>
      </c>
      <c r="B2896" s="63">
        <f t="shared" si="186"/>
        <v>4</v>
      </c>
      <c r="C2896" s="64">
        <f>E2896</f>
        <v>42485</v>
      </c>
      <c r="D2896" s="64" t="s">
        <v>867</v>
      </c>
      <c r="E2896" s="64">
        <v>42485</v>
      </c>
      <c r="F2896" s="72" t="s">
        <v>1087</v>
      </c>
      <c r="G2896" s="931" t="s">
        <v>902</v>
      </c>
      <c r="H2896" s="308" t="s">
        <v>1399</v>
      </c>
      <c r="I2896" s="408"/>
      <c r="J2896" s="408"/>
      <c r="K2896" s="399"/>
      <c r="L2896" s="408"/>
      <c r="M2896" s="65">
        <v>80000000</v>
      </c>
      <c r="N2896" s="66" t="s">
        <v>25</v>
      </c>
      <c r="O2896" s="66" t="s">
        <v>61</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1" ht="15.75" customHeight="1">
      <c r="A2897" s="323" t="str">
        <f>IF(B2897&lt;&gt;"",IF(AND(B2897='IN-TC'!$S$4,OR(TH!N1989="1111",TH!O1989="1111")),TH!D1989,""),"")</f>
        <v/>
      </c>
      <c r="B2897" s="63">
        <f t="shared" si="186"/>
        <v>8</v>
      </c>
      <c r="C2897" s="78">
        <v>42613</v>
      </c>
      <c r="D2897" s="78" t="s">
        <v>570</v>
      </c>
      <c r="E2897" s="78">
        <v>42586</v>
      </c>
      <c r="F2897" s="80" t="s">
        <v>623</v>
      </c>
      <c r="G2897" s="934" t="s">
        <v>1832</v>
      </c>
      <c r="H2897" s="80" t="s">
        <v>614</v>
      </c>
      <c r="I2897" s="406"/>
      <c r="J2897" s="406"/>
      <c r="K2897" s="397"/>
      <c r="L2897" s="406"/>
      <c r="M2897" s="81">
        <v>420000</v>
      </c>
      <c r="N2897" s="82" t="s">
        <v>579</v>
      </c>
      <c r="O2897" s="82" t="s">
        <v>8</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1" ht="15.75" customHeight="1">
      <c r="A2898" s="323" t="str">
        <f>IF(B2898&lt;&gt;"",IF(AND(B2898='IN-TC'!$S$4,OR(TH!N2935="1111",TH!O2935="1111")),TH!D2935,""),"")</f>
        <v/>
      </c>
      <c r="B2898" s="63">
        <f t="shared" si="186"/>
        <v>4</v>
      </c>
      <c r="C2898" s="64">
        <f>E2898</f>
        <v>42485</v>
      </c>
      <c r="D2898" s="64" t="s">
        <v>690</v>
      </c>
      <c r="E2898" s="64">
        <v>42485</v>
      </c>
      <c r="F2898" s="72" t="s">
        <v>1179</v>
      </c>
      <c r="G2898" s="931" t="s">
        <v>902</v>
      </c>
      <c r="H2898" s="308"/>
      <c r="I2898" s="408"/>
      <c r="J2898" s="408"/>
      <c r="K2898" s="399"/>
      <c r="L2898" s="408"/>
      <c r="M2898" s="65">
        <v>20000</v>
      </c>
      <c r="N2898" s="309" t="s">
        <v>99</v>
      </c>
      <c r="O2898" s="66" t="s">
        <v>25</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1" ht="15.75" customHeight="1">
      <c r="A2899" s="323" t="str">
        <f>IF(B2899&lt;&gt;"",IF(AND(B2899='IN-TC'!$S$4,OR(TH!N2936="1111",TH!O2936="1111")),TH!D2936,""),"")</f>
        <v/>
      </c>
      <c r="B2899" s="63">
        <f t="shared" si="186"/>
        <v>4</v>
      </c>
      <c r="C2899" s="64">
        <f>E2899</f>
        <v>42485</v>
      </c>
      <c r="D2899" s="64" t="s">
        <v>690</v>
      </c>
      <c r="E2899" s="64">
        <v>42485</v>
      </c>
      <c r="F2899" s="72" t="s">
        <v>1180</v>
      </c>
      <c r="G2899" s="931" t="s">
        <v>902</v>
      </c>
      <c r="H2899" s="308"/>
      <c r="I2899" s="408"/>
      <c r="J2899" s="408"/>
      <c r="K2899" s="399"/>
      <c r="L2899" s="408"/>
      <c r="M2899" s="65">
        <v>2000</v>
      </c>
      <c r="N2899" s="309" t="s">
        <v>9</v>
      </c>
      <c r="O2899" s="66" t="s">
        <v>25</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x</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1" ht="15.75" customHeight="1">
      <c r="A2900" s="323" t="str">
        <f>IF(B2900&lt;&gt;"",IF(AND(B2900='IN-TC'!$S$4,OR(TH!N1990="1111",TH!O1990="1111")),TH!D1990,""),"")</f>
        <v/>
      </c>
      <c r="B2900" s="63">
        <f t="shared" si="186"/>
        <v>8</v>
      </c>
      <c r="C2900" s="78">
        <v>42613</v>
      </c>
      <c r="D2900" s="78" t="s">
        <v>570</v>
      </c>
      <c r="E2900" s="78">
        <v>42586</v>
      </c>
      <c r="F2900" s="80" t="s">
        <v>1156</v>
      </c>
      <c r="G2900" s="934" t="s">
        <v>1833</v>
      </c>
      <c r="H2900" s="80" t="s">
        <v>614</v>
      </c>
      <c r="I2900" s="406"/>
      <c r="J2900" s="406"/>
      <c r="K2900" s="397"/>
      <c r="L2900" s="406"/>
      <c r="M2900" s="81">
        <v>6440000</v>
      </c>
      <c r="N2900" s="82" t="s">
        <v>579</v>
      </c>
      <c r="O2900" s="82" t="s">
        <v>8</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1" ht="15.75" customHeight="1">
      <c r="A2901" s="323" t="str">
        <f>IF(B2901&lt;&gt;"",IF(AND(B2901='IN-TC'!$S$4,OR(TH!N2938="1111",TH!O2938="1111")),TH!D2938,""),"")</f>
        <v/>
      </c>
      <c r="B2901" s="63">
        <f t="shared" si="186"/>
        <v>4</v>
      </c>
      <c r="C2901" s="64">
        <f>E2901</f>
        <v>42485</v>
      </c>
      <c r="D2901" s="64" t="s">
        <v>690</v>
      </c>
      <c r="E2901" s="64">
        <v>42485</v>
      </c>
      <c r="F2901" s="72" t="s">
        <v>1179</v>
      </c>
      <c r="G2901" s="931" t="s">
        <v>902</v>
      </c>
      <c r="H2901" s="329"/>
      <c r="I2901" s="410"/>
      <c r="J2901" s="410"/>
      <c r="K2901" s="401"/>
      <c r="L2901" s="410"/>
      <c r="M2901" s="65">
        <v>20000</v>
      </c>
      <c r="N2901" s="309" t="s">
        <v>99</v>
      </c>
      <c r="O2901" s="66" t="s">
        <v>25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1" ht="15.75" customHeight="1">
      <c r="A2902" s="323" t="str">
        <f>IF(B2902&lt;&gt;"",IF(AND(B2902='IN-TC'!$S$4,OR(TH!N2939="1111",TH!O2939="1111")),TH!D2939,""),"")</f>
        <v/>
      </c>
      <c r="B2902" s="63">
        <f t="shared" si="186"/>
        <v>4</v>
      </c>
      <c r="C2902" s="64">
        <f>E2902</f>
        <v>42485</v>
      </c>
      <c r="D2902" s="64" t="s">
        <v>690</v>
      </c>
      <c r="E2902" s="64">
        <v>42485</v>
      </c>
      <c r="F2902" s="72" t="s">
        <v>1180</v>
      </c>
      <c r="G2902" s="931" t="s">
        <v>902</v>
      </c>
      <c r="H2902" s="329"/>
      <c r="I2902" s="410"/>
      <c r="J2902" s="410"/>
      <c r="K2902" s="401"/>
      <c r="L2902" s="410"/>
      <c r="M2902" s="65">
        <v>2000</v>
      </c>
      <c r="N2902" s="309" t="s">
        <v>9</v>
      </c>
      <c r="O2902" s="66" t="s">
        <v>25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x</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1" ht="15.75" customHeight="1">
      <c r="A2903" s="1170" t="str">
        <f>IF(B2903&lt;&gt;"",IF(AND(B2903='IN-TC'!$S$4,OR(TH!N1070="1111",TH!O1070="1111")),TH!D1070,""),"")</f>
        <v/>
      </c>
      <c r="B2903" s="1199">
        <f t="shared" si="186"/>
        <v>12</v>
      </c>
      <c r="C2903" s="90">
        <v>42727</v>
      </c>
      <c r="D2903" s="90" t="s">
        <v>2777</v>
      </c>
      <c r="E2903" s="90">
        <f>C2903</f>
        <v>42727</v>
      </c>
      <c r="F2903" s="92" t="s">
        <v>349</v>
      </c>
      <c r="G2903" s="1089" t="s">
        <v>2694</v>
      </c>
      <c r="H2903" s="92" t="s">
        <v>611</v>
      </c>
      <c r="I2903" s="414">
        <v>6750</v>
      </c>
      <c r="J2903" s="414">
        <v>14728</v>
      </c>
      <c r="K2903" s="405"/>
      <c r="L2903" s="414"/>
      <c r="M2903" s="93">
        <v>99414000</v>
      </c>
      <c r="N2903" s="83" t="s">
        <v>270</v>
      </c>
      <c r="O2903" s="83" t="s">
        <v>8</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v>1</v>
      </c>
    </row>
    <row r="2904" spans="1:31" ht="15.75" customHeight="1">
      <c r="A2904" s="323" t="str">
        <f>IF(B2904&lt;&gt;"",IF(AND(B2904='IN-TC'!$S$4,OR(TH!N2941="1111",TH!O2941="1111")),TH!D2941,""),"")</f>
        <v/>
      </c>
      <c r="B2904" s="63">
        <f t="shared" si="186"/>
        <v>4</v>
      </c>
      <c r="C2904" s="64">
        <f t="shared" ref="C2904:C2909" si="190">E2904</f>
        <v>42485</v>
      </c>
      <c r="D2904" s="64" t="s">
        <v>690</v>
      </c>
      <c r="E2904" s="64">
        <v>42485</v>
      </c>
      <c r="F2904" s="72" t="s">
        <v>1179</v>
      </c>
      <c r="G2904" s="931" t="s">
        <v>902</v>
      </c>
      <c r="H2904" s="308"/>
      <c r="I2904" s="408"/>
      <c r="J2904" s="408"/>
      <c r="K2904" s="399"/>
      <c r="L2904" s="408"/>
      <c r="M2904" s="65">
        <v>40000</v>
      </c>
      <c r="N2904" s="309" t="s">
        <v>99</v>
      </c>
      <c r="O2904" s="66" t="s">
        <v>25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1" ht="15.75" customHeight="1">
      <c r="A2905" s="323" t="str">
        <f>IF(B2905&lt;&gt;"",IF(AND(B2905='IN-TC'!$S$4,OR(TH!N2942="1111",TH!O2942="1111")),TH!D2942,""),"")</f>
        <v/>
      </c>
      <c r="B2905" s="63">
        <f t="shared" si="186"/>
        <v>4</v>
      </c>
      <c r="C2905" s="64">
        <f t="shared" si="190"/>
        <v>42485</v>
      </c>
      <c r="D2905" s="64" t="s">
        <v>690</v>
      </c>
      <c r="E2905" s="64">
        <v>42485</v>
      </c>
      <c r="F2905" s="72" t="s">
        <v>1180</v>
      </c>
      <c r="G2905" s="931" t="s">
        <v>902</v>
      </c>
      <c r="H2905" s="308"/>
      <c r="I2905" s="408"/>
      <c r="J2905" s="408"/>
      <c r="K2905" s="399"/>
      <c r="L2905" s="408"/>
      <c r="M2905" s="65">
        <v>4000</v>
      </c>
      <c r="N2905" s="309" t="s">
        <v>9</v>
      </c>
      <c r="O2905" s="66" t="s">
        <v>25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x</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1" ht="15.75" customHeight="1">
      <c r="A2906" s="323" t="str">
        <f>IF(B2906&lt;&gt;"",IF(AND(B2906='IN-TC'!$S$4,OR(TH!N2943="1111",TH!O2943="1111")),TH!D2943,""),"")</f>
        <v/>
      </c>
      <c r="B2906" s="63">
        <f t="shared" si="186"/>
        <v>4</v>
      </c>
      <c r="C2906" s="64">
        <f t="shared" si="190"/>
        <v>42485</v>
      </c>
      <c r="D2906" s="64" t="s">
        <v>690</v>
      </c>
      <c r="E2906" s="64">
        <v>42485</v>
      </c>
      <c r="F2906" s="72" t="s">
        <v>1433</v>
      </c>
      <c r="G2906" s="931" t="s">
        <v>902</v>
      </c>
      <c r="H2906" s="72" t="s">
        <v>1155</v>
      </c>
      <c r="I2906" s="408"/>
      <c r="J2906" s="408"/>
      <c r="K2906" s="399"/>
      <c r="L2906" s="408"/>
      <c r="M2906" s="65">
        <v>36900000</v>
      </c>
      <c r="N2906" s="66" t="s">
        <v>8</v>
      </c>
      <c r="O2906" s="66" t="s">
        <v>25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1" ht="15.75" customHeight="1">
      <c r="A2907" s="323" t="str">
        <f>IF(B2907&lt;&gt;"",IF(AND(B2907='IN-TC'!$S$4,OR(TH!N2944="1111",TH!O2944="1111")),TH!D2944,""),"")</f>
        <v/>
      </c>
      <c r="B2907" s="63">
        <f t="shared" si="186"/>
        <v>4</v>
      </c>
      <c r="C2907" s="64">
        <f t="shared" si="190"/>
        <v>42485</v>
      </c>
      <c r="D2907" s="64" t="s">
        <v>690</v>
      </c>
      <c r="E2907" s="64">
        <v>42485</v>
      </c>
      <c r="F2907" s="72" t="s">
        <v>1179</v>
      </c>
      <c r="G2907" s="931" t="s">
        <v>902</v>
      </c>
      <c r="H2907" s="308"/>
      <c r="I2907" s="408"/>
      <c r="J2907" s="408"/>
      <c r="K2907" s="399"/>
      <c r="L2907" s="408"/>
      <c r="M2907" s="65">
        <v>40000</v>
      </c>
      <c r="N2907" s="309" t="s">
        <v>99</v>
      </c>
      <c r="O2907" s="66" t="s">
        <v>25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1" ht="15.75" customHeight="1">
      <c r="A2908" s="323" t="str">
        <f>IF(B2908&lt;&gt;"",IF(AND(B2908='IN-TC'!$S$4,OR(TH!N2945="1111",TH!O2945="1111")),TH!D2945,""),"")</f>
        <v/>
      </c>
      <c r="B2908" s="63">
        <f t="shared" si="186"/>
        <v>4</v>
      </c>
      <c r="C2908" s="64">
        <f t="shared" si="190"/>
        <v>42485</v>
      </c>
      <c r="D2908" s="64" t="s">
        <v>690</v>
      </c>
      <c r="E2908" s="64">
        <v>42485</v>
      </c>
      <c r="F2908" s="72" t="s">
        <v>1180</v>
      </c>
      <c r="G2908" s="931" t="s">
        <v>902</v>
      </c>
      <c r="H2908" s="308"/>
      <c r="I2908" s="408"/>
      <c r="J2908" s="408"/>
      <c r="K2908" s="399"/>
      <c r="L2908" s="408"/>
      <c r="M2908" s="65">
        <v>4000</v>
      </c>
      <c r="N2908" s="309" t="s">
        <v>9</v>
      </c>
      <c r="O2908" s="66" t="s">
        <v>25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x</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1" ht="15.75" customHeight="1">
      <c r="A2909" s="323" t="str">
        <f>IF(B2909&lt;&gt;"",IF(AND(B2909='IN-TC'!$S$4,OR(TH!N2885="1111",TH!O2885="1111")),TH!D2885,""),"")</f>
        <v/>
      </c>
      <c r="B2909" s="63">
        <f t="shared" si="186"/>
        <v>4</v>
      </c>
      <c r="C2909" s="64">
        <f t="shared" si="190"/>
        <v>42486</v>
      </c>
      <c r="D2909" s="64" t="s">
        <v>868</v>
      </c>
      <c r="E2909" s="64">
        <v>42486</v>
      </c>
      <c r="F2909" s="72" t="s">
        <v>1087</v>
      </c>
      <c r="G2909" s="931" t="s">
        <v>902</v>
      </c>
      <c r="H2909" s="308" t="s">
        <v>749</v>
      </c>
      <c r="I2909" s="408"/>
      <c r="J2909" s="408"/>
      <c r="K2909" s="399"/>
      <c r="L2909" s="408"/>
      <c r="M2909" s="65">
        <v>20000000</v>
      </c>
      <c r="N2909" s="66" t="s">
        <v>25</v>
      </c>
      <c r="O2909" s="66" t="s">
        <v>61</v>
      </c>
      <c r="P2909" s="82" t="str">
        <f>IF(AND('331-CT'!$E$7=TH!H2909,OR(N2909="331",O2909="331")),"x","")</f>
        <v/>
      </c>
      <c r="Q2909" s="82" t="str">
        <f>IF(AND(B2909='111'!$L$11,OR($N2909=$Q$7,$O2909=$Q$7)),"x","")</f>
        <v/>
      </c>
      <c r="R2909" s="82" t="str">
        <f>IF(AND($N2909=$Q$7,$B2909&lt;'111'!$L$11),"x","")</f>
        <v/>
      </c>
      <c r="S2909" s="82" t="str">
        <f>IF(AND($O2909=$Q$7,$B2909&lt;'111'!$L$11),"x","")</f>
        <v>x</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1" ht="15.75" customHeight="1">
      <c r="A2910" s="323" t="str">
        <f>IF(B2910&lt;&gt;"",IF(AND(B2910='IN-TC'!$S$4,OR(TH!N2065="1111",TH!O2065="1111")),TH!D2065,""),"")</f>
        <v/>
      </c>
      <c r="B2910" s="63">
        <f t="shared" si="186"/>
        <v>10</v>
      </c>
      <c r="C2910" s="78">
        <v>42674</v>
      </c>
      <c r="D2910" s="78" t="s">
        <v>570</v>
      </c>
      <c r="E2910" s="78">
        <v>42649</v>
      </c>
      <c r="F2910" s="80" t="s">
        <v>2159</v>
      </c>
      <c r="G2910" s="934" t="s">
        <v>2165</v>
      </c>
      <c r="H2910" s="80" t="s">
        <v>617</v>
      </c>
      <c r="I2910" s="406"/>
      <c r="J2910" s="406"/>
      <c r="K2910" s="397"/>
      <c r="L2910" s="406"/>
      <c r="M2910" s="81">
        <v>18906600</v>
      </c>
      <c r="N2910" s="82" t="s">
        <v>276</v>
      </c>
      <c r="O2910" s="82" t="s">
        <v>8</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1" ht="15.75" customHeight="1">
      <c r="A2911" s="323" t="str">
        <f>IF(B2911&lt;&gt;"",IF(AND(B2911='IN-TC'!$S$4,OR(TH!N2947="1111",TH!O2947="1111")),TH!D2947,""),"")</f>
        <v/>
      </c>
      <c r="B2911" s="63">
        <f t="shared" si="186"/>
        <v>4</v>
      </c>
      <c r="C2911" s="64">
        <f>E2911</f>
        <v>42486</v>
      </c>
      <c r="D2911" s="64" t="s">
        <v>690</v>
      </c>
      <c r="E2911" s="64">
        <v>42486</v>
      </c>
      <c r="F2911" s="72" t="s">
        <v>1179</v>
      </c>
      <c r="G2911" s="931" t="s">
        <v>902</v>
      </c>
      <c r="H2911" s="72"/>
      <c r="I2911" s="408"/>
      <c r="J2911" s="408"/>
      <c r="K2911" s="399"/>
      <c r="L2911" s="408"/>
      <c r="M2911" s="65">
        <v>45000</v>
      </c>
      <c r="N2911" s="309" t="s">
        <v>99</v>
      </c>
      <c r="O2911" s="66" t="s">
        <v>25</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1" ht="15.75" customHeight="1">
      <c r="A2912" s="323" t="str">
        <f>IF(B2912&lt;&gt;"",IF(AND(B2912='IN-TC'!$S$4,OR(TH!N2948="1111",TH!O2948="1111")),TH!D2948,""),"")</f>
        <v/>
      </c>
      <c r="B2912" s="63">
        <f t="shared" si="186"/>
        <v>4</v>
      </c>
      <c r="C2912" s="64">
        <f>E2912</f>
        <v>42486</v>
      </c>
      <c r="D2912" s="64" t="s">
        <v>690</v>
      </c>
      <c r="E2912" s="64">
        <v>42486</v>
      </c>
      <c r="F2912" s="72" t="s">
        <v>1180</v>
      </c>
      <c r="G2912" s="931" t="s">
        <v>902</v>
      </c>
      <c r="H2912" s="72"/>
      <c r="I2912" s="408"/>
      <c r="J2912" s="408"/>
      <c r="K2912" s="399"/>
      <c r="L2912" s="408"/>
      <c r="M2912" s="65">
        <v>4500</v>
      </c>
      <c r="N2912" s="309" t="s">
        <v>9</v>
      </c>
      <c r="O2912" s="66" t="s">
        <v>25</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x</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customHeight="1">
      <c r="A2913" s="323" t="str">
        <f>IF(B2913&lt;&gt;"",IF(AND(B2913='IN-TC'!$S$4,OR(TH!N2886="1111",TH!O2886="1111")),TH!D2886,""),"")</f>
        <v/>
      </c>
      <c r="B2913" s="63">
        <f t="shared" si="186"/>
        <v>4</v>
      </c>
      <c r="C2913" s="64">
        <v>42487</v>
      </c>
      <c r="D2913" s="64" t="s">
        <v>869</v>
      </c>
      <c r="E2913" s="64">
        <v>42487</v>
      </c>
      <c r="F2913" s="72" t="s">
        <v>1404</v>
      </c>
      <c r="G2913" s="931" t="s">
        <v>1406</v>
      </c>
      <c r="H2913" s="72" t="s">
        <v>823</v>
      </c>
      <c r="I2913" s="408"/>
      <c r="J2913" s="408"/>
      <c r="K2913" s="399"/>
      <c r="L2913" s="408"/>
      <c r="M2913" s="65">
        <v>16050000</v>
      </c>
      <c r="N2913" s="66" t="s">
        <v>99</v>
      </c>
      <c r="O2913" s="66" t="s">
        <v>61</v>
      </c>
      <c r="P2913" s="82" t="str">
        <f>IF(AND('331-CT'!$E$7=TH!H2913,OR(N2913="331",O2913="331")),"x","")</f>
        <v/>
      </c>
      <c r="Q2913" s="82" t="str">
        <f>IF(AND(B2913='111'!$L$11,OR($N2913=$Q$7,$O2913=$Q$7)),"x","")</f>
        <v/>
      </c>
      <c r="R2913" s="82" t="str">
        <f>IF(AND($N2913=$Q$7,$B2913&lt;'111'!$L$11),"x","")</f>
        <v/>
      </c>
      <c r="S2913" s="82" t="str">
        <f>IF(AND($O2913=$Q$7,$B2913&lt;'111'!$L$11),"x","")</f>
        <v>x</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customHeight="1">
      <c r="A2914" s="323" t="str">
        <f>IF(B2914&lt;&gt;"",IF(AND(B2914='IN-TC'!$S$4,OR(TH!N2887="1111",TH!O2887="1111")),TH!D2887,""),"")</f>
        <v/>
      </c>
      <c r="B2914" s="63">
        <f t="shared" si="186"/>
        <v>4</v>
      </c>
      <c r="C2914" s="64">
        <v>42487</v>
      </c>
      <c r="D2914" s="64" t="s">
        <v>869</v>
      </c>
      <c r="E2914" s="64">
        <v>42487</v>
      </c>
      <c r="F2914" s="72" t="s">
        <v>1405</v>
      </c>
      <c r="G2914" s="931" t="s">
        <v>1406</v>
      </c>
      <c r="H2914" s="72" t="s">
        <v>823</v>
      </c>
      <c r="I2914" s="408"/>
      <c r="J2914" s="408"/>
      <c r="K2914" s="399"/>
      <c r="L2914" s="408"/>
      <c r="M2914" s="65">
        <v>1605000</v>
      </c>
      <c r="N2914" s="66" t="s">
        <v>9</v>
      </c>
      <c r="O2914" s="66" t="s">
        <v>61</v>
      </c>
      <c r="P2914" s="82" t="str">
        <f>IF(AND('331-CT'!$E$7=TH!H2914,OR(N2914="331",O2914="331")),"x","")</f>
        <v/>
      </c>
      <c r="Q2914" s="82" t="str">
        <f>IF(AND(B2914='111'!$L$11,OR($N2914=$Q$7,$O2914=$Q$7)),"x","")</f>
        <v/>
      </c>
      <c r="R2914" s="82" t="str">
        <f>IF(AND($N2914=$Q$7,$B2914&lt;'111'!$L$11),"x","")</f>
        <v/>
      </c>
      <c r="S2914" s="82" t="str">
        <f>IF(AND($O2914=$Q$7,$B2914&lt;'111'!$L$11),"x","")</f>
        <v>x</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x</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customHeight="1">
      <c r="A2915" s="323" t="str">
        <f>IF(B2915&lt;&gt;"",IF(AND(B2915='IN-TC'!$S$4,OR(TH!N2888="1111",TH!O2888="1111")),TH!D2888,""),"")</f>
        <v/>
      </c>
      <c r="B2915" s="63">
        <f t="shared" si="186"/>
        <v>4</v>
      </c>
      <c r="C2915" s="64">
        <v>42487</v>
      </c>
      <c r="D2915" s="64" t="s">
        <v>870</v>
      </c>
      <c r="E2915" s="64">
        <v>42487</v>
      </c>
      <c r="F2915" s="72" t="s">
        <v>1415</v>
      </c>
      <c r="G2915" s="931" t="s">
        <v>1417</v>
      </c>
      <c r="H2915" s="72" t="s">
        <v>1418</v>
      </c>
      <c r="I2915" s="408"/>
      <c r="J2915" s="408"/>
      <c r="K2915" s="399"/>
      <c r="L2915" s="408"/>
      <c r="M2915" s="65">
        <v>2638000</v>
      </c>
      <c r="N2915" s="66" t="s">
        <v>99</v>
      </c>
      <c r="O2915" s="66" t="s">
        <v>61</v>
      </c>
      <c r="P2915" s="82" t="str">
        <f>IF(AND('331-CT'!$E$7=TH!H2915,OR(N2915="331",O2915="331")),"x","")</f>
        <v/>
      </c>
      <c r="Q2915" s="82" t="str">
        <f>IF(AND(B2915='111'!$L$11,OR($N2915=$Q$7,$O2915=$Q$7)),"x","")</f>
        <v/>
      </c>
      <c r="R2915" s="82" t="str">
        <f>IF(AND($N2915=$Q$7,$B2915&lt;'111'!$L$11),"x","")</f>
        <v/>
      </c>
      <c r="S2915" s="82" t="str">
        <f>IF(AND($O2915=$Q$7,$B2915&lt;'111'!$L$11),"x","")</f>
        <v>x</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customHeight="1">
      <c r="A2916" s="323" t="str">
        <f>IF(B2916&lt;&gt;"",IF(AND(B2916='IN-TC'!$S$4,OR(TH!N2889="1111",TH!O2889="1111")),TH!D2889,""),"")</f>
        <v/>
      </c>
      <c r="B2916" s="63">
        <f t="shared" si="186"/>
        <v>4</v>
      </c>
      <c r="C2916" s="64">
        <v>42487</v>
      </c>
      <c r="D2916" s="64" t="s">
        <v>870</v>
      </c>
      <c r="E2916" s="64">
        <v>42487</v>
      </c>
      <c r="F2916" s="72" t="s">
        <v>1416</v>
      </c>
      <c r="G2916" s="931" t="s">
        <v>1417</v>
      </c>
      <c r="H2916" s="72" t="s">
        <v>1418</v>
      </c>
      <c r="I2916" s="408"/>
      <c r="J2916" s="408"/>
      <c r="K2916" s="399"/>
      <c r="L2916" s="408"/>
      <c r="M2916" s="65">
        <v>263800</v>
      </c>
      <c r="N2916" s="66" t="s">
        <v>9</v>
      </c>
      <c r="O2916" s="66" t="s">
        <v>61</v>
      </c>
      <c r="P2916" s="82" t="str">
        <f>IF(AND('331-CT'!$E$7=TH!H2916,OR(N2916="331",O2916="331")),"x","")</f>
        <v/>
      </c>
      <c r="Q2916" s="82" t="str">
        <f>IF(AND(B2916='111'!$L$11,OR($N2916=$Q$7,$O2916=$Q$7)),"x","")</f>
        <v/>
      </c>
      <c r="R2916" s="82" t="str">
        <f>IF(AND($N2916=$Q$7,$B2916&lt;'111'!$L$11),"x","")</f>
        <v/>
      </c>
      <c r="S2916" s="82" t="str">
        <f>IF(AND($O2916=$Q$7,$B2916&lt;'111'!$L$11),"x","")</f>
        <v>x</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x</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customHeight="1">
      <c r="A2917" s="323" t="str">
        <f>IF(B2917&lt;&gt;"",IF(AND(B2917='IN-TC'!$S$4,OR(TH!N2949="1111",TH!O2949="1111")),TH!D2949,""),"")</f>
        <v/>
      </c>
      <c r="B2917" s="63">
        <f t="shared" si="186"/>
        <v>4</v>
      </c>
      <c r="C2917" s="64">
        <f>E2917</f>
        <v>42488</v>
      </c>
      <c r="D2917" s="64" t="s">
        <v>690</v>
      </c>
      <c r="E2917" s="64">
        <v>42488</v>
      </c>
      <c r="F2917" s="72" t="s">
        <v>1430</v>
      </c>
      <c r="G2917" s="931" t="s">
        <v>902</v>
      </c>
      <c r="H2917" s="308" t="s">
        <v>1340</v>
      </c>
      <c r="I2917" s="408"/>
      <c r="J2917" s="408"/>
      <c r="K2917" s="399"/>
      <c r="L2917" s="408"/>
      <c r="M2917" s="65">
        <v>304272</v>
      </c>
      <c r="N2917" s="66" t="s">
        <v>103</v>
      </c>
      <c r="O2917" s="66" t="s">
        <v>25</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customHeight="1">
      <c r="A2918" s="323" t="str">
        <f>IF(B2918&lt;&gt;"",IF(AND(B2918='IN-TC'!$S$4,OR(TH!N2890="1111",TH!O2890="1111")),TH!D2890,""),"")</f>
        <v/>
      </c>
      <c r="B2918" s="63">
        <f t="shared" si="186"/>
        <v>4</v>
      </c>
      <c r="C2918" s="64">
        <v>42489</v>
      </c>
      <c r="D2918" s="64" t="s">
        <v>871</v>
      </c>
      <c r="E2918" s="64">
        <f t="shared" ref="E2918:E2923" si="191">C2918</f>
        <v>42489</v>
      </c>
      <c r="F2918" s="72" t="s">
        <v>1341</v>
      </c>
      <c r="G2918" s="931"/>
      <c r="H2918" s="308" t="s">
        <v>1343</v>
      </c>
      <c r="I2918" s="408"/>
      <c r="J2918" s="408"/>
      <c r="K2918" s="399"/>
      <c r="L2918" s="408"/>
      <c r="M2918" s="65">
        <v>818182</v>
      </c>
      <c r="N2918" s="66" t="s">
        <v>99</v>
      </c>
      <c r="O2918" s="66" t="s">
        <v>61</v>
      </c>
      <c r="P2918" s="82" t="str">
        <f>IF(AND('331-CT'!$E$7=TH!H2918,OR(N2918="331",O2918="331")),"x","")</f>
        <v/>
      </c>
      <c r="Q2918" s="82" t="str">
        <f>IF(AND(B2918='111'!$L$11,OR($N2918=$Q$7,$O2918=$Q$7)),"x","")</f>
        <v/>
      </c>
      <c r="R2918" s="82" t="str">
        <f>IF(AND($N2918=$Q$7,$B2918&lt;'111'!$L$11),"x","")</f>
        <v/>
      </c>
      <c r="S2918" s="82" t="str">
        <f>IF(AND($O2918=$Q$7,$B2918&lt;'111'!$L$11),"x","")</f>
        <v>x</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customHeight="1">
      <c r="A2919" s="323" t="str">
        <f>IF(B2919&lt;&gt;"",IF(AND(B2919='IN-TC'!$S$4,OR(TH!N2891="1111",TH!O2891="1111")),TH!D2891,""),"")</f>
        <v/>
      </c>
      <c r="B2919" s="63">
        <f t="shared" si="186"/>
        <v>4</v>
      </c>
      <c r="C2919" s="64">
        <v>42489</v>
      </c>
      <c r="D2919" s="64" t="s">
        <v>871</v>
      </c>
      <c r="E2919" s="64">
        <f t="shared" si="191"/>
        <v>42489</v>
      </c>
      <c r="F2919" s="72" t="s">
        <v>1342</v>
      </c>
      <c r="G2919" s="931"/>
      <c r="H2919" s="308" t="s">
        <v>1343</v>
      </c>
      <c r="I2919" s="408"/>
      <c r="J2919" s="408"/>
      <c r="K2919" s="399"/>
      <c r="L2919" s="408"/>
      <c r="M2919" s="65">
        <v>81818</v>
      </c>
      <c r="N2919" s="66" t="s">
        <v>9</v>
      </c>
      <c r="O2919" s="66" t="s">
        <v>61</v>
      </c>
      <c r="P2919" s="82" t="str">
        <f>IF(AND('331-CT'!$E$7=TH!H2919,OR(N2919="331",O2919="331")),"x","")</f>
        <v/>
      </c>
      <c r="Q2919" s="82" t="str">
        <f>IF(AND(B2919='111'!$L$11,OR($N2919=$Q$7,$O2919=$Q$7)),"x","")</f>
        <v/>
      </c>
      <c r="R2919" s="82" t="str">
        <f>IF(AND($N2919=$Q$7,$B2919&lt;'111'!$L$11),"x","")</f>
        <v/>
      </c>
      <c r="S2919" s="82" t="str">
        <f>IF(AND($O2919=$Q$7,$B2919&lt;'111'!$L$11),"x","")</f>
        <v>x</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x</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customHeight="1">
      <c r="A2920" s="323" t="str">
        <f>IF(B2920&lt;&gt;"",IF(AND(B2920='IN-TC'!$S$4,OR(TH!N2892="1111",TH!O2892="1111")),TH!D2892,""),"")</f>
        <v/>
      </c>
      <c r="B2920" s="63">
        <f t="shared" si="186"/>
        <v>4</v>
      </c>
      <c r="C2920" s="64">
        <v>42489</v>
      </c>
      <c r="D2920" s="64" t="s">
        <v>872</v>
      </c>
      <c r="E2920" s="64">
        <f t="shared" si="191"/>
        <v>42489</v>
      </c>
      <c r="F2920" s="72" t="s">
        <v>756</v>
      </c>
      <c r="G2920" s="931" t="s">
        <v>1420</v>
      </c>
      <c r="H2920" s="72" t="s">
        <v>792</v>
      </c>
      <c r="I2920" s="408"/>
      <c r="J2920" s="408"/>
      <c r="K2920" s="399"/>
      <c r="L2920" s="408"/>
      <c r="M2920" s="65">
        <v>546782</v>
      </c>
      <c r="N2920" s="66" t="s">
        <v>99</v>
      </c>
      <c r="O2920" s="66" t="s">
        <v>61</v>
      </c>
      <c r="P2920" s="82" t="str">
        <f>IF(AND('331-CT'!$E$7=TH!H2920,OR(N2920="331",O2920="331")),"x","")</f>
        <v/>
      </c>
      <c r="Q2920" s="82" t="str">
        <f>IF(AND(B2920='111'!$L$11,OR($N2920=$Q$7,$O2920=$Q$7)),"x","")</f>
        <v/>
      </c>
      <c r="R2920" s="82" t="str">
        <f>IF(AND($N2920=$Q$7,$B2920&lt;'111'!$L$11),"x","")</f>
        <v/>
      </c>
      <c r="S2920" s="82" t="str">
        <f>IF(AND($O2920=$Q$7,$B2920&lt;'111'!$L$11),"x","")</f>
        <v>x</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customHeight="1">
      <c r="A2921" s="323" t="str">
        <f>IF(B2921&lt;&gt;"",IF(AND(B2921='IN-TC'!$S$4,OR(TH!N2893="1111",TH!O2893="1111")),TH!D2893,""),"")</f>
        <v/>
      </c>
      <c r="B2921" s="63">
        <f t="shared" si="186"/>
        <v>4</v>
      </c>
      <c r="C2921" s="64">
        <v>42489</v>
      </c>
      <c r="D2921" s="64" t="s">
        <v>872</v>
      </c>
      <c r="E2921" s="64">
        <f t="shared" si="191"/>
        <v>42489</v>
      </c>
      <c r="F2921" s="72" t="s">
        <v>757</v>
      </c>
      <c r="G2921" s="931" t="s">
        <v>1420</v>
      </c>
      <c r="H2921" s="72" t="s">
        <v>792</v>
      </c>
      <c r="I2921" s="408"/>
      <c r="J2921" s="408"/>
      <c r="K2921" s="399"/>
      <c r="L2921" s="408"/>
      <c r="M2921" s="65">
        <v>54678</v>
      </c>
      <c r="N2921" s="66" t="s">
        <v>9</v>
      </c>
      <c r="O2921" s="66" t="s">
        <v>61</v>
      </c>
      <c r="P2921" s="82" t="str">
        <f>IF(AND('331-CT'!$E$7=TH!H2921,OR(N2921="331",O2921="331")),"x","")</f>
        <v/>
      </c>
      <c r="Q2921" s="82" t="str">
        <f>IF(AND(B2921='111'!$L$11,OR($N2921=$Q$7,$O2921=$Q$7)),"x","")</f>
        <v/>
      </c>
      <c r="R2921" s="82" t="str">
        <f>IF(AND($N2921=$Q$7,$B2921&lt;'111'!$L$11),"x","")</f>
        <v/>
      </c>
      <c r="S2921" s="82" t="str">
        <f>IF(AND($O2921=$Q$7,$B2921&lt;'111'!$L$11),"x","")</f>
        <v>x</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x</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customHeight="1">
      <c r="A2922" s="323" t="str">
        <f>IF(B2922&lt;&gt;"",IF(AND(B2922='IN-TC'!$S$4,OR(TH!N2894="1111",TH!O2894="1111")),TH!D2894,""),"")</f>
        <v/>
      </c>
      <c r="B2922" s="63">
        <f t="shared" si="186"/>
        <v>4</v>
      </c>
      <c r="C2922" s="64">
        <v>42489</v>
      </c>
      <c r="D2922" s="64" t="s">
        <v>873</v>
      </c>
      <c r="E2922" s="64">
        <f t="shared" si="191"/>
        <v>42489</v>
      </c>
      <c r="F2922" s="72" t="s">
        <v>2375</v>
      </c>
      <c r="G2922" s="931"/>
      <c r="H2922" s="72" t="s">
        <v>2376</v>
      </c>
      <c r="I2922" s="408"/>
      <c r="J2922" s="408"/>
      <c r="K2922" s="399"/>
      <c r="L2922" s="408"/>
      <c r="M2922" s="65">
        <v>19958000</v>
      </c>
      <c r="N2922" s="66" t="s">
        <v>581</v>
      </c>
      <c r="O2922" s="66" t="s">
        <v>61</v>
      </c>
      <c r="P2922" s="82" t="str">
        <f>IF(AND('331-CT'!$E$7=TH!H2922,OR(N2922="331",O2922="331")),"x","")</f>
        <v/>
      </c>
      <c r="Q2922" s="82" t="str">
        <f>IF(AND(B2922='111'!$L$11,OR($N2922=$Q$7,$O2922=$Q$7)),"x","")</f>
        <v/>
      </c>
      <c r="R2922" s="82" t="str">
        <f>IF(AND($N2922=$Q$7,$B2922&lt;'111'!$L$11),"x","")</f>
        <v/>
      </c>
      <c r="S2922" s="82" t="str">
        <f>IF(AND($O2922=$Q$7,$B2922&lt;'111'!$L$11),"x","")</f>
        <v>x</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customHeight="1">
      <c r="A2923" s="323" t="str">
        <f>IF(B2923&lt;&gt;"",IF(AND(B2923='IN-TC'!$S$4,OR(TH!N2895="1111",TH!O2895="1111")),TH!D2895,""),"")</f>
        <v/>
      </c>
      <c r="B2923" s="63">
        <f t="shared" si="186"/>
        <v>4</v>
      </c>
      <c r="C2923" s="90">
        <v>42489</v>
      </c>
      <c r="D2923" s="90" t="s">
        <v>874</v>
      </c>
      <c r="E2923" s="90">
        <f t="shared" si="191"/>
        <v>42489</v>
      </c>
      <c r="F2923" s="92" t="s">
        <v>1384</v>
      </c>
      <c r="G2923" s="1089"/>
      <c r="H2923" s="92" t="s">
        <v>832</v>
      </c>
      <c r="I2923" s="414"/>
      <c r="J2923" s="414"/>
      <c r="K2923" s="405"/>
      <c r="L2923" s="414"/>
      <c r="M2923" s="93">
        <v>133705785</v>
      </c>
      <c r="N2923" s="1134" t="s">
        <v>580</v>
      </c>
      <c r="O2923" s="83" t="s">
        <v>61</v>
      </c>
      <c r="P2923" s="82" t="str">
        <f>IF(AND('331-CT'!$E$7=TH!H2923,OR(N2923="331",O2923="331")),"x","")</f>
        <v/>
      </c>
      <c r="Q2923" s="82" t="str">
        <f>IF(AND(B2923='111'!$L$11,OR($N2923=$Q$7,$O2923=$Q$7)),"x","")</f>
        <v/>
      </c>
      <c r="R2923" s="82" t="str">
        <f>IF(AND($N2923=$Q$7,$B2923&lt;'111'!$L$11),"x","")</f>
        <v/>
      </c>
      <c r="S2923" s="82" t="str">
        <f>IF(AND($O2923=$Q$7,$B2923&lt;'111'!$L$11),"x","")</f>
        <v>x</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customHeight="1">
      <c r="A2924" s="323" t="str">
        <f>IF(B2924&lt;&gt;"",IF(AND(B2924='IN-TC'!$S$4,OR(TH!N2951="1111",TH!O2951="1111")),TH!D2951,""),"")</f>
        <v/>
      </c>
      <c r="B2924" s="63">
        <f t="shared" si="186"/>
        <v>4</v>
      </c>
      <c r="C2924" s="64">
        <f>E2924</f>
        <v>42489</v>
      </c>
      <c r="D2924" s="64" t="s">
        <v>690</v>
      </c>
      <c r="E2924" s="64">
        <v>42489</v>
      </c>
      <c r="F2924" s="72" t="s">
        <v>1438</v>
      </c>
      <c r="G2924" s="931" t="s">
        <v>902</v>
      </c>
      <c r="H2924" s="1103" t="s">
        <v>1350</v>
      </c>
      <c r="I2924" s="408"/>
      <c r="J2924" s="408"/>
      <c r="K2924" s="399">
        <v>170</v>
      </c>
      <c r="L2924" s="408">
        <v>22260</v>
      </c>
      <c r="M2924" s="65">
        <f>ROUND(K2924*L2924,0)</f>
        <v>3784200</v>
      </c>
      <c r="N2924" s="309" t="s">
        <v>99</v>
      </c>
      <c r="O2924" s="66" t="s">
        <v>576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customHeight="1">
      <c r="A2925" s="323" t="str">
        <f>IF(B2925&lt;&gt;"",IF(AND(B2925='IN-TC'!$S$4,OR(TH!N2952="1111",TH!O2952="1111")),TH!D2952,""),"")</f>
        <v/>
      </c>
      <c r="B2925" s="63">
        <f t="shared" si="186"/>
        <v>4</v>
      </c>
      <c r="C2925" s="64">
        <f>E2925</f>
        <v>42489</v>
      </c>
      <c r="D2925" s="64" t="s">
        <v>690</v>
      </c>
      <c r="E2925" s="64">
        <v>42489</v>
      </c>
      <c r="F2925" s="72" t="s">
        <v>1439</v>
      </c>
      <c r="G2925" s="931" t="s">
        <v>902</v>
      </c>
      <c r="H2925" s="1103" t="s">
        <v>1350</v>
      </c>
      <c r="I2925" s="408"/>
      <c r="J2925" s="408"/>
      <c r="K2925" s="399">
        <f>M2925/L2925</f>
        <v>181.69110512129379</v>
      </c>
      <c r="L2925" s="408">
        <v>22260</v>
      </c>
      <c r="M2925" s="65">
        <v>4044444</v>
      </c>
      <c r="N2925" s="66" t="s">
        <v>97</v>
      </c>
      <c r="O2925" s="66" t="s">
        <v>576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customHeight="1">
      <c r="A2926" s="323" t="str">
        <f>IF(B2926&lt;&gt;"",IF(AND(B2926='IN-TC'!$S$4,OR(TH!N2953="1111",TH!O2953="1111")),TH!D2953,""),"")</f>
        <v/>
      </c>
      <c r="B2926" s="63">
        <f t="shared" ref="B2926:B2989" si="192">IF(C2926&lt;&gt;"",MONTH(C2926),"")</f>
        <v>4</v>
      </c>
      <c r="C2926" s="64">
        <f>E2926</f>
        <v>42489</v>
      </c>
      <c r="D2926" s="64" t="s">
        <v>690</v>
      </c>
      <c r="E2926" s="64">
        <v>42489</v>
      </c>
      <c r="F2926" s="72" t="s">
        <v>1438</v>
      </c>
      <c r="G2926" s="931" t="s">
        <v>902</v>
      </c>
      <c r="H2926" s="1103" t="s">
        <v>1350</v>
      </c>
      <c r="I2926" s="408"/>
      <c r="J2926" s="408"/>
      <c r="K2926" s="399">
        <f>M2926/L2926</f>
        <v>115.14955076370171</v>
      </c>
      <c r="L2926" s="408">
        <v>22260</v>
      </c>
      <c r="M2926" s="65">
        <v>2563229</v>
      </c>
      <c r="N2926" s="309" t="s">
        <v>99</v>
      </c>
      <c r="O2926" s="66" t="s">
        <v>576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customHeight="1">
      <c r="A2927" s="323" t="str">
        <f>IF(B2927&lt;&gt;"",IF(AND(B2927='IN-TC'!$S$4,OR(TH!N2954="1111",TH!O2954="1111")),TH!D2954,""),"")</f>
        <v/>
      </c>
      <c r="B2927" s="63">
        <f t="shared" si="192"/>
        <v>4</v>
      </c>
      <c r="C2927" s="64">
        <f>E2927</f>
        <v>42489</v>
      </c>
      <c r="D2927" s="64" t="s">
        <v>690</v>
      </c>
      <c r="E2927" s="64">
        <v>42489</v>
      </c>
      <c r="F2927" s="72" t="s">
        <v>1451</v>
      </c>
      <c r="G2927" s="931" t="s">
        <v>902</v>
      </c>
      <c r="H2927" s="1103" t="s">
        <v>1350</v>
      </c>
      <c r="I2927" s="408"/>
      <c r="J2927" s="408"/>
      <c r="K2927" s="399">
        <f>M2927/L2927</f>
        <v>11.514959568733154</v>
      </c>
      <c r="L2927" s="408">
        <v>22260</v>
      </c>
      <c r="M2927" s="65">
        <v>256323</v>
      </c>
      <c r="N2927" s="309" t="s">
        <v>9</v>
      </c>
      <c r="O2927" s="66" t="s">
        <v>576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x</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customHeight="1">
      <c r="A2928" s="323" t="str">
        <f>IF(B2928&lt;&gt;"",IF(AND(B2928='IN-TC'!$S$4,OR(TH!N2955="1111",TH!O2955="1111")),TH!D2955,""),"")</f>
        <v/>
      </c>
      <c r="B2928" s="63">
        <f t="shared" si="192"/>
        <v>4</v>
      </c>
      <c r="C2928" s="64">
        <f>E2928</f>
        <v>42489</v>
      </c>
      <c r="D2928" s="64" t="s">
        <v>690</v>
      </c>
      <c r="E2928" s="64">
        <v>42489</v>
      </c>
      <c r="F2928" s="72" t="s">
        <v>1049</v>
      </c>
      <c r="G2928" s="931" t="s">
        <v>902</v>
      </c>
      <c r="H2928" s="1103" t="s">
        <v>1350</v>
      </c>
      <c r="I2928" s="408"/>
      <c r="J2928" s="408"/>
      <c r="K2928" s="399"/>
      <c r="L2928" s="408"/>
      <c r="M2928" s="65">
        <v>765600</v>
      </c>
      <c r="N2928" s="309" t="s">
        <v>576</v>
      </c>
      <c r="O2928" s="66" t="s">
        <v>41</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1" ht="15.75" customHeight="1">
      <c r="A2929" s="323" t="str">
        <f>IF(B2929&lt;&gt;"",IF(AND(B2929='IN-TC'!$S$4,OR(TH!N295="1111",TH!O295="1111")),TH!D295,""),"")</f>
        <v/>
      </c>
      <c r="B2929" s="63">
        <f t="shared" si="192"/>
        <v>10</v>
      </c>
      <c r="C2929" s="1087">
        <v>42663</v>
      </c>
      <c r="D2929" s="1087" t="s">
        <v>1657</v>
      </c>
      <c r="E2929" s="1087">
        <f>C2929</f>
        <v>42663</v>
      </c>
      <c r="F2929" s="1155" t="s">
        <v>443</v>
      </c>
      <c r="G2929" s="1131" t="s">
        <v>2120</v>
      </c>
      <c r="H2929" s="92" t="s">
        <v>1350</v>
      </c>
      <c r="I2929" s="414">
        <v>4800</v>
      </c>
      <c r="J2929" s="1132">
        <v>8.6999999999999993</v>
      </c>
      <c r="K2929" s="405">
        <f>I2929*J2929</f>
        <v>41760</v>
      </c>
      <c r="L2929" s="414">
        <v>22270</v>
      </c>
      <c r="M2929" s="1133">
        <f>ROUND(K2929*L2929,0)</f>
        <v>929995200</v>
      </c>
      <c r="N2929" s="1134" t="s">
        <v>576</v>
      </c>
      <c r="O2929" s="1134" t="s">
        <v>292</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1" ht="15.75" customHeight="1">
      <c r="A2930" s="323" t="str">
        <f>IF(B2930&lt;&gt;"",IF(AND(B2930='IN-TC'!$S$4,OR(TH!N2956="1111",TH!O2956="1111")),TH!D2956,""),"")</f>
        <v/>
      </c>
      <c r="B2930" s="63">
        <f t="shared" si="192"/>
        <v>4</v>
      </c>
      <c r="C2930" s="64">
        <f>E2930</f>
        <v>42489</v>
      </c>
      <c r="D2930" s="64" t="s">
        <v>690</v>
      </c>
      <c r="E2930" s="64">
        <v>42489</v>
      </c>
      <c r="F2930" s="72" t="s">
        <v>1437</v>
      </c>
      <c r="G2930" s="931" t="s">
        <v>902</v>
      </c>
      <c r="H2930" s="1103" t="s">
        <v>1435</v>
      </c>
      <c r="I2930" s="408"/>
      <c r="J2930" s="408"/>
      <c r="K2930" s="399"/>
      <c r="L2930" s="408"/>
      <c r="M2930" s="65">
        <v>1600000000</v>
      </c>
      <c r="N2930" s="309" t="s">
        <v>254</v>
      </c>
      <c r="O2930" s="66" t="s">
        <v>25</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1" ht="15.75" customHeight="1">
      <c r="A2931" s="323" t="str">
        <f>IF(B2931&lt;&gt;"",IF(AND(B2931='IN-TC'!$S$4,OR(TH!N2840="1111",TH!O2840="1111")),TH!D2840,""),"")</f>
        <v/>
      </c>
      <c r="B2931" s="63">
        <f t="shared" si="192"/>
        <v>5</v>
      </c>
      <c r="C2931" s="1092">
        <v>42492</v>
      </c>
      <c r="D2931" s="1092" t="s">
        <v>851</v>
      </c>
      <c r="E2931" s="1092">
        <f>C2931</f>
        <v>42492</v>
      </c>
      <c r="F2931" s="482" t="s">
        <v>947</v>
      </c>
      <c r="G2931" s="1094"/>
      <c r="H2931" s="1093" t="s">
        <v>946</v>
      </c>
      <c r="I2931" s="1095"/>
      <c r="J2931" s="1095"/>
      <c r="K2931" s="1096"/>
      <c r="L2931" s="1095"/>
      <c r="M2931" s="1097">
        <v>500000000</v>
      </c>
      <c r="N2931" s="1098" t="s">
        <v>266</v>
      </c>
      <c r="O2931" s="1098" t="s">
        <v>61</v>
      </c>
      <c r="P2931" s="82" t="str">
        <f>IF(AND('331-CT'!$E$7=TH!H2931,OR(N2931="331",O2931="331")),"x","")</f>
        <v/>
      </c>
      <c r="Q2931" s="82" t="str">
        <f>IF(AND(B2931='111'!$L$11,OR($N2931=$Q$7,$O2931=$Q$7)),"x","")</f>
        <v/>
      </c>
      <c r="R2931" s="82" t="str">
        <f>IF(AND($N2931=$Q$7,$B2931&lt;'111'!$L$11),"x","")</f>
        <v/>
      </c>
      <c r="S2931" s="82" t="str">
        <f>IF(AND($O2931=$Q$7,$B2931&lt;'111'!$L$11),"x","")</f>
        <v>x</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1" ht="15.75" customHeight="1">
      <c r="A2932" s="323" t="str">
        <f>IF(B2932&lt;&gt;"",IF(AND(B2932='IN-TC'!$S$4,OR(TH!N2841="1111",TH!O2841="1111")),TH!D2841,""),"")</f>
        <v/>
      </c>
      <c r="B2932" s="63">
        <f t="shared" si="192"/>
        <v>5</v>
      </c>
      <c r="C2932" s="64">
        <v>42494</v>
      </c>
      <c r="D2932" s="64" t="s">
        <v>852</v>
      </c>
      <c r="E2932" s="64">
        <v>42489</v>
      </c>
      <c r="F2932" s="72" t="s">
        <v>1464</v>
      </c>
      <c r="G2932" s="931" t="s">
        <v>1465</v>
      </c>
      <c r="H2932" s="72" t="s">
        <v>786</v>
      </c>
      <c r="I2932" s="408"/>
      <c r="J2932" s="408"/>
      <c r="K2932" s="399"/>
      <c r="L2932" s="408"/>
      <c r="M2932" s="65">
        <v>33050</v>
      </c>
      <c r="N2932" s="309" t="s">
        <v>99</v>
      </c>
      <c r="O2932" s="66" t="s">
        <v>61</v>
      </c>
      <c r="P2932" s="82" t="str">
        <f>IF(AND('331-CT'!$E$7=TH!H2932,OR(N2932="331",O2932="331")),"x","")</f>
        <v/>
      </c>
      <c r="Q2932" s="82" t="str">
        <f>IF(AND(B2932='111'!$L$11,OR($N2932=$Q$7,$O2932=$Q$7)),"x","")</f>
        <v/>
      </c>
      <c r="R2932" s="82" t="str">
        <f>IF(AND($N2932=$Q$7,$B2932&lt;'111'!$L$11),"x","")</f>
        <v/>
      </c>
      <c r="S2932" s="82" t="str">
        <f>IF(AND($O2932=$Q$7,$B2932&lt;'111'!$L$11),"x","")</f>
        <v>x</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1" ht="15.75" customHeight="1">
      <c r="A2933" s="323" t="str">
        <f>IF(B2933&lt;&gt;"",IF(AND(B2933='IN-TC'!$S$4,OR(TH!N2842="1111",TH!O2842="1111")),TH!D2842,""),"")</f>
        <v/>
      </c>
      <c r="B2933" s="63">
        <f t="shared" si="192"/>
        <v>5</v>
      </c>
      <c r="C2933" s="64">
        <v>42494</v>
      </c>
      <c r="D2933" s="64" t="s">
        <v>852</v>
      </c>
      <c r="E2933" s="64">
        <v>42489</v>
      </c>
      <c r="F2933" s="72" t="s">
        <v>1469</v>
      </c>
      <c r="G2933" s="931" t="s">
        <v>1465</v>
      </c>
      <c r="H2933" s="72" t="s">
        <v>786</v>
      </c>
      <c r="I2933" s="408"/>
      <c r="J2933" s="408"/>
      <c r="K2933" s="399"/>
      <c r="L2933" s="408"/>
      <c r="M2933" s="65">
        <v>3305</v>
      </c>
      <c r="N2933" s="309" t="s">
        <v>9</v>
      </c>
      <c r="O2933" s="66" t="s">
        <v>61</v>
      </c>
      <c r="P2933" s="82" t="str">
        <f>IF(AND('331-CT'!$E$7=TH!H2933,OR(N2933="331",O2933="331")),"x","")</f>
        <v/>
      </c>
      <c r="Q2933" s="82" t="str">
        <f>IF(AND(B2933='111'!$L$11,OR($N2933=$Q$7,$O2933=$Q$7)),"x","")</f>
        <v/>
      </c>
      <c r="R2933" s="82" t="str">
        <f>IF(AND($N2933=$Q$7,$B2933&lt;'111'!$L$11),"x","")</f>
        <v/>
      </c>
      <c r="S2933" s="82" t="str">
        <f>IF(AND($O2933=$Q$7,$B2933&lt;'111'!$L$11),"x","")</f>
        <v>x</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x</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1" ht="15.75" customHeight="1">
      <c r="A2934" s="323" t="str">
        <f>IF(B2934&lt;&gt;"",IF(AND(B2934='IN-TC'!$S$4,OR(TH!N2843="1111",TH!O2843="1111")),TH!D2843,""),"")</f>
        <v/>
      </c>
      <c r="B2934" s="63">
        <f t="shared" si="192"/>
        <v>5</v>
      </c>
      <c r="C2934" s="64">
        <v>42494</v>
      </c>
      <c r="D2934" s="64" t="s">
        <v>853</v>
      </c>
      <c r="E2934" s="64">
        <v>42494</v>
      </c>
      <c r="F2934" s="72" t="s">
        <v>1087</v>
      </c>
      <c r="G2934" s="67" t="s">
        <v>902</v>
      </c>
      <c r="H2934" s="1104" t="s">
        <v>749</v>
      </c>
      <c r="I2934" s="408"/>
      <c r="J2934" s="408"/>
      <c r="K2934" s="399"/>
      <c r="L2934" s="408"/>
      <c r="M2934" s="65">
        <v>31000000</v>
      </c>
      <c r="N2934" s="66" t="s">
        <v>25</v>
      </c>
      <c r="O2934" s="66" t="s">
        <v>61</v>
      </c>
      <c r="P2934" s="82" t="str">
        <f>IF(AND('331-CT'!$E$7=TH!H2934,OR(N2934="331",O2934="331")),"x","")</f>
        <v/>
      </c>
      <c r="Q2934" s="82" t="str">
        <f>IF(AND(B2934='111'!$L$11,OR($N2934=$Q$7,$O2934=$Q$7)),"x","")</f>
        <v/>
      </c>
      <c r="R2934" s="82" t="str">
        <f>IF(AND($N2934=$Q$7,$B2934&lt;'111'!$L$11),"x","")</f>
        <v/>
      </c>
      <c r="S2934" s="82" t="str">
        <f>IF(AND($O2934=$Q$7,$B2934&lt;'111'!$L$11),"x","")</f>
        <v>x</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1" ht="15.75" customHeight="1">
      <c r="A2935" s="323" t="str">
        <f>IF(B2935&lt;&gt;"",IF(AND(B2935='IN-TC'!$S$4,OR(TH!N2844="1111",TH!O2844="1111")),TH!D2844,""),"")</f>
        <v/>
      </c>
      <c r="B2935" s="63">
        <f t="shared" si="192"/>
        <v>5</v>
      </c>
      <c r="C2935" s="64">
        <v>42494</v>
      </c>
      <c r="D2935" s="64" t="s">
        <v>854</v>
      </c>
      <c r="E2935" s="64">
        <v>42494</v>
      </c>
      <c r="F2935" s="72" t="s">
        <v>997</v>
      </c>
      <c r="G2935" s="931" t="s">
        <v>1458</v>
      </c>
      <c r="H2935" s="308" t="s">
        <v>792</v>
      </c>
      <c r="I2935" s="408"/>
      <c r="J2935" s="408"/>
      <c r="K2935" s="399"/>
      <c r="L2935" s="408"/>
      <c r="M2935" s="65">
        <v>1082436</v>
      </c>
      <c r="N2935" s="309" t="s">
        <v>99</v>
      </c>
      <c r="O2935" s="66" t="s">
        <v>61</v>
      </c>
      <c r="P2935" s="82" t="str">
        <f>IF(AND('331-CT'!$E$7=TH!H2935,OR(N2935="331",O2935="331")),"x","")</f>
        <v/>
      </c>
      <c r="Q2935" s="82" t="str">
        <f>IF(AND(B2935='111'!$L$11,OR($N2935=$Q$7,$O2935=$Q$7)),"x","")</f>
        <v/>
      </c>
      <c r="R2935" s="82" t="str">
        <f>IF(AND($N2935=$Q$7,$B2935&lt;'111'!$L$11),"x","")</f>
        <v/>
      </c>
      <c r="S2935" s="82" t="str">
        <f>IF(AND($O2935=$Q$7,$B2935&lt;'111'!$L$11),"x","")</f>
        <v>x</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1" ht="15.75" customHeight="1">
      <c r="A2936" s="323" t="str">
        <f>IF(B2936&lt;&gt;"",IF(AND(B2936='IN-TC'!$S$4,OR(TH!N2845="1111",TH!O2845="1111")),TH!D2845,""),"")</f>
        <v/>
      </c>
      <c r="B2936" s="63">
        <f t="shared" si="192"/>
        <v>5</v>
      </c>
      <c r="C2936" s="64">
        <v>42494</v>
      </c>
      <c r="D2936" s="64" t="s">
        <v>854</v>
      </c>
      <c r="E2936" s="64">
        <v>42494</v>
      </c>
      <c r="F2936" s="72" t="s">
        <v>998</v>
      </c>
      <c r="G2936" s="931" t="s">
        <v>1458</v>
      </c>
      <c r="H2936" s="308" t="s">
        <v>792</v>
      </c>
      <c r="I2936" s="408"/>
      <c r="J2936" s="408"/>
      <c r="K2936" s="399"/>
      <c r="L2936" s="408"/>
      <c r="M2936" s="65">
        <v>108244</v>
      </c>
      <c r="N2936" s="309" t="s">
        <v>9</v>
      </c>
      <c r="O2936" s="66" t="s">
        <v>61</v>
      </c>
      <c r="P2936" s="82" t="str">
        <f>IF(AND('331-CT'!$E$7=TH!H2936,OR(N2936="331",O2936="331")),"x","")</f>
        <v/>
      </c>
      <c r="Q2936" s="82" t="str">
        <f>IF(AND(B2936='111'!$L$11,OR($N2936=$Q$7,$O2936=$Q$7)),"x","")</f>
        <v/>
      </c>
      <c r="R2936" s="82" t="str">
        <f>IF(AND($N2936=$Q$7,$B2936&lt;'111'!$L$11),"x","")</f>
        <v/>
      </c>
      <c r="S2936" s="82" t="str">
        <f>IF(AND($O2936=$Q$7,$B2936&lt;'111'!$L$11),"x","")</f>
        <v>x</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x</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1" ht="15.75" customHeight="1">
      <c r="A2937" s="323" t="str">
        <f>IF(B2937&lt;&gt;"",IF(AND(B2937='IN-TC'!$S$4,OR(TH!N2137="1111",TH!O2137="1111")),TH!D2137,""),"")</f>
        <v/>
      </c>
      <c r="B2937" s="63">
        <f t="shared" si="192"/>
        <v>12</v>
      </c>
      <c r="C2937" s="78">
        <v>42710</v>
      </c>
      <c r="D2937" s="78" t="s">
        <v>570</v>
      </c>
      <c r="E2937" s="78">
        <v>42710</v>
      </c>
      <c r="F2937" s="80" t="s">
        <v>2277</v>
      </c>
      <c r="G2937" s="934" t="s">
        <v>2583</v>
      </c>
      <c r="H2937" s="80" t="s">
        <v>1198</v>
      </c>
      <c r="I2937" s="406">
        <v>26000</v>
      </c>
      <c r="J2937" s="406">
        <v>10000</v>
      </c>
      <c r="K2937" s="397"/>
      <c r="L2937" s="406"/>
      <c r="M2937" s="81">
        <f>ROUND(I2937*J2937,0)</f>
        <v>260000000</v>
      </c>
      <c r="N2937" s="82" t="s">
        <v>276</v>
      </c>
      <c r="O2937" s="82" t="s">
        <v>8</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E2937">
        <v>1</v>
      </c>
    </row>
    <row r="2938" spans="1:31" ht="15.75" customHeight="1">
      <c r="A2938" s="323" t="str">
        <f>IF(B2938&lt;&gt;"",IF(AND(B2938='IN-TC'!$S$4,OR(TH!N2066="1111",TH!O2066="1111")),TH!D2066,""),"")</f>
        <v/>
      </c>
      <c r="B2938" s="63">
        <f t="shared" si="192"/>
        <v>10</v>
      </c>
      <c r="C2938" s="78">
        <v>42674</v>
      </c>
      <c r="D2938" s="78" t="s">
        <v>570</v>
      </c>
      <c r="E2938" s="78">
        <v>42649</v>
      </c>
      <c r="F2938" s="80" t="s">
        <v>2160</v>
      </c>
      <c r="G2938" s="934" t="s">
        <v>2165</v>
      </c>
      <c r="H2938" s="80" t="s">
        <v>617</v>
      </c>
      <c r="I2938" s="406"/>
      <c r="J2938" s="406"/>
      <c r="K2938" s="397"/>
      <c r="L2938" s="406"/>
      <c r="M2938" s="81">
        <v>1890660</v>
      </c>
      <c r="N2938" s="82" t="s">
        <v>9</v>
      </c>
      <c r="O2938" s="82" t="s">
        <v>8</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x</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1" ht="15.75" customHeight="1">
      <c r="A2939" s="323" t="str">
        <f>IF(B2939&lt;&gt;"",IF(AND(B2939='IN-TC'!$S$4,OR(TH!N3038="1111",TH!O3038="1111")),TH!D3038,""),"")</f>
        <v/>
      </c>
      <c r="B2939" s="63">
        <f t="shared" si="192"/>
        <v>5</v>
      </c>
      <c r="C2939" s="64">
        <f>E2939</f>
        <v>42494</v>
      </c>
      <c r="D2939" s="306" t="s">
        <v>690</v>
      </c>
      <c r="E2939" s="64">
        <v>42494</v>
      </c>
      <c r="F2939" s="72" t="s">
        <v>1179</v>
      </c>
      <c r="G2939" s="931" t="s">
        <v>902</v>
      </c>
      <c r="H2939" s="329"/>
      <c r="I2939" s="408"/>
      <c r="J2939" s="408"/>
      <c r="K2939" s="399"/>
      <c r="L2939" s="408"/>
      <c r="M2939" s="65">
        <v>25000</v>
      </c>
      <c r="N2939" s="66" t="s">
        <v>99</v>
      </c>
      <c r="O2939" s="66" t="s">
        <v>25</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1" ht="15.75" customHeight="1">
      <c r="A2940" s="323" t="str">
        <f>IF(B2940&lt;&gt;"",IF(AND(B2940='IN-TC'!$S$4,OR(TH!N3039="1111",TH!O3039="1111")),TH!D3039,""),"")</f>
        <v/>
      </c>
      <c r="B2940" s="63">
        <f t="shared" si="192"/>
        <v>5</v>
      </c>
      <c r="C2940" s="64">
        <f>E2940</f>
        <v>42494</v>
      </c>
      <c r="D2940" s="306" t="s">
        <v>690</v>
      </c>
      <c r="E2940" s="64">
        <v>42494</v>
      </c>
      <c r="F2940" s="72" t="s">
        <v>1180</v>
      </c>
      <c r="G2940" s="931" t="s">
        <v>902</v>
      </c>
      <c r="H2940" s="329"/>
      <c r="I2940" s="408"/>
      <c r="J2940" s="408"/>
      <c r="K2940" s="399"/>
      <c r="L2940" s="408"/>
      <c r="M2940" s="65">
        <v>2500</v>
      </c>
      <c r="N2940" s="66" t="s">
        <v>9</v>
      </c>
      <c r="O2940" s="66" t="s">
        <v>25</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x</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1" ht="15.75" customHeight="1">
      <c r="A2941" s="323" t="str">
        <f>IF(B2941&lt;&gt;"",IF(AND(B2941='IN-TC'!$S$4,OR(TH!N3040="1111",TH!O3040="1111")),TH!D3040,""),"")</f>
        <v/>
      </c>
      <c r="B2941" s="63">
        <f t="shared" si="192"/>
        <v>5</v>
      </c>
      <c r="C2941" s="64">
        <f>E2941</f>
        <v>42494</v>
      </c>
      <c r="D2941" s="306" t="s">
        <v>690</v>
      </c>
      <c r="E2941" s="64">
        <v>42494</v>
      </c>
      <c r="F2941" s="72" t="s">
        <v>1530</v>
      </c>
      <c r="G2941" s="931" t="s">
        <v>902</v>
      </c>
      <c r="H2941" s="72"/>
      <c r="I2941" s="408"/>
      <c r="J2941" s="408"/>
      <c r="K2941" s="399"/>
      <c r="L2941" s="408"/>
      <c r="M2941" s="65">
        <v>20000</v>
      </c>
      <c r="N2941" s="66" t="s">
        <v>99</v>
      </c>
      <c r="O2941" s="66" t="s">
        <v>25</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1" ht="15.75" customHeight="1">
      <c r="A2942" s="323" t="str">
        <f>IF(B2942&lt;&gt;"",IF(AND(B2942='IN-TC'!$S$4,OR(TH!N3041="1111",TH!O3041="1111")),TH!D3041,""),"")</f>
        <v/>
      </c>
      <c r="B2942" s="63">
        <f t="shared" si="192"/>
        <v>5</v>
      </c>
      <c r="C2942" s="64">
        <f>E2942</f>
        <v>42494</v>
      </c>
      <c r="D2942" s="306" t="s">
        <v>690</v>
      </c>
      <c r="E2942" s="64">
        <v>42494</v>
      </c>
      <c r="F2942" s="72" t="s">
        <v>1531</v>
      </c>
      <c r="G2942" s="931" t="s">
        <v>902</v>
      </c>
      <c r="H2942" s="72"/>
      <c r="I2942" s="408"/>
      <c r="J2942" s="408"/>
      <c r="K2942" s="399"/>
      <c r="L2942" s="408"/>
      <c r="M2942" s="65">
        <v>2000</v>
      </c>
      <c r="N2942" s="66" t="s">
        <v>9</v>
      </c>
      <c r="O2942" s="66" t="s">
        <v>25</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x</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1" ht="15.75" customHeight="1">
      <c r="A2943" s="323" t="str">
        <f>IF(B2943&lt;&gt;"",IF(AND(B2943='IN-TC'!$S$4,OR(TH!N2846="1111",TH!O2846="1111")),TH!D2846,""),"")</f>
        <v/>
      </c>
      <c r="B2943" s="63">
        <f t="shared" si="192"/>
        <v>5</v>
      </c>
      <c r="C2943" s="306">
        <v>42495</v>
      </c>
      <c r="D2943" s="64" t="s">
        <v>855</v>
      </c>
      <c r="E2943" s="306">
        <v>42495</v>
      </c>
      <c r="F2943" s="72" t="s">
        <v>1452</v>
      </c>
      <c r="G2943" s="935" t="s">
        <v>1459</v>
      </c>
      <c r="H2943" s="308" t="s">
        <v>830</v>
      </c>
      <c r="I2943" s="408"/>
      <c r="J2943" s="408"/>
      <c r="K2943" s="399"/>
      <c r="L2943" s="408"/>
      <c r="M2943" s="65">
        <v>1927823</v>
      </c>
      <c r="N2943" s="309" t="s">
        <v>99</v>
      </c>
      <c r="O2943" s="66" t="s">
        <v>61</v>
      </c>
      <c r="P2943" s="82" t="str">
        <f>IF(AND('331-CT'!$E$7=TH!H2943,OR(N2943="331",O2943="331")),"x","")</f>
        <v/>
      </c>
      <c r="Q2943" s="82" t="str">
        <f>IF(AND(B2943='111'!$L$11,OR($N2943=$Q$7,$O2943=$Q$7)),"x","")</f>
        <v/>
      </c>
      <c r="R2943" s="82" t="str">
        <f>IF(AND($N2943=$Q$7,$B2943&lt;'111'!$L$11),"x","")</f>
        <v/>
      </c>
      <c r="S2943" s="82" t="str">
        <f>IF(AND($O2943=$Q$7,$B2943&lt;'111'!$L$11),"x","")</f>
        <v>x</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1" ht="15.75" customHeight="1">
      <c r="A2944" s="323" t="str">
        <f>IF(B2944&lt;&gt;"",IF(AND(B2944='IN-TC'!$S$4,OR(TH!N2957="1111",TH!O2957="1111")),TH!D2957,""),"")</f>
        <v/>
      </c>
      <c r="B2944" s="63">
        <f t="shared" si="192"/>
        <v>5</v>
      </c>
      <c r="C2944" s="306">
        <v>42495</v>
      </c>
      <c r="D2944" s="64" t="s">
        <v>855</v>
      </c>
      <c r="E2944" s="306">
        <v>42495</v>
      </c>
      <c r="F2944" s="72" t="s">
        <v>1453</v>
      </c>
      <c r="G2944" s="935" t="s">
        <v>1459</v>
      </c>
      <c r="H2944" s="308" t="s">
        <v>830</v>
      </c>
      <c r="I2944" s="410"/>
      <c r="J2944" s="410"/>
      <c r="K2944" s="401"/>
      <c r="L2944" s="410"/>
      <c r="M2944" s="65">
        <v>192782</v>
      </c>
      <c r="N2944" s="309" t="s">
        <v>9</v>
      </c>
      <c r="O2944" s="66" t="s">
        <v>61</v>
      </c>
      <c r="P2944" s="82" t="str">
        <f>IF(AND('331-CT'!$E$7=TH!H2944,OR(N2944="331",O2944="331")),"x","")</f>
        <v/>
      </c>
      <c r="Q2944" s="82" t="str">
        <f>IF(AND(B2944='111'!$L$11,OR($N2944=$Q$7,$O2944=$Q$7)),"x","")</f>
        <v/>
      </c>
      <c r="R2944" s="82" t="str">
        <f>IF(AND($N2944=$Q$7,$B2944&lt;'111'!$L$11),"x","")</f>
        <v/>
      </c>
      <c r="S2944" s="82" t="str">
        <f>IF(AND($O2944=$Q$7,$B2944&lt;'111'!$L$11),"x","")</f>
        <v>x</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x</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customHeight="1">
      <c r="A2945" s="323" t="str">
        <f>IF(B2945&lt;&gt;"",IF(AND(B2945='IN-TC'!$S$4,OR(TH!N3042="1111",TH!O3042="1111")),TH!D3042,""),"")</f>
        <v/>
      </c>
      <c r="B2945" s="63">
        <f t="shared" si="192"/>
        <v>5</v>
      </c>
      <c r="C2945" s="64">
        <f>E2945</f>
        <v>42496</v>
      </c>
      <c r="D2945" s="306" t="s">
        <v>690</v>
      </c>
      <c r="E2945" s="64">
        <v>42496</v>
      </c>
      <c r="F2945" s="72" t="s">
        <v>1031</v>
      </c>
      <c r="G2945" s="931" t="s">
        <v>902</v>
      </c>
      <c r="H2945" s="329" t="s">
        <v>699</v>
      </c>
      <c r="I2945" s="408"/>
      <c r="J2945" s="408"/>
      <c r="K2945" s="399"/>
      <c r="L2945" s="408"/>
      <c r="M2945" s="65">
        <v>1717301</v>
      </c>
      <c r="N2945" s="66" t="s">
        <v>97</v>
      </c>
      <c r="O2945" s="66" t="s">
        <v>25</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customHeight="1">
      <c r="A2946" s="323" t="str">
        <f>IF(B2946&lt;&gt;"",IF(AND(B2946='IN-TC'!$S$4,OR(TH!N3043="1111",TH!O3043="1111")),TH!D3043,""),"")</f>
        <v/>
      </c>
      <c r="B2946" s="63">
        <f t="shared" si="192"/>
        <v>5</v>
      </c>
      <c r="C2946" s="64">
        <f>E2946</f>
        <v>42496</v>
      </c>
      <c r="D2946" s="306" t="s">
        <v>690</v>
      </c>
      <c r="E2946" s="64">
        <v>42496</v>
      </c>
      <c r="F2946" s="72" t="s">
        <v>1030</v>
      </c>
      <c r="G2946" s="931" t="s">
        <v>902</v>
      </c>
      <c r="H2946" s="329" t="s">
        <v>698</v>
      </c>
      <c r="I2946" s="408"/>
      <c r="J2946" s="408"/>
      <c r="K2946" s="399"/>
      <c r="L2946" s="408"/>
      <c r="M2946" s="65">
        <v>2788884</v>
      </c>
      <c r="N2946" s="66" t="s">
        <v>97</v>
      </c>
      <c r="O2946" s="66" t="s">
        <v>25</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customHeight="1">
      <c r="A2947" s="323" t="str">
        <f>IF(B2947&lt;&gt;"",IF(AND(B2947='IN-TC'!$S$4,OR(TH!N2958="1111",TH!O2958="1111")),TH!D2958,""),"")</f>
        <v/>
      </c>
      <c r="B2947" s="63">
        <f t="shared" si="192"/>
        <v>5</v>
      </c>
      <c r="C2947" s="1092">
        <v>42499</v>
      </c>
      <c r="D2947" s="1092" t="s">
        <v>856</v>
      </c>
      <c r="E2947" s="1092">
        <f>C2947</f>
        <v>42499</v>
      </c>
      <c r="F2947" s="482" t="s">
        <v>947</v>
      </c>
      <c r="G2947" s="1094"/>
      <c r="H2947" s="1093" t="s">
        <v>946</v>
      </c>
      <c r="I2947" s="1095"/>
      <c r="J2947" s="1095"/>
      <c r="K2947" s="1096"/>
      <c r="L2947" s="1095"/>
      <c r="M2947" s="1097">
        <v>500000000</v>
      </c>
      <c r="N2947" s="1098" t="s">
        <v>266</v>
      </c>
      <c r="O2947" s="1098" t="s">
        <v>61</v>
      </c>
      <c r="P2947" s="82" t="str">
        <f>IF(AND('331-CT'!$E$7=TH!H2947,OR(N2947="331",O2947="331")),"x","")</f>
        <v/>
      </c>
      <c r="Q2947" s="82" t="str">
        <f>IF(AND(B2947='111'!$L$11,OR($N2947=$Q$7,$O2947=$Q$7)),"x","")</f>
        <v/>
      </c>
      <c r="R2947" s="82" t="str">
        <f>IF(AND($N2947=$Q$7,$B2947&lt;'111'!$L$11),"x","")</f>
        <v/>
      </c>
      <c r="S2947" s="82" t="str">
        <f>IF(AND($O2947=$Q$7,$B2947&lt;'111'!$L$11),"x","")</f>
        <v>x</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customHeight="1">
      <c r="A2948" s="323" t="str">
        <f>IF(B2948&lt;&gt;"",IF(AND(B2948='IN-TC'!$S$4,OR(TH!N2959="1111",TH!O2959="1111")),TH!D2959,""),"")</f>
        <v/>
      </c>
      <c r="B2948" s="63">
        <f t="shared" si="192"/>
        <v>5</v>
      </c>
      <c r="C2948" s="1092">
        <v>42499</v>
      </c>
      <c r="D2948" s="1092" t="s">
        <v>858</v>
      </c>
      <c r="E2948" s="1092">
        <f>C2948</f>
        <v>42499</v>
      </c>
      <c r="F2948" s="482" t="s">
        <v>947</v>
      </c>
      <c r="G2948" s="1094"/>
      <c r="H2948" s="1093" t="s">
        <v>3001</v>
      </c>
      <c r="I2948" s="1095"/>
      <c r="J2948" s="1095"/>
      <c r="K2948" s="1096"/>
      <c r="L2948" s="1095"/>
      <c r="M2948" s="1097">
        <v>400000000</v>
      </c>
      <c r="N2948" s="1098" t="s">
        <v>266</v>
      </c>
      <c r="O2948" s="1098" t="s">
        <v>61</v>
      </c>
      <c r="P2948" s="82" t="str">
        <f>IF(AND('331-CT'!$E$7=TH!H2948,OR(N2948="331",O2948="331")),"x","")</f>
        <v/>
      </c>
      <c r="Q2948" s="82" t="str">
        <f>IF(AND(B2948='111'!$L$11,OR($N2948=$Q$7,$O2948=$Q$7)),"x","")</f>
        <v/>
      </c>
      <c r="R2948" s="82" t="str">
        <f>IF(AND($N2948=$Q$7,$B2948&lt;'111'!$L$11),"x","")</f>
        <v/>
      </c>
      <c r="S2948" s="82" t="str">
        <f>IF(AND($O2948=$Q$7,$B2948&lt;'111'!$L$11),"x","")</f>
        <v>x</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customHeight="1">
      <c r="A2949" s="323" t="str">
        <f>IF(B2949&lt;&gt;"",IF(AND(B2949='IN-TC'!$S$4,OR(TH!N2960="1111",TH!O2960="1111")),TH!D2960,""),"")</f>
        <v/>
      </c>
      <c r="B2949" s="63">
        <f t="shared" si="192"/>
        <v>5</v>
      </c>
      <c r="C2949" s="64">
        <v>42499</v>
      </c>
      <c r="D2949" s="64" t="s">
        <v>859</v>
      </c>
      <c r="E2949" s="64">
        <v>42499</v>
      </c>
      <c r="F2949" s="72" t="s">
        <v>1454</v>
      </c>
      <c r="G2949" s="931" t="s">
        <v>1460</v>
      </c>
      <c r="H2949" s="72" t="s">
        <v>1020</v>
      </c>
      <c r="I2949" s="410"/>
      <c r="J2949" s="410"/>
      <c r="K2949" s="401"/>
      <c r="L2949" s="410"/>
      <c r="M2949" s="65">
        <v>2320000</v>
      </c>
      <c r="N2949" s="309" t="s">
        <v>99</v>
      </c>
      <c r="O2949" s="66" t="s">
        <v>61</v>
      </c>
      <c r="P2949" s="82" t="str">
        <f>IF(AND('331-CT'!$E$7=TH!H2949,OR(N2949="331",O2949="331")),"x","")</f>
        <v/>
      </c>
      <c r="Q2949" s="82" t="str">
        <f>IF(AND(B2949='111'!$L$11,OR($N2949=$Q$7,$O2949=$Q$7)),"x","")</f>
        <v/>
      </c>
      <c r="R2949" s="82" t="str">
        <f>IF(AND($N2949=$Q$7,$B2949&lt;'111'!$L$11),"x","")</f>
        <v/>
      </c>
      <c r="S2949" s="82" t="str">
        <f>IF(AND($O2949=$Q$7,$B2949&lt;'111'!$L$11),"x","")</f>
        <v>x</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customHeight="1">
      <c r="A2950" s="323" t="str">
        <f>IF(B2950&lt;&gt;"",IF(AND(B2950='IN-TC'!$S$4,OR(TH!N3044="1111",TH!O3044="1111")),TH!D3044,""),"")</f>
        <v/>
      </c>
      <c r="B2950" s="63">
        <f t="shared" si="192"/>
        <v>5</v>
      </c>
      <c r="C2950" s="64">
        <f t="shared" ref="C2950:C2962" si="193">E2950</f>
        <v>42500</v>
      </c>
      <c r="D2950" s="306" t="s">
        <v>690</v>
      </c>
      <c r="E2950" s="64">
        <v>42500</v>
      </c>
      <c r="F2950" s="72" t="s">
        <v>1172</v>
      </c>
      <c r="G2950" s="931" t="s">
        <v>902</v>
      </c>
      <c r="H2950" s="72"/>
      <c r="I2950" s="408"/>
      <c r="J2950" s="408"/>
      <c r="K2950" s="399"/>
      <c r="L2950" s="408"/>
      <c r="M2950" s="65">
        <v>333900</v>
      </c>
      <c r="N2950" s="66" t="s">
        <v>99</v>
      </c>
      <c r="O2950" s="66" t="s">
        <v>25</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customHeight="1">
      <c r="A2951" s="323" t="str">
        <f>IF(B2951&lt;&gt;"",IF(AND(B2951='IN-TC'!$S$4,OR(TH!N3045="1111",TH!O3045="1111")),TH!D3045,""),"")</f>
        <v/>
      </c>
      <c r="B2951" s="63">
        <f t="shared" si="192"/>
        <v>5</v>
      </c>
      <c r="C2951" s="64">
        <f t="shared" si="193"/>
        <v>42500</v>
      </c>
      <c r="D2951" s="306" t="s">
        <v>690</v>
      </c>
      <c r="E2951" s="64">
        <v>42500</v>
      </c>
      <c r="F2951" s="72" t="s">
        <v>1173</v>
      </c>
      <c r="G2951" s="931" t="s">
        <v>902</v>
      </c>
      <c r="H2951" s="72"/>
      <c r="I2951" s="408"/>
      <c r="J2951" s="408"/>
      <c r="K2951" s="399"/>
      <c r="L2951" s="408"/>
      <c r="M2951" s="65">
        <v>33390</v>
      </c>
      <c r="N2951" s="66" t="s">
        <v>9</v>
      </c>
      <c r="O2951" s="66" t="s">
        <v>25</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x</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customHeight="1">
      <c r="A2952" s="323" t="str">
        <f>IF(B2952&lt;&gt;"",IF(AND(B2952='IN-TC'!$S$4,OR(TH!N3024="1111",TH!O3024="1111")),TH!D3024,""),"")</f>
        <v/>
      </c>
      <c r="B2952" s="63">
        <f t="shared" si="192"/>
        <v>5</v>
      </c>
      <c r="C2952" s="64">
        <f t="shared" si="193"/>
        <v>42501</v>
      </c>
      <c r="D2952" s="64" t="s">
        <v>570</v>
      </c>
      <c r="E2952" s="64">
        <v>42501</v>
      </c>
      <c r="F2952" s="72" t="s">
        <v>599</v>
      </c>
      <c r="G2952" s="931" t="s">
        <v>902</v>
      </c>
      <c r="H2952" s="1103" t="s">
        <v>1526</v>
      </c>
      <c r="I2952" s="408"/>
      <c r="J2952" s="408"/>
      <c r="K2952" s="399"/>
      <c r="L2952" s="408"/>
      <c r="M2952" s="65">
        <v>222600</v>
      </c>
      <c r="N2952" s="66" t="s">
        <v>99</v>
      </c>
      <c r="O2952" s="66" t="s">
        <v>254</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x</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customHeight="1">
      <c r="A2953" s="323" t="str">
        <f>IF(B2953&lt;&gt;"",IF(AND(B2953='IN-TC'!$S$4,OR(TH!N3025="1111",TH!O3025="1111")),TH!D3025,""),"")</f>
        <v/>
      </c>
      <c r="B2953" s="63">
        <f t="shared" si="192"/>
        <v>5</v>
      </c>
      <c r="C2953" s="64">
        <f t="shared" si="193"/>
        <v>42501</v>
      </c>
      <c r="D2953" s="64" t="s">
        <v>570</v>
      </c>
      <c r="E2953" s="64">
        <v>42501</v>
      </c>
      <c r="F2953" s="72" t="s">
        <v>1174</v>
      </c>
      <c r="G2953" s="931" t="s">
        <v>902</v>
      </c>
      <c r="H2953" s="1103" t="s">
        <v>1526</v>
      </c>
      <c r="I2953" s="408"/>
      <c r="J2953" s="408"/>
      <c r="K2953" s="399"/>
      <c r="L2953" s="408"/>
      <c r="M2953" s="65">
        <v>22260</v>
      </c>
      <c r="N2953" s="66" t="s">
        <v>9</v>
      </c>
      <c r="O2953" s="66" t="s">
        <v>254</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x</v>
      </c>
      <c r="X2953" s="82" t="str">
        <f>IF(OR(TH!N2953=TH!$X$7,O2953=TH!$X$7),"x","")</f>
        <v>x</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customHeight="1">
      <c r="A2954" s="323" t="str">
        <f>IF(B2954&lt;&gt;"",IF(AND(B2954='IN-TC'!$S$4,OR(TH!N3026="1111",TH!O3026="1111")),TH!D3026,""),"")</f>
        <v/>
      </c>
      <c r="B2954" s="63">
        <f t="shared" si="192"/>
        <v>5</v>
      </c>
      <c r="C2954" s="64">
        <f t="shared" si="193"/>
        <v>42501</v>
      </c>
      <c r="D2954" s="64" t="s">
        <v>570</v>
      </c>
      <c r="E2954" s="64">
        <v>42501</v>
      </c>
      <c r="F2954" s="72" t="s">
        <v>600</v>
      </c>
      <c r="G2954" s="931" t="s">
        <v>902</v>
      </c>
      <c r="H2954" s="1103" t="s">
        <v>1526</v>
      </c>
      <c r="I2954" s="408"/>
      <c r="J2954" s="408"/>
      <c r="K2954" s="399"/>
      <c r="L2954" s="408"/>
      <c r="M2954" s="65">
        <v>614821</v>
      </c>
      <c r="N2954" s="66" t="s">
        <v>99</v>
      </c>
      <c r="O2954" s="66" t="s">
        <v>254</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x</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customHeight="1">
      <c r="A2955" s="323" t="str">
        <f>IF(B2955&lt;&gt;"",IF(AND(B2955='IN-TC'!$S$4,OR(TH!N3027="1111",TH!O3027="1111")),TH!D3027,""),"")</f>
        <v/>
      </c>
      <c r="B2955" s="63">
        <f t="shared" si="192"/>
        <v>5</v>
      </c>
      <c r="C2955" s="64">
        <f t="shared" si="193"/>
        <v>42501</v>
      </c>
      <c r="D2955" s="64" t="s">
        <v>570</v>
      </c>
      <c r="E2955" s="64">
        <v>42501</v>
      </c>
      <c r="F2955" s="72" t="s">
        <v>1298</v>
      </c>
      <c r="G2955" s="931" t="s">
        <v>902</v>
      </c>
      <c r="H2955" s="1103" t="s">
        <v>1526</v>
      </c>
      <c r="I2955" s="408"/>
      <c r="J2955" s="408"/>
      <c r="K2955" s="399"/>
      <c r="L2955" s="408"/>
      <c r="M2955" s="65">
        <v>61438</v>
      </c>
      <c r="N2955" s="66" t="s">
        <v>9</v>
      </c>
      <c r="O2955" s="66" t="s">
        <v>254</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x</v>
      </c>
      <c r="X2955" s="82" t="str">
        <f>IF(OR(TH!N2955=TH!$X$7,O2955=TH!$X$7),"x","")</f>
        <v>x</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customHeight="1">
      <c r="A2956" s="323" t="str">
        <f>IF(B2956&lt;&gt;"",IF(AND(B2956='IN-TC'!$S$4,OR(TH!N3023="1111",TH!O3023="1111")),TH!D3023,""),"")</f>
        <v/>
      </c>
      <c r="B2956" s="63">
        <f t="shared" si="192"/>
        <v>5</v>
      </c>
      <c r="C2956" s="64">
        <f t="shared" si="193"/>
        <v>42501</v>
      </c>
      <c r="D2956" s="306" t="s">
        <v>687</v>
      </c>
      <c r="E2956" s="64">
        <v>42501</v>
      </c>
      <c r="F2956" s="72" t="s">
        <v>1171</v>
      </c>
      <c r="G2956" s="931" t="s">
        <v>902</v>
      </c>
      <c r="H2956" s="1103" t="s">
        <v>1526</v>
      </c>
      <c r="I2956" s="408"/>
      <c r="J2956" s="408"/>
      <c r="K2956" s="399"/>
      <c r="L2956" s="408"/>
      <c r="M2956" s="65">
        <v>1417486081</v>
      </c>
      <c r="N2956" s="66" t="s">
        <v>25</v>
      </c>
      <c r="O2956" s="66" t="s">
        <v>254</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x</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customHeight="1">
      <c r="A2957" s="323" t="str">
        <f>IF(B2957&lt;&gt;"",IF(AND(B2957='IN-TC'!$S$4,OR(TH!N2961="1111",TH!O2961="1111")),TH!D2961,""),"")</f>
        <v/>
      </c>
      <c r="B2957" s="63">
        <f t="shared" si="192"/>
        <v>5</v>
      </c>
      <c r="C2957" s="64">
        <f t="shared" si="193"/>
        <v>42501</v>
      </c>
      <c r="D2957" s="306" t="s">
        <v>857</v>
      </c>
      <c r="E2957" s="64">
        <v>42501</v>
      </c>
      <c r="F2957" s="72" t="s">
        <v>1126</v>
      </c>
      <c r="G2957" s="931" t="s">
        <v>902</v>
      </c>
      <c r="H2957" s="72" t="s">
        <v>748</v>
      </c>
      <c r="I2957" s="408"/>
      <c r="J2957" s="408"/>
      <c r="K2957" s="399"/>
      <c r="L2957" s="408"/>
      <c r="M2957" s="65">
        <v>1000000000</v>
      </c>
      <c r="N2957" s="66" t="s">
        <v>61</v>
      </c>
      <c r="O2957" s="66" t="s">
        <v>25</v>
      </c>
      <c r="P2957" s="82" t="str">
        <f>IF(AND('331-CT'!$E$7=TH!H2957,OR(N2957="331",O2957="331")),"x","")</f>
        <v/>
      </c>
      <c r="Q2957" s="82" t="str">
        <f>IF(AND(B2957='111'!$L$11,OR($N2957=$Q$7,$O2957=$Q$7)),"x","")</f>
        <v/>
      </c>
      <c r="R2957" s="82" t="str">
        <f>IF(AND($N2957=$Q$7,$B2957&lt;'111'!$L$11),"x","")</f>
        <v>x</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customHeight="1">
      <c r="A2958" s="323" t="str">
        <f>IF(B2958&lt;&gt;"",IF(AND(B2958='IN-TC'!$S$4,OR(TH!N2962="1111",TH!O2962="1111")),TH!D2962,""),"")</f>
        <v/>
      </c>
      <c r="B2958" s="63">
        <f t="shared" si="192"/>
        <v>5</v>
      </c>
      <c r="C2958" s="64">
        <f t="shared" si="193"/>
        <v>42502</v>
      </c>
      <c r="D2958" s="306" t="s">
        <v>860</v>
      </c>
      <c r="E2958" s="64">
        <v>42502</v>
      </c>
      <c r="F2958" s="72" t="s">
        <v>218</v>
      </c>
      <c r="G2958" s="931" t="s">
        <v>1466</v>
      </c>
      <c r="H2958" s="329" t="s">
        <v>606</v>
      </c>
      <c r="I2958" s="410">
        <v>450</v>
      </c>
      <c r="J2958" s="410">
        <v>19565.650000000001</v>
      </c>
      <c r="K2958" s="401"/>
      <c r="L2958" s="410"/>
      <c r="M2958" s="65">
        <f>ROUND(I2958*J2958,0)</f>
        <v>8804543</v>
      </c>
      <c r="N2958" s="309" t="s">
        <v>276</v>
      </c>
      <c r="O2958" s="66" t="s">
        <v>61</v>
      </c>
      <c r="P2958" s="82" t="str">
        <f>IF(AND('331-CT'!$E$7=TH!H2958,OR(N2958="331",O2958="331")),"x","")</f>
        <v/>
      </c>
      <c r="Q2958" s="82" t="str">
        <f>IF(AND(B2958='111'!$L$11,OR($N2958=$Q$7,$O2958=$Q$7)),"x","")</f>
        <v/>
      </c>
      <c r="R2958" s="82" t="str">
        <f>IF(AND($N2958=$Q$7,$B2958&lt;'111'!$L$11),"x","")</f>
        <v/>
      </c>
      <c r="S2958" s="82" t="str">
        <f>IF(AND($O2958=$Q$7,$B2958&lt;'111'!$L$11),"x","")</f>
        <v>x</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customHeight="1">
      <c r="A2959" s="323" t="str">
        <f>IF(B2959&lt;&gt;"",IF(AND(B2959='IN-TC'!$S$4,OR(TH!N2963="1111",TH!O2963="1111")),TH!D2963,""),"")</f>
        <v/>
      </c>
      <c r="B2959" s="63">
        <f t="shared" si="192"/>
        <v>5</v>
      </c>
      <c r="C2959" s="64">
        <f t="shared" si="193"/>
        <v>42502</v>
      </c>
      <c r="D2959" s="306" t="s">
        <v>860</v>
      </c>
      <c r="E2959" s="64">
        <v>42502</v>
      </c>
      <c r="F2959" s="72" t="s">
        <v>1335</v>
      </c>
      <c r="G2959" s="931" t="s">
        <v>1466</v>
      </c>
      <c r="H2959" s="329" t="s">
        <v>606</v>
      </c>
      <c r="I2959" s="410"/>
      <c r="J2959" s="410"/>
      <c r="K2959" s="401"/>
      <c r="L2959" s="410"/>
      <c r="M2959" s="65">
        <v>880454</v>
      </c>
      <c r="N2959" s="309" t="s">
        <v>9</v>
      </c>
      <c r="O2959" s="66" t="s">
        <v>61</v>
      </c>
      <c r="P2959" s="82" t="str">
        <f>IF(AND('331-CT'!$E$7=TH!H2959,OR(N2959="331",O2959="331")),"x","")</f>
        <v/>
      </c>
      <c r="Q2959" s="82" t="str">
        <f>IF(AND(B2959='111'!$L$11,OR($N2959=$Q$7,$O2959=$Q$7)),"x","")</f>
        <v/>
      </c>
      <c r="R2959" s="82" t="str">
        <f>IF(AND($N2959=$Q$7,$B2959&lt;'111'!$L$11),"x","")</f>
        <v/>
      </c>
      <c r="S2959" s="82" t="str">
        <f>IF(AND($O2959=$Q$7,$B2959&lt;'111'!$L$11),"x","")</f>
        <v>x</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x</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customHeight="1">
      <c r="A2960" s="323" t="str">
        <f>IF(B2960&lt;&gt;"",IF(AND(B2960='IN-TC'!$S$4,OR(TH!N3046="1111",TH!O3046="1111")),TH!D3046,""),"")</f>
        <v/>
      </c>
      <c r="B2960" s="63">
        <f t="shared" si="192"/>
        <v>5</v>
      </c>
      <c r="C2960" s="64">
        <f t="shared" si="193"/>
        <v>42502</v>
      </c>
      <c r="D2960" s="306" t="s">
        <v>690</v>
      </c>
      <c r="E2960" s="64">
        <v>42502</v>
      </c>
      <c r="F2960" s="72" t="s">
        <v>1032</v>
      </c>
      <c r="G2960" s="931" t="s">
        <v>902</v>
      </c>
      <c r="H2960" s="329" t="s">
        <v>706</v>
      </c>
      <c r="I2960" s="408"/>
      <c r="J2960" s="408"/>
      <c r="K2960" s="399"/>
      <c r="L2960" s="408"/>
      <c r="M2960" s="65">
        <v>2408699</v>
      </c>
      <c r="N2960" s="66" t="s">
        <v>97</v>
      </c>
      <c r="O2960" s="66" t="s">
        <v>25</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customHeight="1">
      <c r="A2961" s="323" t="str">
        <f>IF(B2961&lt;&gt;"",IF(AND(B2961='IN-TC'!$S$4,OR(TH!N3047="1111",TH!O3047="1111")),TH!D3047,""),"")</f>
        <v/>
      </c>
      <c r="B2961" s="63">
        <f t="shared" si="192"/>
        <v>5</v>
      </c>
      <c r="C2961" s="64">
        <f t="shared" si="193"/>
        <v>42502</v>
      </c>
      <c r="D2961" s="306" t="s">
        <v>690</v>
      </c>
      <c r="E2961" s="64">
        <v>42502</v>
      </c>
      <c r="F2961" s="72" t="s">
        <v>1029</v>
      </c>
      <c r="G2961" s="931" t="s">
        <v>902</v>
      </c>
      <c r="H2961" s="329" t="s">
        <v>705</v>
      </c>
      <c r="I2961" s="408"/>
      <c r="J2961" s="408"/>
      <c r="K2961" s="399"/>
      <c r="L2961" s="408"/>
      <c r="M2961" s="65">
        <v>1167265</v>
      </c>
      <c r="N2961" s="66" t="s">
        <v>97</v>
      </c>
      <c r="O2961" s="66" t="s">
        <v>25</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customHeight="1">
      <c r="A2962" s="323" t="str">
        <f>IF(B2962&lt;&gt;"",IF(AND(B2962='IN-TC'!$S$4,OR(TH!N2964="1111",TH!O2964="1111")),TH!D2964,""),"")</f>
        <v/>
      </c>
      <c r="B2962" s="63">
        <f t="shared" si="192"/>
        <v>5</v>
      </c>
      <c r="C2962" s="64">
        <f t="shared" si="193"/>
        <v>42502</v>
      </c>
      <c r="D2962" s="306" t="s">
        <v>886</v>
      </c>
      <c r="E2962" s="64">
        <v>42502</v>
      </c>
      <c r="F2962" s="72" t="s">
        <v>1126</v>
      </c>
      <c r="G2962" s="931" t="s">
        <v>902</v>
      </c>
      <c r="H2962" s="72" t="s">
        <v>748</v>
      </c>
      <c r="I2962" s="408"/>
      <c r="J2962" s="408"/>
      <c r="K2962" s="399"/>
      <c r="L2962" s="408"/>
      <c r="M2962" s="65">
        <v>250000000</v>
      </c>
      <c r="N2962" s="66" t="s">
        <v>61</v>
      </c>
      <c r="O2962" s="66" t="s">
        <v>25</v>
      </c>
      <c r="P2962" s="82" t="str">
        <f>IF(AND('331-CT'!$E$7=TH!H2962,OR(N2962="331",O2962="331")),"x","")</f>
        <v/>
      </c>
      <c r="Q2962" s="82" t="str">
        <f>IF(AND(B2962='111'!$L$11,OR($N2962=$Q$7,$O2962=$Q$7)),"x","")</f>
        <v/>
      </c>
      <c r="R2962" s="82" t="str">
        <f>IF(AND($N2962=$Q$7,$B2962&lt;'111'!$L$11),"x","")</f>
        <v>x</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customHeight="1">
      <c r="A2963" s="323" t="str">
        <f>IF(B2963&lt;&gt;"",IF(AND(B2963='IN-TC'!$S$4,OR(TH!N2965="1111",TH!O2965="1111")),TH!D2965,""),"")</f>
        <v/>
      </c>
      <c r="B2963" s="63">
        <f t="shared" si="192"/>
        <v>5</v>
      </c>
      <c r="C2963" s="306">
        <v>42503</v>
      </c>
      <c r="D2963" s="306" t="s">
        <v>861</v>
      </c>
      <c r="E2963" s="306">
        <v>42503</v>
      </c>
      <c r="F2963" s="72" t="s">
        <v>1455</v>
      </c>
      <c r="G2963" s="935" t="s">
        <v>1461</v>
      </c>
      <c r="H2963" s="308" t="s">
        <v>1456</v>
      </c>
      <c r="I2963" s="408"/>
      <c r="J2963" s="408"/>
      <c r="K2963" s="399"/>
      <c r="L2963" s="408"/>
      <c r="M2963" s="65">
        <v>354533</v>
      </c>
      <c r="N2963" s="309" t="s">
        <v>99</v>
      </c>
      <c r="O2963" s="66" t="s">
        <v>61</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customHeight="1">
      <c r="A2964" s="323" t="str">
        <f>IF(B2964&lt;&gt;"",IF(AND(B2964='IN-TC'!$S$4,OR(TH!N2966="1111",TH!O2966="1111")),TH!D2966,""),"")</f>
        <v/>
      </c>
      <c r="B2964" s="63">
        <f t="shared" si="192"/>
        <v>5</v>
      </c>
      <c r="C2964" s="306">
        <v>42503</v>
      </c>
      <c r="D2964" s="306" t="s">
        <v>861</v>
      </c>
      <c r="E2964" s="306">
        <v>42503</v>
      </c>
      <c r="F2964" s="72" t="s">
        <v>1457</v>
      </c>
      <c r="G2964" s="935" t="s">
        <v>1461</v>
      </c>
      <c r="H2964" s="308" t="s">
        <v>1456</v>
      </c>
      <c r="I2964" s="408"/>
      <c r="J2964" s="408"/>
      <c r="K2964" s="399"/>
      <c r="L2964" s="408"/>
      <c r="M2964" s="65">
        <v>35453</v>
      </c>
      <c r="N2964" s="309" t="s">
        <v>9</v>
      </c>
      <c r="O2964" s="66" t="s">
        <v>61</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x</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customHeight="1">
      <c r="A2965" s="323" t="str">
        <f>IF(B2965&lt;&gt;"",IF(AND(B2965='IN-TC'!$S$4,OR(TH!N3029="1111",TH!O3029="1111")),TH!D3029,""),"")</f>
        <v/>
      </c>
      <c r="B2965" s="63">
        <f t="shared" si="192"/>
        <v>5</v>
      </c>
      <c r="C2965" s="64">
        <f t="shared" ref="C2965:C2972" si="194">E2965</f>
        <v>42503</v>
      </c>
      <c r="D2965" s="64" t="s">
        <v>570</v>
      </c>
      <c r="E2965" s="64">
        <v>42503</v>
      </c>
      <c r="F2965" s="72" t="s">
        <v>599</v>
      </c>
      <c r="G2965" s="931" t="s">
        <v>902</v>
      </c>
      <c r="H2965" s="1103" t="s">
        <v>1527</v>
      </c>
      <c r="I2965" s="408"/>
      <c r="J2965" s="408"/>
      <c r="K2965" s="399"/>
      <c r="L2965" s="408"/>
      <c r="M2965" s="65">
        <v>222900</v>
      </c>
      <c r="N2965" s="66" t="s">
        <v>99</v>
      </c>
      <c r="O2965" s="66" t="s">
        <v>254</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customHeight="1">
      <c r="A2966" s="323" t="str">
        <f>IF(B2966&lt;&gt;"",IF(AND(B2966='IN-TC'!$S$4,OR(TH!N3030="1111",TH!O3030="1111")),TH!D3030,""),"")</f>
        <v/>
      </c>
      <c r="B2966" s="63">
        <f t="shared" si="192"/>
        <v>5</v>
      </c>
      <c r="C2966" s="64">
        <f t="shared" si="194"/>
        <v>42503</v>
      </c>
      <c r="D2966" s="64" t="s">
        <v>570</v>
      </c>
      <c r="E2966" s="64">
        <v>42503</v>
      </c>
      <c r="F2966" s="72" t="s">
        <v>1174</v>
      </c>
      <c r="G2966" s="931" t="s">
        <v>902</v>
      </c>
      <c r="H2966" s="1103" t="s">
        <v>1527</v>
      </c>
      <c r="I2966" s="408"/>
      <c r="J2966" s="408"/>
      <c r="K2966" s="399"/>
      <c r="L2966" s="408"/>
      <c r="M2966" s="65">
        <v>22290</v>
      </c>
      <c r="N2966" s="66" t="s">
        <v>9</v>
      </c>
      <c r="O2966" s="66" t="s">
        <v>254</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x</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customHeight="1">
      <c r="A2967" s="323" t="str">
        <f>IF(B2967&lt;&gt;"",IF(AND(B2967='IN-TC'!$S$4,OR(TH!N3031="1111",TH!O3031="1111")),TH!D3031,""),"")</f>
        <v/>
      </c>
      <c r="B2967" s="63">
        <f t="shared" si="192"/>
        <v>5</v>
      </c>
      <c r="C2967" s="64">
        <f t="shared" si="194"/>
        <v>42503</v>
      </c>
      <c r="D2967" s="64" t="s">
        <v>570</v>
      </c>
      <c r="E2967" s="64">
        <v>42503</v>
      </c>
      <c r="F2967" s="72" t="s">
        <v>600</v>
      </c>
      <c r="G2967" s="931" t="s">
        <v>902</v>
      </c>
      <c r="H2967" s="1103" t="s">
        <v>1527</v>
      </c>
      <c r="I2967" s="408"/>
      <c r="J2967" s="408"/>
      <c r="K2967" s="399"/>
      <c r="L2967" s="408"/>
      <c r="M2967" s="65">
        <v>615650</v>
      </c>
      <c r="N2967" s="66" t="s">
        <v>99</v>
      </c>
      <c r="O2967" s="66" t="s">
        <v>254</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customHeight="1">
      <c r="A2968" s="323" t="str">
        <f>IF(B2968&lt;&gt;"",IF(AND(B2968='IN-TC'!$S$4,OR(TH!N3032="1111",TH!O3032="1111")),TH!D3032,""),"")</f>
        <v/>
      </c>
      <c r="B2968" s="63">
        <f t="shared" si="192"/>
        <v>5</v>
      </c>
      <c r="C2968" s="64">
        <f t="shared" si="194"/>
        <v>42503</v>
      </c>
      <c r="D2968" s="64" t="s">
        <v>570</v>
      </c>
      <c r="E2968" s="64">
        <v>42503</v>
      </c>
      <c r="F2968" s="72" t="s">
        <v>1298</v>
      </c>
      <c r="G2968" s="931" t="s">
        <v>902</v>
      </c>
      <c r="H2968" s="1103" t="s">
        <v>1527</v>
      </c>
      <c r="I2968" s="408"/>
      <c r="J2968" s="408"/>
      <c r="K2968" s="399"/>
      <c r="L2968" s="408"/>
      <c r="M2968" s="65">
        <v>61520</v>
      </c>
      <c r="N2968" s="66" t="s">
        <v>9</v>
      </c>
      <c r="O2968" s="66" t="s">
        <v>254</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x</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customHeight="1">
      <c r="A2969" s="323" t="str">
        <f>IF(B2969&lt;&gt;"",IF(AND(B2969='IN-TC'!$S$4,OR(TH!N3033="1111",TH!O3033="1111")),TH!D3033,""),"")</f>
        <v/>
      </c>
      <c r="B2969" s="63">
        <f t="shared" si="192"/>
        <v>5</v>
      </c>
      <c r="C2969" s="64">
        <f t="shared" si="194"/>
        <v>42503</v>
      </c>
      <c r="D2969" s="64" t="s">
        <v>570</v>
      </c>
      <c r="E2969" s="64">
        <v>42503</v>
      </c>
      <c r="F2969" s="72" t="s">
        <v>601</v>
      </c>
      <c r="G2969" s="931" t="s">
        <v>902</v>
      </c>
      <c r="H2969" s="1103" t="s">
        <v>1527</v>
      </c>
      <c r="I2969" s="408"/>
      <c r="J2969" s="408"/>
      <c r="K2969" s="399"/>
      <c r="L2969" s="408"/>
      <c r="M2969" s="65">
        <v>111450</v>
      </c>
      <c r="N2969" s="66" t="s">
        <v>99</v>
      </c>
      <c r="O2969" s="66" t="s">
        <v>254</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customHeight="1">
      <c r="A2970" s="323" t="str">
        <f>IF(B2970&lt;&gt;"",IF(AND(B2970='IN-TC'!$S$4,OR(TH!N3034="1111",TH!O3034="1111")),TH!D3034,""),"")</f>
        <v/>
      </c>
      <c r="B2970" s="63">
        <f t="shared" si="192"/>
        <v>5</v>
      </c>
      <c r="C2970" s="64">
        <f t="shared" si="194"/>
        <v>42503</v>
      </c>
      <c r="D2970" s="64" t="s">
        <v>570</v>
      </c>
      <c r="E2970" s="64">
        <v>42503</v>
      </c>
      <c r="F2970" s="72" t="s">
        <v>1178</v>
      </c>
      <c r="G2970" s="931" t="s">
        <v>902</v>
      </c>
      <c r="H2970" s="1103" t="s">
        <v>1527</v>
      </c>
      <c r="I2970" s="408"/>
      <c r="J2970" s="408"/>
      <c r="K2970" s="399"/>
      <c r="L2970" s="408"/>
      <c r="M2970" s="65">
        <v>11145</v>
      </c>
      <c r="N2970" s="66" t="s">
        <v>9</v>
      </c>
      <c r="O2970" s="66" t="s">
        <v>254</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x</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customHeight="1">
      <c r="A2971" s="323" t="str">
        <f>IF(B2971&lt;&gt;"",IF(AND(B2971='IN-TC'!$S$4,OR(TH!N3028="1111",TH!O3028="1111")),TH!D3028,""),"")</f>
        <v/>
      </c>
      <c r="B2971" s="63">
        <f t="shared" si="192"/>
        <v>5</v>
      </c>
      <c r="C2971" s="64">
        <f t="shared" si="194"/>
        <v>42503</v>
      </c>
      <c r="D2971" s="306" t="s">
        <v>687</v>
      </c>
      <c r="E2971" s="64">
        <v>42503</v>
      </c>
      <c r="F2971" s="72" t="s">
        <v>1171</v>
      </c>
      <c r="G2971" s="931" t="s">
        <v>902</v>
      </c>
      <c r="H2971" s="1103" t="s">
        <v>1527</v>
      </c>
      <c r="I2971" s="408"/>
      <c r="J2971" s="408"/>
      <c r="K2971" s="399"/>
      <c r="L2971" s="408"/>
      <c r="M2971" s="65">
        <v>836613245</v>
      </c>
      <c r="N2971" s="66" t="s">
        <v>25</v>
      </c>
      <c r="O2971" s="66" t="s">
        <v>254</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customHeight="1">
      <c r="A2972" s="323" t="str">
        <f>IF(B2972&lt;&gt;"",IF(AND(B2972='IN-TC'!$S$4,OR(TH!N2967="1111",TH!O2967="1111")),TH!D2967,""),"")</f>
        <v/>
      </c>
      <c r="B2972" s="63">
        <f t="shared" si="192"/>
        <v>5</v>
      </c>
      <c r="C2972" s="64">
        <f t="shared" si="194"/>
        <v>42504</v>
      </c>
      <c r="D2972" s="306" t="s">
        <v>889</v>
      </c>
      <c r="E2972" s="64">
        <v>42504</v>
      </c>
      <c r="F2972" s="72" t="s">
        <v>1126</v>
      </c>
      <c r="G2972" s="931" t="s">
        <v>902</v>
      </c>
      <c r="H2972" s="72" t="s">
        <v>748</v>
      </c>
      <c r="I2972" s="408"/>
      <c r="J2972" s="408"/>
      <c r="K2972" s="399"/>
      <c r="L2972" s="408"/>
      <c r="M2972" s="65">
        <v>850000000</v>
      </c>
      <c r="N2972" s="66" t="s">
        <v>61</v>
      </c>
      <c r="O2972" s="66" t="s">
        <v>25</v>
      </c>
      <c r="P2972" s="82" t="str">
        <f>IF(AND('331-CT'!$E$7=TH!H2972,OR(N2972="331",O2972="331")),"x","")</f>
        <v/>
      </c>
      <c r="Q2972" s="82" t="str">
        <f>IF(AND(B2972='111'!$L$11,OR($N2972=$Q$7,$O2972=$Q$7)),"x","")</f>
        <v/>
      </c>
      <c r="R2972" s="82" t="str">
        <f>IF(AND($N2972=$Q$7,$B2972&lt;'111'!$L$11),"x","")</f>
        <v>x</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customHeight="1">
      <c r="A2973" s="323" t="str">
        <f>IF(B2973&lt;&gt;"",IF(AND(B2973='IN-TC'!$S$4,OR(TH!N2968="1111",TH!O2968="1111")),TH!D2968,""),"")</f>
        <v/>
      </c>
      <c r="B2973" s="63">
        <f t="shared" si="192"/>
        <v>5</v>
      </c>
      <c r="C2973" s="1092">
        <v>42506</v>
      </c>
      <c r="D2973" s="1092" t="s">
        <v>862</v>
      </c>
      <c r="E2973" s="1092">
        <f>C2973</f>
        <v>42506</v>
      </c>
      <c r="F2973" s="482" t="s">
        <v>947</v>
      </c>
      <c r="G2973" s="1094"/>
      <c r="H2973" s="1093" t="s">
        <v>946</v>
      </c>
      <c r="I2973" s="1095"/>
      <c r="J2973" s="1095"/>
      <c r="K2973" s="1096"/>
      <c r="L2973" s="1095"/>
      <c r="M2973" s="1097">
        <v>400000000</v>
      </c>
      <c r="N2973" s="1098" t="s">
        <v>266</v>
      </c>
      <c r="O2973" s="1098" t="s">
        <v>61</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customHeight="1">
      <c r="A2974" s="323" t="str">
        <f>IF(B2974&lt;&gt;"",IF(AND(B2974='IN-TC'!$S$4,OR(TH!N2969="1111",TH!O2969="1111")),TH!D2969,""),"")</f>
        <v/>
      </c>
      <c r="B2974" s="63">
        <f t="shared" si="192"/>
        <v>5</v>
      </c>
      <c r="C2974" s="1092">
        <v>42506</v>
      </c>
      <c r="D2974" s="1092" t="s">
        <v>863</v>
      </c>
      <c r="E2974" s="1092">
        <f>C2974</f>
        <v>42506</v>
      </c>
      <c r="F2974" s="482" t="s">
        <v>947</v>
      </c>
      <c r="G2974" s="1094"/>
      <c r="H2974" s="1093" t="s">
        <v>3001</v>
      </c>
      <c r="I2974" s="1095"/>
      <c r="J2974" s="1095"/>
      <c r="K2974" s="1096"/>
      <c r="L2974" s="1095"/>
      <c r="M2974" s="1097">
        <v>300000000</v>
      </c>
      <c r="N2974" s="1098" t="s">
        <v>266</v>
      </c>
      <c r="O2974" s="1098" t="s">
        <v>61</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customHeight="1">
      <c r="A2975" s="323" t="str">
        <f>IF(B2975&lt;&gt;"",IF(AND(B2975='IN-TC'!$S$4,OR(TH!N2970="1111",TH!O2970="1111")),TH!D2970,""),"")</f>
        <v/>
      </c>
      <c r="B2975" s="63">
        <f t="shared" si="192"/>
        <v>5</v>
      </c>
      <c r="C2975" s="306">
        <v>42506</v>
      </c>
      <c r="D2975" s="306" t="s">
        <v>864</v>
      </c>
      <c r="E2975" s="306">
        <v>42506</v>
      </c>
      <c r="F2975" s="72" t="s">
        <v>997</v>
      </c>
      <c r="G2975" s="935" t="s">
        <v>1462</v>
      </c>
      <c r="H2975" s="308" t="s">
        <v>792</v>
      </c>
      <c r="I2975" s="408"/>
      <c r="J2975" s="408"/>
      <c r="K2975" s="399"/>
      <c r="L2975" s="408"/>
      <c r="M2975" s="65">
        <v>2679909</v>
      </c>
      <c r="N2975" s="309" t="s">
        <v>99</v>
      </c>
      <c r="O2975" s="66" t="s">
        <v>61</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customHeight="1">
      <c r="A2976" s="323" t="str">
        <f>IF(B2976&lt;&gt;"",IF(AND(B2976='IN-TC'!$S$4,OR(TH!N2971="1111",TH!O2971="1111")),TH!D2971,""),"")</f>
        <v/>
      </c>
      <c r="B2976" s="63">
        <f t="shared" si="192"/>
        <v>5</v>
      </c>
      <c r="C2976" s="306">
        <v>42506</v>
      </c>
      <c r="D2976" s="306" t="s">
        <v>864</v>
      </c>
      <c r="E2976" s="306">
        <v>42506</v>
      </c>
      <c r="F2976" s="72" t="s">
        <v>998</v>
      </c>
      <c r="G2976" s="935" t="s">
        <v>1462</v>
      </c>
      <c r="H2976" s="308" t="s">
        <v>792</v>
      </c>
      <c r="I2976" s="408"/>
      <c r="J2976" s="408"/>
      <c r="K2976" s="399"/>
      <c r="L2976" s="408"/>
      <c r="M2976" s="65">
        <v>267991</v>
      </c>
      <c r="N2976" s="309" t="s">
        <v>9</v>
      </c>
      <c r="O2976" s="66" t="s">
        <v>61</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x</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customHeight="1">
      <c r="A2977" s="323" t="str">
        <f>IF(B2977&lt;&gt;"",IF(AND(B2977='IN-TC'!$S$4,OR(TH!N3048="1111",TH!O3048="1111")),TH!D3048,""),"")</f>
        <v/>
      </c>
      <c r="B2977" s="63">
        <f t="shared" si="192"/>
        <v>5</v>
      </c>
      <c r="C2977" s="64">
        <f t="shared" ref="C2977:C2983" si="195">E2977</f>
        <v>42506</v>
      </c>
      <c r="D2977" s="306" t="s">
        <v>690</v>
      </c>
      <c r="E2977" s="64">
        <v>42506</v>
      </c>
      <c r="F2977" s="72" t="s">
        <v>1532</v>
      </c>
      <c r="G2977" s="931" t="s">
        <v>902</v>
      </c>
      <c r="H2977" s="75" t="s">
        <v>609</v>
      </c>
      <c r="I2977" s="408"/>
      <c r="J2977" s="408"/>
      <c r="K2977" s="399"/>
      <c r="L2977" s="408"/>
      <c r="M2977" s="65">
        <v>37808100</v>
      </c>
      <c r="N2977" s="66" t="s">
        <v>8</v>
      </c>
      <c r="O2977" s="66" t="s">
        <v>25</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customHeight="1">
      <c r="A2978" s="323" t="str">
        <f>IF(B2978&lt;&gt;"",IF(AND(B2978='IN-TC'!$S$4,OR(TH!N3049="1111",TH!O3049="1111")),TH!D3049,""),"")</f>
        <v/>
      </c>
      <c r="B2978" s="63">
        <f t="shared" si="192"/>
        <v>5</v>
      </c>
      <c r="C2978" s="64">
        <f t="shared" si="195"/>
        <v>42506</v>
      </c>
      <c r="D2978" s="306" t="s">
        <v>690</v>
      </c>
      <c r="E2978" s="64">
        <v>42506</v>
      </c>
      <c r="F2978" s="72" t="s">
        <v>1179</v>
      </c>
      <c r="G2978" s="931" t="s">
        <v>902</v>
      </c>
      <c r="H2978" s="72"/>
      <c r="I2978" s="408"/>
      <c r="J2978" s="408"/>
      <c r="K2978" s="399"/>
      <c r="L2978" s="408"/>
      <c r="M2978" s="65">
        <v>25000</v>
      </c>
      <c r="N2978" s="66" t="s">
        <v>99</v>
      </c>
      <c r="O2978" s="66" t="s">
        <v>25</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customHeight="1">
      <c r="A2979" s="323" t="str">
        <f>IF(B2979&lt;&gt;"",IF(AND(B2979='IN-TC'!$S$4,OR(TH!N3050="1111",TH!O3050="1111")),TH!D3050,""),"")</f>
        <v/>
      </c>
      <c r="B2979" s="63">
        <f t="shared" si="192"/>
        <v>5</v>
      </c>
      <c r="C2979" s="64">
        <f t="shared" si="195"/>
        <v>42506</v>
      </c>
      <c r="D2979" s="306" t="s">
        <v>690</v>
      </c>
      <c r="E2979" s="64">
        <v>42506</v>
      </c>
      <c r="F2979" s="72" t="s">
        <v>1180</v>
      </c>
      <c r="G2979" s="931" t="s">
        <v>902</v>
      </c>
      <c r="H2979" s="72"/>
      <c r="I2979" s="408"/>
      <c r="J2979" s="408"/>
      <c r="K2979" s="399"/>
      <c r="L2979" s="408"/>
      <c r="M2979" s="65">
        <v>2500</v>
      </c>
      <c r="N2979" s="66" t="s">
        <v>9</v>
      </c>
      <c r="O2979" s="66" t="s">
        <v>25</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x</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customHeight="1">
      <c r="A2980" s="323" t="str">
        <f>IF(B2980&lt;&gt;"",IF(AND(B2980='IN-TC'!$S$4,OR(TH!N3072="1111",TH!O3072="1111")),TH!D3072,""),"")</f>
        <v/>
      </c>
      <c r="B2980" s="63">
        <f t="shared" si="192"/>
        <v>5</v>
      </c>
      <c r="C2980" s="64">
        <f t="shared" si="195"/>
        <v>42506</v>
      </c>
      <c r="D2980" s="306" t="s">
        <v>690</v>
      </c>
      <c r="E2980" s="64">
        <v>42506</v>
      </c>
      <c r="F2980" s="72" t="s">
        <v>1201</v>
      </c>
      <c r="G2980" s="931" t="s">
        <v>901</v>
      </c>
      <c r="H2980" s="72"/>
      <c r="I2980" s="408"/>
      <c r="J2980" s="408"/>
      <c r="K2980" s="399"/>
      <c r="L2980" s="408"/>
      <c r="M2980" s="65">
        <v>50000</v>
      </c>
      <c r="N2980" s="66" t="s">
        <v>99</v>
      </c>
      <c r="O2980" s="66" t="s">
        <v>25</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customHeight="1">
      <c r="A2981" s="323" t="str">
        <f>IF(B2981&lt;&gt;"",IF(AND(B2981='IN-TC'!$S$4,OR(TH!N3073="1111",TH!O3073="1111")),TH!D3073,""),"")</f>
        <v/>
      </c>
      <c r="B2981" s="63">
        <f t="shared" si="192"/>
        <v>5</v>
      </c>
      <c r="C2981" s="64">
        <f t="shared" si="195"/>
        <v>42506</v>
      </c>
      <c r="D2981" s="306" t="s">
        <v>690</v>
      </c>
      <c r="E2981" s="64">
        <v>42506</v>
      </c>
      <c r="F2981" s="72" t="s">
        <v>1184</v>
      </c>
      <c r="G2981" s="931" t="s">
        <v>901</v>
      </c>
      <c r="H2981" s="72"/>
      <c r="I2981" s="408"/>
      <c r="J2981" s="408"/>
      <c r="K2981" s="399"/>
      <c r="L2981" s="408"/>
      <c r="M2981" s="65">
        <v>5000</v>
      </c>
      <c r="N2981" s="66" t="s">
        <v>9</v>
      </c>
      <c r="O2981" s="66" t="s">
        <v>25</v>
      </c>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x</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customHeight="1">
      <c r="A2982" s="323" t="str">
        <f>IF(B2982&lt;&gt;"",IF(AND(B2982='IN-TC'!$S$4,OR(TH!N3074="1111",TH!O3074="1111")),TH!D3074,""),"")</f>
        <v/>
      </c>
      <c r="B2982" s="63">
        <f t="shared" si="192"/>
        <v>5</v>
      </c>
      <c r="C2982" s="64">
        <f t="shared" si="195"/>
        <v>42506</v>
      </c>
      <c r="D2982" s="306" t="s">
        <v>690</v>
      </c>
      <c r="E2982" s="64">
        <v>42506</v>
      </c>
      <c r="F2982" s="72" t="s">
        <v>1202</v>
      </c>
      <c r="G2982" s="931" t="s">
        <v>901</v>
      </c>
      <c r="H2982" s="72"/>
      <c r="I2982" s="408"/>
      <c r="J2982" s="408"/>
      <c r="K2982" s="399"/>
      <c r="L2982" s="408"/>
      <c r="M2982" s="65">
        <v>50000</v>
      </c>
      <c r="N2982" s="66" t="s">
        <v>99</v>
      </c>
      <c r="O2982" s="66" t="s">
        <v>25</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customHeight="1">
      <c r="A2983" s="323" t="str">
        <f>IF(B2983&lt;&gt;"",IF(AND(B2983='IN-TC'!$S$4,OR(TH!N3075="1111",TH!O3075="1111")),TH!D3075,""),"")</f>
        <v/>
      </c>
      <c r="B2983" s="63">
        <f t="shared" si="192"/>
        <v>5</v>
      </c>
      <c r="C2983" s="64">
        <f t="shared" si="195"/>
        <v>42506</v>
      </c>
      <c r="D2983" s="306" t="s">
        <v>690</v>
      </c>
      <c r="E2983" s="64">
        <v>42506</v>
      </c>
      <c r="F2983" s="72" t="s">
        <v>1184</v>
      </c>
      <c r="G2983" s="931" t="s">
        <v>901</v>
      </c>
      <c r="H2983" s="72"/>
      <c r="I2983" s="408"/>
      <c r="J2983" s="408"/>
      <c r="K2983" s="399"/>
      <c r="L2983" s="408"/>
      <c r="M2983" s="65">
        <v>5000</v>
      </c>
      <c r="N2983" s="66" t="s">
        <v>9</v>
      </c>
      <c r="O2983" s="66" t="s">
        <v>25</v>
      </c>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x</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customHeight="1">
      <c r="A2984" s="323" t="str">
        <f>IF(B2984&lt;&gt;"",IF(AND(B2984='IN-TC'!$S$4,OR(TH!N2067="1111",TH!O2067="1111")),TH!D2067,""),"")</f>
        <v/>
      </c>
      <c r="B2984" s="63">
        <f t="shared" si="192"/>
        <v>10</v>
      </c>
      <c r="C2984" s="78">
        <v>42674</v>
      </c>
      <c r="D2984" s="78" t="s">
        <v>570</v>
      </c>
      <c r="E2984" s="78">
        <v>42660</v>
      </c>
      <c r="F2984" s="80" t="s">
        <v>2161</v>
      </c>
      <c r="G2984" s="934" t="s">
        <v>2166</v>
      </c>
      <c r="H2984" s="80" t="s">
        <v>617</v>
      </c>
      <c r="I2984" s="406"/>
      <c r="J2984" s="406"/>
      <c r="K2984" s="397"/>
      <c r="L2984" s="406"/>
      <c r="M2984" s="81">
        <v>22126200</v>
      </c>
      <c r="N2984" s="82" t="s">
        <v>276</v>
      </c>
      <c r="O2984" s="82" t="s">
        <v>8</v>
      </c>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customHeight="1">
      <c r="A2985" s="323" t="str">
        <f>IF(B2985&lt;&gt;"",IF(AND(B2985='IN-TC'!$S$4,OR(TH!N3052="1111",TH!O3052="1111")),TH!D3052,""),"")</f>
        <v/>
      </c>
      <c r="B2985" s="63">
        <f t="shared" si="192"/>
        <v>5</v>
      </c>
      <c r="C2985" s="64">
        <f>E2985</f>
        <v>42507</v>
      </c>
      <c r="D2985" s="306" t="s">
        <v>690</v>
      </c>
      <c r="E2985" s="64">
        <v>42507</v>
      </c>
      <c r="F2985" s="72" t="s">
        <v>1179</v>
      </c>
      <c r="G2985" s="931" t="s">
        <v>902</v>
      </c>
      <c r="H2985" s="72"/>
      <c r="I2985" s="408"/>
      <c r="J2985" s="408"/>
      <c r="K2985" s="399"/>
      <c r="L2985" s="408"/>
      <c r="M2985" s="65">
        <v>25000</v>
      </c>
      <c r="N2985" s="66" t="s">
        <v>99</v>
      </c>
      <c r="O2985" s="66" t="s">
        <v>25</v>
      </c>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customHeight="1">
      <c r="A2986" s="323" t="str">
        <f>IF(B2986&lt;&gt;"",IF(AND(B2986='IN-TC'!$S$4,OR(TH!N3053="1111",TH!O3053="1111")),TH!D3053,""),"")</f>
        <v/>
      </c>
      <c r="B2986" s="63">
        <f t="shared" si="192"/>
        <v>5</v>
      </c>
      <c r="C2986" s="64">
        <f>E2986</f>
        <v>42507</v>
      </c>
      <c r="D2986" s="306" t="s">
        <v>690</v>
      </c>
      <c r="E2986" s="64">
        <v>42507</v>
      </c>
      <c r="F2986" s="72" t="s">
        <v>1180</v>
      </c>
      <c r="G2986" s="931" t="s">
        <v>902</v>
      </c>
      <c r="H2986" s="72"/>
      <c r="I2986" s="408"/>
      <c r="J2986" s="408"/>
      <c r="K2986" s="399"/>
      <c r="L2986" s="408"/>
      <c r="M2986" s="65">
        <v>2500</v>
      </c>
      <c r="N2986" s="66" t="s">
        <v>9</v>
      </c>
      <c r="O2986" s="66" t="s">
        <v>25</v>
      </c>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x</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customHeight="1">
      <c r="A2987" s="323" t="str">
        <f>IF(B2987&lt;&gt;"",IF(AND(B2987='IN-TC'!$S$4,OR(TH!N3166="1111",TH!O3166="1111")),TH!D3166,""),"")</f>
        <v/>
      </c>
      <c r="B2987" s="63">
        <f t="shared" si="192"/>
        <v>6</v>
      </c>
      <c r="C2987" s="64">
        <v>42536</v>
      </c>
      <c r="D2987" s="64" t="s">
        <v>570</v>
      </c>
      <c r="E2987" s="64">
        <f>C2987</f>
        <v>42536</v>
      </c>
      <c r="F2987" s="72" t="s">
        <v>600</v>
      </c>
      <c r="G2987" s="67" t="s">
        <v>902</v>
      </c>
      <c r="H2987" s="329" t="s">
        <v>589</v>
      </c>
      <c r="I2987" s="408"/>
      <c r="J2987" s="408"/>
      <c r="K2987" s="399">
        <v>27.62</v>
      </c>
      <c r="L2987" s="408">
        <v>22350</v>
      </c>
      <c r="M2987" s="65">
        <f t="shared" ref="M2987:M2993" si="196">ROUND(K2987*L2987,0)</f>
        <v>617307</v>
      </c>
      <c r="N2987" s="66" t="s">
        <v>99</v>
      </c>
      <c r="O2987" s="66" t="s">
        <v>576</v>
      </c>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customHeight="1">
      <c r="A2988" s="323" t="str">
        <f>IF(B2988&lt;&gt;"",IF(AND(B2988='IN-TC'!$S$4,OR(TH!N3167="1111",TH!O3167="1111")),TH!D3167,""),"")</f>
        <v/>
      </c>
      <c r="B2988" s="63">
        <f t="shared" si="192"/>
        <v>6</v>
      </c>
      <c r="C2988" s="64">
        <v>42536</v>
      </c>
      <c r="D2988" s="64" t="s">
        <v>570</v>
      </c>
      <c r="E2988" s="64">
        <f>C2988</f>
        <v>42536</v>
      </c>
      <c r="F2988" s="72" t="s">
        <v>1298</v>
      </c>
      <c r="G2988" s="67" t="s">
        <v>902</v>
      </c>
      <c r="H2988" s="329" t="s">
        <v>589</v>
      </c>
      <c r="I2988" s="408"/>
      <c r="J2988" s="408"/>
      <c r="K2988" s="399">
        <v>2.76</v>
      </c>
      <c r="L2988" s="408">
        <v>22350</v>
      </c>
      <c r="M2988" s="65">
        <f t="shared" si="196"/>
        <v>61686</v>
      </c>
      <c r="N2988" s="66" t="s">
        <v>9</v>
      </c>
      <c r="O2988" s="66" t="s">
        <v>576</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x</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customHeight="1">
      <c r="A2989" s="323" t="str">
        <f>IF(B2989&lt;&gt;"",IF(AND(B2989='IN-TC'!$S$4,OR(TH!N3168="1111",TH!O3168="1111")),TH!D3168,""),"")</f>
        <v/>
      </c>
      <c r="B2989" s="63">
        <f t="shared" si="192"/>
        <v>6</v>
      </c>
      <c r="C2989" s="64">
        <v>42536</v>
      </c>
      <c r="D2989" s="64" t="s">
        <v>570</v>
      </c>
      <c r="E2989" s="64">
        <f>C2989</f>
        <v>42536</v>
      </c>
      <c r="F2989" s="72" t="s">
        <v>1499</v>
      </c>
      <c r="G2989" s="67" t="s">
        <v>902</v>
      </c>
      <c r="H2989" s="329" t="s">
        <v>589</v>
      </c>
      <c r="I2989" s="408"/>
      <c r="J2989" s="408"/>
      <c r="K2989" s="399">
        <v>35</v>
      </c>
      <c r="L2989" s="408">
        <v>22350</v>
      </c>
      <c r="M2989" s="65">
        <f t="shared" si="196"/>
        <v>782250</v>
      </c>
      <c r="N2989" s="66" t="s">
        <v>99</v>
      </c>
      <c r="O2989" s="66" t="s">
        <v>576</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customHeight="1">
      <c r="A2990" s="323" t="str">
        <f>IF(B2990&lt;&gt;"",IF(AND(B2990='IN-TC'!$S$4,OR(TH!N3241="1111",TH!O3241="1111")),TH!D3241,""),"")</f>
        <v/>
      </c>
      <c r="B2990" s="63">
        <f t="shared" ref="B2990:B3053" si="197">IF(C2990&lt;&gt;"",MONTH(C2990),"")</f>
        <v>6</v>
      </c>
      <c r="C2990" s="64">
        <v>42542</v>
      </c>
      <c r="D2990" s="64" t="s">
        <v>687</v>
      </c>
      <c r="E2990" s="64">
        <f>C2990</f>
        <v>42542</v>
      </c>
      <c r="F2990" s="72" t="s">
        <v>1177</v>
      </c>
      <c r="G2990" s="67" t="s">
        <v>902</v>
      </c>
      <c r="H2990" s="72" t="s">
        <v>589</v>
      </c>
      <c r="I2990" s="408"/>
      <c r="J2990" s="408"/>
      <c r="K2990" s="399">
        <v>1600.73</v>
      </c>
      <c r="L2990" s="408">
        <v>22270</v>
      </c>
      <c r="M2990" s="65">
        <f t="shared" si="196"/>
        <v>35648257</v>
      </c>
      <c r="N2990" s="66" t="s">
        <v>260</v>
      </c>
      <c r="O2990" s="66" t="s">
        <v>576</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customHeight="1">
      <c r="A2991" s="323" t="str">
        <f>IF(B2991&lt;&gt;"",IF(AND(B2991='IN-TC'!$S$4,OR(TH!N3242="1111",TH!O3242="1111")),TH!D3242,""),"")</f>
        <v/>
      </c>
      <c r="B2991" s="63">
        <f t="shared" si="197"/>
        <v>6</v>
      </c>
      <c r="C2991" s="64">
        <v>42542</v>
      </c>
      <c r="D2991" s="64" t="s">
        <v>570</v>
      </c>
      <c r="E2991" s="64">
        <f>C2991</f>
        <v>42542</v>
      </c>
      <c r="F2991" s="72" t="s">
        <v>1045</v>
      </c>
      <c r="G2991" s="67" t="s">
        <v>902</v>
      </c>
      <c r="H2991" s="72" t="s">
        <v>589</v>
      </c>
      <c r="I2991" s="408"/>
      <c r="J2991" s="408"/>
      <c r="K2991" s="399">
        <v>48.74</v>
      </c>
      <c r="L2991" s="408">
        <v>22270</v>
      </c>
      <c r="M2991" s="65">
        <f t="shared" si="196"/>
        <v>1085440</v>
      </c>
      <c r="N2991" s="66" t="s">
        <v>99</v>
      </c>
      <c r="O2991" s="66" t="s">
        <v>576</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customHeight="1">
      <c r="A2992" s="323" t="str">
        <f>IF(B2992&lt;&gt;"",IF(AND(B2992='IN-TC'!$S$4,OR(TH!N3011="1111",TH!O3011="1111")),TH!D3011,""),"")</f>
        <v/>
      </c>
      <c r="B2992" s="63">
        <f t="shared" si="197"/>
        <v>5</v>
      </c>
      <c r="C2992" s="64">
        <f t="shared" ref="C2992:C3004" si="198">E2992</f>
        <v>42508</v>
      </c>
      <c r="D2992" s="64" t="s">
        <v>690</v>
      </c>
      <c r="E2992" s="64">
        <v>42508</v>
      </c>
      <c r="F2992" s="72" t="s">
        <v>1425</v>
      </c>
      <c r="G2992" s="931" t="s">
        <v>902</v>
      </c>
      <c r="H2992" s="329" t="s">
        <v>1526</v>
      </c>
      <c r="I2992" s="408"/>
      <c r="J2992" s="408"/>
      <c r="K2992" s="399">
        <v>63720</v>
      </c>
      <c r="L2992" s="408">
        <v>22260</v>
      </c>
      <c r="M2992" s="65">
        <f t="shared" si="196"/>
        <v>1418407200</v>
      </c>
      <c r="N2992" s="66" t="s">
        <v>25</v>
      </c>
      <c r="O2992" s="66" t="s">
        <v>260</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1" ht="15.75" customHeight="1">
      <c r="A2993" s="323" t="str">
        <f>IF(B2993&lt;&gt;"",IF(AND(B2993='IN-TC'!$S$4,OR(TH!N3012="1111",TH!O3012="1111")),TH!D3012,""),"")</f>
        <v/>
      </c>
      <c r="B2993" s="63">
        <f t="shared" si="197"/>
        <v>5</v>
      </c>
      <c r="C2993" s="64">
        <f t="shared" si="198"/>
        <v>42508</v>
      </c>
      <c r="D2993" s="64" t="s">
        <v>690</v>
      </c>
      <c r="E2993" s="64">
        <v>42508</v>
      </c>
      <c r="F2993" s="72" t="s">
        <v>1425</v>
      </c>
      <c r="G2993" s="931" t="s">
        <v>902</v>
      </c>
      <c r="H2993" s="329"/>
      <c r="I2993" s="408"/>
      <c r="J2993" s="408"/>
      <c r="K2993" s="399">
        <v>6800</v>
      </c>
      <c r="L2993" s="408">
        <v>22300</v>
      </c>
      <c r="M2993" s="65">
        <f t="shared" si="196"/>
        <v>151640000</v>
      </c>
      <c r="N2993" s="66" t="s">
        <v>25</v>
      </c>
      <c r="O2993" s="66" t="s">
        <v>260</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1" ht="15.75" customHeight="1">
      <c r="A2994" s="323" t="str">
        <f>IF(B2994&lt;&gt;"",IF(AND(B2994='IN-TC'!$S$4,OR(TH!N3054="1111",TH!O3054="1111")),TH!D3054,""),"")</f>
        <v/>
      </c>
      <c r="B2994" s="63">
        <f t="shared" si="197"/>
        <v>5</v>
      </c>
      <c r="C2994" s="64">
        <f t="shared" si="198"/>
        <v>42508</v>
      </c>
      <c r="D2994" s="306" t="s">
        <v>690</v>
      </c>
      <c r="E2994" s="64">
        <v>42508</v>
      </c>
      <c r="F2994" s="72" t="s">
        <v>1038</v>
      </c>
      <c r="G2994" s="931" t="s">
        <v>902</v>
      </c>
      <c r="H2994" s="329" t="s">
        <v>710</v>
      </c>
      <c r="I2994" s="408"/>
      <c r="J2994" s="408"/>
      <c r="K2994" s="399"/>
      <c r="L2994" s="408"/>
      <c r="M2994" s="65">
        <v>6661709</v>
      </c>
      <c r="N2994" s="66" t="s">
        <v>97</v>
      </c>
      <c r="O2994" s="66" t="s">
        <v>25</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1" ht="15.75" customHeight="1">
      <c r="A2995" s="323" t="str">
        <f>IF(B2995&lt;&gt;"",IF(AND(B2995='IN-TC'!$S$4,OR(TH!N3055="1111",TH!O3055="1111")),TH!D3055,""),"")</f>
        <v/>
      </c>
      <c r="B2995" s="63">
        <f t="shared" si="197"/>
        <v>5</v>
      </c>
      <c r="C2995" s="64">
        <f t="shared" si="198"/>
        <v>42508</v>
      </c>
      <c r="D2995" s="306" t="s">
        <v>690</v>
      </c>
      <c r="E2995" s="64">
        <v>42508</v>
      </c>
      <c r="F2995" s="72" t="s">
        <v>737</v>
      </c>
      <c r="G2995" s="931" t="s">
        <v>902</v>
      </c>
      <c r="H2995" s="329" t="s">
        <v>711</v>
      </c>
      <c r="I2995" s="408"/>
      <c r="J2995" s="408"/>
      <c r="K2995" s="399"/>
      <c r="L2995" s="408"/>
      <c r="M2995" s="65">
        <v>6624641</v>
      </c>
      <c r="N2995" s="66" t="s">
        <v>97</v>
      </c>
      <c r="O2995" s="66" t="s">
        <v>25</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1" ht="15.75" customHeight="1">
      <c r="A2996" s="323" t="str">
        <f>IF(B2996&lt;&gt;"",IF(AND(B2996='IN-TC'!$S$4,OR(TH!N3056="1111",TH!O3056="1111")),TH!D3056,""),"")</f>
        <v/>
      </c>
      <c r="B2996" s="63">
        <f t="shared" si="197"/>
        <v>5</v>
      </c>
      <c r="C2996" s="64">
        <f t="shared" si="198"/>
        <v>42508</v>
      </c>
      <c r="D2996" s="306" t="s">
        <v>690</v>
      </c>
      <c r="E2996" s="64">
        <v>42508</v>
      </c>
      <c r="F2996" s="72" t="s">
        <v>1041</v>
      </c>
      <c r="G2996" s="931" t="s">
        <v>902</v>
      </c>
      <c r="H2996" s="329" t="s">
        <v>718</v>
      </c>
      <c r="I2996" s="408"/>
      <c r="J2996" s="408"/>
      <c r="K2996" s="399"/>
      <c r="L2996" s="408"/>
      <c r="M2996" s="65">
        <v>4540359</v>
      </c>
      <c r="N2996" s="66" t="s">
        <v>97</v>
      </c>
      <c r="O2996" s="66" t="s">
        <v>25</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1" ht="15.75" customHeight="1">
      <c r="A2997" s="323" t="str">
        <f>IF(B2997&lt;&gt;"",IF(AND(B2997='IN-TC'!$S$4,OR(TH!N3057="1111",TH!O3057="1111")),TH!D3057,""),"")</f>
        <v/>
      </c>
      <c r="B2997" s="63">
        <f t="shared" si="197"/>
        <v>5</v>
      </c>
      <c r="C2997" s="64">
        <f t="shared" si="198"/>
        <v>42508</v>
      </c>
      <c r="D2997" s="306" t="s">
        <v>690</v>
      </c>
      <c r="E2997" s="64">
        <v>42508</v>
      </c>
      <c r="F2997" s="72" t="s">
        <v>739</v>
      </c>
      <c r="G2997" s="931" t="s">
        <v>902</v>
      </c>
      <c r="H2997" s="329" t="s">
        <v>712</v>
      </c>
      <c r="I2997" s="408"/>
      <c r="J2997" s="408"/>
      <c r="K2997" s="399"/>
      <c r="L2997" s="408"/>
      <c r="M2997" s="65">
        <v>6624641</v>
      </c>
      <c r="N2997" s="66" t="s">
        <v>97</v>
      </c>
      <c r="O2997" s="66" t="s">
        <v>25</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1" ht="15.75" customHeight="1">
      <c r="A2998" s="323" t="str">
        <f>IF(B2998&lt;&gt;"",IF(AND(B2998='IN-TC'!$S$4,OR(TH!N3058="1111",TH!O3058="1111")),TH!D3058,""),"")</f>
        <v/>
      </c>
      <c r="B2998" s="63">
        <f t="shared" si="197"/>
        <v>5</v>
      </c>
      <c r="C2998" s="64">
        <f t="shared" si="198"/>
        <v>42508</v>
      </c>
      <c r="D2998" s="306" t="s">
        <v>690</v>
      </c>
      <c r="E2998" s="64">
        <v>42508</v>
      </c>
      <c r="F2998" s="72" t="s">
        <v>1042</v>
      </c>
      <c r="G2998" s="931" t="s">
        <v>902</v>
      </c>
      <c r="H2998" s="329" t="s">
        <v>713</v>
      </c>
      <c r="I2998" s="408"/>
      <c r="J2998" s="408"/>
      <c r="K2998" s="399"/>
      <c r="L2998" s="408"/>
      <c r="M2998" s="65">
        <v>6550059</v>
      </c>
      <c r="N2998" s="66" t="s">
        <v>97</v>
      </c>
      <c r="O2998" s="66" t="s">
        <v>25</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1" ht="15.75" customHeight="1">
      <c r="A2999" s="323" t="str">
        <f>IF(B2999&lt;&gt;"",IF(AND(B2999='IN-TC'!$S$4,OR(TH!N3059="1111",TH!O3059="1111")),TH!D3059,""),"")</f>
        <v/>
      </c>
      <c r="B2999" s="63">
        <f t="shared" si="197"/>
        <v>5</v>
      </c>
      <c r="C2999" s="64">
        <f t="shared" si="198"/>
        <v>42508</v>
      </c>
      <c r="D2999" s="306" t="s">
        <v>690</v>
      </c>
      <c r="E2999" s="64">
        <v>42508</v>
      </c>
      <c r="F2999" s="72" t="s">
        <v>1047</v>
      </c>
      <c r="G2999" s="931" t="s">
        <v>902</v>
      </c>
      <c r="H2999" s="1103" t="s">
        <v>1526</v>
      </c>
      <c r="I2999" s="408"/>
      <c r="J2999" s="408"/>
      <c r="K2999" s="399"/>
      <c r="L2999" s="408"/>
      <c r="M2999" s="65">
        <v>968452</v>
      </c>
      <c r="N2999" s="66" t="s">
        <v>97</v>
      </c>
      <c r="O2999" s="66" t="s">
        <v>25</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1" ht="15.75" customHeight="1">
      <c r="A3000" s="323" t="str">
        <f>IF(B3000&lt;&gt;"",IF(AND(B3000='IN-TC'!$S$4,OR(TH!N3060="1111",TH!O3060="1111")),TH!D3060,""),"")</f>
        <v/>
      </c>
      <c r="B3000" s="63">
        <f t="shared" si="197"/>
        <v>5</v>
      </c>
      <c r="C3000" s="64">
        <f t="shared" si="198"/>
        <v>42508</v>
      </c>
      <c r="D3000" s="306" t="s">
        <v>690</v>
      </c>
      <c r="E3000" s="64">
        <v>42508</v>
      </c>
      <c r="F3000" s="72" t="s">
        <v>1629</v>
      </c>
      <c r="G3000" s="931" t="s">
        <v>902</v>
      </c>
      <c r="H3000" s="329" t="s">
        <v>721</v>
      </c>
      <c r="I3000" s="408"/>
      <c r="J3000" s="408"/>
      <c r="K3000" s="399"/>
      <c r="L3000" s="408"/>
      <c r="M3000" s="65">
        <v>7219959</v>
      </c>
      <c r="N3000" s="66" t="s">
        <v>97</v>
      </c>
      <c r="O3000" s="66" t="s">
        <v>25</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1" ht="15.75" customHeight="1">
      <c r="A3001" s="323" t="str">
        <f>IF(B3001&lt;&gt;"",IF(AND(B3001='IN-TC'!$S$4,OR(TH!N3061="1111",TH!O3061="1111")),TH!D3061,""),"")</f>
        <v/>
      </c>
      <c r="B3001" s="63">
        <f t="shared" si="197"/>
        <v>5</v>
      </c>
      <c r="C3001" s="64">
        <f t="shared" si="198"/>
        <v>42508</v>
      </c>
      <c r="D3001" s="306" t="s">
        <v>690</v>
      </c>
      <c r="E3001" s="64">
        <v>42508</v>
      </c>
      <c r="F3001" s="72" t="s">
        <v>1630</v>
      </c>
      <c r="G3001" s="931" t="s">
        <v>902</v>
      </c>
      <c r="H3001" s="72" t="s">
        <v>1168</v>
      </c>
      <c r="I3001" s="408"/>
      <c r="J3001" s="408"/>
      <c r="K3001" s="399"/>
      <c r="L3001" s="408"/>
      <c r="M3001" s="65">
        <v>6103459</v>
      </c>
      <c r="N3001" s="66" t="s">
        <v>97</v>
      </c>
      <c r="O3001" s="66" t="s">
        <v>25</v>
      </c>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1" ht="15.75" customHeight="1">
      <c r="A3002" s="323" t="str">
        <f>IF(B3002&lt;&gt;"",IF(AND(B3002='IN-TC'!$S$4,OR(TH!N3062="1111",TH!O3062="1111")),TH!D3062,""),"")</f>
        <v/>
      </c>
      <c r="B3002" s="63">
        <f t="shared" si="197"/>
        <v>5</v>
      </c>
      <c r="C3002" s="64">
        <f t="shared" si="198"/>
        <v>42508</v>
      </c>
      <c r="D3002" s="306" t="s">
        <v>690</v>
      </c>
      <c r="E3002" s="64">
        <v>42508</v>
      </c>
      <c r="F3002" s="72" t="s">
        <v>1631</v>
      </c>
      <c r="G3002" s="931" t="s">
        <v>902</v>
      </c>
      <c r="H3002" s="72" t="s">
        <v>1169</v>
      </c>
      <c r="I3002" s="408"/>
      <c r="J3002" s="408"/>
      <c r="K3002" s="399"/>
      <c r="L3002" s="408"/>
      <c r="M3002" s="65">
        <v>6699000</v>
      </c>
      <c r="N3002" s="66" t="s">
        <v>97</v>
      </c>
      <c r="O3002" s="66" t="s">
        <v>25</v>
      </c>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1" ht="15.75" customHeight="1">
      <c r="A3003" s="323" t="str">
        <f>IF(B3003&lt;&gt;"",IF(AND(B3003='IN-TC'!$S$4,OR(TH!N3063="1111",TH!O3063="1111")),TH!D3063,""),"")</f>
        <v/>
      </c>
      <c r="B3003" s="63">
        <f t="shared" si="197"/>
        <v>5</v>
      </c>
      <c r="C3003" s="64">
        <f t="shared" si="198"/>
        <v>42508</v>
      </c>
      <c r="D3003" s="306" t="s">
        <v>690</v>
      </c>
      <c r="E3003" s="64">
        <v>42508</v>
      </c>
      <c r="F3003" s="72" t="s">
        <v>1437</v>
      </c>
      <c r="G3003" s="931" t="s">
        <v>902</v>
      </c>
      <c r="H3003" s="1103" t="s">
        <v>1526</v>
      </c>
      <c r="I3003" s="408"/>
      <c r="J3003" s="408"/>
      <c r="K3003" s="399"/>
      <c r="L3003" s="408"/>
      <c r="M3003" s="65">
        <v>1418407200</v>
      </c>
      <c r="N3003" s="66" t="s">
        <v>254</v>
      </c>
      <c r="O3003" s="66" t="s">
        <v>25</v>
      </c>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x</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1" ht="15.75" customHeight="1">
      <c r="A3004" s="323" t="str">
        <f>IF(B3004&lt;&gt;"",IF(AND(B3004='IN-TC'!$S$4,OR(TH!N3064="1111",TH!O3064="1111")),TH!D3064,""),"")</f>
        <v/>
      </c>
      <c r="B3004" s="63">
        <f t="shared" si="197"/>
        <v>5</v>
      </c>
      <c r="C3004" s="64">
        <f t="shared" si="198"/>
        <v>42509</v>
      </c>
      <c r="D3004" s="306" t="s">
        <v>690</v>
      </c>
      <c r="E3004" s="64">
        <v>42509</v>
      </c>
      <c r="F3004" s="72" t="s">
        <v>1181</v>
      </c>
      <c r="G3004" s="931" t="s">
        <v>908</v>
      </c>
      <c r="H3004" s="72"/>
      <c r="I3004" s="408"/>
      <c r="J3004" s="408"/>
      <c r="K3004" s="399"/>
      <c r="L3004" s="408"/>
      <c r="M3004" s="65">
        <v>20000000</v>
      </c>
      <c r="N3004" s="66" t="s">
        <v>25</v>
      </c>
      <c r="O3004" s="66" t="s">
        <v>25</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1" ht="15.75" customHeight="1">
      <c r="A3005" s="323" t="str">
        <f>IF(B3005&lt;&gt;"",IF(AND(B3005='IN-TC'!$S$4,OR(TH!N2138="1111",TH!O2138="1111")),TH!D2138,""),"")</f>
        <v/>
      </c>
      <c r="B3005" s="63">
        <f t="shared" si="197"/>
        <v>12</v>
      </c>
      <c r="C3005" s="78">
        <v>42710</v>
      </c>
      <c r="D3005" s="78" t="s">
        <v>570</v>
      </c>
      <c r="E3005" s="78">
        <v>42710</v>
      </c>
      <c r="F3005" s="80" t="s">
        <v>2281</v>
      </c>
      <c r="G3005" s="934" t="s">
        <v>2583</v>
      </c>
      <c r="H3005" s="80" t="s">
        <v>1198</v>
      </c>
      <c r="I3005" s="406"/>
      <c r="J3005" s="406"/>
      <c r="K3005" s="397"/>
      <c r="L3005" s="406"/>
      <c r="M3005" s="81">
        <v>26000000</v>
      </c>
      <c r="N3005" s="82" t="s">
        <v>9</v>
      </c>
      <c r="O3005" s="82" t="s">
        <v>8</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x</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v>1</v>
      </c>
    </row>
    <row r="3006" spans="1:31" ht="15.75" customHeight="1">
      <c r="A3006" s="323" t="str">
        <f>IF(B3006&lt;&gt;"",IF(AND(B3006='IN-TC'!$S$4,OR(TH!N3076="1111",TH!O3076="1111")),TH!D3076,""),"")</f>
        <v/>
      </c>
      <c r="B3006" s="63">
        <f t="shared" si="197"/>
        <v>5</v>
      </c>
      <c r="C3006" s="64">
        <f t="shared" ref="C3006:C3018" si="199">E3006</f>
        <v>42509</v>
      </c>
      <c r="D3006" s="306" t="s">
        <v>690</v>
      </c>
      <c r="E3006" s="64">
        <v>42509</v>
      </c>
      <c r="F3006" s="330" t="s">
        <v>742</v>
      </c>
      <c r="G3006" s="931" t="s">
        <v>901</v>
      </c>
      <c r="H3006" s="329" t="s">
        <v>714</v>
      </c>
      <c r="I3006" s="408"/>
      <c r="J3006" s="408"/>
      <c r="K3006" s="399"/>
      <c r="L3006" s="408"/>
      <c r="M3006" s="65">
        <v>5278457</v>
      </c>
      <c r="N3006" s="66" t="s">
        <v>97</v>
      </c>
      <c r="O3006" s="66" t="s">
        <v>25</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1" ht="15.75" customHeight="1">
      <c r="A3007" s="323" t="str">
        <f>IF(B3007&lt;&gt;"",IF(AND(B3007='IN-TC'!$S$4,OR(TH!N3077="1111",TH!O3077="1111")),TH!D3077,""),"")</f>
        <v/>
      </c>
      <c r="B3007" s="63">
        <f t="shared" si="197"/>
        <v>5</v>
      </c>
      <c r="C3007" s="64">
        <f t="shared" si="199"/>
        <v>42509</v>
      </c>
      <c r="D3007" s="306" t="s">
        <v>690</v>
      </c>
      <c r="E3007" s="64">
        <v>42509</v>
      </c>
      <c r="F3007" s="482" t="s">
        <v>743</v>
      </c>
      <c r="G3007" s="931" t="s">
        <v>901</v>
      </c>
      <c r="H3007" s="329" t="s">
        <v>715</v>
      </c>
      <c r="I3007" s="408"/>
      <c r="J3007" s="408"/>
      <c r="K3007" s="399"/>
      <c r="L3007" s="408"/>
      <c r="M3007" s="65">
        <v>4615999</v>
      </c>
      <c r="N3007" s="66" t="s">
        <v>97</v>
      </c>
      <c r="O3007" s="66" t="s">
        <v>25</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1" ht="15.75" customHeight="1">
      <c r="A3008" s="323" t="str">
        <f>IF(B3008&lt;&gt;"",IF(AND(B3008='IN-TC'!$S$4,OR(TH!N3078="1111",TH!O3078="1111")),TH!D3078,""),"")</f>
        <v/>
      </c>
      <c r="B3008" s="63">
        <f t="shared" si="197"/>
        <v>5</v>
      </c>
      <c r="C3008" s="64">
        <f t="shared" si="199"/>
        <v>42509</v>
      </c>
      <c r="D3008" s="306" t="s">
        <v>690</v>
      </c>
      <c r="E3008" s="64">
        <v>42509</v>
      </c>
      <c r="F3008" s="482" t="s">
        <v>744</v>
      </c>
      <c r="G3008" s="931" t="s">
        <v>901</v>
      </c>
      <c r="H3008" s="329" t="s">
        <v>716</v>
      </c>
      <c r="I3008" s="408"/>
      <c r="J3008" s="408"/>
      <c r="K3008" s="399"/>
      <c r="L3008" s="408"/>
      <c r="M3008" s="65">
        <v>2458964</v>
      </c>
      <c r="N3008" s="66" t="s">
        <v>97</v>
      </c>
      <c r="O3008" s="66" t="s">
        <v>25</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customHeight="1">
      <c r="A3009" s="323" t="str">
        <f>IF(B3009&lt;&gt;"",IF(AND(B3009='IN-TC'!$S$4,OR(TH!N3079="1111",TH!O3079="1111")),TH!D3079,""),"")</f>
        <v/>
      </c>
      <c r="B3009" s="63">
        <f t="shared" si="197"/>
        <v>5</v>
      </c>
      <c r="C3009" s="64">
        <f t="shared" si="199"/>
        <v>42509</v>
      </c>
      <c r="D3009" s="306" t="s">
        <v>690</v>
      </c>
      <c r="E3009" s="64">
        <v>42509</v>
      </c>
      <c r="F3009" s="482" t="s">
        <v>1044</v>
      </c>
      <c r="G3009" s="931" t="s">
        <v>901</v>
      </c>
      <c r="H3009" s="329" t="s">
        <v>717</v>
      </c>
      <c r="I3009" s="408"/>
      <c r="J3009" s="408"/>
      <c r="K3009" s="399"/>
      <c r="L3009" s="408"/>
      <c r="M3009" s="65">
        <v>3204226</v>
      </c>
      <c r="N3009" s="66" t="s">
        <v>97</v>
      </c>
      <c r="O3009" s="66" t="s">
        <v>25</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customHeight="1">
      <c r="A3010" s="323" t="str">
        <f>IF(B3010&lt;&gt;"",IF(AND(B3010='IN-TC'!$S$4,OR(TH!N3080="1111",TH!O3080="1111")),TH!D3080,""),"")</f>
        <v/>
      </c>
      <c r="B3010" s="63">
        <f t="shared" si="197"/>
        <v>5</v>
      </c>
      <c r="C3010" s="64">
        <f t="shared" si="199"/>
        <v>42509</v>
      </c>
      <c r="D3010" s="306" t="s">
        <v>690</v>
      </c>
      <c r="E3010" s="64">
        <v>42509</v>
      </c>
      <c r="F3010" s="482" t="s">
        <v>1682</v>
      </c>
      <c r="G3010" s="931" t="s">
        <v>901</v>
      </c>
      <c r="H3010" s="329" t="s">
        <v>727</v>
      </c>
      <c r="I3010" s="408"/>
      <c r="J3010" s="408"/>
      <c r="K3010" s="399"/>
      <c r="L3010" s="408"/>
      <c r="M3010" s="65">
        <v>3897213</v>
      </c>
      <c r="N3010" s="66" t="s">
        <v>97</v>
      </c>
      <c r="O3010" s="66" t="s">
        <v>25</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customHeight="1">
      <c r="A3011" s="323" t="str">
        <f>IF(B3011&lt;&gt;"",IF(AND(B3011='IN-TC'!$S$4,OR(TH!N2973="1111",TH!O2973="1111")),TH!D2973,""),"")</f>
        <v/>
      </c>
      <c r="B3011" s="63">
        <f t="shared" si="197"/>
        <v>5</v>
      </c>
      <c r="C3011" s="306">
        <f t="shared" si="199"/>
        <v>42510</v>
      </c>
      <c r="D3011" s="306" t="s">
        <v>865</v>
      </c>
      <c r="E3011" s="306">
        <v>42510</v>
      </c>
      <c r="F3011" s="72" t="s">
        <v>997</v>
      </c>
      <c r="G3011" s="935" t="s">
        <v>1521</v>
      </c>
      <c r="H3011" s="308" t="s">
        <v>792</v>
      </c>
      <c r="I3011" s="408"/>
      <c r="J3011" s="408"/>
      <c r="K3011" s="399"/>
      <c r="L3011" s="408"/>
      <c r="M3011" s="65">
        <v>871582</v>
      </c>
      <c r="N3011" s="309" t="s">
        <v>99</v>
      </c>
      <c r="O3011" s="66" t="s">
        <v>61</v>
      </c>
      <c r="P3011" s="82" t="str">
        <f>IF(AND('331-CT'!$E$7=TH!H3011,OR(N3011="331",O3011="331")),"x","")</f>
        <v/>
      </c>
      <c r="Q3011" s="82" t="str">
        <f>IF(AND(B3011='111'!$L$11,OR($N3011=$Q$7,$O3011=$Q$7)),"x","")</f>
        <v/>
      </c>
      <c r="R3011" s="82" t="str">
        <f>IF(AND($N3011=$Q$7,$B3011&lt;'111'!$L$11),"x","")</f>
        <v/>
      </c>
      <c r="S3011" s="82" t="str">
        <f>IF(AND($O3011=$Q$7,$B3011&lt;'111'!$L$11),"x","")</f>
        <v>x</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customHeight="1">
      <c r="A3012" s="323" t="str">
        <f>IF(B3012&lt;&gt;"",IF(AND(B3012='IN-TC'!$S$4,OR(TH!N2974="1111",TH!O2974="1111")),TH!D2974,""),"")</f>
        <v/>
      </c>
      <c r="B3012" s="63">
        <f t="shared" si="197"/>
        <v>5</v>
      </c>
      <c r="C3012" s="306">
        <f t="shared" si="199"/>
        <v>42510</v>
      </c>
      <c r="D3012" s="306" t="s">
        <v>865</v>
      </c>
      <c r="E3012" s="306">
        <v>42510</v>
      </c>
      <c r="F3012" s="72" t="s">
        <v>998</v>
      </c>
      <c r="G3012" s="935" t="s">
        <v>1521</v>
      </c>
      <c r="H3012" s="308" t="s">
        <v>792</v>
      </c>
      <c r="I3012" s="408"/>
      <c r="J3012" s="408"/>
      <c r="K3012" s="399"/>
      <c r="L3012" s="408"/>
      <c r="M3012" s="65">
        <v>87158</v>
      </c>
      <c r="N3012" s="309" t="s">
        <v>9</v>
      </c>
      <c r="O3012" s="66" t="s">
        <v>61</v>
      </c>
      <c r="P3012" s="82" t="str">
        <f>IF(AND('331-CT'!$E$7=TH!H3012,OR(N3012="331",O3012="331")),"x","")</f>
        <v/>
      </c>
      <c r="Q3012" s="82" t="str">
        <f>IF(AND(B3012='111'!$L$11,OR($N3012=$Q$7,$O3012=$Q$7)),"x","")</f>
        <v/>
      </c>
      <c r="R3012" s="82" t="str">
        <f>IF(AND($N3012=$Q$7,$B3012&lt;'111'!$L$11),"x","")</f>
        <v/>
      </c>
      <c r="S3012" s="82" t="str">
        <f>IF(AND($O3012=$Q$7,$B3012&lt;'111'!$L$11),"x","")</f>
        <v>x</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x</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customHeight="1">
      <c r="A3013" s="323" t="str">
        <f>IF(B3013&lt;&gt;"",IF(AND(B3013='IN-TC'!$S$4,OR(TH!N3014="1111",TH!O3014="1111")),TH!D3014,""),"")</f>
        <v/>
      </c>
      <c r="B3013" s="63">
        <f t="shared" si="197"/>
        <v>5</v>
      </c>
      <c r="C3013" s="64">
        <f t="shared" si="199"/>
        <v>42510</v>
      </c>
      <c r="D3013" s="64" t="s">
        <v>570</v>
      </c>
      <c r="E3013" s="64">
        <v>42510</v>
      </c>
      <c r="F3013" s="72" t="s">
        <v>1497</v>
      </c>
      <c r="G3013" s="931" t="s">
        <v>902</v>
      </c>
      <c r="H3013" s="329" t="s">
        <v>590</v>
      </c>
      <c r="I3013" s="408"/>
      <c r="J3013" s="408"/>
      <c r="K3013" s="399">
        <v>2.2000000000000002</v>
      </c>
      <c r="L3013" s="408">
        <v>22280</v>
      </c>
      <c r="M3013" s="65">
        <f>ROUND(K3013*L3013,0)</f>
        <v>49016</v>
      </c>
      <c r="N3013" s="66" t="s">
        <v>99</v>
      </c>
      <c r="O3013" s="66" t="s">
        <v>576</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customHeight="1">
      <c r="A3014" s="323" t="str">
        <f>IF(B3014&lt;&gt;"",IF(AND(B3014='IN-TC'!$S$4,OR(TH!N3015="1111",TH!O3015="1111")),TH!D3015,""),"")</f>
        <v/>
      </c>
      <c r="B3014" s="63">
        <f t="shared" si="197"/>
        <v>5</v>
      </c>
      <c r="C3014" s="64">
        <f t="shared" si="199"/>
        <v>42510</v>
      </c>
      <c r="D3014" s="64" t="s">
        <v>570</v>
      </c>
      <c r="E3014" s="64">
        <v>42510</v>
      </c>
      <c r="F3014" s="72" t="s">
        <v>1498</v>
      </c>
      <c r="G3014" s="931" t="s">
        <v>902</v>
      </c>
      <c r="H3014" s="329" t="s">
        <v>590</v>
      </c>
      <c r="I3014" s="408"/>
      <c r="J3014" s="408"/>
      <c r="K3014" s="399">
        <v>0.22</v>
      </c>
      <c r="L3014" s="408">
        <v>22280</v>
      </c>
      <c r="M3014" s="65">
        <f>ROUND(K3014*L3014,0)</f>
        <v>4902</v>
      </c>
      <c r="N3014" s="66" t="s">
        <v>9</v>
      </c>
      <c r="O3014" s="66" t="s">
        <v>576</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x</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customHeight="1">
      <c r="A3015" s="323" t="str">
        <f>IF(B3015&lt;&gt;"",IF(AND(B3015='IN-TC'!$S$4,OR(TH!N3016="1111",TH!O3016="1111")),TH!D3016,""),"")</f>
        <v/>
      </c>
      <c r="B3015" s="63">
        <f t="shared" si="197"/>
        <v>5</v>
      </c>
      <c r="C3015" s="64">
        <f t="shared" si="199"/>
        <v>42510</v>
      </c>
      <c r="D3015" s="64" t="s">
        <v>570</v>
      </c>
      <c r="E3015" s="64">
        <v>42510</v>
      </c>
      <c r="F3015" s="72" t="s">
        <v>1499</v>
      </c>
      <c r="G3015" s="931" t="s">
        <v>902</v>
      </c>
      <c r="H3015" s="329" t="s">
        <v>590</v>
      </c>
      <c r="I3015" s="408"/>
      <c r="J3015" s="408"/>
      <c r="K3015" s="399">
        <v>3</v>
      </c>
      <c r="L3015" s="408">
        <v>22280</v>
      </c>
      <c r="M3015" s="65">
        <f>ROUND(K3015*L3015,0)</f>
        <v>66840</v>
      </c>
      <c r="N3015" s="66" t="s">
        <v>99</v>
      </c>
      <c r="O3015" s="66" t="s">
        <v>576</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customHeight="1">
      <c r="A3016" s="323" t="str">
        <f>IF(B3016&lt;&gt;"",IF(AND(B3016='IN-TC'!$S$4,OR(TH!N3013="1111",TH!O3013="1111")),TH!D3013,""),"")</f>
        <v/>
      </c>
      <c r="B3016" s="63">
        <f t="shared" si="197"/>
        <v>5</v>
      </c>
      <c r="C3016" s="64">
        <f t="shared" si="199"/>
        <v>42510</v>
      </c>
      <c r="D3016" s="64" t="s">
        <v>687</v>
      </c>
      <c r="E3016" s="64">
        <v>42510</v>
      </c>
      <c r="F3016" s="72" t="s">
        <v>1436</v>
      </c>
      <c r="G3016" s="931" t="s">
        <v>902</v>
      </c>
      <c r="H3016" s="329" t="s">
        <v>590</v>
      </c>
      <c r="I3016" s="408"/>
      <c r="J3016" s="408"/>
      <c r="K3016" s="399">
        <v>4991.58</v>
      </c>
      <c r="L3016" s="408">
        <v>22280</v>
      </c>
      <c r="M3016" s="65">
        <f>ROUND(K3016*L3016,0)</f>
        <v>111212402</v>
      </c>
      <c r="N3016" s="66" t="s">
        <v>260</v>
      </c>
      <c r="O3016" s="66" t="s">
        <v>576</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customHeight="1">
      <c r="A3017" s="323" t="str">
        <f>IF(B3017&lt;&gt;"",IF(AND(B3017='IN-TC'!$S$4,OR(TH!N3017="1111",TH!O3017="1111")),TH!D3017,""),"")</f>
        <v/>
      </c>
      <c r="B3017" s="63">
        <f t="shared" si="197"/>
        <v>5</v>
      </c>
      <c r="C3017" s="64">
        <f t="shared" si="199"/>
        <v>42510</v>
      </c>
      <c r="D3017" s="64" t="s">
        <v>690</v>
      </c>
      <c r="E3017" s="64">
        <v>42510</v>
      </c>
      <c r="F3017" s="72" t="s">
        <v>1425</v>
      </c>
      <c r="G3017" s="931" t="s">
        <v>902</v>
      </c>
      <c r="H3017" s="329"/>
      <c r="I3017" s="408"/>
      <c r="J3017" s="408"/>
      <c r="K3017" s="399">
        <v>5000</v>
      </c>
      <c r="L3017" s="408">
        <v>22290</v>
      </c>
      <c r="M3017" s="65">
        <f>ROUND(K3017*L3017,0)</f>
        <v>111450000</v>
      </c>
      <c r="N3017" s="66" t="s">
        <v>25</v>
      </c>
      <c r="O3017" s="66" t="s">
        <v>260</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customHeight="1">
      <c r="A3018" s="323" t="str">
        <f>IF(B3018&lt;&gt;"",IF(AND(B3018='IN-TC'!$S$4,OR(TH!N2972="1111",TH!O2972="1111")),TH!D2972,""),"")</f>
        <v/>
      </c>
      <c r="B3018" s="63">
        <f t="shared" si="197"/>
        <v>5</v>
      </c>
      <c r="C3018" s="64">
        <f t="shared" si="199"/>
        <v>42510</v>
      </c>
      <c r="D3018" s="306" t="s">
        <v>892</v>
      </c>
      <c r="E3018" s="64">
        <v>42510</v>
      </c>
      <c r="F3018" s="72" t="s">
        <v>1126</v>
      </c>
      <c r="G3018" s="931" t="s">
        <v>902</v>
      </c>
      <c r="H3018" s="72" t="s">
        <v>748</v>
      </c>
      <c r="I3018" s="408"/>
      <c r="J3018" s="408"/>
      <c r="K3018" s="399"/>
      <c r="L3018" s="408"/>
      <c r="M3018" s="65">
        <v>150000000</v>
      </c>
      <c r="N3018" s="66" t="s">
        <v>61</v>
      </c>
      <c r="O3018" s="66" t="s">
        <v>25</v>
      </c>
      <c r="P3018" s="82" t="str">
        <f>IF(AND('331-CT'!$E$7=TH!H3018,OR(N3018="331",O3018="331")),"x","")</f>
        <v/>
      </c>
      <c r="Q3018" s="82" t="str">
        <f>IF(AND(B3018='111'!$L$11,OR($N3018=$Q$7,$O3018=$Q$7)),"x","")</f>
        <v/>
      </c>
      <c r="R3018" s="82" t="str">
        <f>IF(AND($N3018=$Q$7,$B3018&lt;'111'!$L$11),"x","")</f>
        <v>x</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customHeight="1">
      <c r="A3019" s="323" t="str">
        <f>IF(B3019&lt;&gt;"",IF(AND(B3019='IN-TC'!$S$4,OR(TH!N2975="1111",TH!O2975="1111")),TH!D2975,""),"")</f>
        <v/>
      </c>
      <c r="B3019" s="63">
        <f t="shared" si="197"/>
        <v>5</v>
      </c>
      <c r="C3019" s="1092">
        <v>42513</v>
      </c>
      <c r="D3019" s="1092" t="s">
        <v>866</v>
      </c>
      <c r="E3019" s="1092">
        <f>C3019</f>
        <v>42513</v>
      </c>
      <c r="F3019" s="482" t="s">
        <v>947</v>
      </c>
      <c r="G3019" s="1094"/>
      <c r="H3019" s="1093" t="s">
        <v>946</v>
      </c>
      <c r="I3019" s="1095"/>
      <c r="J3019" s="1095"/>
      <c r="K3019" s="1096"/>
      <c r="L3019" s="1095"/>
      <c r="M3019" s="1097">
        <v>514250000</v>
      </c>
      <c r="N3019" s="1098" t="s">
        <v>266</v>
      </c>
      <c r="O3019" s="1098" t="s">
        <v>61</v>
      </c>
      <c r="P3019" s="82" t="str">
        <f>IF(AND('331-CT'!$E$7=TH!H3019,OR(N3019="331",O3019="331")),"x","")</f>
        <v/>
      </c>
      <c r="Q3019" s="82" t="str">
        <f>IF(AND(B3019='111'!$L$11,OR($N3019=$Q$7,$O3019=$Q$7)),"x","")</f>
        <v/>
      </c>
      <c r="R3019" s="82" t="str">
        <f>IF(AND($N3019=$Q$7,$B3019&lt;'111'!$L$11),"x","")</f>
        <v/>
      </c>
      <c r="S3019" s="82" t="str">
        <f>IF(AND($O3019=$Q$7,$B3019&lt;'111'!$L$11),"x","")</f>
        <v>x</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customHeight="1">
      <c r="A3020" s="323" t="str">
        <f>IF(B3020&lt;&gt;"",IF(AND(B3020='IN-TC'!$S$4,OR(TH!N2976="1111",TH!O2976="1111")),TH!D2976,""),"")</f>
        <v/>
      </c>
      <c r="B3020" s="63">
        <f t="shared" si="197"/>
        <v>5</v>
      </c>
      <c r="C3020" s="1092">
        <v>42513</v>
      </c>
      <c r="D3020" s="1092" t="s">
        <v>867</v>
      </c>
      <c r="E3020" s="1092">
        <f>C3020</f>
        <v>42513</v>
      </c>
      <c r="F3020" s="482" t="s">
        <v>947</v>
      </c>
      <c r="G3020" s="1094"/>
      <c r="H3020" s="1093" t="s">
        <v>3001</v>
      </c>
      <c r="I3020" s="1095"/>
      <c r="J3020" s="1095"/>
      <c r="K3020" s="1096"/>
      <c r="L3020" s="1095"/>
      <c r="M3020" s="1097">
        <v>381935500</v>
      </c>
      <c r="N3020" s="1098" t="s">
        <v>266</v>
      </c>
      <c r="O3020" s="1098" t="s">
        <v>61</v>
      </c>
      <c r="P3020" s="82" t="str">
        <f>IF(AND('331-CT'!$E$7=TH!H3020,OR(N3020="331",O3020="331")),"x","")</f>
        <v/>
      </c>
      <c r="Q3020" s="82" t="str">
        <f>IF(AND(B3020='111'!$L$11,OR($N3020=$Q$7,$O3020=$Q$7)),"x","")</f>
        <v/>
      </c>
      <c r="R3020" s="82" t="str">
        <f>IF(AND($N3020=$Q$7,$B3020&lt;'111'!$L$11),"x","")</f>
        <v/>
      </c>
      <c r="S3020" s="82" t="str">
        <f>IF(AND($O3020=$Q$7,$B3020&lt;'111'!$L$11),"x","")</f>
        <v>x</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customHeight="1">
      <c r="A3021" s="323" t="str">
        <f>IF(B3021&lt;&gt;"",IF(AND(B3021='IN-TC'!$S$4,OR(TH!N2977="1111",TH!O2977="1111")),TH!D2977,""),"")</f>
        <v/>
      </c>
      <c r="B3021" s="63">
        <f t="shared" si="197"/>
        <v>5</v>
      </c>
      <c r="C3021" s="306">
        <f t="shared" ref="C3021:C3027" si="200">E3021</f>
        <v>42513</v>
      </c>
      <c r="D3021" s="306" t="s">
        <v>868</v>
      </c>
      <c r="E3021" s="306">
        <v>42513</v>
      </c>
      <c r="F3021" s="72" t="s">
        <v>623</v>
      </c>
      <c r="G3021" s="935" t="s">
        <v>1517</v>
      </c>
      <c r="H3021" s="307" t="s">
        <v>1514</v>
      </c>
      <c r="I3021" s="408"/>
      <c r="J3021" s="408"/>
      <c r="K3021" s="399"/>
      <c r="L3021" s="408"/>
      <c r="M3021" s="65">
        <v>480000</v>
      </c>
      <c r="N3021" s="309" t="s">
        <v>99</v>
      </c>
      <c r="O3021" s="66" t="s">
        <v>61</v>
      </c>
      <c r="P3021" s="82" t="str">
        <f>IF(AND('331-CT'!$E$7=TH!H3021,OR(N3021="331",O3021="331")),"x","")</f>
        <v/>
      </c>
      <c r="Q3021" s="82" t="str">
        <f>IF(AND(B3021='111'!$L$11,OR($N3021=$Q$7,$O3021=$Q$7)),"x","")</f>
        <v/>
      </c>
      <c r="R3021" s="82" t="str">
        <f>IF(AND($N3021=$Q$7,$B3021&lt;'111'!$L$11),"x","")</f>
        <v/>
      </c>
      <c r="S3021" s="82" t="str">
        <f>IF(AND($O3021=$Q$7,$B3021&lt;'111'!$L$11),"x","")</f>
        <v>x</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customHeight="1">
      <c r="A3022" s="323" t="str">
        <f>IF(B3022&lt;&gt;"",IF(AND(B3022='IN-TC'!$S$4,OR(TH!N2978="1111",TH!O2978="1111")),TH!D2978,""),"")</f>
        <v/>
      </c>
      <c r="B3022" s="63">
        <f t="shared" si="197"/>
        <v>5</v>
      </c>
      <c r="C3022" s="306">
        <f t="shared" si="200"/>
        <v>42513</v>
      </c>
      <c r="D3022" s="306" t="s">
        <v>868</v>
      </c>
      <c r="E3022" s="306">
        <v>42513</v>
      </c>
      <c r="F3022" s="72" t="s">
        <v>1515</v>
      </c>
      <c r="G3022" s="935" t="s">
        <v>1517</v>
      </c>
      <c r="H3022" s="307" t="s">
        <v>1514</v>
      </c>
      <c r="I3022" s="406"/>
      <c r="J3022" s="406"/>
      <c r="K3022" s="397"/>
      <c r="L3022" s="406"/>
      <c r="M3022" s="65">
        <v>24000</v>
      </c>
      <c r="N3022" s="309" t="s">
        <v>9</v>
      </c>
      <c r="O3022" s="66" t="s">
        <v>61</v>
      </c>
      <c r="P3022" s="82" t="str">
        <f>IF(AND('331-CT'!$E$7=TH!H3022,OR(N3022="331",O3022="331")),"x","")</f>
        <v/>
      </c>
      <c r="Q3022" s="82" t="str">
        <f>IF(AND(B3022='111'!$L$11,OR($N3022=$Q$7,$O3022=$Q$7)),"x","")</f>
        <v/>
      </c>
      <c r="R3022" s="82" t="str">
        <f>IF(AND($N3022=$Q$7,$B3022&lt;'111'!$L$11),"x","")</f>
        <v/>
      </c>
      <c r="S3022" s="82" t="str">
        <f>IF(AND($O3022=$Q$7,$B3022&lt;'111'!$L$11),"x","")</f>
        <v>x</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x</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customHeight="1">
      <c r="A3023" s="323" t="str">
        <f>IF(B3023&lt;&gt;"",IF(AND(B3023='IN-TC'!$S$4,OR(TH!N2979="1111",TH!O2979="1111")),TH!D2979,""),"")</f>
        <v/>
      </c>
      <c r="B3023" s="63">
        <f t="shared" si="197"/>
        <v>5</v>
      </c>
      <c r="C3023" s="306">
        <f t="shared" si="200"/>
        <v>42513</v>
      </c>
      <c r="D3023" s="306" t="s">
        <v>869</v>
      </c>
      <c r="E3023" s="306">
        <v>42513</v>
      </c>
      <c r="F3023" s="72" t="s">
        <v>623</v>
      </c>
      <c r="G3023" s="935" t="s">
        <v>1518</v>
      </c>
      <c r="H3023" s="307" t="s">
        <v>1514</v>
      </c>
      <c r="I3023" s="408"/>
      <c r="J3023" s="408"/>
      <c r="K3023" s="399"/>
      <c r="L3023" s="408"/>
      <c r="M3023" s="65">
        <v>300000</v>
      </c>
      <c r="N3023" s="309" t="s">
        <v>99</v>
      </c>
      <c r="O3023" s="66" t="s">
        <v>61</v>
      </c>
      <c r="P3023" s="82" t="str">
        <f>IF(AND('331-CT'!$E$7=TH!H3023,OR(N3023="331",O3023="331")),"x","")</f>
        <v/>
      </c>
      <c r="Q3023" s="82" t="str">
        <f>IF(AND(B3023='111'!$L$11,OR($N3023=$Q$7,$O3023=$Q$7)),"x","")</f>
        <v/>
      </c>
      <c r="R3023" s="82" t="str">
        <f>IF(AND($N3023=$Q$7,$B3023&lt;'111'!$L$11),"x","")</f>
        <v/>
      </c>
      <c r="S3023" s="82" t="str">
        <f>IF(AND($O3023=$Q$7,$B3023&lt;'111'!$L$11),"x","")</f>
        <v>x</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customHeight="1">
      <c r="A3024" s="323" t="str">
        <f>IF(B3024&lt;&gt;"",IF(AND(B3024='IN-TC'!$S$4,OR(TH!N2980="1111",TH!O2980="1111")),TH!D2980,""),"")</f>
        <v/>
      </c>
      <c r="B3024" s="63">
        <f t="shared" si="197"/>
        <v>5</v>
      </c>
      <c r="C3024" s="306">
        <f t="shared" si="200"/>
        <v>42513</v>
      </c>
      <c r="D3024" s="306" t="s">
        <v>869</v>
      </c>
      <c r="E3024" s="306">
        <v>42513</v>
      </c>
      <c r="F3024" s="72" t="s">
        <v>1515</v>
      </c>
      <c r="G3024" s="935" t="s">
        <v>1518</v>
      </c>
      <c r="H3024" s="307" t="s">
        <v>1514</v>
      </c>
      <c r="I3024" s="406"/>
      <c r="J3024" s="406"/>
      <c r="K3024" s="397"/>
      <c r="L3024" s="406"/>
      <c r="M3024" s="65">
        <v>15000</v>
      </c>
      <c r="N3024" s="309" t="s">
        <v>9</v>
      </c>
      <c r="O3024" s="66" t="s">
        <v>61</v>
      </c>
      <c r="P3024" s="82" t="str">
        <f>IF(AND('331-CT'!$E$7=TH!H3024,OR(N3024="331",O3024="331")),"x","")</f>
        <v/>
      </c>
      <c r="Q3024" s="82" t="str">
        <f>IF(AND(B3024='111'!$L$11,OR($N3024=$Q$7,$O3024=$Q$7)),"x","")</f>
        <v/>
      </c>
      <c r="R3024" s="82" t="str">
        <f>IF(AND($N3024=$Q$7,$B3024&lt;'111'!$L$11),"x","")</f>
        <v/>
      </c>
      <c r="S3024" s="82" t="str">
        <f>IF(AND($O3024=$Q$7,$B3024&lt;'111'!$L$11),"x","")</f>
        <v>x</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x</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customHeight="1">
      <c r="A3025" s="323" t="str">
        <f>IF(B3025&lt;&gt;"",IF(AND(B3025='IN-TC'!$S$4,OR(TH!N2981="1111",TH!O2981="1111")),TH!D2981,""),"")</f>
        <v/>
      </c>
      <c r="B3025" s="63">
        <f t="shared" si="197"/>
        <v>5</v>
      </c>
      <c r="C3025" s="306">
        <f t="shared" si="200"/>
        <v>42514</v>
      </c>
      <c r="D3025" s="306" t="s">
        <v>870</v>
      </c>
      <c r="E3025" s="306">
        <v>42514</v>
      </c>
      <c r="F3025" s="72" t="s">
        <v>997</v>
      </c>
      <c r="G3025" s="935" t="s">
        <v>1522</v>
      </c>
      <c r="H3025" s="308" t="s">
        <v>792</v>
      </c>
      <c r="I3025" s="408"/>
      <c r="J3025" s="408"/>
      <c r="K3025" s="399"/>
      <c r="L3025" s="408"/>
      <c r="M3025" s="65">
        <v>1310382</v>
      </c>
      <c r="N3025" s="309" t="s">
        <v>99</v>
      </c>
      <c r="O3025" s="66" t="s">
        <v>61</v>
      </c>
      <c r="P3025" s="82" t="str">
        <f>IF(AND('331-CT'!$E$7=TH!H3025,OR(N3025="331",O3025="331")),"x","")</f>
        <v/>
      </c>
      <c r="Q3025" s="82" t="str">
        <f>IF(AND(B3025='111'!$L$11,OR($N3025=$Q$7,$O3025=$Q$7)),"x","")</f>
        <v/>
      </c>
      <c r="R3025" s="82" t="str">
        <f>IF(AND($N3025=$Q$7,$B3025&lt;'111'!$L$11),"x","")</f>
        <v/>
      </c>
      <c r="S3025" s="82" t="str">
        <f>IF(AND($O3025=$Q$7,$B3025&lt;'111'!$L$11),"x","")</f>
        <v>x</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customHeight="1">
      <c r="A3026" s="323" t="str">
        <f>IF(B3026&lt;&gt;"",IF(AND(B3026='IN-TC'!$S$4,OR(TH!N2982="1111",TH!O2982="1111")),TH!D2982,""),"")</f>
        <v/>
      </c>
      <c r="B3026" s="63">
        <f t="shared" si="197"/>
        <v>5</v>
      </c>
      <c r="C3026" s="306">
        <f t="shared" si="200"/>
        <v>42514</v>
      </c>
      <c r="D3026" s="306" t="s">
        <v>870</v>
      </c>
      <c r="E3026" s="306">
        <v>42514</v>
      </c>
      <c r="F3026" s="72" t="s">
        <v>998</v>
      </c>
      <c r="G3026" s="935" t="s">
        <v>1522</v>
      </c>
      <c r="H3026" s="308" t="s">
        <v>792</v>
      </c>
      <c r="I3026" s="408"/>
      <c r="J3026" s="408"/>
      <c r="K3026" s="399"/>
      <c r="L3026" s="408"/>
      <c r="M3026" s="65">
        <v>131038</v>
      </c>
      <c r="N3026" s="309" t="s">
        <v>9</v>
      </c>
      <c r="O3026" s="66" t="s">
        <v>61</v>
      </c>
      <c r="P3026" s="82" t="str">
        <f>IF(AND('331-CT'!$E$7=TH!H3026,OR(N3026="331",O3026="331")),"x","")</f>
        <v/>
      </c>
      <c r="Q3026" s="82" t="str">
        <f>IF(AND(B3026='111'!$L$11,OR($N3026=$Q$7,$O3026=$Q$7)),"x","")</f>
        <v/>
      </c>
      <c r="R3026" s="82" t="str">
        <f>IF(AND($N3026=$Q$7,$B3026&lt;'111'!$L$11),"x","")</f>
        <v/>
      </c>
      <c r="S3026" s="82" t="str">
        <f>IF(AND($O3026=$Q$7,$B3026&lt;'111'!$L$11),"x","")</f>
        <v>x</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x</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customHeight="1">
      <c r="A3027" s="323" t="str">
        <f>IF(B3027&lt;&gt;"",IF(AND(B3027='IN-TC'!$S$4,OR(TH!N3035="1111",TH!O3035="1111")),TH!D3035,""),"")</f>
        <v/>
      </c>
      <c r="B3027" s="63">
        <f t="shared" si="197"/>
        <v>5</v>
      </c>
      <c r="C3027" s="64">
        <f t="shared" si="200"/>
        <v>42514</v>
      </c>
      <c r="D3027" s="306" t="s">
        <v>687</v>
      </c>
      <c r="E3027" s="64">
        <v>42514</v>
      </c>
      <c r="F3027" s="72" t="s">
        <v>1528</v>
      </c>
      <c r="G3027" s="931" t="s">
        <v>902</v>
      </c>
      <c r="H3027" s="72"/>
      <c r="I3027" s="408"/>
      <c r="J3027" s="408"/>
      <c r="K3027" s="399"/>
      <c r="L3027" s="408"/>
      <c r="M3027" s="65">
        <v>23165</v>
      </c>
      <c r="N3027" s="66" t="s">
        <v>25</v>
      </c>
      <c r="O3027" s="66" t="s">
        <v>41</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customHeight="1">
      <c r="A3028" s="323" t="str">
        <f>IF(B3028&lt;&gt;"",IF(AND(B3028='IN-TC'!$S$4,OR(TH!N2068="1111",TH!O2068="1111")),TH!D2068,""),"")</f>
        <v/>
      </c>
      <c r="B3028" s="63">
        <f t="shared" si="197"/>
        <v>10</v>
      </c>
      <c r="C3028" s="78">
        <v>42674</v>
      </c>
      <c r="D3028" s="78" t="s">
        <v>570</v>
      </c>
      <c r="E3028" s="78">
        <v>42660</v>
      </c>
      <c r="F3028" s="80" t="s">
        <v>2162</v>
      </c>
      <c r="G3028" s="934" t="s">
        <v>2166</v>
      </c>
      <c r="H3028" s="80" t="s">
        <v>617</v>
      </c>
      <c r="I3028" s="406"/>
      <c r="J3028" s="406"/>
      <c r="K3028" s="397"/>
      <c r="L3028" s="406"/>
      <c r="M3028" s="81">
        <v>2212620</v>
      </c>
      <c r="N3028" s="82" t="s">
        <v>9</v>
      </c>
      <c r="O3028" s="82" t="s">
        <v>8</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x</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customHeight="1">
      <c r="A3029" s="323" t="str">
        <f>IF(B3029&lt;&gt;"",IF(AND(B3029='IN-TC'!$S$4,OR(TH!N3067="1111",TH!O3067="1111")),TH!D3067,""),"")</f>
        <v/>
      </c>
      <c r="B3029" s="63">
        <f t="shared" si="197"/>
        <v>5</v>
      </c>
      <c r="C3029" s="64">
        <f>E3029</f>
        <v>42514</v>
      </c>
      <c r="D3029" s="306" t="s">
        <v>690</v>
      </c>
      <c r="E3029" s="64">
        <v>42514</v>
      </c>
      <c r="F3029" s="72" t="s">
        <v>1179</v>
      </c>
      <c r="G3029" s="931" t="s">
        <v>902</v>
      </c>
      <c r="H3029" s="72"/>
      <c r="I3029" s="408"/>
      <c r="J3029" s="408"/>
      <c r="K3029" s="399"/>
      <c r="L3029" s="408"/>
      <c r="M3029" s="65">
        <v>25000</v>
      </c>
      <c r="N3029" s="66" t="s">
        <v>99</v>
      </c>
      <c r="O3029" s="66" t="s">
        <v>25</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customHeight="1">
      <c r="A3030" s="323" t="str">
        <f>IF(B3030&lt;&gt;"",IF(AND(B3030='IN-TC'!$S$4,OR(TH!N3068="1111",TH!O3068="1111")),TH!D3068,""),"")</f>
        <v/>
      </c>
      <c r="B3030" s="63">
        <f t="shared" si="197"/>
        <v>5</v>
      </c>
      <c r="C3030" s="64">
        <f>E3030</f>
        <v>42514</v>
      </c>
      <c r="D3030" s="306" t="s">
        <v>690</v>
      </c>
      <c r="E3030" s="64">
        <v>42514</v>
      </c>
      <c r="F3030" s="72" t="s">
        <v>1180</v>
      </c>
      <c r="G3030" s="931" t="s">
        <v>902</v>
      </c>
      <c r="H3030" s="72"/>
      <c r="I3030" s="408"/>
      <c r="J3030" s="408"/>
      <c r="K3030" s="399"/>
      <c r="L3030" s="408"/>
      <c r="M3030" s="65">
        <v>2500</v>
      </c>
      <c r="N3030" s="66" t="s">
        <v>9</v>
      </c>
      <c r="O3030" s="66" t="s">
        <v>25</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x</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customHeight="1">
      <c r="A3031" s="323" t="str">
        <f>IF(B3031&lt;&gt;"",IF(AND(B3031='IN-TC'!$S$4,OR(TH!N2983="1111",TH!O2983="1111")),TH!D2983,""),"")</f>
        <v/>
      </c>
      <c r="B3031" s="63">
        <f t="shared" si="197"/>
        <v>5</v>
      </c>
      <c r="C3031" s="306">
        <v>42515</v>
      </c>
      <c r="D3031" s="306" t="s">
        <v>871</v>
      </c>
      <c r="E3031" s="306">
        <v>42515</v>
      </c>
      <c r="F3031" s="72" t="s">
        <v>1122</v>
      </c>
      <c r="G3031" s="935" t="s">
        <v>1463</v>
      </c>
      <c r="H3031" s="308" t="s">
        <v>1125</v>
      </c>
      <c r="I3031" s="408"/>
      <c r="J3031" s="408"/>
      <c r="K3031" s="399"/>
      <c r="L3031" s="408"/>
      <c r="M3031" s="65">
        <v>1526660</v>
      </c>
      <c r="N3031" s="309" t="s">
        <v>99</v>
      </c>
      <c r="O3031" s="66" t="s">
        <v>61</v>
      </c>
      <c r="P3031" s="82" t="str">
        <f>IF(AND('331-CT'!$E$7=TH!H3031,OR(N3031="331",O3031="331")),"x","")</f>
        <v/>
      </c>
      <c r="Q3031" s="82" t="str">
        <f>IF(AND(B3031='111'!$L$11,OR($N3031=$Q$7,$O3031=$Q$7)),"x","")</f>
        <v/>
      </c>
      <c r="R3031" s="82" t="str">
        <f>IF(AND($N3031=$Q$7,$B3031&lt;'111'!$L$11),"x","")</f>
        <v/>
      </c>
      <c r="S3031" s="82" t="str">
        <f>IF(AND($O3031=$Q$7,$B3031&lt;'111'!$L$11),"x","")</f>
        <v>x</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customHeight="1">
      <c r="A3032" s="323" t="str">
        <f>IF(B3032&lt;&gt;"",IF(AND(B3032='IN-TC'!$S$4,OR(TH!N2984="1111",TH!O2984="1111")),TH!D2984,""),"")</f>
        <v/>
      </c>
      <c r="B3032" s="63">
        <f t="shared" si="197"/>
        <v>5</v>
      </c>
      <c r="C3032" s="306">
        <v>42515</v>
      </c>
      <c r="D3032" s="306" t="s">
        <v>871</v>
      </c>
      <c r="E3032" s="306">
        <v>42515</v>
      </c>
      <c r="F3032" s="72" t="s">
        <v>1123</v>
      </c>
      <c r="G3032" s="935" t="s">
        <v>1463</v>
      </c>
      <c r="H3032" s="308" t="s">
        <v>1125</v>
      </c>
      <c r="I3032" s="408"/>
      <c r="J3032" s="408"/>
      <c r="K3032" s="399"/>
      <c r="L3032" s="408"/>
      <c r="M3032" s="65">
        <v>152666</v>
      </c>
      <c r="N3032" s="309" t="s">
        <v>9</v>
      </c>
      <c r="O3032" s="66" t="s">
        <v>61</v>
      </c>
      <c r="P3032" s="82" t="str">
        <f>IF(AND('331-CT'!$E$7=TH!H3032,OR(N3032="331",O3032="331")),"x","")</f>
        <v/>
      </c>
      <c r="Q3032" s="82" t="str">
        <f>IF(AND(B3032='111'!$L$11,OR($N3032=$Q$7,$O3032=$Q$7)),"x","")</f>
        <v/>
      </c>
      <c r="R3032" s="82" t="str">
        <f>IF(AND($N3032=$Q$7,$B3032&lt;'111'!$L$11),"x","")</f>
        <v/>
      </c>
      <c r="S3032" s="82" t="str">
        <f>IF(AND($O3032=$Q$7,$B3032&lt;'111'!$L$11),"x","")</f>
        <v>x</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x</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customHeight="1">
      <c r="A3033" s="1170"/>
      <c r="B3033" s="1199">
        <f t="shared" si="197"/>
        <v>12</v>
      </c>
      <c r="C3033" s="1087">
        <v>42711</v>
      </c>
      <c r="D3033" s="1087" t="s">
        <v>2268</v>
      </c>
      <c r="E3033" s="90">
        <f>C3033</f>
        <v>42711</v>
      </c>
      <c r="F3033" s="1153" t="s">
        <v>1952</v>
      </c>
      <c r="G3033" s="1155" t="s">
        <v>2311</v>
      </c>
      <c r="H3033" s="1153" t="s">
        <v>1198</v>
      </c>
      <c r="I3033" s="414">
        <v>21547</v>
      </c>
      <c r="J3033" s="1108">
        <v>17500</v>
      </c>
      <c r="K3033" s="1110"/>
      <c r="L3033" s="1109"/>
      <c r="M3033" s="93">
        <f>ROUND(I3033*J3033,0)</f>
        <v>377072500</v>
      </c>
      <c r="N3033" s="83" t="s">
        <v>276</v>
      </c>
      <c r="O3033" s="83" t="s">
        <v>268</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customHeight="1">
      <c r="A3034" s="323" t="str">
        <f>IF(B3034&lt;&gt;"",IF(AND(B3034='IN-TC'!$S$4,OR(TH!N2985="1111",TH!O2985="1111")),TH!D2985,""),"")</f>
        <v/>
      </c>
      <c r="B3034" s="63">
        <f t="shared" si="197"/>
        <v>5</v>
      </c>
      <c r="C3034" s="306">
        <f>E3034</f>
        <v>42516</v>
      </c>
      <c r="D3034" s="306" t="s">
        <v>872</v>
      </c>
      <c r="E3034" s="306">
        <v>42516</v>
      </c>
      <c r="F3034" s="72" t="s">
        <v>1510</v>
      </c>
      <c r="G3034" s="935" t="s">
        <v>1512</v>
      </c>
      <c r="H3034" s="308" t="s">
        <v>1513</v>
      </c>
      <c r="I3034" s="408"/>
      <c r="J3034" s="408"/>
      <c r="K3034" s="399"/>
      <c r="L3034" s="408"/>
      <c r="M3034" s="65">
        <v>462727</v>
      </c>
      <c r="N3034" s="309" t="s">
        <v>99</v>
      </c>
      <c r="O3034" s="66" t="s">
        <v>61</v>
      </c>
      <c r="P3034" s="82" t="str">
        <f>IF(AND('331-CT'!$E$7=TH!H3034,OR(N3034="331",O3034="331")),"x","")</f>
        <v/>
      </c>
      <c r="Q3034" s="82" t="str">
        <f>IF(AND(B3034='111'!$L$11,OR($N3034=$Q$7,$O3034=$Q$7)),"x","")</f>
        <v/>
      </c>
      <c r="R3034" s="82" t="str">
        <f>IF(AND($N3034=$Q$7,$B3034&lt;'111'!$L$11),"x","")</f>
        <v/>
      </c>
      <c r="S3034" s="82" t="str">
        <f>IF(AND($O3034=$Q$7,$B3034&lt;'111'!$L$11),"x","")</f>
        <v>x</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customHeight="1">
      <c r="A3035" s="323" t="str">
        <f>IF(B3035&lt;&gt;"",IF(AND(B3035='IN-TC'!$S$4,OR(TH!N2986="1111",TH!O2986="1111")),TH!D2986,""),"")</f>
        <v/>
      </c>
      <c r="B3035" s="63">
        <f t="shared" si="197"/>
        <v>5</v>
      </c>
      <c r="C3035" s="306">
        <f>E3035</f>
        <v>42516</v>
      </c>
      <c r="D3035" s="306" t="s">
        <v>872</v>
      </c>
      <c r="E3035" s="306">
        <v>42516</v>
      </c>
      <c r="F3035" s="72" t="s">
        <v>1511</v>
      </c>
      <c r="G3035" s="935" t="s">
        <v>1512</v>
      </c>
      <c r="H3035" s="308" t="s">
        <v>1513</v>
      </c>
      <c r="I3035" s="408"/>
      <c r="J3035" s="408"/>
      <c r="K3035" s="399"/>
      <c r="L3035" s="408"/>
      <c r="M3035" s="65">
        <v>46273</v>
      </c>
      <c r="N3035" s="309" t="s">
        <v>9</v>
      </c>
      <c r="O3035" s="66" t="s">
        <v>61</v>
      </c>
      <c r="P3035" s="82" t="str">
        <f>IF(AND('331-CT'!$E$7=TH!H3035,OR(N3035="331",O3035="331")),"x","")</f>
        <v/>
      </c>
      <c r="Q3035" s="82" t="str">
        <f>IF(AND(B3035='111'!$L$11,OR($N3035=$Q$7,$O3035=$Q$7)),"x","")</f>
        <v/>
      </c>
      <c r="R3035" s="82" t="str">
        <f>IF(AND($N3035=$Q$7,$B3035&lt;'111'!$L$11),"x","")</f>
        <v/>
      </c>
      <c r="S3035" s="82" t="str">
        <f>IF(AND($O3035=$Q$7,$B3035&lt;'111'!$L$11),"x","")</f>
        <v>x</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x</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customHeight="1">
      <c r="A3036" s="323" t="str">
        <f>IF(B3036&lt;&gt;"",IF(AND(B3036='IN-TC'!$S$4,OR(TH!N2987="1111",TH!O2987="1111")),TH!D2987,""),"")</f>
        <v/>
      </c>
      <c r="B3036" s="63">
        <f t="shared" si="197"/>
        <v>5</v>
      </c>
      <c r="C3036" s="306">
        <v>42517</v>
      </c>
      <c r="D3036" s="306" t="s">
        <v>873</v>
      </c>
      <c r="E3036" s="306">
        <v>42517</v>
      </c>
      <c r="F3036" s="72" t="s">
        <v>1467</v>
      </c>
      <c r="G3036" s="935" t="s">
        <v>1470</v>
      </c>
      <c r="H3036" s="308" t="s">
        <v>823</v>
      </c>
      <c r="I3036" s="408"/>
      <c r="J3036" s="408"/>
      <c r="K3036" s="399"/>
      <c r="L3036" s="408"/>
      <c r="M3036" s="65">
        <v>16050000</v>
      </c>
      <c r="N3036" s="309" t="s">
        <v>99</v>
      </c>
      <c r="O3036" s="66" t="s">
        <v>61</v>
      </c>
      <c r="P3036" s="82" t="str">
        <f>IF(AND('331-CT'!$E$7=TH!H3036,OR(N3036="331",O3036="331")),"x","")</f>
        <v/>
      </c>
      <c r="Q3036" s="82" t="str">
        <f>IF(AND(B3036='111'!$L$11,OR($N3036=$Q$7,$O3036=$Q$7)),"x","")</f>
        <v/>
      </c>
      <c r="R3036" s="82" t="str">
        <f>IF(AND($N3036=$Q$7,$B3036&lt;'111'!$L$11),"x","")</f>
        <v/>
      </c>
      <c r="S3036" s="82" t="str">
        <f>IF(AND($O3036=$Q$7,$B3036&lt;'111'!$L$11),"x","")</f>
        <v>x</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customHeight="1">
      <c r="A3037" s="323" t="str">
        <f>IF(B3037&lt;&gt;"",IF(AND(B3037='IN-TC'!$S$4,OR(TH!N2988="1111",TH!O2988="1111")),TH!D2988,""),"")</f>
        <v/>
      </c>
      <c r="B3037" s="63">
        <f t="shared" si="197"/>
        <v>5</v>
      </c>
      <c r="C3037" s="306">
        <v>42517</v>
      </c>
      <c r="D3037" s="306" t="s">
        <v>873</v>
      </c>
      <c r="E3037" s="306">
        <v>42517</v>
      </c>
      <c r="F3037" s="72" t="s">
        <v>1468</v>
      </c>
      <c r="G3037" s="935" t="s">
        <v>1470</v>
      </c>
      <c r="H3037" s="308" t="s">
        <v>823</v>
      </c>
      <c r="I3037" s="408"/>
      <c r="J3037" s="408"/>
      <c r="K3037" s="399"/>
      <c r="L3037" s="408"/>
      <c r="M3037" s="65">
        <v>1605000</v>
      </c>
      <c r="N3037" s="309" t="s">
        <v>9</v>
      </c>
      <c r="O3037" s="66" t="s">
        <v>61</v>
      </c>
      <c r="P3037" s="82" t="str">
        <f>IF(AND('331-CT'!$E$7=TH!H3037,OR(N3037="331",O3037="331")),"x","")</f>
        <v/>
      </c>
      <c r="Q3037" s="82" t="str">
        <f>IF(AND(B3037='111'!$L$11,OR($N3037=$Q$7,$O3037=$Q$7)),"x","")</f>
        <v/>
      </c>
      <c r="R3037" s="82" t="str">
        <f>IF(AND($N3037=$Q$7,$B3037&lt;'111'!$L$11),"x","")</f>
        <v/>
      </c>
      <c r="S3037" s="82" t="str">
        <f>IF(AND($O3037=$Q$7,$B3037&lt;'111'!$L$11),"x","")</f>
        <v>x</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x</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customHeight="1">
      <c r="A3038" s="323" t="str">
        <f>IF(B3038&lt;&gt;"",IF(AND(B3038='IN-TC'!$S$4,OR(TH!N3020="1111",TH!O3020="1111")),TH!D3020,""),"")</f>
        <v/>
      </c>
      <c r="B3038" s="63">
        <f t="shared" si="197"/>
        <v>5</v>
      </c>
      <c r="C3038" s="64">
        <f>E3038</f>
        <v>42517</v>
      </c>
      <c r="D3038" s="64" t="s">
        <v>570</v>
      </c>
      <c r="E3038" s="306">
        <v>42517</v>
      </c>
      <c r="F3038" s="72" t="s">
        <v>1049</v>
      </c>
      <c r="G3038" s="931"/>
      <c r="H3038" s="1103" t="s">
        <v>586</v>
      </c>
      <c r="I3038" s="408"/>
      <c r="J3038" s="408"/>
      <c r="K3038" s="399"/>
      <c r="L3038" s="408"/>
      <c r="M3038" s="65">
        <v>1461600</v>
      </c>
      <c r="N3038" s="66" t="s">
        <v>576</v>
      </c>
      <c r="O3038" s="66" t="s">
        <v>41</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customHeight="1">
      <c r="A3039" s="323" t="str">
        <f>IF(B3039&lt;&gt;"",IF(AND(B3039='IN-TC'!$S$4,OR(TH!N272="1111",TH!O272="1111")),TH!D272,""),"")</f>
        <v/>
      </c>
      <c r="B3039" s="63">
        <f t="shared" si="197"/>
        <v>7</v>
      </c>
      <c r="C3039" s="1087">
        <v>42557</v>
      </c>
      <c r="D3039" s="1087" t="s">
        <v>584</v>
      </c>
      <c r="E3039" s="1087">
        <f>C3039</f>
        <v>42557</v>
      </c>
      <c r="F3039" s="1155" t="s">
        <v>443</v>
      </c>
      <c r="G3039" s="1131" t="s">
        <v>1772</v>
      </c>
      <c r="H3039" s="92" t="s">
        <v>586</v>
      </c>
      <c r="I3039" s="414">
        <v>4800</v>
      </c>
      <c r="J3039" s="1132">
        <v>8.6999999999999993</v>
      </c>
      <c r="K3039" s="405">
        <f>I3039*J3039</f>
        <v>41760</v>
      </c>
      <c r="L3039" s="414">
        <v>22270</v>
      </c>
      <c r="M3039" s="1133">
        <f>ROUND(K3039*L3039,0)</f>
        <v>929995200</v>
      </c>
      <c r="N3039" s="1134" t="s">
        <v>576</v>
      </c>
      <c r="O3039" s="1134" t="s">
        <v>292</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customHeight="1">
      <c r="A3040" s="323" t="str">
        <f>IF(B3040&lt;&gt;"",IF(AND(B3040='IN-TC'!$S$4,OR(TH!N3413="1111",TH!O3413="1111")),TH!D3413,""),"")</f>
        <v/>
      </c>
      <c r="B3040" s="63">
        <f t="shared" si="197"/>
        <v>7</v>
      </c>
      <c r="C3040" s="64">
        <v>42559</v>
      </c>
      <c r="D3040" s="64" t="s">
        <v>687</v>
      </c>
      <c r="E3040" s="64">
        <f>C3040</f>
        <v>42559</v>
      </c>
      <c r="F3040" s="72" t="s">
        <v>1171</v>
      </c>
      <c r="G3040" s="67" t="s">
        <v>901</v>
      </c>
      <c r="H3040" s="72" t="s">
        <v>586</v>
      </c>
      <c r="I3040" s="408"/>
      <c r="J3040" s="408"/>
      <c r="K3040" s="399">
        <v>39600</v>
      </c>
      <c r="L3040" s="408">
        <v>22300</v>
      </c>
      <c r="M3040" s="65">
        <f>ROUND(K3040*L3040,0)</f>
        <v>883080000</v>
      </c>
      <c r="N3040" s="66" t="s">
        <v>260</v>
      </c>
      <c r="O3040" s="66" t="s">
        <v>576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customHeight="1">
      <c r="A3041" s="323" t="str">
        <f>IF(B3041&lt;&gt;"",IF(AND(B3041='IN-TC'!$S$4,OR(TH!N3021="1111",TH!O3021="1111")),TH!D3021,""),"")</f>
        <v/>
      </c>
      <c r="B3041" s="63">
        <f t="shared" si="197"/>
        <v>5</v>
      </c>
      <c r="C3041" s="64">
        <f t="shared" ref="C3041:C3047" si="201">E3041</f>
        <v>42517</v>
      </c>
      <c r="D3041" s="64" t="s">
        <v>690</v>
      </c>
      <c r="E3041" s="306">
        <v>42517</v>
      </c>
      <c r="F3041" s="72" t="s">
        <v>1425</v>
      </c>
      <c r="G3041" s="931" t="s">
        <v>902</v>
      </c>
      <c r="H3041" s="1103" t="s">
        <v>1527</v>
      </c>
      <c r="I3041" s="408"/>
      <c r="J3041" s="408"/>
      <c r="K3041" s="399">
        <v>37580</v>
      </c>
      <c r="L3041" s="408">
        <v>22290</v>
      </c>
      <c r="M3041" s="65">
        <f>ROUND(K3041*L3041,0)</f>
        <v>837658200</v>
      </c>
      <c r="N3041" s="66" t="s">
        <v>25</v>
      </c>
      <c r="O3041" s="66" t="s">
        <v>260</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customHeight="1">
      <c r="A3042" s="323" t="str">
        <f>IF(B3042&lt;&gt;"",IF(AND(B3042='IN-TC'!$S$4,OR(TH!N3070="1111",TH!O3070="1111")),TH!D3070,""),"")</f>
        <v/>
      </c>
      <c r="B3042" s="63">
        <f t="shared" si="197"/>
        <v>5</v>
      </c>
      <c r="C3042" s="64">
        <f t="shared" si="201"/>
        <v>42517</v>
      </c>
      <c r="D3042" s="306" t="s">
        <v>690</v>
      </c>
      <c r="E3042" s="64">
        <v>42517</v>
      </c>
      <c r="F3042" s="72" t="s">
        <v>1437</v>
      </c>
      <c r="G3042" s="931" t="s">
        <v>902</v>
      </c>
      <c r="H3042" s="1103" t="s">
        <v>1527</v>
      </c>
      <c r="I3042" s="408"/>
      <c r="J3042" s="408"/>
      <c r="K3042" s="399"/>
      <c r="L3042" s="408"/>
      <c r="M3042" s="65">
        <v>837658200</v>
      </c>
      <c r="N3042" s="66" t="s">
        <v>254</v>
      </c>
      <c r="O3042" s="66" t="s">
        <v>25</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customHeight="1">
      <c r="A3043" s="323" t="str">
        <f>IF(B3043&lt;&gt;"",IF(AND(B3043='IN-TC'!$S$4,OR(TH!N3022="1111",TH!O3022="1111")),TH!D3022,""),"")</f>
        <v/>
      </c>
      <c r="B3043" s="63">
        <f t="shared" si="197"/>
        <v>5</v>
      </c>
      <c r="C3043" s="64">
        <f t="shared" si="201"/>
        <v>42518</v>
      </c>
      <c r="D3043" s="64" t="s">
        <v>690</v>
      </c>
      <c r="E3043" s="306">
        <v>42518</v>
      </c>
      <c r="F3043" s="72" t="s">
        <v>1425</v>
      </c>
      <c r="G3043" s="931" t="s">
        <v>902</v>
      </c>
      <c r="H3043" s="329"/>
      <c r="I3043" s="408"/>
      <c r="J3043" s="408"/>
      <c r="K3043" s="399">
        <v>3900</v>
      </c>
      <c r="L3043" s="408">
        <v>22360</v>
      </c>
      <c r="M3043" s="65">
        <f>ROUND(K3043*L3043,0)</f>
        <v>87204000</v>
      </c>
      <c r="N3043" s="66" t="s">
        <v>25</v>
      </c>
      <c r="O3043" s="66" t="s">
        <v>260</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customHeight="1">
      <c r="A3044" s="323" t="str">
        <f>IF(B3044&lt;&gt;"",IF(AND(B3044='IN-TC'!$S$4,OR(TH!N3071="1111",TH!O3071="1111")),TH!D3071,""),"")</f>
        <v/>
      </c>
      <c r="B3044" s="63">
        <f t="shared" si="197"/>
        <v>5</v>
      </c>
      <c r="C3044" s="64">
        <f t="shared" si="201"/>
        <v>42518</v>
      </c>
      <c r="D3044" s="306" t="s">
        <v>690</v>
      </c>
      <c r="E3044" s="64">
        <v>42518</v>
      </c>
      <c r="F3044" s="72" t="s">
        <v>1047</v>
      </c>
      <c r="G3044" s="931" t="s">
        <v>902</v>
      </c>
      <c r="H3044" s="1103" t="s">
        <v>1527</v>
      </c>
      <c r="I3044" s="408"/>
      <c r="J3044" s="408"/>
      <c r="K3044" s="399"/>
      <c r="L3044" s="408"/>
      <c r="M3044" s="65">
        <v>1146783</v>
      </c>
      <c r="N3044" s="66" t="s">
        <v>97</v>
      </c>
      <c r="O3044" s="66" t="s">
        <v>25</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customHeight="1">
      <c r="A3045" s="323" t="str">
        <f>IF(B3045&lt;&gt;"",IF(AND(B3045='IN-TC'!$S$4,OR(TH!N2989="1111",TH!O2989="1111")),TH!D2989,""),"")</f>
        <v/>
      </c>
      <c r="B3045" s="63">
        <f t="shared" si="197"/>
        <v>5</v>
      </c>
      <c r="C3045" s="64">
        <f t="shared" si="201"/>
        <v>42518</v>
      </c>
      <c r="D3045" s="306" t="s">
        <v>893</v>
      </c>
      <c r="E3045" s="64">
        <v>42518</v>
      </c>
      <c r="F3045" s="72" t="s">
        <v>1126</v>
      </c>
      <c r="G3045" s="931" t="s">
        <v>902</v>
      </c>
      <c r="H3045" s="72" t="s">
        <v>748</v>
      </c>
      <c r="I3045" s="408"/>
      <c r="J3045" s="408"/>
      <c r="K3045" s="399"/>
      <c r="L3045" s="408"/>
      <c r="M3045" s="65">
        <v>80000000</v>
      </c>
      <c r="N3045" s="66" t="s">
        <v>61</v>
      </c>
      <c r="O3045" s="66" t="s">
        <v>25</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customHeight="1">
      <c r="A3046" s="323" t="str">
        <f>IF(B3046&lt;&gt;"",IF(AND(B3046='IN-TC'!$S$4,OR(TH!N2991="1111",TH!O2991="1111")),TH!D2991,""),"")</f>
        <v/>
      </c>
      <c r="B3046" s="63">
        <f t="shared" si="197"/>
        <v>5</v>
      </c>
      <c r="C3046" s="306">
        <f t="shared" si="201"/>
        <v>42519</v>
      </c>
      <c r="D3046" s="306" t="s">
        <v>874</v>
      </c>
      <c r="E3046" s="306">
        <v>42519</v>
      </c>
      <c r="F3046" s="72" t="s">
        <v>997</v>
      </c>
      <c r="G3046" s="935" t="s">
        <v>1523</v>
      </c>
      <c r="H3046" s="308" t="s">
        <v>792</v>
      </c>
      <c r="I3046" s="408"/>
      <c r="J3046" s="408"/>
      <c r="K3046" s="399"/>
      <c r="L3046" s="408"/>
      <c r="M3046" s="65">
        <v>1591927</v>
      </c>
      <c r="N3046" s="309" t="s">
        <v>99</v>
      </c>
      <c r="O3046" s="66" t="s">
        <v>61</v>
      </c>
      <c r="P3046" s="82" t="str">
        <f>IF(AND('331-CT'!$E$7=TH!H3046,OR(N3046="331",O3046="331")),"x","")</f>
        <v/>
      </c>
      <c r="Q3046" s="82" t="str">
        <f>IF(AND(B3046='111'!$L$11,OR($N3046=$Q$7,$O3046=$Q$7)),"x","")</f>
        <v/>
      </c>
      <c r="R3046" s="82" t="str">
        <f>IF(AND($N3046=$Q$7,$B3046&lt;'111'!$L$11),"x","")</f>
        <v/>
      </c>
      <c r="S3046" s="82" t="str">
        <f>IF(AND($O3046=$Q$7,$B3046&lt;'111'!$L$11),"x","")</f>
        <v>x</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customHeight="1">
      <c r="A3047" s="323" t="str">
        <f>IF(B3047&lt;&gt;"",IF(AND(B3047='IN-TC'!$S$4,OR(TH!N2992="1111",TH!O2992="1111")),TH!D2992,""),"")</f>
        <v/>
      </c>
      <c r="B3047" s="63">
        <f t="shared" si="197"/>
        <v>5</v>
      </c>
      <c r="C3047" s="306">
        <f t="shared" si="201"/>
        <v>42519</v>
      </c>
      <c r="D3047" s="306" t="s">
        <v>874</v>
      </c>
      <c r="E3047" s="306">
        <v>42519</v>
      </c>
      <c r="F3047" s="72" t="s">
        <v>998</v>
      </c>
      <c r="G3047" s="935" t="s">
        <v>1523</v>
      </c>
      <c r="H3047" s="308" t="s">
        <v>792</v>
      </c>
      <c r="I3047" s="408"/>
      <c r="J3047" s="408"/>
      <c r="K3047" s="399"/>
      <c r="L3047" s="408"/>
      <c r="M3047" s="65">
        <v>159193</v>
      </c>
      <c r="N3047" s="309" t="s">
        <v>9</v>
      </c>
      <c r="O3047" s="66" t="s">
        <v>61</v>
      </c>
      <c r="P3047" s="82" t="str">
        <f>IF(AND('331-CT'!$E$7=TH!H3047,OR(N3047="331",O3047="331")),"x","")</f>
        <v/>
      </c>
      <c r="Q3047" s="82" t="str">
        <f>IF(AND(B3047='111'!$L$11,OR($N3047=$Q$7,$O3047=$Q$7)),"x","")</f>
        <v/>
      </c>
      <c r="R3047" s="82" t="str">
        <f>IF(AND($N3047=$Q$7,$B3047&lt;'111'!$L$11),"x","")</f>
        <v/>
      </c>
      <c r="S3047" s="82" t="str">
        <f>IF(AND($O3047=$Q$7,$B3047&lt;'111'!$L$11),"x","")</f>
        <v>x</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x</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customHeight="1">
      <c r="A3048" s="323" t="str">
        <f>IF(B3048&lt;&gt;"",IF(AND(B3048='IN-TC'!$S$4,OR(TH!N4334="1111",TH!O4334="1111")),TH!D4334,""),"")</f>
        <v/>
      </c>
      <c r="B3048" s="63">
        <f t="shared" si="197"/>
        <v>12</v>
      </c>
      <c r="C3048" s="64">
        <v>42712</v>
      </c>
      <c r="D3048" s="64" t="s">
        <v>1543</v>
      </c>
      <c r="E3048" s="64">
        <f>C3048</f>
        <v>42712</v>
      </c>
      <c r="F3048" s="72" t="s">
        <v>1197</v>
      </c>
      <c r="G3048" s="67"/>
      <c r="H3048" s="918" t="s">
        <v>1198</v>
      </c>
      <c r="I3048" s="408"/>
      <c r="J3048" s="408"/>
      <c r="K3048" s="399"/>
      <c r="L3048" s="408"/>
      <c r="M3048" s="65">
        <v>10000000</v>
      </c>
      <c r="N3048" s="66" t="s">
        <v>61</v>
      </c>
      <c r="O3048" s="66" t="s">
        <v>70</v>
      </c>
      <c r="P3048" s="82" t="str">
        <f>IF(AND('331-CT'!$E$7=TH!H3048,OR(N3048="331",O3048="331")),"x","")</f>
        <v/>
      </c>
      <c r="Q3048" s="82" t="str">
        <f>IF(AND(B3048='111'!$L$11,OR($N3048=$Q$7,$O3048=$Q$7)),"x","")</f>
        <v>x</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customHeight="1">
      <c r="A3049" s="323" t="str">
        <f>IF(B3049&lt;&gt;"",IF(AND(B3049='IN-TC'!$S$4,OR(TH!N2993="1111",TH!O2993="1111")),TH!D2993,""),"")</f>
        <v/>
      </c>
      <c r="B3049" s="63">
        <f t="shared" si="197"/>
        <v>5</v>
      </c>
      <c r="C3049" s="306">
        <f t="shared" ref="C3049:C3054" si="202">E3049</f>
        <v>42520</v>
      </c>
      <c r="D3049" s="306" t="s">
        <v>875</v>
      </c>
      <c r="E3049" s="306">
        <v>42520</v>
      </c>
      <c r="F3049" s="72" t="s">
        <v>623</v>
      </c>
      <c r="G3049" s="935" t="s">
        <v>1516</v>
      </c>
      <c r="H3049" s="307" t="s">
        <v>1514</v>
      </c>
      <c r="I3049" s="408"/>
      <c r="J3049" s="408"/>
      <c r="K3049" s="399"/>
      <c r="L3049" s="408"/>
      <c r="M3049" s="65">
        <v>5040000</v>
      </c>
      <c r="N3049" s="309" t="s">
        <v>99</v>
      </c>
      <c r="O3049" s="66" t="s">
        <v>61</v>
      </c>
      <c r="P3049" s="82" t="str">
        <f>IF(AND('331-CT'!$E$7=TH!H3049,OR(N3049="331",O3049="331")),"x","")</f>
        <v/>
      </c>
      <c r="Q3049" s="82" t="str">
        <f>IF(AND(B3049='111'!$L$11,OR($N3049=$Q$7,$O3049=$Q$7)),"x","")</f>
        <v/>
      </c>
      <c r="R3049" s="82" t="str">
        <f>IF(AND($N3049=$Q$7,$B3049&lt;'111'!$L$11),"x","")</f>
        <v/>
      </c>
      <c r="S3049" s="82" t="str">
        <f>IF(AND($O3049=$Q$7,$B3049&lt;'111'!$L$11),"x","")</f>
        <v>x</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customHeight="1">
      <c r="A3050" s="323" t="str">
        <f>IF(B3050&lt;&gt;"",IF(AND(B3050='IN-TC'!$S$4,OR(TH!N2994="1111",TH!O2994="1111")),TH!D2994,""),"")</f>
        <v/>
      </c>
      <c r="B3050" s="63">
        <f t="shared" si="197"/>
        <v>5</v>
      </c>
      <c r="C3050" s="306">
        <f t="shared" si="202"/>
        <v>42520</v>
      </c>
      <c r="D3050" s="306" t="s">
        <v>875</v>
      </c>
      <c r="E3050" s="306">
        <v>42520</v>
      </c>
      <c r="F3050" s="72" t="s">
        <v>1515</v>
      </c>
      <c r="G3050" s="935" t="s">
        <v>1516</v>
      </c>
      <c r="H3050" s="307" t="s">
        <v>1514</v>
      </c>
      <c r="I3050" s="406"/>
      <c r="J3050" s="406"/>
      <c r="K3050" s="397"/>
      <c r="L3050" s="406"/>
      <c r="M3050" s="65">
        <v>252000</v>
      </c>
      <c r="N3050" s="309" t="s">
        <v>9</v>
      </c>
      <c r="O3050" s="66" t="s">
        <v>61</v>
      </c>
      <c r="P3050" s="82" t="str">
        <f>IF(AND('331-CT'!$E$7=TH!H3050,OR(N3050="331",O3050="331")),"x","")</f>
        <v/>
      </c>
      <c r="Q3050" s="82" t="str">
        <f>IF(AND(B3050='111'!$L$11,OR($N3050=$Q$7,$O3050=$Q$7)),"x","")</f>
        <v/>
      </c>
      <c r="R3050" s="82" t="str">
        <f>IF(AND($N3050=$Q$7,$B3050&lt;'111'!$L$11),"x","")</f>
        <v/>
      </c>
      <c r="S3050" s="82" t="str">
        <f>IF(AND($O3050=$Q$7,$B3050&lt;'111'!$L$11),"x","")</f>
        <v>x</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x</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customHeight="1">
      <c r="A3051" s="323" t="str">
        <f>IF(B3051&lt;&gt;"",IF(AND(B3051='IN-TC'!$S$4,OR(TH!N2995="1111",TH!O2995="1111")),TH!D2995,""),"")</f>
        <v/>
      </c>
      <c r="B3051" s="63">
        <f t="shared" si="197"/>
        <v>5</v>
      </c>
      <c r="C3051" s="64">
        <f t="shared" si="202"/>
        <v>42520</v>
      </c>
      <c r="D3051" s="306" t="s">
        <v>876</v>
      </c>
      <c r="E3051" s="64">
        <v>42520</v>
      </c>
      <c r="F3051" s="72" t="s">
        <v>218</v>
      </c>
      <c r="G3051" s="931" t="s">
        <v>1505</v>
      </c>
      <c r="H3051" s="329" t="s">
        <v>606</v>
      </c>
      <c r="I3051" s="410">
        <v>450</v>
      </c>
      <c r="J3051" s="410">
        <v>19565.57</v>
      </c>
      <c r="K3051" s="401"/>
      <c r="L3051" s="410"/>
      <c r="M3051" s="65">
        <f>ROUND(I3051*J3051,0)</f>
        <v>8804507</v>
      </c>
      <c r="N3051" s="309" t="s">
        <v>276</v>
      </c>
      <c r="O3051" s="66" t="s">
        <v>61</v>
      </c>
      <c r="P3051" s="82" t="str">
        <f>IF(AND('331-CT'!$E$7=TH!H3051,OR(N3051="331",O3051="331")),"x","")</f>
        <v/>
      </c>
      <c r="Q3051" s="82" t="str">
        <f>IF(AND(B3051='111'!$L$11,OR($N3051=$Q$7,$O3051=$Q$7)),"x","")</f>
        <v/>
      </c>
      <c r="R3051" s="82" t="str">
        <f>IF(AND($N3051=$Q$7,$B3051&lt;'111'!$L$11),"x","")</f>
        <v/>
      </c>
      <c r="S3051" s="82" t="str">
        <f>IF(AND($O3051=$Q$7,$B3051&lt;'111'!$L$11),"x","")</f>
        <v>x</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customHeight="1">
      <c r="A3052" s="323" t="str">
        <f>IF(B3052&lt;&gt;"",IF(AND(B3052='IN-TC'!$S$4,OR(TH!N2996="1111",TH!O2996="1111")),TH!D2996,""),"")</f>
        <v/>
      </c>
      <c r="B3052" s="63">
        <f t="shared" si="197"/>
        <v>5</v>
      </c>
      <c r="C3052" s="64">
        <f t="shared" si="202"/>
        <v>42520</v>
      </c>
      <c r="D3052" s="306" t="s">
        <v>876</v>
      </c>
      <c r="E3052" s="64">
        <v>42520</v>
      </c>
      <c r="F3052" s="72" t="s">
        <v>1335</v>
      </c>
      <c r="G3052" s="931" t="s">
        <v>1505</v>
      </c>
      <c r="H3052" s="329" t="s">
        <v>606</v>
      </c>
      <c r="I3052" s="410"/>
      <c r="J3052" s="410"/>
      <c r="K3052" s="401"/>
      <c r="L3052" s="410"/>
      <c r="M3052" s="65">
        <v>880451</v>
      </c>
      <c r="N3052" s="309" t="s">
        <v>9</v>
      </c>
      <c r="O3052" s="66" t="s">
        <v>61</v>
      </c>
      <c r="P3052" s="82" t="str">
        <f>IF(AND('331-CT'!$E$7=TH!H3052,OR(N3052="331",O3052="331")),"x","")</f>
        <v/>
      </c>
      <c r="Q3052" s="82" t="str">
        <f>IF(AND(B3052='111'!$L$11,OR($N3052=$Q$7,$O3052=$Q$7)),"x","")</f>
        <v/>
      </c>
      <c r="R3052" s="82" t="str">
        <f>IF(AND($N3052=$Q$7,$B3052&lt;'111'!$L$11),"x","")</f>
        <v/>
      </c>
      <c r="S3052" s="82" t="str">
        <f>IF(AND($O3052=$Q$7,$B3052&lt;'111'!$L$11),"x","")</f>
        <v>x</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x</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customHeight="1">
      <c r="A3053" s="323" t="str">
        <f>IF(B3053&lt;&gt;"",IF(AND(B3053='IN-TC'!$S$4,OR(TH!N2997="1111",TH!O2997="1111")),TH!D2997,""),"")</f>
        <v/>
      </c>
      <c r="B3053" s="63">
        <f t="shared" si="197"/>
        <v>5</v>
      </c>
      <c r="C3053" s="306">
        <f t="shared" si="202"/>
        <v>42521</v>
      </c>
      <c r="D3053" s="306" t="s">
        <v>877</v>
      </c>
      <c r="E3053" s="306">
        <v>42521</v>
      </c>
      <c r="F3053" s="72" t="s">
        <v>997</v>
      </c>
      <c r="G3053" s="935" t="s">
        <v>1524</v>
      </c>
      <c r="H3053" s="308" t="s">
        <v>792</v>
      </c>
      <c r="I3053" s="408"/>
      <c r="J3053" s="408"/>
      <c r="K3053" s="399"/>
      <c r="L3053" s="408"/>
      <c r="M3053" s="65">
        <v>503364</v>
      </c>
      <c r="N3053" s="309" t="s">
        <v>99</v>
      </c>
      <c r="O3053" s="66" t="s">
        <v>61</v>
      </c>
      <c r="P3053" s="82" t="str">
        <f>IF(AND('331-CT'!$E$7=TH!H3053,OR(N3053="331",O3053="331")),"x","")</f>
        <v/>
      </c>
      <c r="Q3053" s="82" t="str">
        <f>IF(AND(B3053='111'!$L$11,OR($N3053=$Q$7,$O3053=$Q$7)),"x","")</f>
        <v/>
      </c>
      <c r="R3053" s="82" t="str">
        <f>IF(AND($N3053=$Q$7,$B3053&lt;'111'!$L$11),"x","")</f>
        <v/>
      </c>
      <c r="S3053" s="82" t="str">
        <f>IF(AND($O3053=$Q$7,$B3053&lt;'111'!$L$11),"x","")</f>
        <v>x</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customHeight="1">
      <c r="A3054" s="323" t="str">
        <f>IF(B3054&lt;&gt;"",IF(AND(B3054='IN-TC'!$S$4,OR(TH!N2998="1111",TH!O2998="1111")),TH!D2998,""),"")</f>
        <v/>
      </c>
      <c r="B3054" s="63">
        <f t="shared" ref="B3054:B3117" si="203">IF(C3054&lt;&gt;"",MONTH(C3054),"")</f>
        <v>5</v>
      </c>
      <c r="C3054" s="306">
        <f t="shared" si="202"/>
        <v>42521</v>
      </c>
      <c r="D3054" s="306" t="s">
        <v>877</v>
      </c>
      <c r="E3054" s="306">
        <v>42521</v>
      </c>
      <c r="F3054" s="72" t="s">
        <v>998</v>
      </c>
      <c r="G3054" s="935" t="s">
        <v>1524</v>
      </c>
      <c r="H3054" s="308" t="s">
        <v>792</v>
      </c>
      <c r="I3054" s="408"/>
      <c r="J3054" s="408"/>
      <c r="K3054" s="399"/>
      <c r="L3054" s="408"/>
      <c r="M3054" s="65">
        <v>50336</v>
      </c>
      <c r="N3054" s="309" t="s">
        <v>9</v>
      </c>
      <c r="O3054" s="66" t="s">
        <v>61</v>
      </c>
      <c r="P3054" s="82" t="str">
        <f>IF(AND('331-CT'!$E$7=TH!H3054,OR(N3054="331",O3054="331")),"x","")</f>
        <v/>
      </c>
      <c r="Q3054" s="82" t="str">
        <f>IF(AND(B3054='111'!$L$11,OR($N3054=$Q$7,$O3054=$Q$7)),"x","")</f>
        <v/>
      </c>
      <c r="R3054" s="82" t="str">
        <f>IF(AND($N3054=$Q$7,$B3054&lt;'111'!$L$11),"x","")</f>
        <v/>
      </c>
      <c r="S3054" s="82" t="str">
        <f>IF(AND($O3054=$Q$7,$B3054&lt;'111'!$L$11),"x","")</f>
        <v>x</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x</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customHeight="1">
      <c r="A3055" s="323" t="str">
        <f>IF(B3055&lt;&gt;"",IF(AND(B3055='IN-TC'!$S$4,OR(TH!N2999="1111",TH!O2999="1111")),TH!D2999,""),"")</f>
        <v/>
      </c>
      <c r="B3055" s="63">
        <f t="shared" si="203"/>
        <v>5</v>
      </c>
      <c r="C3055" s="306">
        <v>42521</v>
      </c>
      <c r="D3055" s="306" t="s">
        <v>878</v>
      </c>
      <c r="E3055" s="306">
        <v>42521</v>
      </c>
      <c r="F3055" s="72" t="s">
        <v>1520</v>
      </c>
      <c r="G3055" s="935" t="s">
        <v>1519</v>
      </c>
      <c r="H3055" s="308" t="s">
        <v>1506</v>
      </c>
      <c r="I3055" s="408"/>
      <c r="J3055" s="408"/>
      <c r="K3055" s="399"/>
      <c r="L3055" s="408"/>
      <c r="M3055" s="65">
        <v>3000000</v>
      </c>
      <c r="N3055" s="309" t="s">
        <v>99</v>
      </c>
      <c r="O3055" s="66" t="s">
        <v>61</v>
      </c>
      <c r="P3055" s="82" t="str">
        <f>IF(AND('331-CT'!$E$7=TH!H3055,OR(N3055="331",O3055="331")),"x","")</f>
        <v/>
      </c>
      <c r="Q3055" s="82" t="str">
        <f>IF(AND(B3055='111'!$L$11,OR($N3055=$Q$7,$O3055=$Q$7)),"x","")</f>
        <v/>
      </c>
      <c r="R3055" s="82" t="str">
        <f>IF(AND($N3055=$Q$7,$B3055&lt;'111'!$L$11),"x","")</f>
        <v/>
      </c>
      <c r="S3055" s="82" t="str">
        <f>IF(AND($O3055=$Q$7,$B3055&lt;'111'!$L$11),"x","")</f>
        <v>x</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customHeight="1">
      <c r="A3056" s="323" t="str">
        <f>IF(B3056&lt;&gt;"",IF(AND(B3056='IN-TC'!$S$4,OR(TH!N3000="1111",TH!O3000="1111")),TH!D3000,""),"")</f>
        <v/>
      </c>
      <c r="B3056" s="63">
        <f t="shared" si="203"/>
        <v>5</v>
      </c>
      <c r="C3056" s="306">
        <v>42521</v>
      </c>
      <c r="D3056" s="306" t="s">
        <v>879</v>
      </c>
      <c r="E3056" s="306">
        <v>42521</v>
      </c>
      <c r="F3056" s="72" t="s">
        <v>1507</v>
      </c>
      <c r="G3056" s="935" t="s">
        <v>1509</v>
      </c>
      <c r="H3056" s="308" t="s">
        <v>1506</v>
      </c>
      <c r="I3056" s="408"/>
      <c r="J3056" s="408"/>
      <c r="K3056" s="399"/>
      <c r="L3056" s="408"/>
      <c r="M3056" s="65">
        <v>2000000</v>
      </c>
      <c r="N3056" s="309" t="s">
        <v>99</v>
      </c>
      <c r="O3056" s="66" t="s">
        <v>61</v>
      </c>
      <c r="P3056" s="82" t="str">
        <f>IF(AND('331-CT'!$E$7=TH!H3056,OR(N3056="331",O3056="331")),"x","")</f>
        <v/>
      </c>
      <c r="Q3056" s="82" t="str">
        <f>IF(AND(B3056='111'!$L$11,OR($N3056=$Q$7,$O3056=$Q$7)),"x","")</f>
        <v/>
      </c>
      <c r="R3056" s="82" t="str">
        <f>IF(AND($N3056=$Q$7,$B3056&lt;'111'!$L$11),"x","")</f>
        <v/>
      </c>
      <c r="S3056" s="82" t="str">
        <f>IF(AND($O3056=$Q$7,$B3056&lt;'111'!$L$11),"x","")</f>
        <v>x</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customHeight="1">
      <c r="A3057" s="323" t="str">
        <f>IF(B3057&lt;&gt;"",IF(AND(B3057='IN-TC'!$S$4,OR(TH!N3001="1111",TH!O3001="1111")),TH!D3001,""),"")</f>
        <v/>
      </c>
      <c r="B3057" s="63">
        <f t="shared" si="203"/>
        <v>5</v>
      </c>
      <c r="C3057" s="306">
        <v>42521</v>
      </c>
      <c r="D3057" s="306" t="s">
        <v>879</v>
      </c>
      <c r="E3057" s="306">
        <v>42521</v>
      </c>
      <c r="F3057" s="72" t="s">
        <v>1508</v>
      </c>
      <c r="G3057" s="935" t="s">
        <v>1509</v>
      </c>
      <c r="H3057" s="308" t="s">
        <v>1506</v>
      </c>
      <c r="I3057" s="406"/>
      <c r="J3057" s="406"/>
      <c r="K3057" s="397"/>
      <c r="L3057" s="406"/>
      <c r="M3057" s="65">
        <v>200000</v>
      </c>
      <c r="N3057" s="309" t="s">
        <v>9</v>
      </c>
      <c r="O3057" s="66" t="s">
        <v>61</v>
      </c>
      <c r="P3057" s="82" t="str">
        <f>IF(AND('331-CT'!$E$7=TH!H3057,OR(N3057="331",O3057="331")),"x","")</f>
        <v/>
      </c>
      <c r="Q3057" s="82" t="str">
        <f>IF(AND(B3057='111'!$L$11,OR($N3057=$Q$7,$O3057=$Q$7)),"x","")</f>
        <v/>
      </c>
      <c r="R3057" s="82" t="str">
        <f>IF(AND($N3057=$Q$7,$B3057&lt;'111'!$L$11),"x","")</f>
        <v/>
      </c>
      <c r="S3057" s="82" t="str">
        <f>IF(AND($O3057=$Q$7,$B3057&lt;'111'!$L$11),"x","")</f>
        <v>x</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x</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customHeight="1">
      <c r="A3058" s="323" t="str">
        <f>IF(B3058&lt;&gt;"",IF(AND(B3058='IN-TC'!$S$4,OR(TH!N3002="1111",TH!O3002="1111")),TH!D3002,""),"")</f>
        <v/>
      </c>
      <c r="B3058" s="63">
        <f t="shared" si="203"/>
        <v>5</v>
      </c>
      <c r="C3058" s="306">
        <v>42521</v>
      </c>
      <c r="D3058" s="306" t="s">
        <v>880</v>
      </c>
      <c r="E3058" s="306">
        <v>42521</v>
      </c>
      <c r="F3058" s="72" t="s">
        <v>1532</v>
      </c>
      <c r="G3058" s="307"/>
      <c r="H3058" s="75" t="s">
        <v>609</v>
      </c>
      <c r="I3058" s="408"/>
      <c r="J3058" s="408"/>
      <c r="K3058" s="399"/>
      <c r="L3058" s="408"/>
      <c r="M3058" s="65">
        <v>990540</v>
      </c>
      <c r="N3058" s="309" t="s">
        <v>8</v>
      </c>
      <c r="O3058" s="66" t="s">
        <v>61</v>
      </c>
      <c r="P3058" s="82" t="str">
        <f>IF(AND('331-CT'!$E$7=TH!H3058,OR(N3058="331",O3058="331")),"x","")</f>
        <v/>
      </c>
      <c r="Q3058" s="82" t="str">
        <f>IF(AND(B3058='111'!$L$11,OR($N3058=$Q$7,$O3058=$Q$7)),"x","")</f>
        <v/>
      </c>
      <c r="R3058" s="82" t="str">
        <f>IF(AND($N3058=$Q$7,$B3058&lt;'111'!$L$11),"x","")</f>
        <v/>
      </c>
      <c r="S3058" s="82" t="str">
        <f>IF(AND($O3058=$Q$7,$B3058&lt;'111'!$L$11),"x","")</f>
        <v>x</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customHeight="1">
      <c r="A3059" s="323" t="str">
        <f>IF(B3059&lt;&gt;"",IF(AND(B3059='IN-TC'!$S$4,OR(TH!N3003="1111",TH!O3003="1111")),TH!D3003,""),"")</f>
        <v/>
      </c>
      <c r="B3059" s="63">
        <f t="shared" si="203"/>
        <v>5</v>
      </c>
      <c r="C3059" s="306">
        <v>42521</v>
      </c>
      <c r="D3059" s="306" t="s">
        <v>881</v>
      </c>
      <c r="E3059" s="306">
        <v>42521</v>
      </c>
      <c r="F3059" s="72" t="s">
        <v>1471</v>
      </c>
      <c r="G3059" s="307"/>
      <c r="H3059" s="308" t="s">
        <v>1343</v>
      </c>
      <c r="I3059" s="408"/>
      <c r="J3059" s="408"/>
      <c r="K3059" s="399"/>
      <c r="L3059" s="408"/>
      <c r="M3059" s="65">
        <v>1236364</v>
      </c>
      <c r="N3059" s="309" t="s">
        <v>99</v>
      </c>
      <c r="O3059" s="66" t="s">
        <v>61</v>
      </c>
      <c r="P3059" s="82" t="str">
        <f>IF(AND('331-CT'!$E$7=TH!H3059,OR(N3059="331",O3059="331")),"x","")</f>
        <v/>
      </c>
      <c r="Q3059" s="82" t="str">
        <f>IF(AND(B3059='111'!$L$11,OR($N3059=$Q$7,$O3059=$Q$7)),"x","")</f>
        <v/>
      </c>
      <c r="R3059" s="82" t="str">
        <f>IF(AND($N3059=$Q$7,$B3059&lt;'111'!$L$11),"x","")</f>
        <v/>
      </c>
      <c r="S3059" s="82" t="str">
        <f>IF(AND($O3059=$Q$7,$B3059&lt;'111'!$L$11),"x","")</f>
        <v>x</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customHeight="1">
      <c r="A3060" s="323" t="str">
        <f>IF(B3060&lt;&gt;"",IF(AND(B3060='IN-TC'!$S$4,OR(TH!N3004="1111",TH!O3004="1111")),TH!D3004,""),"")</f>
        <v/>
      </c>
      <c r="B3060" s="63">
        <f t="shared" si="203"/>
        <v>5</v>
      </c>
      <c r="C3060" s="306">
        <v>42521</v>
      </c>
      <c r="D3060" s="306" t="s">
        <v>881</v>
      </c>
      <c r="E3060" s="306">
        <v>42521</v>
      </c>
      <c r="F3060" s="72" t="s">
        <v>1472</v>
      </c>
      <c r="G3060" s="931"/>
      <c r="H3060" s="308" t="s">
        <v>1343</v>
      </c>
      <c r="I3060" s="406"/>
      <c r="J3060" s="406"/>
      <c r="K3060" s="397"/>
      <c r="L3060" s="406"/>
      <c r="M3060" s="65">
        <v>123636</v>
      </c>
      <c r="N3060" s="309" t="s">
        <v>9</v>
      </c>
      <c r="O3060" s="66" t="s">
        <v>61</v>
      </c>
      <c r="P3060" s="82" t="str">
        <f>IF(AND('331-CT'!$E$7=TH!H3060,OR(N3060="331",O3060="331")),"x","")</f>
        <v/>
      </c>
      <c r="Q3060" s="82" t="str">
        <f>IF(AND(B3060='111'!$L$11,OR($N3060=$Q$7,$O3060=$Q$7)),"x","")</f>
        <v/>
      </c>
      <c r="R3060" s="82" t="str">
        <f>IF(AND($N3060=$Q$7,$B3060&lt;'111'!$L$11),"x","")</f>
        <v/>
      </c>
      <c r="S3060" s="82" t="str">
        <f>IF(AND($O3060=$Q$7,$B3060&lt;'111'!$L$11),"x","")</f>
        <v>x</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x</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customHeight="1">
      <c r="A3061" s="323" t="str">
        <f>IF(B3061&lt;&gt;"",IF(AND(B3061='IN-TC'!$S$4,OR(TH!N3005="1111",TH!O3005="1111")),TH!D3005,""),"")</f>
        <v/>
      </c>
      <c r="B3061" s="63">
        <f t="shared" si="203"/>
        <v>5</v>
      </c>
      <c r="C3061" s="1087">
        <v>42521</v>
      </c>
      <c r="D3061" s="1087" t="s">
        <v>882</v>
      </c>
      <c r="E3061" s="1087">
        <v>42521</v>
      </c>
      <c r="F3061" s="92" t="s">
        <v>1473</v>
      </c>
      <c r="G3061" s="1089"/>
      <c r="H3061" s="1153" t="s">
        <v>832</v>
      </c>
      <c r="I3061" s="414"/>
      <c r="J3061" s="414"/>
      <c r="K3061" s="405"/>
      <c r="L3061" s="414"/>
      <c r="M3061" s="93">
        <v>133006125</v>
      </c>
      <c r="N3061" s="1134" t="s">
        <v>580</v>
      </c>
      <c r="O3061" s="83" t="s">
        <v>61</v>
      </c>
      <c r="P3061" s="82" t="str">
        <f>IF(AND('331-CT'!$E$7=TH!H3061,OR(N3061="331",O3061="331")),"x","")</f>
        <v/>
      </c>
      <c r="Q3061" s="82" t="str">
        <f>IF(AND(B3061='111'!$L$11,OR($N3061=$Q$7,$O3061=$Q$7)),"x","")</f>
        <v/>
      </c>
      <c r="R3061" s="82" t="str">
        <f>IF(AND($N3061=$Q$7,$B3061&lt;'111'!$L$11),"x","")</f>
        <v/>
      </c>
      <c r="S3061" s="82" t="str">
        <f>IF(AND($O3061=$Q$7,$B3061&lt;'111'!$L$11),"x","")</f>
        <v>x</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customHeight="1">
      <c r="A3062" s="323" t="str">
        <f>IF(B3062&lt;&gt;"",IF(AND(B3062='IN-TC'!$S$4,OR(TH!N3081="1111",TH!O3081="1111")),TH!D3081,""),"")</f>
        <v/>
      </c>
      <c r="B3062" s="63">
        <f t="shared" si="203"/>
        <v>5</v>
      </c>
      <c r="C3062" s="78">
        <f>E3062</f>
        <v>42521</v>
      </c>
      <c r="D3062" s="78" t="s">
        <v>570</v>
      </c>
      <c r="E3062" s="78">
        <v>42521</v>
      </c>
      <c r="F3062" s="72" t="s">
        <v>1535</v>
      </c>
      <c r="G3062" s="79"/>
      <c r="H3062" s="80" t="s">
        <v>1340</v>
      </c>
      <c r="I3062" s="406"/>
      <c r="J3062" s="406"/>
      <c r="K3062" s="397"/>
      <c r="L3062" s="406"/>
      <c r="M3062" s="81">
        <v>321158412</v>
      </c>
      <c r="N3062" s="82" t="s">
        <v>70</v>
      </c>
      <c r="O3062" s="82" t="s">
        <v>9</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x</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customHeight="1">
      <c r="A3063" s="323" t="str">
        <f>IF(B3063&lt;&gt;"",IF(AND(B3063='IN-TC'!$S$4,OR(TH!N2847="1111",TH!O2847="1111")),TH!D2847,""),"")</f>
        <v/>
      </c>
      <c r="B3063" s="63">
        <f t="shared" si="203"/>
        <v>6</v>
      </c>
      <c r="C3063" s="1092">
        <v>42522</v>
      </c>
      <c r="D3063" s="1092" t="s">
        <v>851</v>
      </c>
      <c r="E3063" s="1092">
        <f>C3063</f>
        <v>42522</v>
      </c>
      <c r="F3063" s="482" t="s">
        <v>947</v>
      </c>
      <c r="G3063" s="1094"/>
      <c r="H3063" s="1093" t="s">
        <v>946</v>
      </c>
      <c r="I3063" s="1095"/>
      <c r="J3063" s="1095"/>
      <c r="K3063" s="1096"/>
      <c r="L3063" s="1095"/>
      <c r="M3063" s="1097">
        <v>500000000</v>
      </c>
      <c r="N3063" s="1098" t="s">
        <v>266</v>
      </c>
      <c r="O3063" s="1098" t="s">
        <v>61</v>
      </c>
      <c r="P3063" s="82" t="str">
        <f>IF(AND('331-CT'!$E$7=TH!H3063,OR(N3063="331",O3063="331")),"x","")</f>
        <v/>
      </c>
      <c r="Q3063" s="82" t="str">
        <f>IF(AND(B3063='111'!$L$11,OR($N3063=$Q$7,$O3063=$Q$7)),"x","")</f>
        <v/>
      </c>
      <c r="R3063" s="82" t="str">
        <f>IF(AND($N3063=$Q$7,$B3063&lt;'111'!$L$11),"x","")</f>
        <v/>
      </c>
      <c r="S3063" s="82" t="str">
        <f>IF(AND($O3063=$Q$7,$B3063&lt;'111'!$L$11),"x","")</f>
        <v>x</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customHeight="1">
      <c r="A3064" s="323" t="str">
        <f>IF(B3064&lt;&gt;"",IF(AND(B3064='IN-TC'!$S$4,OR(TH!N2848="1111",TH!O2848="1111")),TH!D2848,""),"")</f>
        <v/>
      </c>
      <c r="B3064" s="63">
        <f t="shared" si="203"/>
        <v>6</v>
      </c>
      <c r="C3064" s="64">
        <v>42522</v>
      </c>
      <c r="D3064" s="64" t="s">
        <v>852</v>
      </c>
      <c r="E3064" s="64">
        <v>42479</v>
      </c>
      <c r="F3064" s="72" t="s">
        <v>1678</v>
      </c>
      <c r="G3064" s="931" t="s">
        <v>1545</v>
      </c>
      <c r="H3064" s="72" t="s">
        <v>815</v>
      </c>
      <c r="I3064" s="408"/>
      <c r="J3064" s="408"/>
      <c r="K3064" s="399"/>
      <c r="L3064" s="408"/>
      <c r="M3064" s="65">
        <v>400000</v>
      </c>
      <c r="N3064" s="66" t="s">
        <v>99</v>
      </c>
      <c r="O3064" s="66" t="s">
        <v>61</v>
      </c>
      <c r="P3064" s="82" t="str">
        <f>IF(AND('331-CT'!$E$7=TH!H3064,OR(N3064="331",O3064="331")),"x","")</f>
        <v/>
      </c>
      <c r="Q3064" s="82" t="str">
        <f>IF(AND(B3064='111'!$L$11,OR($N3064=$Q$7,$O3064=$Q$7)),"x","")</f>
        <v/>
      </c>
      <c r="R3064" s="82" t="str">
        <f>IF(AND($N3064=$Q$7,$B3064&lt;'111'!$L$11),"x","")</f>
        <v/>
      </c>
      <c r="S3064" s="82" t="str">
        <f>IF(AND($O3064=$Q$7,$B3064&lt;'111'!$L$11),"x","")</f>
        <v>x</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customHeight="1">
      <c r="A3065" s="323" t="str">
        <f>IF(B3065&lt;&gt;"",IF(AND(B3065='IN-TC'!$S$4,OR(TH!N2849="1111",TH!O2849="1111")),TH!D2849,""),"")</f>
        <v/>
      </c>
      <c r="B3065" s="63">
        <f t="shared" si="203"/>
        <v>6</v>
      </c>
      <c r="C3065" s="64">
        <v>42522</v>
      </c>
      <c r="D3065" s="64" t="s">
        <v>852</v>
      </c>
      <c r="E3065" s="64">
        <v>42479</v>
      </c>
      <c r="F3065" s="72" t="s">
        <v>1515</v>
      </c>
      <c r="G3065" s="931" t="s">
        <v>1545</v>
      </c>
      <c r="H3065" s="72" t="s">
        <v>815</v>
      </c>
      <c r="I3065" s="408"/>
      <c r="J3065" s="408"/>
      <c r="K3065" s="399"/>
      <c r="L3065" s="408"/>
      <c r="M3065" s="65">
        <v>20000</v>
      </c>
      <c r="N3065" s="66" t="s">
        <v>9</v>
      </c>
      <c r="O3065" s="66" t="s">
        <v>61</v>
      </c>
      <c r="P3065" s="82" t="str">
        <f>IF(AND('331-CT'!$E$7=TH!H3065,OR(N3065="331",O3065="331")),"x","")</f>
        <v/>
      </c>
      <c r="Q3065" s="82" t="str">
        <f>IF(AND(B3065='111'!$L$11,OR($N3065=$Q$7,$O3065=$Q$7)),"x","")</f>
        <v/>
      </c>
      <c r="R3065" s="82" t="str">
        <f>IF(AND($N3065=$Q$7,$B3065&lt;'111'!$L$11),"x","")</f>
        <v/>
      </c>
      <c r="S3065" s="82" t="str">
        <f>IF(AND($O3065=$Q$7,$B3065&lt;'111'!$L$11),"x","")</f>
        <v>x</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x</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customHeight="1">
      <c r="A3066" s="323" t="str">
        <f>IF(B3066&lt;&gt;"",IF(AND(B3066='IN-TC'!$S$4,OR(TH!N2850="1111",TH!O2850="1111")),TH!D2850,""),"")</f>
        <v/>
      </c>
      <c r="B3066" s="63">
        <f t="shared" si="203"/>
        <v>6</v>
      </c>
      <c r="C3066" s="64">
        <v>42522</v>
      </c>
      <c r="D3066" s="64" t="s">
        <v>853</v>
      </c>
      <c r="E3066" s="64">
        <v>42521</v>
      </c>
      <c r="F3066" s="72" t="s">
        <v>1546</v>
      </c>
      <c r="G3066" s="931" t="s">
        <v>1548</v>
      </c>
      <c r="H3066" s="72" t="s">
        <v>786</v>
      </c>
      <c r="I3066" s="408"/>
      <c r="J3066" s="408"/>
      <c r="K3066" s="399"/>
      <c r="L3066" s="408"/>
      <c r="M3066" s="65">
        <v>46000</v>
      </c>
      <c r="N3066" s="66" t="s">
        <v>99</v>
      </c>
      <c r="O3066" s="66" t="s">
        <v>61</v>
      </c>
      <c r="P3066" s="82" t="str">
        <f>IF(AND('331-CT'!$E$7=TH!H3066,OR(N3066="331",O3066="331")),"x","")</f>
        <v/>
      </c>
      <c r="Q3066" s="82" t="str">
        <f>IF(AND(B3066='111'!$L$11,OR($N3066=$Q$7,$O3066=$Q$7)),"x","")</f>
        <v/>
      </c>
      <c r="R3066" s="82" t="str">
        <f>IF(AND($N3066=$Q$7,$B3066&lt;'111'!$L$11),"x","")</f>
        <v/>
      </c>
      <c r="S3066" s="82" t="str">
        <f>IF(AND($O3066=$Q$7,$B3066&lt;'111'!$L$11),"x","")</f>
        <v>x</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customHeight="1">
      <c r="A3067" s="323" t="str">
        <f>IF(B3067&lt;&gt;"",IF(AND(B3067='IN-TC'!$S$4,OR(TH!N2851="1111",TH!O2851="1111")),TH!D2851,""),"")</f>
        <v/>
      </c>
      <c r="B3067" s="63">
        <f t="shared" si="203"/>
        <v>6</v>
      </c>
      <c r="C3067" s="64">
        <v>42522</v>
      </c>
      <c r="D3067" s="64" t="s">
        <v>853</v>
      </c>
      <c r="E3067" s="64">
        <v>42521</v>
      </c>
      <c r="F3067" s="72" t="s">
        <v>1547</v>
      </c>
      <c r="G3067" s="931" t="s">
        <v>1548</v>
      </c>
      <c r="H3067" s="72" t="s">
        <v>786</v>
      </c>
      <c r="I3067" s="408"/>
      <c r="J3067" s="408"/>
      <c r="K3067" s="399"/>
      <c r="L3067" s="408"/>
      <c r="M3067" s="65">
        <v>4600</v>
      </c>
      <c r="N3067" s="66" t="s">
        <v>9</v>
      </c>
      <c r="O3067" s="66" t="s">
        <v>61</v>
      </c>
      <c r="P3067" s="82" t="str">
        <f>IF(AND('331-CT'!$E$7=TH!H3067,OR(N3067="331",O3067="331")),"x","")</f>
        <v/>
      </c>
      <c r="Q3067" s="82" t="str">
        <f>IF(AND(B3067='111'!$L$11,OR($N3067=$Q$7,$O3067=$Q$7)),"x","")</f>
        <v/>
      </c>
      <c r="R3067" s="82" t="str">
        <f>IF(AND($N3067=$Q$7,$B3067&lt;'111'!$L$11),"x","")</f>
        <v/>
      </c>
      <c r="S3067" s="82" t="str">
        <f>IF(AND($O3067=$Q$7,$B3067&lt;'111'!$L$11),"x","")</f>
        <v>x</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x</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customHeight="1">
      <c r="A3068" s="323" t="str">
        <f>IF(B3068&lt;&gt;"",IF(AND(B3068='IN-TC'!$S$4,OR(TH!N2852="1111",TH!O2852="1111")),TH!D2852,""),"")</f>
        <v/>
      </c>
      <c r="B3068" s="63">
        <f t="shared" si="203"/>
        <v>6</v>
      </c>
      <c r="C3068" s="64">
        <v>42523</v>
      </c>
      <c r="D3068" s="64" t="s">
        <v>854</v>
      </c>
      <c r="E3068" s="64">
        <v>42523</v>
      </c>
      <c r="F3068" s="72" t="s">
        <v>1087</v>
      </c>
      <c r="G3068" s="67" t="s">
        <v>902</v>
      </c>
      <c r="H3068" s="72" t="s">
        <v>748</v>
      </c>
      <c r="I3068" s="408"/>
      <c r="J3068" s="408"/>
      <c r="K3068" s="399"/>
      <c r="L3068" s="408"/>
      <c r="M3068" s="65">
        <v>35000000</v>
      </c>
      <c r="N3068" s="66" t="s">
        <v>25</v>
      </c>
      <c r="O3068" s="66" t="s">
        <v>61</v>
      </c>
      <c r="P3068" s="82" t="str">
        <f>IF(AND('331-CT'!$E$7=TH!H3068,OR(N3068="331",O3068="331")),"x","")</f>
        <v/>
      </c>
      <c r="Q3068" s="82" t="str">
        <f>IF(AND(B3068='111'!$L$11,OR($N3068=$Q$7,$O3068=$Q$7)),"x","")</f>
        <v/>
      </c>
      <c r="R3068" s="82" t="str">
        <f>IF(AND($N3068=$Q$7,$B3068&lt;'111'!$L$11),"x","")</f>
        <v/>
      </c>
      <c r="S3068" s="82" t="str">
        <f>IF(AND($O3068=$Q$7,$B3068&lt;'111'!$L$11),"x","")</f>
        <v>x</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customHeight="1">
      <c r="A3069" s="323" t="str">
        <f>IF(B3069&lt;&gt;"",IF(AND(B3069='IN-TC'!$S$4,OR(TH!N2069="1111",TH!O2069="1111")),TH!D2069,""),"")</f>
        <v/>
      </c>
      <c r="B3069" s="63">
        <f t="shared" si="203"/>
        <v>10</v>
      </c>
      <c r="C3069" s="78">
        <v>42674</v>
      </c>
      <c r="D3069" s="78" t="s">
        <v>570</v>
      </c>
      <c r="E3069" s="78">
        <v>42669</v>
      </c>
      <c r="F3069" s="80" t="s">
        <v>2163</v>
      </c>
      <c r="G3069" s="934" t="s">
        <v>2283</v>
      </c>
      <c r="H3069" s="80" t="s">
        <v>617</v>
      </c>
      <c r="I3069" s="406"/>
      <c r="J3069" s="406"/>
      <c r="K3069" s="397"/>
      <c r="L3069" s="406"/>
      <c r="M3069" s="81">
        <v>20577100</v>
      </c>
      <c r="N3069" s="82" t="s">
        <v>276</v>
      </c>
      <c r="O3069" s="82" t="s">
        <v>8</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customHeight="1">
      <c r="A3070" s="323" t="str">
        <f>IF(B3070&lt;&gt;"",IF(AND(B3070='IN-TC'!$S$4,OR(TH!N3088="1111",TH!O3088="1111")),TH!D3088,""),"")</f>
        <v/>
      </c>
      <c r="B3070" s="63">
        <f t="shared" si="203"/>
        <v>6</v>
      </c>
      <c r="C3070" s="64">
        <v>42523</v>
      </c>
      <c r="D3070" s="64" t="s">
        <v>690</v>
      </c>
      <c r="E3070" s="64">
        <f>C3070</f>
        <v>42523</v>
      </c>
      <c r="F3070" s="72" t="s">
        <v>1156</v>
      </c>
      <c r="G3070" s="67" t="s">
        <v>902</v>
      </c>
      <c r="H3070" s="72" t="s">
        <v>2513</v>
      </c>
      <c r="I3070" s="408"/>
      <c r="J3070" s="408"/>
      <c r="K3070" s="399"/>
      <c r="L3070" s="408"/>
      <c r="M3070" s="65">
        <v>45000</v>
      </c>
      <c r="N3070" s="66" t="s">
        <v>99</v>
      </c>
      <c r="O3070" s="66" t="s">
        <v>25</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customHeight="1">
      <c r="A3071" s="323" t="str">
        <f>IF(B3071&lt;&gt;"",IF(AND(B3071='IN-TC'!$S$4,OR(TH!N3089="1111",TH!O3089="1111")),TH!D3089,""),"")</f>
        <v/>
      </c>
      <c r="B3071" s="63">
        <f t="shared" si="203"/>
        <v>6</v>
      </c>
      <c r="C3071" s="64">
        <v>42523</v>
      </c>
      <c r="D3071" s="64" t="s">
        <v>690</v>
      </c>
      <c r="E3071" s="64">
        <f>C3071</f>
        <v>42523</v>
      </c>
      <c r="F3071" s="72" t="s">
        <v>1616</v>
      </c>
      <c r="G3071" s="67" t="s">
        <v>902</v>
      </c>
      <c r="H3071" s="72" t="s">
        <v>2513</v>
      </c>
      <c r="I3071" s="408"/>
      <c r="J3071" s="408"/>
      <c r="K3071" s="399"/>
      <c r="L3071" s="408"/>
      <c r="M3071" s="65">
        <v>4500</v>
      </c>
      <c r="N3071" s="66" t="s">
        <v>9</v>
      </c>
      <c r="O3071" s="66" t="s">
        <v>25</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x</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customHeight="1">
      <c r="A3072" s="323" t="str">
        <f>IF(B3072&lt;&gt;"",IF(AND(B3072='IN-TC'!$S$4,OR(TH!N3090="1111",TH!O3090="1111")),TH!D3090,""),"")</f>
        <v/>
      </c>
      <c r="B3072" s="63">
        <f t="shared" si="203"/>
        <v>6</v>
      </c>
      <c r="C3072" s="64">
        <v>42523</v>
      </c>
      <c r="D3072" s="64" t="s">
        <v>690</v>
      </c>
      <c r="E3072" s="64">
        <f>C3072</f>
        <v>42523</v>
      </c>
      <c r="F3072" s="72" t="s">
        <v>1617</v>
      </c>
      <c r="G3072" s="67" t="s">
        <v>902</v>
      </c>
      <c r="H3072" s="72"/>
      <c r="I3072" s="408"/>
      <c r="J3072" s="408"/>
      <c r="K3072" s="399"/>
      <c r="L3072" s="408"/>
      <c r="M3072" s="65">
        <v>112450</v>
      </c>
      <c r="N3072" s="66" t="s">
        <v>99</v>
      </c>
      <c r="O3072" s="66" t="s">
        <v>25</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customHeight="1">
      <c r="A3073" s="323" t="str">
        <f>IF(B3073&lt;&gt;"",IF(AND(B3073='IN-TC'!$S$4,OR(TH!N3091="1111",TH!O3091="1111")),TH!D3091,""),"")</f>
        <v/>
      </c>
      <c r="B3073" s="63">
        <f t="shared" si="203"/>
        <v>6</v>
      </c>
      <c r="C3073" s="64">
        <v>42523</v>
      </c>
      <c r="D3073" s="64" t="s">
        <v>690</v>
      </c>
      <c r="E3073" s="64">
        <f>C3073</f>
        <v>42523</v>
      </c>
      <c r="F3073" s="72" t="s">
        <v>1618</v>
      </c>
      <c r="G3073" s="67" t="s">
        <v>902</v>
      </c>
      <c r="H3073" s="72"/>
      <c r="I3073" s="408"/>
      <c r="J3073" s="408"/>
      <c r="K3073" s="399"/>
      <c r="L3073" s="408"/>
      <c r="M3073" s="65">
        <v>11245</v>
      </c>
      <c r="N3073" s="66" t="s">
        <v>9</v>
      </c>
      <c r="O3073" s="66" t="s">
        <v>25</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x</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customHeight="1">
      <c r="A3074" s="323" t="str">
        <f>IF(B3074&lt;&gt;"",IF(AND(B3074='IN-TC'!$S$4,OR(TH!N2853="1111",TH!O2853="1111")),TH!D2853,""),"")</f>
        <v/>
      </c>
      <c r="B3074" s="63">
        <f t="shared" si="203"/>
        <v>6</v>
      </c>
      <c r="C3074" s="64">
        <v>42524</v>
      </c>
      <c r="D3074" s="64" t="s">
        <v>855</v>
      </c>
      <c r="E3074" s="64">
        <v>42524</v>
      </c>
      <c r="F3074" s="72" t="s">
        <v>1094</v>
      </c>
      <c r="G3074" s="931" t="s">
        <v>1549</v>
      </c>
      <c r="H3074" s="72" t="s">
        <v>792</v>
      </c>
      <c r="I3074" s="408"/>
      <c r="J3074" s="408"/>
      <c r="K3074" s="399"/>
      <c r="L3074" s="408"/>
      <c r="M3074" s="65">
        <v>675818</v>
      </c>
      <c r="N3074" s="66" t="s">
        <v>99</v>
      </c>
      <c r="O3074" s="66" t="s">
        <v>61</v>
      </c>
      <c r="P3074" s="82" t="str">
        <f>IF(AND('331-CT'!$E$7=TH!H3074,OR(N3074="331",O3074="331")),"x","")</f>
        <v/>
      </c>
      <c r="Q3074" s="82" t="str">
        <f>IF(AND(B3074='111'!$L$11,OR($N3074=$Q$7,$O3074=$Q$7)),"x","")</f>
        <v/>
      </c>
      <c r="R3074" s="82" t="str">
        <f>IF(AND($N3074=$Q$7,$B3074&lt;'111'!$L$11),"x","")</f>
        <v/>
      </c>
      <c r="S3074" s="82" t="str">
        <f>IF(AND($O3074=$Q$7,$B3074&lt;'111'!$L$11),"x","")</f>
        <v>x</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customHeight="1">
      <c r="A3075" s="323" t="str">
        <f>IF(B3075&lt;&gt;"",IF(AND(B3075='IN-TC'!$S$4,OR(TH!N2854="1111",TH!O2854="1111")),TH!D2854,""),"")</f>
        <v/>
      </c>
      <c r="B3075" s="63">
        <f t="shared" si="203"/>
        <v>6</v>
      </c>
      <c r="C3075" s="64">
        <v>42524</v>
      </c>
      <c r="D3075" s="64" t="s">
        <v>855</v>
      </c>
      <c r="E3075" s="64">
        <v>42524</v>
      </c>
      <c r="F3075" s="72" t="s">
        <v>1324</v>
      </c>
      <c r="G3075" s="931" t="s">
        <v>1549</v>
      </c>
      <c r="H3075" s="72" t="s">
        <v>792</v>
      </c>
      <c r="I3075" s="408"/>
      <c r="J3075" s="408"/>
      <c r="K3075" s="399"/>
      <c r="L3075" s="408"/>
      <c r="M3075" s="65">
        <v>67582</v>
      </c>
      <c r="N3075" s="66" t="s">
        <v>9</v>
      </c>
      <c r="O3075" s="66" t="s">
        <v>61</v>
      </c>
      <c r="P3075" s="82" t="str">
        <f>IF(AND('331-CT'!$E$7=TH!H3075,OR(N3075="331",O3075="331")),"x","")</f>
        <v/>
      </c>
      <c r="Q3075" s="82" t="str">
        <f>IF(AND(B3075='111'!$L$11,OR($N3075=$Q$7,$O3075=$Q$7)),"x","")</f>
        <v/>
      </c>
      <c r="R3075" s="82" t="str">
        <f>IF(AND($N3075=$Q$7,$B3075&lt;'111'!$L$11),"x","")</f>
        <v/>
      </c>
      <c r="S3075" s="82" t="str">
        <f>IF(AND($O3075=$Q$7,$B3075&lt;'111'!$L$11),"x","")</f>
        <v>x</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x</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customHeight="1">
      <c r="A3076" s="323" t="str">
        <f>IF(B3076&lt;&gt;"",IF(AND(B3076='IN-TC'!$S$4,OR(TH!N2855="1111",TH!O2855="1111")),TH!D2855,""),"")</f>
        <v/>
      </c>
      <c r="B3076" s="63">
        <f t="shared" si="203"/>
        <v>6</v>
      </c>
      <c r="C3076" s="64">
        <v>42525</v>
      </c>
      <c r="D3076" s="64" t="s">
        <v>856</v>
      </c>
      <c r="E3076" s="64">
        <v>42525</v>
      </c>
      <c r="F3076" s="72" t="s">
        <v>1550</v>
      </c>
      <c r="G3076" s="931" t="s">
        <v>1551</v>
      </c>
      <c r="H3076" s="72" t="s">
        <v>1014</v>
      </c>
      <c r="I3076" s="408"/>
      <c r="J3076" s="408"/>
      <c r="K3076" s="399"/>
      <c r="L3076" s="408"/>
      <c r="M3076" s="65">
        <v>155000</v>
      </c>
      <c r="N3076" s="66" t="s">
        <v>99</v>
      </c>
      <c r="O3076" s="66" t="s">
        <v>61</v>
      </c>
      <c r="P3076" s="82" t="str">
        <f>IF(AND('331-CT'!$E$7=TH!H3076,OR(N3076="331",O3076="331")),"x","")</f>
        <v/>
      </c>
      <c r="Q3076" s="82" t="str">
        <f>IF(AND(B3076='111'!$L$11,OR($N3076=$Q$7,$O3076=$Q$7)),"x","")</f>
        <v/>
      </c>
      <c r="R3076" s="82" t="str">
        <f>IF(AND($N3076=$Q$7,$B3076&lt;'111'!$L$11),"x","")</f>
        <v/>
      </c>
      <c r="S3076" s="82" t="str">
        <f>IF(AND($O3076=$Q$7,$B3076&lt;'111'!$L$11),"x","")</f>
        <v>x</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customHeight="1">
      <c r="A3077" s="323" t="str">
        <f>IF(B3077&lt;&gt;"",IF(AND(B3077='IN-TC'!$S$4,OR(TH!N3082="1111",TH!O3082="1111")),TH!D3082,""),"")</f>
        <v/>
      </c>
      <c r="B3077" s="63">
        <f t="shared" si="203"/>
        <v>6</v>
      </c>
      <c r="C3077" s="64">
        <v>42525</v>
      </c>
      <c r="D3077" s="64" t="s">
        <v>858</v>
      </c>
      <c r="E3077" s="64">
        <v>42525</v>
      </c>
      <c r="F3077" s="72" t="s">
        <v>756</v>
      </c>
      <c r="G3077" s="931" t="s">
        <v>1552</v>
      </c>
      <c r="H3077" s="72" t="s">
        <v>792</v>
      </c>
      <c r="I3077" s="408"/>
      <c r="J3077" s="408"/>
      <c r="K3077" s="399"/>
      <c r="L3077" s="408"/>
      <c r="M3077" s="65">
        <v>565000</v>
      </c>
      <c r="N3077" s="66" t="s">
        <v>99</v>
      </c>
      <c r="O3077" s="66" t="s">
        <v>61</v>
      </c>
      <c r="P3077" s="82" t="str">
        <f>IF(AND('331-CT'!$E$7=TH!H3077,OR(N3077="331",O3077="331")),"x","")</f>
        <v/>
      </c>
      <c r="Q3077" s="82" t="str">
        <f>IF(AND(B3077='111'!$L$11,OR($N3077=$Q$7,$O3077=$Q$7)),"x","")</f>
        <v/>
      </c>
      <c r="R3077" s="82" t="str">
        <f>IF(AND($N3077=$Q$7,$B3077&lt;'111'!$L$11),"x","")</f>
        <v/>
      </c>
      <c r="S3077" s="82" t="str">
        <f>IF(AND($O3077=$Q$7,$B3077&lt;'111'!$L$11),"x","")</f>
        <v>x</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customHeight="1">
      <c r="A3078" s="323" t="str">
        <f>IF(B3078&lt;&gt;"",IF(AND(B3078='IN-TC'!$S$4,OR(TH!N3083="1111",TH!O3083="1111")),TH!D3083,""),"")</f>
        <v/>
      </c>
      <c r="B3078" s="63">
        <f t="shared" si="203"/>
        <v>6</v>
      </c>
      <c r="C3078" s="64">
        <v>42525</v>
      </c>
      <c r="D3078" s="64" t="s">
        <v>858</v>
      </c>
      <c r="E3078" s="64">
        <v>42525</v>
      </c>
      <c r="F3078" s="72" t="s">
        <v>757</v>
      </c>
      <c r="G3078" s="931" t="s">
        <v>1552</v>
      </c>
      <c r="H3078" s="72" t="s">
        <v>792</v>
      </c>
      <c r="I3078" s="408"/>
      <c r="J3078" s="408"/>
      <c r="K3078" s="399"/>
      <c r="L3078" s="408"/>
      <c r="M3078" s="65">
        <v>56500</v>
      </c>
      <c r="N3078" s="66" t="s">
        <v>9</v>
      </c>
      <c r="O3078" s="66" t="s">
        <v>61</v>
      </c>
      <c r="P3078" s="82" t="str">
        <f>IF(AND('331-CT'!$E$7=TH!H3078,OR(N3078="331",O3078="331")),"x","")</f>
        <v/>
      </c>
      <c r="Q3078" s="82" t="str">
        <f>IF(AND(B3078='111'!$L$11,OR($N3078=$Q$7,$O3078=$Q$7)),"x","")</f>
        <v/>
      </c>
      <c r="R3078" s="82" t="str">
        <f>IF(AND($N3078=$Q$7,$B3078&lt;'111'!$L$11),"x","")</f>
        <v/>
      </c>
      <c r="S3078" s="82" t="str">
        <f>IF(AND($O3078=$Q$7,$B3078&lt;'111'!$L$11),"x","")</f>
        <v>x</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x</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customHeight="1">
      <c r="A3079" s="323" t="str">
        <f>IF(B3079&lt;&gt;"",IF(AND(B3079='IN-TC'!$S$4,OR(TH!N3084="1111",TH!O3084="1111")),TH!D3084,""),"")</f>
        <v/>
      </c>
      <c r="B3079" s="63">
        <f t="shared" si="203"/>
        <v>6</v>
      </c>
      <c r="C3079" s="1092">
        <v>42527</v>
      </c>
      <c r="D3079" s="1092" t="s">
        <v>859</v>
      </c>
      <c r="E3079" s="1092">
        <f>C3079</f>
        <v>42527</v>
      </c>
      <c r="F3079" s="482" t="s">
        <v>947</v>
      </c>
      <c r="G3079" s="1094"/>
      <c r="H3079" s="1093" t="s">
        <v>946</v>
      </c>
      <c r="I3079" s="1095"/>
      <c r="J3079" s="1095"/>
      <c r="K3079" s="1096"/>
      <c r="L3079" s="1095"/>
      <c r="M3079" s="1097">
        <v>500000000</v>
      </c>
      <c r="N3079" s="1098" t="s">
        <v>266</v>
      </c>
      <c r="O3079" s="1098" t="s">
        <v>61</v>
      </c>
      <c r="P3079" s="82" t="str">
        <f>IF(AND('331-CT'!$E$7=TH!H3079,OR(N3079="331",O3079="331")),"x","")</f>
        <v/>
      </c>
      <c r="Q3079" s="82" t="str">
        <f>IF(AND(B3079='111'!$L$11,OR($N3079=$Q$7,$O3079=$Q$7)),"x","")</f>
        <v/>
      </c>
      <c r="R3079" s="82" t="str">
        <f>IF(AND($N3079=$Q$7,$B3079&lt;'111'!$L$11),"x","")</f>
        <v/>
      </c>
      <c r="S3079" s="82" t="str">
        <f>IF(AND($O3079=$Q$7,$B3079&lt;'111'!$L$11),"x","")</f>
        <v>x</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customHeight="1">
      <c r="A3080" s="323" t="str">
        <f>IF(B3080&lt;&gt;"",IF(AND(B3080='IN-TC'!$S$4,OR(TH!N3085="1111",TH!O3085="1111")),TH!D3085,""),"")</f>
        <v/>
      </c>
      <c r="B3080" s="63">
        <f t="shared" si="203"/>
        <v>6</v>
      </c>
      <c r="C3080" s="1092">
        <v>42527</v>
      </c>
      <c r="D3080" s="1092" t="s">
        <v>860</v>
      </c>
      <c r="E3080" s="1092">
        <f>C3080</f>
        <v>42527</v>
      </c>
      <c r="F3080" s="482" t="s">
        <v>947</v>
      </c>
      <c r="G3080" s="1094"/>
      <c r="H3080" s="1093" t="s">
        <v>3001</v>
      </c>
      <c r="I3080" s="1095"/>
      <c r="J3080" s="1095"/>
      <c r="K3080" s="1096"/>
      <c r="L3080" s="1095"/>
      <c r="M3080" s="1097">
        <v>400000000</v>
      </c>
      <c r="N3080" s="1098" t="s">
        <v>266</v>
      </c>
      <c r="O3080" s="1098" t="s">
        <v>61</v>
      </c>
      <c r="P3080" s="82" t="str">
        <f>IF(AND('331-CT'!$E$7=TH!H3080,OR(N3080="331",O3080="331")),"x","")</f>
        <v/>
      </c>
      <c r="Q3080" s="82" t="str">
        <f>IF(AND(B3080='111'!$L$11,OR($N3080=$Q$7,$O3080=$Q$7)),"x","")</f>
        <v/>
      </c>
      <c r="R3080" s="82" t="str">
        <f>IF(AND($N3080=$Q$7,$B3080&lt;'111'!$L$11),"x","")</f>
        <v/>
      </c>
      <c r="S3080" s="82" t="str">
        <f>IF(AND($O3080=$Q$7,$B3080&lt;'111'!$L$11),"x","")</f>
        <v>x</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customHeight="1">
      <c r="A3081" s="323" t="str">
        <f>IF(B3081&lt;&gt;"",IF(AND(B3081='IN-TC'!$S$4,OR(TH!N3086="1111",TH!O3086="1111")),TH!D3086,""),"")</f>
        <v/>
      </c>
      <c r="B3081" s="63">
        <f t="shared" si="203"/>
        <v>6</v>
      </c>
      <c r="C3081" s="64">
        <v>42527</v>
      </c>
      <c r="D3081" s="64" t="s">
        <v>861</v>
      </c>
      <c r="E3081" s="64">
        <v>42527</v>
      </c>
      <c r="F3081" s="72" t="s">
        <v>1554</v>
      </c>
      <c r="G3081" s="931" t="s">
        <v>1553</v>
      </c>
      <c r="H3081" s="72" t="s">
        <v>830</v>
      </c>
      <c r="I3081" s="408"/>
      <c r="J3081" s="408"/>
      <c r="K3081" s="399"/>
      <c r="L3081" s="408"/>
      <c r="M3081" s="65">
        <v>1965005</v>
      </c>
      <c r="N3081" s="66" t="s">
        <v>99</v>
      </c>
      <c r="O3081" s="66" t="s">
        <v>61</v>
      </c>
      <c r="P3081" s="82" t="str">
        <f>IF(AND('331-CT'!$E$7=TH!H3081,OR(N3081="331",O3081="331")),"x","")</f>
        <v/>
      </c>
      <c r="Q3081" s="82" t="str">
        <f>IF(AND(B3081='111'!$L$11,OR($N3081=$Q$7,$O3081=$Q$7)),"x","")</f>
        <v/>
      </c>
      <c r="R3081" s="82" t="str">
        <f>IF(AND($N3081=$Q$7,$B3081&lt;'111'!$L$11),"x","")</f>
        <v/>
      </c>
      <c r="S3081" s="82" t="str">
        <f>IF(AND($O3081=$Q$7,$B3081&lt;'111'!$L$11),"x","")</f>
        <v>x</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customHeight="1">
      <c r="A3082" s="323" t="str">
        <f>IF(B3082&lt;&gt;"",IF(AND(B3082='IN-TC'!$S$4,OR(TH!N3092="1111",TH!O3092="1111")),TH!D3092,""),"")</f>
        <v/>
      </c>
      <c r="B3082" s="63">
        <f t="shared" si="203"/>
        <v>6</v>
      </c>
      <c r="C3082" s="64">
        <v>42527</v>
      </c>
      <c r="D3082" s="64" t="s">
        <v>861</v>
      </c>
      <c r="E3082" s="64">
        <v>42527</v>
      </c>
      <c r="F3082" s="72" t="s">
        <v>1555</v>
      </c>
      <c r="G3082" s="931" t="s">
        <v>1553</v>
      </c>
      <c r="H3082" s="72" t="s">
        <v>830</v>
      </c>
      <c r="I3082" s="408"/>
      <c r="J3082" s="408"/>
      <c r="K3082" s="399"/>
      <c r="L3082" s="408"/>
      <c r="M3082" s="65">
        <v>196501</v>
      </c>
      <c r="N3082" s="66" t="s">
        <v>9</v>
      </c>
      <c r="O3082" s="66" t="s">
        <v>61</v>
      </c>
      <c r="P3082" s="82" t="str">
        <f>IF(AND('331-CT'!$E$7=TH!H3082,OR(N3082="331",O3082="331")),"x","")</f>
        <v/>
      </c>
      <c r="Q3082" s="82" t="str">
        <f>IF(AND(B3082='111'!$L$11,OR($N3082=$Q$7,$O3082=$Q$7)),"x","")</f>
        <v/>
      </c>
      <c r="R3082" s="82" t="str">
        <f>IF(AND($N3082=$Q$7,$B3082&lt;'111'!$L$11),"x","")</f>
        <v/>
      </c>
      <c r="S3082" s="82" t="str">
        <f>IF(AND($O3082=$Q$7,$B3082&lt;'111'!$L$11),"x","")</f>
        <v>x</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x</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customHeight="1">
      <c r="A3083" s="323" t="str">
        <f>IF(B3083&lt;&gt;"",IF(AND(B3083='IN-TC'!$S$4,OR(TH!N3093="1111",TH!O3093="1111")),TH!D3093,""),"")</f>
        <v/>
      </c>
      <c r="B3083" s="63">
        <f t="shared" si="203"/>
        <v>6</v>
      </c>
      <c r="C3083" s="64">
        <v>42527</v>
      </c>
      <c r="D3083" s="64" t="s">
        <v>862</v>
      </c>
      <c r="E3083" s="64">
        <v>42527</v>
      </c>
      <c r="F3083" s="72" t="s">
        <v>623</v>
      </c>
      <c r="G3083" s="931" t="s">
        <v>1556</v>
      </c>
      <c r="H3083" s="72" t="s">
        <v>815</v>
      </c>
      <c r="I3083" s="408"/>
      <c r="J3083" s="408"/>
      <c r="K3083" s="399"/>
      <c r="L3083" s="408"/>
      <c r="M3083" s="65">
        <v>1440000</v>
      </c>
      <c r="N3083" s="66" t="s">
        <v>99</v>
      </c>
      <c r="O3083" s="66" t="s">
        <v>61</v>
      </c>
      <c r="P3083" s="82" t="str">
        <f>IF(AND('331-CT'!$E$7=TH!H3083,OR(N3083="331",O3083="331")),"x","")</f>
        <v/>
      </c>
      <c r="Q3083" s="82" t="str">
        <f>IF(AND(B3083='111'!$L$11,OR($N3083=$Q$7,$O3083=$Q$7)),"x","")</f>
        <v/>
      </c>
      <c r="R3083" s="82" t="str">
        <f>IF(AND($N3083=$Q$7,$B3083&lt;'111'!$L$11),"x","")</f>
        <v/>
      </c>
      <c r="S3083" s="82" t="str">
        <f>IF(AND($O3083=$Q$7,$B3083&lt;'111'!$L$11),"x","")</f>
        <v>x</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customHeight="1">
      <c r="A3084" s="323" t="str">
        <f>IF(B3084&lt;&gt;"",IF(AND(B3084='IN-TC'!$S$4,OR(TH!N3094="1111",TH!O3094="1111")),TH!D3094,""),"")</f>
        <v/>
      </c>
      <c r="B3084" s="63">
        <f t="shared" si="203"/>
        <v>6</v>
      </c>
      <c r="C3084" s="64">
        <v>42527</v>
      </c>
      <c r="D3084" s="64" t="s">
        <v>862</v>
      </c>
      <c r="E3084" s="64">
        <v>42527</v>
      </c>
      <c r="F3084" s="72" t="s">
        <v>1515</v>
      </c>
      <c r="G3084" s="931" t="s">
        <v>1556</v>
      </c>
      <c r="H3084" s="72" t="s">
        <v>815</v>
      </c>
      <c r="I3084" s="408"/>
      <c r="J3084" s="408"/>
      <c r="K3084" s="399"/>
      <c r="L3084" s="408"/>
      <c r="M3084" s="65">
        <v>72000</v>
      </c>
      <c r="N3084" s="66" t="s">
        <v>9</v>
      </c>
      <c r="O3084" s="66" t="s">
        <v>61</v>
      </c>
      <c r="P3084" s="82" t="str">
        <f>IF(AND('331-CT'!$E$7=TH!H3084,OR(N3084="331",O3084="331")),"x","")</f>
        <v/>
      </c>
      <c r="Q3084" s="82" t="str">
        <f>IF(AND(B3084='111'!$L$11,OR($N3084=$Q$7,$O3084=$Q$7)),"x","")</f>
        <v/>
      </c>
      <c r="R3084" s="82" t="str">
        <f>IF(AND($N3084=$Q$7,$B3084&lt;'111'!$L$11),"x","")</f>
        <v/>
      </c>
      <c r="S3084" s="82" t="str">
        <f>IF(AND($O3084=$Q$7,$B3084&lt;'111'!$L$11),"x","")</f>
        <v>x</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x</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customHeight="1">
      <c r="A3085" s="323" t="str">
        <f>IF(B3085&lt;&gt;"",IF(AND(B3085='IN-TC'!$S$4,OR(TH!N3101="1111",TH!O3101="1111")),TH!D3101,""),"")</f>
        <v/>
      </c>
      <c r="B3085" s="63">
        <f t="shared" si="203"/>
        <v>6</v>
      </c>
      <c r="C3085" s="64">
        <v>42527</v>
      </c>
      <c r="D3085" s="64" t="s">
        <v>690</v>
      </c>
      <c r="E3085" s="64">
        <f t="shared" ref="E3085:E3106" si="204">C3085</f>
        <v>42527</v>
      </c>
      <c r="F3085" s="72" t="s">
        <v>1619</v>
      </c>
      <c r="G3085" s="67" t="s">
        <v>902</v>
      </c>
      <c r="H3085" s="72"/>
      <c r="I3085" s="408"/>
      <c r="J3085" s="408"/>
      <c r="K3085" s="399"/>
      <c r="L3085" s="408"/>
      <c r="M3085" s="65">
        <v>20000</v>
      </c>
      <c r="N3085" s="66" t="s">
        <v>99</v>
      </c>
      <c r="O3085" s="66" t="s">
        <v>25</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customHeight="1">
      <c r="A3086" s="323" t="str">
        <f>IF(B3086&lt;&gt;"",IF(AND(B3086='IN-TC'!$S$4,OR(TH!N3102="1111",TH!O3102="1111")),TH!D3102,""),"")</f>
        <v/>
      </c>
      <c r="B3086" s="63">
        <f t="shared" si="203"/>
        <v>6</v>
      </c>
      <c r="C3086" s="64">
        <v>42527</v>
      </c>
      <c r="D3086" s="64" t="s">
        <v>690</v>
      </c>
      <c r="E3086" s="64">
        <f t="shared" si="204"/>
        <v>42527</v>
      </c>
      <c r="F3086" s="72" t="s">
        <v>1156</v>
      </c>
      <c r="G3086" s="67" t="s">
        <v>902</v>
      </c>
      <c r="H3086" s="72"/>
      <c r="I3086" s="408"/>
      <c r="J3086" s="408"/>
      <c r="K3086" s="399"/>
      <c r="L3086" s="408"/>
      <c r="M3086" s="65">
        <v>20000</v>
      </c>
      <c r="N3086" s="66" t="s">
        <v>99</v>
      </c>
      <c r="O3086" s="66" t="s">
        <v>25</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customHeight="1">
      <c r="A3087" s="323" t="str">
        <f>IF(B3087&lt;&gt;"",IF(AND(B3087='IN-TC'!$S$4,OR(TH!N3103="1111",TH!O3103="1111")),TH!D3103,""),"")</f>
        <v/>
      </c>
      <c r="B3087" s="63">
        <f t="shared" si="203"/>
        <v>6</v>
      </c>
      <c r="C3087" s="64">
        <v>42527</v>
      </c>
      <c r="D3087" s="64" t="s">
        <v>690</v>
      </c>
      <c r="E3087" s="64">
        <f t="shared" si="204"/>
        <v>42527</v>
      </c>
      <c r="F3087" s="72" t="s">
        <v>1616</v>
      </c>
      <c r="G3087" s="67" t="s">
        <v>902</v>
      </c>
      <c r="H3087" s="72"/>
      <c r="I3087" s="408"/>
      <c r="J3087" s="408"/>
      <c r="K3087" s="399"/>
      <c r="L3087" s="408"/>
      <c r="M3087" s="65">
        <v>2000</v>
      </c>
      <c r="N3087" s="66" t="s">
        <v>9</v>
      </c>
      <c r="O3087" s="66" t="s">
        <v>25</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x</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customHeight="1">
      <c r="A3088" s="323" t="str">
        <f>IF(B3088&lt;&gt;"",IF(AND(B3088='IN-TC'!$S$4,OR(TH!N3104="1111",TH!O3104="1111")),TH!D3104,""),"")</f>
        <v/>
      </c>
      <c r="B3088" s="63">
        <f t="shared" si="203"/>
        <v>6</v>
      </c>
      <c r="C3088" s="64">
        <v>42527</v>
      </c>
      <c r="D3088" s="64" t="s">
        <v>690</v>
      </c>
      <c r="E3088" s="64">
        <f t="shared" si="204"/>
        <v>42527</v>
      </c>
      <c r="F3088" s="72" t="s">
        <v>1619</v>
      </c>
      <c r="G3088" s="67" t="s">
        <v>902</v>
      </c>
      <c r="H3088" s="72"/>
      <c r="I3088" s="408"/>
      <c r="J3088" s="408"/>
      <c r="K3088" s="399"/>
      <c r="L3088" s="408"/>
      <c r="M3088" s="65">
        <v>40000</v>
      </c>
      <c r="N3088" s="66" t="s">
        <v>99</v>
      </c>
      <c r="O3088" s="66" t="s">
        <v>25</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customHeight="1">
      <c r="A3089" s="323" t="str">
        <f>IF(B3089&lt;&gt;"",IF(AND(B3089='IN-TC'!$S$4,OR(TH!N3105="1111",TH!O3105="1111")),TH!D3105,""),"")</f>
        <v/>
      </c>
      <c r="B3089" s="63">
        <f t="shared" si="203"/>
        <v>6</v>
      </c>
      <c r="C3089" s="64">
        <v>42527</v>
      </c>
      <c r="D3089" s="64" t="s">
        <v>690</v>
      </c>
      <c r="E3089" s="64">
        <f t="shared" si="204"/>
        <v>42527</v>
      </c>
      <c r="F3089" s="72" t="s">
        <v>1156</v>
      </c>
      <c r="G3089" s="67" t="s">
        <v>902</v>
      </c>
      <c r="H3089" s="72"/>
      <c r="I3089" s="408"/>
      <c r="J3089" s="408"/>
      <c r="K3089" s="399"/>
      <c r="L3089" s="408"/>
      <c r="M3089" s="65">
        <v>20000</v>
      </c>
      <c r="N3089" s="66" t="s">
        <v>99</v>
      </c>
      <c r="O3089" s="66" t="s">
        <v>25</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customHeight="1">
      <c r="A3090" s="323" t="str">
        <f>IF(B3090&lt;&gt;"",IF(AND(B3090='IN-TC'!$S$4,OR(TH!N3106="1111",TH!O3106="1111")),TH!D3106,""),"")</f>
        <v/>
      </c>
      <c r="B3090" s="63">
        <f t="shared" si="203"/>
        <v>6</v>
      </c>
      <c r="C3090" s="64">
        <v>42527</v>
      </c>
      <c r="D3090" s="64" t="s">
        <v>690</v>
      </c>
      <c r="E3090" s="64">
        <f t="shared" si="204"/>
        <v>42527</v>
      </c>
      <c r="F3090" s="72" t="s">
        <v>1616</v>
      </c>
      <c r="G3090" s="67" t="s">
        <v>902</v>
      </c>
      <c r="H3090" s="72"/>
      <c r="I3090" s="408"/>
      <c r="J3090" s="408"/>
      <c r="K3090" s="399"/>
      <c r="L3090" s="408"/>
      <c r="M3090" s="65">
        <v>2000</v>
      </c>
      <c r="N3090" s="66" t="s">
        <v>9</v>
      </c>
      <c r="O3090" s="66" t="s">
        <v>25</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x</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customHeight="1">
      <c r="A3091" s="323" t="str">
        <f>IF(B3091&lt;&gt;"",IF(AND(B3091='IN-TC'!$S$4,OR(TH!N3107="1111",TH!O3107="1111")),TH!D3107,""),"")</f>
        <v/>
      </c>
      <c r="B3091" s="63">
        <f t="shared" si="203"/>
        <v>6</v>
      </c>
      <c r="C3091" s="64">
        <v>42527</v>
      </c>
      <c r="D3091" s="64" t="s">
        <v>690</v>
      </c>
      <c r="E3091" s="64">
        <f t="shared" si="204"/>
        <v>42527</v>
      </c>
      <c r="F3091" s="72" t="s">
        <v>1619</v>
      </c>
      <c r="G3091" s="67" t="s">
        <v>902</v>
      </c>
      <c r="H3091" s="72"/>
      <c r="I3091" s="408"/>
      <c r="J3091" s="408"/>
      <c r="K3091" s="399"/>
      <c r="L3091" s="408"/>
      <c r="M3091" s="65">
        <v>300000</v>
      </c>
      <c r="N3091" s="66" t="s">
        <v>99</v>
      </c>
      <c r="O3091" s="66" t="s">
        <v>25</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customHeight="1">
      <c r="A3092" s="323" t="str">
        <f>IF(B3092&lt;&gt;"",IF(AND(B3092='IN-TC'!$S$4,OR(TH!N3108="1111",TH!O3108="1111")),TH!D3108,""),"")</f>
        <v/>
      </c>
      <c r="B3092" s="63">
        <f t="shared" si="203"/>
        <v>6</v>
      </c>
      <c r="C3092" s="64">
        <v>42527</v>
      </c>
      <c r="D3092" s="64" t="s">
        <v>690</v>
      </c>
      <c r="E3092" s="64">
        <f t="shared" si="204"/>
        <v>42527</v>
      </c>
      <c r="F3092" s="72" t="s">
        <v>1156</v>
      </c>
      <c r="G3092" s="67" t="s">
        <v>902</v>
      </c>
      <c r="H3092" s="72"/>
      <c r="I3092" s="408"/>
      <c r="J3092" s="408"/>
      <c r="K3092" s="399"/>
      <c r="L3092" s="408"/>
      <c r="M3092" s="65">
        <v>20000</v>
      </c>
      <c r="N3092" s="66" t="s">
        <v>99</v>
      </c>
      <c r="O3092" s="66" t="s">
        <v>25</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customHeight="1">
      <c r="A3093" s="323" t="str">
        <f>IF(B3093&lt;&gt;"",IF(AND(B3093='IN-TC'!$S$4,OR(TH!N3109="1111",TH!O3109="1111")),TH!D3109,""),"")</f>
        <v/>
      </c>
      <c r="B3093" s="63">
        <f t="shared" si="203"/>
        <v>6</v>
      </c>
      <c r="C3093" s="64">
        <v>42527</v>
      </c>
      <c r="D3093" s="64" t="s">
        <v>690</v>
      </c>
      <c r="E3093" s="64">
        <f t="shared" si="204"/>
        <v>42527</v>
      </c>
      <c r="F3093" s="72" t="s">
        <v>1616</v>
      </c>
      <c r="G3093" s="67" t="s">
        <v>902</v>
      </c>
      <c r="H3093" s="72"/>
      <c r="I3093" s="408"/>
      <c r="J3093" s="408"/>
      <c r="K3093" s="399"/>
      <c r="L3093" s="408"/>
      <c r="M3093" s="65">
        <v>2000</v>
      </c>
      <c r="N3093" s="66" t="s">
        <v>9</v>
      </c>
      <c r="O3093" s="66" t="s">
        <v>25</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x</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customHeight="1">
      <c r="A3094" s="323" t="str">
        <f>IF(B3094&lt;&gt;"",IF(AND(B3094='IN-TC'!$S$4,OR(TH!N3110="1111",TH!O3110="1111")),TH!D3110,""),"")</f>
        <v/>
      </c>
      <c r="B3094" s="63">
        <f t="shared" si="203"/>
        <v>6</v>
      </c>
      <c r="C3094" s="64">
        <v>42527</v>
      </c>
      <c r="D3094" s="64" t="s">
        <v>690</v>
      </c>
      <c r="E3094" s="64">
        <f t="shared" si="204"/>
        <v>42527</v>
      </c>
      <c r="F3094" s="72" t="s">
        <v>1030</v>
      </c>
      <c r="G3094" s="67" t="s">
        <v>902</v>
      </c>
      <c r="H3094" s="72" t="s">
        <v>698</v>
      </c>
      <c r="I3094" s="408"/>
      <c r="J3094" s="408"/>
      <c r="K3094" s="399"/>
      <c r="L3094" s="408"/>
      <c r="M3094" s="65">
        <v>2893355</v>
      </c>
      <c r="N3094" s="66" t="s">
        <v>97</v>
      </c>
      <c r="O3094" s="66" t="s">
        <v>25</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customHeight="1">
      <c r="A3095" s="323" t="str">
        <f>IF(B3095&lt;&gt;"",IF(AND(B3095='IN-TC'!$S$4,OR(TH!N3111="1111",TH!O3111="1111")),TH!D3111,""),"")</f>
        <v/>
      </c>
      <c r="B3095" s="63">
        <f t="shared" si="203"/>
        <v>6</v>
      </c>
      <c r="C3095" s="64">
        <v>42527</v>
      </c>
      <c r="D3095" s="64" t="s">
        <v>690</v>
      </c>
      <c r="E3095" s="64">
        <f t="shared" si="204"/>
        <v>42527</v>
      </c>
      <c r="F3095" s="72" t="s">
        <v>1031</v>
      </c>
      <c r="G3095" s="67" t="s">
        <v>902</v>
      </c>
      <c r="H3095" s="72" t="s">
        <v>699</v>
      </c>
      <c r="I3095" s="408"/>
      <c r="J3095" s="408"/>
      <c r="K3095" s="399"/>
      <c r="L3095" s="408"/>
      <c r="M3095" s="65">
        <v>1781595</v>
      </c>
      <c r="N3095" s="66" t="s">
        <v>97</v>
      </c>
      <c r="O3095" s="66" t="s">
        <v>25</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customHeight="1">
      <c r="A3096" s="323" t="str">
        <f>IF(B3096&lt;&gt;"",IF(AND(B3096='IN-TC'!$S$4,OR(TH!N3095="1111",TH!O3095="1111")),TH!D3095,""),"")</f>
        <v/>
      </c>
      <c r="B3096" s="63">
        <f t="shared" si="203"/>
        <v>6</v>
      </c>
      <c r="C3096" s="64">
        <v>42528</v>
      </c>
      <c r="D3096" s="64" t="s">
        <v>863</v>
      </c>
      <c r="E3096" s="64">
        <f t="shared" si="204"/>
        <v>42528</v>
      </c>
      <c r="F3096" s="72" t="s">
        <v>1087</v>
      </c>
      <c r="G3096" s="67" t="s">
        <v>901</v>
      </c>
      <c r="H3096" s="1103" t="s">
        <v>748</v>
      </c>
      <c r="I3096" s="408"/>
      <c r="J3096" s="408"/>
      <c r="K3096" s="399"/>
      <c r="L3096" s="408"/>
      <c r="M3096" s="65">
        <v>440000000</v>
      </c>
      <c r="N3096" s="66" t="s">
        <v>25</v>
      </c>
      <c r="O3096" s="66" t="s">
        <v>61</v>
      </c>
      <c r="P3096" s="82" t="str">
        <f>IF(AND('331-CT'!$E$7=TH!H3096,OR(N3096="331",O3096="331")),"x","")</f>
        <v/>
      </c>
      <c r="Q3096" s="82" t="str">
        <f>IF(AND(B3096='111'!$L$11,OR($N3096=$Q$7,$O3096=$Q$7)),"x","")</f>
        <v/>
      </c>
      <c r="R3096" s="82" t="str">
        <f>IF(AND($N3096=$Q$7,$B3096&lt;'111'!$L$11),"x","")</f>
        <v/>
      </c>
      <c r="S3096" s="82" t="str">
        <f>IF(AND($O3096=$Q$7,$B3096&lt;'111'!$L$11),"x","")</f>
        <v>x</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customHeight="1">
      <c r="A3097" s="323" t="str">
        <f>IF(B3097&lt;&gt;"",IF(AND(B3097='IN-TC'!$S$4,OR(TH!N3122="1111",TH!O3122="1111")),TH!D3122,""),"")</f>
        <v/>
      </c>
      <c r="B3097" s="63">
        <f t="shared" si="203"/>
        <v>6</v>
      </c>
      <c r="C3097" s="64">
        <v>42528</v>
      </c>
      <c r="D3097" s="64" t="s">
        <v>570</v>
      </c>
      <c r="E3097" s="64">
        <f t="shared" si="204"/>
        <v>42528</v>
      </c>
      <c r="F3097" s="72" t="s">
        <v>1049</v>
      </c>
      <c r="G3097" s="67" t="s">
        <v>901</v>
      </c>
      <c r="H3097" s="72" t="s">
        <v>714</v>
      </c>
      <c r="I3097" s="408"/>
      <c r="J3097" s="408"/>
      <c r="K3097" s="399"/>
      <c r="L3097" s="408"/>
      <c r="M3097" s="65">
        <v>10989500</v>
      </c>
      <c r="N3097" s="66" t="s">
        <v>254</v>
      </c>
      <c r="O3097" s="66" t="s">
        <v>41</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customHeight="1">
      <c r="A3098" s="323" t="str">
        <f>IF(B3098&lt;&gt;"",IF(AND(B3098='IN-TC'!$S$4,OR(TH!N3113="1111",TH!O3113="1111")),TH!D3113,""),"")</f>
        <v/>
      </c>
      <c r="B3098" s="63">
        <f t="shared" si="203"/>
        <v>6</v>
      </c>
      <c r="C3098" s="64">
        <v>42528</v>
      </c>
      <c r="D3098" s="64" t="s">
        <v>687</v>
      </c>
      <c r="E3098" s="64">
        <f t="shared" si="204"/>
        <v>42528</v>
      </c>
      <c r="F3098" s="72" t="s">
        <v>1171</v>
      </c>
      <c r="G3098" s="67" t="s">
        <v>902</v>
      </c>
      <c r="H3098" s="1103" t="s">
        <v>1872</v>
      </c>
      <c r="I3098" s="408"/>
      <c r="J3098" s="408"/>
      <c r="K3098" s="399">
        <v>76050</v>
      </c>
      <c r="L3098" s="408">
        <v>22320</v>
      </c>
      <c r="M3098" s="65">
        <v>1697436000</v>
      </c>
      <c r="N3098" s="66" t="s">
        <v>25</v>
      </c>
      <c r="O3098" s="66" t="s">
        <v>254</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customHeight="1">
      <c r="A3099" s="323" t="str">
        <f>IF(B3099&lt;&gt;"",IF(AND(B3099='IN-TC'!$S$4,OR(TH!N3119="1111",TH!O3119="1111")),TH!D3119,""),"")</f>
        <v/>
      </c>
      <c r="B3099" s="63">
        <f t="shared" si="203"/>
        <v>6</v>
      </c>
      <c r="C3099" s="64">
        <v>42528</v>
      </c>
      <c r="D3099" s="64" t="s">
        <v>687</v>
      </c>
      <c r="E3099" s="64">
        <f t="shared" si="204"/>
        <v>42528</v>
      </c>
      <c r="F3099" s="72" t="s">
        <v>1167</v>
      </c>
      <c r="G3099" s="67" t="s">
        <v>901</v>
      </c>
      <c r="H3099" s="72"/>
      <c r="I3099" s="408"/>
      <c r="J3099" s="408"/>
      <c r="K3099" s="399">
        <v>70900</v>
      </c>
      <c r="L3099" s="408">
        <v>22350</v>
      </c>
      <c r="M3099" s="65">
        <f>ROUND(K3099*L3099,0)</f>
        <v>1584615000</v>
      </c>
      <c r="N3099" s="66" t="s">
        <v>260</v>
      </c>
      <c r="O3099" s="66" t="s">
        <v>25</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customHeight="1">
      <c r="A3100" s="323" t="str">
        <f>IF(B3100&lt;&gt;"",IF(AND(B3100='IN-TC'!$S$4,OR(TH!N3201="1111",TH!O3201="1111")),TH!D3201,""),"")</f>
        <v/>
      </c>
      <c r="B3100" s="63">
        <f t="shared" si="203"/>
        <v>6</v>
      </c>
      <c r="C3100" s="64">
        <v>42538</v>
      </c>
      <c r="D3100" s="64" t="s">
        <v>690</v>
      </c>
      <c r="E3100" s="64">
        <f t="shared" si="204"/>
        <v>42538</v>
      </c>
      <c r="F3100" s="72" t="s">
        <v>1873</v>
      </c>
      <c r="G3100" s="67" t="s">
        <v>902</v>
      </c>
      <c r="H3100" s="329" t="s">
        <v>1538</v>
      </c>
      <c r="I3100" s="408"/>
      <c r="J3100" s="408"/>
      <c r="K3100" s="399">
        <v>90</v>
      </c>
      <c r="L3100" s="408">
        <v>22280</v>
      </c>
      <c r="M3100" s="65">
        <f>ROUND(K3100*L3100,0)</f>
        <v>2005200</v>
      </c>
      <c r="N3100" s="66" t="s">
        <v>99</v>
      </c>
      <c r="O3100" s="66" t="s">
        <v>576</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customHeight="1">
      <c r="A3101" s="323" t="str">
        <f>IF(B3101&lt;&gt;"",IF(AND(B3101='IN-TC'!$S$4,OR(TH!N3115="1111",TH!O3115="1111")),TH!D3115,""),"")</f>
        <v/>
      </c>
      <c r="B3101" s="63">
        <f t="shared" si="203"/>
        <v>6</v>
      </c>
      <c r="C3101" s="64">
        <v>42528</v>
      </c>
      <c r="D3101" s="64" t="s">
        <v>690</v>
      </c>
      <c r="E3101" s="64">
        <f t="shared" si="204"/>
        <v>42528</v>
      </c>
      <c r="F3101" s="72" t="s">
        <v>1174</v>
      </c>
      <c r="G3101" s="67" t="s">
        <v>902</v>
      </c>
      <c r="H3101" s="329" t="s">
        <v>1538</v>
      </c>
      <c r="I3101" s="408"/>
      <c r="J3101" s="408"/>
      <c r="K3101" s="399">
        <v>1</v>
      </c>
      <c r="L3101" s="408">
        <v>22380</v>
      </c>
      <c r="M3101" s="65">
        <f>ROUND(K3101*L3101,0)</f>
        <v>22380</v>
      </c>
      <c r="N3101" s="66" t="s">
        <v>9</v>
      </c>
      <c r="O3101" s="66" t="s">
        <v>260</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x</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customHeight="1">
      <c r="A3102" s="323" t="str">
        <f>IF(B3102&lt;&gt;"",IF(AND(B3102='IN-TC'!$S$4,OR(TH!N3202="1111",TH!O3202="1111")),TH!D3202,""),"")</f>
        <v/>
      </c>
      <c r="B3102" s="63">
        <f t="shared" si="203"/>
        <v>6</v>
      </c>
      <c r="C3102" s="64">
        <v>42538</v>
      </c>
      <c r="D3102" s="64" t="s">
        <v>690</v>
      </c>
      <c r="E3102" s="64">
        <f t="shared" si="204"/>
        <v>42538</v>
      </c>
      <c r="F3102" s="72" t="s">
        <v>1052</v>
      </c>
      <c r="G3102" s="67" t="s">
        <v>902</v>
      </c>
      <c r="H3102" s="329" t="s">
        <v>1538</v>
      </c>
      <c r="I3102" s="408"/>
      <c r="J3102" s="408"/>
      <c r="K3102" s="399">
        <v>126.75</v>
      </c>
      <c r="L3102" s="408">
        <v>22280</v>
      </c>
      <c r="M3102" s="65">
        <f>ROUND(K3102*L3102,0)</f>
        <v>2823990</v>
      </c>
      <c r="N3102" s="66" t="s">
        <v>99</v>
      </c>
      <c r="O3102" s="66" t="s">
        <v>576</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customHeight="1">
      <c r="A3103" s="323" t="str">
        <f>IF(B3103&lt;&gt;"",IF(AND(B3103='IN-TC'!$S$4,OR(TH!N3117="1111",TH!O3117="1111")),TH!D3117,""),"")</f>
        <v/>
      </c>
      <c r="B3103" s="63">
        <f t="shared" si="203"/>
        <v>6</v>
      </c>
      <c r="C3103" s="64">
        <v>42528</v>
      </c>
      <c r="D3103" s="64" t="s">
        <v>690</v>
      </c>
      <c r="E3103" s="64">
        <f t="shared" si="204"/>
        <v>42528</v>
      </c>
      <c r="F3103" s="72" t="s">
        <v>1298</v>
      </c>
      <c r="G3103" s="67" t="s">
        <v>902</v>
      </c>
      <c r="H3103" s="329" t="s">
        <v>1538</v>
      </c>
      <c r="I3103" s="408"/>
      <c r="J3103" s="408"/>
      <c r="K3103" s="399">
        <v>2.76</v>
      </c>
      <c r="L3103" s="408">
        <v>22380</v>
      </c>
      <c r="M3103" s="65">
        <f>ROUND(K3103*L3103,0)</f>
        <v>61769</v>
      </c>
      <c r="N3103" s="66" t="s">
        <v>9</v>
      </c>
      <c r="O3103" s="66" t="s">
        <v>260</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x</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customHeight="1">
      <c r="A3104" s="323" t="str">
        <f>IF(B3104&lt;&gt;"",IF(AND(B3104='IN-TC'!$S$4,OR(TH!N3118="1111",TH!O3118="1111")),TH!D3118,""),"")</f>
        <v/>
      </c>
      <c r="B3104" s="63">
        <f t="shared" si="203"/>
        <v>6</v>
      </c>
      <c r="C3104" s="64">
        <v>42528</v>
      </c>
      <c r="D3104" s="64" t="s">
        <v>690</v>
      </c>
      <c r="E3104" s="64">
        <f t="shared" si="204"/>
        <v>42528</v>
      </c>
      <c r="F3104" s="72" t="s">
        <v>1181</v>
      </c>
      <c r="G3104" s="67" t="s">
        <v>908</v>
      </c>
      <c r="H3104" s="72"/>
      <c r="I3104" s="408"/>
      <c r="J3104" s="408"/>
      <c r="K3104" s="399"/>
      <c r="L3104" s="408"/>
      <c r="M3104" s="65">
        <v>1690000000</v>
      </c>
      <c r="N3104" s="66" t="s">
        <v>25</v>
      </c>
      <c r="O3104" s="66" t="s">
        <v>25</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customHeight="1">
      <c r="A3105" s="323" t="str">
        <f>IF(B3105&lt;&gt;"",IF(AND(B3105='IN-TC'!$S$4,OR(TH!N3120="1111",TH!O3120="1111")),TH!D3120,""),"")</f>
        <v/>
      </c>
      <c r="B3105" s="63">
        <f t="shared" si="203"/>
        <v>6</v>
      </c>
      <c r="C3105" s="64">
        <v>42528</v>
      </c>
      <c r="D3105" s="64" t="s">
        <v>690</v>
      </c>
      <c r="E3105" s="64">
        <f t="shared" si="204"/>
        <v>42528</v>
      </c>
      <c r="F3105" s="330" t="s">
        <v>742</v>
      </c>
      <c r="G3105" s="67" t="s">
        <v>901</v>
      </c>
      <c r="H3105" s="329" t="s">
        <v>714</v>
      </c>
      <c r="I3105" s="408"/>
      <c r="J3105" s="408"/>
      <c r="K3105" s="399"/>
      <c r="L3105" s="408"/>
      <c r="M3105" s="65">
        <v>4407741</v>
      </c>
      <c r="N3105" s="66" t="s">
        <v>97</v>
      </c>
      <c r="O3105" s="66" t="s">
        <v>25</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customHeight="1">
      <c r="A3106" s="323" t="str">
        <f>IF(B3106&lt;&gt;"",IF(AND(B3106='IN-TC'!$S$4,OR(TH!N3121="1111",TH!O3121="1111")),TH!D3121,""),"")</f>
        <v/>
      </c>
      <c r="B3106" s="63">
        <f t="shared" si="203"/>
        <v>6</v>
      </c>
      <c r="C3106" s="64">
        <v>42528</v>
      </c>
      <c r="D3106" s="64" t="s">
        <v>690</v>
      </c>
      <c r="E3106" s="64">
        <f t="shared" si="204"/>
        <v>42528</v>
      </c>
      <c r="F3106" s="72" t="s">
        <v>1170</v>
      </c>
      <c r="G3106" s="67" t="s">
        <v>901</v>
      </c>
      <c r="H3106" s="72" t="s">
        <v>714</v>
      </c>
      <c r="I3106" s="408"/>
      <c r="J3106" s="408"/>
      <c r="K3106" s="399">
        <v>70900</v>
      </c>
      <c r="L3106" s="408">
        <v>22350</v>
      </c>
      <c r="M3106" s="65">
        <f>ROUND(K3106*L3106,0)</f>
        <v>1584615000</v>
      </c>
      <c r="N3106" s="66" t="s">
        <v>254</v>
      </c>
      <c r="O3106" s="66" t="s">
        <v>260</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customHeight="1">
      <c r="A3107" s="323" t="str">
        <f>IF(B3107&lt;&gt;"",IF(AND(B3107='IN-TC'!$S$4,OR(TH!N3096="1111",TH!O3096="1111")),TH!D3096,""),"")</f>
        <v/>
      </c>
      <c r="B3107" s="63">
        <f t="shared" si="203"/>
        <v>6</v>
      </c>
      <c r="C3107" s="64">
        <v>42529</v>
      </c>
      <c r="D3107" s="64" t="s">
        <v>864</v>
      </c>
      <c r="E3107" s="64">
        <v>42529</v>
      </c>
      <c r="F3107" s="72" t="s">
        <v>1087</v>
      </c>
      <c r="G3107" s="67" t="s">
        <v>902</v>
      </c>
      <c r="H3107" s="72" t="s">
        <v>748</v>
      </c>
      <c r="I3107" s="408"/>
      <c r="J3107" s="408"/>
      <c r="K3107" s="399"/>
      <c r="L3107" s="408"/>
      <c r="M3107" s="65">
        <v>300000000</v>
      </c>
      <c r="N3107" s="66" t="s">
        <v>25</v>
      </c>
      <c r="O3107" s="66" t="s">
        <v>61</v>
      </c>
      <c r="P3107" s="82" t="str">
        <f>IF(AND('331-CT'!$E$7=TH!H3107,OR(N3107="331",O3107="331")),"x","")</f>
        <v/>
      </c>
      <c r="Q3107" s="82" t="str">
        <f>IF(AND(B3107='111'!$L$11,OR($N3107=$Q$7,$O3107=$Q$7)),"x","")</f>
        <v/>
      </c>
      <c r="R3107" s="82" t="str">
        <f>IF(AND($N3107=$Q$7,$B3107&lt;'111'!$L$11),"x","")</f>
        <v/>
      </c>
      <c r="S3107" s="82" t="str">
        <f>IF(AND($O3107=$Q$7,$B3107&lt;'111'!$L$11),"x","")</f>
        <v>x</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customHeight="1">
      <c r="A3108" s="323" t="str">
        <f>IF(B3108&lt;&gt;"",IF(AND(B3108='IN-TC'!$S$4,OR(TH!N3097="1111",TH!O3097="1111")),TH!D3097,""),"")</f>
        <v/>
      </c>
      <c r="B3108" s="63">
        <f t="shared" si="203"/>
        <v>6</v>
      </c>
      <c r="C3108" s="64">
        <v>42529</v>
      </c>
      <c r="D3108" s="64" t="s">
        <v>865</v>
      </c>
      <c r="E3108" s="64">
        <v>42529</v>
      </c>
      <c r="F3108" s="72" t="s">
        <v>1087</v>
      </c>
      <c r="G3108" s="67" t="s">
        <v>902</v>
      </c>
      <c r="H3108" s="72" t="s">
        <v>748</v>
      </c>
      <c r="I3108" s="408"/>
      <c r="J3108" s="408"/>
      <c r="K3108" s="399"/>
      <c r="L3108" s="408"/>
      <c r="M3108" s="65">
        <v>1560000000</v>
      </c>
      <c r="N3108" s="66" t="s">
        <v>25</v>
      </c>
      <c r="O3108" s="66" t="s">
        <v>61</v>
      </c>
      <c r="P3108" s="82" t="str">
        <f>IF(AND('331-CT'!$E$7=TH!H3108,OR(N3108="331",O3108="331")),"x","")</f>
        <v/>
      </c>
      <c r="Q3108" s="82" t="str">
        <f>IF(AND(B3108='111'!$L$11,OR($N3108=$Q$7,$O3108=$Q$7)),"x","")</f>
        <v/>
      </c>
      <c r="R3108" s="82" t="str">
        <f>IF(AND($N3108=$Q$7,$B3108&lt;'111'!$L$11),"x","")</f>
        <v/>
      </c>
      <c r="S3108" s="82" t="str">
        <f>IF(AND($O3108=$Q$7,$B3108&lt;'111'!$L$11),"x","")</f>
        <v>x</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customHeight="1">
      <c r="A3109" s="323" t="str">
        <f>IF(B3109&lt;&gt;"",IF(AND(B3109='IN-TC'!$S$4,OR(TH!N3098="1111",TH!O3098="1111")),TH!D3098,""),"")</f>
        <v/>
      </c>
      <c r="B3109" s="63">
        <f t="shared" si="203"/>
        <v>6</v>
      </c>
      <c r="C3109" s="64">
        <v>42529</v>
      </c>
      <c r="D3109" s="64" t="s">
        <v>866</v>
      </c>
      <c r="E3109" s="64">
        <v>42529</v>
      </c>
      <c r="F3109" s="72" t="s">
        <v>1087</v>
      </c>
      <c r="G3109" s="67" t="s">
        <v>901</v>
      </c>
      <c r="H3109" s="72" t="s">
        <v>748</v>
      </c>
      <c r="I3109" s="408"/>
      <c r="J3109" s="408"/>
      <c r="K3109" s="399"/>
      <c r="L3109" s="408"/>
      <c r="M3109" s="65">
        <v>60000000</v>
      </c>
      <c r="N3109" s="66" t="s">
        <v>25</v>
      </c>
      <c r="O3109" s="66" t="s">
        <v>61</v>
      </c>
      <c r="P3109" s="82" t="str">
        <f>IF(AND('331-CT'!$E$7=TH!H3109,OR(N3109="331",O3109="331")),"x","")</f>
        <v/>
      </c>
      <c r="Q3109" s="82" t="str">
        <f>IF(AND(B3109='111'!$L$11,OR($N3109=$Q$7,$O3109=$Q$7)),"x","")</f>
        <v/>
      </c>
      <c r="R3109" s="82" t="str">
        <f>IF(AND($N3109=$Q$7,$B3109&lt;'111'!$L$11),"x","")</f>
        <v/>
      </c>
      <c r="S3109" s="82" t="str">
        <f>IF(AND($O3109=$Q$7,$B3109&lt;'111'!$L$11),"x","")</f>
        <v>x</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customHeight="1">
      <c r="A3110" s="323" t="str">
        <f>IF(B3110&lt;&gt;"",IF(AND(B3110='IN-TC'!$S$4,OR(TH!N3143="1111",TH!O3143="1111")),TH!D3143,""),"")</f>
        <v/>
      </c>
      <c r="B3110" s="63">
        <f t="shared" si="203"/>
        <v>6</v>
      </c>
      <c r="C3110" s="64">
        <v>42529</v>
      </c>
      <c r="D3110" s="64" t="s">
        <v>570</v>
      </c>
      <c r="E3110" s="64">
        <f t="shared" ref="E3110:E3127" si="205">C3110</f>
        <v>42529</v>
      </c>
      <c r="F3110" s="72" t="s">
        <v>1049</v>
      </c>
      <c r="G3110" s="67" t="s">
        <v>901</v>
      </c>
      <c r="H3110" s="72" t="s">
        <v>715</v>
      </c>
      <c r="I3110" s="408"/>
      <c r="J3110" s="408"/>
      <c r="K3110" s="399"/>
      <c r="L3110" s="408"/>
      <c r="M3110" s="65">
        <v>5890000</v>
      </c>
      <c r="N3110" s="66" t="s">
        <v>254</v>
      </c>
      <c r="O3110" s="66" t="s">
        <v>41</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customHeight="1">
      <c r="A3111" s="323" t="str">
        <f>IF(B3111&lt;&gt;"",IF(AND(B3111='IN-TC'!$S$4,OR(TH!N3145="1111",TH!O3145="1111")),TH!D3145,""),"")</f>
        <v/>
      </c>
      <c r="B3111" s="63">
        <f t="shared" si="203"/>
        <v>6</v>
      </c>
      <c r="C3111" s="64">
        <v>42529</v>
      </c>
      <c r="D3111" s="64" t="s">
        <v>570</v>
      </c>
      <c r="E3111" s="64">
        <f t="shared" si="205"/>
        <v>42529</v>
      </c>
      <c r="F3111" s="72" t="s">
        <v>1049</v>
      </c>
      <c r="G3111" s="67" t="s">
        <v>901</v>
      </c>
      <c r="H3111" s="72" t="s">
        <v>716</v>
      </c>
      <c r="I3111" s="408"/>
      <c r="J3111" s="408"/>
      <c r="K3111" s="399"/>
      <c r="L3111" s="408"/>
      <c r="M3111" s="65">
        <v>3795000</v>
      </c>
      <c r="N3111" s="66" t="s">
        <v>254</v>
      </c>
      <c r="O3111" s="66" t="s">
        <v>41</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customHeight="1">
      <c r="A3112" s="323" t="str">
        <f>IF(B3112&lt;&gt;"",IF(AND(B3112='IN-TC'!$S$4,OR(TH!N3137="1111",TH!O3137="1111")),TH!D3137,""),"")</f>
        <v/>
      </c>
      <c r="B3112" s="63">
        <f t="shared" si="203"/>
        <v>6</v>
      </c>
      <c r="C3112" s="64">
        <v>42529</v>
      </c>
      <c r="D3112" s="64" t="s">
        <v>687</v>
      </c>
      <c r="E3112" s="64">
        <f t="shared" si="205"/>
        <v>42529</v>
      </c>
      <c r="F3112" s="72" t="s">
        <v>1649</v>
      </c>
      <c r="G3112" s="67" t="s">
        <v>901</v>
      </c>
      <c r="H3112" s="72" t="s">
        <v>1650</v>
      </c>
      <c r="I3112" s="408"/>
      <c r="J3112" s="408"/>
      <c r="K3112" s="399">
        <v>70900</v>
      </c>
      <c r="L3112" s="408">
        <v>22350</v>
      </c>
      <c r="M3112" s="65">
        <v>1584615000</v>
      </c>
      <c r="N3112" s="66" t="s">
        <v>25</v>
      </c>
      <c r="O3112" s="66" t="s">
        <v>254</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customHeight="1">
      <c r="A3113" s="323" t="str">
        <f>IF(B3113&lt;&gt;"",IF(AND(B3113='IN-TC'!$S$4,OR(TH!N3138="1111",TH!O3138="1111")),TH!D3138,""),"")</f>
        <v/>
      </c>
      <c r="B3113" s="63">
        <f t="shared" si="203"/>
        <v>6</v>
      </c>
      <c r="C3113" s="64">
        <v>42529</v>
      </c>
      <c r="D3113" s="64" t="s">
        <v>687</v>
      </c>
      <c r="E3113" s="64">
        <f t="shared" si="205"/>
        <v>42529</v>
      </c>
      <c r="F3113" s="72" t="s">
        <v>1167</v>
      </c>
      <c r="G3113" s="67" t="s">
        <v>901</v>
      </c>
      <c r="H3113" s="72"/>
      <c r="I3113" s="408"/>
      <c r="J3113" s="408"/>
      <c r="K3113" s="399">
        <v>95000</v>
      </c>
      <c r="L3113" s="408">
        <v>22360</v>
      </c>
      <c r="M3113" s="65">
        <f>ROUND(K3113*L3113,0)</f>
        <v>2124200000</v>
      </c>
      <c r="N3113" s="66" t="s">
        <v>260</v>
      </c>
      <c r="O3113" s="66" t="s">
        <v>25</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customHeight="1">
      <c r="A3114" s="323" t="str">
        <f>IF(B3114&lt;&gt;"",IF(AND(B3114='IN-TC'!$S$4,OR(TH!N3141="1111",TH!O3141="1111")),TH!D3141,""),"")</f>
        <v/>
      </c>
      <c r="B3114" s="63">
        <f t="shared" si="203"/>
        <v>6</v>
      </c>
      <c r="C3114" s="64">
        <v>42529</v>
      </c>
      <c r="D3114" s="64" t="s">
        <v>687</v>
      </c>
      <c r="E3114" s="64">
        <f t="shared" si="205"/>
        <v>42529</v>
      </c>
      <c r="F3114" s="72" t="s">
        <v>1651</v>
      </c>
      <c r="G3114" s="67" t="s">
        <v>901</v>
      </c>
      <c r="H3114" s="72" t="s">
        <v>1652</v>
      </c>
      <c r="I3114" s="408"/>
      <c r="J3114" s="408"/>
      <c r="K3114" s="399">
        <v>95000</v>
      </c>
      <c r="L3114" s="408">
        <v>22355</v>
      </c>
      <c r="M3114" s="65">
        <v>2123725000</v>
      </c>
      <c r="N3114" s="66" t="s">
        <v>25</v>
      </c>
      <c r="O3114" s="66" t="s">
        <v>254</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customHeight="1">
      <c r="A3115" s="323" t="str">
        <f>IF(B3115&lt;&gt;"",IF(AND(B3115='IN-TC'!$S$4,OR(TH!N3128="1111",TH!O3128="1111")),TH!D3128,""),"")</f>
        <v/>
      </c>
      <c r="B3115" s="63">
        <f t="shared" si="203"/>
        <v>6</v>
      </c>
      <c r="C3115" s="64">
        <v>42529</v>
      </c>
      <c r="D3115" s="64" t="s">
        <v>690</v>
      </c>
      <c r="E3115" s="64">
        <f t="shared" si="205"/>
        <v>42529</v>
      </c>
      <c r="F3115" s="72" t="s">
        <v>1032</v>
      </c>
      <c r="G3115" s="67" t="s">
        <v>902</v>
      </c>
      <c r="H3115" s="72" t="s">
        <v>700</v>
      </c>
      <c r="I3115" s="408"/>
      <c r="J3115" s="408"/>
      <c r="K3115" s="399"/>
      <c r="L3115" s="408"/>
      <c r="M3115" s="65">
        <v>2491565</v>
      </c>
      <c r="N3115" s="66" t="s">
        <v>97</v>
      </c>
      <c r="O3115" s="66" t="s">
        <v>25</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customHeight="1">
      <c r="A3116" s="323" t="str">
        <f>IF(B3116&lt;&gt;"",IF(AND(B3116='IN-TC'!$S$4,OR(TH!N3129="1111",TH!O3129="1111")),TH!D3129,""),"")</f>
        <v/>
      </c>
      <c r="B3116" s="63">
        <f t="shared" si="203"/>
        <v>6</v>
      </c>
      <c r="C3116" s="64">
        <v>42529</v>
      </c>
      <c r="D3116" s="64" t="s">
        <v>690</v>
      </c>
      <c r="E3116" s="64">
        <f t="shared" si="205"/>
        <v>42529</v>
      </c>
      <c r="F3116" s="72" t="s">
        <v>1029</v>
      </c>
      <c r="G3116" s="67" t="s">
        <v>902</v>
      </c>
      <c r="H3116" s="72" t="s">
        <v>705</v>
      </c>
      <c r="I3116" s="408"/>
      <c r="J3116" s="408"/>
      <c r="K3116" s="399"/>
      <c r="L3116" s="408"/>
      <c r="M3116" s="65">
        <v>1206098</v>
      </c>
      <c r="N3116" s="66" t="s">
        <v>97</v>
      </c>
      <c r="O3116" s="66" t="s">
        <v>25</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customHeight="1">
      <c r="A3117" s="323" t="str">
        <f>IF(B3117&lt;&gt;"",IF(AND(B3117='IN-TC'!$S$4,OR(TH!N3130="1111",TH!O3130="1111")),TH!D3130,""),"")</f>
        <v/>
      </c>
      <c r="B3117" s="63">
        <f t="shared" si="203"/>
        <v>6</v>
      </c>
      <c r="C3117" s="64">
        <v>42529</v>
      </c>
      <c r="D3117" s="64" t="s">
        <v>690</v>
      </c>
      <c r="E3117" s="64">
        <f t="shared" si="205"/>
        <v>42529</v>
      </c>
      <c r="F3117" s="72" t="s">
        <v>1530</v>
      </c>
      <c r="G3117" s="67" t="s">
        <v>902</v>
      </c>
      <c r="H3117" s="72"/>
      <c r="I3117" s="408"/>
      <c r="J3117" s="408"/>
      <c r="K3117" s="399"/>
      <c r="L3117" s="408"/>
      <c r="M3117" s="65">
        <v>466702</v>
      </c>
      <c r="N3117" s="66" t="s">
        <v>99</v>
      </c>
      <c r="O3117" s="66" t="s">
        <v>25</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customHeight="1">
      <c r="A3118" s="323" t="str">
        <f>IF(B3118&lt;&gt;"",IF(AND(B3118='IN-TC'!$S$4,OR(TH!N3131="1111",TH!O3131="1111")),TH!D3131,""),"")</f>
        <v/>
      </c>
      <c r="B3118" s="63">
        <f t="shared" ref="B3118:B3181" si="206">IF(C3118&lt;&gt;"",MONTH(C3118),"")</f>
        <v>6</v>
      </c>
      <c r="C3118" s="64">
        <v>42529</v>
      </c>
      <c r="D3118" s="64" t="s">
        <v>690</v>
      </c>
      <c r="E3118" s="64">
        <f t="shared" si="205"/>
        <v>42529</v>
      </c>
      <c r="F3118" s="72" t="s">
        <v>1531</v>
      </c>
      <c r="G3118" s="67" t="s">
        <v>902</v>
      </c>
      <c r="H3118" s="72"/>
      <c r="I3118" s="408"/>
      <c r="J3118" s="408"/>
      <c r="K3118" s="399"/>
      <c r="L3118" s="408"/>
      <c r="M3118" s="65">
        <v>46670</v>
      </c>
      <c r="N3118" s="66" t="s">
        <v>9</v>
      </c>
      <c r="O3118" s="66" t="s">
        <v>25</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x</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customHeight="1">
      <c r="A3119" s="323" t="str">
        <f>IF(B3119&lt;&gt;"",IF(AND(B3119='IN-TC'!$S$4,OR(TH!N3132="1111",TH!O3132="1111")),TH!D3132,""),"")</f>
        <v/>
      </c>
      <c r="B3119" s="63">
        <f t="shared" si="206"/>
        <v>6</v>
      </c>
      <c r="C3119" s="64">
        <v>42529</v>
      </c>
      <c r="D3119" s="64" t="s">
        <v>690</v>
      </c>
      <c r="E3119" s="64">
        <f t="shared" si="205"/>
        <v>42529</v>
      </c>
      <c r="F3119" s="72" t="s">
        <v>1172</v>
      </c>
      <c r="G3119" s="67" t="s">
        <v>902</v>
      </c>
      <c r="H3119" s="329"/>
      <c r="I3119" s="408"/>
      <c r="J3119" s="408"/>
      <c r="K3119" s="399">
        <v>15</v>
      </c>
      <c r="L3119" s="408">
        <v>22300</v>
      </c>
      <c r="M3119" s="65">
        <f>ROUND(K3119*L3119,0)</f>
        <v>334500</v>
      </c>
      <c r="N3119" s="66" t="s">
        <v>99</v>
      </c>
      <c r="O3119" s="66" t="s">
        <v>260</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customHeight="1">
      <c r="A3120" s="323" t="str">
        <f>IF(B3120&lt;&gt;"",IF(AND(B3120='IN-TC'!$S$4,OR(TH!N3133="1111",TH!O3133="1111")),TH!D3133,""),"")</f>
        <v/>
      </c>
      <c r="B3120" s="63">
        <f t="shared" si="206"/>
        <v>6</v>
      </c>
      <c r="C3120" s="64">
        <v>42529</v>
      </c>
      <c r="D3120" s="64" t="s">
        <v>690</v>
      </c>
      <c r="E3120" s="64">
        <f t="shared" si="205"/>
        <v>42529</v>
      </c>
      <c r="F3120" s="72" t="s">
        <v>1173</v>
      </c>
      <c r="G3120" s="67" t="s">
        <v>902</v>
      </c>
      <c r="H3120" s="329"/>
      <c r="I3120" s="408"/>
      <c r="J3120" s="408"/>
      <c r="K3120" s="399">
        <v>1.5</v>
      </c>
      <c r="L3120" s="408">
        <v>22300</v>
      </c>
      <c r="M3120" s="65">
        <f>ROUND(K3120*L3120,0)</f>
        <v>33450</v>
      </c>
      <c r="N3120" s="66" t="s">
        <v>9</v>
      </c>
      <c r="O3120" s="66" t="s">
        <v>260</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x</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customHeight="1">
      <c r="A3121" s="323" t="str">
        <f>IF(B3121&lt;&gt;"",IF(AND(B3121='IN-TC'!$S$4,OR(TH!N3134="1111",TH!O3134="1111")),TH!D3134,""),"")</f>
        <v/>
      </c>
      <c r="B3121" s="63">
        <f t="shared" si="206"/>
        <v>6</v>
      </c>
      <c r="C3121" s="64">
        <v>42529</v>
      </c>
      <c r="D3121" s="64" t="s">
        <v>690</v>
      </c>
      <c r="E3121" s="64">
        <f t="shared" si="205"/>
        <v>42529</v>
      </c>
      <c r="F3121" s="72" t="s">
        <v>1172</v>
      </c>
      <c r="G3121" s="67" t="s">
        <v>902</v>
      </c>
      <c r="H3121" s="329"/>
      <c r="I3121" s="408"/>
      <c r="J3121" s="408"/>
      <c r="K3121" s="399">
        <v>15</v>
      </c>
      <c r="L3121" s="408">
        <v>22300</v>
      </c>
      <c r="M3121" s="65">
        <f>ROUND(K3121*L3121,0)</f>
        <v>334500</v>
      </c>
      <c r="N3121" s="66" t="s">
        <v>99</v>
      </c>
      <c r="O3121" s="66" t="s">
        <v>260</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customHeight="1">
      <c r="A3122" s="323" t="str">
        <f>IF(B3122&lt;&gt;"",IF(AND(B3122='IN-TC'!$S$4,OR(TH!N3135="1111",TH!O3135="1111")),TH!D3135,""),"")</f>
        <v/>
      </c>
      <c r="B3122" s="63">
        <f t="shared" si="206"/>
        <v>6</v>
      </c>
      <c r="C3122" s="64">
        <v>42529</v>
      </c>
      <c r="D3122" s="64" t="s">
        <v>690</v>
      </c>
      <c r="E3122" s="64">
        <f t="shared" si="205"/>
        <v>42529</v>
      </c>
      <c r="F3122" s="72" t="s">
        <v>1173</v>
      </c>
      <c r="G3122" s="67" t="s">
        <v>902</v>
      </c>
      <c r="H3122" s="329"/>
      <c r="I3122" s="408"/>
      <c r="J3122" s="408"/>
      <c r="K3122" s="399">
        <v>1.5</v>
      </c>
      <c r="L3122" s="408">
        <v>22300</v>
      </c>
      <c r="M3122" s="65">
        <f>ROUND(K3122*L3122,0)</f>
        <v>33450</v>
      </c>
      <c r="N3122" s="66" t="s">
        <v>9</v>
      </c>
      <c r="O3122" s="66" t="s">
        <v>260</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x</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customHeight="1">
      <c r="A3123" s="323" t="str">
        <f>IF(B3123&lt;&gt;"",IF(AND(B3123='IN-TC'!$S$4,OR(TH!N3136="1111",TH!O3136="1111")),TH!D3136,""),"")</f>
        <v/>
      </c>
      <c r="B3123" s="63">
        <f t="shared" si="206"/>
        <v>6</v>
      </c>
      <c r="C3123" s="64">
        <v>42529</v>
      </c>
      <c r="D3123" s="64" t="s">
        <v>690</v>
      </c>
      <c r="E3123" s="64">
        <f t="shared" si="205"/>
        <v>42529</v>
      </c>
      <c r="F3123" s="72" t="s">
        <v>1181</v>
      </c>
      <c r="G3123" s="67" t="s">
        <v>908</v>
      </c>
      <c r="H3123" s="72"/>
      <c r="I3123" s="408"/>
      <c r="J3123" s="408"/>
      <c r="K3123" s="399"/>
      <c r="L3123" s="408"/>
      <c r="M3123" s="65">
        <v>1560000000</v>
      </c>
      <c r="N3123" s="66" t="s">
        <v>25</v>
      </c>
      <c r="O3123" s="66" t="s">
        <v>25</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customHeight="1">
      <c r="A3124" s="323" t="str">
        <f>IF(B3124&lt;&gt;"",IF(AND(B3124='IN-TC'!$S$4,OR(TH!N3139="1111",TH!O3139="1111")),TH!D3139,""),"")</f>
        <v/>
      </c>
      <c r="B3124" s="63">
        <f t="shared" si="206"/>
        <v>6</v>
      </c>
      <c r="C3124" s="64">
        <v>42529</v>
      </c>
      <c r="D3124" s="64" t="s">
        <v>690</v>
      </c>
      <c r="E3124" s="64">
        <f t="shared" si="205"/>
        <v>42529</v>
      </c>
      <c r="F3124" s="482" t="s">
        <v>743</v>
      </c>
      <c r="G3124" s="67" t="s">
        <v>901</v>
      </c>
      <c r="H3124" s="72" t="s">
        <v>715</v>
      </c>
      <c r="I3124" s="408"/>
      <c r="J3124" s="408"/>
      <c r="K3124" s="399"/>
      <c r="L3124" s="408"/>
      <c r="M3124" s="65">
        <v>4164540</v>
      </c>
      <c r="N3124" s="66" t="s">
        <v>97</v>
      </c>
      <c r="O3124" s="66" t="s">
        <v>25</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customHeight="1">
      <c r="A3125" s="323" t="str">
        <f>IF(B3125&lt;&gt;"",IF(AND(B3125='IN-TC'!$S$4,OR(TH!N3140="1111",TH!O3140="1111")),TH!D3140,""),"")</f>
        <v/>
      </c>
      <c r="B3125" s="63">
        <f t="shared" si="206"/>
        <v>6</v>
      </c>
      <c r="C3125" s="64">
        <v>42529</v>
      </c>
      <c r="D3125" s="64" t="s">
        <v>690</v>
      </c>
      <c r="E3125" s="64">
        <f t="shared" si="205"/>
        <v>42529</v>
      </c>
      <c r="F3125" s="482" t="s">
        <v>744</v>
      </c>
      <c r="G3125" s="67" t="s">
        <v>901</v>
      </c>
      <c r="H3125" s="72" t="s">
        <v>716</v>
      </c>
      <c r="I3125" s="408"/>
      <c r="J3125" s="408"/>
      <c r="K3125" s="399"/>
      <c r="L3125" s="408"/>
      <c r="M3125" s="65">
        <v>1970320</v>
      </c>
      <c r="N3125" s="66" t="s">
        <v>97</v>
      </c>
      <c r="O3125" s="66" t="s">
        <v>25</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customHeight="1">
      <c r="A3126" s="323" t="str">
        <f>IF(B3126&lt;&gt;"",IF(AND(B3126='IN-TC'!$S$4,OR(TH!N3142="1111",TH!O3142="1111")),TH!D3142,""),"")</f>
        <v/>
      </c>
      <c r="B3126" s="63">
        <f t="shared" si="206"/>
        <v>6</v>
      </c>
      <c r="C3126" s="64">
        <v>42529</v>
      </c>
      <c r="D3126" s="64" t="s">
        <v>690</v>
      </c>
      <c r="E3126" s="64">
        <f t="shared" si="205"/>
        <v>42529</v>
      </c>
      <c r="F3126" s="72" t="s">
        <v>1170</v>
      </c>
      <c r="G3126" s="67" t="s">
        <v>901</v>
      </c>
      <c r="H3126" s="72" t="s">
        <v>715</v>
      </c>
      <c r="I3126" s="408"/>
      <c r="J3126" s="408"/>
      <c r="K3126" s="399">
        <v>62000</v>
      </c>
      <c r="L3126" s="408">
        <v>22360</v>
      </c>
      <c r="M3126" s="65">
        <f>ROUND(K3126*L3126,0)</f>
        <v>1386320000</v>
      </c>
      <c r="N3126" s="66" t="s">
        <v>254</v>
      </c>
      <c r="O3126" s="66" t="s">
        <v>260</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customHeight="1">
      <c r="A3127" s="323" t="str">
        <f>IF(B3127&lt;&gt;"",IF(AND(B3127='IN-TC'!$S$4,OR(TH!N3144="1111",TH!O3144="1111")),TH!D3144,""),"")</f>
        <v/>
      </c>
      <c r="B3127" s="63">
        <f t="shared" si="206"/>
        <v>6</v>
      </c>
      <c r="C3127" s="64">
        <v>42529</v>
      </c>
      <c r="D3127" s="64" t="s">
        <v>690</v>
      </c>
      <c r="E3127" s="64">
        <f t="shared" si="205"/>
        <v>42529</v>
      </c>
      <c r="F3127" s="72" t="s">
        <v>1170</v>
      </c>
      <c r="G3127" s="67" t="s">
        <v>901</v>
      </c>
      <c r="H3127" s="72" t="s">
        <v>716</v>
      </c>
      <c r="I3127" s="408"/>
      <c r="J3127" s="408"/>
      <c r="K3127" s="399">
        <v>33000</v>
      </c>
      <c r="L3127" s="408">
        <v>22360</v>
      </c>
      <c r="M3127" s="65">
        <f>ROUND(K3127*L3127,0)</f>
        <v>737880000</v>
      </c>
      <c r="N3127" s="66" t="s">
        <v>254</v>
      </c>
      <c r="O3127" s="66" t="s">
        <v>260</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customHeight="1">
      <c r="A3128" s="323" t="str">
        <f>IF(B3128&lt;&gt;"",IF(AND(B3128='IN-TC'!$S$4,OR(TH!N3126="1111",TH!O3126="1111")),TH!D3126,""),"")</f>
        <v/>
      </c>
      <c r="B3128" s="63">
        <f t="shared" si="206"/>
        <v>6</v>
      </c>
      <c r="C3128" s="64">
        <v>42529</v>
      </c>
      <c r="D3128" s="64" t="s">
        <v>857</v>
      </c>
      <c r="E3128" s="64">
        <v>42529</v>
      </c>
      <c r="F3128" s="72" t="s">
        <v>1126</v>
      </c>
      <c r="G3128" s="67" t="s">
        <v>901</v>
      </c>
      <c r="H3128" s="72" t="s">
        <v>748</v>
      </c>
      <c r="I3128" s="408"/>
      <c r="J3128" s="408"/>
      <c r="K3128" s="399"/>
      <c r="L3128" s="408"/>
      <c r="M3128" s="65">
        <v>2150000000</v>
      </c>
      <c r="N3128" s="66" t="s">
        <v>61</v>
      </c>
      <c r="O3128" s="66" t="s">
        <v>25</v>
      </c>
      <c r="P3128" s="82" t="str">
        <f>IF(AND('331-CT'!$E$7=TH!H3128,OR(N3128="331",O3128="331")),"x","")</f>
        <v/>
      </c>
      <c r="Q3128" s="82" t="str">
        <f>IF(AND(B3128='111'!$L$11,OR($N3128=$Q$7,$O3128=$Q$7)),"x","")</f>
        <v/>
      </c>
      <c r="R3128" s="82" t="str">
        <f>IF(AND($N3128=$Q$7,$B3128&lt;'111'!$L$11),"x","")</f>
        <v>x</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customHeight="1">
      <c r="A3129" s="323" t="str">
        <f>IF(B3129&lt;&gt;"",IF(AND(B3129='IN-TC'!$S$4,OR(TH!N3127="1111",TH!O3127="1111")),TH!D3127,""),"")</f>
        <v/>
      </c>
      <c r="B3129" s="63">
        <f t="shared" si="206"/>
        <v>6</v>
      </c>
      <c r="C3129" s="64">
        <v>42529</v>
      </c>
      <c r="D3129" s="64" t="s">
        <v>886</v>
      </c>
      <c r="E3129" s="64">
        <v>42529</v>
      </c>
      <c r="F3129" s="72" t="s">
        <v>1126</v>
      </c>
      <c r="G3129" s="67" t="s">
        <v>901</v>
      </c>
      <c r="H3129" s="72" t="s">
        <v>748</v>
      </c>
      <c r="I3129" s="408"/>
      <c r="J3129" s="408"/>
      <c r="K3129" s="399"/>
      <c r="L3129" s="408"/>
      <c r="M3129" s="65">
        <v>1590000000</v>
      </c>
      <c r="N3129" s="66" t="s">
        <v>61</v>
      </c>
      <c r="O3129" s="66" t="s">
        <v>25</v>
      </c>
      <c r="P3129" s="82" t="str">
        <f>IF(AND('331-CT'!$E$7=TH!H3129,OR(N3129="331",O3129="331")),"x","")</f>
        <v/>
      </c>
      <c r="Q3129" s="82" t="str">
        <f>IF(AND(B3129='111'!$L$11,OR($N3129=$Q$7,$O3129=$Q$7)),"x","")</f>
        <v/>
      </c>
      <c r="R3129" s="82" t="str">
        <f>IF(AND($N3129=$Q$7,$B3129&lt;'111'!$L$11),"x","")</f>
        <v>x</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customHeight="1">
      <c r="A3130" s="323" t="str">
        <f>IF(B3130&lt;&gt;"",IF(AND(B3130='IN-TC'!$S$4,OR(TH!N3099="1111",TH!O3099="1111")),TH!D3099,""),"")</f>
        <v/>
      </c>
      <c r="B3130" s="63">
        <f t="shared" si="206"/>
        <v>6</v>
      </c>
      <c r="C3130" s="64">
        <v>42530</v>
      </c>
      <c r="D3130" s="306" t="s">
        <v>867</v>
      </c>
      <c r="E3130" s="306">
        <v>42530</v>
      </c>
      <c r="F3130" s="72" t="s">
        <v>997</v>
      </c>
      <c r="G3130" s="931" t="s">
        <v>1557</v>
      </c>
      <c r="H3130" s="72" t="s">
        <v>792</v>
      </c>
      <c r="I3130" s="408"/>
      <c r="J3130" s="408"/>
      <c r="K3130" s="399"/>
      <c r="L3130" s="408"/>
      <c r="M3130" s="65">
        <v>1927273</v>
      </c>
      <c r="N3130" s="66" t="s">
        <v>99</v>
      </c>
      <c r="O3130" s="66" t="s">
        <v>61</v>
      </c>
      <c r="P3130" s="82" t="str">
        <f>IF(AND('331-CT'!$E$7=TH!H3130,OR(N3130="331",O3130="331")),"x","")</f>
        <v/>
      </c>
      <c r="Q3130" s="82" t="str">
        <f>IF(AND(B3130='111'!$L$11,OR($N3130=$Q$7,$O3130=$Q$7)),"x","")</f>
        <v/>
      </c>
      <c r="R3130" s="82" t="str">
        <f>IF(AND($N3130=$Q$7,$B3130&lt;'111'!$L$11),"x","")</f>
        <v/>
      </c>
      <c r="S3130" s="82" t="str">
        <f>IF(AND($O3130=$Q$7,$B3130&lt;'111'!$L$11),"x","")</f>
        <v>x</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customHeight="1">
      <c r="A3131" s="323" t="str">
        <f>IF(B3131&lt;&gt;"",IF(AND(B3131='IN-TC'!$S$4,OR(TH!N3100="1111",TH!O3100="1111")),TH!D3100,""),"")</f>
        <v/>
      </c>
      <c r="B3131" s="63">
        <f t="shared" si="206"/>
        <v>6</v>
      </c>
      <c r="C3131" s="64">
        <v>42530</v>
      </c>
      <c r="D3131" s="306" t="s">
        <v>867</v>
      </c>
      <c r="E3131" s="306">
        <v>42530</v>
      </c>
      <c r="F3131" s="72" t="s">
        <v>998</v>
      </c>
      <c r="G3131" s="931" t="s">
        <v>1557</v>
      </c>
      <c r="H3131" s="72" t="s">
        <v>792</v>
      </c>
      <c r="I3131" s="408"/>
      <c r="J3131" s="408"/>
      <c r="K3131" s="399"/>
      <c r="L3131" s="408"/>
      <c r="M3131" s="65">
        <v>192727</v>
      </c>
      <c r="N3131" s="66" t="s">
        <v>9</v>
      </c>
      <c r="O3131" s="66" t="s">
        <v>61</v>
      </c>
      <c r="P3131" s="82" t="str">
        <f>IF(AND('331-CT'!$E$7=TH!H3131,OR(N3131="331",O3131="331")),"x","")</f>
        <v/>
      </c>
      <c r="Q3131" s="82" t="str">
        <f>IF(AND(B3131='111'!$L$11,OR($N3131=$Q$7,$O3131=$Q$7)),"x","")</f>
        <v/>
      </c>
      <c r="R3131" s="82" t="str">
        <f>IF(AND($N3131=$Q$7,$B3131&lt;'111'!$L$11),"x","")</f>
        <v/>
      </c>
      <c r="S3131" s="82" t="str">
        <f>IF(AND($O3131=$Q$7,$B3131&lt;'111'!$L$11),"x","")</f>
        <v>x</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x</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customHeight="1">
      <c r="A3132" s="323" t="str">
        <f>IF(B3132&lt;&gt;"",IF(AND(B3132='IN-TC'!$S$4,OR(TH!N3149="1111",TH!O3149="1111")),TH!D3149,""),"")</f>
        <v/>
      </c>
      <c r="B3132" s="63">
        <f t="shared" si="206"/>
        <v>6</v>
      </c>
      <c r="C3132" s="64">
        <v>42531</v>
      </c>
      <c r="D3132" s="64" t="s">
        <v>690</v>
      </c>
      <c r="E3132" s="64">
        <f>C3132</f>
        <v>42531</v>
      </c>
      <c r="F3132" s="72" t="s">
        <v>1045</v>
      </c>
      <c r="G3132" s="67" t="s">
        <v>902</v>
      </c>
      <c r="H3132" s="72"/>
      <c r="I3132" s="408"/>
      <c r="J3132" s="408"/>
      <c r="K3132" s="399"/>
      <c r="L3132" s="408"/>
      <c r="M3132" s="65">
        <v>1401257</v>
      </c>
      <c r="N3132" s="66" t="s">
        <v>99</v>
      </c>
      <c r="O3132" s="66" t="s">
        <v>25</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customHeight="1">
      <c r="A3133" s="323" t="str">
        <f>IF(B3133&lt;&gt;"",IF(AND(B3133='IN-TC'!$S$4,OR(TH!N3150="1111",TH!O3150="1111")),TH!D3150,""),"")</f>
        <v/>
      </c>
      <c r="B3133" s="63">
        <f t="shared" si="206"/>
        <v>6</v>
      </c>
      <c r="C3133" s="64">
        <v>42531</v>
      </c>
      <c r="D3133" s="64" t="s">
        <v>690</v>
      </c>
      <c r="E3133" s="64">
        <f>C3133</f>
        <v>42531</v>
      </c>
      <c r="F3133" s="72" t="s">
        <v>1046</v>
      </c>
      <c r="G3133" s="67" t="s">
        <v>902</v>
      </c>
      <c r="H3133" s="72"/>
      <c r="I3133" s="408"/>
      <c r="J3133" s="408"/>
      <c r="K3133" s="399"/>
      <c r="L3133" s="408"/>
      <c r="M3133" s="65">
        <v>140126</v>
      </c>
      <c r="N3133" s="66" t="s">
        <v>9</v>
      </c>
      <c r="O3133" s="66" t="s">
        <v>25</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x</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customHeight="1">
      <c r="A3134" s="323" t="str">
        <f>IF(B3134&lt;&gt;"",IF(AND(B3134='IN-TC'!$S$4,OR(TH!N3151="1111",TH!O3151="1111")),TH!D3151,""),"")</f>
        <v/>
      </c>
      <c r="B3134" s="63">
        <f t="shared" si="206"/>
        <v>6</v>
      </c>
      <c r="C3134" s="64">
        <v>42531</v>
      </c>
      <c r="D3134" s="64" t="s">
        <v>690</v>
      </c>
      <c r="E3134" s="64">
        <f>C3134</f>
        <v>42531</v>
      </c>
      <c r="F3134" s="72" t="s">
        <v>1172</v>
      </c>
      <c r="G3134" s="67" t="s">
        <v>902</v>
      </c>
      <c r="H3134" s="329"/>
      <c r="I3134" s="408"/>
      <c r="J3134" s="408"/>
      <c r="K3134" s="399">
        <v>15</v>
      </c>
      <c r="L3134" s="408">
        <v>22300</v>
      </c>
      <c r="M3134" s="65">
        <f>ROUND(K3134*L3134,0)</f>
        <v>334500</v>
      </c>
      <c r="N3134" s="66" t="s">
        <v>99</v>
      </c>
      <c r="O3134" s="66" t="s">
        <v>260</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customHeight="1">
      <c r="A3135" s="323" t="str">
        <f>IF(B3135&lt;&gt;"",IF(AND(B3135='IN-TC'!$S$4,OR(TH!N3152="1111",TH!O3152="1111")),TH!D3152,""),"")</f>
        <v/>
      </c>
      <c r="B3135" s="63">
        <f t="shared" si="206"/>
        <v>6</v>
      </c>
      <c r="C3135" s="64">
        <v>42531</v>
      </c>
      <c r="D3135" s="64" t="s">
        <v>690</v>
      </c>
      <c r="E3135" s="64">
        <f>C3135</f>
        <v>42531</v>
      </c>
      <c r="F3135" s="72" t="s">
        <v>1173</v>
      </c>
      <c r="G3135" s="67" t="s">
        <v>902</v>
      </c>
      <c r="H3135" s="329"/>
      <c r="I3135" s="408"/>
      <c r="J3135" s="408"/>
      <c r="K3135" s="399">
        <v>1.5</v>
      </c>
      <c r="L3135" s="408">
        <v>22300</v>
      </c>
      <c r="M3135" s="65">
        <f>ROUND(K3135*L3135,0)</f>
        <v>33450</v>
      </c>
      <c r="N3135" s="66" t="s">
        <v>9</v>
      </c>
      <c r="O3135" s="66" t="s">
        <v>260</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x</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customHeight="1">
      <c r="A3136" s="323" t="str">
        <f>IF(B3136&lt;&gt;"",IF(AND(B3136='IN-TC'!$S$4,OR(TH!N3148="1111",TH!O3148="1111")),TH!D3148,""),"")</f>
        <v/>
      </c>
      <c r="B3136" s="63">
        <f t="shared" si="206"/>
        <v>6</v>
      </c>
      <c r="C3136" s="64">
        <v>42531</v>
      </c>
      <c r="D3136" s="64" t="s">
        <v>889</v>
      </c>
      <c r="E3136" s="64">
        <v>42531</v>
      </c>
      <c r="F3136" s="72" t="s">
        <v>1126</v>
      </c>
      <c r="G3136" s="67" t="s">
        <v>902</v>
      </c>
      <c r="H3136" s="72" t="s">
        <v>748</v>
      </c>
      <c r="I3136" s="408"/>
      <c r="J3136" s="408"/>
      <c r="K3136" s="399"/>
      <c r="L3136" s="408"/>
      <c r="M3136" s="65">
        <v>300000000</v>
      </c>
      <c r="N3136" s="66" t="s">
        <v>61</v>
      </c>
      <c r="O3136" s="66" t="s">
        <v>25</v>
      </c>
      <c r="P3136" s="82" t="str">
        <f>IF(AND('331-CT'!$E$7=TH!H3136,OR(N3136="331",O3136="331")),"x","")</f>
        <v/>
      </c>
      <c r="Q3136" s="82" t="str">
        <f>IF(AND(B3136='111'!$L$11,OR($N3136=$Q$7,$O3136=$Q$7)),"x","")</f>
        <v/>
      </c>
      <c r="R3136" s="82" t="str">
        <f>IF(AND($N3136=$Q$7,$B3136&lt;'111'!$L$11),"x","")</f>
        <v>x</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customHeight="1">
      <c r="A3137" s="323" t="str">
        <f>IF(B3137&lt;&gt;"",IF(AND(B3137='IN-TC'!$S$4,OR(TH!N3112="1111",TH!O3112="1111")),TH!D3112,""),"")</f>
        <v/>
      </c>
      <c r="B3137" s="63">
        <f t="shared" si="206"/>
        <v>6</v>
      </c>
      <c r="C3137" s="1092">
        <v>42534</v>
      </c>
      <c r="D3137" s="1092" t="s">
        <v>868</v>
      </c>
      <c r="E3137" s="1092">
        <f>C3137</f>
        <v>42534</v>
      </c>
      <c r="F3137" s="482" t="s">
        <v>947</v>
      </c>
      <c r="G3137" s="1094"/>
      <c r="H3137" s="1093" t="s">
        <v>946</v>
      </c>
      <c r="I3137" s="1095"/>
      <c r="J3137" s="1095"/>
      <c r="K3137" s="1096"/>
      <c r="L3137" s="1095"/>
      <c r="M3137" s="1097">
        <v>500000000</v>
      </c>
      <c r="N3137" s="1098" t="s">
        <v>266</v>
      </c>
      <c r="O3137" s="1098" t="s">
        <v>61</v>
      </c>
      <c r="P3137" s="82" t="str">
        <f>IF(AND('331-CT'!$E$7=TH!H3137,OR(N3137="331",O3137="331")),"x","")</f>
        <v/>
      </c>
      <c r="Q3137" s="82" t="str">
        <f>IF(AND(B3137='111'!$L$11,OR($N3137=$Q$7,$O3137=$Q$7)),"x","")</f>
        <v/>
      </c>
      <c r="R3137" s="82" t="str">
        <f>IF(AND($N3137=$Q$7,$B3137&lt;'111'!$L$11),"x","")</f>
        <v/>
      </c>
      <c r="S3137" s="82" t="str">
        <f>IF(AND($O3137=$Q$7,$B3137&lt;'111'!$L$11),"x","")</f>
        <v>x</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customHeight="1">
      <c r="A3138" s="323" t="str">
        <f>IF(B3138&lt;&gt;"",IF(AND(B3138='IN-TC'!$S$4,OR(TH!N3123="1111",TH!O3123="1111")),TH!D3123,""),"")</f>
        <v/>
      </c>
      <c r="B3138" s="63">
        <f t="shared" si="206"/>
        <v>6</v>
      </c>
      <c r="C3138" s="1092">
        <v>42534</v>
      </c>
      <c r="D3138" s="1092" t="s">
        <v>869</v>
      </c>
      <c r="E3138" s="1092">
        <f>C3138</f>
        <v>42534</v>
      </c>
      <c r="F3138" s="482" t="s">
        <v>947</v>
      </c>
      <c r="G3138" s="1094"/>
      <c r="H3138" s="1093" t="s">
        <v>3001</v>
      </c>
      <c r="I3138" s="1095"/>
      <c r="J3138" s="1095"/>
      <c r="K3138" s="1096"/>
      <c r="L3138" s="1095"/>
      <c r="M3138" s="1097">
        <v>400000000</v>
      </c>
      <c r="N3138" s="1098" t="s">
        <v>266</v>
      </c>
      <c r="O3138" s="1098" t="s">
        <v>61</v>
      </c>
      <c r="P3138" s="82" t="str">
        <f>IF(AND('331-CT'!$E$7=TH!H3138,OR(N3138="331",O3138="331")),"x","")</f>
        <v/>
      </c>
      <c r="Q3138" s="82" t="str">
        <f>IF(AND(B3138='111'!$L$11,OR($N3138=$Q$7,$O3138=$Q$7)),"x","")</f>
        <v/>
      </c>
      <c r="R3138" s="82" t="str">
        <f>IF(AND($N3138=$Q$7,$B3138&lt;'111'!$L$11),"x","")</f>
        <v/>
      </c>
      <c r="S3138" s="82" t="str">
        <f>IF(AND($O3138=$Q$7,$B3138&lt;'111'!$L$11),"x","")</f>
        <v>x</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customHeight="1">
      <c r="A3139" s="323" t="str">
        <f>IF(B3139&lt;&gt;"",IF(AND(B3139='IN-TC'!$S$4,OR(TH!N3124="1111",TH!O3124="1111")),TH!D3124,""),"")</f>
        <v/>
      </c>
      <c r="B3139" s="63">
        <f t="shared" si="206"/>
        <v>6</v>
      </c>
      <c r="C3139" s="64">
        <v>42534</v>
      </c>
      <c r="D3139" s="64" t="s">
        <v>870</v>
      </c>
      <c r="E3139" s="64">
        <v>42534</v>
      </c>
      <c r="F3139" s="72" t="s">
        <v>1087</v>
      </c>
      <c r="G3139" s="67" t="s">
        <v>902</v>
      </c>
      <c r="H3139" s="72" t="s">
        <v>748</v>
      </c>
      <c r="I3139" s="408"/>
      <c r="J3139" s="408"/>
      <c r="K3139" s="399"/>
      <c r="L3139" s="408"/>
      <c r="M3139" s="65">
        <v>32000000</v>
      </c>
      <c r="N3139" s="66" t="s">
        <v>25</v>
      </c>
      <c r="O3139" s="66" t="s">
        <v>61</v>
      </c>
      <c r="P3139" s="82" t="str">
        <f>IF(AND('331-CT'!$E$7=TH!H3139,OR(N3139="331",O3139="331")),"x","")</f>
        <v/>
      </c>
      <c r="Q3139" s="82" t="str">
        <f>IF(AND(B3139='111'!$L$11,OR($N3139=$Q$7,$O3139=$Q$7)),"x","")</f>
        <v/>
      </c>
      <c r="R3139" s="82" t="str">
        <f>IF(AND($N3139=$Q$7,$B3139&lt;'111'!$L$11),"x","")</f>
        <v/>
      </c>
      <c r="S3139" s="82" t="str">
        <f>IF(AND($O3139=$Q$7,$B3139&lt;'111'!$L$11),"x","")</f>
        <v>x</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customHeight="1">
      <c r="A3140" s="323" t="str">
        <f>IF(B3140&lt;&gt;"",IF(AND(B3140='IN-TC'!$S$4,OR(TH!N2070="1111",TH!O2070="1111")),TH!D2070,""),"")</f>
        <v/>
      </c>
      <c r="B3140" s="63">
        <f t="shared" si="206"/>
        <v>10</v>
      </c>
      <c r="C3140" s="78">
        <v>42674</v>
      </c>
      <c r="D3140" s="78" t="s">
        <v>570</v>
      </c>
      <c r="E3140" s="78">
        <v>42669</v>
      </c>
      <c r="F3140" s="80" t="s">
        <v>2164</v>
      </c>
      <c r="G3140" s="934" t="s">
        <v>2283</v>
      </c>
      <c r="H3140" s="80" t="s">
        <v>617</v>
      </c>
      <c r="I3140" s="406"/>
      <c r="J3140" s="406"/>
      <c r="K3140" s="397"/>
      <c r="L3140" s="406"/>
      <c r="M3140" s="81">
        <v>2057710</v>
      </c>
      <c r="N3140" s="82" t="s">
        <v>9</v>
      </c>
      <c r="O3140" s="82" t="s">
        <v>8</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x</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customHeight="1">
      <c r="A3141" s="323" t="str">
        <f>IF(B3141&lt;&gt;"",IF(AND(B3141='IN-TC'!$S$4,OR(TH!N3155="1111",TH!O3155="1111")),TH!D3155,""),"")</f>
        <v/>
      </c>
      <c r="B3141" s="63">
        <f t="shared" si="206"/>
        <v>6</v>
      </c>
      <c r="C3141" s="64">
        <v>42534</v>
      </c>
      <c r="D3141" s="64" t="s">
        <v>690</v>
      </c>
      <c r="E3141" s="64">
        <f>C3141</f>
        <v>42534</v>
      </c>
      <c r="F3141" s="72" t="s">
        <v>1156</v>
      </c>
      <c r="G3141" s="67" t="s">
        <v>902</v>
      </c>
      <c r="H3141" s="72"/>
      <c r="I3141" s="408"/>
      <c r="J3141" s="408"/>
      <c r="K3141" s="399"/>
      <c r="L3141" s="408"/>
      <c r="M3141" s="65">
        <v>45000</v>
      </c>
      <c r="N3141" s="66" t="s">
        <v>99</v>
      </c>
      <c r="O3141" s="66" t="s">
        <v>25</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customHeight="1">
      <c r="A3142" s="323" t="str">
        <f>IF(B3142&lt;&gt;"",IF(AND(B3142='IN-TC'!$S$4,OR(TH!N3156="1111",TH!O3156="1111")),TH!D3156,""),"")</f>
        <v/>
      </c>
      <c r="B3142" s="63">
        <f t="shared" si="206"/>
        <v>6</v>
      </c>
      <c r="C3142" s="64">
        <v>42534</v>
      </c>
      <c r="D3142" s="64" t="s">
        <v>690</v>
      </c>
      <c r="E3142" s="64">
        <f>C3142</f>
        <v>42534</v>
      </c>
      <c r="F3142" s="72" t="s">
        <v>1616</v>
      </c>
      <c r="G3142" s="67" t="s">
        <v>902</v>
      </c>
      <c r="H3142" s="72"/>
      <c r="I3142" s="408"/>
      <c r="J3142" s="408"/>
      <c r="K3142" s="399"/>
      <c r="L3142" s="408"/>
      <c r="M3142" s="65">
        <v>4500</v>
      </c>
      <c r="N3142" s="66" t="s">
        <v>9</v>
      </c>
      <c r="O3142" s="66" t="s">
        <v>25</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x</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customHeight="1">
      <c r="A3143" s="323" t="str">
        <f>IF(B3143&lt;&gt;"",IF(AND(B3143='IN-TC'!$S$4,OR(TH!N3125="1111",TH!O3125="1111")),TH!D3125,""),"")</f>
        <v/>
      </c>
      <c r="B3143" s="63">
        <f t="shared" si="206"/>
        <v>6</v>
      </c>
      <c r="C3143" s="64">
        <v>42535</v>
      </c>
      <c r="D3143" s="64" t="s">
        <v>871</v>
      </c>
      <c r="E3143" s="64">
        <v>42535</v>
      </c>
      <c r="F3143" s="72" t="s">
        <v>761</v>
      </c>
      <c r="G3143" s="931" t="s">
        <v>1558</v>
      </c>
      <c r="H3143" s="72" t="s">
        <v>792</v>
      </c>
      <c r="I3143" s="408"/>
      <c r="J3143" s="408"/>
      <c r="K3143" s="399"/>
      <c r="L3143" s="408"/>
      <c r="M3143" s="65">
        <v>900000</v>
      </c>
      <c r="N3143" s="66" t="s">
        <v>99</v>
      </c>
      <c r="O3143" s="66" t="s">
        <v>61</v>
      </c>
      <c r="P3143" s="82" t="str">
        <f>IF(AND('331-CT'!$E$7=TH!H3143,OR(N3143="331",O3143="331")),"x","")</f>
        <v/>
      </c>
      <c r="Q3143" s="82" t="str">
        <f>IF(AND(B3143='111'!$L$11,OR($N3143=$Q$7,$O3143=$Q$7)),"x","")</f>
        <v/>
      </c>
      <c r="R3143" s="82" t="str">
        <f>IF(AND($N3143=$Q$7,$B3143&lt;'111'!$L$11),"x","")</f>
        <v/>
      </c>
      <c r="S3143" s="82" t="str">
        <f>IF(AND($O3143=$Q$7,$B3143&lt;'111'!$L$11),"x","")</f>
        <v>x</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customHeight="1">
      <c r="A3144" s="323" t="str">
        <f>IF(B3144&lt;&gt;"",IF(AND(B3144='IN-TC'!$S$4,OR(TH!N3146="1111",TH!O3146="1111")),TH!D3146,""),"")</f>
        <v/>
      </c>
      <c r="B3144" s="63">
        <f t="shared" si="206"/>
        <v>6</v>
      </c>
      <c r="C3144" s="64">
        <v>42535</v>
      </c>
      <c r="D3144" s="64" t="s">
        <v>871</v>
      </c>
      <c r="E3144" s="64">
        <v>42535</v>
      </c>
      <c r="F3144" s="72" t="s">
        <v>762</v>
      </c>
      <c r="G3144" s="931" t="s">
        <v>1558</v>
      </c>
      <c r="H3144" s="72" t="s">
        <v>792</v>
      </c>
      <c r="I3144" s="408"/>
      <c r="J3144" s="408"/>
      <c r="K3144" s="399"/>
      <c r="L3144" s="408"/>
      <c r="M3144" s="65">
        <v>90000</v>
      </c>
      <c r="N3144" s="66" t="s">
        <v>9</v>
      </c>
      <c r="O3144" s="66" t="s">
        <v>61</v>
      </c>
      <c r="P3144" s="82" t="str">
        <f>IF(AND('331-CT'!$E$7=TH!H3144,OR(N3144="331",O3144="331")),"x","")</f>
        <v/>
      </c>
      <c r="Q3144" s="82" t="str">
        <f>IF(AND(B3144='111'!$L$11,OR($N3144=$Q$7,$O3144=$Q$7)),"x","")</f>
        <v/>
      </c>
      <c r="R3144" s="82" t="str">
        <f>IF(AND($N3144=$Q$7,$B3144&lt;'111'!$L$11),"x","")</f>
        <v/>
      </c>
      <c r="S3144" s="82" t="str">
        <f>IF(AND($O3144=$Q$7,$B3144&lt;'111'!$L$11),"x","")</f>
        <v>x</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x</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customHeight="1">
      <c r="A3145" s="323" t="str">
        <f>IF(B3145&lt;&gt;"",IF(AND(B3145='IN-TC'!$S$4,OR(TH!N3147="1111",TH!O3147="1111")),TH!D3147,""),"")</f>
        <v/>
      </c>
      <c r="B3145" s="63">
        <f t="shared" si="206"/>
        <v>6</v>
      </c>
      <c r="C3145" s="64">
        <v>42536</v>
      </c>
      <c r="D3145" s="64" t="s">
        <v>872</v>
      </c>
      <c r="E3145" s="64">
        <v>42536</v>
      </c>
      <c r="F3145" s="72" t="s">
        <v>997</v>
      </c>
      <c r="G3145" s="931" t="s">
        <v>1559</v>
      </c>
      <c r="H3145" s="72" t="s">
        <v>792</v>
      </c>
      <c r="I3145" s="408"/>
      <c r="J3145" s="408"/>
      <c r="K3145" s="399"/>
      <c r="L3145" s="408"/>
      <c r="M3145" s="65">
        <v>2011909</v>
      </c>
      <c r="N3145" s="66" t="s">
        <v>99</v>
      </c>
      <c r="O3145" s="66" t="s">
        <v>61</v>
      </c>
      <c r="P3145" s="82" t="str">
        <f>IF(AND('331-CT'!$E$7=TH!H3145,OR(N3145="331",O3145="331")),"x","")</f>
        <v/>
      </c>
      <c r="Q3145" s="82" t="str">
        <f>IF(AND(B3145='111'!$L$11,OR($N3145=$Q$7,$O3145=$Q$7)),"x","")</f>
        <v/>
      </c>
      <c r="R3145" s="82" t="str">
        <f>IF(AND($N3145=$Q$7,$B3145&lt;'111'!$L$11),"x","")</f>
        <v/>
      </c>
      <c r="S3145" s="82" t="str">
        <f>IF(AND($O3145=$Q$7,$B3145&lt;'111'!$L$11),"x","")</f>
        <v>x</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customHeight="1">
      <c r="A3146" s="323" t="str">
        <f>IF(B3146&lt;&gt;"",IF(AND(B3146='IN-TC'!$S$4,OR(TH!N3153="1111",TH!O3153="1111")),TH!D3153,""),"")</f>
        <v/>
      </c>
      <c r="B3146" s="63">
        <f t="shared" si="206"/>
        <v>6</v>
      </c>
      <c r="C3146" s="64">
        <v>42536</v>
      </c>
      <c r="D3146" s="64" t="s">
        <v>872</v>
      </c>
      <c r="E3146" s="64">
        <v>42536</v>
      </c>
      <c r="F3146" s="72" t="s">
        <v>998</v>
      </c>
      <c r="G3146" s="931" t="s">
        <v>1559</v>
      </c>
      <c r="H3146" s="72" t="s">
        <v>792</v>
      </c>
      <c r="I3146" s="408"/>
      <c r="J3146" s="408"/>
      <c r="K3146" s="399"/>
      <c r="L3146" s="408"/>
      <c r="M3146" s="65">
        <v>201191</v>
      </c>
      <c r="N3146" s="66" t="s">
        <v>9</v>
      </c>
      <c r="O3146" s="66" t="s">
        <v>61</v>
      </c>
      <c r="P3146" s="82" t="str">
        <f>IF(AND('331-CT'!$E$7=TH!H3146,OR(N3146="331",O3146="331")),"x","")</f>
        <v/>
      </c>
      <c r="Q3146" s="82" t="str">
        <f>IF(AND(B3146='111'!$L$11,OR($N3146=$Q$7,$O3146=$Q$7)),"x","")</f>
        <v/>
      </c>
      <c r="R3146" s="82" t="str">
        <f>IF(AND($N3146=$Q$7,$B3146&lt;'111'!$L$11),"x","")</f>
        <v/>
      </c>
      <c r="S3146" s="82" t="str">
        <f>IF(AND($O3146=$Q$7,$B3146&lt;'111'!$L$11),"x","")</f>
        <v>x</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x</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customHeight="1">
      <c r="A3147" s="323" t="str">
        <f>IF(B3147&lt;&gt;"",IF(AND(B3147='IN-TC'!$S$4,OR(TH!N3243="1111",TH!O3243="1111")),TH!D3243,""),"")</f>
        <v/>
      </c>
      <c r="B3147" s="63">
        <f t="shared" si="206"/>
        <v>6</v>
      </c>
      <c r="C3147" s="64">
        <v>42542</v>
      </c>
      <c r="D3147" s="64" t="s">
        <v>570</v>
      </c>
      <c r="E3147" s="64">
        <f t="shared" ref="E3147:E3155" si="207">C3147</f>
        <v>42542</v>
      </c>
      <c r="F3147" s="72" t="s">
        <v>1046</v>
      </c>
      <c r="G3147" s="67" t="s">
        <v>902</v>
      </c>
      <c r="H3147" s="72" t="s">
        <v>589</v>
      </c>
      <c r="I3147" s="408"/>
      <c r="J3147" s="408"/>
      <c r="K3147" s="399">
        <v>4.87</v>
      </c>
      <c r="L3147" s="408">
        <v>22270</v>
      </c>
      <c r="M3147" s="65">
        <f>ROUND(K3147*L3147,0)</f>
        <v>108455</v>
      </c>
      <c r="N3147" s="66" t="s">
        <v>9</v>
      </c>
      <c r="O3147" s="66" t="s">
        <v>576</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x</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customHeight="1">
      <c r="A3148" s="323" t="str">
        <f>IF(B3148&lt;&gt;"",IF(AND(B3148='IN-TC'!$S$4,OR(TH!N3244="1111",TH!O3244="1111")),TH!D3244,""),"")</f>
        <v/>
      </c>
      <c r="B3148" s="63">
        <f t="shared" si="206"/>
        <v>6</v>
      </c>
      <c r="C3148" s="64">
        <v>42542</v>
      </c>
      <c r="D3148" s="64" t="s">
        <v>570</v>
      </c>
      <c r="E3148" s="64">
        <f t="shared" si="207"/>
        <v>42542</v>
      </c>
      <c r="F3148" s="72" t="s">
        <v>1047</v>
      </c>
      <c r="G3148" s="67" t="s">
        <v>902</v>
      </c>
      <c r="H3148" s="72" t="s">
        <v>589</v>
      </c>
      <c r="I3148" s="408"/>
      <c r="J3148" s="408"/>
      <c r="K3148" s="399">
        <v>21.66</v>
      </c>
      <c r="L3148" s="408">
        <v>22270</v>
      </c>
      <c r="M3148" s="65">
        <f>ROUND(K3148*L3148,0)</f>
        <v>482368</v>
      </c>
      <c r="N3148" s="66" t="s">
        <v>97</v>
      </c>
      <c r="O3148" s="66" t="s">
        <v>576</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customHeight="1">
      <c r="A3149" s="323" t="str">
        <f>IF(B3149&lt;&gt;"",IF(AND(B3149='IN-TC'!$S$4,OR(TH!N3245="1111",TH!O3245="1111")),TH!D3245,""),"")</f>
        <v/>
      </c>
      <c r="B3149" s="63">
        <f t="shared" si="206"/>
        <v>6</v>
      </c>
      <c r="C3149" s="78">
        <v>42542</v>
      </c>
      <c r="D3149" s="78" t="s">
        <v>570</v>
      </c>
      <c r="E3149" s="64">
        <f t="shared" si="207"/>
        <v>42542</v>
      </c>
      <c r="F3149" s="72" t="s">
        <v>1049</v>
      </c>
      <c r="G3149" s="79" t="s">
        <v>902</v>
      </c>
      <c r="H3149" s="918" t="s">
        <v>589</v>
      </c>
      <c r="I3149" s="406"/>
      <c r="J3149" s="406"/>
      <c r="K3149" s="397"/>
      <c r="L3149" s="406"/>
      <c r="M3149" s="81">
        <v>2015300</v>
      </c>
      <c r="N3149" s="66" t="s">
        <v>97</v>
      </c>
      <c r="O3149" s="82" t="s">
        <v>576</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customHeight="1">
      <c r="A3150" s="323" t="str">
        <f>IF(B3150&lt;&gt;"",IF(AND(B3150='IN-TC'!$S$4,OR(TH!N276="1111",TH!O276="1111")),TH!D276,""),"")</f>
        <v/>
      </c>
      <c r="B3150" s="63">
        <f t="shared" si="206"/>
        <v>8</v>
      </c>
      <c r="C3150" s="1087">
        <v>42583</v>
      </c>
      <c r="D3150" s="1087" t="s">
        <v>584</v>
      </c>
      <c r="E3150" s="1087">
        <f t="shared" si="207"/>
        <v>42583</v>
      </c>
      <c r="F3150" s="1155" t="s">
        <v>1881</v>
      </c>
      <c r="G3150" s="1131" t="s">
        <v>1882</v>
      </c>
      <c r="H3150" s="92" t="s">
        <v>589</v>
      </c>
      <c r="I3150" s="414">
        <v>1760</v>
      </c>
      <c r="J3150" s="1132">
        <v>8.6</v>
      </c>
      <c r="K3150" s="405">
        <f>I3150*J3150</f>
        <v>15136</v>
      </c>
      <c r="L3150" s="414">
        <v>22260</v>
      </c>
      <c r="M3150" s="1133">
        <f>ROUND(K3150*L3150,0)</f>
        <v>336927360</v>
      </c>
      <c r="N3150" s="1134" t="s">
        <v>576</v>
      </c>
      <c r="O3150" s="1134" t="s">
        <v>292</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customHeight="1">
      <c r="A3151" s="323" t="str">
        <f>IF(B3151&lt;&gt;"",IF(AND(B3151='IN-TC'!$S$4,OR(TH!N277="1111",TH!O277="1111")),TH!D277,""),"")</f>
        <v/>
      </c>
      <c r="B3151" s="63">
        <f t="shared" si="206"/>
        <v>8</v>
      </c>
      <c r="C3151" s="1087">
        <v>42583</v>
      </c>
      <c r="D3151" s="1087" t="s">
        <v>584</v>
      </c>
      <c r="E3151" s="1087">
        <f t="shared" si="207"/>
        <v>42583</v>
      </c>
      <c r="F3151" s="1155" t="s">
        <v>1883</v>
      </c>
      <c r="G3151" s="1131" t="s">
        <v>1882</v>
      </c>
      <c r="H3151" s="92" t="s">
        <v>589</v>
      </c>
      <c r="I3151" s="414">
        <v>1700</v>
      </c>
      <c r="J3151" s="1132">
        <v>11.5</v>
      </c>
      <c r="K3151" s="405">
        <f>I3151*J3151</f>
        <v>19550</v>
      </c>
      <c r="L3151" s="414">
        <v>22260</v>
      </c>
      <c r="M3151" s="1133">
        <f>ROUND(K3151*L3151,0)</f>
        <v>435183000</v>
      </c>
      <c r="N3151" s="1134" t="s">
        <v>576</v>
      </c>
      <c r="O3151" s="1134" t="s">
        <v>292</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customHeight="1">
      <c r="A3152" s="323" t="str">
        <f>IF(B3152&lt;&gt;"",IF(AND(B3152='IN-TC'!$S$4,OR(TH!N278="1111",TH!O278="1111")),TH!D278,""),"")</f>
        <v/>
      </c>
      <c r="B3152" s="63">
        <f t="shared" si="206"/>
        <v>8</v>
      </c>
      <c r="C3152" s="1087">
        <v>42583</v>
      </c>
      <c r="D3152" s="1087" t="s">
        <v>584</v>
      </c>
      <c r="E3152" s="1087">
        <f t="shared" si="207"/>
        <v>42583</v>
      </c>
      <c r="F3152" s="1155" t="s">
        <v>1884</v>
      </c>
      <c r="G3152" s="1131" t="s">
        <v>1882</v>
      </c>
      <c r="H3152" s="92" t="s">
        <v>589</v>
      </c>
      <c r="I3152" s="414">
        <v>1090</v>
      </c>
      <c r="J3152" s="1132">
        <v>8.4</v>
      </c>
      <c r="K3152" s="405">
        <f>I3152*J3152</f>
        <v>9156</v>
      </c>
      <c r="L3152" s="414">
        <v>22260</v>
      </c>
      <c r="M3152" s="1133">
        <f>ROUND(K3152*L3152,0)</f>
        <v>203812560</v>
      </c>
      <c r="N3152" s="1134" t="s">
        <v>576</v>
      </c>
      <c r="O3152" s="1134" t="s">
        <v>292</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customHeight="1">
      <c r="A3153" s="323" t="str">
        <f>IF(B3153&lt;&gt;"",IF(AND(B3153='IN-TC'!$S$4,OR(TH!N3162="1111",TH!O3162="1111")),TH!D3162,""),"")</f>
        <v/>
      </c>
      <c r="B3153" s="63">
        <f t="shared" si="206"/>
        <v>6</v>
      </c>
      <c r="C3153" s="64">
        <v>42536</v>
      </c>
      <c r="D3153" s="64" t="s">
        <v>690</v>
      </c>
      <c r="E3153" s="64">
        <f t="shared" si="207"/>
        <v>42536</v>
      </c>
      <c r="F3153" s="72" t="s">
        <v>1425</v>
      </c>
      <c r="G3153" s="67" t="s">
        <v>902</v>
      </c>
      <c r="H3153" s="72"/>
      <c r="I3153" s="408"/>
      <c r="J3153" s="408"/>
      <c r="K3153" s="399">
        <v>30000</v>
      </c>
      <c r="L3153" s="408">
        <v>22310</v>
      </c>
      <c r="M3153" s="65">
        <v>669300000</v>
      </c>
      <c r="N3153" s="66" t="s">
        <v>25</v>
      </c>
      <c r="O3153" s="66" t="s">
        <v>260</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customHeight="1">
      <c r="A3154" s="323" t="str">
        <f>IF(B3154&lt;&gt;"",IF(AND(B3154='IN-TC'!$S$4,OR(TH!N3169="1111",TH!O3169="1111")),TH!D3169,""),"")</f>
        <v/>
      </c>
      <c r="B3154" s="63">
        <f t="shared" si="206"/>
        <v>6</v>
      </c>
      <c r="C3154" s="64">
        <v>42536</v>
      </c>
      <c r="D3154" s="64" t="s">
        <v>690</v>
      </c>
      <c r="E3154" s="64">
        <f t="shared" si="207"/>
        <v>42536</v>
      </c>
      <c r="F3154" s="72" t="s">
        <v>1621</v>
      </c>
      <c r="G3154" s="67" t="s">
        <v>902</v>
      </c>
      <c r="H3154" s="72"/>
      <c r="I3154" s="408"/>
      <c r="J3154" s="408"/>
      <c r="K3154" s="399"/>
      <c r="L3154" s="408"/>
      <c r="M3154" s="65">
        <v>50000</v>
      </c>
      <c r="N3154" s="66" t="s">
        <v>99</v>
      </c>
      <c r="O3154" s="66" t="s">
        <v>25</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customHeight="1">
      <c r="A3155" s="323" t="str">
        <f>IF(B3155&lt;&gt;"",IF(AND(B3155='IN-TC'!$S$4,OR(TH!N3170="1111",TH!O3170="1111")),TH!D3170,""),"")</f>
        <v/>
      </c>
      <c r="B3155" s="63">
        <f t="shared" si="206"/>
        <v>6</v>
      </c>
      <c r="C3155" s="64">
        <v>42536</v>
      </c>
      <c r="D3155" s="64" t="s">
        <v>690</v>
      </c>
      <c r="E3155" s="64">
        <f t="shared" si="207"/>
        <v>42536</v>
      </c>
      <c r="F3155" s="72" t="s">
        <v>1184</v>
      </c>
      <c r="G3155" s="67" t="s">
        <v>902</v>
      </c>
      <c r="H3155" s="72"/>
      <c r="I3155" s="408"/>
      <c r="J3155" s="408"/>
      <c r="K3155" s="399"/>
      <c r="L3155" s="408"/>
      <c r="M3155" s="65">
        <v>5000</v>
      </c>
      <c r="N3155" s="66" t="s">
        <v>9</v>
      </c>
      <c r="O3155" s="66" t="s">
        <v>25</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x</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customHeight="1">
      <c r="A3156" s="323" t="str">
        <f>IF(B3156&lt;&gt;"",IF(AND(B3156='IN-TC'!$S$4,OR(TH!N3161="1111",TH!O3161="1111")),TH!D3161,""),"")</f>
        <v/>
      </c>
      <c r="B3156" s="63">
        <f t="shared" si="206"/>
        <v>6</v>
      </c>
      <c r="C3156" s="64">
        <v>42536</v>
      </c>
      <c r="D3156" s="64" t="s">
        <v>892</v>
      </c>
      <c r="E3156" s="64">
        <v>42536</v>
      </c>
      <c r="F3156" s="72" t="s">
        <v>1126</v>
      </c>
      <c r="G3156" s="67" t="s">
        <v>902</v>
      </c>
      <c r="H3156" s="72" t="s">
        <v>748</v>
      </c>
      <c r="I3156" s="408"/>
      <c r="J3156" s="408"/>
      <c r="K3156" s="399"/>
      <c r="L3156" s="408"/>
      <c r="M3156" s="65">
        <v>460000000</v>
      </c>
      <c r="N3156" s="66" t="s">
        <v>61</v>
      </c>
      <c r="O3156" s="66" t="s">
        <v>25</v>
      </c>
      <c r="P3156" s="82" t="str">
        <f>IF(AND('331-CT'!$E$7=TH!H3156,OR(N3156="331",O3156="331")),"x","")</f>
        <v/>
      </c>
      <c r="Q3156" s="82" t="str">
        <f>IF(AND(B3156='111'!$L$11,OR($N3156=$Q$7,$O3156=$Q$7)),"x","")</f>
        <v/>
      </c>
      <c r="R3156" s="82" t="str">
        <f>IF(AND($N3156=$Q$7,$B3156&lt;'111'!$L$11),"x","")</f>
        <v>x</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customHeight="1">
      <c r="A3157" s="323" t="str">
        <f>IF(B3157&lt;&gt;"",IF(AND(B3157='IN-TC'!$S$4,OR(TH!N3171="1111",TH!O3171="1111")),TH!D3171,""),"")</f>
        <v/>
      </c>
      <c r="B3157" s="63">
        <f t="shared" si="206"/>
        <v>6</v>
      </c>
      <c r="C3157" s="64">
        <v>42537</v>
      </c>
      <c r="D3157" s="64" t="s">
        <v>690</v>
      </c>
      <c r="E3157" s="64">
        <f t="shared" ref="E3157:E3167" si="208">C3157</f>
        <v>42537</v>
      </c>
      <c r="F3157" s="72" t="s">
        <v>1193</v>
      </c>
      <c r="G3157" s="67" t="s">
        <v>902</v>
      </c>
      <c r="H3157" s="72" t="s">
        <v>2782</v>
      </c>
      <c r="I3157" s="408"/>
      <c r="J3157" s="408"/>
      <c r="K3157" s="399"/>
      <c r="L3157" s="408"/>
      <c r="M3157" s="1091">
        <v>59393520</v>
      </c>
      <c r="N3157" s="66" t="s">
        <v>581</v>
      </c>
      <c r="O3157" s="66" t="s">
        <v>25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customHeight="1">
      <c r="A3158" s="323" t="str">
        <f>IF(B3158&lt;&gt;"",IF(AND(B3158='IN-TC'!$S$4,OR(TH!N3172="1111",TH!O3172="1111")),TH!D3172,""),"")</f>
        <v/>
      </c>
      <c r="B3158" s="63">
        <f t="shared" si="206"/>
        <v>6</v>
      </c>
      <c r="C3158" s="64">
        <v>42537</v>
      </c>
      <c r="D3158" s="64" t="s">
        <v>690</v>
      </c>
      <c r="E3158" s="64">
        <f t="shared" si="208"/>
        <v>42537</v>
      </c>
      <c r="F3158" s="72" t="s">
        <v>1194</v>
      </c>
      <c r="G3158" s="67" t="s">
        <v>902</v>
      </c>
      <c r="H3158" s="72" t="s">
        <v>2782</v>
      </c>
      <c r="I3158" s="408"/>
      <c r="J3158" s="408"/>
      <c r="K3158" s="399"/>
      <c r="L3158" s="408"/>
      <c r="M3158" s="1091">
        <v>21270600</v>
      </c>
      <c r="N3158" s="66" t="s">
        <v>582</v>
      </c>
      <c r="O3158" s="66" t="s">
        <v>25</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customHeight="1">
      <c r="A3159" s="323" t="str">
        <f>IF(B3159&lt;&gt;"",IF(AND(B3159='IN-TC'!$S$4,OR(TH!N3173="1111",TH!O3173="1111")),TH!D3173,""),"")</f>
        <v/>
      </c>
      <c r="B3159" s="63">
        <f t="shared" si="206"/>
        <v>6</v>
      </c>
      <c r="C3159" s="64">
        <v>42537</v>
      </c>
      <c r="D3159" s="64" t="s">
        <v>690</v>
      </c>
      <c r="E3159" s="64">
        <f t="shared" si="208"/>
        <v>42537</v>
      </c>
      <c r="F3159" s="72" t="s">
        <v>1195</v>
      </c>
      <c r="G3159" s="67" t="s">
        <v>902</v>
      </c>
      <c r="H3159" s="72" t="s">
        <v>2782</v>
      </c>
      <c r="I3159" s="408"/>
      <c r="J3159" s="408"/>
      <c r="K3159" s="399"/>
      <c r="L3159" s="408"/>
      <c r="M3159" s="1091">
        <v>9335880</v>
      </c>
      <c r="N3159" s="66" t="s">
        <v>583</v>
      </c>
      <c r="O3159" s="66" t="s">
        <v>25</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customHeight="1">
      <c r="A3160" s="323" t="str">
        <f>IF(B3160&lt;&gt;"",IF(AND(B3160='IN-TC'!$S$4,OR(TH!N3174="1111",TH!O3174="1111")),TH!D3174,""),"")</f>
        <v/>
      </c>
      <c r="B3160" s="63">
        <f t="shared" si="206"/>
        <v>6</v>
      </c>
      <c r="C3160" s="64">
        <v>42537</v>
      </c>
      <c r="D3160" s="64" t="s">
        <v>690</v>
      </c>
      <c r="E3160" s="64">
        <f t="shared" si="208"/>
        <v>42537</v>
      </c>
      <c r="F3160" s="72" t="s">
        <v>1156</v>
      </c>
      <c r="G3160" s="67" t="s">
        <v>902</v>
      </c>
      <c r="H3160" s="72"/>
      <c r="I3160" s="408"/>
      <c r="J3160" s="408"/>
      <c r="K3160" s="399"/>
      <c r="L3160" s="408"/>
      <c r="M3160" s="65">
        <v>45000</v>
      </c>
      <c r="N3160" s="66" t="s">
        <v>99</v>
      </c>
      <c r="O3160" s="66" t="s">
        <v>25</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customHeight="1">
      <c r="A3161" s="323" t="str">
        <f>IF(B3161&lt;&gt;"",IF(AND(B3161='IN-TC'!$S$4,OR(TH!N3175="1111",TH!O3175="1111")),TH!D3175,""),"")</f>
        <v/>
      </c>
      <c r="B3161" s="63">
        <f t="shared" si="206"/>
        <v>6</v>
      </c>
      <c r="C3161" s="64">
        <v>42537</v>
      </c>
      <c r="D3161" s="64" t="s">
        <v>690</v>
      </c>
      <c r="E3161" s="64">
        <f t="shared" si="208"/>
        <v>42537</v>
      </c>
      <c r="F3161" s="72" t="s">
        <v>1622</v>
      </c>
      <c r="G3161" s="67" t="s">
        <v>902</v>
      </c>
      <c r="H3161" s="72"/>
      <c r="I3161" s="408"/>
      <c r="J3161" s="408"/>
      <c r="K3161" s="399"/>
      <c r="L3161" s="408"/>
      <c r="M3161" s="65">
        <v>4500</v>
      </c>
      <c r="N3161" s="66" t="s">
        <v>9</v>
      </c>
      <c r="O3161" s="66" t="s">
        <v>25</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x</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customHeight="1">
      <c r="A3162" s="323" t="str">
        <f>IF(B3162&lt;&gt;"",IF(AND(B3162='IN-TC'!$S$4,OR(TH!N3176="1111",TH!O3176="1111")),TH!D3176,""),"")</f>
        <v/>
      </c>
      <c r="B3162" s="63">
        <f t="shared" si="206"/>
        <v>6</v>
      </c>
      <c r="C3162" s="64">
        <v>42537</v>
      </c>
      <c r="D3162" s="64" t="s">
        <v>690</v>
      </c>
      <c r="E3162" s="64">
        <f t="shared" si="208"/>
        <v>42537</v>
      </c>
      <c r="F3162" s="72" t="s">
        <v>1623</v>
      </c>
      <c r="G3162" s="67" t="s">
        <v>902</v>
      </c>
      <c r="H3162" s="308" t="s">
        <v>1119</v>
      </c>
      <c r="I3162" s="408"/>
      <c r="J3162" s="408"/>
      <c r="K3162" s="399"/>
      <c r="L3162" s="408"/>
      <c r="M3162" s="65">
        <v>16269120</v>
      </c>
      <c r="N3162" s="66" t="s">
        <v>8</v>
      </c>
      <c r="O3162" s="66" t="s">
        <v>25</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customHeight="1">
      <c r="A3163" s="323" t="str">
        <f>IF(B3163&lt;&gt;"",IF(AND(B3163='IN-TC'!$S$4,OR(TH!N3177="1111",TH!O3177="1111")),TH!D3177,""),"")</f>
        <v/>
      </c>
      <c r="B3163" s="63">
        <f t="shared" si="206"/>
        <v>6</v>
      </c>
      <c r="C3163" s="64">
        <v>42537</v>
      </c>
      <c r="D3163" s="64" t="s">
        <v>690</v>
      </c>
      <c r="E3163" s="64">
        <f t="shared" si="208"/>
        <v>42537</v>
      </c>
      <c r="F3163" s="72" t="s">
        <v>1156</v>
      </c>
      <c r="G3163" s="67" t="s">
        <v>902</v>
      </c>
      <c r="H3163" s="72"/>
      <c r="I3163" s="408"/>
      <c r="J3163" s="408"/>
      <c r="K3163" s="399"/>
      <c r="L3163" s="408"/>
      <c r="M3163" s="65">
        <v>25000</v>
      </c>
      <c r="N3163" s="66" t="s">
        <v>99</v>
      </c>
      <c r="O3163" s="66" t="s">
        <v>25</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customHeight="1">
      <c r="A3164" s="323" t="str">
        <f>IF(B3164&lt;&gt;"",IF(AND(B3164='IN-TC'!$S$4,OR(TH!N3178="1111",TH!O3178="1111")),TH!D3178,""),"")</f>
        <v/>
      </c>
      <c r="B3164" s="63">
        <f t="shared" si="206"/>
        <v>6</v>
      </c>
      <c r="C3164" s="64">
        <v>42537</v>
      </c>
      <c r="D3164" s="64" t="s">
        <v>690</v>
      </c>
      <c r="E3164" s="64">
        <f t="shared" si="208"/>
        <v>42537</v>
      </c>
      <c r="F3164" s="72" t="s">
        <v>1616</v>
      </c>
      <c r="G3164" s="67" t="s">
        <v>902</v>
      </c>
      <c r="H3164" s="72"/>
      <c r="I3164" s="408"/>
      <c r="J3164" s="408"/>
      <c r="K3164" s="399"/>
      <c r="L3164" s="408"/>
      <c r="M3164" s="65">
        <v>2500</v>
      </c>
      <c r="N3164" s="66" t="s">
        <v>9</v>
      </c>
      <c r="O3164" s="66" t="s">
        <v>25</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x</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customHeight="1">
      <c r="A3165" s="323" t="str">
        <f>IF(B3165&lt;&gt;"",IF(AND(B3165='IN-TC'!$S$4,OR(TH!N2022="1111",TH!O2022="1111")),TH!D2022,""),"")</f>
        <v/>
      </c>
      <c r="B3165" s="63">
        <f t="shared" si="206"/>
        <v>9</v>
      </c>
      <c r="C3165" s="78">
        <v>42634</v>
      </c>
      <c r="D3165" s="78" t="s">
        <v>570</v>
      </c>
      <c r="E3165" s="78">
        <f t="shared" si="208"/>
        <v>42634</v>
      </c>
      <c r="F3165" s="80" t="s">
        <v>1980</v>
      </c>
      <c r="G3165" s="934" t="s">
        <v>1983</v>
      </c>
      <c r="H3165" s="80" t="s">
        <v>614</v>
      </c>
      <c r="I3165" s="406"/>
      <c r="J3165" s="406"/>
      <c r="K3165" s="397"/>
      <c r="L3165" s="406"/>
      <c r="M3165" s="81">
        <v>1663000</v>
      </c>
      <c r="N3165" s="82" t="s">
        <v>579</v>
      </c>
      <c r="O3165" s="82" t="s">
        <v>8</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customHeight="1">
      <c r="A3166" s="323" t="str">
        <f>IF(B3166&lt;&gt;"",IF(AND(B3166='IN-TC'!$S$4,OR(TH!N3180="1111",TH!O3180="1111")),TH!D3180,""),"")</f>
        <v/>
      </c>
      <c r="B3166" s="63">
        <f t="shared" si="206"/>
        <v>6</v>
      </c>
      <c r="C3166" s="64">
        <v>42537</v>
      </c>
      <c r="D3166" s="64" t="s">
        <v>690</v>
      </c>
      <c r="E3166" s="64">
        <f t="shared" si="208"/>
        <v>42537</v>
      </c>
      <c r="F3166" s="72" t="s">
        <v>1156</v>
      </c>
      <c r="G3166" s="67" t="s">
        <v>902</v>
      </c>
      <c r="H3166" s="72"/>
      <c r="I3166" s="408"/>
      <c r="J3166" s="408"/>
      <c r="K3166" s="399"/>
      <c r="L3166" s="408"/>
      <c r="M3166" s="65">
        <v>20000</v>
      </c>
      <c r="N3166" s="66" t="s">
        <v>99</v>
      </c>
      <c r="O3166" s="66" t="s">
        <v>25</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customHeight="1">
      <c r="A3167" s="323" t="str">
        <f>IF(B3167&lt;&gt;"",IF(AND(B3167='IN-TC'!$S$4,OR(TH!N3181="1111",TH!O3181="1111")),TH!D3181,""),"")</f>
        <v/>
      </c>
      <c r="B3167" s="63">
        <f t="shared" si="206"/>
        <v>6</v>
      </c>
      <c r="C3167" s="64">
        <v>42537</v>
      </c>
      <c r="D3167" s="64" t="s">
        <v>690</v>
      </c>
      <c r="E3167" s="64">
        <f t="shared" si="208"/>
        <v>42537</v>
      </c>
      <c r="F3167" s="72" t="s">
        <v>1616</v>
      </c>
      <c r="G3167" s="67" t="s">
        <v>902</v>
      </c>
      <c r="H3167" s="72"/>
      <c r="I3167" s="408"/>
      <c r="J3167" s="408"/>
      <c r="K3167" s="399"/>
      <c r="L3167" s="408"/>
      <c r="M3167" s="65">
        <v>2000</v>
      </c>
      <c r="N3167" s="66" t="s">
        <v>9</v>
      </c>
      <c r="O3167" s="66" t="s">
        <v>25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x</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customHeight="1">
      <c r="A3168" s="323" t="str">
        <f>IF(B3168&lt;&gt;"",IF(AND(B3168='IN-TC'!$S$4,OR(TH!N3795="1111",TH!O3795="1111")),TH!D3795,""),"")</f>
        <v/>
      </c>
      <c r="B3168" s="63">
        <f t="shared" si="206"/>
        <v>9</v>
      </c>
      <c r="C3168" s="64">
        <v>42635</v>
      </c>
      <c r="D3168" s="64" t="s">
        <v>690</v>
      </c>
      <c r="E3168" s="64">
        <v>42635</v>
      </c>
      <c r="F3168" s="72" t="s">
        <v>1903</v>
      </c>
      <c r="G3168" s="67" t="s">
        <v>902</v>
      </c>
      <c r="H3168" s="72" t="s">
        <v>614</v>
      </c>
      <c r="I3168" s="408"/>
      <c r="J3168" s="408"/>
      <c r="K3168" s="399"/>
      <c r="L3168" s="408"/>
      <c r="M3168" s="65">
        <v>1663000</v>
      </c>
      <c r="N3168" s="66" t="s">
        <v>8</v>
      </c>
      <c r="O3168" s="66" t="s">
        <v>25</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customHeight="1">
      <c r="A3169" s="323" t="str">
        <f>IF(B3169&lt;&gt;"",IF(AND(B3169='IN-TC'!$S$4,OR(TH!N3183="1111",TH!O3183="1111")),TH!D3183,""),"")</f>
        <v/>
      </c>
      <c r="B3169" s="63">
        <f t="shared" si="206"/>
        <v>6</v>
      </c>
      <c r="C3169" s="64">
        <v>42537</v>
      </c>
      <c r="D3169" s="64" t="s">
        <v>690</v>
      </c>
      <c r="E3169" s="64">
        <f t="shared" ref="E3169:E3179" si="209">C3169</f>
        <v>42537</v>
      </c>
      <c r="F3169" s="72" t="s">
        <v>1156</v>
      </c>
      <c r="G3169" s="67" t="s">
        <v>902</v>
      </c>
      <c r="H3169" s="72"/>
      <c r="I3169" s="408"/>
      <c r="J3169" s="408"/>
      <c r="K3169" s="399"/>
      <c r="L3169" s="408"/>
      <c r="M3169" s="65">
        <v>20000</v>
      </c>
      <c r="N3169" s="66" t="s">
        <v>99</v>
      </c>
      <c r="O3169" s="66" t="s">
        <v>25</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customHeight="1">
      <c r="A3170" s="323" t="str">
        <f>IF(B3170&lt;&gt;"",IF(AND(B3170='IN-TC'!$S$4,OR(TH!N3184="1111",TH!O3184="1111")),TH!D3184,""),"")</f>
        <v/>
      </c>
      <c r="B3170" s="63">
        <f t="shared" si="206"/>
        <v>6</v>
      </c>
      <c r="C3170" s="64">
        <v>42537</v>
      </c>
      <c r="D3170" s="64" t="s">
        <v>690</v>
      </c>
      <c r="E3170" s="64">
        <f t="shared" si="209"/>
        <v>42537</v>
      </c>
      <c r="F3170" s="72" t="s">
        <v>1616</v>
      </c>
      <c r="G3170" s="67" t="s">
        <v>902</v>
      </c>
      <c r="H3170" s="72"/>
      <c r="I3170" s="408"/>
      <c r="J3170" s="408"/>
      <c r="K3170" s="399"/>
      <c r="L3170" s="408"/>
      <c r="M3170" s="65">
        <v>2000</v>
      </c>
      <c r="N3170" s="66" t="s">
        <v>9</v>
      </c>
      <c r="O3170" s="66" t="s">
        <v>25</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x</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customHeight="1">
      <c r="A3171" s="323" t="str">
        <f>IF(B3171&lt;&gt;"",IF(AND(B3171='IN-TC'!$S$4,OR(TH!N921="1111",TH!O921="1111")),TH!D921,""),"")</f>
        <v/>
      </c>
      <c r="B3171" s="63">
        <f t="shared" si="206"/>
        <v>10</v>
      </c>
      <c r="C3171" s="78">
        <v>42648</v>
      </c>
      <c r="D3171" s="78" t="s">
        <v>662</v>
      </c>
      <c r="E3171" s="78">
        <f t="shared" si="209"/>
        <v>42648</v>
      </c>
      <c r="F3171" s="80" t="s">
        <v>346</v>
      </c>
      <c r="G3171" s="934" t="s">
        <v>2090</v>
      </c>
      <c r="H3171" s="80" t="s">
        <v>607</v>
      </c>
      <c r="I3171" s="406">
        <v>3000</v>
      </c>
      <c r="J3171" s="406">
        <v>3200</v>
      </c>
      <c r="K3171" s="397"/>
      <c r="L3171" s="406"/>
      <c r="M3171" s="81">
        <f>ROUND(I3171*J3171,0)</f>
        <v>9600000</v>
      </c>
      <c r="N3171" s="82" t="s">
        <v>270</v>
      </c>
      <c r="O3171" s="82" t="s">
        <v>8</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customHeight="1">
      <c r="A3172" s="323" t="str">
        <f>IF(B3172&lt;&gt;"",IF(AND(B3172='IN-TC'!$S$4,OR(TH!N3186="1111",TH!O3186="1111")),TH!D3186,""),"")</f>
        <v/>
      </c>
      <c r="B3172" s="63">
        <f t="shared" si="206"/>
        <v>6</v>
      </c>
      <c r="C3172" s="64">
        <v>42537</v>
      </c>
      <c r="D3172" s="64" t="s">
        <v>690</v>
      </c>
      <c r="E3172" s="64">
        <f t="shared" si="209"/>
        <v>42537</v>
      </c>
      <c r="F3172" s="72" t="s">
        <v>1156</v>
      </c>
      <c r="G3172" s="67" t="s">
        <v>902</v>
      </c>
      <c r="H3172" s="72"/>
      <c r="I3172" s="408"/>
      <c r="J3172" s="408"/>
      <c r="K3172" s="399"/>
      <c r="L3172" s="408"/>
      <c r="M3172" s="1091">
        <v>20000</v>
      </c>
      <c r="N3172" s="66" t="s">
        <v>99</v>
      </c>
      <c r="O3172" s="66" t="s">
        <v>25</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customHeight="1">
      <c r="A3173" s="323" t="str">
        <f>IF(B3173&lt;&gt;"",IF(AND(B3173='IN-TC'!$S$4,OR(TH!N3187="1111",TH!O3187="1111")),TH!D3187,""),"")</f>
        <v/>
      </c>
      <c r="B3173" s="63">
        <f t="shared" si="206"/>
        <v>6</v>
      </c>
      <c r="C3173" s="64">
        <v>42537</v>
      </c>
      <c r="D3173" s="64" t="s">
        <v>690</v>
      </c>
      <c r="E3173" s="64">
        <f t="shared" si="209"/>
        <v>42537</v>
      </c>
      <c r="F3173" s="72" t="s">
        <v>1616</v>
      </c>
      <c r="G3173" s="67" t="s">
        <v>902</v>
      </c>
      <c r="H3173" s="72"/>
      <c r="I3173" s="408"/>
      <c r="J3173" s="408"/>
      <c r="K3173" s="399"/>
      <c r="L3173" s="408"/>
      <c r="M3173" s="65">
        <v>2000</v>
      </c>
      <c r="N3173" s="66" t="s">
        <v>9</v>
      </c>
      <c r="O3173" s="66" t="s">
        <v>25</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x</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customHeight="1">
      <c r="A3174" s="323" t="str">
        <f>IF(B3174&lt;&gt;"",IF(AND(B3174='IN-TC'!$S$4,OR(TH!N2013="1111",TH!O2013="1111")),TH!D2013,""),"")</f>
        <v/>
      </c>
      <c r="B3174" s="63">
        <f t="shared" si="206"/>
        <v>9</v>
      </c>
      <c r="C3174" s="78">
        <v>42643</v>
      </c>
      <c r="D3174" s="78" t="s">
        <v>570</v>
      </c>
      <c r="E3174" s="78">
        <f t="shared" si="209"/>
        <v>42643</v>
      </c>
      <c r="F3174" s="80" t="s">
        <v>1412</v>
      </c>
      <c r="G3174" s="934" t="s">
        <v>1971</v>
      </c>
      <c r="H3174" s="80" t="s">
        <v>1414</v>
      </c>
      <c r="I3174" s="406"/>
      <c r="J3174" s="406"/>
      <c r="K3174" s="397"/>
      <c r="L3174" s="406"/>
      <c r="M3174" s="81">
        <v>2696000</v>
      </c>
      <c r="N3174" s="82" t="s">
        <v>9</v>
      </c>
      <c r="O3174" s="82" t="s">
        <v>8</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x</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customHeight="1">
      <c r="A3175" s="323" t="str">
        <f>IF(B3175&lt;&gt;"",IF(AND(B3175='IN-TC'!$S$4,OR(TH!N3189="1111",TH!O3189="1111")),TH!D3189,""),"")</f>
        <v/>
      </c>
      <c r="B3175" s="63">
        <f t="shared" si="206"/>
        <v>6</v>
      </c>
      <c r="C3175" s="64">
        <v>42537</v>
      </c>
      <c r="D3175" s="64" t="s">
        <v>690</v>
      </c>
      <c r="E3175" s="64">
        <f t="shared" si="209"/>
        <v>42537</v>
      </c>
      <c r="F3175" s="72" t="s">
        <v>1156</v>
      </c>
      <c r="G3175" s="67" t="s">
        <v>902</v>
      </c>
      <c r="H3175" s="72"/>
      <c r="I3175" s="408"/>
      <c r="J3175" s="408"/>
      <c r="K3175" s="399"/>
      <c r="L3175" s="408"/>
      <c r="M3175" s="65">
        <v>20000</v>
      </c>
      <c r="N3175" s="66" t="s">
        <v>99</v>
      </c>
      <c r="O3175" s="66" t="s">
        <v>25</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customHeight="1">
      <c r="A3176" s="323" t="str">
        <f>IF(B3176&lt;&gt;"",IF(AND(B3176='IN-TC'!$S$4,OR(TH!N3190="1111",TH!O3190="1111")),TH!D3190,""),"")</f>
        <v/>
      </c>
      <c r="B3176" s="63">
        <f t="shared" si="206"/>
        <v>6</v>
      </c>
      <c r="C3176" s="64">
        <v>42537</v>
      </c>
      <c r="D3176" s="64" t="s">
        <v>690</v>
      </c>
      <c r="E3176" s="64">
        <f t="shared" si="209"/>
        <v>42537</v>
      </c>
      <c r="F3176" s="72" t="s">
        <v>1616</v>
      </c>
      <c r="G3176" s="67" t="s">
        <v>902</v>
      </c>
      <c r="H3176" s="72"/>
      <c r="I3176" s="408"/>
      <c r="J3176" s="408"/>
      <c r="K3176" s="399"/>
      <c r="L3176" s="408"/>
      <c r="M3176" s="65">
        <v>2000</v>
      </c>
      <c r="N3176" s="66" t="s">
        <v>9</v>
      </c>
      <c r="O3176" s="66" t="s">
        <v>25</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x</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customHeight="1">
      <c r="A3177" s="323" t="str">
        <f>IF(B3177&lt;&gt;"",IF(AND(B3177='IN-TC'!$S$4,OR(TH!N3191="1111",TH!O3191="1111")),TH!D3191,""),"")</f>
        <v/>
      </c>
      <c r="B3177" s="63">
        <f t="shared" si="206"/>
        <v>6</v>
      </c>
      <c r="C3177" s="64">
        <v>42537</v>
      </c>
      <c r="D3177" s="64" t="s">
        <v>690</v>
      </c>
      <c r="E3177" s="64">
        <f t="shared" si="209"/>
        <v>42537</v>
      </c>
      <c r="F3177" s="72" t="s">
        <v>1623</v>
      </c>
      <c r="G3177" s="67" t="s">
        <v>902</v>
      </c>
      <c r="H3177" s="329" t="s">
        <v>616</v>
      </c>
      <c r="I3177" s="408"/>
      <c r="J3177" s="408"/>
      <c r="K3177" s="399"/>
      <c r="L3177" s="408"/>
      <c r="M3177" s="65">
        <v>40000000</v>
      </c>
      <c r="N3177" s="66" t="s">
        <v>8</v>
      </c>
      <c r="O3177" s="66" t="s">
        <v>25</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customHeight="1">
      <c r="A3178" s="323" t="str">
        <f>IF(B3178&lt;&gt;"",IF(AND(B3178='IN-TC'!$S$4,OR(TH!N3192="1111",TH!O3192="1111")),TH!D3192,""),"")</f>
        <v/>
      </c>
      <c r="B3178" s="63">
        <f t="shared" si="206"/>
        <v>6</v>
      </c>
      <c r="C3178" s="64">
        <v>42537</v>
      </c>
      <c r="D3178" s="64" t="s">
        <v>690</v>
      </c>
      <c r="E3178" s="64">
        <f t="shared" si="209"/>
        <v>42537</v>
      </c>
      <c r="F3178" s="72" t="s">
        <v>1156</v>
      </c>
      <c r="G3178" s="67" t="s">
        <v>902</v>
      </c>
      <c r="H3178" s="72"/>
      <c r="I3178" s="408"/>
      <c r="J3178" s="408"/>
      <c r="K3178" s="399"/>
      <c r="L3178" s="408"/>
      <c r="M3178" s="65">
        <v>20000</v>
      </c>
      <c r="N3178" s="66" t="s">
        <v>99</v>
      </c>
      <c r="O3178" s="66" t="s">
        <v>25</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customHeight="1">
      <c r="A3179" s="323" t="str">
        <f>IF(B3179&lt;&gt;"",IF(AND(B3179='IN-TC'!$S$4,OR(TH!N3193="1111",TH!O3193="1111")),TH!D3193,""),"")</f>
        <v/>
      </c>
      <c r="B3179" s="63">
        <f t="shared" si="206"/>
        <v>6</v>
      </c>
      <c r="C3179" s="64">
        <v>42537</v>
      </c>
      <c r="D3179" s="64" t="s">
        <v>690</v>
      </c>
      <c r="E3179" s="64">
        <f t="shared" si="209"/>
        <v>42537</v>
      </c>
      <c r="F3179" s="72" t="s">
        <v>1616</v>
      </c>
      <c r="G3179" s="67" t="s">
        <v>902</v>
      </c>
      <c r="H3179" s="72"/>
      <c r="I3179" s="408"/>
      <c r="J3179" s="408"/>
      <c r="K3179" s="399"/>
      <c r="L3179" s="408"/>
      <c r="M3179" s="65">
        <v>2000</v>
      </c>
      <c r="N3179" s="66" t="s">
        <v>9</v>
      </c>
      <c r="O3179" s="66" t="s">
        <v>25</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x</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customHeight="1">
      <c r="A3180" s="323" t="str">
        <f>IF(B3180&lt;&gt;"",IF(AND(B3180='IN-TC'!$S$4,OR(TH!N3157="1111",TH!O3157="1111")),TH!D3157,""),"")</f>
        <v/>
      </c>
      <c r="B3180" s="63">
        <f t="shared" si="206"/>
        <v>6</v>
      </c>
      <c r="C3180" s="64">
        <v>42538</v>
      </c>
      <c r="D3180" s="64" t="s">
        <v>873</v>
      </c>
      <c r="E3180" s="64">
        <v>42538</v>
      </c>
      <c r="F3180" s="72" t="s">
        <v>782</v>
      </c>
      <c r="G3180" s="931" t="s">
        <v>1560</v>
      </c>
      <c r="H3180" s="72" t="s">
        <v>1456</v>
      </c>
      <c r="I3180" s="408"/>
      <c r="J3180" s="408"/>
      <c r="K3180" s="399"/>
      <c r="L3180" s="408"/>
      <c r="M3180" s="65">
        <v>354533</v>
      </c>
      <c r="N3180" s="66" t="s">
        <v>99</v>
      </c>
      <c r="O3180" s="66" t="s">
        <v>61</v>
      </c>
      <c r="P3180" s="82" t="str">
        <f>IF(AND('331-CT'!$E$7=TH!H3180,OR(N3180="331",O3180="331")),"x","")</f>
        <v/>
      </c>
      <c r="Q3180" s="82" t="str">
        <f>IF(AND(B3180='111'!$L$11,OR($N3180=$Q$7,$O3180=$Q$7)),"x","")</f>
        <v/>
      </c>
      <c r="R3180" s="82" t="str">
        <f>IF(AND($N3180=$Q$7,$B3180&lt;'111'!$L$11),"x","")</f>
        <v/>
      </c>
      <c r="S3180" s="82" t="str">
        <f>IF(AND($O3180=$Q$7,$B3180&lt;'111'!$L$11),"x","")</f>
        <v>x</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customHeight="1">
      <c r="A3181" s="323" t="str">
        <f>IF(B3181&lt;&gt;"",IF(AND(B3181='IN-TC'!$S$4,OR(TH!N3158="1111",TH!O3158="1111")),TH!D3158,""),"")</f>
        <v/>
      </c>
      <c r="B3181" s="63">
        <f t="shared" si="206"/>
        <v>6</v>
      </c>
      <c r="C3181" s="64">
        <v>42538</v>
      </c>
      <c r="D3181" s="64" t="s">
        <v>873</v>
      </c>
      <c r="E3181" s="64">
        <v>42538</v>
      </c>
      <c r="F3181" s="72" t="s">
        <v>783</v>
      </c>
      <c r="G3181" s="931" t="s">
        <v>1560</v>
      </c>
      <c r="H3181" s="72" t="s">
        <v>1456</v>
      </c>
      <c r="I3181" s="408"/>
      <c r="J3181" s="408"/>
      <c r="K3181" s="399"/>
      <c r="L3181" s="408"/>
      <c r="M3181" s="65">
        <v>35456</v>
      </c>
      <c r="N3181" s="66" t="s">
        <v>9</v>
      </c>
      <c r="O3181" s="66" t="s">
        <v>61</v>
      </c>
      <c r="P3181" s="82" t="str">
        <f>IF(AND('331-CT'!$E$7=TH!H3181,OR(N3181="331",O3181="331")),"x","")</f>
        <v/>
      </c>
      <c r="Q3181" s="82" t="str">
        <f>IF(AND(B3181='111'!$L$11,OR($N3181=$Q$7,$O3181=$Q$7)),"x","")</f>
        <v/>
      </c>
      <c r="R3181" s="82" t="str">
        <f>IF(AND($N3181=$Q$7,$B3181&lt;'111'!$L$11),"x","")</f>
        <v/>
      </c>
      <c r="S3181" s="82" t="str">
        <f>IF(AND($O3181=$Q$7,$B3181&lt;'111'!$L$11),"x","")</f>
        <v>x</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x</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customHeight="1">
      <c r="A3182" s="323" t="str">
        <f>IF(B3182&lt;&gt;"",IF(AND(B3182='IN-TC'!$S$4,OR(TH!N3212="1111",TH!O3212="1111")),TH!D3212,""),"")</f>
        <v/>
      </c>
      <c r="B3182" s="63">
        <f t="shared" ref="B3182:B3245" si="210">IF(C3182&lt;&gt;"",MONTH(C3182),"")</f>
        <v>6</v>
      </c>
      <c r="C3182" s="64">
        <v>42538</v>
      </c>
      <c r="D3182" s="64" t="s">
        <v>687</v>
      </c>
      <c r="E3182" s="64">
        <f t="shared" ref="E3182:E3207" si="211">C3182</f>
        <v>42538</v>
      </c>
      <c r="F3182" s="72" t="s">
        <v>1171</v>
      </c>
      <c r="G3182" s="67" t="s">
        <v>902</v>
      </c>
      <c r="H3182" s="329" t="s">
        <v>1672</v>
      </c>
      <c r="I3182" s="408"/>
      <c r="J3182" s="408"/>
      <c r="K3182" s="399">
        <v>166113.62100000001</v>
      </c>
      <c r="L3182" s="408">
        <v>22340</v>
      </c>
      <c r="M3182" s="65">
        <f t="shared" ref="M3182:M3187" si="212">ROUND(K3182*L3182,0)</f>
        <v>3710978293</v>
      </c>
      <c r="N3182" s="66" t="s">
        <v>260</v>
      </c>
      <c r="O3182" s="66" t="s">
        <v>576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customHeight="1">
      <c r="A3183" s="323" t="str">
        <f>IF(B3183&lt;&gt;"",IF(AND(B3183='IN-TC'!$S$4,OR(TH!N3214="1111",TH!O3214="1111")),TH!D3214,""),"")</f>
        <v/>
      </c>
      <c r="B3183" s="63">
        <f t="shared" si="210"/>
        <v>6</v>
      </c>
      <c r="C3183" s="64">
        <v>42538</v>
      </c>
      <c r="D3183" s="64" t="s">
        <v>570</v>
      </c>
      <c r="E3183" s="64">
        <f t="shared" si="211"/>
        <v>42538</v>
      </c>
      <c r="F3183" s="72" t="s">
        <v>1174</v>
      </c>
      <c r="G3183" s="67" t="s">
        <v>902</v>
      </c>
      <c r="H3183" s="329" t="s">
        <v>1672</v>
      </c>
      <c r="I3183" s="408"/>
      <c r="J3183" s="408"/>
      <c r="K3183" s="399">
        <v>1</v>
      </c>
      <c r="L3183" s="408">
        <v>22340</v>
      </c>
      <c r="M3183" s="65">
        <f t="shared" si="212"/>
        <v>22340</v>
      </c>
      <c r="N3183" s="66" t="s">
        <v>9</v>
      </c>
      <c r="O3183" s="66" t="s">
        <v>576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x</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customHeight="1">
      <c r="A3184" s="323" t="str">
        <f>IF(B3184&lt;&gt;"",IF(AND(B3184='IN-TC'!$S$4,OR(TH!N3213="1111",TH!O3213="1111")),TH!D3213,""),"")</f>
        <v/>
      </c>
      <c r="B3184" s="63">
        <f t="shared" si="210"/>
        <v>6</v>
      </c>
      <c r="C3184" s="64">
        <v>42538</v>
      </c>
      <c r="D3184" s="64" t="s">
        <v>570</v>
      </c>
      <c r="E3184" s="64">
        <f t="shared" si="211"/>
        <v>42538</v>
      </c>
      <c r="F3184" s="72" t="s">
        <v>599</v>
      </c>
      <c r="G3184" s="67" t="s">
        <v>902</v>
      </c>
      <c r="H3184" s="329" t="s">
        <v>1672</v>
      </c>
      <c r="I3184" s="408"/>
      <c r="J3184" s="408"/>
      <c r="K3184" s="399">
        <v>10</v>
      </c>
      <c r="L3184" s="408">
        <v>22340</v>
      </c>
      <c r="M3184" s="65">
        <f t="shared" si="212"/>
        <v>223400</v>
      </c>
      <c r="N3184" s="66" t="s">
        <v>99</v>
      </c>
      <c r="O3184" s="66" t="s">
        <v>576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customHeight="1">
      <c r="A3185" s="323" t="str">
        <f>IF(B3185&lt;&gt;"",IF(AND(B3185='IN-TC'!$S$4,OR(TH!N3216="1111",TH!O3216="1111")),TH!D3216,""),"")</f>
        <v/>
      </c>
      <c r="B3185" s="63">
        <f t="shared" si="210"/>
        <v>6</v>
      </c>
      <c r="C3185" s="64">
        <v>42538</v>
      </c>
      <c r="D3185" s="64" t="s">
        <v>570</v>
      </c>
      <c r="E3185" s="64">
        <f t="shared" si="211"/>
        <v>42538</v>
      </c>
      <c r="F3185" s="72" t="s">
        <v>1298</v>
      </c>
      <c r="G3185" s="67" t="s">
        <v>902</v>
      </c>
      <c r="H3185" s="329" t="s">
        <v>1672</v>
      </c>
      <c r="I3185" s="408"/>
      <c r="J3185" s="408"/>
      <c r="K3185" s="399">
        <v>2.76</v>
      </c>
      <c r="L3185" s="408">
        <v>22340</v>
      </c>
      <c r="M3185" s="65">
        <f t="shared" si="212"/>
        <v>61658</v>
      </c>
      <c r="N3185" s="66" t="s">
        <v>9</v>
      </c>
      <c r="O3185" s="66" t="s">
        <v>576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x</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customHeight="1">
      <c r="A3186" s="323" t="str">
        <f>IF(B3186&lt;&gt;"",IF(AND(B3186='IN-TC'!$S$4,OR(TH!N3215="1111",TH!O3215="1111")),TH!D3215,""),"")</f>
        <v/>
      </c>
      <c r="B3186" s="63">
        <f t="shared" si="210"/>
        <v>6</v>
      </c>
      <c r="C3186" s="64">
        <v>42538</v>
      </c>
      <c r="D3186" s="64" t="s">
        <v>570</v>
      </c>
      <c r="E3186" s="64">
        <f t="shared" si="211"/>
        <v>42538</v>
      </c>
      <c r="F3186" s="72" t="s">
        <v>600</v>
      </c>
      <c r="G3186" s="67" t="s">
        <v>902</v>
      </c>
      <c r="H3186" s="329" t="s">
        <v>1672</v>
      </c>
      <c r="I3186" s="408"/>
      <c r="J3186" s="408"/>
      <c r="K3186" s="399">
        <v>27.62</v>
      </c>
      <c r="L3186" s="408">
        <v>22340</v>
      </c>
      <c r="M3186" s="65">
        <f t="shared" si="212"/>
        <v>617031</v>
      </c>
      <c r="N3186" s="66" t="s">
        <v>99</v>
      </c>
      <c r="O3186" s="66" t="s">
        <v>576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customHeight="1">
      <c r="A3187" s="323" t="str">
        <f>IF(B3187&lt;&gt;"",IF(AND(B3187='IN-TC'!$S$4,OR(TH!N3217="1111",TH!O3217="1111")),TH!D3217,""),"")</f>
        <v/>
      </c>
      <c r="B3187" s="63">
        <f t="shared" si="210"/>
        <v>6</v>
      </c>
      <c r="C3187" s="78">
        <v>42538</v>
      </c>
      <c r="D3187" s="78" t="s">
        <v>570</v>
      </c>
      <c r="E3187" s="78">
        <f t="shared" si="211"/>
        <v>42538</v>
      </c>
      <c r="F3187" s="72" t="s">
        <v>1499</v>
      </c>
      <c r="G3187" s="79" t="s">
        <v>902</v>
      </c>
      <c r="H3187" s="918" t="s">
        <v>1672</v>
      </c>
      <c r="I3187" s="406"/>
      <c r="J3187" s="406"/>
      <c r="K3187" s="397">
        <v>90</v>
      </c>
      <c r="L3187" s="406">
        <v>22340</v>
      </c>
      <c r="M3187" s="81">
        <f t="shared" si="212"/>
        <v>2010600</v>
      </c>
      <c r="N3187" s="82" t="s">
        <v>99</v>
      </c>
      <c r="O3187" s="82" t="s">
        <v>576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customHeight="1">
      <c r="A3188" s="323" t="str">
        <f>IF(B3188&lt;&gt;"",IF(AND(B3188='IN-TC'!$S$4,OR(TH!N3198="1111",TH!O3198="1111")),TH!D3198,""),"")</f>
        <v/>
      </c>
      <c r="B3188" s="63">
        <f t="shared" si="210"/>
        <v>6</v>
      </c>
      <c r="C3188" s="90">
        <v>42538</v>
      </c>
      <c r="D3188" s="90" t="s">
        <v>687</v>
      </c>
      <c r="E3188" s="90">
        <f t="shared" si="211"/>
        <v>42538</v>
      </c>
      <c r="F3188" s="72" t="s">
        <v>1871</v>
      </c>
      <c r="G3188" s="91" t="s">
        <v>902</v>
      </c>
      <c r="H3188" s="1103" t="s">
        <v>1872</v>
      </c>
      <c r="I3188" s="414"/>
      <c r="J3188" s="414"/>
      <c r="K3188" s="399">
        <v>76050</v>
      </c>
      <c r="L3188" s="408">
        <v>22320</v>
      </c>
      <c r="M3188" s="93">
        <v>1697436000</v>
      </c>
      <c r="N3188" s="83" t="s">
        <v>254</v>
      </c>
      <c r="O3188" s="66" t="s">
        <v>25</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customHeight="1">
      <c r="A3189" s="323" t="str">
        <f>IF(B3189&lt;&gt;"",IF(AND(B3189='IN-TC'!$S$4,OR(TH!N3200="1111",TH!O3200="1111")),TH!D3200,""),"")</f>
        <v/>
      </c>
      <c r="B3189" s="63">
        <f t="shared" si="210"/>
        <v>6</v>
      </c>
      <c r="C3189" s="64">
        <v>42538</v>
      </c>
      <c r="D3189" s="64" t="s">
        <v>687</v>
      </c>
      <c r="E3189" s="64">
        <f t="shared" si="211"/>
        <v>42538</v>
      </c>
      <c r="F3189" s="72" t="s">
        <v>1436</v>
      </c>
      <c r="G3189" s="67" t="s">
        <v>902</v>
      </c>
      <c r="H3189" s="329" t="s">
        <v>1538</v>
      </c>
      <c r="I3189" s="408"/>
      <c r="J3189" s="408"/>
      <c r="K3189" s="399">
        <v>84270.57</v>
      </c>
      <c r="L3189" s="408">
        <v>22280</v>
      </c>
      <c r="M3189" s="65">
        <f>ROUND(K3189*L3189,0)</f>
        <v>1877548300</v>
      </c>
      <c r="N3189" s="66" t="s">
        <v>260</v>
      </c>
      <c r="O3189" s="66" t="s">
        <v>576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customHeight="1">
      <c r="A3190" s="323" t="str">
        <f>IF(B3190&lt;&gt;"",IF(AND(B3190='IN-TC'!$S$4,OR(TH!N3333="1111",TH!O3333="1111")),TH!D3333,""),"")</f>
        <v/>
      </c>
      <c r="B3190" s="63">
        <f t="shared" si="210"/>
        <v>6</v>
      </c>
      <c r="C3190" s="64">
        <v>42549</v>
      </c>
      <c r="D3190" s="64" t="s">
        <v>687</v>
      </c>
      <c r="E3190" s="64">
        <f t="shared" si="211"/>
        <v>42549</v>
      </c>
      <c r="F3190" s="72" t="s">
        <v>1177</v>
      </c>
      <c r="G3190" s="67" t="s">
        <v>902</v>
      </c>
      <c r="H3190" s="72" t="s">
        <v>1672</v>
      </c>
      <c r="I3190" s="408"/>
      <c r="J3190" s="408"/>
      <c r="K3190" s="399">
        <v>8231.92</v>
      </c>
      <c r="L3190" s="408">
        <v>22280</v>
      </c>
      <c r="M3190" s="65">
        <f>ROUND(K3190*L3190,0)</f>
        <v>183407178</v>
      </c>
      <c r="N3190" s="66" t="s">
        <v>260</v>
      </c>
      <c r="O3190" s="66" t="s">
        <v>576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customHeight="1">
      <c r="A3191" s="323" t="str">
        <f>IF(B3191&lt;&gt;"",IF(AND(B3191='IN-TC'!$S$4,OR(TH!N3196="1111",TH!O3196="1111")),TH!D3196,""),"")</f>
        <v/>
      </c>
      <c r="B3191" s="63">
        <f t="shared" si="210"/>
        <v>6</v>
      </c>
      <c r="C3191" s="64">
        <v>42538</v>
      </c>
      <c r="D3191" s="64" t="s">
        <v>690</v>
      </c>
      <c r="E3191" s="64">
        <f t="shared" si="211"/>
        <v>42538</v>
      </c>
      <c r="F3191" s="72" t="s">
        <v>1425</v>
      </c>
      <c r="G3191" s="67" t="s">
        <v>902</v>
      </c>
      <c r="H3191" s="72"/>
      <c r="I3191" s="408"/>
      <c r="J3191" s="408"/>
      <c r="K3191" s="399">
        <v>76050</v>
      </c>
      <c r="L3191" s="408">
        <v>22320</v>
      </c>
      <c r="M3191" s="65">
        <v>1697436000</v>
      </c>
      <c r="N3191" s="66" t="s">
        <v>25</v>
      </c>
      <c r="O3191" s="66" t="s">
        <v>260</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customHeight="1">
      <c r="A3192" s="323" t="str">
        <f>IF(B3192&lt;&gt;"",IF(AND(B3192='IN-TC'!$S$4,OR(TH!N3199="1111",TH!O3199="1111")),TH!D3199,""),"")</f>
        <v/>
      </c>
      <c r="B3192" s="63">
        <f t="shared" si="210"/>
        <v>6</v>
      </c>
      <c r="C3192" s="64">
        <v>42538</v>
      </c>
      <c r="D3192" s="64" t="s">
        <v>690</v>
      </c>
      <c r="E3192" s="64">
        <f t="shared" si="211"/>
        <v>42538</v>
      </c>
      <c r="F3192" s="72" t="s">
        <v>1425</v>
      </c>
      <c r="G3192" s="67" t="s">
        <v>902</v>
      </c>
      <c r="H3192" s="72"/>
      <c r="I3192" s="408"/>
      <c r="J3192" s="408"/>
      <c r="K3192" s="399">
        <v>96000</v>
      </c>
      <c r="L3192" s="408">
        <v>22300</v>
      </c>
      <c r="M3192" s="65">
        <v>2140800000</v>
      </c>
      <c r="N3192" s="66" t="s">
        <v>25</v>
      </c>
      <c r="O3192" s="66" t="s">
        <v>260</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customHeight="1">
      <c r="A3193" s="323" t="str">
        <f>IF(B3193&lt;&gt;"",IF(AND(B3193='IN-TC'!$S$4,OR(TH!N282="1111",TH!O282="1111")),TH!D282,""),"")</f>
        <v/>
      </c>
      <c r="B3193" s="63">
        <f t="shared" si="210"/>
        <v>8</v>
      </c>
      <c r="C3193" s="1087">
        <v>42599</v>
      </c>
      <c r="D3193" s="1087" t="s">
        <v>1657</v>
      </c>
      <c r="E3193" s="1087">
        <f t="shared" si="211"/>
        <v>42599</v>
      </c>
      <c r="F3193" s="1155" t="s">
        <v>1889</v>
      </c>
      <c r="G3193" s="1131" t="s">
        <v>1890</v>
      </c>
      <c r="H3193" s="92" t="s">
        <v>1538</v>
      </c>
      <c r="I3193" s="414">
        <v>10000</v>
      </c>
      <c r="J3193" s="1132">
        <v>7</v>
      </c>
      <c r="K3193" s="405">
        <f>I3193*J3193</f>
        <v>70000</v>
      </c>
      <c r="L3193" s="414">
        <v>22260</v>
      </c>
      <c r="M3193" s="1133">
        <f>ROUND(K3193*L3193,0)</f>
        <v>1558200000</v>
      </c>
      <c r="N3193" s="1134" t="s">
        <v>576</v>
      </c>
      <c r="O3193" s="1134" t="s">
        <v>292</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customHeight="1">
      <c r="A3194" s="323" t="str">
        <f>IF(B3194&lt;&gt;"",IF(AND(B3194='IN-TC'!$S$4,OR(TH!N3643="1111",TH!O3643="1111")),TH!D3643,""),"")</f>
        <v/>
      </c>
      <c r="B3194" s="63">
        <f t="shared" si="210"/>
        <v>8</v>
      </c>
      <c r="C3194" s="64">
        <v>42606</v>
      </c>
      <c r="D3194" s="64" t="s">
        <v>687</v>
      </c>
      <c r="E3194" s="64">
        <f t="shared" si="211"/>
        <v>42606</v>
      </c>
      <c r="F3194" s="72" t="s">
        <v>1436</v>
      </c>
      <c r="G3194" s="67" t="s">
        <v>1544</v>
      </c>
      <c r="H3194" s="72" t="s">
        <v>1538</v>
      </c>
      <c r="I3194" s="408"/>
      <c r="J3194" s="408"/>
      <c r="K3194" s="399">
        <v>69830.41</v>
      </c>
      <c r="L3194" s="408">
        <v>22292</v>
      </c>
      <c r="M3194" s="65">
        <f>ROUND(K3194*L3194,0)</f>
        <v>1556659500</v>
      </c>
      <c r="N3194" s="66" t="s">
        <v>260</v>
      </c>
      <c r="O3194" s="66" t="s">
        <v>576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customHeight="1">
      <c r="A3195" s="323" t="str">
        <f>IF(B3195&lt;&gt;"",IF(AND(B3195='IN-TC'!$S$4,OR(TH!N3203="1111",TH!O3203="1111")),TH!D3203,""),"")</f>
        <v/>
      </c>
      <c r="B3195" s="63">
        <f t="shared" si="210"/>
        <v>6</v>
      </c>
      <c r="C3195" s="64">
        <v>42538</v>
      </c>
      <c r="D3195" s="64" t="s">
        <v>690</v>
      </c>
      <c r="E3195" s="64">
        <f t="shared" si="211"/>
        <v>42538</v>
      </c>
      <c r="F3195" s="72" t="s">
        <v>1053</v>
      </c>
      <c r="G3195" s="67" t="s">
        <v>902</v>
      </c>
      <c r="H3195" s="329" t="s">
        <v>1538</v>
      </c>
      <c r="I3195" s="408"/>
      <c r="J3195" s="408"/>
      <c r="K3195" s="399">
        <v>12.68</v>
      </c>
      <c r="L3195" s="408">
        <v>22280</v>
      </c>
      <c r="M3195" s="65">
        <f>ROUND(K3195*L3195,0)</f>
        <v>282510</v>
      </c>
      <c r="N3195" s="66" t="s">
        <v>9</v>
      </c>
      <c r="O3195" s="66" t="s">
        <v>576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x</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customHeight="1">
      <c r="A3196" s="323" t="str">
        <f>IF(B3196&lt;&gt;"",IF(AND(B3196='IN-TC'!$S$4,OR(TH!N3204="1111",TH!O3204="1111")),TH!D3204,""),"")</f>
        <v/>
      </c>
      <c r="B3196" s="63">
        <f t="shared" si="210"/>
        <v>6</v>
      </c>
      <c r="C3196" s="64">
        <v>42538</v>
      </c>
      <c r="D3196" s="64" t="s">
        <v>690</v>
      </c>
      <c r="E3196" s="64">
        <f t="shared" si="211"/>
        <v>42538</v>
      </c>
      <c r="F3196" s="72" t="s">
        <v>1049</v>
      </c>
      <c r="G3196" s="67"/>
      <c r="H3196" s="329" t="s">
        <v>1538</v>
      </c>
      <c r="I3196" s="408"/>
      <c r="J3196" s="408"/>
      <c r="K3196" s="399"/>
      <c r="L3196" s="408"/>
      <c r="M3196" s="65">
        <v>10562500</v>
      </c>
      <c r="N3196" s="66" t="s">
        <v>97</v>
      </c>
      <c r="O3196" s="66" t="s">
        <v>576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customHeight="1">
      <c r="A3197" s="323" t="str">
        <f>IF(B3197&lt;&gt;"",IF(AND(B3197='IN-TC'!$S$4,OR(TH!N3205="1111",TH!O3205="1111")),TH!D3205,""),"")</f>
        <v/>
      </c>
      <c r="B3197" s="63">
        <f t="shared" si="210"/>
        <v>6</v>
      </c>
      <c r="C3197" s="90">
        <v>42538</v>
      </c>
      <c r="D3197" s="90" t="s">
        <v>690</v>
      </c>
      <c r="E3197" s="90">
        <f t="shared" si="211"/>
        <v>42538</v>
      </c>
      <c r="F3197" s="72" t="s">
        <v>1047</v>
      </c>
      <c r="G3197" s="91" t="s">
        <v>902</v>
      </c>
      <c r="H3197" s="72"/>
      <c r="I3197" s="414"/>
      <c r="J3197" s="414"/>
      <c r="K3197" s="405"/>
      <c r="L3197" s="414"/>
      <c r="M3197" s="93">
        <v>1651820</v>
      </c>
      <c r="N3197" s="66" t="s">
        <v>97</v>
      </c>
      <c r="O3197" s="66" t="s">
        <v>25</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customHeight="1">
      <c r="A3198" s="323" t="str">
        <f>IF(B3198&lt;&gt;"",IF(AND(B3198='IN-TC'!$S$4,OR(TH!N3206="1111",TH!O3206="1111")),TH!D3206,""),"")</f>
        <v/>
      </c>
      <c r="B3198" s="63">
        <f t="shared" si="210"/>
        <v>6</v>
      </c>
      <c r="C3198" s="64">
        <v>42538</v>
      </c>
      <c r="D3198" s="64" t="s">
        <v>690</v>
      </c>
      <c r="E3198" s="64">
        <f t="shared" si="211"/>
        <v>42538</v>
      </c>
      <c r="F3198" s="72" t="s">
        <v>1627</v>
      </c>
      <c r="G3198" s="67" t="s">
        <v>902</v>
      </c>
      <c r="H3198" s="72"/>
      <c r="I3198" s="408"/>
      <c r="J3198" s="408"/>
      <c r="K3198" s="399"/>
      <c r="L3198" s="408"/>
      <c r="M3198" s="65">
        <v>446800</v>
      </c>
      <c r="N3198" s="66" t="s">
        <v>99</v>
      </c>
      <c r="O3198" s="66" t="s">
        <v>25</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customHeight="1">
      <c r="A3199" s="323" t="str">
        <f>IF(B3199&lt;&gt;"",IF(AND(B3199='IN-TC'!$S$4,OR(TH!N3207="1111",TH!O3207="1111")),TH!D3207,""),"")</f>
        <v/>
      </c>
      <c r="B3199" s="63">
        <f t="shared" si="210"/>
        <v>6</v>
      </c>
      <c r="C3199" s="64">
        <v>42538</v>
      </c>
      <c r="D3199" s="64" t="s">
        <v>690</v>
      </c>
      <c r="E3199" s="64">
        <f t="shared" si="211"/>
        <v>42538</v>
      </c>
      <c r="F3199" s="72" t="s">
        <v>1673</v>
      </c>
      <c r="G3199" s="67" t="s">
        <v>902</v>
      </c>
      <c r="H3199" s="72"/>
      <c r="I3199" s="408"/>
      <c r="J3199" s="408"/>
      <c r="K3199" s="399"/>
      <c r="L3199" s="408"/>
      <c r="M3199" s="65">
        <v>44680</v>
      </c>
      <c r="N3199" s="66" t="s">
        <v>9</v>
      </c>
      <c r="O3199" s="66" t="s">
        <v>25</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x</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customHeight="1">
      <c r="A3200" s="323" t="str">
        <f>IF(B3200&lt;&gt;"",IF(AND(B3200='IN-TC'!$S$4,OR(TH!N4455="1111",TH!O4455="1111")),TH!D4455,""),"")</f>
        <v/>
      </c>
      <c r="B3200" s="63">
        <f t="shared" si="210"/>
        <v>12</v>
      </c>
      <c r="C3200" s="64">
        <v>42712</v>
      </c>
      <c r="D3200" s="64" t="s">
        <v>690</v>
      </c>
      <c r="E3200" s="64">
        <f t="shared" si="211"/>
        <v>42712</v>
      </c>
      <c r="F3200" s="72" t="s">
        <v>2729</v>
      </c>
      <c r="G3200" s="67" t="s">
        <v>901</v>
      </c>
      <c r="H3200" s="72" t="s">
        <v>1198</v>
      </c>
      <c r="I3200" s="408"/>
      <c r="J3200" s="408"/>
      <c r="K3200" s="399"/>
      <c r="L3200" s="408"/>
      <c r="M3200" s="65">
        <v>10000000</v>
      </c>
      <c r="N3200" s="66" t="s">
        <v>70</v>
      </c>
      <c r="O3200" s="66" t="s">
        <v>25</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1" ht="15.75" customHeight="1">
      <c r="A3201" s="1160" t="str">
        <f>IF(B3201&lt;&gt;"",IF(AND(B3201='IN-TC'!$S$4,OR(TH!N949="1111",TH!O949="1111")),TH!D949,""),"")</f>
        <v/>
      </c>
      <c r="B3201" s="948">
        <f t="shared" si="210"/>
        <v>11</v>
      </c>
      <c r="C3201" s="78">
        <v>42689</v>
      </c>
      <c r="D3201" s="78" t="s">
        <v>1421</v>
      </c>
      <c r="E3201" s="78">
        <f t="shared" si="211"/>
        <v>42689</v>
      </c>
      <c r="F3201" s="80" t="s">
        <v>338</v>
      </c>
      <c r="G3201" s="934" t="s">
        <v>2482</v>
      </c>
      <c r="H3201" s="918" t="s">
        <v>1959</v>
      </c>
      <c r="I3201" s="406">
        <v>2000</v>
      </c>
      <c r="J3201" s="406">
        <v>49027</v>
      </c>
      <c r="K3201" s="397">
        <v>4400</v>
      </c>
      <c r="L3201" s="406">
        <v>22285</v>
      </c>
      <c r="M3201" s="81">
        <f>ROUND(K3201*L3201,0)</f>
        <v>98054000</v>
      </c>
      <c r="N3201" s="82" t="s">
        <v>270</v>
      </c>
      <c r="O3201" s="82" t="s">
        <v>8</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c r="AE3201">
        <v>1</v>
      </c>
    </row>
    <row r="3202" spans="1:31" ht="15.75" customHeight="1">
      <c r="A3202" s="323" t="str">
        <f>IF(B3202&lt;&gt;"",IF(AND(B3202='IN-TC'!$S$4,OR(TH!N3210="1111",TH!O3210="1111")),TH!D3210,""),"")</f>
        <v/>
      </c>
      <c r="B3202" s="63">
        <f t="shared" si="210"/>
        <v>6</v>
      </c>
      <c r="C3202" s="64">
        <v>42538</v>
      </c>
      <c r="D3202" s="64" t="s">
        <v>690</v>
      </c>
      <c r="E3202" s="64">
        <f t="shared" si="211"/>
        <v>42538</v>
      </c>
      <c r="F3202" s="72" t="s">
        <v>1423</v>
      </c>
      <c r="G3202" s="67" t="s">
        <v>902</v>
      </c>
      <c r="H3202" s="329"/>
      <c r="I3202" s="408"/>
      <c r="J3202" s="408"/>
      <c r="K3202" s="399">
        <v>5</v>
      </c>
      <c r="L3202" s="408">
        <v>22280</v>
      </c>
      <c r="M3202" s="65">
        <f>ROUND(K3202*L3202,0)</f>
        <v>111400</v>
      </c>
      <c r="N3202" s="66" t="s">
        <v>99</v>
      </c>
      <c r="O3202" s="66" t="s">
        <v>260</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1" ht="15.75" customHeight="1">
      <c r="A3203" s="323" t="str">
        <f>IF(B3203&lt;&gt;"",IF(AND(B3203='IN-TC'!$S$4,OR(TH!N3211="1111",TH!O3211="1111")),TH!D3211,""),"")</f>
        <v/>
      </c>
      <c r="B3203" s="63">
        <f t="shared" si="210"/>
        <v>6</v>
      </c>
      <c r="C3203" s="64">
        <v>42538</v>
      </c>
      <c r="D3203" s="64" t="s">
        <v>690</v>
      </c>
      <c r="E3203" s="64">
        <f t="shared" si="211"/>
        <v>42538</v>
      </c>
      <c r="F3203" s="72" t="s">
        <v>1424</v>
      </c>
      <c r="G3203" s="67" t="s">
        <v>902</v>
      </c>
      <c r="H3203" s="329"/>
      <c r="I3203" s="408"/>
      <c r="J3203" s="408"/>
      <c r="K3203" s="399">
        <v>0.5</v>
      </c>
      <c r="L3203" s="408">
        <v>22280</v>
      </c>
      <c r="M3203" s="65">
        <f>ROUND(K3203*L3203,0)</f>
        <v>11140</v>
      </c>
      <c r="N3203" s="66" t="s">
        <v>9</v>
      </c>
      <c r="O3203" s="66" t="s">
        <v>260</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x</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1" ht="15.75" customHeight="1">
      <c r="A3204" s="323" t="str">
        <f>IF(B3204&lt;&gt;"",IF(AND(B3204='IN-TC'!$S$4,OR(TH!N3219="1111",TH!O3219="1111")),TH!D3219,""),"")</f>
        <v/>
      </c>
      <c r="B3204" s="63">
        <f t="shared" si="210"/>
        <v>6</v>
      </c>
      <c r="C3204" s="64">
        <v>42538</v>
      </c>
      <c r="D3204" s="64" t="s">
        <v>690</v>
      </c>
      <c r="E3204" s="64">
        <f t="shared" si="211"/>
        <v>42538</v>
      </c>
      <c r="F3204" s="72" t="s">
        <v>1653</v>
      </c>
      <c r="G3204" s="67" t="s">
        <v>901</v>
      </c>
      <c r="H3204" s="72"/>
      <c r="I3204" s="408"/>
      <c r="J3204" s="408"/>
      <c r="K3204" s="399"/>
      <c r="L3204" s="408"/>
      <c r="M3204" s="65">
        <v>50000</v>
      </c>
      <c r="N3204" s="66" t="s">
        <v>99</v>
      </c>
      <c r="O3204" s="66" t="s">
        <v>25</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1" ht="15.75" customHeight="1">
      <c r="A3205" s="323" t="str">
        <f>IF(B3205&lt;&gt;"",IF(AND(B3205='IN-TC'!$S$4,OR(TH!N3220="1111",TH!O3220="1111")),TH!D3220,""),"")</f>
        <v/>
      </c>
      <c r="B3205" s="63">
        <f t="shared" si="210"/>
        <v>6</v>
      </c>
      <c r="C3205" s="64">
        <v>42538</v>
      </c>
      <c r="D3205" s="64" t="s">
        <v>690</v>
      </c>
      <c r="E3205" s="64">
        <f t="shared" si="211"/>
        <v>42538</v>
      </c>
      <c r="F3205" s="72" t="s">
        <v>1654</v>
      </c>
      <c r="G3205" s="67" t="s">
        <v>901</v>
      </c>
      <c r="H3205" s="72"/>
      <c r="I3205" s="408"/>
      <c r="J3205" s="408"/>
      <c r="K3205" s="399"/>
      <c r="L3205" s="408"/>
      <c r="M3205" s="65">
        <v>5000</v>
      </c>
      <c r="N3205" s="66" t="s">
        <v>9</v>
      </c>
      <c r="O3205" s="66" t="s">
        <v>25</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x</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1" ht="15.75" customHeight="1">
      <c r="A3206" s="323" t="str">
        <f>IF(B3206&lt;&gt;"",IF(AND(B3206='IN-TC'!$S$4,OR(TH!N3221="1111",TH!O3221="1111")),TH!D3221,""),"")</f>
        <v/>
      </c>
      <c r="B3206" s="63">
        <f t="shared" si="210"/>
        <v>6</v>
      </c>
      <c r="C3206" s="64">
        <v>42538</v>
      </c>
      <c r="D3206" s="64" t="s">
        <v>690</v>
      </c>
      <c r="E3206" s="64">
        <f t="shared" si="211"/>
        <v>42538</v>
      </c>
      <c r="F3206" s="72" t="s">
        <v>1653</v>
      </c>
      <c r="G3206" s="67" t="s">
        <v>901</v>
      </c>
      <c r="H3206" s="72"/>
      <c r="I3206" s="408"/>
      <c r="J3206" s="408"/>
      <c r="K3206" s="399"/>
      <c r="L3206" s="408"/>
      <c r="M3206" s="65">
        <v>50000</v>
      </c>
      <c r="N3206" s="66" t="s">
        <v>99</v>
      </c>
      <c r="O3206" s="66" t="s">
        <v>25</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1" ht="15.75" customHeight="1">
      <c r="A3207" s="323" t="str">
        <f>IF(B3207&lt;&gt;"",IF(AND(B3207='IN-TC'!$S$4,OR(TH!N3222="1111",TH!O3222="1111")),TH!D3222,""),"")</f>
        <v/>
      </c>
      <c r="B3207" s="63">
        <f t="shared" si="210"/>
        <v>6</v>
      </c>
      <c r="C3207" s="64">
        <v>42538</v>
      </c>
      <c r="D3207" s="64" t="s">
        <v>690</v>
      </c>
      <c r="E3207" s="64">
        <f t="shared" si="211"/>
        <v>42538</v>
      </c>
      <c r="F3207" s="72" t="s">
        <v>1654</v>
      </c>
      <c r="G3207" s="67" t="s">
        <v>901</v>
      </c>
      <c r="H3207" s="72"/>
      <c r="I3207" s="408"/>
      <c r="J3207" s="408"/>
      <c r="K3207" s="399"/>
      <c r="L3207" s="408"/>
      <c r="M3207" s="65">
        <v>5000</v>
      </c>
      <c r="N3207" s="66" t="s">
        <v>9</v>
      </c>
      <c r="O3207" s="66" t="s">
        <v>25</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x</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1" ht="15.75" customHeight="1">
      <c r="A3208" s="323" t="str">
        <f>IF(B3208&lt;&gt;"",IF(AND(B3208='IN-TC'!$S$4,OR(TH!N3197="1111",TH!O3197="1111")),TH!D3197,""),"")</f>
        <v/>
      </c>
      <c r="B3208" s="63">
        <f t="shared" si="210"/>
        <v>6</v>
      </c>
      <c r="C3208" s="64">
        <v>42538</v>
      </c>
      <c r="D3208" s="64" t="s">
        <v>893</v>
      </c>
      <c r="E3208" s="64">
        <v>42538</v>
      </c>
      <c r="F3208" s="72" t="s">
        <v>1126</v>
      </c>
      <c r="G3208" s="67" t="s">
        <v>902</v>
      </c>
      <c r="H3208" s="72" t="s">
        <v>748</v>
      </c>
      <c r="I3208" s="408"/>
      <c r="J3208" s="408"/>
      <c r="K3208" s="399"/>
      <c r="L3208" s="408"/>
      <c r="M3208" s="65">
        <v>40000000</v>
      </c>
      <c r="N3208" s="66" t="s">
        <v>61</v>
      </c>
      <c r="O3208" s="66" t="s">
        <v>25</v>
      </c>
      <c r="P3208" s="82" t="str">
        <f>IF(AND('331-CT'!$E$7=TH!H3208,OR(N3208="331",O3208="331")),"x","")</f>
        <v/>
      </c>
      <c r="Q3208" s="82" t="str">
        <f>IF(AND(B3208='111'!$L$11,OR($N3208=$Q$7,$O3208=$Q$7)),"x","")</f>
        <v/>
      </c>
      <c r="R3208" s="82" t="str">
        <f>IF(AND($N3208=$Q$7,$B3208&lt;'111'!$L$11),"x","")</f>
        <v>x</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1" ht="15.75" customHeight="1">
      <c r="A3209" s="323" t="str">
        <f>IF(B3209&lt;&gt;"",IF(AND(B3209='IN-TC'!$S$4,OR(TH!N3224="1111",TH!O3224="1111")),TH!D3224,""),"")</f>
        <v/>
      </c>
      <c r="B3209" s="63">
        <f t="shared" si="210"/>
        <v>6</v>
      </c>
      <c r="C3209" s="64">
        <v>42539</v>
      </c>
      <c r="D3209" s="64" t="s">
        <v>690</v>
      </c>
      <c r="E3209" s="64">
        <f t="shared" ref="E3209:E3216" si="213">C3209</f>
        <v>42539</v>
      </c>
      <c r="F3209" s="72" t="s">
        <v>736</v>
      </c>
      <c r="G3209" s="67" t="s">
        <v>902</v>
      </c>
      <c r="H3209" s="72" t="s">
        <v>710</v>
      </c>
      <c r="I3209" s="408"/>
      <c r="J3209" s="408"/>
      <c r="K3209" s="399"/>
      <c r="L3209" s="408"/>
      <c r="M3209" s="65">
        <v>6886975</v>
      </c>
      <c r="N3209" s="66" t="s">
        <v>97</v>
      </c>
      <c r="O3209" s="66" t="s">
        <v>25</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1" ht="15.75" customHeight="1">
      <c r="A3210" s="323" t="str">
        <f>IF(B3210&lt;&gt;"",IF(AND(B3210='IN-TC'!$S$4,OR(TH!N3225="1111",TH!O3225="1111")),TH!D3225,""),"")</f>
        <v/>
      </c>
      <c r="B3210" s="63">
        <f t="shared" si="210"/>
        <v>6</v>
      </c>
      <c r="C3210" s="64">
        <v>42539</v>
      </c>
      <c r="D3210" s="64" t="s">
        <v>690</v>
      </c>
      <c r="E3210" s="64">
        <f t="shared" si="213"/>
        <v>42539</v>
      </c>
      <c r="F3210" s="72" t="s">
        <v>737</v>
      </c>
      <c r="G3210" s="67" t="s">
        <v>902</v>
      </c>
      <c r="H3210" s="329" t="s">
        <v>711</v>
      </c>
      <c r="I3210" s="408"/>
      <c r="J3210" s="408"/>
      <c r="K3210" s="399">
        <v>306.56</v>
      </c>
      <c r="L3210" s="408">
        <v>22300</v>
      </c>
      <c r="M3210" s="65">
        <f t="shared" ref="M3210:M3216" si="214">ROUND(K3210*L3210,0)</f>
        <v>6836288</v>
      </c>
      <c r="N3210" s="66" t="s">
        <v>97</v>
      </c>
      <c r="O3210" s="66" t="s">
        <v>260</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1" ht="15.75" customHeight="1">
      <c r="A3211" s="323" t="str">
        <f>IF(B3211&lt;&gt;"",IF(AND(B3211='IN-TC'!$S$4,OR(TH!N3226="1111",TH!O3226="1111")),TH!D3226,""),"")</f>
        <v/>
      </c>
      <c r="B3211" s="63">
        <f t="shared" si="210"/>
        <v>6</v>
      </c>
      <c r="C3211" s="64">
        <v>42539</v>
      </c>
      <c r="D3211" s="64" t="s">
        <v>690</v>
      </c>
      <c r="E3211" s="64">
        <f t="shared" si="213"/>
        <v>42539</v>
      </c>
      <c r="F3211" s="72" t="s">
        <v>1041</v>
      </c>
      <c r="G3211" s="67" t="s">
        <v>902</v>
      </c>
      <c r="H3211" s="329" t="s">
        <v>718</v>
      </c>
      <c r="I3211" s="408"/>
      <c r="J3211" s="408"/>
      <c r="K3211" s="399">
        <v>210.11</v>
      </c>
      <c r="L3211" s="408">
        <v>22300</v>
      </c>
      <c r="M3211" s="65">
        <f t="shared" si="214"/>
        <v>4685453</v>
      </c>
      <c r="N3211" s="66" t="s">
        <v>97</v>
      </c>
      <c r="O3211" s="66" t="s">
        <v>260</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1" ht="15.75" customHeight="1">
      <c r="A3212" s="323" t="str">
        <f>IF(B3212&lt;&gt;"",IF(AND(B3212='IN-TC'!$S$4,OR(TH!N3227="1111",TH!O3227="1111")),TH!D3227,""),"")</f>
        <v/>
      </c>
      <c r="B3212" s="63">
        <f t="shared" si="210"/>
        <v>6</v>
      </c>
      <c r="C3212" s="64">
        <v>42539</v>
      </c>
      <c r="D3212" s="64" t="s">
        <v>690</v>
      </c>
      <c r="E3212" s="64">
        <f t="shared" si="213"/>
        <v>42539</v>
      </c>
      <c r="F3212" s="72" t="s">
        <v>739</v>
      </c>
      <c r="G3212" s="67" t="s">
        <v>902</v>
      </c>
      <c r="H3212" s="329" t="s">
        <v>712</v>
      </c>
      <c r="I3212" s="408"/>
      <c r="J3212" s="408"/>
      <c r="K3212" s="399">
        <v>306.56</v>
      </c>
      <c r="L3212" s="408">
        <v>22300</v>
      </c>
      <c r="M3212" s="65">
        <f t="shared" si="214"/>
        <v>6836288</v>
      </c>
      <c r="N3212" s="66" t="s">
        <v>97</v>
      </c>
      <c r="O3212" s="66" t="s">
        <v>260</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1" ht="15.75" customHeight="1">
      <c r="A3213" s="323" t="str">
        <f>IF(B3213&lt;&gt;"",IF(AND(B3213='IN-TC'!$S$4,OR(TH!N3228="1111",TH!O3228="1111")),TH!D3228,""),"")</f>
        <v/>
      </c>
      <c r="B3213" s="63">
        <f t="shared" si="210"/>
        <v>6</v>
      </c>
      <c r="C3213" s="64">
        <v>42539</v>
      </c>
      <c r="D3213" s="64" t="s">
        <v>690</v>
      </c>
      <c r="E3213" s="64">
        <f t="shared" si="213"/>
        <v>42539</v>
      </c>
      <c r="F3213" s="72" t="s">
        <v>1042</v>
      </c>
      <c r="G3213" s="67" t="s">
        <v>902</v>
      </c>
      <c r="H3213" s="329" t="s">
        <v>713</v>
      </c>
      <c r="I3213" s="408"/>
      <c r="J3213" s="408"/>
      <c r="K3213" s="399">
        <v>303.11</v>
      </c>
      <c r="L3213" s="408">
        <v>22300</v>
      </c>
      <c r="M3213" s="65">
        <f t="shared" si="214"/>
        <v>6759353</v>
      </c>
      <c r="N3213" s="66" t="s">
        <v>97</v>
      </c>
      <c r="O3213" s="66" t="s">
        <v>260</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1" ht="15.75" customHeight="1">
      <c r="A3214" s="323" t="str">
        <f>IF(B3214&lt;&gt;"",IF(AND(B3214='IN-TC'!$S$4,OR(TH!N3229="1111",TH!O3229="1111")),TH!D3229,""),"")</f>
        <v/>
      </c>
      <c r="B3214" s="63">
        <f t="shared" si="210"/>
        <v>6</v>
      </c>
      <c r="C3214" s="64">
        <v>42539</v>
      </c>
      <c r="D3214" s="64" t="s">
        <v>690</v>
      </c>
      <c r="E3214" s="64">
        <f t="shared" si="213"/>
        <v>42539</v>
      </c>
      <c r="F3214" s="72" t="s">
        <v>1629</v>
      </c>
      <c r="G3214" s="67" t="s">
        <v>902</v>
      </c>
      <c r="H3214" s="329" t="s">
        <v>721</v>
      </c>
      <c r="I3214" s="408"/>
      <c r="J3214" s="408"/>
      <c r="K3214" s="399">
        <v>334.11</v>
      </c>
      <c r="L3214" s="408">
        <v>22300</v>
      </c>
      <c r="M3214" s="65">
        <f t="shared" si="214"/>
        <v>7450653</v>
      </c>
      <c r="N3214" s="66" t="s">
        <v>97</v>
      </c>
      <c r="O3214" s="66" t="s">
        <v>260</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1" ht="15.75" customHeight="1">
      <c r="A3215" s="323" t="str">
        <f>IF(B3215&lt;&gt;"",IF(AND(B3215='IN-TC'!$S$4,OR(TH!N3230="1111",TH!O3230="1111")),TH!D3230,""),"")</f>
        <v/>
      </c>
      <c r="B3215" s="63">
        <f t="shared" si="210"/>
        <v>6</v>
      </c>
      <c r="C3215" s="64">
        <v>42539</v>
      </c>
      <c r="D3215" s="64" t="s">
        <v>690</v>
      </c>
      <c r="E3215" s="64">
        <f t="shared" si="213"/>
        <v>42539</v>
      </c>
      <c r="F3215" s="72" t="s">
        <v>1630</v>
      </c>
      <c r="G3215" s="67" t="s">
        <v>902</v>
      </c>
      <c r="H3215" s="72" t="s">
        <v>1168</v>
      </c>
      <c r="I3215" s="408"/>
      <c r="J3215" s="408"/>
      <c r="K3215" s="399">
        <v>282.44</v>
      </c>
      <c r="L3215" s="408">
        <v>22300</v>
      </c>
      <c r="M3215" s="65">
        <f t="shared" si="214"/>
        <v>6298412</v>
      </c>
      <c r="N3215" s="66" t="s">
        <v>97</v>
      </c>
      <c r="O3215" s="66" t="s">
        <v>260</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1" ht="15.75" customHeight="1">
      <c r="A3216" s="323" t="str">
        <f>IF(B3216&lt;&gt;"",IF(AND(B3216='IN-TC'!$S$4,OR(TH!N3231="1111",TH!O3231="1111")),TH!D3231,""),"")</f>
        <v/>
      </c>
      <c r="B3216" s="63">
        <f t="shared" si="210"/>
        <v>6</v>
      </c>
      <c r="C3216" s="64">
        <v>42539</v>
      </c>
      <c r="D3216" s="64" t="s">
        <v>690</v>
      </c>
      <c r="E3216" s="64">
        <f t="shared" si="213"/>
        <v>42539</v>
      </c>
      <c r="F3216" s="72" t="s">
        <v>1631</v>
      </c>
      <c r="G3216" s="67" t="s">
        <v>902</v>
      </c>
      <c r="H3216" s="72" t="s">
        <v>1169</v>
      </c>
      <c r="I3216" s="408"/>
      <c r="J3216" s="408"/>
      <c r="K3216" s="399">
        <v>310</v>
      </c>
      <c r="L3216" s="408">
        <v>22300</v>
      </c>
      <c r="M3216" s="65">
        <f t="shared" si="214"/>
        <v>6913000</v>
      </c>
      <c r="N3216" s="66" t="s">
        <v>97</v>
      </c>
      <c r="O3216" s="66" t="s">
        <v>260</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customHeight="1">
      <c r="A3217" s="323" t="str">
        <f>IF(B3217&lt;&gt;"",IF(AND(B3217='IN-TC'!$S$4,OR(TH!N3223="1111",TH!O3223="1111")),TH!D3223,""),"")</f>
        <v/>
      </c>
      <c r="B3217" s="63">
        <f t="shared" si="210"/>
        <v>6</v>
      </c>
      <c r="C3217" s="64">
        <v>42539</v>
      </c>
      <c r="D3217" s="64" t="s">
        <v>900</v>
      </c>
      <c r="E3217" s="64">
        <v>42539</v>
      </c>
      <c r="F3217" s="72" t="s">
        <v>1126</v>
      </c>
      <c r="G3217" s="67" t="s">
        <v>902</v>
      </c>
      <c r="H3217" s="72" t="s">
        <v>748</v>
      </c>
      <c r="I3217" s="408"/>
      <c r="J3217" s="408"/>
      <c r="K3217" s="399"/>
      <c r="L3217" s="408"/>
      <c r="M3217" s="65">
        <v>160000000</v>
      </c>
      <c r="N3217" s="66" t="s">
        <v>61</v>
      </c>
      <c r="O3217" s="66" t="s">
        <v>25</v>
      </c>
      <c r="P3217" s="82" t="str">
        <f>IF(AND('331-CT'!$E$7=TH!H3217,OR(N3217="331",O3217="331")),"x","")</f>
        <v/>
      </c>
      <c r="Q3217" s="82" t="str">
        <f>IF(AND(B3217='111'!$L$11,OR($N3217=$Q$7,$O3217=$Q$7)),"x","")</f>
        <v/>
      </c>
      <c r="R3217" s="82" t="str">
        <f>IF(AND($N3217=$Q$7,$B3217&lt;'111'!$L$11),"x","")</f>
        <v>x</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customHeight="1">
      <c r="A3218" s="323" t="str">
        <f>IF(B3218&lt;&gt;"",IF(AND(B3218='IN-TC'!$S$4,OR(TH!N3159="1111",TH!O3159="1111")),TH!D3159,""),"")</f>
        <v/>
      </c>
      <c r="B3218" s="63">
        <f t="shared" si="210"/>
        <v>6</v>
      </c>
      <c r="C3218" s="1092">
        <v>42541</v>
      </c>
      <c r="D3218" s="1092" t="s">
        <v>874</v>
      </c>
      <c r="E3218" s="1092">
        <f>C3218</f>
        <v>42541</v>
      </c>
      <c r="F3218" s="482" t="s">
        <v>947</v>
      </c>
      <c r="G3218" s="1094"/>
      <c r="H3218" s="1093" t="s">
        <v>946</v>
      </c>
      <c r="I3218" s="1095"/>
      <c r="J3218" s="1095"/>
      <c r="K3218" s="1096"/>
      <c r="L3218" s="1095"/>
      <c r="M3218" s="1097">
        <v>500000000</v>
      </c>
      <c r="N3218" s="1098" t="s">
        <v>266</v>
      </c>
      <c r="O3218" s="1098" t="s">
        <v>61</v>
      </c>
      <c r="P3218" s="82" t="str">
        <f>IF(AND('331-CT'!$E$7=TH!H3218,OR(N3218="331",O3218="331")),"x","")</f>
        <v/>
      </c>
      <c r="Q3218" s="82" t="str">
        <f>IF(AND(B3218='111'!$L$11,OR($N3218=$Q$7,$O3218=$Q$7)),"x","")</f>
        <v/>
      </c>
      <c r="R3218" s="82" t="str">
        <f>IF(AND($N3218=$Q$7,$B3218&lt;'111'!$L$11),"x","")</f>
        <v/>
      </c>
      <c r="S3218" s="82" t="str">
        <f>IF(AND($O3218=$Q$7,$B3218&lt;'111'!$L$11),"x","")</f>
        <v>x</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customHeight="1">
      <c r="A3219" s="323" t="str">
        <f>IF(B3219&lt;&gt;"",IF(AND(B3219='IN-TC'!$S$4,OR(TH!N3160="1111",TH!O3160="1111")),TH!D3160,""),"")</f>
        <v/>
      </c>
      <c r="B3219" s="63">
        <f t="shared" si="210"/>
        <v>6</v>
      </c>
      <c r="C3219" s="1092">
        <v>42541</v>
      </c>
      <c r="D3219" s="1092" t="s">
        <v>875</v>
      </c>
      <c r="E3219" s="1092">
        <f>C3219</f>
        <v>42541</v>
      </c>
      <c r="F3219" s="482" t="s">
        <v>947</v>
      </c>
      <c r="G3219" s="1094"/>
      <c r="H3219" s="1093" t="s">
        <v>3001</v>
      </c>
      <c r="I3219" s="1095"/>
      <c r="J3219" s="1095"/>
      <c r="K3219" s="1096"/>
      <c r="L3219" s="1095"/>
      <c r="M3219" s="1097">
        <v>388014500</v>
      </c>
      <c r="N3219" s="1098" t="s">
        <v>266</v>
      </c>
      <c r="O3219" s="1098" t="s">
        <v>61</v>
      </c>
      <c r="P3219" s="82" t="str">
        <f>IF(AND('331-CT'!$E$7=TH!H3219,OR(N3219="331",O3219="331")),"x","")</f>
        <v/>
      </c>
      <c r="Q3219" s="82" t="str">
        <f>IF(AND(B3219='111'!$L$11,OR($N3219=$Q$7,$O3219=$Q$7)),"x","")</f>
        <v/>
      </c>
      <c r="R3219" s="82" t="str">
        <f>IF(AND($N3219=$Q$7,$B3219&lt;'111'!$L$11),"x","")</f>
        <v/>
      </c>
      <c r="S3219" s="82" t="str">
        <f>IF(AND($O3219=$Q$7,$B3219&lt;'111'!$L$11),"x","")</f>
        <v>x</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customHeight="1">
      <c r="A3220" s="323" t="str">
        <f>IF(B3220&lt;&gt;"",IF(AND(B3220='IN-TC'!$S$4,OR(TH!N3194="1111",TH!O3194="1111")),TH!D3194,""),"")</f>
        <v/>
      </c>
      <c r="B3220" s="63">
        <f t="shared" si="210"/>
        <v>6</v>
      </c>
      <c r="C3220" s="64">
        <v>42541</v>
      </c>
      <c r="D3220" s="64" t="s">
        <v>876</v>
      </c>
      <c r="E3220" s="64">
        <v>42541</v>
      </c>
      <c r="F3220" s="72" t="s">
        <v>1561</v>
      </c>
      <c r="G3220" s="931" t="s">
        <v>1563</v>
      </c>
      <c r="H3220" s="72" t="s">
        <v>2418</v>
      </c>
      <c r="I3220" s="408"/>
      <c r="J3220" s="408"/>
      <c r="K3220" s="399"/>
      <c r="L3220" s="408"/>
      <c r="M3220" s="65">
        <v>2548279</v>
      </c>
      <c r="N3220" s="66" t="s">
        <v>99</v>
      </c>
      <c r="O3220" s="66" t="s">
        <v>61</v>
      </c>
      <c r="P3220" s="82" t="str">
        <f>IF(AND('331-CT'!$E$7=TH!H3220,OR(N3220="331",O3220="331")),"x","")</f>
        <v/>
      </c>
      <c r="Q3220" s="82" t="str">
        <f>IF(AND(B3220='111'!$L$11,OR($N3220=$Q$7,$O3220=$Q$7)),"x","")</f>
        <v/>
      </c>
      <c r="R3220" s="82" t="str">
        <f>IF(AND($N3220=$Q$7,$B3220&lt;'111'!$L$11),"x","")</f>
        <v/>
      </c>
      <c r="S3220" s="82" t="str">
        <f>IF(AND($O3220=$Q$7,$B3220&lt;'111'!$L$11),"x","")</f>
        <v>x</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customHeight="1">
      <c r="A3221" s="323" t="str">
        <f>IF(B3221&lt;&gt;"",IF(AND(B3221='IN-TC'!$S$4,OR(TH!N3195="1111",TH!O3195="1111")),TH!D3195,""),"")</f>
        <v/>
      </c>
      <c r="B3221" s="63">
        <f t="shared" si="210"/>
        <v>6</v>
      </c>
      <c r="C3221" s="64">
        <v>42541</v>
      </c>
      <c r="D3221" s="64" t="s">
        <v>876</v>
      </c>
      <c r="E3221" s="64">
        <v>42541</v>
      </c>
      <c r="F3221" s="72" t="s">
        <v>1562</v>
      </c>
      <c r="G3221" s="931" t="s">
        <v>1563</v>
      </c>
      <c r="H3221" s="72" t="s">
        <v>2418</v>
      </c>
      <c r="I3221" s="408"/>
      <c r="J3221" s="408"/>
      <c r="K3221" s="399"/>
      <c r="L3221" s="408"/>
      <c r="M3221" s="65">
        <v>254828</v>
      </c>
      <c r="N3221" s="66" t="s">
        <v>9</v>
      </c>
      <c r="O3221" s="66" t="s">
        <v>61</v>
      </c>
      <c r="P3221" s="82" t="str">
        <f>IF(AND('331-CT'!$E$7=TH!H3221,OR(N3221="331",O3221="331")),"x","")</f>
        <v/>
      </c>
      <c r="Q3221" s="82" t="str">
        <f>IF(AND(B3221='111'!$L$11,OR($N3221=$Q$7,$O3221=$Q$7)),"x","")</f>
        <v/>
      </c>
      <c r="R3221" s="82" t="str">
        <f>IF(AND($N3221=$Q$7,$B3221&lt;'111'!$L$11),"x","")</f>
        <v/>
      </c>
      <c r="S3221" s="82" t="str">
        <f>IF(AND($O3221=$Q$7,$B3221&lt;'111'!$L$11),"x","")</f>
        <v>x</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x</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customHeight="1">
      <c r="A3222" s="323" t="str">
        <f>IF(B3222&lt;&gt;"",IF(AND(B3222='IN-TC'!$S$4,OR(TH!N3232="1111",TH!O3232="1111")),TH!D3232,""),"")</f>
        <v/>
      </c>
      <c r="B3222" s="63">
        <f t="shared" si="210"/>
        <v>6</v>
      </c>
      <c r="C3222" s="64">
        <v>42541</v>
      </c>
      <c r="D3222" s="64" t="s">
        <v>877</v>
      </c>
      <c r="E3222" s="64">
        <v>42541</v>
      </c>
      <c r="F3222" s="72" t="s">
        <v>761</v>
      </c>
      <c r="G3222" s="931" t="s">
        <v>1564</v>
      </c>
      <c r="H3222" s="72" t="s">
        <v>792</v>
      </c>
      <c r="I3222" s="408"/>
      <c r="J3222" s="408"/>
      <c r="K3222" s="399"/>
      <c r="L3222" s="408"/>
      <c r="M3222" s="65">
        <v>1469818</v>
      </c>
      <c r="N3222" s="66" t="s">
        <v>99</v>
      </c>
      <c r="O3222" s="66" t="s">
        <v>61</v>
      </c>
      <c r="P3222" s="82" t="str">
        <f>IF(AND('331-CT'!$E$7=TH!H3222,OR(N3222="331",O3222="331")),"x","")</f>
        <v/>
      </c>
      <c r="Q3222" s="82" t="str">
        <f>IF(AND(B3222='111'!$L$11,OR($N3222=$Q$7,$O3222=$Q$7)),"x","")</f>
        <v/>
      </c>
      <c r="R3222" s="82" t="str">
        <f>IF(AND($N3222=$Q$7,$B3222&lt;'111'!$L$11),"x","")</f>
        <v/>
      </c>
      <c r="S3222" s="82" t="str">
        <f>IF(AND($O3222=$Q$7,$B3222&lt;'111'!$L$11),"x","")</f>
        <v>x</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customHeight="1">
      <c r="A3223" s="323" t="str">
        <f>IF(B3223&lt;&gt;"",IF(AND(B3223='IN-TC'!$S$4,OR(TH!N3233="1111",TH!O3233="1111")),TH!D3233,""),"")</f>
        <v/>
      </c>
      <c r="B3223" s="63">
        <f t="shared" si="210"/>
        <v>6</v>
      </c>
      <c r="C3223" s="64">
        <v>42541</v>
      </c>
      <c r="D3223" s="64" t="s">
        <v>877</v>
      </c>
      <c r="E3223" s="64">
        <v>42541</v>
      </c>
      <c r="F3223" s="72" t="s">
        <v>762</v>
      </c>
      <c r="G3223" s="931" t="s">
        <v>1564</v>
      </c>
      <c r="H3223" s="72" t="s">
        <v>792</v>
      </c>
      <c r="I3223" s="408"/>
      <c r="J3223" s="408"/>
      <c r="K3223" s="399"/>
      <c r="L3223" s="408"/>
      <c r="M3223" s="65">
        <v>146982</v>
      </c>
      <c r="N3223" s="66" t="s">
        <v>9</v>
      </c>
      <c r="O3223" s="66" t="s">
        <v>61</v>
      </c>
      <c r="P3223" s="82" t="str">
        <f>IF(AND('331-CT'!$E$7=TH!H3223,OR(N3223="331",O3223="331")),"x","")</f>
        <v/>
      </c>
      <c r="Q3223" s="82" t="str">
        <f>IF(AND(B3223='111'!$L$11,OR($N3223=$Q$7,$O3223=$Q$7)),"x","")</f>
        <v/>
      </c>
      <c r="R3223" s="82" t="str">
        <f>IF(AND($N3223=$Q$7,$B3223&lt;'111'!$L$11),"x","")</f>
        <v/>
      </c>
      <c r="S3223" s="82" t="str">
        <f>IF(AND($O3223=$Q$7,$B3223&lt;'111'!$L$11),"x","")</f>
        <v>x</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x</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customHeight="1">
      <c r="A3224" s="323" t="str">
        <f>IF(B3224&lt;&gt;"",IF(AND(B3224='IN-TC'!$S$4,OR(TH!N3234="1111",TH!O3234="1111")),TH!D3234,""),"")</f>
        <v/>
      </c>
      <c r="B3224" s="63">
        <f t="shared" si="210"/>
        <v>6</v>
      </c>
      <c r="C3224" s="64">
        <v>42541</v>
      </c>
      <c r="D3224" s="64" t="s">
        <v>878</v>
      </c>
      <c r="E3224" s="64">
        <v>42541</v>
      </c>
      <c r="F3224" s="72" t="s">
        <v>996</v>
      </c>
      <c r="G3224" s="931" t="s">
        <v>1565</v>
      </c>
      <c r="H3224" s="72" t="s">
        <v>1020</v>
      </c>
      <c r="I3224" s="408"/>
      <c r="J3224" s="408"/>
      <c r="K3224" s="399"/>
      <c r="L3224" s="408"/>
      <c r="M3224" s="65">
        <v>1520000</v>
      </c>
      <c r="N3224" s="66" t="s">
        <v>99</v>
      </c>
      <c r="O3224" s="66" t="s">
        <v>61</v>
      </c>
      <c r="P3224" s="82" t="str">
        <f>IF(AND('331-CT'!$E$7=TH!H3224,OR(N3224="331",O3224="331")),"x","")</f>
        <v/>
      </c>
      <c r="Q3224" s="82" t="str">
        <f>IF(AND(B3224='111'!$L$11,OR($N3224=$Q$7,$O3224=$Q$7)),"x","")</f>
        <v/>
      </c>
      <c r="R3224" s="82" t="str">
        <f>IF(AND($N3224=$Q$7,$B3224&lt;'111'!$L$11),"x","")</f>
        <v/>
      </c>
      <c r="S3224" s="82" t="str">
        <f>IF(AND($O3224=$Q$7,$B3224&lt;'111'!$L$11),"x","")</f>
        <v>x</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customHeight="1">
      <c r="A3225" s="323" t="str">
        <f>IF(B3225&lt;&gt;"",IF(AND(B3225='IN-TC'!$S$4,OR(TH!N3235="1111",TH!O3235="1111")),TH!D3235,""),"")</f>
        <v/>
      </c>
      <c r="B3225" s="63">
        <f t="shared" si="210"/>
        <v>6</v>
      </c>
      <c r="C3225" s="64">
        <v>42542</v>
      </c>
      <c r="D3225" s="64" t="s">
        <v>879</v>
      </c>
      <c r="E3225" s="64">
        <v>42542</v>
      </c>
      <c r="F3225" s="72" t="s">
        <v>1566</v>
      </c>
      <c r="G3225" s="67"/>
      <c r="H3225" s="72" t="s">
        <v>1567</v>
      </c>
      <c r="I3225" s="408"/>
      <c r="J3225" s="408"/>
      <c r="K3225" s="399"/>
      <c r="L3225" s="408"/>
      <c r="M3225" s="65">
        <v>4898300</v>
      </c>
      <c r="N3225" s="66" t="s">
        <v>1568</v>
      </c>
      <c r="O3225" s="66" t="s">
        <v>61</v>
      </c>
      <c r="P3225" s="82" t="str">
        <f>IF(AND('331-CT'!$E$7=TH!H3225,OR(N3225="331",O3225="331")),"x","")</f>
        <v/>
      </c>
      <c r="Q3225" s="82" t="str">
        <f>IF(AND(B3225='111'!$L$11,OR($N3225=$Q$7,$O3225=$Q$7)),"x","")</f>
        <v/>
      </c>
      <c r="R3225" s="82" t="str">
        <f>IF(AND($N3225=$Q$7,$B3225&lt;'111'!$L$11),"x","")</f>
        <v/>
      </c>
      <c r="S3225" s="82" t="str">
        <f>IF(AND($O3225=$Q$7,$B3225&lt;'111'!$L$11),"x","")</f>
        <v>x</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customHeight="1">
      <c r="A3226" s="323" t="str">
        <f>IF(B3226&lt;&gt;"",IF(AND(B3226='IN-TC'!$S$4,OR(TH!N3236="1111",TH!O3236="1111")),TH!D3236,""),"")</f>
        <v/>
      </c>
      <c r="B3226" s="63">
        <f t="shared" si="210"/>
        <v>6</v>
      </c>
      <c r="C3226" s="64">
        <v>42542</v>
      </c>
      <c r="D3226" s="64" t="s">
        <v>880</v>
      </c>
      <c r="E3226" s="64">
        <v>42542</v>
      </c>
      <c r="F3226" s="72" t="s">
        <v>1179</v>
      </c>
      <c r="G3226" s="67"/>
      <c r="H3226" s="72" t="s">
        <v>1679</v>
      </c>
      <c r="I3226" s="408"/>
      <c r="J3226" s="408"/>
      <c r="K3226" s="399"/>
      <c r="L3226" s="408"/>
      <c r="M3226" s="65">
        <v>22000</v>
      </c>
      <c r="N3226" s="66" t="s">
        <v>99</v>
      </c>
      <c r="O3226" s="66" t="s">
        <v>61</v>
      </c>
      <c r="P3226" s="82" t="str">
        <f>IF(AND('331-CT'!$E$7=TH!H3226,OR(N3226="331",O3226="331")),"x","")</f>
        <v/>
      </c>
      <c r="Q3226" s="82" t="str">
        <f>IF(AND(B3226='111'!$L$11,OR($N3226=$Q$7,$O3226=$Q$7)),"x","")</f>
        <v/>
      </c>
      <c r="R3226" s="82" t="str">
        <f>IF(AND($N3226=$Q$7,$B3226&lt;'111'!$L$11),"x","")</f>
        <v/>
      </c>
      <c r="S3226" s="82" t="str">
        <f>IF(AND($O3226=$Q$7,$B3226&lt;'111'!$L$11),"x","")</f>
        <v>x</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customHeight="1">
      <c r="A3227" s="323" t="str">
        <f>IF(B3227&lt;&gt;"",IF(AND(B3227='IN-TC'!$S$4,OR(TH!N279="1111",TH!O279="1111")),TH!D279,""),"")</f>
        <v/>
      </c>
      <c r="B3227" s="63">
        <f t="shared" si="210"/>
        <v>8</v>
      </c>
      <c r="C3227" s="1087">
        <v>42583</v>
      </c>
      <c r="D3227" s="1087" t="s">
        <v>584</v>
      </c>
      <c r="E3227" s="1087">
        <f t="shared" ref="E3227:E3232" si="215">C3227</f>
        <v>42583</v>
      </c>
      <c r="F3227" s="1155" t="s">
        <v>1885</v>
      </c>
      <c r="G3227" s="1131" t="s">
        <v>1882</v>
      </c>
      <c r="H3227" s="92" t="s">
        <v>589</v>
      </c>
      <c r="I3227" s="414">
        <v>390</v>
      </c>
      <c r="J3227" s="1132">
        <v>9.5</v>
      </c>
      <c r="K3227" s="405">
        <f>I3227*J3227</f>
        <v>3705</v>
      </c>
      <c r="L3227" s="414">
        <v>22260</v>
      </c>
      <c r="M3227" s="1133">
        <f t="shared" ref="M3227:M3232" si="216">ROUND(K3227*L3227,0)</f>
        <v>82473300</v>
      </c>
      <c r="N3227" s="1134" t="s">
        <v>576</v>
      </c>
      <c r="O3227" s="1134" t="s">
        <v>292</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customHeight="1">
      <c r="A3228" s="323" t="str">
        <f>IF(B3228&lt;&gt;"",IF(AND(B3228='IN-TC'!$S$4,OR(TH!N3526="1111",TH!O3526="1111")),TH!D3526,""),"")</f>
        <v/>
      </c>
      <c r="B3228" s="63">
        <f t="shared" si="210"/>
        <v>8</v>
      </c>
      <c r="C3228" s="64">
        <v>42586</v>
      </c>
      <c r="D3228" s="64" t="s">
        <v>687</v>
      </c>
      <c r="E3228" s="64">
        <f t="shared" si="215"/>
        <v>42586</v>
      </c>
      <c r="F3228" s="72" t="s">
        <v>1171</v>
      </c>
      <c r="G3228" s="67" t="s">
        <v>901</v>
      </c>
      <c r="H3228" s="329" t="s">
        <v>589</v>
      </c>
      <c r="I3228" s="408"/>
      <c r="J3228" s="408"/>
      <c r="K3228" s="399">
        <v>45100</v>
      </c>
      <c r="L3228" s="408">
        <v>22310</v>
      </c>
      <c r="M3228" s="65">
        <f t="shared" si="216"/>
        <v>1006181000</v>
      </c>
      <c r="N3228" s="66" t="s">
        <v>260</v>
      </c>
      <c r="O3228" s="66" t="s">
        <v>576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customHeight="1">
      <c r="A3229" s="323" t="str">
        <f>IF(B3229&lt;&gt;"",IF(AND(B3229='IN-TC'!$S$4,OR(TH!N3559="1111",TH!O3559="1111")),TH!D3559,""),"")</f>
        <v/>
      </c>
      <c r="B3229" s="63">
        <f t="shared" si="210"/>
        <v>8</v>
      </c>
      <c r="C3229" s="64">
        <v>42593</v>
      </c>
      <c r="D3229" s="64" t="s">
        <v>687</v>
      </c>
      <c r="E3229" s="64">
        <f t="shared" si="215"/>
        <v>42593</v>
      </c>
      <c r="F3229" s="72" t="s">
        <v>1436</v>
      </c>
      <c r="G3229" s="67" t="s">
        <v>901</v>
      </c>
      <c r="H3229" s="329" t="s">
        <v>589</v>
      </c>
      <c r="I3229" s="408"/>
      <c r="J3229" s="408"/>
      <c r="K3229" s="399">
        <v>2230.29</v>
      </c>
      <c r="L3229" s="414">
        <v>22270</v>
      </c>
      <c r="M3229" s="65">
        <f t="shared" si="216"/>
        <v>49668558</v>
      </c>
      <c r="N3229" s="66" t="s">
        <v>260</v>
      </c>
      <c r="O3229" s="66" t="s">
        <v>576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customHeight="1">
      <c r="A3230" s="323" t="str">
        <f>IF(B3230&lt;&gt;"",IF(AND(B3230='IN-TC'!$S$4,OR(TH!N3560="1111",TH!O3560="1111")),TH!D3560,""),"")</f>
        <v/>
      </c>
      <c r="B3230" s="63">
        <f t="shared" si="210"/>
        <v>8</v>
      </c>
      <c r="C3230" s="78">
        <v>42593</v>
      </c>
      <c r="D3230" s="78" t="s">
        <v>570</v>
      </c>
      <c r="E3230" s="78">
        <f t="shared" si="215"/>
        <v>42593</v>
      </c>
      <c r="F3230" s="72" t="s">
        <v>1045</v>
      </c>
      <c r="G3230" s="79" t="s">
        <v>901</v>
      </c>
      <c r="H3230" s="918" t="s">
        <v>589</v>
      </c>
      <c r="I3230" s="406"/>
      <c r="J3230" s="406"/>
      <c r="K3230" s="397">
        <v>71.319999999999993</v>
      </c>
      <c r="L3230" s="414">
        <v>22270</v>
      </c>
      <c r="M3230" s="81">
        <f t="shared" si="216"/>
        <v>1588296</v>
      </c>
      <c r="N3230" s="82" t="s">
        <v>99</v>
      </c>
      <c r="O3230" s="82" t="s">
        <v>576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customHeight="1">
      <c r="A3231" s="323" t="str">
        <f>IF(B3231&lt;&gt;"",IF(AND(B3231='IN-TC'!$S$4,OR(TH!N3561="1111",TH!O3561="1111")),TH!D3561,""),"")</f>
        <v/>
      </c>
      <c r="B3231" s="63">
        <f t="shared" si="210"/>
        <v>8</v>
      </c>
      <c r="C3231" s="78">
        <v>42593</v>
      </c>
      <c r="D3231" s="78" t="s">
        <v>570</v>
      </c>
      <c r="E3231" s="78">
        <f t="shared" si="215"/>
        <v>42593</v>
      </c>
      <c r="F3231" s="72" t="s">
        <v>1046</v>
      </c>
      <c r="G3231" s="79" t="s">
        <v>901</v>
      </c>
      <c r="H3231" s="918" t="s">
        <v>589</v>
      </c>
      <c r="I3231" s="406"/>
      <c r="J3231" s="406"/>
      <c r="K3231" s="397">
        <v>7.13</v>
      </c>
      <c r="L3231" s="414">
        <v>22270</v>
      </c>
      <c r="M3231" s="81">
        <f t="shared" si="216"/>
        <v>158785</v>
      </c>
      <c r="N3231" s="82" t="s">
        <v>9</v>
      </c>
      <c r="O3231" s="82" t="s">
        <v>576</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x</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customHeight="1">
      <c r="A3232" s="323" t="str">
        <f>IF(B3232&lt;&gt;"",IF(AND(B3232='IN-TC'!$S$4,OR(TH!N3239="1111",TH!O3239="1111")),TH!D3239,""),"")</f>
        <v/>
      </c>
      <c r="B3232" s="63">
        <f t="shared" si="210"/>
        <v>6</v>
      </c>
      <c r="C3232" s="64">
        <v>42542</v>
      </c>
      <c r="D3232" s="64" t="s">
        <v>690</v>
      </c>
      <c r="E3232" s="64">
        <f t="shared" si="215"/>
        <v>42542</v>
      </c>
      <c r="F3232" s="72" t="s">
        <v>1425</v>
      </c>
      <c r="G3232" s="67" t="s">
        <v>902</v>
      </c>
      <c r="H3232" s="72"/>
      <c r="I3232" s="408"/>
      <c r="J3232" s="408"/>
      <c r="K3232" s="399">
        <v>78000</v>
      </c>
      <c r="L3232" s="408">
        <v>22300</v>
      </c>
      <c r="M3232" s="65">
        <f t="shared" si="216"/>
        <v>1739400000</v>
      </c>
      <c r="N3232" s="66" t="s">
        <v>25</v>
      </c>
      <c r="O3232" s="66" t="s">
        <v>260</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customHeight="1">
      <c r="A3233" s="323" t="str">
        <f>IF(B3233&lt;&gt;"",IF(AND(B3233='IN-TC'!$S$4,OR(TH!N3240="1111",TH!O3240="1111")),TH!D3240,""),"")</f>
        <v/>
      </c>
      <c r="B3233" s="63">
        <f t="shared" si="210"/>
        <v>6</v>
      </c>
      <c r="C3233" s="64">
        <v>42542</v>
      </c>
      <c r="D3233" s="64" t="s">
        <v>1542</v>
      </c>
      <c r="E3233" s="64">
        <v>42542</v>
      </c>
      <c r="F3233" s="72" t="s">
        <v>1126</v>
      </c>
      <c r="G3233" s="67" t="s">
        <v>902</v>
      </c>
      <c r="H3233" s="72" t="s">
        <v>748</v>
      </c>
      <c r="I3233" s="408"/>
      <c r="J3233" s="408"/>
      <c r="K3233" s="399"/>
      <c r="L3233" s="408"/>
      <c r="M3233" s="65">
        <v>1700000000</v>
      </c>
      <c r="N3233" s="66" t="s">
        <v>61</v>
      </c>
      <c r="O3233" s="66" t="s">
        <v>25</v>
      </c>
      <c r="P3233" s="82" t="str">
        <f>IF(AND('331-CT'!$E$7=TH!H3233,OR(N3233="331",O3233="331")),"x","")</f>
        <v/>
      </c>
      <c r="Q3233" s="82" t="str">
        <f>IF(AND(B3233='111'!$L$11,OR($N3233=$Q$7,$O3233=$Q$7)),"x","")</f>
        <v/>
      </c>
      <c r="R3233" s="82" t="str">
        <f>IF(AND($N3233=$Q$7,$B3233&lt;'111'!$L$11),"x","")</f>
        <v>x</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customHeight="1">
      <c r="A3234" s="323" t="str">
        <f>IF(B3234&lt;&gt;"",IF(AND(B3234='IN-TC'!$S$4,OR(TH!N3237="1111",TH!O3237="1111")),TH!D3237,""),"")</f>
        <v/>
      </c>
      <c r="B3234" s="63">
        <f t="shared" si="210"/>
        <v>6</v>
      </c>
      <c r="C3234" s="64">
        <v>42543</v>
      </c>
      <c r="D3234" s="64" t="s">
        <v>881</v>
      </c>
      <c r="E3234" s="64">
        <v>42543</v>
      </c>
      <c r="F3234" s="72" t="s">
        <v>1569</v>
      </c>
      <c r="G3234" s="931" t="s">
        <v>1570</v>
      </c>
      <c r="H3234" s="72" t="s">
        <v>1571</v>
      </c>
      <c r="I3234" s="408"/>
      <c r="J3234" s="408"/>
      <c r="K3234" s="399"/>
      <c r="L3234" s="408"/>
      <c r="M3234" s="65">
        <v>107563</v>
      </c>
      <c r="N3234" s="82" t="s">
        <v>579</v>
      </c>
      <c r="O3234" s="66" t="s">
        <v>61</v>
      </c>
      <c r="P3234" s="82" t="str">
        <f>IF(AND('331-CT'!$E$7=TH!H3234,OR(N3234="331",O3234="331")),"x","")</f>
        <v/>
      </c>
      <c r="Q3234" s="82" t="str">
        <f>IF(AND(B3234='111'!$L$11,OR($N3234=$Q$7,$O3234=$Q$7)),"x","")</f>
        <v/>
      </c>
      <c r="R3234" s="82" t="str">
        <f>IF(AND($N3234=$Q$7,$B3234&lt;'111'!$L$11),"x","")</f>
        <v/>
      </c>
      <c r="S3234" s="82" t="str">
        <f>IF(AND($O3234=$Q$7,$B3234&lt;'111'!$L$11),"x","")</f>
        <v>x</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customHeight="1">
      <c r="A3235" s="323" t="str">
        <f>IF(B3235&lt;&gt;"",IF(AND(B3235='IN-TC'!$S$4,OR(TH!N3238="1111",TH!O3238="1111")),TH!D3238,""),"")</f>
        <v/>
      </c>
      <c r="B3235" s="63">
        <f t="shared" si="210"/>
        <v>6</v>
      </c>
      <c r="C3235" s="64">
        <v>42543</v>
      </c>
      <c r="D3235" s="64" t="s">
        <v>881</v>
      </c>
      <c r="E3235" s="64">
        <v>42543</v>
      </c>
      <c r="F3235" s="72" t="s">
        <v>1572</v>
      </c>
      <c r="G3235" s="931" t="s">
        <v>1570</v>
      </c>
      <c r="H3235" s="72" t="s">
        <v>1571</v>
      </c>
      <c r="I3235" s="408"/>
      <c r="J3235" s="408"/>
      <c r="K3235" s="399"/>
      <c r="L3235" s="408"/>
      <c r="M3235" s="65">
        <v>10756</v>
      </c>
      <c r="N3235" s="66" t="s">
        <v>9</v>
      </c>
      <c r="O3235" s="66" t="s">
        <v>61</v>
      </c>
      <c r="P3235" s="82" t="str">
        <f>IF(AND('331-CT'!$E$7=TH!H3235,OR(N3235="331",O3235="331")),"x","")</f>
        <v/>
      </c>
      <c r="Q3235" s="82" t="str">
        <f>IF(AND(B3235='111'!$L$11,OR($N3235=$Q$7,$O3235=$Q$7)),"x","")</f>
        <v/>
      </c>
      <c r="R3235" s="82" t="str">
        <f>IF(AND($N3235=$Q$7,$B3235&lt;'111'!$L$11),"x","")</f>
        <v/>
      </c>
      <c r="S3235" s="82" t="str">
        <f>IF(AND($O3235=$Q$7,$B3235&lt;'111'!$L$11),"x","")</f>
        <v>x</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x</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customHeight="1">
      <c r="A3236" s="323" t="str">
        <f>IF(B3236&lt;&gt;"",IF(AND(B3236='IN-TC'!$S$4,OR(TH!N3246="1111",TH!O3246="1111")),TH!D3246,""),"")</f>
        <v/>
      </c>
      <c r="B3236" s="63">
        <f t="shared" si="210"/>
        <v>6</v>
      </c>
      <c r="C3236" s="1092">
        <v>42543</v>
      </c>
      <c r="D3236" s="1092" t="s">
        <v>882</v>
      </c>
      <c r="E3236" s="1092">
        <v>42543</v>
      </c>
      <c r="F3236" s="72" t="s">
        <v>1087</v>
      </c>
      <c r="G3236" s="1094" t="s">
        <v>1544</v>
      </c>
      <c r="H3236" s="1093" t="s">
        <v>1763</v>
      </c>
      <c r="I3236" s="1095"/>
      <c r="J3236" s="1095"/>
      <c r="K3236" s="1096"/>
      <c r="L3236" s="1095"/>
      <c r="M3236" s="1097">
        <v>1100000</v>
      </c>
      <c r="N3236" s="66" t="s">
        <v>25</v>
      </c>
      <c r="O3236" s="66" t="s">
        <v>61</v>
      </c>
      <c r="P3236" s="82" t="str">
        <f>IF(AND('331-CT'!$E$7=TH!H3236,OR(N3236="331",O3236="331")),"x","")</f>
        <v/>
      </c>
      <c r="Q3236" s="82" t="str">
        <f>IF(AND(B3236='111'!$L$11,OR($N3236=$Q$7,$O3236=$Q$7)),"x","")</f>
        <v/>
      </c>
      <c r="R3236" s="82" t="str">
        <f>IF(AND($N3236=$Q$7,$B3236&lt;'111'!$L$11),"x","")</f>
        <v/>
      </c>
      <c r="S3236" s="82" t="str">
        <f>IF(AND($O3236=$Q$7,$B3236&lt;'111'!$L$11),"x","")</f>
        <v>x</v>
      </c>
      <c r="T3236" s="82" t="str">
        <f>IF(ISERROR(FIND('112'!$M$9,G3236,1)),"",IF((AND(FIND('112'!$M$9,G3236,1)&gt;=1,B3236='112'!$K$9,OR($N3236='112'!$I$6,$O3236='112'!$I$6))),"x",""))</f>
        <v/>
      </c>
      <c r="U3236" s="82" t="str">
        <f>IF(ISERROR(FIND('112'!$M$9,G3236,1)),"",IF((AND(LEFT(G3236,2)=LEFT('112'!$M$9,2),B3236&lt;'112'!$K$9,$N3236='112'!$I$6)),"x",""))</f>
        <v>x</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customHeight="1">
      <c r="A3237" s="323" t="str">
        <f>IF(B3237&lt;&gt;"",IF(AND(B3237='IN-TC'!$S$4,OR(TH!N3258="1111",TH!O3258="1111")),TH!D3258,""),"")</f>
        <v/>
      </c>
      <c r="B3237" s="63">
        <f t="shared" si="210"/>
        <v>6</v>
      </c>
      <c r="C3237" s="78">
        <v>42543</v>
      </c>
      <c r="D3237" s="78" t="s">
        <v>570</v>
      </c>
      <c r="E3237" s="78">
        <f t="shared" ref="E3237:E3282" si="217">C3237</f>
        <v>42543</v>
      </c>
      <c r="F3237" s="67" t="s">
        <v>1049</v>
      </c>
      <c r="G3237" s="79"/>
      <c r="H3237" s="80" t="s">
        <v>705</v>
      </c>
      <c r="I3237" s="406"/>
      <c r="J3237" s="406"/>
      <c r="K3237" s="397"/>
      <c r="L3237" s="406"/>
      <c r="M3237" s="81">
        <v>2462955</v>
      </c>
      <c r="N3237" s="82" t="s">
        <v>85</v>
      </c>
      <c r="O3237" s="66" t="s">
        <v>41</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customHeight="1">
      <c r="A3238" s="323" t="str">
        <f>IF(B3238&lt;&gt;"",IF(AND(B3238='IN-TC'!$S$4,OR(TH!N3261="1111",TH!O3261="1111")),TH!D3261,""),"")</f>
        <v/>
      </c>
      <c r="B3238" s="63">
        <f t="shared" si="210"/>
        <v>6</v>
      </c>
      <c r="C3238" s="78">
        <v>42543</v>
      </c>
      <c r="D3238" s="78" t="s">
        <v>570</v>
      </c>
      <c r="E3238" s="78">
        <f t="shared" si="217"/>
        <v>42543</v>
      </c>
      <c r="F3238" s="67" t="s">
        <v>1049</v>
      </c>
      <c r="G3238" s="79"/>
      <c r="H3238" s="80" t="s">
        <v>698</v>
      </c>
      <c r="I3238" s="406"/>
      <c r="J3238" s="406"/>
      <c r="K3238" s="397"/>
      <c r="L3238" s="406"/>
      <c r="M3238" s="81">
        <v>5897532</v>
      </c>
      <c r="N3238" s="82" t="s">
        <v>85</v>
      </c>
      <c r="O3238" s="66" t="s">
        <v>41</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customHeight="1">
      <c r="A3239" s="323" t="str">
        <f>IF(B3239&lt;&gt;"",IF(AND(B3239='IN-TC'!$S$4,OR(TH!N3264="1111",TH!O3264="1111")),TH!D3264,""),"")</f>
        <v/>
      </c>
      <c r="B3239" s="63">
        <f t="shared" si="210"/>
        <v>6</v>
      </c>
      <c r="C3239" s="78">
        <v>42543</v>
      </c>
      <c r="D3239" s="78" t="s">
        <v>570</v>
      </c>
      <c r="E3239" s="78">
        <f t="shared" si="217"/>
        <v>42543</v>
      </c>
      <c r="F3239" s="67" t="s">
        <v>1049</v>
      </c>
      <c r="G3239" s="79"/>
      <c r="H3239" s="80" t="s">
        <v>699</v>
      </c>
      <c r="I3239" s="406"/>
      <c r="J3239" s="406"/>
      <c r="K3239" s="397"/>
      <c r="L3239" s="406"/>
      <c r="M3239" s="81">
        <v>3631325</v>
      </c>
      <c r="N3239" s="82" t="s">
        <v>85</v>
      </c>
      <c r="O3239" s="66" t="s">
        <v>41</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customHeight="1">
      <c r="A3240" s="323" t="str">
        <f>IF(B3240&lt;&gt;"",IF(AND(B3240='IN-TC'!$S$4,OR(TH!N3267="1111",TH!O3267="1111")),TH!D3267,""),"")</f>
        <v/>
      </c>
      <c r="B3240" s="63">
        <f t="shared" si="210"/>
        <v>6</v>
      </c>
      <c r="C3240" s="78">
        <v>42543</v>
      </c>
      <c r="D3240" s="78" t="s">
        <v>570</v>
      </c>
      <c r="E3240" s="78">
        <f t="shared" si="217"/>
        <v>42543</v>
      </c>
      <c r="F3240" s="67" t="s">
        <v>1049</v>
      </c>
      <c r="G3240" s="79"/>
      <c r="H3240" s="80" t="s">
        <v>706</v>
      </c>
      <c r="I3240" s="406"/>
      <c r="J3240" s="406"/>
      <c r="K3240" s="397"/>
      <c r="L3240" s="406"/>
      <c r="M3240" s="81">
        <v>5083330</v>
      </c>
      <c r="N3240" s="82" t="s">
        <v>85</v>
      </c>
      <c r="O3240" s="66" t="s">
        <v>41</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customHeight="1">
      <c r="A3241" s="323" t="str">
        <f>IF(B3241&lt;&gt;"",IF(AND(B3241='IN-TC'!$S$4,OR(TH!N3271="1111",TH!O3271="1111")),TH!D3271,""),"")</f>
        <v/>
      </c>
      <c r="B3241" s="63">
        <f t="shared" si="210"/>
        <v>6</v>
      </c>
      <c r="C3241" s="78">
        <v>42543</v>
      </c>
      <c r="D3241" s="78" t="s">
        <v>570</v>
      </c>
      <c r="E3241" s="78">
        <f t="shared" si="217"/>
        <v>42543</v>
      </c>
      <c r="F3241" s="67" t="s">
        <v>1049</v>
      </c>
      <c r="G3241" s="79"/>
      <c r="H3241" s="80" t="s">
        <v>710</v>
      </c>
      <c r="I3241" s="406"/>
      <c r="J3241" s="406"/>
      <c r="K3241" s="397"/>
      <c r="L3241" s="406"/>
      <c r="M3241" s="81">
        <v>14678000</v>
      </c>
      <c r="N3241" s="82" t="s">
        <v>254</v>
      </c>
      <c r="O3241" s="66" t="s">
        <v>41</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customHeight="1">
      <c r="A3242" s="323" t="str">
        <f>IF(B3242&lt;&gt;"",IF(AND(B3242='IN-TC'!$S$4,OR(TH!N3274="1111",TH!O3274="1111")),TH!D3274,""),"")</f>
        <v/>
      </c>
      <c r="B3242" s="63">
        <f t="shared" si="210"/>
        <v>6</v>
      </c>
      <c r="C3242" s="78">
        <v>42543</v>
      </c>
      <c r="D3242" s="78" t="s">
        <v>570</v>
      </c>
      <c r="E3242" s="78">
        <f t="shared" si="217"/>
        <v>42543</v>
      </c>
      <c r="F3242" s="67" t="s">
        <v>1049</v>
      </c>
      <c r="G3242" s="79"/>
      <c r="H3242" s="80" t="s">
        <v>711</v>
      </c>
      <c r="I3242" s="406"/>
      <c r="J3242" s="406"/>
      <c r="K3242" s="397"/>
      <c r="L3242" s="406"/>
      <c r="M3242" s="81">
        <v>15753000</v>
      </c>
      <c r="N3242" s="82" t="s">
        <v>254</v>
      </c>
      <c r="O3242" s="66" t="s">
        <v>41</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customHeight="1">
      <c r="A3243" s="323" t="str">
        <f>IF(B3243&lt;&gt;"",IF(AND(B3243='IN-TC'!$S$4,OR(TH!N3277="1111",TH!O3277="1111")),TH!D3277,""),"")</f>
        <v/>
      </c>
      <c r="B3243" s="63">
        <f t="shared" si="210"/>
        <v>6</v>
      </c>
      <c r="C3243" s="78">
        <v>42543</v>
      </c>
      <c r="D3243" s="78" t="s">
        <v>570</v>
      </c>
      <c r="E3243" s="78">
        <f t="shared" si="217"/>
        <v>42543</v>
      </c>
      <c r="F3243" s="67" t="s">
        <v>1049</v>
      </c>
      <c r="G3243" s="79"/>
      <c r="H3243" s="80" t="s">
        <v>718</v>
      </c>
      <c r="I3243" s="406"/>
      <c r="J3243" s="406"/>
      <c r="K3243" s="397"/>
      <c r="L3243" s="406"/>
      <c r="M3243" s="81">
        <v>8052000</v>
      </c>
      <c r="N3243" s="82" t="s">
        <v>254</v>
      </c>
      <c r="O3243" s="66" t="s">
        <v>41</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customHeight="1">
      <c r="A3244" s="323" t="str">
        <f>IF(B3244&lt;&gt;"",IF(AND(B3244='IN-TC'!$S$4,OR(TH!N3280="1111",TH!O3280="1111")),TH!D3280,""),"")</f>
        <v/>
      </c>
      <c r="B3244" s="63">
        <f t="shared" si="210"/>
        <v>6</v>
      </c>
      <c r="C3244" s="78">
        <v>42543</v>
      </c>
      <c r="D3244" s="78" t="s">
        <v>570</v>
      </c>
      <c r="E3244" s="78">
        <f t="shared" si="217"/>
        <v>42543</v>
      </c>
      <c r="F3244" s="67" t="s">
        <v>1049</v>
      </c>
      <c r="G3244" s="79"/>
      <c r="H3244" s="80" t="s">
        <v>712</v>
      </c>
      <c r="I3244" s="406"/>
      <c r="J3244" s="406"/>
      <c r="K3244" s="397"/>
      <c r="L3244" s="406"/>
      <c r="M3244" s="81">
        <v>15931000</v>
      </c>
      <c r="N3244" s="82" t="s">
        <v>254</v>
      </c>
      <c r="O3244" s="66" t="s">
        <v>41</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customHeight="1">
      <c r="A3245" s="323" t="str">
        <f>IF(B3245&lt;&gt;"",IF(AND(B3245='IN-TC'!$S$4,OR(TH!N3283="1111",TH!O3283="1111")),TH!D3283,""),"")</f>
        <v/>
      </c>
      <c r="B3245" s="63">
        <f t="shared" si="210"/>
        <v>6</v>
      </c>
      <c r="C3245" s="78">
        <v>42543</v>
      </c>
      <c r="D3245" s="78" t="s">
        <v>570</v>
      </c>
      <c r="E3245" s="78">
        <f t="shared" si="217"/>
        <v>42543</v>
      </c>
      <c r="F3245" s="67" t="s">
        <v>1049</v>
      </c>
      <c r="G3245" s="79"/>
      <c r="H3245" s="80" t="s">
        <v>713</v>
      </c>
      <c r="I3245" s="406"/>
      <c r="J3245" s="406"/>
      <c r="K3245" s="397"/>
      <c r="L3245" s="406"/>
      <c r="M3245" s="81">
        <v>20416000</v>
      </c>
      <c r="N3245" s="82" t="s">
        <v>254</v>
      </c>
      <c r="O3245" s="66" t="s">
        <v>41</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customHeight="1">
      <c r="A3246" s="323" t="str">
        <f>IF(B3246&lt;&gt;"",IF(AND(B3246='IN-TC'!$S$4,OR(TH!N3286="1111",TH!O3286="1111")),TH!D3286,""),"")</f>
        <v/>
      </c>
      <c r="B3246" s="63">
        <f t="shared" ref="B3246:B3309" si="218">IF(C3246&lt;&gt;"",MONTH(C3246),"")</f>
        <v>6</v>
      </c>
      <c r="C3246" s="78">
        <v>42543</v>
      </c>
      <c r="D3246" s="78" t="s">
        <v>570</v>
      </c>
      <c r="E3246" s="78">
        <f t="shared" si="217"/>
        <v>42543</v>
      </c>
      <c r="F3246" s="67" t="s">
        <v>1049</v>
      </c>
      <c r="G3246" s="79"/>
      <c r="H3246" s="80" t="s">
        <v>721</v>
      </c>
      <c r="I3246" s="406"/>
      <c r="J3246" s="406"/>
      <c r="K3246" s="397"/>
      <c r="L3246" s="406"/>
      <c r="M3246" s="81">
        <v>5044000</v>
      </c>
      <c r="N3246" s="82" t="s">
        <v>254</v>
      </c>
      <c r="O3246" s="66" t="s">
        <v>41</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customHeight="1">
      <c r="A3247" s="323" t="str">
        <f>IF(B3247&lt;&gt;"",IF(AND(B3247='IN-TC'!$S$4,OR(TH!N3289="1111",TH!O3289="1111")),TH!D3289,""),"")</f>
        <v/>
      </c>
      <c r="B3247" s="63">
        <f t="shared" si="218"/>
        <v>6</v>
      </c>
      <c r="C3247" s="78">
        <v>42543</v>
      </c>
      <c r="D3247" s="78" t="s">
        <v>570</v>
      </c>
      <c r="E3247" s="78">
        <f t="shared" si="217"/>
        <v>42543</v>
      </c>
      <c r="F3247" s="67" t="s">
        <v>1049</v>
      </c>
      <c r="G3247" s="79"/>
      <c r="H3247" s="80" t="s">
        <v>1168</v>
      </c>
      <c r="I3247" s="406"/>
      <c r="J3247" s="406"/>
      <c r="K3247" s="397"/>
      <c r="L3247" s="406"/>
      <c r="M3247" s="81">
        <v>656000</v>
      </c>
      <c r="N3247" s="66" t="s">
        <v>97</v>
      </c>
      <c r="O3247" s="82" t="s">
        <v>254</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customHeight="1">
      <c r="A3248" s="323" t="str">
        <f>IF(B3248&lt;&gt;"",IF(AND(B3248='IN-TC'!$S$4,OR(TH!N3292="1111",TH!O3292="1111")),TH!D3292,""),"")</f>
        <v/>
      </c>
      <c r="B3248" s="63">
        <f t="shared" si="218"/>
        <v>6</v>
      </c>
      <c r="C3248" s="78">
        <v>42543</v>
      </c>
      <c r="D3248" s="78" t="s">
        <v>570</v>
      </c>
      <c r="E3248" s="78">
        <f t="shared" si="217"/>
        <v>42543</v>
      </c>
      <c r="F3248" s="67" t="s">
        <v>1049</v>
      </c>
      <c r="G3248" s="79"/>
      <c r="H3248" s="80" t="s">
        <v>1169</v>
      </c>
      <c r="I3248" s="406"/>
      <c r="J3248" s="406"/>
      <c r="K3248" s="397"/>
      <c r="L3248" s="406"/>
      <c r="M3248" s="81">
        <v>720000</v>
      </c>
      <c r="N3248" s="66" t="s">
        <v>97</v>
      </c>
      <c r="O3248" s="82" t="s">
        <v>254</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customHeight="1">
      <c r="A3249" s="323" t="str">
        <f>IF(B3249&lt;&gt;"",IF(AND(B3249='IN-TC'!$S$4,OR(TH!N3250="1111",TH!O3250="1111")),TH!D3250,""),"")</f>
        <v/>
      </c>
      <c r="B3249" s="63">
        <f t="shared" si="218"/>
        <v>6</v>
      </c>
      <c r="C3249" s="925">
        <v>42543</v>
      </c>
      <c r="D3249" s="64" t="s">
        <v>687</v>
      </c>
      <c r="E3249" s="925">
        <f t="shared" si="217"/>
        <v>42543</v>
      </c>
      <c r="F3249" s="72" t="s">
        <v>1859</v>
      </c>
      <c r="G3249" s="1099" t="s">
        <v>1544</v>
      </c>
      <c r="H3249" s="922" t="s">
        <v>1860</v>
      </c>
      <c r="I3249" s="923"/>
      <c r="J3249" s="923"/>
      <c r="K3249" s="924">
        <v>781969.73</v>
      </c>
      <c r="L3249" s="923">
        <v>22308</v>
      </c>
      <c r="M3249" s="1074">
        <f>ROUND(K3249*L3249,0)</f>
        <v>17444180737</v>
      </c>
      <c r="N3249" s="1075" t="s">
        <v>260</v>
      </c>
      <c r="O3249" s="1075" t="s">
        <v>254</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customHeight="1">
      <c r="A3250" s="1227" t="str">
        <f>IF(B3250&lt;&gt;"",IF(AND(B3250='IN-TC'!$S$4,OR(TH!N614="1111",TH!O614="1111")),TH!D614,""),"")</f>
        <v/>
      </c>
      <c r="B3250" s="1228">
        <f t="shared" si="218"/>
        <v>12</v>
      </c>
      <c r="C3250" s="1229">
        <v>42715</v>
      </c>
      <c r="D3250" s="1229" t="s">
        <v>2978</v>
      </c>
      <c r="E3250" s="1229">
        <f t="shared" si="217"/>
        <v>42715</v>
      </c>
      <c r="F3250" s="1230" t="s">
        <v>455</v>
      </c>
      <c r="G3250" s="1231" t="s">
        <v>2580</v>
      </c>
      <c r="H3250" s="1232" t="s">
        <v>1198</v>
      </c>
      <c r="I3250" s="1233">
        <v>26000</v>
      </c>
      <c r="J3250" s="1233">
        <v>60000</v>
      </c>
      <c r="K3250" s="1234"/>
      <c r="L3250" s="1233"/>
      <c r="M3250" s="1235">
        <f>ROUND(I3250*J3250,0)</f>
        <v>1560000000</v>
      </c>
      <c r="N3250" s="1236" t="s">
        <v>276</v>
      </c>
      <c r="O3250" s="1236" t="s">
        <v>278</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customHeight="1">
      <c r="A3251" s="323" t="str">
        <f>IF(B3251&lt;&gt;"",IF(AND(B3251='IN-TC'!$S$4,OR(TH!N3256="1111",TH!O3256="1111")),TH!D3256,""),"")</f>
        <v/>
      </c>
      <c r="B3251" s="63">
        <f t="shared" si="218"/>
        <v>6</v>
      </c>
      <c r="C3251" s="925">
        <v>42543</v>
      </c>
      <c r="D3251" s="64" t="s">
        <v>687</v>
      </c>
      <c r="E3251" s="925">
        <f t="shared" si="217"/>
        <v>42543</v>
      </c>
      <c r="F3251" s="72" t="s">
        <v>1861</v>
      </c>
      <c r="G3251" s="1099" t="s">
        <v>1640</v>
      </c>
      <c r="H3251" s="922"/>
      <c r="I3251" s="923"/>
      <c r="J3251" s="923"/>
      <c r="K3251" s="924">
        <v>781969.73</v>
      </c>
      <c r="L3251" s="923">
        <v>22308</v>
      </c>
      <c r="M3251" s="1074">
        <f>ROUND(K3251*L3251,0)</f>
        <v>17444180737</v>
      </c>
      <c r="N3251" s="1075" t="s">
        <v>260</v>
      </c>
      <c r="O3251" s="1075" t="s">
        <v>260</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customHeight="1">
      <c r="A3252" s="323" t="str">
        <f>IF(B3252&lt;&gt;"",IF(AND(B3252='IN-TC'!$S$4,OR(TH!N3248="1111",TH!O3248="1111")),TH!D3248,""),"")</f>
        <v/>
      </c>
      <c r="B3252" s="63">
        <f t="shared" si="218"/>
        <v>6</v>
      </c>
      <c r="C3252" s="1092">
        <v>42543</v>
      </c>
      <c r="D3252" s="1092" t="s">
        <v>690</v>
      </c>
      <c r="E3252" s="1092">
        <f t="shared" si="217"/>
        <v>42543</v>
      </c>
      <c r="F3252" s="67" t="s">
        <v>1764</v>
      </c>
      <c r="G3252" s="1094" t="s">
        <v>1544</v>
      </c>
      <c r="H3252" s="1093"/>
      <c r="I3252" s="1095"/>
      <c r="J3252" s="1095"/>
      <c r="K3252" s="1096"/>
      <c r="L3252" s="1095"/>
      <c r="M3252" s="1097">
        <v>73755</v>
      </c>
      <c r="N3252" s="1098" t="s">
        <v>99</v>
      </c>
      <c r="O3252" s="66" t="s">
        <v>25</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x</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customHeight="1">
      <c r="A3253" s="323" t="str">
        <f>IF(B3253&lt;&gt;"",IF(AND(B3253='IN-TC'!$S$4,OR(TH!N577="1111",TH!O577="1111")),TH!D577,""),"")</f>
        <v/>
      </c>
      <c r="B3253" s="63">
        <f t="shared" si="218"/>
        <v>12</v>
      </c>
      <c r="C3253" s="78">
        <v>42715</v>
      </c>
      <c r="D3253" s="78" t="s">
        <v>2334</v>
      </c>
      <c r="E3253" s="78">
        <f t="shared" si="217"/>
        <v>42715</v>
      </c>
      <c r="F3253" s="79" t="s">
        <v>455</v>
      </c>
      <c r="G3253" s="934" t="s">
        <v>2580</v>
      </c>
      <c r="H3253" s="80" t="s">
        <v>1198</v>
      </c>
      <c r="I3253" s="406">
        <v>26000</v>
      </c>
      <c r="J3253" s="406">
        <v>60000</v>
      </c>
      <c r="K3253" s="397"/>
      <c r="L3253" s="406"/>
      <c r="M3253" s="81">
        <f>ROUND(I3253*J3253,0)</f>
        <v>1560000000</v>
      </c>
      <c r="N3253" s="82" t="s">
        <v>278</v>
      </c>
      <c r="O3253" s="82" t="s">
        <v>8</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customHeight="1">
      <c r="A3254" s="323" t="str">
        <f>IF(B3254&lt;&gt;"",IF(AND(B3254='IN-TC'!$S$4,OR(TH!N4193="1111",TH!O4193="1111")),TH!D4193,""),"")</f>
        <v/>
      </c>
      <c r="B3254" s="63">
        <f t="shared" si="218"/>
        <v>11</v>
      </c>
      <c r="C3254" s="64">
        <v>42675</v>
      </c>
      <c r="D3254" s="64" t="s">
        <v>690</v>
      </c>
      <c r="E3254" s="64">
        <f t="shared" si="217"/>
        <v>42675</v>
      </c>
      <c r="F3254" s="72" t="s">
        <v>2356</v>
      </c>
      <c r="G3254" s="67" t="s">
        <v>1544</v>
      </c>
      <c r="H3254" s="72" t="s">
        <v>617</v>
      </c>
      <c r="I3254" s="408"/>
      <c r="J3254" s="408"/>
      <c r="K3254" s="399"/>
      <c r="L3254" s="408"/>
      <c r="M3254" s="65">
        <v>24338820</v>
      </c>
      <c r="N3254" s="66" t="s">
        <v>8</v>
      </c>
      <c r="O3254" s="66" t="s">
        <v>25</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x</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customHeight="1">
      <c r="A3255" s="323" t="str">
        <f>IF(B3255&lt;&gt;"",IF(AND(B3255='IN-TC'!$S$4,OR(TH!N3253="1111",TH!O3253="1111")),TH!D3253,""),"")</f>
        <v/>
      </c>
      <c r="B3255" s="63">
        <f t="shared" si="218"/>
        <v>6</v>
      </c>
      <c r="C3255" s="64">
        <v>42543</v>
      </c>
      <c r="D3255" s="64" t="s">
        <v>690</v>
      </c>
      <c r="E3255" s="64">
        <f t="shared" si="217"/>
        <v>42543</v>
      </c>
      <c r="F3255" s="72" t="s">
        <v>1156</v>
      </c>
      <c r="G3255" s="67" t="s">
        <v>902</v>
      </c>
      <c r="H3255" s="72"/>
      <c r="I3255" s="408"/>
      <c r="J3255" s="408"/>
      <c r="K3255" s="399"/>
      <c r="L3255" s="408"/>
      <c r="M3255" s="65">
        <v>25000</v>
      </c>
      <c r="N3255" s="66" t="s">
        <v>99</v>
      </c>
      <c r="O3255" s="66" t="s">
        <v>25</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customHeight="1">
      <c r="A3256" s="323" t="str">
        <f>IF(B3256&lt;&gt;"",IF(AND(B3256='IN-TC'!$S$4,OR(TH!N3254="1111",TH!O3254="1111")),TH!D3254,""),"")</f>
        <v/>
      </c>
      <c r="B3256" s="63">
        <f t="shared" si="218"/>
        <v>6</v>
      </c>
      <c r="C3256" s="64">
        <v>42543</v>
      </c>
      <c r="D3256" s="64" t="s">
        <v>690</v>
      </c>
      <c r="E3256" s="64">
        <f t="shared" si="217"/>
        <v>42543</v>
      </c>
      <c r="F3256" s="72" t="s">
        <v>1616</v>
      </c>
      <c r="G3256" s="67" t="s">
        <v>902</v>
      </c>
      <c r="H3256" s="72"/>
      <c r="I3256" s="408"/>
      <c r="J3256" s="408"/>
      <c r="K3256" s="399"/>
      <c r="L3256" s="408"/>
      <c r="M3256" s="65">
        <v>2500</v>
      </c>
      <c r="N3256" s="66" t="s">
        <v>9</v>
      </c>
      <c r="O3256" s="66" t="s">
        <v>25</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x</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customHeight="1">
      <c r="A3257" s="323" t="str">
        <f>IF(B3257&lt;&gt;"",IF(AND(B3257='IN-TC'!$S$4,OR(TH!N3257="1111",TH!O3257="1111")),TH!D3257,""),"")</f>
        <v/>
      </c>
      <c r="B3257" s="63">
        <f t="shared" si="218"/>
        <v>6</v>
      </c>
      <c r="C3257" s="78">
        <v>42543</v>
      </c>
      <c r="D3257" s="64" t="s">
        <v>690</v>
      </c>
      <c r="E3257" s="78">
        <f t="shared" si="217"/>
        <v>42543</v>
      </c>
      <c r="F3257" s="67" t="s">
        <v>1858</v>
      </c>
      <c r="G3257" s="79" t="s">
        <v>902</v>
      </c>
      <c r="H3257" s="80" t="s">
        <v>705</v>
      </c>
      <c r="I3257" s="406"/>
      <c r="J3257" s="406"/>
      <c r="K3257" s="397">
        <v>13915</v>
      </c>
      <c r="L3257" s="406">
        <v>22308</v>
      </c>
      <c r="M3257" s="81">
        <f>ROUND(K3257*L3257,0)</f>
        <v>310415820</v>
      </c>
      <c r="N3257" s="82" t="s">
        <v>85</v>
      </c>
      <c r="O3257" s="82" t="s">
        <v>260</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customHeight="1">
      <c r="A3258" s="323" t="str">
        <f>IF(B3258&lt;&gt;"",IF(AND(B3258='IN-TC'!$S$4,OR(TH!N3259="1111",TH!O3259="1111")),TH!D3259,""),"")</f>
        <v/>
      </c>
      <c r="B3258" s="63">
        <f t="shared" si="218"/>
        <v>6</v>
      </c>
      <c r="C3258" s="64">
        <v>42543</v>
      </c>
      <c r="D3258" s="64" t="s">
        <v>690</v>
      </c>
      <c r="E3258" s="64">
        <f t="shared" si="217"/>
        <v>42543</v>
      </c>
      <c r="F3258" s="72" t="s">
        <v>1029</v>
      </c>
      <c r="G3258" s="67" t="s">
        <v>902</v>
      </c>
      <c r="H3258" s="80" t="s">
        <v>705</v>
      </c>
      <c r="I3258" s="408"/>
      <c r="J3258" s="408"/>
      <c r="K3258" s="399"/>
      <c r="L3258" s="408"/>
      <c r="M3258" s="65">
        <v>621444</v>
      </c>
      <c r="N3258" s="66" t="s">
        <v>97</v>
      </c>
      <c r="O3258" s="66" t="s">
        <v>25</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customHeight="1">
      <c r="A3259" s="323" t="str">
        <f>IF(B3259&lt;&gt;"",IF(AND(B3259='IN-TC'!$S$4,OR(TH!N3260="1111",TH!O3260="1111")),TH!D3260,""),"")</f>
        <v/>
      </c>
      <c r="B3259" s="63">
        <f t="shared" si="218"/>
        <v>6</v>
      </c>
      <c r="C3259" s="78">
        <v>42543</v>
      </c>
      <c r="D3259" s="64" t="s">
        <v>690</v>
      </c>
      <c r="E3259" s="78">
        <f t="shared" si="217"/>
        <v>42543</v>
      </c>
      <c r="F3259" s="67" t="s">
        <v>1858</v>
      </c>
      <c r="G3259" s="79" t="s">
        <v>902</v>
      </c>
      <c r="H3259" s="80" t="s">
        <v>698</v>
      </c>
      <c r="I3259" s="406"/>
      <c r="J3259" s="406"/>
      <c r="K3259" s="397">
        <v>33319.39</v>
      </c>
      <c r="L3259" s="406">
        <v>22308</v>
      </c>
      <c r="M3259" s="81">
        <f>ROUND(K3259*L3259,0)</f>
        <v>743288952</v>
      </c>
      <c r="N3259" s="82" t="s">
        <v>85</v>
      </c>
      <c r="O3259" s="82" t="s">
        <v>260</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customHeight="1">
      <c r="A3260" s="323" t="str">
        <f>IF(B3260&lt;&gt;"",IF(AND(B3260='IN-TC'!$S$4,OR(TH!N3262="1111",TH!O3262="1111")),TH!D3262,""),"")</f>
        <v/>
      </c>
      <c r="B3260" s="63">
        <f t="shared" si="218"/>
        <v>6</v>
      </c>
      <c r="C3260" s="64">
        <v>42543</v>
      </c>
      <c r="D3260" s="64" t="s">
        <v>690</v>
      </c>
      <c r="E3260" s="64">
        <f t="shared" si="217"/>
        <v>42543</v>
      </c>
      <c r="F3260" s="72" t="s">
        <v>1030</v>
      </c>
      <c r="G3260" s="67" t="s">
        <v>902</v>
      </c>
      <c r="H3260" s="80" t="s">
        <v>698</v>
      </c>
      <c r="I3260" s="408"/>
      <c r="J3260" s="408"/>
      <c r="K3260" s="399"/>
      <c r="L3260" s="408"/>
      <c r="M3260" s="65">
        <v>1488071</v>
      </c>
      <c r="N3260" s="66" t="s">
        <v>97</v>
      </c>
      <c r="O3260" s="66" t="s">
        <v>25</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customHeight="1">
      <c r="A3261" s="323" t="str">
        <f>IF(B3261&lt;&gt;"",IF(AND(B3261='IN-TC'!$S$4,OR(TH!N3263="1111",TH!O3263="1111")),TH!D3263,""),"")</f>
        <v/>
      </c>
      <c r="B3261" s="63">
        <f t="shared" si="218"/>
        <v>6</v>
      </c>
      <c r="C3261" s="78">
        <v>42543</v>
      </c>
      <c r="D3261" s="64" t="s">
        <v>690</v>
      </c>
      <c r="E3261" s="78">
        <f t="shared" si="217"/>
        <v>42543</v>
      </c>
      <c r="F3261" s="67" t="s">
        <v>1858</v>
      </c>
      <c r="G3261" s="79" t="s">
        <v>902</v>
      </c>
      <c r="H3261" s="80" t="s">
        <v>699</v>
      </c>
      <c r="I3261" s="406"/>
      <c r="J3261" s="406"/>
      <c r="K3261" s="397">
        <v>20515.96</v>
      </c>
      <c r="L3261" s="406">
        <v>22308</v>
      </c>
      <c r="M3261" s="81">
        <f>ROUND(K3261*L3261,0)</f>
        <v>457670036</v>
      </c>
      <c r="N3261" s="82" t="s">
        <v>85</v>
      </c>
      <c r="O3261" s="82" t="s">
        <v>260</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customHeight="1">
      <c r="A3262" s="323" t="str">
        <f>IF(B3262&lt;&gt;"",IF(AND(B3262='IN-TC'!$S$4,OR(TH!N3265="1111",TH!O3265="1111")),TH!D3265,""),"")</f>
        <v/>
      </c>
      <c r="B3262" s="63">
        <f t="shared" si="218"/>
        <v>6</v>
      </c>
      <c r="C3262" s="64">
        <v>42543</v>
      </c>
      <c r="D3262" s="64" t="s">
        <v>690</v>
      </c>
      <c r="E3262" s="64">
        <f t="shared" si="217"/>
        <v>42543</v>
      </c>
      <c r="F3262" s="72" t="s">
        <v>1031</v>
      </c>
      <c r="G3262" s="67" t="s">
        <v>902</v>
      </c>
      <c r="H3262" s="80" t="s">
        <v>699</v>
      </c>
      <c r="I3262" s="408"/>
      <c r="J3262" s="408"/>
      <c r="K3262" s="399"/>
      <c r="L3262" s="408"/>
      <c r="M3262" s="65">
        <v>916200</v>
      </c>
      <c r="N3262" s="66" t="s">
        <v>97</v>
      </c>
      <c r="O3262" s="66" t="s">
        <v>25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customHeight="1">
      <c r="A3263" s="323" t="str">
        <f>IF(B3263&lt;&gt;"",IF(AND(B3263='IN-TC'!$S$4,OR(TH!N3266="1111",TH!O3266="1111")),TH!D3266,""),"")</f>
        <v/>
      </c>
      <c r="B3263" s="63">
        <f t="shared" si="218"/>
        <v>6</v>
      </c>
      <c r="C3263" s="78">
        <v>42543</v>
      </c>
      <c r="D3263" s="64" t="s">
        <v>690</v>
      </c>
      <c r="E3263" s="78">
        <f t="shared" si="217"/>
        <v>42543</v>
      </c>
      <c r="F3263" s="67" t="s">
        <v>1858</v>
      </c>
      <c r="G3263" s="79" t="s">
        <v>902</v>
      </c>
      <c r="H3263" s="80" t="s">
        <v>706</v>
      </c>
      <c r="I3263" s="406"/>
      <c r="J3263" s="406"/>
      <c r="K3263" s="397">
        <v>28719.38</v>
      </c>
      <c r="L3263" s="406">
        <v>22308</v>
      </c>
      <c r="M3263" s="81">
        <f>ROUND(K3263*L3263,0)</f>
        <v>640671929</v>
      </c>
      <c r="N3263" s="82" t="s">
        <v>85</v>
      </c>
      <c r="O3263" s="82" t="s">
        <v>260</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customHeight="1">
      <c r="A3264" s="323" t="str">
        <f>IF(B3264&lt;&gt;"",IF(AND(B3264='IN-TC'!$S$4,OR(TH!N3268="1111",TH!O3268="1111")),TH!D3268,""),"")</f>
        <v/>
      </c>
      <c r="B3264" s="63">
        <f t="shared" si="218"/>
        <v>6</v>
      </c>
      <c r="C3264" s="64">
        <v>42543</v>
      </c>
      <c r="D3264" s="64" t="s">
        <v>690</v>
      </c>
      <c r="E3264" s="64">
        <f t="shared" si="217"/>
        <v>42543</v>
      </c>
      <c r="F3264" s="72" t="s">
        <v>1032</v>
      </c>
      <c r="G3264" s="67" t="s">
        <v>902</v>
      </c>
      <c r="H3264" s="80" t="s">
        <v>706</v>
      </c>
      <c r="I3264" s="408"/>
      <c r="J3264" s="408"/>
      <c r="K3264" s="399"/>
      <c r="L3264" s="408"/>
      <c r="M3264" s="65">
        <v>1282635</v>
      </c>
      <c r="N3264" s="66" t="s">
        <v>97</v>
      </c>
      <c r="O3264" s="66" t="s">
        <v>25</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customHeight="1">
      <c r="A3265" s="323" t="str">
        <f>IF(B3265&lt;&gt;"",IF(AND(B3265='IN-TC'!$S$4,OR(TH!N3269="1111",TH!O3269="1111")),TH!D3269,""),"")</f>
        <v/>
      </c>
      <c r="B3265" s="63">
        <f t="shared" si="218"/>
        <v>6</v>
      </c>
      <c r="C3265" s="64">
        <v>42543</v>
      </c>
      <c r="D3265" s="64" t="s">
        <v>690</v>
      </c>
      <c r="E3265" s="64">
        <f t="shared" si="217"/>
        <v>42543</v>
      </c>
      <c r="F3265" s="72" t="s">
        <v>736</v>
      </c>
      <c r="G3265" s="67" t="s">
        <v>902</v>
      </c>
      <c r="H3265" s="329" t="s">
        <v>710</v>
      </c>
      <c r="I3265" s="408"/>
      <c r="J3265" s="408"/>
      <c r="K3265" s="399"/>
      <c r="L3265" s="408"/>
      <c r="M3265" s="65">
        <v>888287</v>
      </c>
      <c r="N3265" s="66" t="s">
        <v>97</v>
      </c>
      <c r="O3265" s="66" t="s">
        <v>25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customHeight="1">
      <c r="A3266" s="323" t="str">
        <f>IF(B3266&lt;&gt;"",IF(AND(B3266='IN-TC'!$S$4,OR(TH!N3270="1111",TH!O3270="1111")),TH!D3270,""),"")</f>
        <v/>
      </c>
      <c r="B3266" s="63">
        <f t="shared" si="218"/>
        <v>6</v>
      </c>
      <c r="C3266" s="78">
        <v>42543</v>
      </c>
      <c r="D3266" s="64" t="s">
        <v>690</v>
      </c>
      <c r="E3266" s="78">
        <f t="shared" si="217"/>
        <v>42543</v>
      </c>
      <c r="F3266" s="67" t="s">
        <v>1858</v>
      </c>
      <c r="G3266" s="79" t="s">
        <v>902</v>
      </c>
      <c r="H3266" s="80" t="s">
        <v>710</v>
      </c>
      <c r="I3266" s="406"/>
      <c r="J3266" s="406"/>
      <c r="K3266" s="397">
        <v>89500</v>
      </c>
      <c r="L3266" s="406">
        <v>22308</v>
      </c>
      <c r="M3266" s="81">
        <f>ROUND(K3266*L3266,0)</f>
        <v>1996566000</v>
      </c>
      <c r="N3266" s="82" t="s">
        <v>254</v>
      </c>
      <c r="O3266" s="82" t="s">
        <v>260</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customHeight="1">
      <c r="A3267" s="323" t="str">
        <f>IF(B3267&lt;&gt;"",IF(AND(B3267='IN-TC'!$S$4,OR(TH!N3272="1111",TH!O3272="1111")),TH!D3272,""),"")</f>
        <v/>
      </c>
      <c r="B3267" s="63">
        <f t="shared" si="218"/>
        <v>6</v>
      </c>
      <c r="C3267" s="64">
        <v>42543</v>
      </c>
      <c r="D3267" s="64" t="s">
        <v>690</v>
      </c>
      <c r="E3267" s="64">
        <f t="shared" si="217"/>
        <v>42543</v>
      </c>
      <c r="F3267" s="72" t="s">
        <v>737</v>
      </c>
      <c r="G3267" s="67" t="s">
        <v>902</v>
      </c>
      <c r="H3267" s="329" t="s">
        <v>711</v>
      </c>
      <c r="I3267" s="408"/>
      <c r="J3267" s="408"/>
      <c r="K3267" s="399"/>
      <c r="L3267" s="408"/>
      <c r="M3267" s="65">
        <v>883375</v>
      </c>
      <c r="N3267" s="66" t="s">
        <v>97</v>
      </c>
      <c r="O3267" s="66" t="s">
        <v>25</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customHeight="1">
      <c r="A3268" s="323" t="str">
        <f>IF(B3268&lt;&gt;"",IF(AND(B3268='IN-TC'!$S$4,OR(TH!N3273="1111",TH!O3273="1111")),TH!D3273,""),"")</f>
        <v/>
      </c>
      <c r="B3268" s="63">
        <f t="shared" si="218"/>
        <v>6</v>
      </c>
      <c r="C3268" s="78">
        <v>42543</v>
      </c>
      <c r="D3268" s="64" t="s">
        <v>690</v>
      </c>
      <c r="E3268" s="78">
        <f t="shared" si="217"/>
        <v>42543</v>
      </c>
      <c r="F3268" s="67" t="s">
        <v>1858</v>
      </c>
      <c r="G3268" s="79" t="s">
        <v>902</v>
      </c>
      <c r="H3268" s="80" t="s">
        <v>711</v>
      </c>
      <c r="I3268" s="406"/>
      <c r="J3268" s="406"/>
      <c r="K3268" s="397">
        <v>89000</v>
      </c>
      <c r="L3268" s="406">
        <v>22308</v>
      </c>
      <c r="M3268" s="81">
        <f>ROUND(K3268*L3268,0)</f>
        <v>1985412000</v>
      </c>
      <c r="N3268" s="82" t="s">
        <v>254</v>
      </c>
      <c r="O3268" s="82" t="s">
        <v>260</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customHeight="1">
      <c r="A3269" s="323" t="str">
        <f>IF(B3269&lt;&gt;"",IF(AND(B3269='IN-TC'!$S$4,OR(TH!N3275="1111",TH!O3275="1111")),TH!D3275,""),"")</f>
        <v/>
      </c>
      <c r="B3269" s="63">
        <f t="shared" si="218"/>
        <v>6</v>
      </c>
      <c r="C3269" s="64">
        <v>42543</v>
      </c>
      <c r="D3269" s="64" t="s">
        <v>690</v>
      </c>
      <c r="E3269" s="64">
        <f t="shared" si="217"/>
        <v>42543</v>
      </c>
      <c r="F3269" s="72" t="s">
        <v>1041</v>
      </c>
      <c r="G3269" s="67" t="s">
        <v>902</v>
      </c>
      <c r="H3269" s="329" t="s">
        <v>718</v>
      </c>
      <c r="I3269" s="408"/>
      <c r="J3269" s="408"/>
      <c r="K3269" s="399"/>
      <c r="L3269" s="408"/>
      <c r="M3269" s="65">
        <v>605366</v>
      </c>
      <c r="N3269" s="66" t="s">
        <v>97</v>
      </c>
      <c r="O3269" s="66" t="s">
        <v>25</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customHeight="1">
      <c r="A3270" s="323" t="str">
        <f>IF(B3270&lt;&gt;"",IF(AND(B3270='IN-TC'!$S$4,OR(TH!N3276="1111",TH!O3276="1111")),TH!D3276,""),"")</f>
        <v/>
      </c>
      <c r="B3270" s="63">
        <f t="shared" si="218"/>
        <v>6</v>
      </c>
      <c r="C3270" s="78">
        <v>42543</v>
      </c>
      <c r="D3270" s="64" t="s">
        <v>690</v>
      </c>
      <c r="E3270" s="78">
        <f t="shared" si="217"/>
        <v>42543</v>
      </c>
      <c r="F3270" s="67" t="s">
        <v>1858</v>
      </c>
      <c r="G3270" s="79" t="s">
        <v>902</v>
      </c>
      <c r="H3270" s="80" t="s">
        <v>718</v>
      </c>
      <c r="I3270" s="406"/>
      <c r="J3270" s="406"/>
      <c r="K3270" s="397">
        <v>61000</v>
      </c>
      <c r="L3270" s="406">
        <v>22308</v>
      </c>
      <c r="M3270" s="81">
        <f>ROUND(K3270*L3270,0)</f>
        <v>1360788000</v>
      </c>
      <c r="N3270" s="82" t="s">
        <v>254</v>
      </c>
      <c r="O3270" s="82" t="s">
        <v>260</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customHeight="1">
      <c r="A3271" s="323" t="str">
        <f>IF(B3271&lt;&gt;"",IF(AND(B3271='IN-TC'!$S$4,OR(TH!N3278="1111",TH!O3278="1111")),TH!D3278,""),"")</f>
        <v/>
      </c>
      <c r="B3271" s="63">
        <f t="shared" si="218"/>
        <v>6</v>
      </c>
      <c r="C3271" s="64">
        <v>42543</v>
      </c>
      <c r="D3271" s="64" t="s">
        <v>690</v>
      </c>
      <c r="E3271" s="64">
        <f t="shared" si="217"/>
        <v>42543</v>
      </c>
      <c r="F3271" s="72" t="s">
        <v>739</v>
      </c>
      <c r="G3271" s="67" t="s">
        <v>902</v>
      </c>
      <c r="H3271" s="329" t="s">
        <v>712</v>
      </c>
      <c r="I3271" s="408"/>
      <c r="J3271" s="408"/>
      <c r="K3271" s="399"/>
      <c r="L3271" s="408"/>
      <c r="M3271" s="65">
        <v>883375</v>
      </c>
      <c r="N3271" s="66" t="s">
        <v>97</v>
      </c>
      <c r="O3271" s="66" t="s">
        <v>25</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customHeight="1">
      <c r="A3272" s="323" t="str">
        <f>IF(B3272&lt;&gt;"",IF(AND(B3272='IN-TC'!$S$4,OR(TH!N3279="1111",TH!O3279="1111")),TH!D3279,""),"")</f>
        <v/>
      </c>
      <c r="B3272" s="63">
        <f t="shared" si="218"/>
        <v>6</v>
      </c>
      <c r="C3272" s="78">
        <v>42543</v>
      </c>
      <c r="D3272" s="64" t="s">
        <v>690</v>
      </c>
      <c r="E3272" s="78">
        <f t="shared" si="217"/>
        <v>42543</v>
      </c>
      <c r="F3272" s="67" t="s">
        <v>1858</v>
      </c>
      <c r="G3272" s="79" t="s">
        <v>902</v>
      </c>
      <c r="H3272" s="80" t="s">
        <v>712</v>
      </c>
      <c r="I3272" s="406"/>
      <c r="J3272" s="406"/>
      <c r="K3272" s="397">
        <v>89000</v>
      </c>
      <c r="L3272" s="406">
        <v>22308</v>
      </c>
      <c r="M3272" s="81">
        <f>ROUND(K3272*L3272,0)</f>
        <v>1985412000</v>
      </c>
      <c r="N3272" s="82" t="s">
        <v>254</v>
      </c>
      <c r="O3272" s="82" t="s">
        <v>260</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customHeight="1">
      <c r="A3273" s="323" t="str">
        <f>IF(B3273&lt;&gt;"",IF(AND(B3273='IN-TC'!$S$4,OR(TH!N3281="1111",TH!O3281="1111")),TH!D3281,""),"")</f>
        <v/>
      </c>
      <c r="B3273" s="63">
        <f t="shared" si="218"/>
        <v>6</v>
      </c>
      <c r="C3273" s="64">
        <v>42543</v>
      </c>
      <c r="D3273" s="64" t="s">
        <v>690</v>
      </c>
      <c r="E3273" s="64">
        <f t="shared" si="217"/>
        <v>42543</v>
      </c>
      <c r="F3273" s="72" t="s">
        <v>1042</v>
      </c>
      <c r="G3273" s="67" t="s">
        <v>902</v>
      </c>
      <c r="H3273" s="329" t="s">
        <v>713</v>
      </c>
      <c r="I3273" s="408"/>
      <c r="J3273" s="408"/>
      <c r="K3273" s="399"/>
      <c r="L3273" s="408"/>
      <c r="M3273" s="65">
        <v>873326</v>
      </c>
      <c r="N3273" s="66" t="s">
        <v>97</v>
      </c>
      <c r="O3273" s="66" t="s">
        <v>25</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customHeight="1">
      <c r="A3274" s="323" t="str">
        <f>IF(B3274&lt;&gt;"",IF(AND(B3274='IN-TC'!$S$4,OR(TH!N3282="1111",TH!O3282="1111")),TH!D3282,""),"")</f>
        <v/>
      </c>
      <c r="B3274" s="63">
        <f t="shared" si="218"/>
        <v>6</v>
      </c>
      <c r="C3274" s="78">
        <v>42543</v>
      </c>
      <c r="D3274" s="64" t="s">
        <v>690</v>
      </c>
      <c r="E3274" s="78">
        <f t="shared" si="217"/>
        <v>42543</v>
      </c>
      <c r="F3274" s="67" t="s">
        <v>1858</v>
      </c>
      <c r="G3274" s="79" t="s">
        <v>902</v>
      </c>
      <c r="H3274" s="80" t="s">
        <v>713</v>
      </c>
      <c r="I3274" s="406"/>
      <c r="J3274" s="406"/>
      <c r="K3274" s="397">
        <v>88000</v>
      </c>
      <c r="L3274" s="406">
        <v>22308</v>
      </c>
      <c r="M3274" s="81">
        <f>ROUND(K3274*L3274,0)</f>
        <v>1963104000</v>
      </c>
      <c r="N3274" s="82" t="s">
        <v>254</v>
      </c>
      <c r="O3274" s="82" t="s">
        <v>260</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customHeight="1">
      <c r="A3275" s="323" t="str">
        <f>IF(B3275&lt;&gt;"",IF(AND(B3275='IN-TC'!$S$4,OR(TH!N3284="1111",TH!O3284="1111")),TH!D3284,""),"")</f>
        <v/>
      </c>
      <c r="B3275" s="63">
        <f t="shared" si="218"/>
        <v>6</v>
      </c>
      <c r="C3275" s="64">
        <v>42543</v>
      </c>
      <c r="D3275" s="64" t="s">
        <v>690</v>
      </c>
      <c r="E3275" s="64">
        <f t="shared" si="217"/>
        <v>42543</v>
      </c>
      <c r="F3275" s="72" t="s">
        <v>1629</v>
      </c>
      <c r="G3275" s="67" t="s">
        <v>902</v>
      </c>
      <c r="H3275" s="329" t="s">
        <v>721</v>
      </c>
      <c r="I3275" s="408"/>
      <c r="J3275" s="408"/>
      <c r="K3275" s="399"/>
      <c r="L3275" s="408"/>
      <c r="M3275" s="65">
        <v>962646</v>
      </c>
      <c r="N3275" s="66" t="s">
        <v>97</v>
      </c>
      <c r="O3275" s="66" t="s">
        <v>25</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customHeight="1">
      <c r="A3276" s="323" t="str">
        <f>IF(B3276&lt;&gt;"",IF(AND(B3276='IN-TC'!$S$4,OR(TH!N3285="1111",TH!O3285="1111")),TH!D3285,""),"")</f>
        <v/>
      </c>
      <c r="B3276" s="63">
        <f t="shared" si="218"/>
        <v>6</v>
      </c>
      <c r="C3276" s="78">
        <v>42543</v>
      </c>
      <c r="D3276" s="64" t="s">
        <v>690</v>
      </c>
      <c r="E3276" s="78">
        <f t="shared" si="217"/>
        <v>42543</v>
      </c>
      <c r="F3276" s="67" t="s">
        <v>1858</v>
      </c>
      <c r="G3276" s="79" t="s">
        <v>902</v>
      </c>
      <c r="H3276" s="80" t="s">
        <v>721</v>
      </c>
      <c r="I3276" s="406"/>
      <c r="J3276" s="406"/>
      <c r="K3276" s="397">
        <v>97000</v>
      </c>
      <c r="L3276" s="406">
        <v>22308</v>
      </c>
      <c r="M3276" s="81">
        <f>ROUND(K3276*L3276,0)</f>
        <v>2163876000</v>
      </c>
      <c r="N3276" s="82" t="s">
        <v>254</v>
      </c>
      <c r="O3276" s="82" t="s">
        <v>260</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customHeight="1">
      <c r="A3277" s="323" t="str">
        <f>IF(B3277&lt;&gt;"",IF(AND(B3277='IN-TC'!$S$4,OR(TH!N3287="1111",TH!O3287="1111")),TH!D3287,""),"")</f>
        <v/>
      </c>
      <c r="B3277" s="63">
        <f t="shared" si="218"/>
        <v>6</v>
      </c>
      <c r="C3277" s="64">
        <v>42543</v>
      </c>
      <c r="D3277" s="64" t="s">
        <v>690</v>
      </c>
      <c r="E3277" s="64">
        <f t="shared" si="217"/>
        <v>42543</v>
      </c>
      <c r="F3277" s="72" t="s">
        <v>1630</v>
      </c>
      <c r="G3277" s="67" t="s">
        <v>902</v>
      </c>
      <c r="H3277" s="329" t="s">
        <v>1168</v>
      </c>
      <c r="I3277" s="408"/>
      <c r="J3277" s="408"/>
      <c r="K3277" s="399"/>
      <c r="L3277" s="408"/>
      <c r="M3277" s="65">
        <v>813705</v>
      </c>
      <c r="N3277" s="66" t="s">
        <v>97</v>
      </c>
      <c r="O3277" s="66" t="s">
        <v>25</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customHeight="1">
      <c r="A3278" s="323" t="str">
        <f>IF(B3278&lt;&gt;"",IF(AND(B3278='IN-TC'!$S$4,OR(TH!N3288="1111",TH!O3288="1111")),TH!D3288,""),"")</f>
        <v/>
      </c>
      <c r="B3278" s="63">
        <f t="shared" si="218"/>
        <v>6</v>
      </c>
      <c r="C3278" s="78">
        <v>42543</v>
      </c>
      <c r="D3278" s="64" t="s">
        <v>690</v>
      </c>
      <c r="E3278" s="78">
        <f t="shared" si="217"/>
        <v>42543</v>
      </c>
      <c r="F3278" s="67" t="s">
        <v>1858</v>
      </c>
      <c r="G3278" s="79" t="s">
        <v>902</v>
      </c>
      <c r="H3278" s="80" t="s">
        <v>1168</v>
      </c>
      <c r="I3278" s="406"/>
      <c r="J3278" s="406"/>
      <c r="K3278" s="397">
        <v>82000</v>
      </c>
      <c r="L3278" s="406">
        <v>22308</v>
      </c>
      <c r="M3278" s="81">
        <f>ROUND(K3278*L3278,0)</f>
        <v>1829256000</v>
      </c>
      <c r="N3278" s="82" t="s">
        <v>254</v>
      </c>
      <c r="O3278" s="82" t="s">
        <v>260</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customHeight="1">
      <c r="A3279" s="323" t="str">
        <f>IF(B3279&lt;&gt;"",IF(AND(B3279='IN-TC'!$S$4,OR(TH!N3290="1111",TH!O3290="1111")),TH!D3290,""),"")</f>
        <v/>
      </c>
      <c r="B3279" s="63">
        <f t="shared" si="218"/>
        <v>6</v>
      </c>
      <c r="C3279" s="64">
        <v>42543</v>
      </c>
      <c r="D3279" s="64" t="s">
        <v>690</v>
      </c>
      <c r="E3279" s="64">
        <f t="shared" si="217"/>
        <v>42543</v>
      </c>
      <c r="F3279" s="72" t="s">
        <v>1631</v>
      </c>
      <c r="G3279" s="67" t="s">
        <v>902</v>
      </c>
      <c r="H3279" s="329" t="s">
        <v>1169</v>
      </c>
      <c r="I3279" s="408"/>
      <c r="J3279" s="408"/>
      <c r="K3279" s="399"/>
      <c r="L3279" s="408"/>
      <c r="M3279" s="65">
        <v>893200</v>
      </c>
      <c r="N3279" s="66" t="s">
        <v>97</v>
      </c>
      <c r="O3279" s="66" t="s">
        <v>25</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customHeight="1">
      <c r="A3280" s="323" t="str">
        <f>IF(B3280&lt;&gt;"",IF(AND(B3280='IN-TC'!$S$4,OR(TH!N3291="1111",TH!O3291="1111")),TH!D3291,""),"")</f>
        <v/>
      </c>
      <c r="B3280" s="63">
        <f t="shared" si="218"/>
        <v>6</v>
      </c>
      <c r="C3280" s="78">
        <v>42543</v>
      </c>
      <c r="D3280" s="64" t="s">
        <v>690</v>
      </c>
      <c r="E3280" s="78">
        <f t="shared" si="217"/>
        <v>42543</v>
      </c>
      <c r="F3280" s="67" t="s">
        <v>1858</v>
      </c>
      <c r="G3280" s="79" t="s">
        <v>902</v>
      </c>
      <c r="H3280" s="80" t="s">
        <v>1169</v>
      </c>
      <c r="I3280" s="406"/>
      <c r="J3280" s="406"/>
      <c r="K3280" s="397">
        <v>90000</v>
      </c>
      <c r="L3280" s="406">
        <v>22308</v>
      </c>
      <c r="M3280" s="81">
        <f>ROUND(K3280*L3280,0)</f>
        <v>2007720000</v>
      </c>
      <c r="N3280" s="82" t="s">
        <v>254</v>
      </c>
      <c r="O3280" s="82" t="s">
        <v>260</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customHeight="1">
      <c r="A3281" s="323" t="str">
        <f>IF(B3281&lt;&gt;"",IF(AND(B3281='IN-TC'!$S$4,OR(TH!N3293="1111",TH!O3293="1111")),TH!D3293,""),"")</f>
        <v/>
      </c>
      <c r="B3281" s="63">
        <f t="shared" si="218"/>
        <v>6</v>
      </c>
      <c r="C3281" s="64">
        <v>42543</v>
      </c>
      <c r="D3281" s="64" t="s">
        <v>690</v>
      </c>
      <c r="E3281" s="64">
        <f t="shared" si="217"/>
        <v>42543</v>
      </c>
      <c r="F3281" s="482" t="s">
        <v>1044</v>
      </c>
      <c r="G3281" s="67" t="s">
        <v>901</v>
      </c>
      <c r="H3281" s="72" t="s">
        <v>717</v>
      </c>
      <c r="I3281" s="408"/>
      <c r="J3281" s="408"/>
      <c r="K3281" s="399"/>
      <c r="L3281" s="408"/>
      <c r="M3281" s="65">
        <v>3311092</v>
      </c>
      <c r="N3281" s="66" t="s">
        <v>97</v>
      </c>
      <c r="O3281" s="66" t="s">
        <v>25</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customHeight="1">
      <c r="A3282" s="323" t="str">
        <f>IF(B3282&lt;&gt;"",IF(AND(B3282='IN-TC'!$S$4,OR(TH!N3294="1111",TH!O3294="1111")),TH!D3294,""),"")</f>
        <v/>
      </c>
      <c r="B3282" s="63">
        <f t="shared" si="218"/>
        <v>6</v>
      </c>
      <c r="C3282" s="64">
        <v>42543</v>
      </c>
      <c r="D3282" s="64" t="s">
        <v>690</v>
      </c>
      <c r="E3282" s="64">
        <f t="shared" si="217"/>
        <v>42543</v>
      </c>
      <c r="F3282" s="482" t="s">
        <v>1682</v>
      </c>
      <c r="G3282" s="67" t="s">
        <v>901</v>
      </c>
      <c r="H3282" s="72" t="s">
        <v>727</v>
      </c>
      <c r="I3282" s="408"/>
      <c r="J3282" s="408"/>
      <c r="K3282" s="399"/>
      <c r="L3282" s="408"/>
      <c r="M3282" s="65">
        <v>4027216</v>
      </c>
      <c r="N3282" s="66" t="s">
        <v>97</v>
      </c>
      <c r="O3282" s="66" t="s">
        <v>25</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customHeight="1">
      <c r="A3283" s="323" t="str">
        <f>IF(B3283&lt;&gt;"",IF(AND(B3283='IN-TC'!$S$4,OR(TH!N3247="1111",TH!O3247="1111")),TH!D3247,""),"")</f>
        <v/>
      </c>
      <c r="B3283" s="63">
        <f t="shared" si="218"/>
        <v>6</v>
      </c>
      <c r="C3283" s="64">
        <v>42544</v>
      </c>
      <c r="D3283" s="306" t="s">
        <v>883</v>
      </c>
      <c r="E3283" s="306">
        <v>42544</v>
      </c>
      <c r="F3283" s="72" t="s">
        <v>761</v>
      </c>
      <c r="G3283" s="931" t="s">
        <v>1573</v>
      </c>
      <c r="H3283" s="72" t="s">
        <v>792</v>
      </c>
      <c r="I3283" s="408"/>
      <c r="J3283" s="408"/>
      <c r="K3283" s="399"/>
      <c r="L3283" s="408"/>
      <c r="M3283" s="65">
        <v>858327</v>
      </c>
      <c r="N3283" s="66" t="s">
        <v>99</v>
      </c>
      <c r="O3283" s="66" t="s">
        <v>61</v>
      </c>
      <c r="P3283" s="82" t="str">
        <f>IF(AND('331-CT'!$E$7=TH!H3283,OR(N3283="331",O3283="331")),"x","")</f>
        <v/>
      </c>
      <c r="Q3283" s="82" t="str">
        <f>IF(AND(B3283='111'!$L$11,OR($N3283=$Q$7,$O3283=$Q$7)),"x","")</f>
        <v/>
      </c>
      <c r="R3283" s="82" t="str">
        <f>IF(AND($N3283=$Q$7,$B3283&lt;'111'!$L$11),"x","")</f>
        <v/>
      </c>
      <c r="S3283" s="82" t="str">
        <f>IF(AND($O3283=$Q$7,$B3283&lt;'111'!$L$11),"x","")</f>
        <v>x</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customHeight="1">
      <c r="A3284" s="323" t="str">
        <f>IF(B3284&lt;&gt;"",IF(AND(B3284='IN-TC'!$S$4,OR(TH!N3249="1111",TH!O3249="1111")),TH!D3249,""),"")</f>
        <v/>
      </c>
      <c r="B3284" s="63">
        <f t="shared" si="218"/>
        <v>6</v>
      </c>
      <c r="C3284" s="64">
        <v>42544</v>
      </c>
      <c r="D3284" s="306" t="s">
        <v>883</v>
      </c>
      <c r="E3284" s="306">
        <v>42544</v>
      </c>
      <c r="F3284" s="72" t="s">
        <v>762</v>
      </c>
      <c r="G3284" s="931" t="s">
        <v>1573</v>
      </c>
      <c r="H3284" s="72" t="s">
        <v>792</v>
      </c>
      <c r="I3284" s="408"/>
      <c r="J3284" s="408"/>
      <c r="K3284" s="399"/>
      <c r="L3284" s="408"/>
      <c r="M3284" s="65">
        <v>85833</v>
      </c>
      <c r="N3284" s="66" t="s">
        <v>9</v>
      </c>
      <c r="O3284" s="66" t="s">
        <v>61</v>
      </c>
      <c r="P3284" s="82" t="str">
        <f>IF(AND('331-CT'!$E$7=TH!H3284,OR(N3284="331",O3284="331")),"x","")</f>
        <v/>
      </c>
      <c r="Q3284" s="82" t="str">
        <f>IF(AND(B3284='111'!$L$11,OR($N3284=$Q$7,$O3284=$Q$7)),"x","")</f>
        <v/>
      </c>
      <c r="R3284" s="82" t="str">
        <f>IF(AND($N3284=$Q$7,$B3284&lt;'111'!$L$11),"x","")</f>
        <v/>
      </c>
      <c r="S3284" s="82" t="str">
        <f>IF(AND($O3284=$Q$7,$B3284&lt;'111'!$L$11),"x","")</f>
        <v>x</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x</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customHeight="1">
      <c r="A3285" s="323" t="str">
        <f>IF(B3285&lt;&gt;"",IF(AND(B3285='IN-TC'!$S$4,OR(TH!N3295="1111",TH!O3295="1111")),TH!D3295,""),"")</f>
        <v/>
      </c>
      <c r="B3285" s="63">
        <f t="shared" si="218"/>
        <v>6</v>
      </c>
      <c r="C3285" s="64">
        <v>42544</v>
      </c>
      <c r="D3285" s="64" t="s">
        <v>884</v>
      </c>
      <c r="E3285" s="64">
        <v>42544</v>
      </c>
      <c r="F3285" s="72" t="s">
        <v>1584</v>
      </c>
      <c r="G3285" s="931" t="s">
        <v>1586</v>
      </c>
      <c r="H3285" s="72" t="s">
        <v>1571</v>
      </c>
      <c r="I3285" s="408"/>
      <c r="J3285" s="408"/>
      <c r="K3285" s="399"/>
      <c r="L3285" s="408"/>
      <c r="M3285" s="65">
        <v>51927</v>
      </c>
      <c r="N3285" s="82" t="s">
        <v>579</v>
      </c>
      <c r="O3285" s="66" t="s">
        <v>61</v>
      </c>
      <c r="P3285" s="82" t="str">
        <f>IF(AND('331-CT'!$E$7=TH!H3285,OR(N3285="331",O3285="331")),"x","")</f>
        <v/>
      </c>
      <c r="Q3285" s="82" t="str">
        <f>IF(AND(B3285='111'!$L$11,OR($N3285=$Q$7,$O3285=$Q$7)),"x","")</f>
        <v/>
      </c>
      <c r="R3285" s="82" t="str">
        <f>IF(AND($N3285=$Q$7,$B3285&lt;'111'!$L$11),"x","")</f>
        <v/>
      </c>
      <c r="S3285" s="82" t="str">
        <f>IF(AND($O3285=$Q$7,$B3285&lt;'111'!$L$11),"x","")</f>
        <v>x</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customHeight="1">
      <c r="A3286" s="323" t="str">
        <f>IF(B3286&lt;&gt;"",IF(AND(B3286='IN-TC'!$S$4,OR(TH!N3296="1111",TH!O3296="1111")),TH!D3296,""),"")</f>
        <v/>
      </c>
      <c r="B3286" s="63">
        <f t="shared" si="218"/>
        <v>6</v>
      </c>
      <c r="C3286" s="64">
        <v>42544</v>
      </c>
      <c r="D3286" s="64" t="s">
        <v>884</v>
      </c>
      <c r="E3286" s="64">
        <v>42544</v>
      </c>
      <c r="F3286" s="72" t="s">
        <v>1585</v>
      </c>
      <c r="G3286" s="931" t="s">
        <v>1586</v>
      </c>
      <c r="H3286" s="72" t="s">
        <v>1571</v>
      </c>
      <c r="I3286" s="408"/>
      <c r="J3286" s="408"/>
      <c r="K3286" s="399"/>
      <c r="L3286" s="408"/>
      <c r="M3286" s="65">
        <v>5193</v>
      </c>
      <c r="N3286" s="66" t="s">
        <v>9</v>
      </c>
      <c r="O3286" s="66" t="s">
        <v>61</v>
      </c>
      <c r="P3286" s="82" t="str">
        <f>IF(AND('331-CT'!$E$7=TH!H3286,OR(N3286="331",O3286="331")),"x","")</f>
        <v/>
      </c>
      <c r="Q3286" s="82" t="str">
        <f>IF(AND(B3286='111'!$L$11,OR($N3286=$Q$7,$O3286=$Q$7)),"x","")</f>
        <v/>
      </c>
      <c r="R3286" s="82" t="str">
        <f>IF(AND($N3286=$Q$7,$B3286&lt;'111'!$L$11),"x","")</f>
        <v/>
      </c>
      <c r="S3286" s="82" t="str">
        <f>IF(AND($O3286=$Q$7,$B3286&lt;'111'!$L$11),"x","")</f>
        <v>x</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x</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customHeight="1">
      <c r="A3287" s="323" t="str">
        <f>IF(B3287&lt;&gt;"",IF(AND(B3287='IN-TC'!$S$4,OR(TH!N3297="1111",TH!O3297="1111")),TH!D3297,""),"")</f>
        <v/>
      </c>
      <c r="B3287" s="63">
        <f t="shared" si="218"/>
        <v>6</v>
      </c>
      <c r="C3287" s="64">
        <v>42544</v>
      </c>
      <c r="D3287" s="64" t="s">
        <v>885</v>
      </c>
      <c r="E3287" s="64">
        <v>42544</v>
      </c>
      <c r="F3287" s="72" t="s">
        <v>1587</v>
      </c>
      <c r="G3287" s="931" t="s">
        <v>1589</v>
      </c>
      <c r="H3287" s="72" t="s">
        <v>1590</v>
      </c>
      <c r="I3287" s="408"/>
      <c r="J3287" s="408"/>
      <c r="K3287" s="399"/>
      <c r="L3287" s="408"/>
      <c r="M3287" s="65">
        <v>800000</v>
      </c>
      <c r="N3287" s="82" t="s">
        <v>579</v>
      </c>
      <c r="O3287" s="66" t="s">
        <v>61</v>
      </c>
      <c r="P3287" s="82" t="str">
        <f>IF(AND('331-CT'!$E$7=TH!H3287,OR(N3287="331",O3287="331")),"x","")</f>
        <v/>
      </c>
      <c r="Q3287" s="82" t="str">
        <f>IF(AND(B3287='111'!$L$11,OR($N3287=$Q$7,$O3287=$Q$7)),"x","")</f>
        <v/>
      </c>
      <c r="R3287" s="82" t="str">
        <f>IF(AND($N3287=$Q$7,$B3287&lt;'111'!$L$11),"x","")</f>
        <v/>
      </c>
      <c r="S3287" s="82" t="str">
        <f>IF(AND($O3287=$Q$7,$B3287&lt;'111'!$L$11),"x","")</f>
        <v>x</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customHeight="1">
      <c r="A3288" s="323" t="str">
        <f>IF(B3288&lt;&gt;"",IF(AND(B3288='IN-TC'!$S$4,OR(TH!N3298="1111",TH!O3298="1111")),TH!D3298,""),"")</f>
        <v/>
      </c>
      <c r="B3288" s="63">
        <f t="shared" si="218"/>
        <v>6</v>
      </c>
      <c r="C3288" s="64">
        <v>42544</v>
      </c>
      <c r="D3288" s="64" t="s">
        <v>885</v>
      </c>
      <c r="E3288" s="64">
        <v>42544</v>
      </c>
      <c r="F3288" s="72" t="s">
        <v>1588</v>
      </c>
      <c r="G3288" s="931" t="s">
        <v>1589</v>
      </c>
      <c r="H3288" s="72" t="s">
        <v>1590</v>
      </c>
      <c r="I3288" s="408"/>
      <c r="J3288" s="408"/>
      <c r="K3288" s="399"/>
      <c r="L3288" s="408"/>
      <c r="M3288" s="65">
        <v>80000</v>
      </c>
      <c r="N3288" s="66" t="s">
        <v>9</v>
      </c>
      <c r="O3288" s="66" t="s">
        <v>61</v>
      </c>
      <c r="P3288" s="82" t="str">
        <f>IF(AND('331-CT'!$E$7=TH!H3288,OR(N3288="331",O3288="331")),"x","")</f>
        <v/>
      </c>
      <c r="Q3288" s="82" t="str">
        <f>IF(AND(B3288='111'!$L$11,OR($N3288=$Q$7,$O3288=$Q$7)),"x","")</f>
        <v/>
      </c>
      <c r="R3288" s="82" t="str">
        <f>IF(AND($N3288=$Q$7,$B3288&lt;'111'!$L$11),"x","")</f>
        <v/>
      </c>
      <c r="S3288" s="82" t="str">
        <f>IF(AND($O3288=$Q$7,$B3288&lt;'111'!$L$11),"x","")</f>
        <v>x</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x</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customHeight="1">
      <c r="A3289" s="323" t="str">
        <f>IF(B3289&lt;&gt;"",IF(AND(B3289='IN-TC'!$S$4,OR(TH!N3304="1111",TH!O3304="1111")),TH!D3304,""),"")</f>
        <v/>
      </c>
      <c r="B3289" s="63">
        <f t="shared" si="218"/>
        <v>6</v>
      </c>
      <c r="C3289" s="64">
        <v>42545</v>
      </c>
      <c r="D3289" s="64" t="s">
        <v>687</v>
      </c>
      <c r="E3289" s="64">
        <f>C3289</f>
        <v>42545</v>
      </c>
      <c r="F3289" s="72" t="s">
        <v>1632</v>
      </c>
      <c r="G3289" s="67" t="s">
        <v>902</v>
      </c>
      <c r="H3289" s="329"/>
      <c r="I3289" s="408"/>
      <c r="J3289" s="408"/>
      <c r="K3289" s="399"/>
      <c r="L3289" s="408"/>
      <c r="M3289" s="65">
        <v>9632</v>
      </c>
      <c r="N3289" s="66" t="s">
        <v>25</v>
      </c>
      <c r="O3289" s="66" t="s">
        <v>41</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customHeight="1">
      <c r="A3290" s="323" t="str">
        <f>IF(B3290&lt;&gt;"",IF(AND(B3290='IN-TC'!$S$4,OR(TH!N3305="1111",TH!O3305="1111")),TH!D3305,""),"")</f>
        <v/>
      </c>
      <c r="B3290" s="63">
        <f t="shared" si="218"/>
        <v>6</v>
      </c>
      <c r="C3290" s="64">
        <v>42545</v>
      </c>
      <c r="D3290" s="64" t="s">
        <v>687</v>
      </c>
      <c r="E3290" s="64">
        <f>C3290</f>
        <v>42545</v>
      </c>
      <c r="F3290" s="72" t="s">
        <v>1632</v>
      </c>
      <c r="G3290" s="67" t="s">
        <v>901</v>
      </c>
      <c r="H3290" s="72"/>
      <c r="I3290" s="408"/>
      <c r="J3290" s="408"/>
      <c r="K3290" s="399"/>
      <c r="L3290" s="408"/>
      <c r="M3290" s="65">
        <v>5688</v>
      </c>
      <c r="N3290" s="66" t="s">
        <v>25</v>
      </c>
      <c r="O3290" s="66" t="s">
        <v>41</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customHeight="1">
      <c r="A3291" s="323" t="str">
        <f>IF(B3291&lt;&gt;"",IF(AND(B3291='IN-TC'!$S$4,OR(TH!N3302="1111",TH!O3302="1111")),TH!D3302,""),"")</f>
        <v/>
      </c>
      <c r="B3291" s="63">
        <f t="shared" si="218"/>
        <v>6</v>
      </c>
      <c r="C3291" s="1092">
        <v>42545</v>
      </c>
      <c r="D3291" s="64" t="s">
        <v>690</v>
      </c>
      <c r="E3291" s="1092">
        <f>C3291</f>
        <v>42545</v>
      </c>
      <c r="F3291" s="67" t="s">
        <v>1863</v>
      </c>
      <c r="G3291" s="1094" t="s">
        <v>1544</v>
      </c>
      <c r="H3291" s="1093" t="s">
        <v>1864</v>
      </c>
      <c r="I3291" s="1095"/>
      <c r="J3291" s="1095"/>
      <c r="K3291" s="1096">
        <v>150000</v>
      </c>
      <c r="L3291" s="1095">
        <v>22325</v>
      </c>
      <c r="M3291" s="1097">
        <v>3348750000</v>
      </c>
      <c r="N3291" s="1098" t="s">
        <v>260</v>
      </c>
      <c r="O3291" s="1098" t="s">
        <v>254</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customHeight="1">
      <c r="A3292" s="323" t="str">
        <f>IF(B3292&lt;&gt;"",IF(AND(B3292='IN-TC'!$S$4,OR(TH!N3303="1111",TH!O3303="1111")),TH!D3303,""),"")</f>
        <v/>
      </c>
      <c r="B3292" s="63">
        <f t="shared" si="218"/>
        <v>6</v>
      </c>
      <c r="C3292" s="1092">
        <v>42545</v>
      </c>
      <c r="D3292" s="64" t="s">
        <v>690</v>
      </c>
      <c r="E3292" s="1092">
        <f>C3292</f>
        <v>42545</v>
      </c>
      <c r="F3292" s="67" t="s">
        <v>1425</v>
      </c>
      <c r="G3292" s="1094" t="s">
        <v>1544</v>
      </c>
      <c r="H3292" s="1093"/>
      <c r="I3292" s="1095"/>
      <c r="J3292" s="1095"/>
      <c r="K3292" s="1096">
        <v>150000</v>
      </c>
      <c r="L3292" s="1095">
        <v>22325</v>
      </c>
      <c r="M3292" s="1097">
        <v>3348750000</v>
      </c>
      <c r="N3292" s="66" t="s">
        <v>25</v>
      </c>
      <c r="O3292" s="1098" t="s">
        <v>260</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x</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customHeight="1">
      <c r="A3293" s="323" t="str">
        <f>IF(B3293&lt;&gt;"",IF(AND(B3293='IN-TC'!$S$4,OR(TH!N3301="1111",TH!O3301="1111")),TH!D3301,""),"")</f>
        <v/>
      </c>
      <c r="B3293" s="63">
        <f t="shared" si="218"/>
        <v>6</v>
      </c>
      <c r="C3293" s="1092">
        <v>42545</v>
      </c>
      <c r="D3293" s="1092" t="s">
        <v>2060</v>
      </c>
      <c r="E3293" s="1092">
        <v>42545</v>
      </c>
      <c r="F3293" s="72" t="s">
        <v>1126</v>
      </c>
      <c r="G3293" s="1094" t="s">
        <v>1544</v>
      </c>
      <c r="H3293" s="1093" t="s">
        <v>748</v>
      </c>
      <c r="I3293" s="1095"/>
      <c r="J3293" s="1095"/>
      <c r="K3293" s="1096"/>
      <c r="L3293" s="1095"/>
      <c r="M3293" s="1097">
        <v>3348750000</v>
      </c>
      <c r="N3293" s="1098" t="s">
        <v>61</v>
      </c>
      <c r="O3293" s="66" t="s">
        <v>25</v>
      </c>
      <c r="P3293" s="82" t="str">
        <f>IF(AND('331-CT'!$E$7=TH!H3293,OR(N3293="331",O3293="331")),"x","")</f>
        <v/>
      </c>
      <c r="Q3293" s="82" t="str">
        <f>IF(AND(B3293='111'!$L$11,OR($N3293=$Q$7,$O3293=$Q$7)),"x","")</f>
        <v/>
      </c>
      <c r="R3293" s="82" t="str">
        <f>IF(AND($N3293=$Q$7,$B3293&lt;'111'!$L$11),"x","")</f>
        <v>x</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x</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customHeight="1">
      <c r="A3294" s="323" t="str">
        <f>IF(B3294&lt;&gt;"",IF(AND(B3294='IN-TC'!$S$4,OR(TH!N3306="1111",TH!O3306="1111")),TH!D3306,""),"")</f>
        <v/>
      </c>
      <c r="B3294" s="63">
        <f t="shared" si="218"/>
        <v>6</v>
      </c>
      <c r="C3294" s="1092">
        <v>42546</v>
      </c>
      <c r="D3294" s="1092" t="s">
        <v>687</v>
      </c>
      <c r="E3294" s="1092">
        <f t="shared" ref="E3294:E3303" si="219">C3294</f>
        <v>42546</v>
      </c>
      <c r="F3294" s="67" t="s">
        <v>1632</v>
      </c>
      <c r="G3294" s="1094" t="s">
        <v>1544</v>
      </c>
      <c r="H3294" s="1093"/>
      <c r="I3294" s="1095"/>
      <c r="J3294" s="1095"/>
      <c r="K3294" s="1096"/>
      <c r="L3294" s="1095"/>
      <c r="M3294" s="1097">
        <v>26</v>
      </c>
      <c r="N3294" s="66" t="s">
        <v>25</v>
      </c>
      <c r="O3294" s="66" t="s">
        <v>41</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x</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customHeight="1">
      <c r="A3295" s="323" t="str">
        <f>IF(B3295&lt;&gt;"",IF(AND(B3295='IN-TC'!$S$4,OR(TH!N3307="1111",TH!O3307="1111")),TH!D3307,""),"")</f>
        <v/>
      </c>
      <c r="B3295" s="63">
        <f t="shared" si="218"/>
        <v>6</v>
      </c>
      <c r="C3295" s="64">
        <v>42546</v>
      </c>
      <c r="D3295" s="64" t="s">
        <v>690</v>
      </c>
      <c r="E3295" s="64">
        <f t="shared" si="219"/>
        <v>42546</v>
      </c>
      <c r="F3295" s="72" t="s">
        <v>1633</v>
      </c>
      <c r="G3295" s="67" t="s">
        <v>902</v>
      </c>
      <c r="H3295" s="329"/>
      <c r="I3295" s="408"/>
      <c r="J3295" s="408"/>
      <c r="K3295" s="399"/>
      <c r="L3295" s="408"/>
      <c r="M3295" s="65">
        <v>50000</v>
      </c>
      <c r="N3295" s="66" t="s">
        <v>99</v>
      </c>
      <c r="O3295" s="66" t="s">
        <v>25</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customHeight="1">
      <c r="A3296" s="323" t="str">
        <f>IF(B3296&lt;&gt;"",IF(AND(B3296='IN-TC'!$S$4,OR(TH!N3308="1111",TH!O3308="1111")),TH!D3308,""),"")</f>
        <v/>
      </c>
      <c r="B3296" s="63">
        <f t="shared" si="218"/>
        <v>6</v>
      </c>
      <c r="C3296" s="64">
        <v>42546</v>
      </c>
      <c r="D3296" s="64" t="s">
        <v>690</v>
      </c>
      <c r="E3296" s="64">
        <f t="shared" si="219"/>
        <v>42546</v>
      </c>
      <c r="F3296" s="72" t="s">
        <v>1634</v>
      </c>
      <c r="G3296" s="67" t="s">
        <v>902</v>
      </c>
      <c r="H3296" s="329"/>
      <c r="I3296" s="408"/>
      <c r="J3296" s="408"/>
      <c r="K3296" s="399"/>
      <c r="L3296" s="408"/>
      <c r="M3296" s="65">
        <v>5000</v>
      </c>
      <c r="N3296" s="66" t="s">
        <v>9</v>
      </c>
      <c r="O3296" s="66" t="s">
        <v>25</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x</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customHeight="1">
      <c r="A3297" s="323" t="str">
        <f>IF(B3297&lt;&gt;"",IF(AND(B3297='IN-TC'!$S$4,OR(TH!N3309="1111",TH!O3309="1111")),TH!D3309,""),"")</f>
        <v/>
      </c>
      <c r="B3297" s="63">
        <f t="shared" si="218"/>
        <v>6</v>
      </c>
      <c r="C3297" s="64">
        <v>42546</v>
      </c>
      <c r="D3297" s="64" t="s">
        <v>690</v>
      </c>
      <c r="E3297" s="64">
        <f t="shared" si="219"/>
        <v>42546</v>
      </c>
      <c r="F3297" s="72" t="s">
        <v>1633</v>
      </c>
      <c r="G3297" s="67" t="s">
        <v>902</v>
      </c>
      <c r="H3297" s="329"/>
      <c r="I3297" s="408"/>
      <c r="J3297" s="408"/>
      <c r="K3297" s="399"/>
      <c r="L3297" s="408"/>
      <c r="M3297" s="65">
        <v>50000</v>
      </c>
      <c r="N3297" s="66" t="s">
        <v>99</v>
      </c>
      <c r="O3297" s="66" t="s">
        <v>25</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customHeight="1">
      <c r="A3298" s="323" t="str">
        <f>IF(B3298&lt;&gt;"",IF(AND(B3298='IN-TC'!$S$4,OR(TH!N3310="1111",TH!O3310="1111")),TH!D3310,""),"")</f>
        <v/>
      </c>
      <c r="B3298" s="63">
        <f t="shared" si="218"/>
        <v>6</v>
      </c>
      <c r="C3298" s="64">
        <v>42546</v>
      </c>
      <c r="D3298" s="64" t="s">
        <v>690</v>
      </c>
      <c r="E3298" s="64">
        <f t="shared" si="219"/>
        <v>42546</v>
      </c>
      <c r="F3298" s="72" t="s">
        <v>1634</v>
      </c>
      <c r="G3298" s="67" t="s">
        <v>902</v>
      </c>
      <c r="H3298" s="329"/>
      <c r="I3298" s="408"/>
      <c r="J3298" s="408"/>
      <c r="K3298" s="399"/>
      <c r="L3298" s="408"/>
      <c r="M3298" s="65">
        <v>5000</v>
      </c>
      <c r="N3298" s="66" t="s">
        <v>9</v>
      </c>
      <c r="O3298" s="66" t="s">
        <v>25</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x</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customHeight="1">
      <c r="A3299" s="323" t="str">
        <f>IF(B3299&lt;&gt;"",IF(AND(B3299='IN-TC'!$S$4,OR(TH!N3311="1111",TH!O3311="1111")),TH!D3311,""),"")</f>
        <v/>
      </c>
      <c r="B3299" s="63">
        <f t="shared" si="218"/>
        <v>6</v>
      </c>
      <c r="C3299" s="64">
        <v>42546</v>
      </c>
      <c r="D3299" s="64" t="s">
        <v>690</v>
      </c>
      <c r="E3299" s="64">
        <f t="shared" si="219"/>
        <v>42546</v>
      </c>
      <c r="F3299" s="72" t="s">
        <v>1633</v>
      </c>
      <c r="G3299" s="67" t="s">
        <v>902</v>
      </c>
      <c r="H3299" s="329"/>
      <c r="I3299" s="408"/>
      <c r="J3299" s="408"/>
      <c r="K3299" s="399"/>
      <c r="L3299" s="408"/>
      <c r="M3299" s="65">
        <v>50000</v>
      </c>
      <c r="N3299" s="66" t="s">
        <v>99</v>
      </c>
      <c r="O3299" s="66" t="s">
        <v>25</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customHeight="1">
      <c r="A3300" s="323" t="str">
        <f>IF(B3300&lt;&gt;"",IF(AND(B3300='IN-TC'!$S$4,OR(TH!N3312="1111",TH!O3312="1111")),TH!D3312,""),"")</f>
        <v/>
      </c>
      <c r="B3300" s="63">
        <f t="shared" si="218"/>
        <v>6</v>
      </c>
      <c r="C3300" s="64">
        <v>42546</v>
      </c>
      <c r="D3300" s="64" t="s">
        <v>690</v>
      </c>
      <c r="E3300" s="64">
        <f t="shared" si="219"/>
        <v>42546</v>
      </c>
      <c r="F3300" s="72" t="s">
        <v>1634</v>
      </c>
      <c r="G3300" s="67" t="s">
        <v>902</v>
      </c>
      <c r="H3300" s="329"/>
      <c r="I3300" s="408"/>
      <c r="J3300" s="408"/>
      <c r="K3300" s="399"/>
      <c r="L3300" s="408"/>
      <c r="M3300" s="65">
        <v>5000</v>
      </c>
      <c r="N3300" s="66" t="s">
        <v>9</v>
      </c>
      <c r="O3300" s="66" t="s">
        <v>25</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x</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customHeight="1">
      <c r="A3301" s="323" t="str">
        <f>IF(B3301&lt;&gt;"",IF(AND(B3301='IN-TC'!$S$4,OR(TH!N3313="1111",TH!O3313="1111")),TH!D3313,""),"")</f>
        <v/>
      </c>
      <c r="B3301" s="63">
        <f t="shared" si="218"/>
        <v>6</v>
      </c>
      <c r="C3301" s="64">
        <v>42546</v>
      </c>
      <c r="D3301" s="64" t="s">
        <v>690</v>
      </c>
      <c r="E3301" s="64">
        <f t="shared" si="219"/>
        <v>42546</v>
      </c>
      <c r="F3301" s="72" t="s">
        <v>1633</v>
      </c>
      <c r="G3301" s="67" t="s">
        <v>902</v>
      </c>
      <c r="H3301" s="329"/>
      <c r="I3301" s="408"/>
      <c r="J3301" s="408"/>
      <c r="K3301" s="399"/>
      <c r="L3301" s="408"/>
      <c r="M3301" s="65">
        <v>50000</v>
      </c>
      <c r="N3301" s="66" t="s">
        <v>99</v>
      </c>
      <c r="O3301" s="66" t="s">
        <v>25</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customHeight="1">
      <c r="A3302" s="323" t="str">
        <f>IF(B3302&lt;&gt;"",IF(AND(B3302='IN-TC'!$S$4,OR(TH!N3314="1111",TH!O3314="1111")),TH!D3314,""),"")</f>
        <v/>
      </c>
      <c r="B3302" s="63">
        <f t="shared" si="218"/>
        <v>6</v>
      </c>
      <c r="C3302" s="64">
        <v>42546</v>
      </c>
      <c r="D3302" s="64" t="s">
        <v>690</v>
      </c>
      <c r="E3302" s="64">
        <f t="shared" si="219"/>
        <v>42546</v>
      </c>
      <c r="F3302" s="72" t="s">
        <v>1634</v>
      </c>
      <c r="G3302" s="67" t="s">
        <v>902</v>
      </c>
      <c r="H3302" s="329"/>
      <c r="I3302" s="408"/>
      <c r="J3302" s="408"/>
      <c r="K3302" s="399"/>
      <c r="L3302" s="408"/>
      <c r="M3302" s="65">
        <v>5000</v>
      </c>
      <c r="N3302" s="66" t="s">
        <v>9</v>
      </c>
      <c r="O3302" s="66" t="s">
        <v>25</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x</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customHeight="1">
      <c r="A3303" s="323" t="str">
        <f>IF(B3303&lt;&gt;"",IF(AND(B3303='IN-TC'!$S$4,OR(TH!N3299="1111",TH!O3299="1111")),TH!D3299,""),"")</f>
        <v/>
      </c>
      <c r="B3303" s="63">
        <f t="shared" si="218"/>
        <v>6</v>
      </c>
      <c r="C3303" s="1092">
        <v>42548</v>
      </c>
      <c r="D3303" s="1092" t="s">
        <v>887</v>
      </c>
      <c r="E3303" s="1092">
        <f t="shared" si="219"/>
        <v>42548</v>
      </c>
      <c r="F3303" s="482" t="s">
        <v>947</v>
      </c>
      <c r="G3303" s="1094"/>
      <c r="H3303" s="1093" t="s">
        <v>946</v>
      </c>
      <c r="I3303" s="1095"/>
      <c r="J3303" s="1095"/>
      <c r="K3303" s="1096"/>
      <c r="L3303" s="1095"/>
      <c r="M3303" s="1097">
        <v>500000000</v>
      </c>
      <c r="N3303" s="1098" t="s">
        <v>266</v>
      </c>
      <c r="O3303" s="1098" t="s">
        <v>61</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customHeight="1">
      <c r="A3304" s="323" t="str">
        <f>IF(B3304&lt;&gt;"",IF(AND(B3304='IN-TC'!$S$4,OR(TH!N3300="1111",TH!O3300="1111")),TH!D3300,""),"")</f>
        <v/>
      </c>
      <c r="B3304" s="63">
        <f t="shared" si="218"/>
        <v>6</v>
      </c>
      <c r="C3304" s="64">
        <v>42548</v>
      </c>
      <c r="D3304" s="64" t="s">
        <v>888</v>
      </c>
      <c r="E3304" s="64">
        <v>42548</v>
      </c>
      <c r="F3304" s="72" t="s">
        <v>1087</v>
      </c>
      <c r="G3304" s="67" t="s">
        <v>902</v>
      </c>
      <c r="H3304" s="72" t="s">
        <v>748</v>
      </c>
      <c r="I3304" s="408"/>
      <c r="J3304" s="408"/>
      <c r="K3304" s="399"/>
      <c r="L3304" s="408"/>
      <c r="M3304" s="65">
        <v>1170000000</v>
      </c>
      <c r="N3304" s="66" t="s">
        <v>25</v>
      </c>
      <c r="O3304" s="66" t="s">
        <v>61</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customHeight="1">
      <c r="A3305" s="323" t="str">
        <f>IF(B3305&lt;&gt;"",IF(AND(B3305='IN-TC'!$S$4,OR(TH!N3315="1111",TH!O3315="1111")),TH!D3315,""),"")</f>
        <v/>
      </c>
      <c r="B3305" s="63">
        <f t="shared" si="218"/>
        <v>6</v>
      </c>
      <c r="C3305" s="64">
        <v>42548</v>
      </c>
      <c r="D3305" s="64" t="s">
        <v>890</v>
      </c>
      <c r="E3305" s="64">
        <v>42548</v>
      </c>
      <c r="F3305" s="72" t="s">
        <v>997</v>
      </c>
      <c r="G3305" s="931" t="s">
        <v>1591</v>
      </c>
      <c r="H3305" s="72" t="s">
        <v>792</v>
      </c>
      <c r="I3305" s="408"/>
      <c r="J3305" s="408"/>
      <c r="K3305" s="399"/>
      <c r="L3305" s="408"/>
      <c r="M3305" s="65">
        <v>1225009</v>
      </c>
      <c r="N3305" s="66" t="s">
        <v>99</v>
      </c>
      <c r="O3305" s="66" t="s">
        <v>61</v>
      </c>
      <c r="P3305" s="82" t="str">
        <f>IF(AND('331-CT'!$E$7=TH!H3305,OR(N3305="331",O3305="331")),"x","")</f>
        <v/>
      </c>
      <c r="Q3305" s="82" t="str">
        <f>IF(AND(B3305='111'!$L$11,OR($N3305=$Q$7,$O3305=$Q$7)),"x","")</f>
        <v/>
      </c>
      <c r="R3305" s="82" t="str">
        <f>IF(AND($N3305=$Q$7,$B3305&lt;'111'!$L$11),"x","")</f>
        <v/>
      </c>
      <c r="S3305" s="82" t="str">
        <f>IF(AND($O3305=$Q$7,$B3305&lt;'111'!$L$11),"x","")</f>
        <v>x</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customHeight="1">
      <c r="A3306" s="323" t="str">
        <f>IF(B3306&lt;&gt;"",IF(AND(B3306='IN-TC'!$S$4,OR(TH!N3316="1111",TH!O3316="1111")),TH!D3316,""),"")</f>
        <v/>
      </c>
      <c r="B3306" s="63">
        <f t="shared" si="218"/>
        <v>6</v>
      </c>
      <c r="C3306" s="64">
        <v>42548</v>
      </c>
      <c r="D3306" s="64" t="s">
        <v>890</v>
      </c>
      <c r="E3306" s="64">
        <v>42548</v>
      </c>
      <c r="F3306" s="72" t="s">
        <v>998</v>
      </c>
      <c r="G3306" s="931" t="s">
        <v>1591</v>
      </c>
      <c r="H3306" s="72" t="s">
        <v>792</v>
      </c>
      <c r="I3306" s="408"/>
      <c r="J3306" s="408"/>
      <c r="K3306" s="399"/>
      <c r="L3306" s="408"/>
      <c r="M3306" s="65">
        <v>122501</v>
      </c>
      <c r="N3306" s="66" t="s">
        <v>9</v>
      </c>
      <c r="O3306" s="66" t="s">
        <v>61</v>
      </c>
      <c r="P3306" s="82" t="str">
        <f>IF(AND('331-CT'!$E$7=TH!H3306,OR(N3306="331",O3306="331")),"x","")</f>
        <v/>
      </c>
      <c r="Q3306" s="82" t="str">
        <f>IF(AND(B3306='111'!$L$11,OR($N3306=$Q$7,$O3306=$Q$7)),"x","")</f>
        <v/>
      </c>
      <c r="R3306" s="82" t="str">
        <f>IF(AND($N3306=$Q$7,$B3306&lt;'111'!$L$11),"x","")</f>
        <v/>
      </c>
      <c r="S3306" s="82" t="str">
        <f>IF(AND($O3306=$Q$7,$B3306&lt;'111'!$L$11),"x","")</f>
        <v>x</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x</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customHeight="1">
      <c r="A3307" s="323" t="str">
        <f>IF(B3307&lt;&gt;"",IF(AND(B3307='IN-TC'!$S$4,OR(TH!N3317="1111",TH!O3317="1111")),TH!D3317,""),"")</f>
        <v/>
      </c>
      <c r="B3307" s="63">
        <f t="shared" si="218"/>
        <v>6</v>
      </c>
      <c r="C3307" s="64">
        <v>42548</v>
      </c>
      <c r="D3307" s="64" t="s">
        <v>891</v>
      </c>
      <c r="E3307" s="64">
        <v>42548</v>
      </c>
      <c r="F3307" s="72" t="s">
        <v>1592</v>
      </c>
      <c r="G3307" s="931" t="s">
        <v>1594</v>
      </c>
      <c r="H3307" s="72" t="s">
        <v>1595</v>
      </c>
      <c r="I3307" s="408"/>
      <c r="J3307" s="408"/>
      <c r="K3307" s="399"/>
      <c r="L3307" s="408"/>
      <c r="M3307" s="1091">
        <v>16200000</v>
      </c>
      <c r="N3307" s="66" t="s">
        <v>99</v>
      </c>
      <c r="O3307" s="66" t="s">
        <v>61</v>
      </c>
      <c r="P3307" s="82" t="str">
        <f>IF(AND('331-CT'!$E$7=TH!H3307,OR(N3307="331",O3307="331")),"x","")</f>
        <v/>
      </c>
      <c r="Q3307" s="82" t="str">
        <f>IF(AND(B3307='111'!$L$11,OR($N3307=$Q$7,$O3307=$Q$7)),"x","")</f>
        <v/>
      </c>
      <c r="R3307" s="82" t="str">
        <f>IF(AND($N3307=$Q$7,$B3307&lt;'111'!$L$11),"x","")</f>
        <v/>
      </c>
      <c r="S3307" s="82" t="str">
        <f>IF(AND($O3307=$Q$7,$B3307&lt;'111'!$L$11),"x","")</f>
        <v>x</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customHeight="1">
      <c r="A3308" s="323" t="str">
        <f>IF(B3308&lt;&gt;"",IF(AND(B3308='IN-TC'!$S$4,OR(TH!N3318="1111",TH!O3318="1111")),TH!D3318,""),"")</f>
        <v/>
      </c>
      <c r="B3308" s="63">
        <f t="shared" si="218"/>
        <v>6</v>
      </c>
      <c r="C3308" s="64">
        <v>42548</v>
      </c>
      <c r="D3308" s="64" t="s">
        <v>891</v>
      </c>
      <c r="E3308" s="64">
        <v>42548</v>
      </c>
      <c r="F3308" s="72" t="s">
        <v>1593</v>
      </c>
      <c r="G3308" s="931" t="s">
        <v>1594</v>
      </c>
      <c r="H3308" s="72" t="s">
        <v>1595</v>
      </c>
      <c r="I3308" s="408"/>
      <c r="J3308" s="408"/>
      <c r="K3308" s="399"/>
      <c r="L3308" s="408"/>
      <c r="M3308" s="1091">
        <v>1620000</v>
      </c>
      <c r="N3308" s="66" t="s">
        <v>9</v>
      </c>
      <c r="O3308" s="66" t="s">
        <v>61</v>
      </c>
      <c r="P3308" s="82" t="str">
        <f>IF(AND('331-CT'!$E$7=TH!H3308,OR(N3308="331",O3308="331")),"x","")</f>
        <v/>
      </c>
      <c r="Q3308" s="82" t="str">
        <f>IF(AND(B3308='111'!$L$11,OR($N3308=$Q$7,$O3308=$Q$7)),"x","")</f>
        <v/>
      </c>
      <c r="R3308" s="82" t="str">
        <f>IF(AND($N3308=$Q$7,$B3308&lt;'111'!$L$11),"x","")</f>
        <v/>
      </c>
      <c r="S3308" s="82" t="str">
        <f>IF(AND($O3308=$Q$7,$B3308&lt;'111'!$L$11),"x","")</f>
        <v>x</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x</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customHeight="1">
      <c r="A3309" s="323" t="str">
        <f>IF(B3309&lt;&gt;"",IF(AND(B3309='IN-TC'!$S$4,OR(TH!N3319="1111",TH!O3319="1111")),TH!D3319,""),"")</f>
        <v/>
      </c>
      <c r="B3309" s="63">
        <f t="shared" si="218"/>
        <v>6</v>
      </c>
      <c r="C3309" s="64">
        <v>42548</v>
      </c>
      <c r="D3309" s="64" t="s">
        <v>894</v>
      </c>
      <c r="E3309" s="64">
        <v>42548</v>
      </c>
      <c r="F3309" s="72" t="s">
        <v>1598</v>
      </c>
      <c r="G3309" s="931" t="s">
        <v>1600</v>
      </c>
      <c r="H3309" s="72" t="s">
        <v>823</v>
      </c>
      <c r="I3309" s="408"/>
      <c r="J3309" s="408"/>
      <c r="K3309" s="399"/>
      <c r="L3309" s="408"/>
      <c r="M3309" s="1091">
        <v>16050000</v>
      </c>
      <c r="N3309" s="66" t="s">
        <v>99</v>
      </c>
      <c r="O3309" s="66" t="s">
        <v>61</v>
      </c>
      <c r="P3309" s="82" t="str">
        <f>IF(AND('331-CT'!$E$7=TH!H3309,OR(N3309="331",O3309="331")),"x","")</f>
        <v/>
      </c>
      <c r="Q3309" s="82" t="str">
        <f>IF(AND(B3309='111'!$L$11,OR($N3309=$Q$7,$O3309=$Q$7)),"x","")</f>
        <v/>
      </c>
      <c r="R3309" s="82" t="str">
        <f>IF(AND($N3309=$Q$7,$B3309&lt;'111'!$L$11),"x","")</f>
        <v/>
      </c>
      <c r="S3309" s="82" t="str">
        <f>IF(AND($O3309=$Q$7,$B3309&lt;'111'!$L$11),"x","")</f>
        <v>x</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customHeight="1">
      <c r="A3310" s="323" t="str">
        <f>IF(B3310&lt;&gt;"",IF(AND(B3310='IN-TC'!$S$4,OR(TH!N3320="1111",TH!O3320="1111")),TH!D3320,""),"")</f>
        <v/>
      </c>
      <c r="B3310" s="63">
        <f t="shared" ref="B3310:B3373" si="220">IF(C3310&lt;&gt;"",MONTH(C3310),"")</f>
        <v>6</v>
      </c>
      <c r="C3310" s="64">
        <v>42548</v>
      </c>
      <c r="D3310" s="64" t="s">
        <v>894</v>
      </c>
      <c r="E3310" s="64">
        <v>42548</v>
      </c>
      <c r="F3310" s="72" t="s">
        <v>1599</v>
      </c>
      <c r="G3310" s="931" t="s">
        <v>1600</v>
      </c>
      <c r="H3310" s="72" t="s">
        <v>823</v>
      </c>
      <c r="I3310" s="408"/>
      <c r="J3310" s="408"/>
      <c r="K3310" s="399"/>
      <c r="L3310" s="408"/>
      <c r="M3310" s="1091">
        <v>1605000</v>
      </c>
      <c r="N3310" s="66" t="s">
        <v>9</v>
      </c>
      <c r="O3310" s="66" t="s">
        <v>61</v>
      </c>
      <c r="P3310" s="82" t="str">
        <f>IF(AND('331-CT'!$E$7=TH!H3310,OR(N3310="331",O3310="331")),"x","")</f>
        <v/>
      </c>
      <c r="Q3310" s="82" t="str">
        <f>IF(AND(B3310='111'!$L$11,OR($N3310=$Q$7,$O3310=$Q$7)),"x","")</f>
        <v/>
      </c>
      <c r="R3310" s="82" t="str">
        <f>IF(AND($N3310=$Q$7,$B3310&lt;'111'!$L$11),"x","")</f>
        <v/>
      </c>
      <c r="S3310" s="82" t="str">
        <f>IF(AND($O3310=$Q$7,$B3310&lt;'111'!$L$11),"x","")</f>
        <v>x</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x</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customHeight="1">
      <c r="A3311" s="323" t="str">
        <f>IF(B3311&lt;&gt;"",IF(AND(B3311='IN-TC'!$S$4,OR(TH!N3321="1111",TH!O3321="1111")),TH!D3321,""),"")</f>
        <v/>
      </c>
      <c r="B3311" s="63">
        <f t="shared" si="220"/>
        <v>6</v>
      </c>
      <c r="C3311" s="64">
        <v>42549</v>
      </c>
      <c r="D3311" s="64" t="s">
        <v>895</v>
      </c>
      <c r="E3311" s="64">
        <v>42549</v>
      </c>
      <c r="F3311" s="72" t="s">
        <v>1596</v>
      </c>
      <c r="G3311" s="931" t="s">
        <v>1302</v>
      </c>
      <c r="H3311" s="72" t="s">
        <v>1595</v>
      </c>
      <c r="I3311" s="408"/>
      <c r="J3311" s="408"/>
      <c r="K3311" s="399"/>
      <c r="L3311" s="408"/>
      <c r="M3311" s="65">
        <v>3450000</v>
      </c>
      <c r="N3311" s="66" t="s">
        <v>99</v>
      </c>
      <c r="O3311" s="66" t="s">
        <v>61</v>
      </c>
      <c r="P3311" s="82" t="str">
        <f>IF(AND('331-CT'!$E$7=TH!H3311,OR(N3311="331",O3311="331")),"x","")</f>
        <v/>
      </c>
      <c r="Q3311" s="82" t="str">
        <f>IF(AND(B3311='111'!$L$11,OR($N3311=$Q$7,$O3311=$Q$7)),"x","")</f>
        <v/>
      </c>
      <c r="R3311" s="82" t="str">
        <f>IF(AND($N3311=$Q$7,$B3311&lt;'111'!$L$11),"x","")</f>
        <v/>
      </c>
      <c r="S3311" s="82" t="str">
        <f>IF(AND($O3311=$Q$7,$B3311&lt;'111'!$L$11),"x","")</f>
        <v>x</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customHeight="1">
      <c r="A3312" s="323" t="str">
        <f>IF(B3312&lt;&gt;"",IF(AND(B3312='IN-TC'!$S$4,OR(TH!N3322="1111",TH!O3322="1111")),TH!D3322,""),"")</f>
        <v/>
      </c>
      <c r="B3312" s="63">
        <f t="shared" si="220"/>
        <v>6</v>
      </c>
      <c r="C3312" s="64">
        <v>42549</v>
      </c>
      <c r="D3312" s="64" t="s">
        <v>895</v>
      </c>
      <c r="E3312" s="64">
        <v>42549</v>
      </c>
      <c r="F3312" s="72" t="s">
        <v>1597</v>
      </c>
      <c r="G3312" s="931" t="s">
        <v>1302</v>
      </c>
      <c r="H3312" s="72" t="s">
        <v>1595</v>
      </c>
      <c r="I3312" s="408"/>
      <c r="J3312" s="408"/>
      <c r="K3312" s="399"/>
      <c r="L3312" s="408"/>
      <c r="M3312" s="65">
        <v>345000</v>
      </c>
      <c r="N3312" s="66" t="s">
        <v>9</v>
      </c>
      <c r="O3312" s="66" t="s">
        <v>61</v>
      </c>
      <c r="P3312" s="82" t="str">
        <f>IF(AND('331-CT'!$E$7=TH!H3312,OR(N3312="331",O3312="331")),"x","")</f>
        <v/>
      </c>
      <c r="Q3312" s="82" t="str">
        <f>IF(AND(B3312='111'!$L$11,OR($N3312=$Q$7,$O3312=$Q$7)),"x","")</f>
        <v/>
      </c>
      <c r="R3312" s="82" t="str">
        <f>IF(AND($N3312=$Q$7,$B3312&lt;'111'!$L$11),"x","")</f>
        <v/>
      </c>
      <c r="S3312" s="82" t="str">
        <f>IF(AND($O3312=$Q$7,$B3312&lt;'111'!$L$11),"x","")</f>
        <v>x</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x</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1" ht="15.75" customHeight="1">
      <c r="A3313" s="323" t="str">
        <f>IF(B3313&lt;&gt;"",IF(AND(B3313='IN-TC'!$S$4,OR(TH!N3334="1111",TH!O3334="1111")),TH!D3334,""),"")</f>
        <v/>
      </c>
      <c r="B3313" s="63">
        <f t="shared" si="220"/>
        <v>6</v>
      </c>
      <c r="C3313" s="64">
        <v>42549</v>
      </c>
      <c r="D3313" s="64" t="s">
        <v>570</v>
      </c>
      <c r="E3313" s="64">
        <f t="shared" ref="E3313:E3320" si="221">C3313</f>
        <v>42549</v>
      </c>
      <c r="F3313" s="72" t="s">
        <v>1045</v>
      </c>
      <c r="G3313" s="67" t="s">
        <v>902</v>
      </c>
      <c r="H3313" s="72" t="s">
        <v>1672</v>
      </c>
      <c r="I3313" s="408"/>
      <c r="J3313" s="408"/>
      <c r="K3313" s="399">
        <v>200</v>
      </c>
      <c r="L3313" s="408">
        <v>22280</v>
      </c>
      <c r="M3313" s="65">
        <f>ROUND(K3313*L3313,0)</f>
        <v>4456000</v>
      </c>
      <c r="N3313" s="66" t="s">
        <v>99</v>
      </c>
      <c r="O3313" s="66" t="s">
        <v>576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1" ht="15.75" customHeight="1">
      <c r="A3314" s="323" t="str">
        <f>IF(B3314&lt;&gt;"",IF(AND(B3314='IN-TC'!$S$4,OR(TH!N3335="1111",TH!O3335="1111")),TH!D3335,""),"")</f>
        <v/>
      </c>
      <c r="B3314" s="63">
        <f t="shared" si="220"/>
        <v>6</v>
      </c>
      <c r="C3314" s="64">
        <v>42549</v>
      </c>
      <c r="D3314" s="64" t="s">
        <v>570</v>
      </c>
      <c r="E3314" s="64">
        <f t="shared" si="221"/>
        <v>42549</v>
      </c>
      <c r="F3314" s="72" t="s">
        <v>1046</v>
      </c>
      <c r="G3314" s="67" t="s">
        <v>902</v>
      </c>
      <c r="H3314" s="72" t="s">
        <v>1672</v>
      </c>
      <c r="I3314" s="408"/>
      <c r="J3314" s="408"/>
      <c r="K3314" s="399">
        <v>20</v>
      </c>
      <c r="L3314" s="408">
        <v>22280</v>
      </c>
      <c r="M3314" s="65">
        <f>ROUND(K3314*L3314,0)</f>
        <v>445600</v>
      </c>
      <c r="N3314" s="66" t="s">
        <v>9</v>
      </c>
      <c r="O3314" s="66" t="s">
        <v>576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x</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1" ht="15.75" customHeight="1">
      <c r="A3315" s="323" t="str">
        <f>IF(B3315&lt;&gt;"",IF(AND(B3315='IN-TC'!$S$4,OR(TH!N3336="1111",TH!O3336="1111")),TH!D3336,""),"")</f>
        <v/>
      </c>
      <c r="B3315" s="63">
        <f t="shared" si="220"/>
        <v>6</v>
      </c>
      <c r="C3315" s="64">
        <v>42549</v>
      </c>
      <c r="D3315" s="64" t="s">
        <v>570</v>
      </c>
      <c r="E3315" s="64">
        <f t="shared" si="221"/>
        <v>42549</v>
      </c>
      <c r="F3315" s="72" t="s">
        <v>1047</v>
      </c>
      <c r="G3315" s="67" t="s">
        <v>902</v>
      </c>
      <c r="H3315" s="72" t="s">
        <v>1672</v>
      </c>
      <c r="I3315" s="408"/>
      <c r="J3315" s="408"/>
      <c r="K3315" s="399">
        <v>203.08</v>
      </c>
      <c r="L3315" s="408">
        <v>22280</v>
      </c>
      <c r="M3315" s="65">
        <f>ROUND(K3315*L3315,0)</f>
        <v>4524622</v>
      </c>
      <c r="N3315" s="66" t="s">
        <v>97</v>
      </c>
      <c r="O3315" s="66" t="s">
        <v>576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1" ht="15.75" customHeight="1">
      <c r="A3316" s="323" t="str">
        <f>IF(B3316&lt;&gt;"",IF(AND(B3316='IN-TC'!$S$4,OR(TH!N3347="1111",TH!O3347="1111")),TH!D3347,""),"")</f>
        <v/>
      </c>
      <c r="B3316" s="63">
        <f t="shared" si="220"/>
        <v>6</v>
      </c>
      <c r="C3316" s="64">
        <v>42549</v>
      </c>
      <c r="D3316" s="64" t="s">
        <v>570</v>
      </c>
      <c r="E3316" s="64">
        <f t="shared" si="221"/>
        <v>42549</v>
      </c>
      <c r="F3316" s="72" t="s">
        <v>1049</v>
      </c>
      <c r="G3316" s="67" t="s">
        <v>901</v>
      </c>
      <c r="H3316" s="72" t="s">
        <v>717</v>
      </c>
      <c r="I3316" s="408"/>
      <c r="J3316" s="408"/>
      <c r="K3316" s="399"/>
      <c r="L3316" s="408"/>
      <c r="M3316" s="65">
        <v>7310000</v>
      </c>
      <c r="N3316" s="66" t="s">
        <v>254</v>
      </c>
      <c r="O3316" s="66" t="s">
        <v>41</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1" ht="15.75" customHeight="1">
      <c r="A3317" s="323" t="str">
        <f>IF(B3317&lt;&gt;"",IF(AND(B3317='IN-TC'!$S$4,OR(TH!N3218="1111",TH!O3218="1111")),TH!D3218,""),"")</f>
        <v/>
      </c>
      <c r="B3317" s="63">
        <f t="shared" si="220"/>
        <v>6</v>
      </c>
      <c r="C3317" s="78">
        <v>43279</v>
      </c>
      <c r="D3317" s="78" t="s">
        <v>570</v>
      </c>
      <c r="E3317" s="78">
        <f t="shared" si="221"/>
        <v>43279</v>
      </c>
      <c r="F3317" s="72" t="s">
        <v>1049</v>
      </c>
      <c r="G3317" s="79" t="s">
        <v>902</v>
      </c>
      <c r="H3317" s="918" t="s">
        <v>1672</v>
      </c>
      <c r="I3317" s="406"/>
      <c r="J3317" s="406"/>
      <c r="K3317" s="397"/>
      <c r="L3317" s="406"/>
      <c r="M3317" s="81">
        <v>6476722</v>
      </c>
      <c r="N3317" s="82" t="s">
        <v>576</v>
      </c>
      <c r="O3317" s="66" t="s">
        <v>41</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1" ht="15.75" customHeight="1">
      <c r="A3318" s="323" t="str">
        <f>IF(B3318&lt;&gt;"",IF(AND(B3318='IN-TC'!$S$4,OR(TH!N3338="1111",TH!O3338="1111")),TH!D3338,""),"")</f>
        <v/>
      </c>
      <c r="B3318" s="63">
        <f t="shared" si="220"/>
        <v>6</v>
      </c>
      <c r="C3318" s="64">
        <v>42549</v>
      </c>
      <c r="D3318" s="64" t="s">
        <v>687</v>
      </c>
      <c r="E3318" s="64">
        <f t="shared" si="221"/>
        <v>42549</v>
      </c>
      <c r="F3318" s="72" t="s">
        <v>1167</v>
      </c>
      <c r="G3318" s="67" t="s">
        <v>901</v>
      </c>
      <c r="H3318" s="72"/>
      <c r="I3318" s="408"/>
      <c r="J3318" s="408"/>
      <c r="K3318" s="399">
        <v>43000</v>
      </c>
      <c r="L3318" s="408">
        <v>22340</v>
      </c>
      <c r="M3318" s="65">
        <f>ROUND(K3318*L3318,0)</f>
        <v>960620000</v>
      </c>
      <c r="N3318" s="66" t="s">
        <v>260</v>
      </c>
      <c r="O3318" s="66" t="s">
        <v>25</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1" ht="15.75" customHeight="1">
      <c r="A3319" s="323" t="str">
        <f>IF(B3319&lt;&gt;"",IF(AND(B3319='IN-TC'!$S$4,OR(TH!N3324="1111",TH!O3324="1111")),TH!D3324,""),"")</f>
        <v/>
      </c>
      <c r="B3319" s="63">
        <f t="shared" si="220"/>
        <v>6</v>
      </c>
      <c r="C3319" s="64">
        <v>42549</v>
      </c>
      <c r="D3319" s="64" t="s">
        <v>690</v>
      </c>
      <c r="E3319" s="64">
        <f t="shared" si="221"/>
        <v>42549</v>
      </c>
      <c r="F3319" s="72" t="s">
        <v>1635</v>
      </c>
      <c r="G3319" s="67" t="s">
        <v>902</v>
      </c>
      <c r="H3319" s="329"/>
      <c r="I3319" s="408"/>
      <c r="J3319" s="408"/>
      <c r="K3319" s="399"/>
      <c r="L3319" s="408"/>
      <c r="M3319" s="65">
        <v>290993</v>
      </c>
      <c r="N3319" s="66" t="s">
        <v>99</v>
      </c>
      <c r="O3319" s="66" t="s">
        <v>25</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1" ht="15.75" customHeight="1">
      <c r="A3320" s="323" t="str">
        <f>IF(B3320&lt;&gt;"",IF(AND(B3320='IN-TC'!$S$4,OR(TH!N3325="1111",TH!O3325="1111")),TH!D3325,""),"")</f>
        <v/>
      </c>
      <c r="B3320" s="63">
        <f t="shared" si="220"/>
        <v>6</v>
      </c>
      <c r="C3320" s="64">
        <v>42549</v>
      </c>
      <c r="D3320" s="64" t="s">
        <v>690</v>
      </c>
      <c r="E3320" s="64">
        <f t="shared" si="221"/>
        <v>42549</v>
      </c>
      <c r="F3320" s="72" t="s">
        <v>1674</v>
      </c>
      <c r="G3320" s="67" t="s">
        <v>902</v>
      </c>
      <c r="H3320" s="329"/>
      <c r="I3320" s="408"/>
      <c r="J3320" s="408"/>
      <c r="K3320" s="399"/>
      <c r="L3320" s="408"/>
      <c r="M3320" s="65">
        <v>29099</v>
      </c>
      <c r="N3320" s="66" t="s">
        <v>9</v>
      </c>
      <c r="O3320" s="66" t="s">
        <v>25</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x</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1" ht="15.75" customHeight="1">
      <c r="A3321" s="323" t="str">
        <f>IF(B3321&lt;&gt;"",IF(AND(B3321='IN-TC'!$S$4,OR(TH!N2180="1111",TH!O2180="1111")),TH!D2180,""),"")</f>
        <v/>
      </c>
      <c r="B3321" s="63">
        <f t="shared" si="220"/>
        <v>12</v>
      </c>
      <c r="C3321" s="78">
        <v>42734</v>
      </c>
      <c r="D3321" s="78" t="s">
        <v>570</v>
      </c>
      <c r="E3321" s="78">
        <v>42734</v>
      </c>
      <c r="F3321" s="80" t="s">
        <v>624</v>
      </c>
      <c r="G3321" s="934" t="s">
        <v>2801</v>
      </c>
      <c r="H3321" s="80" t="s">
        <v>615</v>
      </c>
      <c r="I3321" s="406"/>
      <c r="J3321" s="406"/>
      <c r="K3321" s="397"/>
      <c r="L3321" s="406"/>
      <c r="M3321" s="81">
        <v>2000000</v>
      </c>
      <c r="N3321" s="82" t="s">
        <v>579</v>
      </c>
      <c r="O3321" s="82" t="s">
        <v>8</v>
      </c>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c r="AE3321">
        <v>1</v>
      </c>
    </row>
    <row r="3322" spans="1:31" ht="15.75" customHeight="1">
      <c r="A3322" s="323" t="str">
        <f>IF(B3322&lt;&gt;"",IF(AND(B3322='IN-TC'!$S$4,OR(TH!N3327="1111",TH!O3327="1111")),TH!D3327,""),"")</f>
        <v/>
      </c>
      <c r="B3322" s="63">
        <f t="shared" si="220"/>
        <v>6</v>
      </c>
      <c r="C3322" s="64">
        <v>42549</v>
      </c>
      <c r="D3322" s="64" t="s">
        <v>690</v>
      </c>
      <c r="E3322" s="64">
        <f>C3322</f>
        <v>42549</v>
      </c>
      <c r="F3322" s="72" t="s">
        <v>1156</v>
      </c>
      <c r="G3322" s="67" t="s">
        <v>902</v>
      </c>
      <c r="H3322" s="329"/>
      <c r="I3322" s="408"/>
      <c r="J3322" s="408"/>
      <c r="K3322" s="399"/>
      <c r="L3322" s="408"/>
      <c r="M3322" s="65">
        <v>69999</v>
      </c>
      <c r="N3322" s="66" t="s">
        <v>99</v>
      </c>
      <c r="O3322" s="66" t="s">
        <v>25</v>
      </c>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1" ht="15.75" customHeight="1">
      <c r="A3323" s="323" t="str">
        <f>IF(B3323&lt;&gt;"",IF(AND(B3323='IN-TC'!$S$4,OR(TH!N3328="1111",TH!O3328="1111")),TH!D3328,""),"")</f>
        <v/>
      </c>
      <c r="B3323" s="63">
        <f t="shared" si="220"/>
        <v>6</v>
      </c>
      <c r="C3323" s="64">
        <v>42549</v>
      </c>
      <c r="D3323" s="64" t="s">
        <v>690</v>
      </c>
      <c r="E3323" s="64">
        <f>C3323</f>
        <v>42549</v>
      </c>
      <c r="F3323" s="72" t="s">
        <v>1616</v>
      </c>
      <c r="G3323" s="67" t="s">
        <v>902</v>
      </c>
      <c r="H3323" s="329"/>
      <c r="I3323" s="408"/>
      <c r="J3323" s="408"/>
      <c r="K3323" s="399"/>
      <c r="L3323" s="408"/>
      <c r="M3323" s="65">
        <v>7000</v>
      </c>
      <c r="N3323" s="66" t="s">
        <v>9</v>
      </c>
      <c r="O3323" s="66" t="s">
        <v>25</v>
      </c>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x</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1" ht="15.75" customHeight="1">
      <c r="A3324" s="323" t="str">
        <f>IF(B3324&lt;&gt;"",IF(AND(B3324='IN-TC'!$S$4,OR(TH!N3329="1111",TH!O3329="1111")),TH!D3329,""),"")</f>
        <v/>
      </c>
      <c r="B3324" s="63">
        <f t="shared" si="220"/>
        <v>6</v>
      </c>
      <c r="C3324" s="64">
        <v>42549</v>
      </c>
      <c r="D3324" s="64" t="s">
        <v>690</v>
      </c>
      <c r="E3324" s="64">
        <f>C3324</f>
        <v>42549</v>
      </c>
      <c r="F3324" s="72" t="s">
        <v>1637</v>
      </c>
      <c r="G3324" s="67" t="s">
        <v>902</v>
      </c>
      <c r="H3324" s="329" t="s">
        <v>1610</v>
      </c>
      <c r="I3324" s="408"/>
      <c r="J3324" s="408"/>
      <c r="K3324" s="399"/>
      <c r="L3324" s="408"/>
      <c r="M3324" s="65">
        <v>20293420</v>
      </c>
      <c r="N3324" s="66" t="s">
        <v>8</v>
      </c>
      <c r="O3324" s="66" t="s">
        <v>25</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1" ht="15.75" customHeight="1">
      <c r="A3325" s="323" t="str">
        <f>IF(B3325&lt;&gt;"",IF(AND(B3325='IN-TC'!$S$4,OR(TH!N3330="1111",TH!O3330="1111")),TH!D3330,""),"")</f>
        <v/>
      </c>
      <c r="B3325" s="63">
        <f t="shared" si="220"/>
        <v>6</v>
      </c>
      <c r="C3325" s="64">
        <v>42549</v>
      </c>
      <c r="D3325" s="64" t="s">
        <v>690</v>
      </c>
      <c r="E3325" s="64">
        <f>C3325</f>
        <v>42549</v>
      </c>
      <c r="F3325" s="72" t="s">
        <v>1156</v>
      </c>
      <c r="G3325" s="67" t="s">
        <v>902</v>
      </c>
      <c r="H3325" s="329"/>
      <c r="I3325" s="408"/>
      <c r="J3325" s="408"/>
      <c r="K3325" s="399"/>
      <c r="L3325" s="408"/>
      <c r="M3325" s="65">
        <v>20000</v>
      </c>
      <c r="N3325" s="66" t="s">
        <v>99</v>
      </c>
      <c r="O3325" s="66" t="s">
        <v>25</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1" ht="15.75" customHeight="1">
      <c r="A3326" s="323" t="str">
        <f>IF(B3326&lt;&gt;"",IF(AND(B3326='IN-TC'!$S$4,OR(TH!N3331="1111",TH!O3331="1111")),TH!D3331,""),"")</f>
        <v/>
      </c>
      <c r="B3326" s="63">
        <f t="shared" si="220"/>
        <v>6</v>
      </c>
      <c r="C3326" s="64">
        <v>42549</v>
      </c>
      <c r="D3326" s="64" t="s">
        <v>690</v>
      </c>
      <c r="E3326" s="64">
        <f>C3326</f>
        <v>42549</v>
      </c>
      <c r="F3326" s="72" t="s">
        <v>1616</v>
      </c>
      <c r="G3326" s="67" t="s">
        <v>902</v>
      </c>
      <c r="H3326" s="329"/>
      <c r="I3326" s="408"/>
      <c r="J3326" s="408"/>
      <c r="K3326" s="399"/>
      <c r="L3326" s="408"/>
      <c r="M3326" s="65">
        <v>2000</v>
      </c>
      <c r="N3326" s="66" t="s">
        <v>9</v>
      </c>
      <c r="O3326" s="66" t="s">
        <v>25</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x</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1" ht="15.75" customHeight="1">
      <c r="A3327" s="323" t="str">
        <f>IF(B3327&lt;&gt;"",IF(AND(B3327='IN-TC'!$S$4,OR(TH!N2139="1111",TH!O2139="1111")),TH!D2139,""),"")</f>
        <v/>
      </c>
      <c r="B3327" s="63">
        <f t="shared" si="220"/>
        <v>12</v>
      </c>
      <c r="C3327" s="78">
        <v>42715</v>
      </c>
      <c r="D3327" s="78" t="s">
        <v>570</v>
      </c>
      <c r="E3327" s="78">
        <v>42715</v>
      </c>
      <c r="F3327" s="80" t="s">
        <v>2277</v>
      </c>
      <c r="G3327" s="934" t="s">
        <v>2585</v>
      </c>
      <c r="H3327" s="80" t="s">
        <v>1198</v>
      </c>
      <c r="I3327" s="406">
        <v>26000</v>
      </c>
      <c r="J3327" s="406">
        <v>10000</v>
      </c>
      <c r="K3327" s="397"/>
      <c r="L3327" s="406"/>
      <c r="M3327" s="81">
        <f>ROUND(I3327*J3327,0)</f>
        <v>260000000</v>
      </c>
      <c r="N3327" s="82" t="s">
        <v>276</v>
      </c>
      <c r="O3327" s="82" t="s">
        <v>8</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c r="AE3327">
        <v>1</v>
      </c>
    </row>
    <row r="3328" spans="1:31" ht="15.75" customHeight="1">
      <c r="A3328" s="323" t="str">
        <f>IF(B3328&lt;&gt;"",IF(AND(B3328='IN-TC'!$S$4,OR(TH!N3337="1111",TH!O3337="1111")),TH!D3337,""),"")</f>
        <v/>
      </c>
      <c r="B3328" s="63">
        <f t="shared" si="220"/>
        <v>6</v>
      </c>
      <c r="C3328" s="64">
        <v>42549</v>
      </c>
      <c r="D3328" s="64" t="s">
        <v>690</v>
      </c>
      <c r="E3328" s="64">
        <f>C3328</f>
        <v>42549</v>
      </c>
      <c r="F3328" s="72" t="s">
        <v>1181</v>
      </c>
      <c r="G3328" s="67" t="s">
        <v>908</v>
      </c>
      <c r="H3328" s="329"/>
      <c r="I3328" s="408"/>
      <c r="J3328" s="408"/>
      <c r="K3328" s="399"/>
      <c r="L3328" s="408"/>
      <c r="M3328" s="65">
        <v>970000000</v>
      </c>
      <c r="N3328" s="66" t="s">
        <v>25</v>
      </c>
      <c r="O3328" s="66" t="s">
        <v>25</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customHeight="1">
      <c r="A3329" s="323" t="str">
        <f>IF(B3329&lt;&gt;"",IF(AND(B3329='IN-TC'!$S$4,OR(TH!N3339="1111",TH!O3339="1111")),TH!D3339,""),"")</f>
        <v/>
      </c>
      <c r="B3329" s="63">
        <f t="shared" si="220"/>
        <v>6</v>
      </c>
      <c r="C3329" s="64">
        <v>42549</v>
      </c>
      <c r="D3329" s="64" t="s">
        <v>690</v>
      </c>
      <c r="E3329" s="64">
        <f>C3329</f>
        <v>42549</v>
      </c>
      <c r="F3329" s="482" t="s">
        <v>1044</v>
      </c>
      <c r="G3329" s="67" t="s">
        <v>901</v>
      </c>
      <c r="H3329" s="72" t="s">
        <v>717</v>
      </c>
      <c r="I3329" s="408"/>
      <c r="J3329" s="408"/>
      <c r="K3329" s="399"/>
      <c r="L3329" s="408"/>
      <c r="M3329" s="65">
        <v>2403700</v>
      </c>
      <c r="N3329" s="66" t="s">
        <v>97</v>
      </c>
      <c r="O3329" s="66" t="s">
        <v>25</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customHeight="1">
      <c r="A3330" s="323" t="str">
        <f>IF(B3330&lt;&gt;"",IF(AND(B3330='IN-TC'!$S$4,OR(TH!N3801="1111",TH!O3801="1111")),TH!D3801,""),"")</f>
        <v/>
      </c>
      <c r="B3330" s="63">
        <f t="shared" si="220"/>
        <v>9</v>
      </c>
      <c r="C3330" s="64">
        <v>42635</v>
      </c>
      <c r="D3330" s="64" t="s">
        <v>690</v>
      </c>
      <c r="E3330" s="64">
        <v>42635</v>
      </c>
      <c r="F3330" s="72" t="s">
        <v>1903</v>
      </c>
      <c r="G3330" s="67" t="s">
        <v>902</v>
      </c>
      <c r="H3330" s="72" t="s">
        <v>614</v>
      </c>
      <c r="I3330" s="408"/>
      <c r="J3330" s="408"/>
      <c r="K3330" s="399"/>
      <c r="L3330" s="408"/>
      <c r="M3330" s="65">
        <v>27700000</v>
      </c>
      <c r="N3330" s="66" t="s">
        <v>8</v>
      </c>
      <c r="O3330" s="66" t="s">
        <v>25</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customHeight="1">
      <c r="A3331" s="323" t="str">
        <f>IF(B3331&lt;&gt;"",IF(AND(B3331='IN-TC'!$S$4,OR(TH!N3341="1111",TH!O3341="1111")),TH!D3341,""),"")</f>
        <v/>
      </c>
      <c r="B3331" s="63">
        <f t="shared" si="220"/>
        <v>6</v>
      </c>
      <c r="C3331" s="64">
        <v>42549</v>
      </c>
      <c r="D3331" s="64" t="s">
        <v>690</v>
      </c>
      <c r="E3331" s="64">
        <f t="shared" ref="E3331:E3338" si="222">C3331</f>
        <v>42549</v>
      </c>
      <c r="F3331" s="72" t="s">
        <v>1156</v>
      </c>
      <c r="G3331" s="67" t="s">
        <v>901</v>
      </c>
      <c r="H3331" s="329"/>
      <c r="I3331" s="408"/>
      <c r="J3331" s="408"/>
      <c r="K3331" s="399"/>
      <c r="L3331" s="408"/>
      <c r="M3331" s="65">
        <v>20000</v>
      </c>
      <c r="N3331" s="66" t="s">
        <v>99</v>
      </c>
      <c r="O3331" s="66" t="s">
        <v>25</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customHeight="1">
      <c r="A3332" s="323" t="str">
        <f>IF(B3332&lt;&gt;"",IF(AND(B3332='IN-TC'!$S$4,OR(TH!N3342="1111",TH!O3342="1111")),TH!D3342,""),"")</f>
        <v/>
      </c>
      <c r="B3332" s="63">
        <f t="shared" si="220"/>
        <v>6</v>
      </c>
      <c r="C3332" s="64">
        <v>42549</v>
      </c>
      <c r="D3332" s="64" t="s">
        <v>690</v>
      </c>
      <c r="E3332" s="64">
        <f t="shared" si="222"/>
        <v>42549</v>
      </c>
      <c r="F3332" s="72" t="s">
        <v>1616</v>
      </c>
      <c r="G3332" s="67" t="s">
        <v>901</v>
      </c>
      <c r="H3332" s="329"/>
      <c r="I3332" s="408"/>
      <c r="J3332" s="408"/>
      <c r="K3332" s="399"/>
      <c r="L3332" s="408"/>
      <c r="M3332" s="65">
        <v>2000</v>
      </c>
      <c r="N3332" s="66" t="s">
        <v>9</v>
      </c>
      <c r="O3332" s="66" t="s">
        <v>25</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x</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customHeight="1">
      <c r="A3333" s="323" t="str">
        <f>IF(B3333&lt;&gt;"",IF(AND(B3333='IN-TC'!$S$4,OR(TH!N2020="1111",TH!O2020="1111")),TH!D2020,""),"")</f>
        <v/>
      </c>
      <c r="B3333" s="63">
        <f t="shared" si="220"/>
        <v>9</v>
      </c>
      <c r="C3333" s="78">
        <v>42635</v>
      </c>
      <c r="D3333" s="78" t="s">
        <v>570</v>
      </c>
      <c r="E3333" s="78">
        <f t="shared" si="222"/>
        <v>42635</v>
      </c>
      <c r="F3333" s="80" t="s">
        <v>1156</v>
      </c>
      <c r="G3333" s="934" t="s">
        <v>1981</v>
      </c>
      <c r="H3333" s="80" t="s">
        <v>614</v>
      </c>
      <c r="I3333" s="406"/>
      <c r="J3333" s="406"/>
      <c r="K3333" s="397"/>
      <c r="L3333" s="406"/>
      <c r="M3333" s="81">
        <v>13360000</v>
      </c>
      <c r="N3333" s="82" t="s">
        <v>579</v>
      </c>
      <c r="O3333" s="82" t="s">
        <v>8</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customHeight="1">
      <c r="A3334" s="323" t="str">
        <f>IF(B3334&lt;&gt;"",IF(AND(B3334='IN-TC'!$S$4,OR(TH!N3344="1111",TH!O3344="1111")),TH!D3344,""),"")</f>
        <v/>
      </c>
      <c r="B3334" s="63">
        <f t="shared" si="220"/>
        <v>6</v>
      </c>
      <c r="C3334" s="64">
        <v>42549</v>
      </c>
      <c r="D3334" s="64" t="s">
        <v>690</v>
      </c>
      <c r="E3334" s="64">
        <f t="shared" si="222"/>
        <v>42549</v>
      </c>
      <c r="F3334" s="72" t="s">
        <v>1156</v>
      </c>
      <c r="G3334" s="67" t="s">
        <v>901</v>
      </c>
      <c r="H3334" s="329"/>
      <c r="I3334" s="408"/>
      <c r="J3334" s="408"/>
      <c r="K3334" s="399"/>
      <c r="L3334" s="408"/>
      <c r="M3334" s="65">
        <v>20000</v>
      </c>
      <c r="N3334" s="66" t="s">
        <v>99</v>
      </c>
      <c r="O3334" s="66" t="s">
        <v>25</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customHeight="1">
      <c r="A3335" s="323" t="str">
        <f>IF(B3335&lt;&gt;"",IF(AND(B3335='IN-TC'!$S$4,OR(TH!N3345="1111",TH!O3345="1111")),TH!D3345,""),"")</f>
        <v/>
      </c>
      <c r="B3335" s="63">
        <f t="shared" si="220"/>
        <v>6</v>
      </c>
      <c r="C3335" s="64">
        <v>42549</v>
      </c>
      <c r="D3335" s="64" t="s">
        <v>690</v>
      </c>
      <c r="E3335" s="64">
        <f t="shared" si="222"/>
        <v>42549</v>
      </c>
      <c r="F3335" s="72" t="s">
        <v>1616</v>
      </c>
      <c r="G3335" s="67" t="s">
        <v>901</v>
      </c>
      <c r="H3335" s="329"/>
      <c r="I3335" s="408"/>
      <c r="J3335" s="408"/>
      <c r="K3335" s="399"/>
      <c r="L3335" s="408"/>
      <c r="M3335" s="65">
        <v>2000</v>
      </c>
      <c r="N3335" s="66" t="s">
        <v>9</v>
      </c>
      <c r="O3335" s="66" t="s">
        <v>25</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x</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customHeight="1">
      <c r="A3336" s="323" t="str">
        <f>IF(B3336&lt;&gt;"",IF(AND(B3336='IN-TC'!$S$4,OR(TH!N3346="1111",TH!O3346="1111")),TH!D3346,""),"")</f>
        <v/>
      </c>
      <c r="B3336" s="63">
        <f t="shared" si="220"/>
        <v>6</v>
      </c>
      <c r="C3336" s="64">
        <v>42549</v>
      </c>
      <c r="D3336" s="64" t="s">
        <v>690</v>
      </c>
      <c r="E3336" s="64">
        <f t="shared" si="222"/>
        <v>42549</v>
      </c>
      <c r="F3336" s="72" t="s">
        <v>1170</v>
      </c>
      <c r="G3336" s="67" t="s">
        <v>901</v>
      </c>
      <c r="H3336" s="72" t="s">
        <v>717</v>
      </c>
      <c r="I3336" s="408"/>
      <c r="J3336" s="408"/>
      <c r="K3336" s="399">
        <v>43000</v>
      </c>
      <c r="L3336" s="408">
        <v>22360</v>
      </c>
      <c r="M3336" s="65">
        <f>ROUND(K3336*L3336,0)</f>
        <v>961480000</v>
      </c>
      <c r="N3336" s="66" t="s">
        <v>254</v>
      </c>
      <c r="O3336" s="66" t="s">
        <v>260</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customHeight="1">
      <c r="A3337" s="323" t="str">
        <f>IF(B3337&lt;&gt;"",IF(AND(B3337='IN-TC'!$S$4,OR(TH!N3348="1111",TH!O3348="1111")),TH!D3348,""),"")</f>
        <v/>
      </c>
      <c r="B3337" s="63">
        <f t="shared" si="220"/>
        <v>6</v>
      </c>
      <c r="C3337" s="64">
        <v>42550</v>
      </c>
      <c r="D3337" s="64" t="s">
        <v>690</v>
      </c>
      <c r="E3337" s="64">
        <f t="shared" si="222"/>
        <v>42550</v>
      </c>
      <c r="F3337" s="72" t="s">
        <v>1647</v>
      </c>
      <c r="G3337" s="67" t="s">
        <v>902</v>
      </c>
      <c r="H3337" s="72"/>
      <c r="I3337" s="408"/>
      <c r="J3337" s="408"/>
      <c r="K3337" s="399">
        <v>12</v>
      </c>
      <c r="L3337" s="408">
        <v>22280</v>
      </c>
      <c r="M3337" s="65">
        <f>ROUND(K3337*L3337,0)</f>
        <v>267360</v>
      </c>
      <c r="N3337" s="66" t="s">
        <v>99</v>
      </c>
      <c r="O3337" s="66" t="s">
        <v>260</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customHeight="1">
      <c r="A3338" s="323" t="str">
        <f>IF(B3338&lt;&gt;"",IF(AND(B3338='IN-TC'!$S$4,OR(TH!N3323="1111",TH!O3323="1111")),TH!D3323,""),"")</f>
        <v/>
      </c>
      <c r="B3338" s="63">
        <f t="shared" si="220"/>
        <v>6</v>
      </c>
      <c r="C3338" s="1092">
        <v>42551</v>
      </c>
      <c r="D3338" s="1092" t="s">
        <v>896</v>
      </c>
      <c r="E3338" s="1092">
        <f t="shared" si="222"/>
        <v>42551</v>
      </c>
      <c r="F3338" s="482" t="s">
        <v>947</v>
      </c>
      <c r="G3338" s="1094"/>
      <c r="H3338" s="1093" t="s">
        <v>946</v>
      </c>
      <c r="I3338" s="1095"/>
      <c r="J3338" s="1095"/>
      <c r="K3338" s="1096"/>
      <c r="L3338" s="1095"/>
      <c r="M3338" s="1097">
        <v>548390000</v>
      </c>
      <c r="N3338" s="1098" t="s">
        <v>266</v>
      </c>
      <c r="O3338" s="1098" t="s">
        <v>61</v>
      </c>
      <c r="P3338" s="82" t="str">
        <f>IF(AND('331-CT'!$E$7=TH!H3338,OR(N3338="331",O3338="331")),"x","")</f>
        <v/>
      </c>
      <c r="Q3338" s="82" t="str">
        <f>IF(AND(B3338='111'!$L$11,OR($N3338=$Q$7,$O3338=$Q$7)),"x","")</f>
        <v/>
      </c>
      <c r="R3338" s="82" t="str">
        <f>IF(AND($N3338=$Q$7,$B3338&lt;'111'!$L$11),"x","")</f>
        <v/>
      </c>
      <c r="S3338" s="82" t="str">
        <f>IF(AND($O3338=$Q$7,$B3338&lt;'111'!$L$11),"x","")</f>
        <v>x</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customHeight="1">
      <c r="A3339" s="323" t="str">
        <f>IF(B3339&lt;&gt;"",IF(AND(B3339='IN-TC'!$S$4,OR(TH!N3350="1111",TH!O3350="1111")),TH!D3350,""),"")</f>
        <v/>
      </c>
      <c r="B3339" s="63">
        <f t="shared" si="220"/>
        <v>6</v>
      </c>
      <c r="C3339" s="64">
        <v>42551</v>
      </c>
      <c r="D3339" s="64" t="s">
        <v>897</v>
      </c>
      <c r="E3339" s="64">
        <v>42551</v>
      </c>
      <c r="F3339" s="72" t="s">
        <v>1601</v>
      </c>
      <c r="G3339" s="931" t="s">
        <v>1602</v>
      </c>
      <c r="H3339" s="72" t="s">
        <v>1418</v>
      </c>
      <c r="I3339" s="408"/>
      <c r="J3339" s="408"/>
      <c r="K3339" s="399"/>
      <c r="L3339" s="408"/>
      <c r="M3339" s="65">
        <v>1413000</v>
      </c>
      <c r="N3339" s="66" t="s">
        <v>99</v>
      </c>
      <c r="O3339" s="66" t="s">
        <v>61</v>
      </c>
      <c r="P3339" s="82" t="str">
        <f>IF(AND('331-CT'!$E$7=TH!H3339,OR(N3339="331",O3339="331")),"x","")</f>
        <v/>
      </c>
      <c r="Q3339" s="82" t="str">
        <f>IF(AND(B3339='111'!$L$11,OR($N3339=$Q$7,$O3339=$Q$7)),"x","")</f>
        <v/>
      </c>
      <c r="R3339" s="82" t="str">
        <f>IF(AND($N3339=$Q$7,$B3339&lt;'111'!$L$11),"x","")</f>
        <v/>
      </c>
      <c r="S3339" s="82" t="str">
        <f>IF(AND($O3339=$Q$7,$B3339&lt;'111'!$L$11),"x","")</f>
        <v>x</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customHeight="1">
      <c r="A3340" s="323" t="str">
        <f>IF(B3340&lt;&gt;"",IF(AND(B3340='IN-TC'!$S$4,OR(TH!N3351="1111",TH!O3351="1111")),TH!D3351,""),"")</f>
        <v/>
      </c>
      <c r="B3340" s="63">
        <f t="shared" si="220"/>
        <v>6</v>
      </c>
      <c r="C3340" s="64">
        <v>42551</v>
      </c>
      <c r="D3340" s="64" t="s">
        <v>897</v>
      </c>
      <c r="E3340" s="64">
        <v>42551</v>
      </c>
      <c r="F3340" s="72" t="s">
        <v>1603</v>
      </c>
      <c r="G3340" s="931" t="s">
        <v>1602</v>
      </c>
      <c r="H3340" s="72" t="s">
        <v>1418</v>
      </c>
      <c r="I3340" s="408"/>
      <c r="J3340" s="408"/>
      <c r="K3340" s="399"/>
      <c r="L3340" s="408"/>
      <c r="M3340" s="65">
        <v>141300</v>
      </c>
      <c r="N3340" s="66" t="s">
        <v>9</v>
      </c>
      <c r="O3340" s="66" t="s">
        <v>61</v>
      </c>
      <c r="P3340" s="82" t="str">
        <f>IF(AND('331-CT'!$E$7=TH!H3340,OR(N3340="331",O3340="331")),"x","")</f>
        <v/>
      </c>
      <c r="Q3340" s="82" t="str">
        <f>IF(AND(B3340='111'!$L$11,OR($N3340=$Q$7,$O3340=$Q$7)),"x","")</f>
        <v/>
      </c>
      <c r="R3340" s="82" t="str">
        <f>IF(AND($N3340=$Q$7,$B3340&lt;'111'!$L$11),"x","")</f>
        <v/>
      </c>
      <c r="S3340" s="82" t="str">
        <f>IF(AND($O3340=$Q$7,$B3340&lt;'111'!$L$11),"x","")</f>
        <v>x</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x</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customHeight="1">
      <c r="A3341" s="323" t="str">
        <f>IF(B3341&lt;&gt;"",IF(AND(B3341='IN-TC'!$S$4,OR(TH!N3352="1111",TH!O3352="1111")),TH!D3352,""),"")</f>
        <v/>
      </c>
      <c r="B3341" s="63">
        <f t="shared" si="220"/>
        <v>6</v>
      </c>
      <c r="C3341" s="64">
        <v>42551</v>
      </c>
      <c r="D3341" s="64" t="s">
        <v>898</v>
      </c>
      <c r="E3341" s="64">
        <v>42551</v>
      </c>
      <c r="F3341" s="72" t="s">
        <v>1471</v>
      </c>
      <c r="G3341" s="931"/>
      <c r="H3341" s="72" t="s">
        <v>1343</v>
      </c>
      <c r="I3341" s="408"/>
      <c r="J3341" s="408"/>
      <c r="K3341" s="399"/>
      <c r="L3341" s="408"/>
      <c r="M3341" s="65">
        <v>1133636</v>
      </c>
      <c r="N3341" s="309" t="s">
        <v>99</v>
      </c>
      <c r="O3341" s="66" t="s">
        <v>61</v>
      </c>
      <c r="P3341" s="82" t="str">
        <f>IF(AND('331-CT'!$E$7=TH!H3341,OR(N3341="331",O3341="331")),"x","")</f>
        <v/>
      </c>
      <c r="Q3341" s="82" t="str">
        <f>IF(AND(B3341='111'!$L$11,OR($N3341=$Q$7,$O3341=$Q$7)),"x","")</f>
        <v/>
      </c>
      <c r="R3341" s="82" t="str">
        <f>IF(AND($N3341=$Q$7,$B3341&lt;'111'!$L$11),"x","")</f>
        <v/>
      </c>
      <c r="S3341" s="82" t="str">
        <f>IF(AND($O3341=$Q$7,$B3341&lt;'111'!$L$11),"x","")</f>
        <v>x</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customHeight="1">
      <c r="A3342" s="323" t="str">
        <f>IF(B3342&lt;&gt;"",IF(AND(B3342='IN-TC'!$S$4,OR(TH!N3353="1111",TH!O3353="1111")),TH!D3353,""),"")</f>
        <v/>
      </c>
      <c r="B3342" s="63">
        <f t="shared" si="220"/>
        <v>6</v>
      </c>
      <c r="C3342" s="64">
        <v>42551</v>
      </c>
      <c r="D3342" s="64" t="s">
        <v>898</v>
      </c>
      <c r="E3342" s="64">
        <v>42551</v>
      </c>
      <c r="F3342" s="72" t="s">
        <v>1472</v>
      </c>
      <c r="G3342" s="931"/>
      <c r="H3342" s="72" t="s">
        <v>1343</v>
      </c>
      <c r="I3342" s="408"/>
      <c r="J3342" s="408"/>
      <c r="K3342" s="399"/>
      <c r="L3342" s="408"/>
      <c r="M3342" s="65">
        <v>113364</v>
      </c>
      <c r="N3342" s="309" t="s">
        <v>9</v>
      </c>
      <c r="O3342" s="66" t="s">
        <v>61</v>
      </c>
      <c r="P3342" s="82" t="str">
        <f>IF(AND('331-CT'!$E$7=TH!H3342,OR(N3342="331",O3342="331")),"x","")</f>
        <v/>
      </c>
      <c r="Q3342" s="82" t="str">
        <f>IF(AND(B3342='111'!$L$11,OR($N3342=$Q$7,$O3342=$Q$7)),"x","")</f>
        <v/>
      </c>
      <c r="R3342" s="82" t="str">
        <f>IF(AND($N3342=$Q$7,$B3342&lt;'111'!$L$11),"x","")</f>
        <v/>
      </c>
      <c r="S3342" s="82" t="str">
        <f>IF(AND($O3342=$Q$7,$B3342&lt;'111'!$L$11),"x","")</f>
        <v>x</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x</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customHeight="1">
      <c r="A3343" s="323" t="str">
        <f>IF(B3343&lt;&gt;"",IF(AND(B3343='IN-TC'!$S$4,OR(TH!N3354="1111",TH!O3354="1111")),TH!D3354,""),"")</f>
        <v/>
      </c>
      <c r="B3343" s="63">
        <f t="shared" si="220"/>
        <v>6</v>
      </c>
      <c r="C3343" s="64">
        <v>42551</v>
      </c>
      <c r="D3343" s="64" t="s">
        <v>899</v>
      </c>
      <c r="E3343" s="64">
        <v>42551</v>
      </c>
      <c r="F3343" s="72" t="s">
        <v>1686</v>
      </c>
      <c r="G3343" s="931" t="s">
        <v>1687</v>
      </c>
      <c r="H3343" s="72" t="s">
        <v>1688</v>
      </c>
      <c r="I3343" s="408"/>
      <c r="J3343" s="408"/>
      <c r="K3343" s="399"/>
      <c r="L3343" s="408"/>
      <c r="M3343" s="65">
        <v>1000000</v>
      </c>
      <c r="N3343" s="309" t="s">
        <v>99</v>
      </c>
      <c r="O3343" s="66" t="s">
        <v>61</v>
      </c>
      <c r="P3343" s="82" t="str">
        <f>IF(AND('331-CT'!$E$7=TH!H3343,OR(N3343="331",O3343="331")),"x","")</f>
        <v/>
      </c>
      <c r="Q3343" s="82" t="str">
        <f>IF(AND(B3343='111'!$L$11,OR($N3343=$Q$7,$O3343=$Q$7)),"x","")</f>
        <v/>
      </c>
      <c r="R3343" s="82" t="str">
        <f>IF(AND($N3343=$Q$7,$B3343&lt;'111'!$L$11),"x","")</f>
        <v/>
      </c>
      <c r="S3343" s="82" t="str">
        <f>IF(AND($O3343=$Q$7,$B3343&lt;'111'!$L$11),"x","")</f>
        <v>x</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customHeight="1">
      <c r="A3344" s="323" t="str">
        <f>IF(B3344&lt;&gt;"",IF(AND(B3344='IN-TC'!$S$4,OR(TH!N3355="1111",TH!O3355="1111")),TH!D3355,""),"")</f>
        <v/>
      </c>
      <c r="B3344" s="63">
        <f t="shared" si="220"/>
        <v>6</v>
      </c>
      <c r="C3344" s="90">
        <v>42551</v>
      </c>
      <c r="D3344" s="1087" t="s">
        <v>948</v>
      </c>
      <c r="E3344" s="1087">
        <v>42551</v>
      </c>
      <c r="F3344" s="92" t="s">
        <v>1604</v>
      </c>
      <c r="G3344" s="91"/>
      <c r="H3344" s="92" t="s">
        <v>832</v>
      </c>
      <c r="I3344" s="414"/>
      <c r="J3344" s="414"/>
      <c r="K3344" s="405"/>
      <c r="L3344" s="414"/>
      <c r="M3344" s="93">
        <v>117268365</v>
      </c>
      <c r="N3344" s="83" t="s">
        <v>580</v>
      </c>
      <c r="O3344" s="83" t="s">
        <v>61</v>
      </c>
      <c r="P3344" s="82" t="str">
        <f>IF(AND('331-CT'!$E$7=TH!H3344,OR(N3344="331",O3344="331")),"x","")</f>
        <v/>
      </c>
      <c r="Q3344" s="82" t="str">
        <f>IF(AND(B3344='111'!$L$11,OR($N3344=$Q$7,$O3344=$Q$7)),"x","")</f>
        <v/>
      </c>
      <c r="R3344" s="82" t="str">
        <f>IF(AND($N3344=$Q$7,$B3344&lt;'111'!$L$11),"x","")</f>
        <v/>
      </c>
      <c r="S3344" s="82" t="str">
        <f>IF(AND($O3344=$Q$7,$B3344&lt;'111'!$L$11),"x","")</f>
        <v>x</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1" ht="15.75" customHeight="1">
      <c r="A3345" s="323" t="str">
        <f>IF(B3345&lt;&gt;"",IF(AND(B3345='IN-TC'!$S$4,OR(TH!N3360="1111",TH!O3360="1111")),TH!D3360,""),"")</f>
        <v/>
      </c>
      <c r="B3345" s="63">
        <f t="shared" si="220"/>
        <v>6</v>
      </c>
      <c r="C3345" s="1092">
        <v>42551</v>
      </c>
      <c r="D3345" s="1092" t="s">
        <v>949</v>
      </c>
      <c r="E3345" s="1092">
        <v>42551</v>
      </c>
      <c r="F3345" s="72" t="s">
        <v>1087</v>
      </c>
      <c r="G3345" s="1094" t="s">
        <v>1544</v>
      </c>
      <c r="H3345" s="1093" t="s">
        <v>748</v>
      </c>
      <c r="I3345" s="1095"/>
      <c r="J3345" s="1095"/>
      <c r="K3345" s="1096"/>
      <c r="L3345" s="1095"/>
      <c r="M3345" s="1097">
        <v>1000000000</v>
      </c>
      <c r="N3345" s="66" t="s">
        <v>25</v>
      </c>
      <c r="O3345" s="66" t="s">
        <v>61</v>
      </c>
      <c r="P3345" s="82" t="str">
        <f>IF(AND('331-CT'!$E$7=TH!H3345,OR(N3345="331",O3345="331")),"x","")</f>
        <v/>
      </c>
      <c r="Q3345" s="82" t="str">
        <f>IF(AND(B3345='111'!$L$11,OR($N3345=$Q$7,$O3345=$Q$7)),"x","")</f>
        <v/>
      </c>
      <c r="R3345" s="82" t="str">
        <f>IF(AND($N3345=$Q$7,$B3345&lt;'111'!$L$11),"x","")</f>
        <v/>
      </c>
      <c r="S3345" s="82" t="str">
        <f>IF(AND($O3345=$Q$7,$B3345&lt;'111'!$L$11),"x","")</f>
        <v>x</v>
      </c>
      <c r="T3345" s="82" t="str">
        <f>IF(ISERROR(FIND('112'!$M$9,G3345,1)),"",IF((AND(FIND('112'!$M$9,G3345,1)&gt;=1,B3345='112'!$K$9,OR($N3345='112'!$I$6,$O3345='112'!$I$6))),"x",""))</f>
        <v/>
      </c>
      <c r="U3345" s="82" t="str">
        <f>IF(ISERROR(FIND('112'!$M$9,G3345,1)),"",IF((AND(LEFT(G3345,2)=LEFT('112'!$M$9,2),B3345&lt;'112'!$K$9,$N3345='112'!$I$6)),"x",""))</f>
        <v>x</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1" ht="15.75" customHeight="1">
      <c r="A3346" s="323" t="str">
        <f>IF(B3346&lt;&gt;"",IF(AND(B3346='IN-TC'!$S$4,OR(TH!N3356="1111",TH!O3356="1111")),TH!D3356,""),"")</f>
        <v/>
      </c>
      <c r="B3346" s="63">
        <f t="shared" si="220"/>
        <v>6</v>
      </c>
      <c r="C3346" s="64">
        <v>42551</v>
      </c>
      <c r="D3346" s="64" t="s">
        <v>570</v>
      </c>
      <c r="E3346" s="64">
        <v>42551</v>
      </c>
      <c r="F3346" s="72" t="s">
        <v>1958</v>
      </c>
      <c r="G3346" s="931"/>
      <c r="H3346" s="72"/>
      <c r="I3346" s="408"/>
      <c r="J3346" s="408"/>
      <c r="K3346" s="399"/>
      <c r="L3346" s="408"/>
      <c r="M3346" s="65">
        <v>4898300</v>
      </c>
      <c r="N3346" s="66" t="s">
        <v>9</v>
      </c>
      <c r="O3346" s="66" t="s">
        <v>1568</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x</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1" ht="15.75" customHeight="1">
      <c r="A3347" s="323" t="str">
        <f>IF(B3347&lt;&gt;"",IF(AND(B3347='IN-TC'!$S$4,OR(TH!N3357="1111",TH!O3357="1111")),TH!D3357,""),"")</f>
        <v/>
      </c>
      <c r="B3347" s="63">
        <f t="shared" si="220"/>
        <v>6</v>
      </c>
      <c r="C3347" s="64">
        <v>42551</v>
      </c>
      <c r="D3347" s="64" t="s">
        <v>687</v>
      </c>
      <c r="E3347" s="64">
        <f>C3347</f>
        <v>42551</v>
      </c>
      <c r="F3347" s="72" t="s">
        <v>1648</v>
      </c>
      <c r="G3347" s="67" t="s">
        <v>1856</v>
      </c>
      <c r="H3347" s="72"/>
      <c r="I3347" s="408"/>
      <c r="J3347" s="408"/>
      <c r="K3347" s="399">
        <v>8350</v>
      </c>
      <c r="L3347" s="408">
        <v>22280</v>
      </c>
      <c r="M3347" s="65">
        <f>ROUND(K3347*L3347,0)</f>
        <v>186038000</v>
      </c>
      <c r="N3347" s="66" t="s">
        <v>260</v>
      </c>
      <c r="O3347" s="66" t="s">
        <v>260</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1" ht="15.75" customHeight="1">
      <c r="A3348" s="323" t="str">
        <f>IF(B3348&lt;&gt;"",IF(AND(B3348='IN-TC'!$S$4,OR(TH!N3358="1111",TH!O3358="1111")),TH!D3358,""),"")</f>
        <v/>
      </c>
      <c r="B3348" s="63">
        <f t="shared" si="220"/>
        <v>6</v>
      </c>
      <c r="C3348" s="64">
        <v>42551</v>
      </c>
      <c r="D3348" s="64" t="s">
        <v>690</v>
      </c>
      <c r="E3348" s="64">
        <f>C3348</f>
        <v>42551</v>
      </c>
      <c r="F3348" s="72" t="s">
        <v>1179</v>
      </c>
      <c r="G3348" s="67" t="s">
        <v>902</v>
      </c>
      <c r="H3348" s="329"/>
      <c r="I3348" s="408"/>
      <c r="J3348" s="408"/>
      <c r="K3348" s="399"/>
      <c r="L3348" s="408"/>
      <c r="M3348" s="65">
        <v>67020</v>
      </c>
      <c r="N3348" s="66" t="s">
        <v>99</v>
      </c>
      <c r="O3348" s="66" t="s">
        <v>25</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1" ht="15.75" customHeight="1">
      <c r="A3349" s="323" t="str">
        <f>IF(B3349&lt;&gt;"",IF(AND(B3349='IN-TC'!$S$4,OR(TH!N3359="1111",TH!O3359="1111")),TH!D3359,""),"")</f>
        <v/>
      </c>
      <c r="B3349" s="63">
        <f t="shared" si="220"/>
        <v>6</v>
      </c>
      <c r="C3349" s="64">
        <v>42551</v>
      </c>
      <c r="D3349" s="64" t="s">
        <v>690</v>
      </c>
      <c r="E3349" s="64">
        <f>C3349</f>
        <v>42551</v>
      </c>
      <c r="F3349" s="72" t="s">
        <v>1180</v>
      </c>
      <c r="G3349" s="67" t="s">
        <v>902</v>
      </c>
      <c r="H3349" s="329"/>
      <c r="I3349" s="408"/>
      <c r="J3349" s="408"/>
      <c r="K3349" s="399"/>
      <c r="L3349" s="408"/>
      <c r="M3349" s="65">
        <v>6702</v>
      </c>
      <c r="N3349" s="66" t="s">
        <v>9</v>
      </c>
      <c r="O3349" s="66" t="s">
        <v>25</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x</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1" ht="15.75" customHeight="1">
      <c r="A3350" s="323" t="str">
        <f>IF(B3350&lt;&gt;"",IF(AND(B3350='IN-TC'!$S$4,OR(TH!N2140="1111",TH!O2140="1111")),TH!D2140,""),"")</f>
        <v/>
      </c>
      <c r="B3350" s="63">
        <f t="shared" si="220"/>
        <v>12</v>
      </c>
      <c r="C3350" s="78">
        <v>42715</v>
      </c>
      <c r="D3350" s="78" t="s">
        <v>570</v>
      </c>
      <c r="E3350" s="78">
        <v>42715</v>
      </c>
      <c r="F3350" s="80" t="s">
        <v>2281</v>
      </c>
      <c r="G3350" s="934" t="s">
        <v>2585</v>
      </c>
      <c r="H3350" s="80" t="s">
        <v>1198</v>
      </c>
      <c r="I3350" s="406"/>
      <c r="J3350" s="406"/>
      <c r="K3350" s="397"/>
      <c r="L3350" s="406"/>
      <c r="M3350" s="81">
        <v>26000000</v>
      </c>
      <c r="N3350" s="82" t="s">
        <v>9</v>
      </c>
      <c r="O3350" s="82" t="s">
        <v>8</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x</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c r="AE3350">
        <v>1</v>
      </c>
    </row>
    <row r="3351" spans="1:31" ht="15.75" customHeight="1">
      <c r="A3351" s="323" t="str">
        <f>IF(B3351&lt;&gt;"",IF(AND(B3351='IN-TC'!$S$4,OR(TH!N2856="1111",TH!O2856="1111")),TH!D2856,""),"")</f>
        <v/>
      </c>
      <c r="B3351" s="63">
        <f t="shared" si="220"/>
        <v>7</v>
      </c>
      <c r="C3351" s="64">
        <v>42552</v>
      </c>
      <c r="D3351" s="64" t="s">
        <v>851</v>
      </c>
      <c r="E3351" s="64">
        <f t="shared" ref="E3351:E3381" si="223">C3351</f>
        <v>42552</v>
      </c>
      <c r="F3351" s="72" t="s">
        <v>1087</v>
      </c>
      <c r="G3351" s="67" t="s">
        <v>1544</v>
      </c>
      <c r="H3351" s="72" t="s">
        <v>122</v>
      </c>
      <c r="I3351" s="408"/>
      <c r="J3351" s="408"/>
      <c r="K3351" s="399"/>
      <c r="L3351" s="408"/>
      <c r="M3351" s="65">
        <v>800000000</v>
      </c>
      <c r="N3351" s="66" t="s">
        <v>25</v>
      </c>
      <c r="O3351" s="66" t="s">
        <v>61</v>
      </c>
      <c r="P3351" s="82" t="str">
        <f>IF(AND('331-CT'!$E$7=TH!H3351,OR(N3351="331",O3351="331")),"x","")</f>
        <v/>
      </c>
      <c r="Q3351" s="82" t="str">
        <f>IF(AND(B3351='111'!$L$11,OR($N3351=$Q$7,$O3351=$Q$7)),"x","")</f>
        <v/>
      </c>
      <c r="R3351" s="82" t="str">
        <f>IF(AND($N3351=$Q$7,$B3351&lt;'111'!$L$11),"x","")</f>
        <v/>
      </c>
      <c r="S3351" s="82" t="str">
        <f>IF(AND($O3351=$Q$7,$B3351&lt;'111'!$L$11),"x","")</f>
        <v>x</v>
      </c>
      <c r="T3351" s="82" t="str">
        <f>IF(ISERROR(FIND('112'!$M$9,G3351,1)),"",IF((AND(FIND('112'!$M$9,G3351,1)&gt;=1,B3351='112'!$K$9,OR($N3351='112'!$I$6,$O3351='112'!$I$6))),"x",""))</f>
        <v/>
      </c>
      <c r="U3351" s="82" t="str">
        <f>IF(ISERROR(FIND('112'!$M$9,G3351,1)),"",IF((AND(LEFT(G3351,2)=LEFT('112'!$M$9,2),B3351&lt;'112'!$K$9,$N3351='112'!$I$6)),"x",""))</f>
        <v>x</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1" ht="15.75" customHeight="1">
      <c r="A3352" s="323" t="str">
        <f>IF(B3352&lt;&gt;"",IF(AND(B3352='IN-TC'!$S$4,OR(TH!N3364="1111",TH!O3364="1111")),TH!D3364,""),"")</f>
        <v/>
      </c>
      <c r="B3352" s="63">
        <f t="shared" si="220"/>
        <v>7</v>
      </c>
      <c r="C3352" s="64">
        <v>42552</v>
      </c>
      <c r="D3352" s="64" t="s">
        <v>687</v>
      </c>
      <c r="E3352" s="64">
        <f t="shared" si="223"/>
        <v>42552</v>
      </c>
      <c r="F3352" s="72" t="s">
        <v>1436</v>
      </c>
      <c r="G3352" s="67" t="s">
        <v>1544</v>
      </c>
      <c r="H3352" s="72" t="s">
        <v>1862</v>
      </c>
      <c r="I3352" s="408"/>
      <c r="J3352" s="408"/>
      <c r="K3352" s="399">
        <v>2761.29</v>
      </c>
      <c r="L3352" s="408">
        <v>22260</v>
      </c>
      <c r="M3352" s="65">
        <f>ROUND(K3352*L3352,0)</f>
        <v>61466315</v>
      </c>
      <c r="N3352" s="66" t="s">
        <v>260</v>
      </c>
      <c r="O3352" s="66" t="s">
        <v>576</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1" ht="15.75" customHeight="1">
      <c r="A3353" s="323" t="str">
        <f>IF(B3353&lt;&gt;"",IF(AND(B3353='IN-TC'!$S$4,OR(TH!N3365="1111",TH!O3365="1111")),TH!D3365,""),"")</f>
        <v/>
      </c>
      <c r="B3353" s="63">
        <f t="shared" si="220"/>
        <v>7</v>
      </c>
      <c r="C3353" s="64">
        <v>42552</v>
      </c>
      <c r="D3353" s="64" t="s">
        <v>690</v>
      </c>
      <c r="E3353" s="64">
        <f t="shared" si="223"/>
        <v>42552</v>
      </c>
      <c r="F3353" s="72" t="s">
        <v>1765</v>
      </c>
      <c r="G3353" s="67" t="s">
        <v>1544</v>
      </c>
      <c r="H3353" s="72" t="s">
        <v>1779</v>
      </c>
      <c r="I3353" s="408"/>
      <c r="J3353" s="408"/>
      <c r="K3353" s="399"/>
      <c r="L3353" s="408"/>
      <c r="M3353" s="65">
        <v>44700</v>
      </c>
      <c r="N3353" s="66" t="s">
        <v>99</v>
      </c>
      <c r="O3353" s="66" t="s">
        <v>25</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x</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1" ht="15.75" customHeight="1">
      <c r="A3354" s="323" t="str">
        <f>IF(B3354&lt;&gt;"",IF(AND(B3354='IN-TC'!$S$4,OR(TH!N3366="1111",TH!O3366="1111")),TH!D3366,""),"")</f>
        <v/>
      </c>
      <c r="B3354" s="63">
        <f t="shared" si="220"/>
        <v>7</v>
      </c>
      <c r="C3354" s="64">
        <v>42552</v>
      </c>
      <c r="D3354" s="64" t="s">
        <v>690</v>
      </c>
      <c r="E3354" s="64">
        <f t="shared" si="223"/>
        <v>42552</v>
      </c>
      <c r="F3354" s="72" t="s">
        <v>1967</v>
      </c>
      <c r="G3354" s="67" t="s">
        <v>1544</v>
      </c>
      <c r="H3354" s="72" t="s">
        <v>1780</v>
      </c>
      <c r="I3354" s="408"/>
      <c r="J3354" s="408"/>
      <c r="K3354" s="399"/>
      <c r="L3354" s="408"/>
      <c r="M3354" s="65">
        <v>4470</v>
      </c>
      <c r="N3354" s="66" t="s">
        <v>9</v>
      </c>
      <c r="O3354" s="66" t="s">
        <v>25</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x</v>
      </c>
      <c r="W3354" s="82" t="str">
        <f>IF(AND('341-CT'!$H$9=H3354,OR(LEFT(N3354,3)=$W$7,LEFT(O3354,3)=$W$7)),"x","")</f>
        <v/>
      </c>
      <c r="X3354" s="82" t="str">
        <f>IF(OR(TH!N3354=TH!$X$7,O3354=TH!$X$7),"x","")</f>
        <v>x</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1" ht="15.75" customHeight="1">
      <c r="A3355" s="323" t="str">
        <f>IF(B3355&lt;&gt;"",IF(AND(B3355='IN-TC'!$S$4,OR(TH!N3367="1111",TH!O3367="1111")),TH!D3367,""),"")</f>
        <v/>
      </c>
      <c r="B3355" s="63">
        <f t="shared" si="220"/>
        <v>7</v>
      </c>
      <c r="C3355" s="64">
        <v>42552</v>
      </c>
      <c r="D3355" s="64" t="s">
        <v>690</v>
      </c>
      <c r="E3355" s="64">
        <f t="shared" si="223"/>
        <v>42552</v>
      </c>
      <c r="F3355" s="72" t="s">
        <v>1425</v>
      </c>
      <c r="G3355" s="67" t="s">
        <v>1544</v>
      </c>
      <c r="H3355" s="72"/>
      <c r="I3355" s="408"/>
      <c r="J3355" s="408"/>
      <c r="K3355" s="399">
        <v>11000</v>
      </c>
      <c r="L3355" s="408">
        <v>22270</v>
      </c>
      <c r="M3355" s="65">
        <f>ROUND(K3355*L3355,0)</f>
        <v>244970000</v>
      </c>
      <c r="N3355" s="66" t="s">
        <v>25</v>
      </c>
      <c r="O3355" s="66" t="s">
        <v>260</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x</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1" ht="15.75" customHeight="1">
      <c r="A3356" s="323" t="str">
        <f>IF(B3356&lt;&gt;"",IF(AND(B3356='IN-TC'!$S$4,OR(TH!N3368="1111",TH!O3368="1111")),TH!D3368,""),"")</f>
        <v/>
      </c>
      <c r="B3356" s="63">
        <f t="shared" si="220"/>
        <v>7</v>
      </c>
      <c r="C3356" s="64">
        <v>42552</v>
      </c>
      <c r="D3356" s="64" t="s">
        <v>690</v>
      </c>
      <c r="E3356" s="64">
        <f t="shared" si="223"/>
        <v>42552</v>
      </c>
      <c r="F3356" s="72" t="s">
        <v>1866</v>
      </c>
      <c r="G3356" s="67" t="s">
        <v>1544</v>
      </c>
      <c r="H3356" s="922" t="s">
        <v>1860</v>
      </c>
      <c r="I3356" s="408"/>
      <c r="J3356" s="408"/>
      <c r="K3356" s="399">
        <v>89500</v>
      </c>
      <c r="L3356" s="408">
        <v>22308</v>
      </c>
      <c r="M3356" s="65">
        <f>ROUND(K3356*L3356,0)</f>
        <v>1996566000</v>
      </c>
      <c r="N3356" s="66" t="s">
        <v>254</v>
      </c>
      <c r="O3356" s="66" t="s">
        <v>25</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x</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1" ht="15.75" customHeight="1">
      <c r="A3357" s="323" t="str">
        <f>IF(B3357&lt;&gt;"",IF(AND(B3357='IN-TC'!$S$4,OR(TH!N3369="1111",TH!O3369="1111")),TH!D3369,""),"")</f>
        <v/>
      </c>
      <c r="B3357" s="63">
        <f t="shared" si="220"/>
        <v>7</v>
      </c>
      <c r="C3357" s="64">
        <v>42552</v>
      </c>
      <c r="D3357" s="64" t="s">
        <v>690</v>
      </c>
      <c r="E3357" s="64">
        <f t="shared" si="223"/>
        <v>42552</v>
      </c>
      <c r="F3357" s="72" t="s">
        <v>1865</v>
      </c>
      <c r="G3357" s="67" t="s">
        <v>1544</v>
      </c>
      <c r="H3357" s="922" t="s">
        <v>1860</v>
      </c>
      <c r="I3357" s="408"/>
      <c r="J3357" s="408"/>
      <c r="K3357" s="399"/>
      <c r="L3357" s="408"/>
      <c r="M3357" s="65">
        <v>6584231</v>
      </c>
      <c r="N3357" s="66" t="s">
        <v>97</v>
      </c>
      <c r="O3357" s="66" t="s">
        <v>25</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x</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1" ht="15.75" customHeight="1">
      <c r="A3358" s="323" t="str">
        <f>IF(B3358&lt;&gt;"",IF(AND(B3358='IN-TC'!$S$4,OR(TH!N3370="1111",TH!O3370="1111")),TH!D3370,""),"")</f>
        <v/>
      </c>
      <c r="B3358" s="63">
        <f t="shared" si="220"/>
        <v>7</v>
      </c>
      <c r="C3358" s="64">
        <v>42552</v>
      </c>
      <c r="D3358" s="64" t="s">
        <v>690</v>
      </c>
      <c r="E3358" s="64">
        <f t="shared" si="223"/>
        <v>42552</v>
      </c>
      <c r="F3358" s="72" t="s">
        <v>1857</v>
      </c>
      <c r="G3358" s="67" t="s">
        <v>1544</v>
      </c>
      <c r="H3358" s="922" t="s">
        <v>1860</v>
      </c>
      <c r="I3358" s="408"/>
      <c r="J3358" s="408"/>
      <c r="K3358" s="399"/>
      <c r="L3358" s="408"/>
      <c r="M3358" s="65">
        <v>597810</v>
      </c>
      <c r="N3358" s="66" t="s">
        <v>97</v>
      </c>
      <c r="O3358" s="66" t="s">
        <v>25</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x</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1" ht="15.75" customHeight="1">
      <c r="A3359" s="323" t="str">
        <f>IF(B3359&lt;&gt;"",IF(AND(B3359='IN-TC'!$S$4,OR(TH!N3371="1111",TH!O3371="1111")),TH!D3371,""),"")</f>
        <v/>
      </c>
      <c r="B3359" s="63">
        <f t="shared" si="220"/>
        <v>7</v>
      </c>
      <c r="C3359" s="64">
        <v>42552</v>
      </c>
      <c r="D3359" s="64" t="s">
        <v>690</v>
      </c>
      <c r="E3359" s="64">
        <f t="shared" si="223"/>
        <v>42552</v>
      </c>
      <c r="F3359" s="72" t="s">
        <v>1867</v>
      </c>
      <c r="G3359" s="67" t="s">
        <v>1544</v>
      </c>
      <c r="H3359" s="72" t="s">
        <v>1868</v>
      </c>
      <c r="I3359" s="408"/>
      <c r="J3359" s="408"/>
      <c r="K3359" s="399">
        <v>89500</v>
      </c>
      <c r="L3359" s="408">
        <v>22292</v>
      </c>
      <c r="M3359" s="65">
        <f>ROUND(K3359*L3359,0)</f>
        <v>1995134000</v>
      </c>
      <c r="N3359" s="66" t="s">
        <v>260</v>
      </c>
      <c r="O3359" s="66" t="s">
        <v>254</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1" ht="15.75" customHeight="1">
      <c r="A3360" s="323" t="str">
        <f>IF(B3360&lt;&gt;"",IF(AND(B3360='IN-TC'!$S$4,OR(TH!N3372="1111",TH!O3372="1111")),TH!D3372,""),"")</f>
        <v/>
      </c>
      <c r="B3360" s="63">
        <f t="shared" si="220"/>
        <v>7</v>
      </c>
      <c r="C3360" s="64">
        <v>42552</v>
      </c>
      <c r="D3360" s="64" t="s">
        <v>690</v>
      </c>
      <c r="E3360" s="64">
        <f t="shared" si="223"/>
        <v>42552</v>
      </c>
      <c r="F3360" s="72" t="s">
        <v>1425</v>
      </c>
      <c r="G3360" s="67" t="s">
        <v>1544</v>
      </c>
      <c r="H3360" s="72"/>
      <c r="I3360" s="408"/>
      <c r="J3360" s="408"/>
      <c r="K3360" s="399">
        <v>89500</v>
      </c>
      <c r="L3360" s="408">
        <v>22292</v>
      </c>
      <c r="M3360" s="65">
        <f>ROUND(K3360*L3360,0)</f>
        <v>1995134000</v>
      </c>
      <c r="N3360" s="66" t="s">
        <v>25</v>
      </c>
      <c r="O3360" s="66" t="s">
        <v>260</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x</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customHeight="1">
      <c r="A3361" s="323" t="str">
        <f>IF(B3361&lt;&gt;"",IF(AND(B3361='IN-TC'!$S$4,OR(TH!N3373="1111",TH!O3373="1111")),TH!D3373,""),"")</f>
        <v/>
      </c>
      <c r="B3361" s="63">
        <f t="shared" si="220"/>
        <v>7</v>
      </c>
      <c r="C3361" s="64">
        <v>42552</v>
      </c>
      <c r="D3361" s="64" t="s">
        <v>690</v>
      </c>
      <c r="E3361" s="64">
        <f t="shared" si="223"/>
        <v>42552</v>
      </c>
      <c r="F3361" s="72" t="s">
        <v>1530</v>
      </c>
      <c r="G3361" s="67" t="s">
        <v>1544</v>
      </c>
      <c r="H3361" s="72" t="s">
        <v>1780</v>
      </c>
      <c r="I3361" s="408"/>
      <c r="J3361" s="408"/>
      <c r="K3361" s="399"/>
      <c r="L3361" s="408"/>
      <c r="M3361" s="65">
        <v>10000</v>
      </c>
      <c r="N3361" s="66" t="s">
        <v>99</v>
      </c>
      <c r="O3361" s="66" t="s">
        <v>25</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x</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customHeight="1">
      <c r="A3362" s="323" t="str">
        <f>IF(B3362&lt;&gt;"",IF(AND(B3362='IN-TC'!$S$4,OR(TH!N3374="1111",TH!O3374="1111")),TH!D3374,""),"")</f>
        <v/>
      </c>
      <c r="B3362" s="63">
        <f t="shared" si="220"/>
        <v>7</v>
      </c>
      <c r="C3362" s="64">
        <v>42552</v>
      </c>
      <c r="D3362" s="64" t="s">
        <v>690</v>
      </c>
      <c r="E3362" s="64">
        <f t="shared" si="223"/>
        <v>42552</v>
      </c>
      <c r="F3362" s="72" t="s">
        <v>1531</v>
      </c>
      <c r="G3362" s="67" t="s">
        <v>1544</v>
      </c>
      <c r="H3362" s="72" t="s">
        <v>1780</v>
      </c>
      <c r="I3362" s="408"/>
      <c r="J3362" s="408"/>
      <c r="K3362" s="399"/>
      <c r="L3362" s="408"/>
      <c r="M3362" s="65">
        <v>1000</v>
      </c>
      <c r="N3362" s="66" t="s">
        <v>9</v>
      </c>
      <c r="O3362" s="66" t="s">
        <v>25</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x</v>
      </c>
      <c r="W3362" s="82" t="str">
        <f>IF(AND('341-CT'!$H$9=H3362,OR(LEFT(N3362,3)=$W$7,LEFT(O3362,3)=$W$7)),"x","")</f>
        <v/>
      </c>
      <c r="X3362" s="82" t="str">
        <f>IF(OR(TH!N3362=TH!$X$7,O3362=TH!$X$7),"x","")</f>
        <v>x</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customHeight="1">
      <c r="A3363" s="323" t="str">
        <f>IF(B3363&lt;&gt;"",IF(AND(B3363='IN-TC'!$S$4,OR(TH!N3375="1111",TH!O3375="1111")),TH!D3375,""),"")</f>
        <v/>
      </c>
      <c r="B3363" s="63">
        <f t="shared" si="220"/>
        <v>7</v>
      </c>
      <c r="C3363" s="64">
        <v>42552</v>
      </c>
      <c r="D3363" s="64" t="s">
        <v>690</v>
      </c>
      <c r="E3363" s="64">
        <f t="shared" si="223"/>
        <v>42552</v>
      </c>
      <c r="F3363" s="72" t="s">
        <v>1749</v>
      </c>
      <c r="G3363" s="67" t="s">
        <v>902</v>
      </c>
      <c r="H3363" s="72" t="s">
        <v>1779</v>
      </c>
      <c r="I3363" s="408"/>
      <c r="J3363" s="408"/>
      <c r="K3363" s="399"/>
      <c r="L3363" s="408"/>
      <c r="M3363" s="65">
        <v>100000</v>
      </c>
      <c r="N3363" s="66" t="s">
        <v>99</v>
      </c>
      <c r="O3363" s="66" t="s">
        <v>25</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customHeight="1">
      <c r="A3364" s="323" t="str">
        <f>IF(B3364&lt;&gt;"",IF(AND(B3364='IN-TC'!$S$4,OR(TH!N3376="1111",TH!O3376="1111")),TH!D3376,""),"")</f>
        <v/>
      </c>
      <c r="B3364" s="63">
        <f t="shared" si="220"/>
        <v>7</v>
      </c>
      <c r="C3364" s="64">
        <v>42552</v>
      </c>
      <c r="D3364" s="64" t="s">
        <v>690</v>
      </c>
      <c r="E3364" s="64">
        <f t="shared" si="223"/>
        <v>42552</v>
      </c>
      <c r="F3364" s="72" t="s">
        <v>1750</v>
      </c>
      <c r="G3364" s="67" t="s">
        <v>902</v>
      </c>
      <c r="H3364" s="72" t="s">
        <v>1779</v>
      </c>
      <c r="I3364" s="408"/>
      <c r="J3364" s="408"/>
      <c r="K3364" s="399"/>
      <c r="L3364" s="408"/>
      <c r="M3364" s="65">
        <v>10000</v>
      </c>
      <c r="N3364" s="66" t="s">
        <v>9</v>
      </c>
      <c r="O3364" s="66" t="s">
        <v>25</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x</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customHeight="1">
      <c r="A3365" s="323" t="str">
        <f>IF(B3365&lt;&gt;"",IF(AND(B3365='IN-TC'!$S$4,OR(TH!N3377="1111",TH!O3377="1111")),TH!D3377,""),"")</f>
        <v/>
      </c>
      <c r="B3365" s="63">
        <f t="shared" si="220"/>
        <v>7</v>
      </c>
      <c r="C3365" s="64">
        <v>42552</v>
      </c>
      <c r="D3365" s="78" t="s">
        <v>690</v>
      </c>
      <c r="E3365" s="64">
        <f t="shared" si="223"/>
        <v>42552</v>
      </c>
      <c r="F3365" s="72" t="s">
        <v>1878</v>
      </c>
      <c r="G3365" s="79" t="s">
        <v>901</v>
      </c>
      <c r="H3365" s="72" t="s">
        <v>1877</v>
      </c>
      <c r="I3365" s="408"/>
      <c r="J3365" s="408"/>
      <c r="K3365" s="399">
        <v>43000</v>
      </c>
      <c r="L3365" s="406">
        <v>22310</v>
      </c>
      <c r="M3365" s="81">
        <f>ROUND(K3365*L3365,0)</f>
        <v>959330000</v>
      </c>
      <c r="N3365" s="66" t="s">
        <v>25</v>
      </c>
      <c r="O3365" s="82" t="s">
        <v>254</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customHeight="1">
      <c r="A3366" s="323" t="str">
        <f>IF(B3366&lt;&gt;"",IF(AND(B3366='IN-TC'!$S$4,OR(TH!N3361="1111",TH!O3361="1111")),TH!D3361,""),"")</f>
        <v/>
      </c>
      <c r="B3366" s="63">
        <f t="shared" si="220"/>
        <v>7</v>
      </c>
      <c r="C3366" s="64">
        <v>42552</v>
      </c>
      <c r="D3366" s="64" t="s">
        <v>857</v>
      </c>
      <c r="E3366" s="64">
        <f t="shared" si="223"/>
        <v>42552</v>
      </c>
      <c r="F3366" s="72" t="s">
        <v>1126</v>
      </c>
      <c r="G3366" s="67" t="s">
        <v>901</v>
      </c>
      <c r="H3366" s="72" t="s">
        <v>748</v>
      </c>
      <c r="I3366" s="408"/>
      <c r="J3366" s="408"/>
      <c r="K3366" s="399"/>
      <c r="L3366" s="408"/>
      <c r="M3366" s="65">
        <v>960000000</v>
      </c>
      <c r="N3366" s="66" t="s">
        <v>61</v>
      </c>
      <c r="O3366" s="66" t="s">
        <v>25</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customHeight="1">
      <c r="A3367" s="323" t="str">
        <f>IF(B3367&lt;&gt;"",IF(AND(B3367='IN-TC'!$S$4,OR(TH!N3362="1111",TH!O3362="1111")),TH!D3362,""),"")</f>
        <v/>
      </c>
      <c r="B3367" s="63">
        <f t="shared" si="220"/>
        <v>7</v>
      </c>
      <c r="C3367" s="1092">
        <v>42552</v>
      </c>
      <c r="D3367" s="1092" t="s">
        <v>886</v>
      </c>
      <c r="E3367" s="1092">
        <f t="shared" si="223"/>
        <v>42552</v>
      </c>
      <c r="F3367" s="72" t="s">
        <v>1126</v>
      </c>
      <c r="G3367" s="1094" t="s">
        <v>1544</v>
      </c>
      <c r="H3367" s="1093" t="s">
        <v>748</v>
      </c>
      <c r="I3367" s="1095"/>
      <c r="J3367" s="1095"/>
      <c r="K3367" s="1096"/>
      <c r="L3367" s="1095"/>
      <c r="M3367" s="1097">
        <v>2000000000</v>
      </c>
      <c r="N3367" s="1098" t="s">
        <v>61</v>
      </c>
      <c r="O3367" s="66" t="s">
        <v>25</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x</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customHeight="1">
      <c r="A3368" s="323" t="str">
        <f>IF(B3368&lt;&gt;"",IF(AND(B3368='IN-TC'!$S$4,OR(TH!N2857="1111",TH!O2857="1111")),TH!D2857,""),"")</f>
        <v/>
      </c>
      <c r="B3368" s="63">
        <f t="shared" si="220"/>
        <v>7</v>
      </c>
      <c r="C3368" s="64">
        <v>42553</v>
      </c>
      <c r="D3368" s="64" t="s">
        <v>852</v>
      </c>
      <c r="E3368" s="64">
        <f t="shared" si="223"/>
        <v>42553</v>
      </c>
      <c r="F3368" s="72" t="s">
        <v>218</v>
      </c>
      <c r="G3368" s="931" t="s">
        <v>1689</v>
      </c>
      <c r="H3368" s="329" t="s">
        <v>606</v>
      </c>
      <c r="I3368" s="408">
        <v>450</v>
      </c>
      <c r="J3368" s="408">
        <f>M3368/I3368</f>
        <v>18404.04</v>
      </c>
      <c r="K3368" s="399"/>
      <c r="L3368" s="408"/>
      <c r="M3368" s="65">
        <v>8281818</v>
      </c>
      <c r="N3368" s="66" t="s">
        <v>276</v>
      </c>
      <c r="O3368" s="66" t="s">
        <v>61</v>
      </c>
      <c r="P3368" s="82" t="str">
        <f>IF(AND('331-CT'!$E$7=TH!H3368,OR(N3368="331",O3368="331")),"x","")</f>
        <v/>
      </c>
      <c r="Q3368" s="82" t="str">
        <f>IF(AND(B3368='111'!$L$11,OR($N3368=$Q$7,$O3368=$Q$7)),"x","")</f>
        <v/>
      </c>
      <c r="R3368" s="82" t="str">
        <f>IF(AND($N3368=$Q$7,$B3368&lt;'111'!$L$11),"x","")</f>
        <v/>
      </c>
      <c r="S3368" s="82" t="str">
        <f>IF(AND($O3368=$Q$7,$B3368&lt;'111'!$L$11),"x","")</f>
        <v>x</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customHeight="1">
      <c r="A3369" s="323" t="str">
        <f>IF(B3369&lt;&gt;"",IF(AND(B3369='IN-TC'!$S$4,OR(TH!N2858="1111",TH!O2858="1111")),TH!D2858,""),"")</f>
        <v/>
      </c>
      <c r="B3369" s="63">
        <f t="shared" si="220"/>
        <v>7</v>
      </c>
      <c r="C3369" s="64">
        <v>42553</v>
      </c>
      <c r="D3369" s="64" t="s">
        <v>852</v>
      </c>
      <c r="E3369" s="64">
        <f t="shared" si="223"/>
        <v>42553</v>
      </c>
      <c r="F3369" s="72" t="s">
        <v>1335</v>
      </c>
      <c r="G3369" s="931" t="s">
        <v>1689</v>
      </c>
      <c r="H3369" s="329" t="s">
        <v>606</v>
      </c>
      <c r="I3369" s="408"/>
      <c r="J3369" s="408"/>
      <c r="K3369" s="399"/>
      <c r="L3369" s="408"/>
      <c r="M3369" s="65">
        <v>828182</v>
      </c>
      <c r="N3369" s="66" t="s">
        <v>9</v>
      </c>
      <c r="O3369" s="66" t="s">
        <v>61</v>
      </c>
      <c r="P3369" s="82" t="str">
        <f>IF(AND('331-CT'!$E$7=TH!H3369,OR(N3369="331",O3369="331")),"x","")</f>
        <v/>
      </c>
      <c r="Q3369" s="82" t="str">
        <f>IF(AND(B3369='111'!$L$11,OR($N3369=$Q$7,$O3369=$Q$7)),"x","")</f>
        <v/>
      </c>
      <c r="R3369" s="82" t="str">
        <f>IF(AND($N3369=$Q$7,$B3369&lt;'111'!$L$11),"x","")</f>
        <v/>
      </c>
      <c r="S3369" s="82" t="str">
        <f>IF(AND($O3369=$Q$7,$B3369&lt;'111'!$L$11),"x","")</f>
        <v>x</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x</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customHeight="1">
      <c r="A3370" s="323" t="str">
        <f>IF(B3370&lt;&gt;"",IF(AND(B3370='IN-TC'!$S$4,OR(TH!N2859="1111",TH!O2859="1111")),TH!D2859,""),"")</f>
        <v/>
      </c>
      <c r="B3370" s="63">
        <f t="shared" si="220"/>
        <v>7</v>
      </c>
      <c r="C3370" s="64">
        <v>42553</v>
      </c>
      <c r="D3370" s="64" t="s">
        <v>853</v>
      </c>
      <c r="E3370" s="64">
        <f t="shared" si="223"/>
        <v>42553</v>
      </c>
      <c r="F3370" s="72" t="s">
        <v>1087</v>
      </c>
      <c r="G3370" s="67" t="s">
        <v>1544</v>
      </c>
      <c r="H3370" s="72" t="s">
        <v>748</v>
      </c>
      <c r="I3370" s="408"/>
      <c r="J3370" s="408"/>
      <c r="K3370" s="399"/>
      <c r="L3370" s="408"/>
      <c r="M3370" s="65">
        <v>1990000000</v>
      </c>
      <c r="N3370" s="66" t="s">
        <v>25</v>
      </c>
      <c r="O3370" s="66" t="s">
        <v>61</v>
      </c>
      <c r="P3370" s="82" t="str">
        <f>IF(AND('331-CT'!$E$7=TH!H3370,OR(N3370="331",O3370="331")),"x","")</f>
        <v/>
      </c>
      <c r="Q3370" s="82" t="str">
        <f>IF(AND(B3370='111'!$L$11,OR($N3370=$Q$7,$O3370=$Q$7)),"x","")</f>
        <v/>
      </c>
      <c r="R3370" s="82" t="str">
        <f>IF(AND($N3370=$Q$7,$B3370&lt;'111'!$L$11),"x","")</f>
        <v/>
      </c>
      <c r="S3370" s="82" t="str">
        <f>IF(AND($O3370=$Q$7,$B3370&lt;'111'!$L$11),"x","")</f>
        <v>x</v>
      </c>
      <c r="T3370" s="82" t="str">
        <f>IF(ISERROR(FIND('112'!$M$9,G3370,1)),"",IF((AND(FIND('112'!$M$9,G3370,1)&gt;=1,B3370='112'!$K$9,OR($N3370='112'!$I$6,$O3370='112'!$I$6))),"x",""))</f>
        <v/>
      </c>
      <c r="U3370" s="82" t="str">
        <f>IF(ISERROR(FIND('112'!$M$9,G3370,1)),"",IF((AND(LEFT(G3370,2)=LEFT('112'!$M$9,2),B3370&lt;'112'!$K$9,$N3370='112'!$I$6)),"x",""))</f>
        <v>x</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customHeight="1">
      <c r="A3371" s="323" t="str">
        <f>IF(B3371&lt;&gt;"",IF(AND(B3371='IN-TC'!$S$4,OR(TH!N3381="1111",TH!O3381="1111")),TH!D3381,""),"")</f>
        <v/>
      </c>
      <c r="B3371" s="63">
        <f t="shared" si="220"/>
        <v>7</v>
      </c>
      <c r="C3371" s="64">
        <v>42553</v>
      </c>
      <c r="D3371" s="64" t="s">
        <v>690</v>
      </c>
      <c r="E3371" s="64">
        <f t="shared" si="223"/>
        <v>42553</v>
      </c>
      <c r="F3371" s="72" t="s">
        <v>1866</v>
      </c>
      <c r="G3371" s="67" t="s">
        <v>1544</v>
      </c>
      <c r="H3371" s="922" t="s">
        <v>1860</v>
      </c>
      <c r="I3371" s="408"/>
      <c r="J3371" s="408"/>
      <c r="K3371" s="399">
        <v>89000</v>
      </c>
      <c r="L3371" s="408">
        <v>22308</v>
      </c>
      <c r="M3371" s="65">
        <f>ROUND(K3371*L3371,0)</f>
        <v>1985412000</v>
      </c>
      <c r="N3371" s="66" t="s">
        <v>254</v>
      </c>
      <c r="O3371" s="66" t="s">
        <v>25</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x</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customHeight="1">
      <c r="A3372" s="323" t="str">
        <f>IF(B3372&lt;&gt;"",IF(AND(B3372='IN-TC'!$S$4,OR(TH!N3382="1111",TH!O3382="1111")),TH!D3382,""),"")</f>
        <v/>
      </c>
      <c r="B3372" s="63">
        <f t="shared" si="220"/>
        <v>7</v>
      </c>
      <c r="C3372" s="64">
        <v>42553</v>
      </c>
      <c r="D3372" s="64" t="s">
        <v>690</v>
      </c>
      <c r="E3372" s="64">
        <f t="shared" si="223"/>
        <v>42553</v>
      </c>
      <c r="F3372" s="72" t="s">
        <v>1865</v>
      </c>
      <c r="G3372" s="67" t="s">
        <v>1544</v>
      </c>
      <c r="H3372" s="922" t="s">
        <v>1860</v>
      </c>
      <c r="I3372" s="408"/>
      <c r="J3372" s="408"/>
      <c r="K3372" s="399"/>
      <c r="L3372" s="408"/>
      <c r="M3372" s="65">
        <v>7522505</v>
      </c>
      <c r="N3372" s="66" t="s">
        <v>97</v>
      </c>
      <c r="O3372" s="66" t="s">
        <v>25</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x</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customHeight="1">
      <c r="A3373" s="323" t="str">
        <f>IF(B3373&lt;&gt;"",IF(AND(B3373='IN-TC'!$S$4,OR(TH!N2860="1111",TH!O2860="1111")),TH!D2860,""),"")</f>
        <v/>
      </c>
      <c r="B3373" s="63">
        <f t="shared" si="220"/>
        <v>7</v>
      </c>
      <c r="C3373" s="64">
        <v>42554</v>
      </c>
      <c r="D3373" s="64" t="s">
        <v>854</v>
      </c>
      <c r="E3373" s="64">
        <f t="shared" si="223"/>
        <v>42554</v>
      </c>
      <c r="F3373" s="72" t="s">
        <v>997</v>
      </c>
      <c r="G3373" s="931" t="s">
        <v>1695</v>
      </c>
      <c r="H3373" s="72" t="s">
        <v>792</v>
      </c>
      <c r="I3373" s="408"/>
      <c r="J3373" s="408"/>
      <c r="K3373" s="399"/>
      <c r="L3373" s="408"/>
      <c r="M3373" s="65">
        <v>1542446</v>
      </c>
      <c r="N3373" s="66" t="s">
        <v>99</v>
      </c>
      <c r="O3373" s="66" t="s">
        <v>61</v>
      </c>
      <c r="P3373" s="82" t="str">
        <f>IF(AND('331-CT'!$E$7=TH!H3373,OR(N3373="331",O3373="331")),"x","")</f>
        <v/>
      </c>
      <c r="Q3373" s="82" t="str">
        <f>IF(AND(B3373='111'!$L$11,OR($N3373=$Q$7,$O3373=$Q$7)),"x","")</f>
        <v/>
      </c>
      <c r="R3373" s="82" t="str">
        <f>IF(AND($N3373=$Q$7,$B3373&lt;'111'!$L$11),"x","")</f>
        <v/>
      </c>
      <c r="S3373" s="82" t="str">
        <f>IF(AND($O3373=$Q$7,$B3373&lt;'111'!$L$11),"x","")</f>
        <v>x</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customHeight="1">
      <c r="A3374" s="323" t="str">
        <f>IF(B3374&lt;&gt;"",IF(AND(B3374='IN-TC'!$S$4,OR(TH!N2861="1111",TH!O2861="1111")),TH!D2861,""),"")</f>
        <v/>
      </c>
      <c r="B3374" s="63">
        <f t="shared" ref="B3374:B3437" si="224">IF(C3374&lt;&gt;"",MONTH(C3374),"")</f>
        <v>7</v>
      </c>
      <c r="C3374" s="64">
        <v>42554</v>
      </c>
      <c r="D3374" s="64" t="s">
        <v>854</v>
      </c>
      <c r="E3374" s="64">
        <f t="shared" si="223"/>
        <v>42554</v>
      </c>
      <c r="F3374" s="72" t="s">
        <v>998</v>
      </c>
      <c r="G3374" s="931" t="s">
        <v>1695</v>
      </c>
      <c r="H3374" s="72" t="s">
        <v>792</v>
      </c>
      <c r="I3374" s="408"/>
      <c r="J3374" s="408"/>
      <c r="K3374" s="399"/>
      <c r="L3374" s="408"/>
      <c r="M3374" s="65">
        <v>154244</v>
      </c>
      <c r="N3374" s="66" t="s">
        <v>9</v>
      </c>
      <c r="O3374" s="66" t="s">
        <v>61</v>
      </c>
      <c r="P3374" s="82" t="str">
        <f>IF(AND('331-CT'!$E$7=TH!H3374,OR(N3374="331",O3374="331")),"x","")</f>
        <v/>
      </c>
      <c r="Q3374" s="82" t="str">
        <f>IF(AND(B3374='111'!$L$11,OR($N3374=$Q$7,$O3374=$Q$7)),"x","")</f>
        <v/>
      </c>
      <c r="R3374" s="82" t="str">
        <f>IF(AND($N3374=$Q$7,$B3374&lt;'111'!$L$11),"x","")</f>
        <v/>
      </c>
      <c r="S3374" s="82" t="str">
        <f>IF(AND($O3374=$Q$7,$B3374&lt;'111'!$L$11),"x","")</f>
        <v>x</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x</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customHeight="1">
      <c r="A3375" s="323" t="str">
        <f>IF(B3375&lt;&gt;"",IF(AND(B3375='IN-TC'!$S$4,OR(TH!N3363="1111",TH!O3363="1111")),TH!D3363,""),"")</f>
        <v/>
      </c>
      <c r="B3375" s="63">
        <f t="shared" si="224"/>
        <v>7</v>
      </c>
      <c r="C3375" s="1092">
        <v>42555</v>
      </c>
      <c r="D3375" s="1092" t="s">
        <v>855</v>
      </c>
      <c r="E3375" s="1092">
        <f t="shared" si="223"/>
        <v>42555</v>
      </c>
      <c r="F3375" s="482" t="s">
        <v>947</v>
      </c>
      <c r="G3375" s="1094"/>
      <c r="H3375" s="1093" t="s">
        <v>946</v>
      </c>
      <c r="I3375" s="1095"/>
      <c r="J3375" s="1095"/>
      <c r="K3375" s="1096"/>
      <c r="L3375" s="1095"/>
      <c r="M3375" s="1097">
        <v>500000000</v>
      </c>
      <c r="N3375" s="1098" t="s">
        <v>266</v>
      </c>
      <c r="O3375" s="1098" t="s">
        <v>61</v>
      </c>
      <c r="P3375" s="82" t="str">
        <f>IF(AND('331-CT'!$E$7=TH!H3375,OR(N3375="331",O3375="331")),"x","")</f>
        <v/>
      </c>
      <c r="Q3375" s="82" t="str">
        <f>IF(AND(B3375='111'!$L$11,OR($N3375=$Q$7,$O3375=$Q$7)),"x","")</f>
        <v/>
      </c>
      <c r="R3375" s="82" t="str">
        <f>IF(AND($N3375=$Q$7,$B3375&lt;'111'!$L$11),"x","")</f>
        <v/>
      </c>
      <c r="S3375" s="82" t="str">
        <f>IF(AND($O3375=$Q$7,$B3375&lt;'111'!$L$11),"x","")</f>
        <v>x</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customHeight="1">
      <c r="A3376" s="323" t="str">
        <f>IF(B3376&lt;&gt;"",IF(AND(B3376='IN-TC'!$S$4,OR(TH!N3378="1111",TH!O3378="1111")),TH!D3378,""),"")</f>
        <v/>
      </c>
      <c r="B3376" s="63">
        <f t="shared" si="224"/>
        <v>7</v>
      </c>
      <c r="C3376" s="1092">
        <v>42555</v>
      </c>
      <c r="D3376" s="1092" t="s">
        <v>856</v>
      </c>
      <c r="E3376" s="1092">
        <f t="shared" si="223"/>
        <v>42555</v>
      </c>
      <c r="F3376" s="482" t="s">
        <v>947</v>
      </c>
      <c r="G3376" s="1094"/>
      <c r="H3376" s="1093" t="s">
        <v>3001</v>
      </c>
      <c r="I3376" s="1095"/>
      <c r="J3376" s="1095"/>
      <c r="K3376" s="1096"/>
      <c r="L3376" s="1095"/>
      <c r="M3376" s="1097">
        <v>500000000</v>
      </c>
      <c r="N3376" s="1098" t="s">
        <v>266</v>
      </c>
      <c r="O3376" s="1098" t="s">
        <v>61</v>
      </c>
      <c r="P3376" s="82" t="str">
        <f>IF(AND('331-CT'!$E$7=TH!H3376,OR(N3376="331",O3376="331")),"x","")</f>
        <v/>
      </c>
      <c r="Q3376" s="82" t="str">
        <f>IF(AND(B3376='111'!$L$11,OR($N3376=$Q$7,$O3376=$Q$7)),"x","")</f>
        <v/>
      </c>
      <c r="R3376" s="82" t="str">
        <f>IF(AND($N3376=$Q$7,$B3376&lt;'111'!$L$11),"x","")</f>
        <v/>
      </c>
      <c r="S3376" s="82" t="str">
        <f>IF(AND($O3376=$Q$7,$B3376&lt;'111'!$L$11),"x","")</f>
        <v>x</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1" ht="15.75" customHeight="1">
      <c r="A3377" s="323" t="str">
        <f>IF(B3377&lt;&gt;"",IF(AND(B3377='IN-TC'!$S$4,OR(TH!N4549="1111",TH!O4549="1111")),TH!D4549,""),"")</f>
        <v/>
      </c>
      <c r="B3377" s="63">
        <f t="shared" si="224"/>
        <v>12</v>
      </c>
      <c r="C3377" s="64">
        <v>42724</v>
      </c>
      <c r="D3377" s="64" t="s">
        <v>687</v>
      </c>
      <c r="E3377" s="64">
        <f t="shared" si="223"/>
        <v>42724</v>
      </c>
      <c r="F3377" s="72" t="s">
        <v>1436</v>
      </c>
      <c r="G3377" s="67" t="s">
        <v>902</v>
      </c>
      <c r="H3377" s="72" t="s">
        <v>1751</v>
      </c>
      <c r="I3377" s="408"/>
      <c r="J3377" s="408"/>
      <c r="K3377" s="399"/>
      <c r="L3377" s="408"/>
      <c r="M3377" s="65">
        <v>190000000</v>
      </c>
      <c r="N3377" s="66" t="s">
        <v>25</v>
      </c>
      <c r="O3377" s="66" t="s">
        <v>576</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1" ht="15.75" customHeight="1">
      <c r="A3378" s="323" t="str">
        <f>IF(B3378&lt;&gt;"",IF(AND(B3378='IN-TC'!$S$4,OR(TH!N3379="1111",TH!O3379="1111")),TH!D3379,""),"")</f>
        <v/>
      </c>
      <c r="B3378" s="63">
        <f t="shared" si="224"/>
        <v>7</v>
      </c>
      <c r="C3378" s="64">
        <v>42556</v>
      </c>
      <c r="D3378" s="64" t="s">
        <v>858</v>
      </c>
      <c r="E3378" s="64">
        <f t="shared" si="223"/>
        <v>42556</v>
      </c>
      <c r="F3378" s="72" t="s">
        <v>1694</v>
      </c>
      <c r="G3378" s="931" t="s">
        <v>1696</v>
      </c>
      <c r="H3378" s="72" t="s">
        <v>1418</v>
      </c>
      <c r="I3378" s="408"/>
      <c r="J3378" s="408"/>
      <c r="K3378" s="399"/>
      <c r="L3378" s="408"/>
      <c r="M3378" s="65">
        <v>15792000</v>
      </c>
      <c r="N3378" s="66" t="s">
        <v>99</v>
      </c>
      <c r="O3378" s="66" t="s">
        <v>61</v>
      </c>
      <c r="P3378" s="82" t="str">
        <f>IF(AND('331-CT'!$E$7=TH!H3378,OR(N3378="331",O3378="331")),"x","")</f>
        <v/>
      </c>
      <c r="Q3378" s="82" t="str">
        <f>IF(AND(B3378='111'!$L$11,OR($N3378=$Q$7,$O3378=$Q$7)),"x","")</f>
        <v/>
      </c>
      <c r="R3378" s="82" t="str">
        <f>IF(AND($N3378=$Q$7,$B3378&lt;'111'!$L$11),"x","")</f>
        <v/>
      </c>
      <c r="S3378" s="82" t="str">
        <f>IF(AND($O3378=$Q$7,$B3378&lt;'111'!$L$11),"x","")</f>
        <v>x</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1" ht="15" customHeight="1">
      <c r="A3379" s="323" t="str">
        <f>IF(B3379&lt;&gt;"",IF(AND(B3379='IN-TC'!$S$4,OR(TH!N3380="1111",TH!O3380="1111")),TH!D3380,""),"")</f>
        <v/>
      </c>
      <c r="B3379" s="63">
        <f t="shared" si="224"/>
        <v>7</v>
      </c>
      <c r="C3379" s="64">
        <v>42556</v>
      </c>
      <c r="D3379" s="64" t="s">
        <v>858</v>
      </c>
      <c r="E3379" s="64">
        <f t="shared" si="223"/>
        <v>42556</v>
      </c>
      <c r="F3379" s="72" t="s">
        <v>1697</v>
      </c>
      <c r="G3379" s="931" t="s">
        <v>1696</v>
      </c>
      <c r="H3379" s="72" t="s">
        <v>1418</v>
      </c>
      <c r="I3379" s="408"/>
      <c r="J3379" s="408"/>
      <c r="K3379" s="399"/>
      <c r="L3379" s="408"/>
      <c r="M3379" s="65">
        <v>1579200</v>
      </c>
      <c r="N3379" s="66" t="s">
        <v>9</v>
      </c>
      <c r="O3379" s="66" t="s">
        <v>61</v>
      </c>
      <c r="P3379" s="82" t="str">
        <f>IF(AND('331-CT'!$E$7=TH!H3379,OR(N3379="331",O3379="331")),"x","")</f>
        <v/>
      </c>
      <c r="Q3379" s="82" t="str">
        <f>IF(AND(B3379='111'!$L$11,OR($N3379=$Q$7,$O3379=$Q$7)),"x","")</f>
        <v/>
      </c>
      <c r="R3379" s="82" t="str">
        <f>IF(AND($N3379=$Q$7,$B3379&lt;'111'!$L$11),"x","")</f>
        <v/>
      </c>
      <c r="S3379" s="82" t="str">
        <f>IF(AND($O3379=$Q$7,$B3379&lt;'111'!$L$11),"x","")</f>
        <v>x</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x</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1" ht="15.75" customHeight="1">
      <c r="A3380" s="323" t="str">
        <f>IF(B3380&lt;&gt;"",IF(AND(B3380='IN-TC'!$S$4,OR(TH!N3388="1111",TH!O3388="1111")),TH!D3388,""),"")</f>
        <v/>
      </c>
      <c r="B3380" s="63">
        <f t="shared" si="224"/>
        <v>7</v>
      </c>
      <c r="C3380" s="64">
        <v>42556</v>
      </c>
      <c r="D3380" s="64" t="s">
        <v>690</v>
      </c>
      <c r="E3380" s="64">
        <f t="shared" si="223"/>
        <v>42556</v>
      </c>
      <c r="F3380" s="72" t="s">
        <v>1869</v>
      </c>
      <c r="G3380" s="67" t="s">
        <v>1544</v>
      </c>
      <c r="H3380" s="72" t="s">
        <v>1870</v>
      </c>
      <c r="I3380" s="408"/>
      <c r="J3380" s="408"/>
      <c r="K3380" s="399">
        <v>89000</v>
      </c>
      <c r="L3380" s="408">
        <v>22292</v>
      </c>
      <c r="M3380" s="65">
        <f>ROUND(K3380*L3380,0)</f>
        <v>1983988000</v>
      </c>
      <c r="N3380" s="66" t="s">
        <v>260</v>
      </c>
      <c r="O3380" s="66" t="s">
        <v>254</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1" ht="15.75" customHeight="1">
      <c r="A3381" s="323" t="str">
        <f>IF(B3381&lt;&gt;"",IF(AND(B3381='IN-TC'!$S$4,OR(TH!N3389="1111",TH!O3389="1111")),TH!D3389,""),"")</f>
        <v/>
      </c>
      <c r="B3381" s="63">
        <f t="shared" si="224"/>
        <v>7</v>
      </c>
      <c r="C3381" s="64">
        <v>42556</v>
      </c>
      <c r="D3381" s="64" t="s">
        <v>690</v>
      </c>
      <c r="E3381" s="64">
        <f t="shared" si="223"/>
        <v>42556</v>
      </c>
      <c r="F3381" s="72" t="s">
        <v>1425</v>
      </c>
      <c r="G3381" s="67" t="s">
        <v>1544</v>
      </c>
      <c r="H3381" s="72"/>
      <c r="I3381" s="408"/>
      <c r="J3381" s="408"/>
      <c r="K3381" s="399">
        <v>89000</v>
      </c>
      <c r="L3381" s="408">
        <v>22292</v>
      </c>
      <c r="M3381" s="65">
        <f>ROUND(K3381*L3381,0)</f>
        <v>1983988000</v>
      </c>
      <c r="N3381" s="66" t="s">
        <v>25</v>
      </c>
      <c r="O3381" s="66" t="s">
        <v>260</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x</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1" ht="15.75" customHeight="1">
      <c r="A3382" s="323" t="str">
        <f>IF(B3382&lt;&gt;"",IF(AND(B3382='IN-TC'!$S$4,OR(TH!N2109="1111",TH!O2109="1111")),TH!D2109,""),"")</f>
        <v/>
      </c>
      <c r="B3382" s="63">
        <f t="shared" si="224"/>
        <v>11</v>
      </c>
      <c r="C3382" s="78">
        <v>42681</v>
      </c>
      <c r="D3382" s="78" t="s">
        <v>570</v>
      </c>
      <c r="E3382" s="78">
        <v>42681</v>
      </c>
      <c r="F3382" s="80" t="s">
        <v>2347</v>
      </c>
      <c r="G3382" s="934" t="s">
        <v>2520</v>
      </c>
      <c r="H3382" s="80" t="s">
        <v>617</v>
      </c>
      <c r="I3382" s="406"/>
      <c r="J3382" s="406"/>
      <c r="K3382" s="397"/>
      <c r="L3382" s="406"/>
      <c r="M3382" s="81">
        <v>28393700</v>
      </c>
      <c r="N3382" s="82" t="s">
        <v>276</v>
      </c>
      <c r="O3382" s="82" t="s">
        <v>8</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c r="AE3382">
        <v>1</v>
      </c>
    </row>
    <row r="3383" spans="1:31" ht="15.75" customHeight="1">
      <c r="A3383" s="323" t="str">
        <f>IF(B3383&lt;&gt;"",IF(AND(B3383='IN-TC'!$S$4,OR(TH!N3392="1111",TH!O3392="1111")),TH!D3392,""),"")</f>
        <v/>
      </c>
      <c r="B3383" s="63">
        <f t="shared" si="224"/>
        <v>7</v>
      </c>
      <c r="C3383" s="64">
        <v>42556</v>
      </c>
      <c r="D3383" s="64" t="s">
        <v>690</v>
      </c>
      <c r="E3383" s="64">
        <f t="shared" ref="E3383:E3392" si="225">C3383</f>
        <v>42556</v>
      </c>
      <c r="F3383" s="72" t="s">
        <v>1156</v>
      </c>
      <c r="G3383" s="67" t="s">
        <v>902</v>
      </c>
      <c r="H3383" s="72" t="s">
        <v>1779</v>
      </c>
      <c r="I3383" s="408"/>
      <c r="J3383" s="408"/>
      <c r="K3383" s="399"/>
      <c r="L3383" s="408"/>
      <c r="M3383" s="65">
        <v>28509</v>
      </c>
      <c r="N3383" s="66" t="s">
        <v>99</v>
      </c>
      <c r="O3383" s="66" t="s">
        <v>25</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1" ht="15.75" customHeight="1">
      <c r="A3384" s="323" t="str">
        <f>IF(B3384&lt;&gt;"",IF(AND(B3384='IN-TC'!$S$4,OR(TH!N3393="1111",TH!O3393="1111")),TH!D3393,""),"")</f>
        <v/>
      </c>
      <c r="B3384" s="63">
        <f t="shared" si="224"/>
        <v>7</v>
      </c>
      <c r="C3384" s="64">
        <v>42556</v>
      </c>
      <c r="D3384" s="64" t="s">
        <v>690</v>
      </c>
      <c r="E3384" s="64">
        <f t="shared" si="225"/>
        <v>42556</v>
      </c>
      <c r="F3384" s="72" t="s">
        <v>1616</v>
      </c>
      <c r="G3384" s="67" t="s">
        <v>902</v>
      </c>
      <c r="H3384" s="72" t="s">
        <v>1779</v>
      </c>
      <c r="I3384" s="408"/>
      <c r="J3384" s="408"/>
      <c r="K3384" s="399"/>
      <c r="L3384" s="408"/>
      <c r="M3384" s="65">
        <v>2851</v>
      </c>
      <c r="N3384" s="66" t="s">
        <v>9</v>
      </c>
      <c r="O3384" s="66" t="s">
        <v>25</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x</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1" ht="15.75" customHeight="1">
      <c r="A3385" s="323" t="str">
        <f>IF(B3385&lt;&gt;"",IF(AND(B3385='IN-TC'!$S$4,OR(TH!N3394="1111",TH!O3394="1111")),TH!D3394,""),"")</f>
        <v/>
      </c>
      <c r="B3385" s="63">
        <f t="shared" si="224"/>
        <v>7</v>
      </c>
      <c r="C3385" s="64">
        <v>42556</v>
      </c>
      <c r="D3385" s="64" t="s">
        <v>690</v>
      </c>
      <c r="E3385" s="64">
        <f t="shared" si="225"/>
        <v>42556</v>
      </c>
      <c r="F3385" s="72" t="s">
        <v>1623</v>
      </c>
      <c r="G3385" s="67" t="s">
        <v>902</v>
      </c>
      <c r="H3385" s="72" t="s">
        <v>616</v>
      </c>
      <c r="I3385" s="408"/>
      <c r="J3385" s="408"/>
      <c r="K3385" s="399"/>
      <c r="L3385" s="408"/>
      <c r="M3385" s="65">
        <v>32574576</v>
      </c>
      <c r="N3385" s="66" t="s">
        <v>8</v>
      </c>
      <c r="O3385" s="66" t="s">
        <v>25</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1" ht="15.75" customHeight="1">
      <c r="A3386" s="323" t="str">
        <f>IF(B3386&lt;&gt;"",IF(AND(B3386='IN-TC'!$S$4,OR(TH!N3395="1111",TH!O3395="1111")),TH!D3395,""),"")</f>
        <v/>
      </c>
      <c r="B3386" s="63">
        <f t="shared" si="224"/>
        <v>7</v>
      </c>
      <c r="C3386" s="64">
        <v>42556</v>
      </c>
      <c r="D3386" s="64" t="s">
        <v>690</v>
      </c>
      <c r="E3386" s="64">
        <f t="shared" si="225"/>
        <v>42556</v>
      </c>
      <c r="F3386" s="72" t="s">
        <v>1156</v>
      </c>
      <c r="G3386" s="67" t="s">
        <v>902</v>
      </c>
      <c r="H3386" s="72" t="s">
        <v>1779</v>
      </c>
      <c r="I3386" s="408"/>
      <c r="J3386" s="408"/>
      <c r="K3386" s="399"/>
      <c r="L3386" s="408"/>
      <c r="M3386" s="65">
        <v>25000</v>
      </c>
      <c r="N3386" s="66" t="s">
        <v>99</v>
      </c>
      <c r="O3386" s="66" t="s">
        <v>25</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1" ht="15.75" customHeight="1">
      <c r="A3387" s="323" t="str">
        <f>IF(B3387&lt;&gt;"",IF(AND(B3387='IN-TC'!$S$4,OR(TH!N3396="1111",TH!O3396="1111")),TH!D3396,""),"")</f>
        <v/>
      </c>
      <c r="B3387" s="63">
        <f t="shared" si="224"/>
        <v>7</v>
      </c>
      <c r="C3387" s="64">
        <v>42556</v>
      </c>
      <c r="D3387" s="64" t="s">
        <v>690</v>
      </c>
      <c r="E3387" s="64">
        <f t="shared" si="225"/>
        <v>42556</v>
      </c>
      <c r="F3387" s="72" t="s">
        <v>1616</v>
      </c>
      <c r="G3387" s="67" t="s">
        <v>902</v>
      </c>
      <c r="H3387" s="72" t="s">
        <v>1779</v>
      </c>
      <c r="I3387" s="408"/>
      <c r="J3387" s="408"/>
      <c r="K3387" s="399"/>
      <c r="L3387" s="408"/>
      <c r="M3387" s="65">
        <v>2500</v>
      </c>
      <c r="N3387" s="66" t="s">
        <v>9</v>
      </c>
      <c r="O3387" s="66" t="s">
        <v>25</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x</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1" ht="15.75" customHeight="1">
      <c r="A3388" s="323" t="str">
        <f>IF(B3388&lt;&gt;"",IF(AND(B3388='IN-TC'!$S$4,OR(TH!N3397="1111",TH!O3397="1111")),TH!D3397,""),"")</f>
        <v/>
      </c>
      <c r="B3388" s="63">
        <f t="shared" si="224"/>
        <v>7</v>
      </c>
      <c r="C3388" s="64">
        <v>42556</v>
      </c>
      <c r="D3388" s="64" t="s">
        <v>690</v>
      </c>
      <c r="E3388" s="64">
        <f t="shared" si="225"/>
        <v>42556</v>
      </c>
      <c r="F3388" s="72" t="s">
        <v>1193</v>
      </c>
      <c r="G3388" s="67" t="s">
        <v>902</v>
      </c>
      <c r="H3388" s="72" t="s">
        <v>1753</v>
      </c>
      <c r="I3388" s="408"/>
      <c r="J3388" s="408"/>
      <c r="K3388" s="399"/>
      <c r="L3388" s="408"/>
      <c r="M3388" s="65">
        <v>71292395</v>
      </c>
      <c r="N3388" s="66" t="s">
        <v>581</v>
      </c>
      <c r="O3388" s="66" t="s">
        <v>25</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1" ht="15.75" customHeight="1">
      <c r="A3389" s="323" t="str">
        <f>IF(B3389&lt;&gt;"",IF(AND(B3389='IN-TC'!$S$4,OR(TH!N3398="1111",TH!O3398="1111")),TH!D3398,""),"")</f>
        <v/>
      </c>
      <c r="B3389" s="63">
        <f t="shared" si="224"/>
        <v>7</v>
      </c>
      <c r="C3389" s="64">
        <v>42556</v>
      </c>
      <c r="D3389" s="64" t="s">
        <v>690</v>
      </c>
      <c r="E3389" s="64">
        <f t="shared" si="225"/>
        <v>42556</v>
      </c>
      <c r="F3389" s="72" t="s">
        <v>1194</v>
      </c>
      <c r="G3389" s="67" t="s">
        <v>902</v>
      </c>
      <c r="H3389" s="72" t="s">
        <v>1753</v>
      </c>
      <c r="I3389" s="408"/>
      <c r="J3389" s="408"/>
      <c r="K3389" s="399"/>
      <c r="L3389" s="408"/>
      <c r="M3389" s="65">
        <v>6166125</v>
      </c>
      <c r="N3389" s="66" t="s">
        <v>582</v>
      </c>
      <c r="O3389" s="66" t="s">
        <v>25</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1" ht="15.75" customHeight="1">
      <c r="A3390" s="323" t="str">
        <f>IF(B3390&lt;&gt;"",IF(AND(B3390='IN-TC'!$S$4,OR(TH!N3399="1111",TH!O3399="1111")),TH!D3399,""),"")</f>
        <v/>
      </c>
      <c r="B3390" s="63">
        <f t="shared" si="224"/>
        <v>7</v>
      </c>
      <c r="C3390" s="64">
        <v>42556</v>
      </c>
      <c r="D3390" s="64" t="s">
        <v>690</v>
      </c>
      <c r="E3390" s="64">
        <f t="shared" si="225"/>
        <v>42556</v>
      </c>
      <c r="F3390" s="72" t="s">
        <v>1195</v>
      </c>
      <c r="G3390" s="67" t="s">
        <v>902</v>
      </c>
      <c r="H3390" s="72" t="s">
        <v>1753</v>
      </c>
      <c r="I3390" s="408"/>
      <c r="J3390" s="408"/>
      <c r="K3390" s="399"/>
      <c r="L3390" s="408"/>
      <c r="M3390" s="65">
        <v>2541480</v>
      </c>
      <c r="N3390" s="66" t="s">
        <v>583</v>
      </c>
      <c r="O3390" s="66" t="s">
        <v>25</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1" ht="15.75" customHeight="1">
      <c r="A3391" s="323" t="str">
        <f>IF(B3391&lt;&gt;"",IF(AND(B3391='IN-TC'!$S$4,OR(TH!N3400="1111",TH!O3400="1111")),TH!D3400,""),"")</f>
        <v/>
      </c>
      <c r="B3391" s="63">
        <f t="shared" si="224"/>
        <v>7</v>
      </c>
      <c r="C3391" s="64">
        <v>42556</v>
      </c>
      <c r="D3391" s="64" t="s">
        <v>690</v>
      </c>
      <c r="E3391" s="64">
        <f t="shared" si="225"/>
        <v>42556</v>
      </c>
      <c r="F3391" s="72" t="s">
        <v>1156</v>
      </c>
      <c r="G3391" s="67" t="s">
        <v>902</v>
      </c>
      <c r="H3391" s="72" t="s">
        <v>1779</v>
      </c>
      <c r="I3391" s="408"/>
      <c r="J3391" s="408"/>
      <c r="K3391" s="399"/>
      <c r="L3391" s="408"/>
      <c r="M3391" s="65">
        <v>40000</v>
      </c>
      <c r="N3391" s="66" t="s">
        <v>99</v>
      </c>
      <c r="O3391" s="66" t="s">
        <v>25</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1" ht="15.75" customHeight="1">
      <c r="A3392" s="323" t="str">
        <f>IF(B3392&lt;&gt;"",IF(AND(B3392='IN-TC'!$S$4,OR(TH!N3401="1111",TH!O3401="1111")),TH!D3401,""),"")</f>
        <v/>
      </c>
      <c r="B3392" s="63">
        <f t="shared" si="224"/>
        <v>7</v>
      </c>
      <c r="C3392" s="64">
        <v>42556</v>
      </c>
      <c r="D3392" s="64" t="s">
        <v>690</v>
      </c>
      <c r="E3392" s="64">
        <f t="shared" si="225"/>
        <v>42556</v>
      </c>
      <c r="F3392" s="72" t="s">
        <v>1616</v>
      </c>
      <c r="G3392" s="67" t="s">
        <v>902</v>
      </c>
      <c r="H3392" s="72" t="s">
        <v>1779</v>
      </c>
      <c r="I3392" s="408"/>
      <c r="J3392" s="408"/>
      <c r="K3392" s="399"/>
      <c r="L3392" s="408"/>
      <c r="M3392" s="65">
        <v>4000</v>
      </c>
      <c r="N3392" s="66" t="s">
        <v>9</v>
      </c>
      <c r="O3392" s="66" t="s">
        <v>25</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x</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1" ht="15.75" customHeight="1">
      <c r="A3393" s="323" t="str">
        <f>IF(B3393&lt;&gt;"",IF(AND(B3393='IN-TC'!$S$4,OR(TH!N2131="1111",TH!O2131="1111")),TH!D2131,""),"")</f>
        <v/>
      </c>
      <c r="B3393" s="63">
        <f t="shared" si="224"/>
        <v>12</v>
      </c>
      <c r="C3393" s="78">
        <v>42705</v>
      </c>
      <c r="D3393" s="78" t="s">
        <v>570</v>
      </c>
      <c r="E3393" s="78">
        <v>42674</v>
      </c>
      <c r="F3393" s="80" t="s">
        <v>2131</v>
      </c>
      <c r="G3393" s="934" t="s">
        <v>2663</v>
      </c>
      <c r="H3393" s="80" t="s">
        <v>1365</v>
      </c>
      <c r="I3393" s="406"/>
      <c r="J3393" s="406"/>
      <c r="K3393" s="397"/>
      <c r="L3393" s="406"/>
      <c r="M3393" s="81">
        <v>506878</v>
      </c>
      <c r="N3393" s="82" t="s">
        <v>9</v>
      </c>
      <c r="O3393" s="82" t="s">
        <v>8</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x</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c r="AE3393">
        <v>1</v>
      </c>
    </row>
    <row r="3394" spans="1:31" ht="15.75" customHeight="1">
      <c r="A3394" s="1160" t="str">
        <f>IF(B3394&lt;&gt;"",IF(AND(B3394='IN-TC'!$S$4,OR(TH!N952="1111",TH!O952="1111")),TH!D952,""),"")</f>
        <v/>
      </c>
      <c r="B3394" s="948">
        <f t="shared" si="224"/>
        <v>11</v>
      </c>
      <c r="C3394" s="78">
        <v>42693</v>
      </c>
      <c r="D3394" s="78" t="s">
        <v>2500</v>
      </c>
      <c r="E3394" s="78">
        <f t="shared" ref="E3394:E3423" si="226">C3394</f>
        <v>42693</v>
      </c>
      <c r="F3394" s="80" t="s">
        <v>638</v>
      </c>
      <c r="G3394" s="934" t="s">
        <v>2319</v>
      </c>
      <c r="H3394" s="310" t="s">
        <v>1403</v>
      </c>
      <c r="I3394" s="406">
        <v>2500</v>
      </c>
      <c r="J3394" s="406">
        <v>14000</v>
      </c>
      <c r="K3394" s="397"/>
      <c r="L3394" s="406"/>
      <c r="M3394" s="81">
        <f>ROUND(I3394*J3394,0)</f>
        <v>35000000</v>
      </c>
      <c r="N3394" s="82" t="s">
        <v>270</v>
      </c>
      <c r="O3394" s="82" t="s">
        <v>8</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c r="AE3394">
        <v>1</v>
      </c>
    </row>
    <row r="3395" spans="1:31" ht="15.75" customHeight="1">
      <c r="A3395" s="323" t="str">
        <f>IF(B3395&lt;&gt;"",IF(AND(B3395='IN-TC'!$S$4,OR(TH!N3404="1111",TH!O3404="1111")),TH!D3404,""),"")</f>
        <v/>
      </c>
      <c r="B3395" s="63">
        <f t="shared" si="224"/>
        <v>7</v>
      </c>
      <c r="C3395" s="64">
        <v>42556</v>
      </c>
      <c r="D3395" s="64" t="s">
        <v>690</v>
      </c>
      <c r="E3395" s="64">
        <f t="shared" si="226"/>
        <v>42556</v>
      </c>
      <c r="F3395" s="72" t="s">
        <v>1156</v>
      </c>
      <c r="G3395" s="67" t="s">
        <v>902</v>
      </c>
      <c r="H3395" s="72" t="s">
        <v>1779</v>
      </c>
      <c r="I3395" s="408"/>
      <c r="J3395" s="408"/>
      <c r="K3395" s="399"/>
      <c r="L3395" s="408"/>
      <c r="M3395" s="65">
        <v>20000</v>
      </c>
      <c r="N3395" s="66" t="s">
        <v>99</v>
      </c>
      <c r="O3395" s="66" t="s">
        <v>25</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1" ht="15.75" customHeight="1">
      <c r="A3396" s="323" t="str">
        <f>IF(B3396&lt;&gt;"",IF(AND(B3396='IN-TC'!$S$4,OR(TH!N3405="1111",TH!O3405="1111")),TH!D3405,""),"")</f>
        <v/>
      </c>
      <c r="B3396" s="63">
        <f t="shared" si="224"/>
        <v>7</v>
      </c>
      <c r="C3396" s="64">
        <v>42556</v>
      </c>
      <c r="D3396" s="64" t="s">
        <v>690</v>
      </c>
      <c r="E3396" s="64">
        <f t="shared" si="226"/>
        <v>42556</v>
      </c>
      <c r="F3396" s="72" t="s">
        <v>1616</v>
      </c>
      <c r="G3396" s="67" t="s">
        <v>902</v>
      </c>
      <c r="H3396" s="72" t="s">
        <v>1779</v>
      </c>
      <c r="I3396" s="408"/>
      <c r="J3396" s="408"/>
      <c r="K3396" s="399"/>
      <c r="L3396" s="408"/>
      <c r="M3396" s="65">
        <v>2000</v>
      </c>
      <c r="N3396" s="66" t="s">
        <v>9</v>
      </c>
      <c r="O3396" s="66" t="s">
        <v>25</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x</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1" ht="15.75" customHeight="1">
      <c r="A3397" s="1160" t="str">
        <f>IF(B3397&lt;&gt;"",IF(AND(B3397='IN-TC'!$S$4,OR(TH!N1087="1111",TH!O1087="1111")),TH!D1087,""),"")</f>
        <v/>
      </c>
      <c r="B3397" s="948">
        <f t="shared" si="224"/>
        <v>12</v>
      </c>
      <c r="C3397" s="78">
        <v>42728</v>
      </c>
      <c r="D3397" s="78" t="s">
        <v>2889</v>
      </c>
      <c r="E3397" s="78">
        <f t="shared" si="226"/>
        <v>42728</v>
      </c>
      <c r="F3397" s="80" t="s">
        <v>637</v>
      </c>
      <c r="G3397" s="934" t="s">
        <v>2888</v>
      </c>
      <c r="H3397" s="310" t="s">
        <v>608</v>
      </c>
      <c r="I3397" s="406"/>
      <c r="J3397" s="406"/>
      <c r="K3397" s="397"/>
      <c r="L3397" s="406"/>
      <c r="M3397" s="81">
        <v>819450</v>
      </c>
      <c r="N3397" s="82" t="s">
        <v>9</v>
      </c>
      <c r="O3397" s="82" t="s">
        <v>8</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x</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c r="AE3397">
        <v>1</v>
      </c>
    </row>
    <row r="3398" spans="1:31" ht="15.75" customHeight="1">
      <c r="A3398" s="323" t="str">
        <f>IF(B3398&lt;&gt;"",IF(AND(B3398='IN-TC'!$S$4,OR(TH!N3407="1111",TH!O3407="1111")),TH!D3407,""),"")</f>
        <v/>
      </c>
      <c r="B3398" s="63">
        <f t="shared" si="224"/>
        <v>7</v>
      </c>
      <c r="C3398" s="64">
        <v>42556</v>
      </c>
      <c r="D3398" s="64" t="s">
        <v>690</v>
      </c>
      <c r="E3398" s="64">
        <f t="shared" si="226"/>
        <v>42556</v>
      </c>
      <c r="F3398" s="72" t="s">
        <v>1156</v>
      </c>
      <c r="G3398" s="67" t="s">
        <v>902</v>
      </c>
      <c r="H3398" s="72" t="s">
        <v>1779</v>
      </c>
      <c r="I3398" s="408"/>
      <c r="J3398" s="408"/>
      <c r="K3398" s="399"/>
      <c r="L3398" s="408"/>
      <c r="M3398" s="65">
        <v>20000</v>
      </c>
      <c r="N3398" s="66" t="s">
        <v>99</v>
      </c>
      <c r="O3398" s="66" t="s">
        <v>25</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1" ht="15.75" customHeight="1">
      <c r="A3399" s="323" t="str">
        <f>IF(B3399&lt;&gt;"",IF(AND(B3399='IN-TC'!$S$4,OR(TH!N3408="1111",TH!O3408="1111")),TH!D3408,""),"")</f>
        <v/>
      </c>
      <c r="B3399" s="63">
        <f t="shared" si="224"/>
        <v>7</v>
      </c>
      <c r="C3399" s="64">
        <v>42556</v>
      </c>
      <c r="D3399" s="64" t="s">
        <v>690</v>
      </c>
      <c r="E3399" s="64">
        <f t="shared" si="226"/>
        <v>42556</v>
      </c>
      <c r="F3399" s="72" t="s">
        <v>1616</v>
      </c>
      <c r="G3399" s="67" t="s">
        <v>902</v>
      </c>
      <c r="H3399" s="72" t="s">
        <v>1779</v>
      </c>
      <c r="I3399" s="408"/>
      <c r="J3399" s="408"/>
      <c r="K3399" s="399"/>
      <c r="L3399" s="408"/>
      <c r="M3399" s="65">
        <v>2000</v>
      </c>
      <c r="N3399" s="66" t="s">
        <v>9</v>
      </c>
      <c r="O3399" s="66" t="s">
        <v>25</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x</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1" ht="15.75" customHeight="1">
      <c r="A3400" s="323" t="str">
        <f>IF(B3400&lt;&gt;"",IF(AND(B3400='IN-TC'!$S$4,OR(TH!N3390="1111",TH!O3390="1111")),TH!D3390,""),"")</f>
        <v/>
      </c>
      <c r="B3400" s="63">
        <f t="shared" si="224"/>
        <v>7</v>
      </c>
      <c r="C3400" s="64">
        <v>42556</v>
      </c>
      <c r="D3400" s="64" t="s">
        <v>889</v>
      </c>
      <c r="E3400" s="64">
        <f t="shared" si="226"/>
        <v>42556</v>
      </c>
      <c r="F3400" s="72" t="s">
        <v>1126</v>
      </c>
      <c r="G3400" s="67" t="s">
        <v>1544</v>
      </c>
      <c r="H3400" s="72" t="s">
        <v>748</v>
      </c>
      <c r="I3400" s="408"/>
      <c r="J3400" s="408"/>
      <c r="K3400" s="399"/>
      <c r="L3400" s="408"/>
      <c r="M3400" s="65">
        <v>2000000000</v>
      </c>
      <c r="N3400" s="66" t="s">
        <v>61</v>
      </c>
      <c r="O3400" s="66" t="s">
        <v>25</v>
      </c>
      <c r="P3400" s="82" t="str">
        <f>IF(AND('331-CT'!$E$7=TH!H3400,OR(N3400="331",O3400="331")),"x","")</f>
        <v/>
      </c>
      <c r="Q3400" s="82" t="str">
        <f>IF(AND(B3400='111'!$L$11,OR($N3400=$Q$7,$O3400=$Q$7)),"x","")</f>
        <v/>
      </c>
      <c r="R3400" s="82" t="str">
        <f>IF(AND($N3400=$Q$7,$B3400&lt;'111'!$L$11),"x","")</f>
        <v>x</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x</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1" ht="15.75" customHeight="1">
      <c r="A3401" s="323" t="str">
        <f>IF(B3401&lt;&gt;"",IF(AND(B3401='IN-TC'!$S$4,OR(TH!N3383="1111",TH!O3383="1111")),TH!D3383,""),"")</f>
        <v/>
      </c>
      <c r="B3401" s="63">
        <f t="shared" si="224"/>
        <v>7</v>
      </c>
      <c r="C3401" s="64">
        <v>42557</v>
      </c>
      <c r="D3401" s="64" t="s">
        <v>859</v>
      </c>
      <c r="E3401" s="64">
        <f t="shared" si="226"/>
        <v>42557</v>
      </c>
      <c r="F3401" s="72" t="s">
        <v>756</v>
      </c>
      <c r="G3401" s="931" t="s">
        <v>1698</v>
      </c>
      <c r="H3401" s="72" t="s">
        <v>792</v>
      </c>
      <c r="I3401" s="408"/>
      <c r="J3401" s="408"/>
      <c r="K3401" s="399"/>
      <c r="L3401" s="408"/>
      <c r="M3401" s="65">
        <v>726227</v>
      </c>
      <c r="N3401" s="66" t="s">
        <v>99</v>
      </c>
      <c r="O3401" s="66" t="s">
        <v>61</v>
      </c>
      <c r="P3401" s="82" t="str">
        <f>IF(AND('331-CT'!$E$7=TH!H3401,OR(N3401="331",O3401="331")),"x","")</f>
        <v/>
      </c>
      <c r="Q3401" s="82" t="str">
        <f>IF(AND(B3401='111'!$L$11,OR($N3401=$Q$7,$O3401=$Q$7)),"x","")</f>
        <v/>
      </c>
      <c r="R3401" s="82" t="str">
        <f>IF(AND($N3401=$Q$7,$B3401&lt;'111'!$L$11),"x","")</f>
        <v/>
      </c>
      <c r="S3401" s="82" t="str">
        <f>IF(AND($O3401=$Q$7,$B3401&lt;'111'!$L$11),"x","")</f>
        <v>x</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1" ht="15.75" customHeight="1">
      <c r="A3402" s="323" t="str">
        <f>IF(B3402&lt;&gt;"",IF(AND(B3402='IN-TC'!$S$4,OR(TH!N3384="1111",TH!O3384="1111")),TH!D3384,""),"")</f>
        <v/>
      </c>
      <c r="B3402" s="63">
        <f t="shared" si="224"/>
        <v>7</v>
      </c>
      <c r="C3402" s="64">
        <v>42557</v>
      </c>
      <c r="D3402" s="64" t="s">
        <v>859</v>
      </c>
      <c r="E3402" s="64">
        <f t="shared" si="226"/>
        <v>42557</v>
      </c>
      <c r="F3402" s="72" t="s">
        <v>757</v>
      </c>
      <c r="G3402" s="931" t="s">
        <v>1698</v>
      </c>
      <c r="H3402" s="72" t="s">
        <v>792</v>
      </c>
      <c r="I3402" s="408"/>
      <c r="J3402" s="408"/>
      <c r="K3402" s="399"/>
      <c r="L3402" s="408"/>
      <c r="M3402" s="65">
        <v>72623</v>
      </c>
      <c r="N3402" s="66" t="s">
        <v>9</v>
      </c>
      <c r="O3402" s="66" t="s">
        <v>61</v>
      </c>
      <c r="P3402" s="82" t="str">
        <f>IF(AND('331-CT'!$E$7=TH!H3402,OR(N3402="331",O3402="331")),"x","")</f>
        <v/>
      </c>
      <c r="Q3402" s="82" t="str">
        <f>IF(AND(B3402='111'!$L$11,OR($N3402=$Q$7,$O3402=$Q$7)),"x","")</f>
        <v/>
      </c>
      <c r="R3402" s="82" t="str">
        <f>IF(AND($N3402=$Q$7,$B3402&lt;'111'!$L$11),"x","")</f>
        <v/>
      </c>
      <c r="S3402" s="82" t="str">
        <f>IF(AND($O3402=$Q$7,$B3402&lt;'111'!$L$11),"x","")</f>
        <v>x</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x</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1" ht="15.75" customHeight="1">
      <c r="A3403" s="323" t="str">
        <f>IF(B3403&lt;&gt;"",IF(AND(B3403='IN-TC'!$S$4,OR(TH!N3386="1111",TH!O3386="1111")),TH!D3386,""),"")</f>
        <v/>
      </c>
      <c r="B3403" s="63">
        <f t="shared" si="224"/>
        <v>7</v>
      </c>
      <c r="C3403" s="64">
        <v>42557</v>
      </c>
      <c r="D3403" s="64" t="s">
        <v>860</v>
      </c>
      <c r="E3403" s="64">
        <f t="shared" si="226"/>
        <v>42557</v>
      </c>
      <c r="F3403" s="72" t="s">
        <v>1700</v>
      </c>
      <c r="G3403" s="931" t="s">
        <v>1699</v>
      </c>
      <c r="H3403" s="72" t="s">
        <v>830</v>
      </c>
      <c r="I3403" s="408"/>
      <c r="J3403" s="408"/>
      <c r="K3403" s="399"/>
      <c r="L3403" s="408"/>
      <c r="M3403" s="65">
        <v>1994265</v>
      </c>
      <c r="N3403" s="66" t="s">
        <v>99</v>
      </c>
      <c r="O3403" s="66" t="s">
        <v>61</v>
      </c>
      <c r="P3403" s="82" t="str">
        <f>IF(AND('331-CT'!$E$7=TH!H3403,OR(N3403="331",O3403="331")),"x","")</f>
        <v/>
      </c>
      <c r="Q3403" s="82" t="str">
        <f>IF(AND(B3403='111'!$L$11,OR($N3403=$Q$7,$O3403=$Q$7)),"x","")</f>
        <v/>
      </c>
      <c r="R3403" s="82" t="str">
        <f>IF(AND($N3403=$Q$7,$B3403&lt;'111'!$L$11),"x","")</f>
        <v/>
      </c>
      <c r="S3403" s="82" t="str">
        <f>IF(AND($O3403=$Q$7,$B3403&lt;'111'!$L$11),"x","")</f>
        <v>x</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1" ht="15.75" customHeight="1">
      <c r="A3404" s="323" t="str">
        <f>IF(B3404&lt;&gt;"",IF(AND(B3404='IN-TC'!$S$4,OR(TH!N3387="1111",TH!O3387="1111")),TH!D3387,""),"")</f>
        <v/>
      </c>
      <c r="B3404" s="63">
        <f t="shared" si="224"/>
        <v>7</v>
      </c>
      <c r="C3404" s="64">
        <v>42557</v>
      </c>
      <c r="D3404" s="64" t="s">
        <v>860</v>
      </c>
      <c r="E3404" s="64">
        <f t="shared" si="226"/>
        <v>42557</v>
      </c>
      <c r="F3404" s="72" t="s">
        <v>1701</v>
      </c>
      <c r="G3404" s="931" t="s">
        <v>1699</v>
      </c>
      <c r="H3404" s="72" t="s">
        <v>830</v>
      </c>
      <c r="I3404" s="408"/>
      <c r="J3404" s="408"/>
      <c r="K3404" s="399"/>
      <c r="L3404" s="408"/>
      <c r="M3404" s="65">
        <v>199427</v>
      </c>
      <c r="N3404" s="66" t="s">
        <v>9</v>
      </c>
      <c r="O3404" s="66" t="s">
        <v>61</v>
      </c>
      <c r="P3404" s="82" t="str">
        <f>IF(AND('331-CT'!$E$7=TH!H3404,OR(N3404="331",O3404="331")),"x","")</f>
        <v/>
      </c>
      <c r="Q3404" s="82" t="str">
        <f>IF(AND(B3404='111'!$L$11,OR($N3404=$Q$7,$O3404=$Q$7)),"x","")</f>
        <v/>
      </c>
      <c r="R3404" s="82" t="str">
        <f>IF(AND($N3404=$Q$7,$B3404&lt;'111'!$L$11),"x","")</f>
        <v/>
      </c>
      <c r="S3404" s="82" t="str">
        <f>IF(AND($O3404=$Q$7,$B3404&lt;'111'!$L$11),"x","")</f>
        <v>x</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x</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1" ht="15.75" customHeight="1">
      <c r="A3405" s="323" t="str">
        <f>IF(B3405&lt;&gt;"",IF(AND(B3405='IN-TC'!$S$4,OR(TH!N3444="1111",TH!O3444="1111")),TH!D3444,""),"")</f>
        <v/>
      </c>
      <c r="B3405" s="63">
        <f t="shared" si="224"/>
        <v>7</v>
      </c>
      <c r="C3405" s="64">
        <v>42566</v>
      </c>
      <c r="D3405" s="64" t="s">
        <v>690</v>
      </c>
      <c r="E3405" s="64">
        <f t="shared" si="226"/>
        <v>42566</v>
      </c>
      <c r="F3405" s="72" t="s">
        <v>1175</v>
      </c>
      <c r="G3405" s="67" t="s">
        <v>901</v>
      </c>
      <c r="H3405" s="72" t="s">
        <v>586</v>
      </c>
      <c r="I3405" s="408"/>
      <c r="J3405" s="408"/>
      <c r="K3405" s="399">
        <v>29.22</v>
      </c>
      <c r="L3405" s="408">
        <v>22270</v>
      </c>
      <c r="M3405" s="65">
        <f>ROUND(K3405*L3405,0)</f>
        <v>650729</v>
      </c>
      <c r="N3405" s="66" t="s">
        <v>99</v>
      </c>
      <c r="O3405" s="66" t="s">
        <v>576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1" ht="15.75" customHeight="1">
      <c r="A3406" s="323" t="str">
        <f>IF(B3406&lt;&gt;"",IF(AND(B3406='IN-TC'!$S$4,OR(TH!N3414="1111",TH!O3414="1111")),TH!D3414,""),"")</f>
        <v/>
      </c>
      <c r="B3406" s="63">
        <f t="shared" si="224"/>
        <v>7</v>
      </c>
      <c r="C3406" s="64">
        <v>42559</v>
      </c>
      <c r="D3406" s="64" t="s">
        <v>690</v>
      </c>
      <c r="E3406" s="64">
        <f t="shared" si="226"/>
        <v>42559</v>
      </c>
      <c r="F3406" s="72" t="s">
        <v>1425</v>
      </c>
      <c r="G3406" s="67" t="s">
        <v>901</v>
      </c>
      <c r="H3406" s="72"/>
      <c r="I3406" s="408"/>
      <c r="J3406" s="408"/>
      <c r="K3406" s="399">
        <v>39600</v>
      </c>
      <c r="L3406" s="408">
        <v>22300</v>
      </c>
      <c r="M3406" s="65">
        <f>ROUND(K3406*L3406,0)</f>
        <v>883080000</v>
      </c>
      <c r="N3406" s="66" t="s">
        <v>25</v>
      </c>
      <c r="O3406" s="66" t="s">
        <v>260</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1" ht="15.75" customHeight="1">
      <c r="A3407" s="323" t="str">
        <f>IF(B3407&lt;&gt;"",IF(AND(B3407='IN-TC'!$S$4,OR(TH!N3415="1111",TH!O3415="1111")),TH!D3415,""),"")</f>
        <v/>
      </c>
      <c r="B3407" s="63">
        <f t="shared" si="224"/>
        <v>7</v>
      </c>
      <c r="C3407" s="64">
        <v>42559</v>
      </c>
      <c r="D3407" s="64" t="s">
        <v>690</v>
      </c>
      <c r="E3407" s="64">
        <f t="shared" si="226"/>
        <v>42559</v>
      </c>
      <c r="F3407" s="72" t="s">
        <v>1632</v>
      </c>
      <c r="G3407" s="67" t="s">
        <v>901</v>
      </c>
      <c r="H3407" s="72"/>
      <c r="I3407" s="408"/>
      <c r="J3407" s="408"/>
      <c r="K3407" s="399"/>
      <c r="L3407" s="408"/>
      <c r="M3407" s="65">
        <v>22653</v>
      </c>
      <c r="N3407" s="66" t="s">
        <v>25</v>
      </c>
      <c r="O3407" s="66" t="s">
        <v>41</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1" ht="15.75" customHeight="1">
      <c r="A3408" s="323" t="str">
        <f>IF(B3408&lt;&gt;"",IF(AND(B3408='IN-TC'!$S$4,OR(TH!N3409="1111",TH!O3409="1111")),TH!D3409,""),"")</f>
        <v/>
      </c>
      <c r="B3408" s="63">
        <f t="shared" si="224"/>
        <v>7</v>
      </c>
      <c r="C3408" s="64">
        <v>42560</v>
      </c>
      <c r="D3408" s="64" t="s">
        <v>861</v>
      </c>
      <c r="E3408" s="64">
        <f t="shared" si="226"/>
        <v>42560</v>
      </c>
      <c r="F3408" s="72" t="s">
        <v>1735</v>
      </c>
      <c r="G3408" s="931" t="s">
        <v>1736</v>
      </c>
      <c r="H3408" s="72" t="s">
        <v>1410</v>
      </c>
      <c r="I3408" s="408"/>
      <c r="J3408" s="408"/>
      <c r="K3408" s="399"/>
      <c r="L3408" s="408"/>
      <c r="M3408" s="65">
        <v>1280000</v>
      </c>
      <c r="N3408" s="66" t="s">
        <v>99</v>
      </c>
      <c r="O3408" s="66" t="s">
        <v>61</v>
      </c>
      <c r="P3408" s="82" t="str">
        <f>IF(AND('331-CT'!$E$7=TH!H3408,OR(N3408="331",O3408="331")),"x","")</f>
        <v/>
      </c>
      <c r="Q3408" s="82" t="str">
        <f>IF(AND(B3408='111'!$L$11,OR($N3408=$Q$7,$O3408=$Q$7)),"x","")</f>
        <v/>
      </c>
      <c r="R3408" s="82" t="str">
        <f>IF(AND($N3408=$Q$7,$B3408&lt;'111'!$L$11),"x","")</f>
        <v/>
      </c>
      <c r="S3408" s="82" t="str">
        <f>IF(AND($O3408=$Q$7,$B3408&lt;'111'!$L$11),"x","")</f>
        <v>x</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customHeight="1">
      <c r="A3409" s="323" t="str">
        <f>IF(B3409&lt;&gt;"",IF(AND(B3409='IN-TC'!$S$4,OR(TH!N3410="1111",TH!O3410="1111")),TH!D3410,""),"")</f>
        <v/>
      </c>
      <c r="B3409" s="63">
        <f t="shared" si="224"/>
        <v>7</v>
      </c>
      <c r="C3409" s="64">
        <v>42560</v>
      </c>
      <c r="D3409" s="64" t="s">
        <v>861</v>
      </c>
      <c r="E3409" s="64">
        <f t="shared" si="226"/>
        <v>42560</v>
      </c>
      <c r="F3409" s="72" t="s">
        <v>1737</v>
      </c>
      <c r="G3409" s="931" t="s">
        <v>1736</v>
      </c>
      <c r="H3409" s="72" t="s">
        <v>1410</v>
      </c>
      <c r="I3409" s="408"/>
      <c r="J3409" s="408"/>
      <c r="K3409" s="399"/>
      <c r="L3409" s="408"/>
      <c r="M3409" s="65">
        <v>64000</v>
      </c>
      <c r="N3409" s="66" t="s">
        <v>9</v>
      </c>
      <c r="O3409" s="66" t="s">
        <v>61</v>
      </c>
      <c r="P3409" s="82" t="str">
        <f>IF(AND('331-CT'!$E$7=TH!H3409,OR(N3409="331",O3409="331")),"x","")</f>
        <v/>
      </c>
      <c r="Q3409" s="82" t="str">
        <f>IF(AND(B3409='111'!$L$11,OR($N3409=$Q$7,$O3409=$Q$7)),"x","")</f>
        <v/>
      </c>
      <c r="R3409" s="82" t="str">
        <f>IF(AND($N3409=$Q$7,$B3409&lt;'111'!$L$11),"x","")</f>
        <v/>
      </c>
      <c r="S3409" s="82" t="str">
        <f>IF(AND($O3409=$Q$7,$B3409&lt;'111'!$L$11),"x","")</f>
        <v>x</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x</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customHeight="1">
      <c r="A3410" s="323" t="str">
        <f>IF(B3410&lt;&gt;"",IF(AND(B3410='IN-TC'!$S$4,OR(TH!N3411="1111",TH!O3411="1111")),TH!D3411,""),"")</f>
        <v/>
      </c>
      <c r="B3410" s="63">
        <f t="shared" si="224"/>
        <v>7</v>
      </c>
      <c r="C3410" s="64">
        <v>42561</v>
      </c>
      <c r="D3410" s="64" t="s">
        <v>862</v>
      </c>
      <c r="E3410" s="64">
        <f t="shared" si="226"/>
        <v>42561</v>
      </c>
      <c r="F3410" s="72" t="s">
        <v>1094</v>
      </c>
      <c r="G3410" s="931" t="s">
        <v>1702</v>
      </c>
      <c r="H3410" s="72" t="s">
        <v>792</v>
      </c>
      <c r="I3410" s="408"/>
      <c r="J3410" s="408"/>
      <c r="K3410" s="399"/>
      <c r="L3410" s="408"/>
      <c r="M3410" s="65">
        <v>757273</v>
      </c>
      <c r="N3410" s="66" t="s">
        <v>99</v>
      </c>
      <c r="O3410" s="66" t="s">
        <v>61</v>
      </c>
      <c r="P3410" s="82" t="str">
        <f>IF(AND('331-CT'!$E$7=TH!H3410,OR(N3410="331",O3410="331")),"x","")</f>
        <v/>
      </c>
      <c r="Q3410" s="82" t="str">
        <f>IF(AND(B3410='111'!$L$11,OR($N3410=$Q$7,$O3410=$Q$7)),"x","")</f>
        <v/>
      </c>
      <c r="R3410" s="82" t="str">
        <f>IF(AND($N3410=$Q$7,$B3410&lt;'111'!$L$11),"x","")</f>
        <v/>
      </c>
      <c r="S3410" s="82" t="str">
        <f>IF(AND($O3410=$Q$7,$B3410&lt;'111'!$L$11),"x","")</f>
        <v>x</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customHeight="1">
      <c r="A3411" s="323" t="str">
        <f>IF(B3411&lt;&gt;"",IF(AND(B3411='IN-TC'!$S$4,OR(TH!N3412="1111",TH!O3412="1111")),TH!D3412,""),"")</f>
        <v/>
      </c>
      <c r="B3411" s="63">
        <f t="shared" si="224"/>
        <v>7</v>
      </c>
      <c r="C3411" s="64">
        <v>42561</v>
      </c>
      <c r="D3411" s="64" t="s">
        <v>862</v>
      </c>
      <c r="E3411" s="64">
        <f t="shared" si="226"/>
        <v>42561</v>
      </c>
      <c r="F3411" s="72" t="s">
        <v>1324</v>
      </c>
      <c r="G3411" s="931" t="s">
        <v>1702</v>
      </c>
      <c r="H3411" s="72" t="s">
        <v>792</v>
      </c>
      <c r="I3411" s="408"/>
      <c r="J3411" s="408"/>
      <c r="K3411" s="399"/>
      <c r="L3411" s="408"/>
      <c r="M3411" s="65">
        <v>75727</v>
      </c>
      <c r="N3411" s="66" t="s">
        <v>9</v>
      </c>
      <c r="O3411" s="66" t="s">
        <v>61</v>
      </c>
      <c r="P3411" s="82" t="str">
        <f>IF(AND('331-CT'!$E$7=TH!H3411,OR(N3411="331",O3411="331")),"x","")</f>
        <v/>
      </c>
      <c r="Q3411" s="82" t="str">
        <f>IF(AND(B3411='111'!$L$11,OR($N3411=$Q$7,$O3411=$Q$7)),"x","")</f>
        <v/>
      </c>
      <c r="R3411" s="82" t="str">
        <f>IF(AND($N3411=$Q$7,$B3411&lt;'111'!$L$11),"x","")</f>
        <v/>
      </c>
      <c r="S3411" s="82" t="str">
        <f>IF(AND($O3411=$Q$7,$B3411&lt;'111'!$L$11),"x","")</f>
        <v>x</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x</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customHeight="1">
      <c r="A3412" s="323" t="str">
        <f>IF(B3412&lt;&gt;"",IF(AND(B3412='IN-TC'!$S$4,OR(TH!N3416="1111",TH!O3416="1111")),TH!D3416,""),"")</f>
        <v/>
      </c>
      <c r="B3412" s="63">
        <f t="shared" si="224"/>
        <v>7</v>
      </c>
      <c r="C3412" s="1092">
        <v>42562</v>
      </c>
      <c r="D3412" s="1092" t="s">
        <v>863</v>
      </c>
      <c r="E3412" s="1092">
        <f t="shared" si="226"/>
        <v>42562</v>
      </c>
      <c r="F3412" s="482" t="s">
        <v>947</v>
      </c>
      <c r="G3412" s="1094"/>
      <c r="H3412" s="1093" t="s">
        <v>946</v>
      </c>
      <c r="I3412" s="1095"/>
      <c r="J3412" s="1095"/>
      <c r="K3412" s="1096"/>
      <c r="L3412" s="1095"/>
      <c r="M3412" s="1097">
        <v>500000000</v>
      </c>
      <c r="N3412" s="1098" t="s">
        <v>266</v>
      </c>
      <c r="O3412" s="1098" t="s">
        <v>61</v>
      </c>
      <c r="P3412" s="82" t="str">
        <f>IF(AND('331-CT'!$E$7=TH!H3412,OR(N3412="331",O3412="331")),"x","")</f>
        <v/>
      </c>
      <c r="Q3412" s="82" t="str">
        <f>IF(AND(B3412='111'!$L$11,OR($N3412=$Q$7,$O3412=$Q$7)),"x","")</f>
        <v/>
      </c>
      <c r="R3412" s="82" t="str">
        <f>IF(AND($N3412=$Q$7,$B3412&lt;'111'!$L$11),"x","")</f>
        <v/>
      </c>
      <c r="S3412" s="82" t="str">
        <f>IF(AND($O3412=$Q$7,$B3412&lt;'111'!$L$11),"x","")</f>
        <v>x</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customHeight="1">
      <c r="A3413" s="323" t="str">
        <f>IF(B3413&lt;&gt;"",IF(AND(B3413='IN-TC'!$S$4,OR(TH!N3417="1111",TH!O3417="1111")),TH!D3417,""),"")</f>
        <v/>
      </c>
      <c r="B3413" s="63">
        <f t="shared" si="224"/>
        <v>7</v>
      </c>
      <c r="C3413" s="1092">
        <v>42562</v>
      </c>
      <c r="D3413" s="1092" t="s">
        <v>864</v>
      </c>
      <c r="E3413" s="1092">
        <f t="shared" si="226"/>
        <v>42562</v>
      </c>
      <c r="F3413" s="482" t="s">
        <v>947</v>
      </c>
      <c r="G3413" s="1094"/>
      <c r="H3413" s="1093" t="s">
        <v>3001</v>
      </c>
      <c r="I3413" s="1095"/>
      <c r="J3413" s="1095"/>
      <c r="K3413" s="1096"/>
      <c r="L3413" s="1095"/>
      <c r="M3413" s="1097">
        <v>600000000</v>
      </c>
      <c r="N3413" s="1098" t="s">
        <v>266</v>
      </c>
      <c r="O3413" s="1098" t="s">
        <v>61</v>
      </c>
      <c r="P3413" s="82" t="str">
        <f>IF(AND('331-CT'!$E$7=TH!H3413,OR(N3413="331",O3413="331")),"x","")</f>
        <v/>
      </c>
      <c r="Q3413" s="82" t="str">
        <f>IF(AND(B3413='111'!$L$11,OR($N3413=$Q$7,$O3413=$Q$7)),"x","")</f>
        <v/>
      </c>
      <c r="R3413" s="82" t="str">
        <f>IF(AND($N3413=$Q$7,$B3413&lt;'111'!$L$11),"x","")</f>
        <v/>
      </c>
      <c r="S3413" s="82" t="str">
        <f>IF(AND($O3413=$Q$7,$B3413&lt;'111'!$L$11),"x","")</f>
        <v>x</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customHeight="1">
      <c r="A3414" s="323" t="str">
        <f>IF(B3414&lt;&gt;"",IF(AND(B3414='IN-TC'!$S$4,OR(TH!N3418="1111",TH!O3418="1111")),TH!D3418,""),"")</f>
        <v/>
      </c>
      <c r="B3414" s="63">
        <f t="shared" si="224"/>
        <v>7</v>
      </c>
      <c r="C3414" s="64">
        <v>42562</v>
      </c>
      <c r="D3414" s="64" t="s">
        <v>865</v>
      </c>
      <c r="E3414" s="64">
        <f t="shared" si="226"/>
        <v>42562</v>
      </c>
      <c r="F3414" s="72" t="s">
        <v>1705</v>
      </c>
      <c r="G3414" s="931" t="s">
        <v>1703</v>
      </c>
      <c r="H3414" s="72" t="s">
        <v>1704</v>
      </c>
      <c r="I3414" s="408"/>
      <c r="J3414" s="408"/>
      <c r="K3414" s="399"/>
      <c r="L3414" s="408"/>
      <c r="M3414" s="65">
        <v>344545</v>
      </c>
      <c r="N3414" s="66" t="s">
        <v>99</v>
      </c>
      <c r="O3414" s="66" t="s">
        <v>61</v>
      </c>
      <c r="P3414" s="82" t="str">
        <f>IF(AND('331-CT'!$E$7=TH!H3414,OR(N3414="331",O3414="331")),"x","")</f>
        <v/>
      </c>
      <c r="Q3414" s="82" t="str">
        <f>IF(AND(B3414='111'!$L$11,OR($N3414=$Q$7,$O3414=$Q$7)),"x","")</f>
        <v/>
      </c>
      <c r="R3414" s="82" t="str">
        <f>IF(AND($N3414=$Q$7,$B3414&lt;'111'!$L$11),"x","")</f>
        <v/>
      </c>
      <c r="S3414" s="82" t="str">
        <f>IF(AND($O3414=$Q$7,$B3414&lt;'111'!$L$11),"x","")</f>
        <v>x</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customHeight="1">
      <c r="A3415" s="323" t="str">
        <f>IF(B3415&lt;&gt;"",IF(AND(B3415='IN-TC'!$S$4,OR(TH!N3419="1111",TH!O3419="1111")),TH!D3419,""),"")</f>
        <v/>
      </c>
      <c r="B3415" s="63">
        <f t="shared" si="224"/>
        <v>7</v>
      </c>
      <c r="C3415" s="64">
        <v>42562</v>
      </c>
      <c r="D3415" s="64" t="s">
        <v>865</v>
      </c>
      <c r="E3415" s="64">
        <f t="shared" si="226"/>
        <v>42562</v>
      </c>
      <c r="F3415" s="72" t="s">
        <v>1706</v>
      </c>
      <c r="G3415" s="931" t="s">
        <v>1703</v>
      </c>
      <c r="H3415" s="72" t="s">
        <v>1704</v>
      </c>
      <c r="I3415" s="408"/>
      <c r="J3415" s="408"/>
      <c r="K3415" s="399"/>
      <c r="L3415" s="408"/>
      <c r="M3415" s="65">
        <v>34455</v>
      </c>
      <c r="N3415" s="66" t="s">
        <v>9</v>
      </c>
      <c r="O3415" s="66" t="s">
        <v>61</v>
      </c>
      <c r="P3415" s="82" t="str">
        <f>IF(AND('331-CT'!$E$7=TH!H3415,OR(N3415="331",O3415="331")),"x","")</f>
        <v/>
      </c>
      <c r="Q3415" s="82" t="str">
        <f>IF(AND(B3415='111'!$L$11,OR($N3415=$Q$7,$O3415=$Q$7)),"x","")</f>
        <v/>
      </c>
      <c r="R3415" s="82" t="str">
        <f>IF(AND($N3415=$Q$7,$B3415&lt;'111'!$L$11),"x","")</f>
        <v/>
      </c>
      <c r="S3415" s="82" t="str">
        <f>IF(AND($O3415=$Q$7,$B3415&lt;'111'!$L$11),"x","")</f>
        <v>x</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x</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customHeight="1">
      <c r="A3416" s="323" t="str">
        <f>IF(B3416&lt;&gt;"",IF(AND(B3416='IN-TC'!$S$4,OR(TH!N3420="1111",TH!O3420="1111")),TH!D3420,""),"")</f>
        <v/>
      </c>
      <c r="B3416" s="63">
        <f t="shared" si="224"/>
        <v>7</v>
      </c>
      <c r="C3416" s="64">
        <v>42562</v>
      </c>
      <c r="D3416" s="64" t="s">
        <v>892</v>
      </c>
      <c r="E3416" s="64">
        <f t="shared" si="226"/>
        <v>42562</v>
      </c>
      <c r="F3416" s="72" t="s">
        <v>1126</v>
      </c>
      <c r="G3416" s="67" t="s">
        <v>901</v>
      </c>
      <c r="H3416" s="72" t="s">
        <v>748</v>
      </c>
      <c r="I3416" s="408"/>
      <c r="J3416" s="408"/>
      <c r="K3416" s="399"/>
      <c r="L3416" s="408"/>
      <c r="M3416" s="65">
        <v>880000000</v>
      </c>
      <c r="N3416" s="66" t="s">
        <v>61</v>
      </c>
      <c r="O3416" s="66" t="s">
        <v>25</v>
      </c>
      <c r="P3416" s="82" t="str">
        <f>IF(AND('331-CT'!$E$7=TH!H3416,OR(N3416="331",O3416="331")),"x","")</f>
        <v/>
      </c>
      <c r="Q3416" s="82" t="str">
        <f>IF(AND(B3416='111'!$L$11,OR($N3416=$Q$7,$O3416=$Q$7)),"x","")</f>
        <v/>
      </c>
      <c r="R3416" s="82" t="str">
        <f>IF(AND($N3416=$Q$7,$B3416&lt;'111'!$L$11),"x","")</f>
        <v>x</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customHeight="1">
      <c r="A3417" s="323" t="str">
        <f>IF(B3417&lt;&gt;"",IF(AND(B3417='IN-TC'!$S$4,OR(TH!N3421="1111",TH!O3421="1111")),TH!D3421,""),"")</f>
        <v/>
      </c>
      <c r="B3417" s="63">
        <f t="shared" si="224"/>
        <v>7</v>
      </c>
      <c r="C3417" s="90">
        <v>42563</v>
      </c>
      <c r="D3417" s="90" t="s">
        <v>866</v>
      </c>
      <c r="E3417" s="90">
        <f t="shared" si="226"/>
        <v>42563</v>
      </c>
      <c r="F3417" s="72" t="s">
        <v>1087</v>
      </c>
      <c r="G3417" s="1089" t="s">
        <v>902</v>
      </c>
      <c r="H3417" s="92" t="s">
        <v>1755</v>
      </c>
      <c r="I3417" s="414"/>
      <c r="J3417" s="414"/>
      <c r="K3417" s="405"/>
      <c r="L3417" s="414"/>
      <c r="M3417" s="93">
        <v>11853000</v>
      </c>
      <c r="N3417" s="66" t="s">
        <v>25</v>
      </c>
      <c r="O3417" s="66" t="s">
        <v>61</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customHeight="1">
      <c r="A3418" s="323" t="str">
        <f>IF(B3418&lt;&gt;"",IF(AND(B3418='IN-TC'!$S$4,OR(TH!N3425="1111",TH!O3425="1111")),TH!D3425,""),"")</f>
        <v/>
      </c>
      <c r="B3418" s="63">
        <f t="shared" si="224"/>
        <v>7</v>
      </c>
      <c r="C3418" s="64">
        <v>42564</v>
      </c>
      <c r="D3418" s="64" t="s">
        <v>867</v>
      </c>
      <c r="E3418" s="64">
        <f t="shared" si="226"/>
        <v>42564</v>
      </c>
      <c r="F3418" s="72" t="s">
        <v>997</v>
      </c>
      <c r="G3418" s="931" t="s">
        <v>1707</v>
      </c>
      <c r="H3418" s="72" t="s">
        <v>792</v>
      </c>
      <c r="I3418" s="408"/>
      <c r="J3418" s="408"/>
      <c r="K3418" s="399"/>
      <c r="L3418" s="408"/>
      <c r="M3418" s="65">
        <v>1098409</v>
      </c>
      <c r="N3418" s="66" t="s">
        <v>99</v>
      </c>
      <c r="O3418" s="66" t="s">
        <v>61</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customHeight="1">
      <c r="A3419" s="323" t="str">
        <f>IF(B3419&lt;&gt;"",IF(AND(B3419='IN-TC'!$S$4,OR(TH!N3426="1111",TH!O3426="1111")),TH!D3426,""),"")</f>
        <v/>
      </c>
      <c r="B3419" s="63">
        <f t="shared" si="224"/>
        <v>7</v>
      </c>
      <c r="C3419" s="64">
        <v>42564</v>
      </c>
      <c r="D3419" s="64" t="s">
        <v>867</v>
      </c>
      <c r="E3419" s="64">
        <f t="shared" si="226"/>
        <v>42564</v>
      </c>
      <c r="F3419" s="72" t="s">
        <v>998</v>
      </c>
      <c r="G3419" s="931" t="s">
        <v>1707</v>
      </c>
      <c r="H3419" s="72" t="s">
        <v>792</v>
      </c>
      <c r="I3419" s="408"/>
      <c r="J3419" s="408"/>
      <c r="K3419" s="399"/>
      <c r="L3419" s="408"/>
      <c r="M3419" s="1091">
        <v>109841</v>
      </c>
      <c r="N3419" s="66" t="s">
        <v>9</v>
      </c>
      <c r="O3419" s="66" t="s">
        <v>61</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x</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customHeight="1">
      <c r="A3420" s="323" t="str">
        <f>IF(B3420&lt;&gt;"",IF(AND(B3420='IN-TC'!$S$4,OR(TH!N3427="1111",TH!O3427="1111")),TH!D3427,""),"")</f>
        <v/>
      </c>
      <c r="B3420" s="63">
        <f t="shared" si="224"/>
        <v>7</v>
      </c>
      <c r="C3420" s="64">
        <v>42564</v>
      </c>
      <c r="D3420" s="64" t="s">
        <v>868</v>
      </c>
      <c r="E3420" s="64">
        <f t="shared" si="226"/>
        <v>42564</v>
      </c>
      <c r="F3420" s="72" t="s">
        <v>1678</v>
      </c>
      <c r="G3420" s="931" t="s">
        <v>1708</v>
      </c>
      <c r="H3420" s="72" t="s">
        <v>815</v>
      </c>
      <c r="I3420" s="408"/>
      <c r="J3420" s="408"/>
      <c r="K3420" s="399"/>
      <c r="L3420" s="408"/>
      <c r="M3420" s="65">
        <f>1000000+2250000+500000</f>
        <v>3750000</v>
      </c>
      <c r="N3420" s="66" t="s">
        <v>99</v>
      </c>
      <c r="O3420" s="66" t="s">
        <v>61</v>
      </c>
      <c r="P3420" s="82" t="str">
        <f>IF(AND('331-CT'!$E$7=TH!H3420,OR(N3420="331",O3420="331")),"x","")</f>
        <v/>
      </c>
      <c r="Q3420" s="82" t="str">
        <f>IF(AND(B3420='111'!$L$11,OR($N3420=$Q$7,$O3420=$Q$7)),"x","")</f>
        <v/>
      </c>
      <c r="R3420" s="82" t="str">
        <f>IF(AND($N3420=$Q$7,$B3420&lt;'111'!$L$11),"x","")</f>
        <v/>
      </c>
      <c r="S3420" s="82" t="str">
        <f>IF(AND($O3420=$Q$7,$B3420&lt;'111'!$L$11),"x","")</f>
        <v>x</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customHeight="1">
      <c r="A3421" s="323" t="str">
        <f>IF(B3421&lt;&gt;"",IF(AND(B3421='IN-TC'!$S$4,OR(TH!N3428="1111",TH!O3428="1111")),TH!D3428,""),"")</f>
        <v/>
      </c>
      <c r="B3421" s="63">
        <f t="shared" si="224"/>
        <v>7</v>
      </c>
      <c r="C3421" s="64">
        <v>42564</v>
      </c>
      <c r="D3421" s="64" t="s">
        <v>868</v>
      </c>
      <c r="E3421" s="64">
        <f t="shared" si="226"/>
        <v>42564</v>
      </c>
      <c r="F3421" s="72" t="s">
        <v>1515</v>
      </c>
      <c r="G3421" s="931" t="s">
        <v>1708</v>
      </c>
      <c r="H3421" s="72" t="s">
        <v>815</v>
      </c>
      <c r="I3421" s="408"/>
      <c r="J3421" s="408"/>
      <c r="K3421" s="399"/>
      <c r="L3421" s="408"/>
      <c r="M3421" s="65">
        <f>50000+112500+25000</f>
        <v>187500</v>
      </c>
      <c r="N3421" s="66" t="s">
        <v>9</v>
      </c>
      <c r="O3421" s="66" t="s">
        <v>61</v>
      </c>
      <c r="P3421" s="82" t="str">
        <f>IF(AND('331-CT'!$E$7=TH!H3421,OR(N3421="331",O3421="331")),"x","")</f>
        <v/>
      </c>
      <c r="Q3421" s="82" t="str">
        <f>IF(AND(B3421='111'!$L$11,OR($N3421=$Q$7,$O3421=$Q$7)),"x","")</f>
        <v/>
      </c>
      <c r="R3421" s="82" t="str">
        <f>IF(AND($N3421=$Q$7,$B3421&lt;'111'!$L$11),"x","")</f>
        <v/>
      </c>
      <c r="S3421" s="82" t="str">
        <f>IF(AND($O3421=$Q$7,$B3421&lt;'111'!$L$11),"x","")</f>
        <v>x</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x</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customHeight="1">
      <c r="A3422" s="323" t="str">
        <f>IF(B3422&lt;&gt;"",IF(AND(B3422='IN-TC'!$S$4,OR(TH!N3429="1111",TH!O3429="1111")),TH!D3429,""),"")</f>
        <v/>
      </c>
      <c r="B3422" s="63">
        <f t="shared" si="224"/>
        <v>7</v>
      </c>
      <c r="C3422" s="64">
        <v>42564</v>
      </c>
      <c r="D3422" s="64" t="s">
        <v>869</v>
      </c>
      <c r="E3422" s="64">
        <f t="shared" si="226"/>
        <v>42564</v>
      </c>
      <c r="F3422" s="72" t="s">
        <v>997</v>
      </c>
      <c r="G3422" s="931" t="s">
        <v>1713</v>
      </c>
      <c r="H3422" s="72" t="s">
        <v>792</v>
      </c>
      <c r="I3422" s="408"/>
      <c r="J3422" s="408"/>
      <c r="K3422" s="399"/>
      <c r="L3422" s="408"/>
      <c r="M3422" s="65">
        <v>1319882</v>
      </c>
      <c r="N3422" s="66" t="s">
        <v>99</v>
      </c>
      <c r="O3422" s="66" t="s">
        <v>61</v>
      </c>
      <c r="P3422" s="82" t="str">
        <f>IF(AND('331-CT'!$E$7=TH!H3422,OR(N3422="331",O3422="331")),"x","")</f>
        <v/>
      </c>
      <c r="Q3422" s="82" t="str">
        <f>IF(AND(B3422='111'!$L$11,OR($N3422=$Q$7,$O3422=$Q$7)),"x","")</f>
        <v/>
      </c>
      <c r="R3422" s="82" t="str">
        <f>IF(AND($N3422=$Q$7,$B3422&lt;'111'!$L$11),"x","")</f>
        <v/>
      </c>
      <c r="S3422" s="82" t="str">
        <f>IF(AND($O3422=$Q$7,$B3422&lt;'111'!$L$11),"x","")</f>
        <v>x</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customHeight="1">
      <c r="A3423" s="323" t="str">
        <f>IF(B3423&lt;&gt;"",IF(AND(B3423='IN-TC'!$S$4,OR(TH!N3430="1111",TH!O3430="1111")),TH!D3430,""),"")</f>
        <v/>
      </c>
      <c r="B3423" s="63">
        <f t="shared" si="224"/>
        <v>7</v>
      </c>
      <c r="C3423" s="64">
        <v>42564</v>
      </c>
      <c r="D3423" s="64" t="s">
        <v>869</v>
      </c>
      <c r="E3423" s="64">
        <f t="shared" si="226"/>
        <v>42564</v>
      </c>
      <c r="F3423" s="72" t="s">
        <v>998</v>
      </c>
      <c r="G3423" s="931" t="s">
        <v>1713</v>
      </c>
      <c r="H3423" s="72" t="s">
        <v>792</v>
      </c>
      <c r="I3423" s="408"/>
      <c r="J3423" s="408"/>
      <c r="K3423" s="399"/>
      <c r="L3423" s="408"/>
      <c r="M3423" s="1091">
        <v>131988</v>
      </c>
      <c r="N3423" s="66" t="s">
        <v>9</v>
      </c>
      <c r="O3423" s="66" t="s">
        <v>61</v>
      </c>
      <c r="P3423" s="82" t="str">
        <f>IF(AND('331-CT'!$E$7=TH!H3423,OR(N3423="331",O3423="331")),"x","")</f>
        <v/>
      </c>
      <c r="Q3423" s="82" t="str">
        <f>IF(AND(B3423='111'!$L$11,OR($N3423=$Q$7,$O3423=$Q$7)),"x","")</f>
        <v/>
      </c>
      <c r="R3423" s="82" t="str">
        <f>IF(AND($N3423=$Q$7,$B3423&lt;'111'!$L$11),"x","")</f>
        <v/>
      </c>
      <c r="S3423" s="82" t="str">
        <f>IF(AND($O3423=$Q$7,$B3423&lt;'111'!$L$11),"x","")</f>
        <v>x</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x</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customHeight="1">
      <c r="A3424" s="1160" t="str">
        <f>IF(B3424&lt;&gt;"",IF(AND(B3424='IN-TC'!$S$4,OR(TH!N385="1111",TH!O385="1111")),TH!D385,""),"")</f>
        <v/>
      </c>
      <c r="B3424" s="948">
        <f t="shared" si="224"/>
        <v>12</v>
      </c>
      <c r="C3424" s="78">
        <v>42730</v>
      </c>
      <c r="D3424" s="1077" t="s">
        <v>2715</v>
      </c>
      <c r="E3424" s="78">
        <v>42730</v>
      </c>
      <c r="F3424" s="79" t="s">
        <v>1771</v>
      </c>
      <c r="G3424" s="79" t="s">
        <v>2677</v>
      </c>
      <c r="H3424" s="918" t="s">
        <v>1751</v>
      </c>
      <c r="I3424" s="406">
        <v>2500</v>
      </c>
      <c r="J3424" s="1194">
        <v>256510</v>
      </c>
      <c r="K3424" s="397"/>
      <c r="L3424" s="406"/>
      <c r="M3424" s="1195">
        <f>ROUND(I3424*J3424,0)</f>
        <v>641275000</v>
      </c>
      <c r="N3424" s="1073" t="s">
        <v>576</v>
      </c>
      <c r="O3424" s="1073" t="s">
        <v>290</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1" ht="15.75" customHeight="1">
      <c r="A3425" s="323" t="str">
        <f>IF(B3425&lt;&gt;"",IF(AND(B3425='IN-TC'!$S$4,OR(TH!N3422="1111",TH!O3422="1111")),TH!D3422,""),"")</f>
        <v/>
      </c>
      <c r="B3425" s="63">
        <f t="shared" si="224"/>
        <v>7</v>
      </c>
      <c r="C3425" s="64">
        <v>42564</v>
      </c>
      <c r="D3425" s="64" t="s">
        <v>690</v>
      </c>
      <c r="E3425" s="64">
        <f t="shared" ref="E3425:E3443" si="227">C3425</f>
        <v>42564</v>
      </c>
      <c r="F3425" s="72" t="s">
        <v>1623</v>
      </c>
      <c r="G3425" s="67" t="s">
        <v>902</v>
      </c>
      <c r="H3425" s="72" t="s">
        <v>1756</v>
      </c>
      <c r="I3425" s="408"/>
      <c r="J3425" s="408"/>
      <c r="K3425" s="399"/>
      <c r="L3425" s="408"/>
      <c r="M3425" s="65">
        <v>11852379</v>
      </c>
      <c r="N3425" s="66" t="s">
        <v>8</v>
      </c>
      <c r="O3425" s="66" t="s">
        <v>25</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1" ht="15.75" customHeight="1">
      <c r="A3426" s="323" t="str">
        <f>IF(B3426&lt;&gt;"",IF(AND(B3426='IN-TC'!$S$4,OR(TH!N3423="1111",TH!O3423="1111")),TH!D3423,""),"")</f>
        <v/>
      </c>
      <c r="B3426" s="63">
        <f t="shared" si="224"/>
        <v>7</v>
      </c>
      <c r="C3426" s="64">
        <v>42564</v>
      </c>
      <c r="D3426" s="64" t="s">
        <v>690</v>
      </c>
      <c r="E3426" s="64">
        <f t="shared" si="227"/>
        <v>42564</v>
      </c>
      <c r="F3426" s="72" t="s">
        <v>1156</v>
      </c>
      <c r="G3426" s="67" t="s">
        <v>902</v>
      </c>
      <c r="H3426" s="72" t="s">
        <v>1779</v>
      </c>
      <c r="I3426" s="408"/>
      <c r="J3426" s="408"/>
      <c r="K3426" s="399"/>
      <c r="L3426" s="408"/>
      <c r="M3426" s="65">
        <v>25000</v>
      </c>
      <c r="N3426" s="66" t="s">
        <v>99</v>
      </c>
      <c r="O3426" s="66" t="s">
        <v>25</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1" ht="15.75" customHeight="1">
      <c r="A3427" s="323" t="str">
        <f>IF(B3427&lt;&gt;"",IF(AND(B3427='IN-TC'!$S$4,OR(TH!N3424="1111",TH!O3424="1111")),TH!D3424,""),"")</f>
        <v/>
      </c>
      <c r="B3427" s="63">
        <f t="shared" si="224"/>
        <v>7</v>
      </c>
      <c r="C3427" s="64">
        <v>42564</v>
      </c>
      <c r="D3427" s="64" t="s">
        <v>690</v>
      </c>
      <c r="E3427" s="64">
        <f t="shared" si="227"/>
        <v>42564</v>
      </c>
      <c r="F3427" s="72" t="s">
        <v>1616</v>
      </c>
      <c r="G3427" s="67" t="s">
        <v>902</v>
      </c>
      <c r="H3427" s="72" t="s">
        <v>1779</v>
      </c>
      <c r="I3427" s="408"/>
      <c r="J3427" s="408"/>
      <c r="K3427" s="399"/>
      <c r="L3427" s="408"/>
      <c r="M3427" s="65">
        <v>2500</v>
      </c>
      <c r="N3427" s="66" t="s">
        <v>9</v>
      </c>
      <c r="O3427" s="66" t="s">
        <v>25</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x</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1" ht="15.75" customHeight="1">
      <c r="A3428" s="323" t="str">
        <f>IF(B3428&lt;&gt;"",IF(AND(B3428='IN-TC'!$S$4,OR(TH!N3431="1111",TH!O3431="1111")),TH!D3431,""),"")</f>
        <v/>
      </c>
      <c r="B3428" s="63">
        <f t="shared" si="224"/>
        <v>7</v>
      </c>
      <c r="C3428" s="64">
        <v>42565</v>
      </c>
      <c r="D3428" s="64" t="s">
        <v>870</v>
      </c>
      <c r="E3428" s="64">
        <f t="shared" si="227"/>
        <v>42565</v>
      </c>
      <c r="F3428" s="72" t="s">
        <v>1094</v>
      </c>
      <c r="G3428" s="931" t="s">
        <v>1709</v>
      </c>
      <c r="H3428" s="72" t="s">
        <v>792</v>
      </c>
      <c r="I3428" s="408"/>
      <c r="J3428" s="408"/>
      <c r="K3428" s="399"/>
      <c r="L3428" s="408"/>
      <c r="M3428" s="65">
        <v>1160727</v>
      </c>
      <c r="N3428" s="66" t="s">
        <v>99</v>
      </c>
      <c r="O3428" s="66" t="s">
        <v>61</v>
      </c>
      <c r="P3428" s="82" t="str">
        <f>IF(AND('331-CT'!$E$7=TH!H3428,OR(N3428="331",O3428="331")),"x","")</f>
        <v/>
      </c>
      <c r="Q3428" s="82" t="str">
        <f>IF(AND(B3428='111'!$L$11,OR($N3428=$Q$7,$O3428=$Q$7)),"x","")</f>
        <v/>
      </c>
      <c r="R3428" s="82" t="str">
        <f>IF(AND($N3428=$Q$7,$B3428&lt;'111'!$L$11),"x","")</f>
        <v/>
      </c>
      <c r="S3428" s="82" t="str">
        <f>IF(AND($O3428=$Q$7,$B3428&lt;'111'!$L$11),"x","")</f>
        <v>x</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1" ht="15.75" customHeight="1">
      <c r="A3429" s="323" t="str">
        <f>IF(B3429&lt;&gt;"",IF(AND(B3429='IN-TC'!$S$4,OR(TH!N3432="1111",TH!O3432="1111")),TH!D3432,""),"")</f>
        <v/>
      </c>
      <c r="B3429" s="63">
        <f t="shared" si="224"/>
        <v>7</v>
      </c>
      <c r="C3429" s="64">
        <v>42565</v>
      </c>
      <c r="D3429" s="64" t="s">
        <v>870</v>
      </c>
      <c r="E3429" s="64">
        <f t="shared" si="227"/>
        <v>42565</v>
      </c>
      <c r="F3429" s="72" t="s">
        <v>1324</v>
      </c>
      <c r="G3429" s="931" t="s">
        <v>1709</v>
      </c>
      <c r="H3429" s="72" t="s">
        <v>792</v>
      </c>
      <c r="I3429" s="408"/>
      <c r="J3429" s="408"/>
      <c r="K3429" s="399"/>
      <c r="L3429" s="408"/>
      <c r="M3429" s="65">
        <v>116073</v>
      </c>
      <c r="N3429" s="66" t="s">
        <v>9</v>
      </c>
      <c r="O3429" s="66" t="s">
        <v>61</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x</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1" ht="15.75" customHeight="1">
      <c r="A3430" s="323" t="str">
        <f>IF(B3430&lt;&gt;"",IF(AND(B3430='IN-TC'!$S$4,OR(TH!N3434="1111",TH!O3434="1111")),TH!D3434,""),"")</f>
        <v/>
      </c>
      <c r="B3430" s="63">
        <f t="shared" si="224"/>
        <v>7</v>
      </c>
      <c r="C3430" s="64">
        <v>42566</v>
      </c>
      <c r="D3430" s="64" t="s">
        <v>871</v>
      </c>
      <c r="E3430" s="64">
        <f t="shared" si="227"/>
        <v>42566</v>
      </c>
      <c r="F3430" s="72" t="s">
        <v>1087</v>
      </c>
      <c r="G3430" s="67" t="s">
        <v>902</v>
      </c>
      <c r="H3430" s="72" t="s">
        <v>748</v>
      </c>
      <c r="I3430" s="408"/>
      <c r="J3430" s="408"/>
      <c r="K3430" s="399"/>
      <c r="L3430" s="408"/>
      <c r="M3430" s="65">
        <v>30000000</v>
      </c>
      <c r="N3430" s="66" t="s">
        <v>25</v>
      </c>
      <c r="O3430" s="66" t="s">
        <v>61</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1" ht="15.75" customHeight="1">
      <c r="A3431" s="323" t="str">
        <f>IF(B3431&lt;&gt;"",IF(AND(B3431='IN-TC'!$S$4,OR(TH!N3445="1111",TH!O3445="1111")),TH!D3445,""),"")</f>
        <v/>
      </c>
      <c r="B3431" s="63">
        <f t="shared" si="224"/>
        <v>7</v>
      </c>
      <c r="C3431" s="64">
        <v>42566</v>
      </c>
      <c r="D3431" s="64" t="s">
        <v>690</v>
      </c>
      <c r="E3431" s="64">
        <f t="shared" si="227"/>
        <v>42566</v>
      </c>
      <c r="F3431" s="72" t="s">
        <v>1176</v>
      </c>
      <c r="G3431" s="67" t="s">
        <v>901</v>
      </c>
      <c r="H3431" s="72" t="s">
        <v>586</v>
      </c>
      <c r="I3431" s="408"/>
      <c r="J3431" s="408"/>
      <c r="K3431" s="399">
        <v>2.92</v>
      </c>
      <c r="L3431" s="408">
        <v>22270</v>
      </c>
      <c r="M3431" s="65">
        <f>ROUND(K3431*L3431,0)</f>
        <v>65028</v>
      </c>
      <c r="N3431" s="66" t="s">
        <v>9</v>
      </c>
      <c r="O3431" s="66" t="s">
        <v>576</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x</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1" ht="15.75" customHeight="1">
      <c r="A3432" s="1227" t="str">
        <f>IF(B3432&lt;&gt;"",IF(AND(B3432='IN-TC'!$S$4,OR(TH!N615="1111",TH!O615="1111")),TH!D615,""),"")</f>
        <v/>
      </c>
      <c r="B3432" s="1228">
        <f t="shared" si="224"/>
        <v>12</v>
      </c>
      <c r="C3432" s="1229">
        <v>42719</v>
      </c>
      <c r="D3432" s="1229" t="s">
        <v>2979</v>
      </c>
      <c r="E3432" s="1229">
        <f t="shared" si="227"/>
        <v>42719</v>
      </c>
      <c r="F3432" s="1230" t="s">
        <v>455</v>
      </c>
      <c r="G3432" s="1231" t="s">
        <v>2581</v>
      </c>
      <c r="H3432" s="1232" t="s">
        <v>1198</v>
      </c>
      <c r="I3432" s="1233">
        <v>52000</v>
      </c>
      <c r="J3432" s="1233">
        <v>60000</v>
      </c>
      <c r="K3432" s="1234"/>
      <c r="L3432" s="1233"/>
      <c r="M3432" s="1235">
        <f>ROUND(I3432*J3432,0)</f>
        <v>3120000000</v>
      </c>
      <c r="N3432" s="1236" t="s">
        <v>276</v>
      </c>
      <c r="O3432" s="1236" t="s">
        <v>278</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1" ht="15.75" customHeight="1">
      <c r="A3433" s="1170" t="str">
        <f>IF(B3433&lt;&gt;"",IF(AND(B3433='IN-TC'!$S$4,OR(TH!N1071="1111",TH!O1071="1111")),TH!D1071,""),"")</f>
        <v/>
      </c>
      <c r="B3433" s="1199">
        <f t="shared" si="224"/>
        <v>12</v>
      </c>
      <c r="C3433" s="90">
        <v>42727</v>
      </c>
      <c r="D3433" s="90" t="s">
        <v>2777</v>
      </c>
      <c r="E3433" s="90">
        <f t="shared" si="227"/>
        <v>42727</v>
      </c>
      <c r="F3433" s="92" t="s">
        <v>2895</v>
      </c>
      <c r="G3433" s="1089" t="s">
        <v>2694</v>
      </c>
      <c r="H3433" s="92" t="s">
        <v>611</v>
      </c>
      <c r="I3433" s="414"/>
      <c r="J3433" s="414"/>
      <c r="K3433" s="405"/>
      <c r="L3433" s="414"/>
      <c r="M3433" s="93">
        <v>9941400</v>
      </c>
      <c r="N3433" s="83" t="s">
        <v>9</v>
      </c>
      <c r="O3433" s="83" t="s">
        <v>8</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x</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c r="AE3433">
        <v>1</v>
      </c>
    </row>
    <row r="3434" spans="1:31" ht="15.75" customHeight="1">
      <c r="A3434" s="323" t="str">
        <f>IF(B3434&lt;&gt;"",IF(AND(B3434='IN-TC'!$S$4,OR(TH!N3441="1111",TH!O3441="1111")),TH!D3441,""),"")</f>
        <v/>
      </c>
      <c r="B3434" s="63">
        <f t="shared" si="224"/>
        <v>7</v>
      </c>
      <c r="C3434" s="64">
        <v>42566</v>
      </c>
      <c r="D3434" s="64" t="s">
        <v>690</v>
      </c>
      <c r="E3434" s="64">
        <f t="shared" si="227"/>
        <v>42566</v>
      </c>
      <c r="F3434" s="72" t="s">
        <v>1156</v>
      </c>
      <c r="G3434" s="67" t="s">
        <v>902</v>
      </c>
      <c r="H3434" s="72" t="s">
        <v>1779</v>
      </c>
      <c r="I3434" s="408"/>
      <c r="J3434" s="408"/>
      <c r="K3434" s="399"/>
      <c r="L3434" s="408"/>
      <c r="M3434" s="65">
        <v>40000</v>
      </c>
      <c r="N3434" s="66" t="s">
        <v>99</v>
      </c>
      <c r="O3434" s="66" t="s">
        <v>25</v>
      </c>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1" ht="15.75" customHeight="1">
      <c r="A3435" s="323" t="str">
        <f>IF(B3435&lt;&gt;"",IF(AND(B3435='IN-TC'!$S$4,OR(TH!N3442="1111",TH!O3442="1111")),TH!D3442,""),"")</f>
        <v/>
      </c>
      <c r="B3435" s="63">
        <f t="shared" si="224"/>
        <v>7</v>
      </c>
      <c r="C3435" s="64">
        <v>42566</v>
      </c>
      <c r="D3435" s="64" t="s">
        <v>690</v>
      </c>
      <c r="E3435" s="64">
        <f t="shared" si="227"/>
        <v>42566</v>
      </c>
      <c r="F3435" s="72" t="s">
        <v>1616</v>
      </c>
      <c r="G3435" s="67" t="s">
        <v>902</v>
      </c>
      <c r="H3435" s="72" t="s">
        <v>1779</v>
      </c>
      <c r="I3435" s="408"/>
      <c r="J3435" s="408"/>
      <c r="K3435" s="399"/>
      <c r="L3435" s="408"/>
      <c r="M3435" s="65">
        <v>4000</v>
      </c>
      <c r="N3435" s="66" t="s">
        <v>9</v>
      </c>
      <c r="O3435" s="66" t="s">
        <v>25</v>
      </c>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x</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1" ht="15.75" customHeight="1">
      <c r="A3436" s="323" t="str">
        <f>IF(B3436&lt;&gt;"",IF(AND(B3436='IN-TC'!$S$4,OR(TH!N3446="1111",TH!O3446="1111")),TH!D3446,""),"")</f>
        <v/>
      </c>
      <c r="B3436" s="63">
        <f t="shared" si="224"/>
        <v>7</v>
      </c>
      <c r="C3436" s="64">
        <v>42566</v>
      </c>
      <c r="D3436" s="64" t="s">
        <v>690</v>
      </c>
      <c r="E3436" s="64">
        <f t="shared" si="227"/>
        <v>42566</v>
      </c>
      <c r="F3436" s="72" t="s">
        <v>599</v>
      </c>
      <c r="G3436" s="67" t="s">
        <v>901</v>
      </c>
      <c r="H3436" s="72" t="s">
        <v>586</v>
      </c>
      <c r="I3436" s="408"/>
      <c r="J3436" s="408"/>
      <c r="K3436" s="399">
        <v>10</v>
      </c>
      <c r="L3436" s="408">
        <v>22270</v>
      </c>
      <c r="M3436" s="65">
        <f t="shared" ref="M3436:M3441" si="228">ROUND(K3436*L3436,0)</f>
        <v>222700</v>
      </c>
      <c r="N3436" s="66" t="s">
        <v>99</v>
      </c>
      <c r="O3436" s="66" t="s">
        <v>576</v>
      </c>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1" ht="15.75" customHeight="1">
      <c r="A3437" s="323" t="str">
        <f>IF(B3437&lt;&gt;"",IF(AND(B3437='IN-TC'!$S$4,OR(TH!N3447="1111",TH!O3447="1111")),TH!D3447,""),"")</f>
        <v/>
      </c>
      <c r="B3437" s="63">
        <f t="shared" si="224"/>
        <v>7</v>
      </c>
      <c r="C3437" s="64">
        <v>42566</v>
      </c>
      <c r="D3437" s="64" t="s">
        <v>690</v>
      </c>
      <c r="E3437" s="64">
        <f t="shared" si="227"/>
        <v>42566</v>
      </c>
      <c r="F3437" s="72" t="s">
        <v>1174</v>
      </c>
      <c r="G3437" s="67" t="s">
        <v>901</v>
      </c>
      <c r="H3437" s="72" t="s">
        <v>586</v>
      </c>
      <c r="I3437" s="408"/>
      <c r="J3437" s="408"/>
      <c r="K3437" s="399">
        <v>1</v>
      </c>
      <c r="L3437" s="408">
        <v>22270</v>
      </c>
      <c r="M3437" s="65">
        <f t="shared" si="228"/>
        <v>22270</v>
      </c>
      <c r="N3437" s="66" t="s">
        <v>9</v>
      </c>
      <c r="O3437" s="66" t="s">
        <v>576</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x</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1" ht="15.75" customHeight="1">
      <c r="A3438" s="323" t="str">
        <f>IF(B3438&lt;&gt;"",IF(AND(B3438='IN-TC'!$S$4,OR(TH!N3448="1111",TH!O3448="1111")),TH!D3448,""),"")</f>
        <v/>
      </c>
      <c r="B3438" s="63">
        <f t="shared" ref="B3438:B3501" si="229">IF(C3438&lt;&gt;"",MONTH(C3438),"")</f>
        <v>7</v>
      </c>
      <c r="C3438" s="64">
        <v>42566</v>
      </c>
      <c r="D3438" s="64" t="s">
        <v>690</v>
      </c>
      <c r="E3438" s="64">
        <f t="shared" si="227"/>
        <v>42566</v>
      </c>
      <c r="F3438" s="72" t="s">
        <v>1045</v>
      </c>
      <c r="G3438" s="67" t="s">
        <v>901</v>
      </c>
      <c r="H3438" s="72" t="s">
        <v>586</v>
      </c>
      <c r="I3438" s="408"/>
      <c r="J3438" s="408"/>
      <c r="K3438" s="399">
        <v>62.64</v>
      </c>
      <c r="L3438" s="408">
        <v>22270</v>
      </c>
      <c r="M3438" s="65">
        <f t="shared" si="228"/>
        <v>1394993</v>
      </c>
      <c r="N3438" s="66" t="s">
        <v>99</v>
      </c>
      <c r="O3438" s="66" t="s">
        <v>576</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1" ht="15.75" customHeight="1">
      <c r="A3439" s="323" t="str">
        <f>IF(B3439&lt;&gt;"",IF(AND(B3439='IN-TC'!$S$4,OR(TH!N3449="1111",TH!O3449="1111")),TH!D3449,""),"")</f>
        <v/>
      </c>
      <c r="B3439" s="63">
        <f t="shared" si="229"/>
        <v>7</v>
      </c>
      <c r="C3439" s="64">
        <v>42566</v>
      </c>
      <c r="D3439" s="64" t="s">
        <v>690</v>
      </c>
      <c r="E3439" s="64">
        <f t="shared" si="227"/>
        <v>42566</v>
      </c>
      <c r="F3439" s="72" t="s">
        <v>1046</v>
      </c>
      <c r="G3439" s="67" t="s">
        <v>901</v>
      </c>
      <c r="H3439" s="72" t="s">
        <v>586</v>
      </c>
      <c r="I3439" s="408"/>
      <c r="J3439" s="408"/>
      <c r="K3439" s="399">
        <v>6.26</v>
      </c>
      <c r="L3439" s="408">
        <v>22270</v>
      </c>
      <c r="M3439" s="65">
        <f t="shared" si="228"/>
        <v>139410</v>
      </c>
      <c r="N3439" s="66" t="s">
        <v>9</v>
      </c>
      <c r="O3439" s="66" t="s">
        <v>576</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x</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1" ht="15.75" customHeight="1">
      <c r="A3440" s="323" t="str">
        <f>IF(B3440&lt;&gt;"",IF(AND(B3440='IN-TC'!$S$4,OR(TH!N3450="1111",TH!O3450="1111")),TH!D3450,""),"")</f>
        <v/>
      </c>
      <c r="B3440" s="63">
        <f t="shared" si="229"/>
        <v>7</v>
      </c>
      <c r="C3440" s="64">
        <v>42566</v>
      </c>
      <c r="D3440" s="64" t="s">
        <v>690</v>
      </c>
      <c r="E3440" s="64">
        <f t="shared" si="227"/>
        <v>42566</v>
      </c>
      <c r="F3440" s="72" t="s">
        <v>1047</v>
      </c>
      <c r="G3440" s="67" t="s">
        <v>901</v>
      </c>
      <c r="H3440" s="72" t="s">
        <v>586</v>
      </c>
      <c r="I3440" s="408"/>
      <c r="J3440" s="408"/>
      <c r="K3440" s="399">
        <v>30.8</v>
      </c>
      <c r="L3440" s="408">
        <v>22270</v>
      </c>
      <c r="M3440" s="65">
        <f t="shared" si="228"/>
        <v>685916</v>
      </c>
      <c r="N3440" s="66" t="s">
        <v>99</v>
      </c>
      <c r="O3440" s="66" t="s">
        <v>576</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customHeight="1">
      <c r="A3441" s="323" t="str">
        <f>IF(B3441&lt;&gt;"",IF(AND(B3441='IN-TC'!$S$4,OR(TH!N3451="1111",TH!O3451="1111")),TH!D3451,""),"")</f>
        <v/>
      </c>
      <c r="B3441" s="63">
        <f t="shared" si="229"/>
        <v>7</v>
      </c>
      <c r="C3441" s="64">
        <v>42566</v>
      </c>
      <c r="D3441" s="64" t="s">
        <v>690</v>
      </c>
      <c r="E3441" s="64">
        <f t="shared" si="227"/>
        <v>42566</v>
      </c>
      <c r="F3441" s="72" t="s">
        <v>1874</v>
      </c>
      <c r="G3441" s="67" t="s">
        <v>901</v>
      </c>
      <c r="H3441" s="72" t="s">
        <v>586</v>
      </c>
      <c r="I3441" s="408"/>
      <c r="J3441" s="408"/>
      <c r="K3441" s="399">
        <v>167</v>
      </c>
      <c r="L3441" s="408">
        <v>22270</v>
      </c>
      <c r="M3441" s="65">
        <f t="shared" si="228"/>
        <v>3719090</v>
      </c>
      <c r="N3441" s="66" t="s">
        <v>99</v>
      </c>
      <c r="O3441" s="66" t="s">
        <v>576</v>
      </c>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customHeight="1">
      <c r="A3442" s="323" t="str">
        <f>IF(B3442&lt;&gt;"",IF(AND(B3442='IN-TC'!$S$4,OR(TH!N3452="1111",TH!O3452="1111")),TH!D3452,""),"")</f>
        <v/>
      </c>
      <c r="B3442" s="63">
        <f t="shared" si="229"/>
        <v>7</v>
      </c>
      <c r="C3442" s="64">
        <v>42566</v>
      </c>
      <c r="D3442" s="64" t="s">
        <v>690</v>
      </c>
      <c r="E3442" s="64">
        <f t="shared" si="227"/>
        <v>42566</v>
      </c>
      <c r="F3442" s="72" t="s">
        <v>1049</v>
      </c>
      <c r="G3442" s="67" t="s">
        <v>901</v>
      </c>
      <c r="H3442" s="72" t="s">
        <v>586</v>
      </c>
      <c r="I3442" s="408"/>
      <c r="J3442" s="408"/>
      <c r="K3442" s="399"/>
      <c r="L3442" s="408"/>
      <c r="M3442" s="65">
        <v>1187999</v>
      </c>
      <c r="N3442" s="66" t="s">
        <v>576</v>
      </c>
      <c r="O3442" s="66" t="s">
        <v>41</v>
      </c>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customHeight="1">
      <c r="A3443" s="323" t="str">
        <f>IF(B3443&lt;&gt;"",IF(AND(B3443='IN-TC'!$S$4,OR(TH!N3443="1111",TH!O3443="1111")),TH!D3443,""),"")</f>
        <v/>
      </c>
      <c r="B3443" s="63">
        <f t="shared" si="229"/>
        <v>7</v>
      </c>
      <c r="C3443" s="64">
        <v>42566</v>
      </c>
      <c r="D3443" s="64" t="s">
        <v>687</v>
      </c>
      <c r="E3443" s="64">
        <f t="shared" si="227"/>
        <v>42566</v>
      </c>
      <c r="F3443" s="72" t="s">
        <v>1436</v>
      </c>
      <c r="G3443" s="67" t="s">
        <v>901</v>
      </c>
      <c r="H3443" s="72" t="s">
        <v>586</v>
      </c>
      <c r="I3443" s="408"/>
      <c r="J3443" s="408"/>
      <c r="K3443" s="399">
        <v>1850.16</v>
      </c>
      <c r="L3443" s="408">
        <v>22270</v>
      </c>
      <c r="M3443" s="65">
        <f>ROUND(K3443*L3443,0)</f>
        <v>41203063</v>
      </c>
      <c r="N3443" s="66" t="s">
        <v>260</v>
      </c>
      <c r="O3443" s="66" t="s">
        <v>576</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customHeight="1">
      <c r="A3444" s="323" t="str">
        <f>IF(B3444&lt;&gt;"",IF(AND(B3444='IN-TC'!$S$4,OR(TH!N311="1111",TH!O311="1111")),TH!D311,""),"")</f>
        <v/>
      </c>
      <c r="B3444" s="63">
        <f t="shared" si="229"/>
        <v>11</v>
      </c>
      <c r="C3444" s="90">
        <v>42704</v>
      </c>
      <c r="D3444" s="1087" t="s">
        <v>2367</v>
      </c>
      <c r="E3444" s="90">
        <v>42704</v>
      </c>
      <c r="F3444" s="91" t="s">
        <v>443</v>
      </c>
      <c r="G3444" s="1089" t="s">
        <v>2369</v>
      </c>
      <c r="H3444" s="937" t="s">
        <v>586</v>
      </c>
      <c r="I3444" s="414">
        <v>4800</v>
      </c>
      <c r="J3444" s="1132">
        <v>8.6999999999999993</v>
      </c>
      <c r="K3444" s="405">
        <f>I3444*J3444</f>
        <v>41760</v>
      </c>
      <c r="L3444" s="414">
        <v>22680</v>
      </c>
      <c r="M3444" s="1133">
        <f>ROUND(K3444*L3444,0)</f>
        <v>947116800</v>
      </c>
      <c r="N3444" s="1134" t="s">
        <v>576</v>
      </c>
      <c r="O3444" s="1134" t="s">
        <v>292</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customHeight="1">
      <c r="A3445" s="323" t="str">
        <f>IF(B3445&lt;&gt;"",IF(AND(B3445='IN-TC'!$S$4,OR(TH!N3453="1111",TH!O3453="1111")),TH!D3453,""),"")</f>
        <v/>
      </c>
      <c r="B3445" s="63">
        <f t="shared" si="229"/>
        <v>7</v>
      </c>
      <c r="C3445" s="64">
        <v>42566</v>
      </c>
      <c r="D3445" s="64" t="s">
        <v>690</v>
      </c>
      <c r="E3445" s="64">
        <f t="shared" ref="E3445:E3474" si="230">C3445</f>
        <v>42566</v>
      </c>
      <c r="F3445" s="72" t="s">
        <v>1767</v>
      </c>
      <c r="G3445" s="67" t="s">
        <v>901</v>
      </c>
      <c r="H3445" s="72" t="s">
        <v>727</v>
      </c>
      <c r="I3445" s="408"/>
      <c r="J3445" s="408"/>
      <c r="K3445" s="399">
        <v>162.72</v>
      </c>
      <c r="L3445" s="408">
        <v>22270</v>
      </c>
      <c r="M3445" s="65">
        <f>ROUND(K3445*L3445,0)</f>
        <v>3623774</v>
      </c>
      <c r="N3445" s="66" t="s">
        <v>97</v>
      </c>
      <c r="O3445" s="66" t="s">
        <v>260</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customHeight="1">
      <c r="A3446" s="323" t="str">
        <f>IF(B3446&lt;&gt;"",IF(AND(B3446='IN-TC'!$S$4,OR(TH!N3454="1111",TH!O3454="1111")),TH!D3454,""),"")</f>
        <v/>
      </c>
      <c r="B3446" s="63">
        <f t="shared" si="229"/>
        <v>7</v>
      </c>
      <c r="C3446" s="64">
        <v>42566</v>
      </c>
      <c r="D3446" s="64" t="s">
        <v>690</v>
      </c>
      <c r="E3446" s="64">
        <f t="shared" si="230"/>
        <v>42566</v>
      </c>
      <c r="F3446" s="72" t="s">
        <v>1767</v>
      </c>
      <c r="G3446" s="67" t="s">
        <v>901</v>
      </c>
      <c r="H3446" s="72" t="s">
        <v>1650</v>
      </c>
      <c r="I3446" s="408"/>
      <c r="J3446" s="408"/>
      <c r="K3446" s="399">
        <v>255.04</v>
      </c>
      <c r="L3446" s="408">
        <v>22270</v>
      </c>
      <c r="M3446" s="65">
        <f>ROUND(K3446*L3446,0)</f>
        <v>5679741</v>
      </c>
      <c r="N3446" s="66" t="s">
        <v>97</v>
      </c>
      <c r="O3446" s="66" t="s">
        <v>260</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customHeight="1">
      <c r="A3447" s="323" t="str">
        <f>IF(B3447&lt;&gt;"",IF(AND(B3447='IN-TC'!$S$4,OR(TH!N3455="1111",TH!O3455="1111")),TH!D3455,""),"")</f>
        <v/>
      </c>
      <c r="B3447" s="63">
        <f t="shared" si="229"/>
        <v>7</v>
      </c>
      <c r="C3447" s="64">
        <v>42566</v>
      </c>
      <c r="D3447" s="64" t="s">
        <v>690</v>
      </c>
      <c r="E3447" s="64">
        <f t="shared" si="230"/>
        <v>42566</v>
      </c>
      <c r="F3447" s="72" t="s">
        <v>1767</v>
      </c>
      <c r="G3447" s="67" t="s">
        <v>901</v>
      </c>
      <c r="H3447" s="72" t="s">
        <v>1652</v>
      </c>
      <c r="I3447" s="408"/>
      <c r="J3447" s="408"/>
      <c r="K3447" s="399">
        <v>341.74</v>
      </c>
      <c r="L3447" s="408">
        <v>22270</v>
      </c>
      <c r="M3447" s="65">
        <f>ROUND(K3447*L3447,0)</f>
        <v>7610550</v>
      </c>
      <c r="N3447" s="66" t="s">
        <v>97</v>
      </c>
      <c r="O3447" s="66" t="s">
        <v>260</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customHeight="1">
      <c r="A3448" s="323" t="str">
        <f>IF(B3448&lt;&gt;"",IF(AND(B3448='IN-TC'!$S$4,OR(TH!N3436="1111",TH!O3436="1111")),TH!D3436,""),"")</f>
        <v/>
      </c>
      <c r="B3448" s="63">
        <f t="shared" si="229"/>
        <v>7</v>
      </c>
      <c r="C3448" s="64">
        <v>42566</v>
      </c>
      <c r="D3448" s="64" t="s">
        <v>893</v>
      </c>
      <c r="E3448" s="64">
        <f t="shared" si="230"/>
        <v>42566</v>
      </c>
      <c r="F3448" s="72" t="s">
        <v>1126</v>
      </c>
      <c r="G3448" s="67" t="s">
        <v>902</v>
      </c>
      <c r="H3448" s="72" t="s">
        <v>748</v>
      </c>
      <c r="I3448" s="408"/>
      <c r="J3448" s="408"/>
      <c r="K3448" s="399"/>
      <c r="L3448" s="408"/>
      <c r="M3448" s="65">
        <v>290000000</v>
      </c>
      <c r="N3448" s="66" t="s">
        <v>61</v>
      </c>
      <c r="O3448" s="66" t="s">
        <v>25</v>
      </c>
      <c r="P3448" s="82" t="str">
        <f>IF(AND('331-CT'!$E$7=TH!H3448,OR(N3448="331",O3448="331")),"x","")</f>
        <v/>
      </c>
      <c r="Q3448" s="82" t="str">
        <f>IF(AND(B3448='111'!$L$11,OR($N3448=$Q$7,$O3448=$Q$7)),"x","")</f>
        <v/>
      </c>
      <c r="R3448" s="82" t="str">
        <f>IF(AND($N3448=$Q$7,$B3448&lt;'111'!$L$11),"x","")</f>
        <v>x</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customHeight="1">
      <c r="A3449" s="323" t="str">
        <f>IF(B3449&lt;&gt;"",IF(AND(B3449='IN-TC'!$S$4,OR(TH!N3435="1111",TH!O3435="1111")),TH!D3435,""),"")</f>
        <v/>
      </c>
      <c r="B3449" s="63">
        <f t="shared" si="229"/>
        <v>7</v>
      </c>
      <c r="C3449" s="64">
        <v>42567</v>
      </c>
      <c r="D3449" s="64" t="s">
        <v>872</v>
      </c>
      <c r="E3449" s="64">
        <f t="shared" si="230"/>
        <v>42567</v>
      </c>
      <c r="F3449" s="72" t="s">
        <v>1710</v>
      </c>
      <c r="G3449" s="931" t="s">
        <v>1711</v>
      </c>
      <c r="H3449" s="72" t="s">
        <v>1391</v>
      </c>
      <c r="I3449" s="408"/>
      <c r="J3449" s="408"/>
      <c r="K3449" s="399"/>
      <c r="L3449" s="408"/>
      <c r="M3449" s="65">
        <v>7000400</v>
      </c>
      <c r="N3449" s="66" t="s">
        <v>8</v>
      </c>
      <c r="O3449" s="66" t="s">
        <v>61</v>
      </c>
      <c r="P3449" s="82" t="str">
        <f>IF(AND('331-CT'!$E$7=TH!H3449,OR(N3449="331",O3449="331")),"x","")</f>
        <v/>
      </c>
      <c r="Q3449" s="82" t="str">
        <f>IF(AND(B3449='111'!$L$11,OR($N3449=$Q$7,$O3449=$Q$7)),"x","")</f>
        <v/>
      </c>
      <c r="R3449" s="82" t="str">
        <f>IF(AND($N3449=$Q$7,$B3449&lt;'111'!$L$11),"x","")</f>
        <v/>
      </c>
      <c r="S3449" s="82" t="str">
        <f>IF(AND($O3449=$Q$7,$B3449&lt;'111'!$L$11),"x","")</f>
        <v>x</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customHeight="1">
      <c r="A3450" s="323" t="str">
        <f>IF(B3450&lt;&gt;"",IF(AND(B3450='IN-TC'!$S$4,OR(TH!N3438="1111",TH!O3438="1111")),TH!D3438,""),"")</f>
        <v/>
      </c>
      <c r="B3450" s="63">
        <f t="shared" si="229"/>
        <v>7</v>
      </c>
      <c r="C3450" s="1092">
        <v>42569</v>
      </c>
      <c r="D3450" s="1092" t="s">
        <v>873</v>
      </c>
      <c r="E3450" s="1092">
        <f t="shared" si="230"/>
        <v>42569</v>
      </c>
      <c r="F3450" s="482" t="s">
        <v>947</v>
      </c>
      <c r="G3450" s="1094"/>
      <c r="H3450" s="1093" t="s">
        <v>946</v>
      </c>
      <c r="I3450" s="1095"/>
      <c r="J3450" s="1095"/>
      <c r="K3450" s="1096"/>
      <c r="L3450" s="1095"/>
      <c r="M3450" s="1097">
        <v>697200000</v>
      </c>
      <c r="N3450" s="1098" t="s">
        <v>266</v>
      </c>
      <c r="O3450" s="1098" t="s">
        <v>61</v>
      </c>
      <c r="P3450" s="82" t="str">
        <f>IF(AND('331-CT'!$E$7=TH!H3450,OR(N3450="331",O3450="331")),"x","")</f>
        <v/>
      </c>
      <c r="Q3450" s="82" t="str">
        <f>IF(AND(B3450='111'!$L$11,OR($N3450=$Q$7,$O3450=$Q$7)),"x","")</f>
        <v/>
      </c>
      <c r="R3450" s="82" t="str">
        <f>IF(AND($N3450=$Q$7,$B3450&lt;'111'!$L$11),"x","")</f>
        <v/>
      </c>
      <c r="S3450" s="82" t="str">
        <f>IF(AND($O3450=$Q$7,$B3450&lt;'111'!$L$11),"x","")</f>
        <v>x</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customHeight="1">
      <c r="A3451" s="323" t="str">
        <f>IF(B3451&lt;&gt;"",IF(AND(B3451='IN-TC'!$S$4,OR(TH!N3456="1111",TH!O3456="1111")),TH!D3456,""),"")</f>
        <v/>
      </c>
      <c r="B3451" s="63">
        <f t="shared" si="229"/>
        <v>7</v>
      </c>
      <c r="C3451" s="1092">
        <v>42569</v>
      </c>
      <c r="D3451" s="1092" t="s">
        <v>874</v>
      </c>
      <c r="E3451" s="1092">
        <f t="shared" si="230"/>
        <v>42569</v>
      </c>
      <c r="F3451" s="482" t="s">
        <v>947</v>
      </c>
      <c r="G3451" s="1094"/>
      <c r="H3451" s="1093" t="s">
        <v>3001</v>
      </c>
      <c r="I3451" s="1095"/>
      <c r="J3451" s="1095"/>
      <c r="K3451" s="1096"/>
      <c r="L3451" s="1095"/>
      <c r="M3451" s="1097">
        <v>606575000</v>
      </c>
      <c r="N3451" s="1098" t="s">
        <v>266</v>
      </c>
      <c r="O3451" s="1098" t="s">
        <v>61</v>
      </c>
      <c r="P3451" s="82" t="str">
        <f>IF(AND('331-CT'!$E$7=TH!H3451,OR(N3451="331",O3451="331")),"x","")</f>
        <v/>
      </c>
      <c r="Q3451" s="82" t="str">
        <f>IF(AND(B3451='111'!$L$11,OR($N3451=$Q$7,$O3451=$Q$7)),"x","")</f>
        <v/>
      </c>
      <c r="R3451" s="82" t="str">
        <f>IF(AND($N3451=$Q$7,$B3451&lt;'111'!$L$11),"x","")</f>
        <v/>
      </c>
      <c r="S3451" s="82" t="str">
        <f>IF(AND($O3451=$Q$7,$B3451&lt;'111'!$L$11),"x","")</f>
        <v>x</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customHeight="1">
      <c r="A3452" s="323" t="str">
        <f>IF(B3452&lt;&gt;"",IF(AND(B3452='IN-TC'!$S$4,OR(TH!N3457="1111",TH!O3457="1111")),TH!D3457,""),"")</f>
        <v/>
      </c>
      <c r="B3452" s="63">
        <f t="shared" si="229"/>
        <v>7</v>
      </c>
      <c r="C3452" s="64">
        <v>42569</v>
      </c>
      <c r="D3452" s="64" t="s">
        <v>875</v>
      </c>
      <c r="E3452" s="64">
        <f t="shared" si="230"/>
        <v>42569</v>
      </c>
      <c r="F3452" s="72" t="s">
        <v>1122</v>
      </c>
      <c r="G3452" s="931" t="s">
        <v>1712</v>
      </c>
      <c r="H3452" s="72" t="s">
        <v>1125</v>
      </c>
      <c r="I3452" s="408"/>
      <c r="J3452" s="408"/>
      <c r="K3452" s="399"/>
      <c r="L3452" s="408"/>
      <c r="M3452" s="65">
        <v>2069520</v>
      </c>
      <c r="N3452" s="66" t="s">
        <v>99</v>
      </c>
      <c r="O3452" s="66" t="s">
        <v>61</v>
      </c>
      <c r="P3452" s="82" t="str">
        <f>IF(AND('331-CT'!$E$7=TH!H3452,OR(N3452="331",O3452="331")),"x","")</f>
        <v/>
      </c>
      <c r="Q3452" s="82" t="str">
        <f>IF(AND(B3452='111'!$L$11,OR($N3452=$Q$7,$O3452=$Q$7)),"x","")</f>
        <v/>
      </c>
      <c r="R3452" s="82" t="str">
        <f>IF(AND($N3452=$Q$7,$B3452&lt;'111'!$L$11),"x","")</f>
        <v/>
      </c>
      <c r="S3452" s="82" t="str">
        <f>IF(AND($O3452=$Q$7,$B3452&lt;'111'!$L$11),"x","")</f>
        <v>x</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customHeight="1">
      <c r="A3453" s="323" t="str">
        <f>IF(B3453&lt;&gt;"",IF(AND(B3453='IN-TC'!$S$4,OR(TH!N3458="1111",TH!O3458="1111")),TH!D3458,""),"")</f>
        <v/>
      </c>
      <c r="B3453" s="63">
        <f t="shared" si="229"/>
        <v>7</v>
      </c>
      <c r="C3453" s="64">
        <v>42569</v>
      </c>
      <c r="D3453" s="64" t="s">
        <v>875</v>
      </c>
      <c r="E3453" s="64">
        <f t="shared" si="230"/>
        <v>42569</v>
      </c>
      <c r="F3453" s="72" t="s">
        <v>1123</v>
      </c>
      <c r="G3453" s="931" t="s">
        <v>1712</v>
      </c>
      <c r="H3453" s="72" t="s">
        <v>1125</v>
      </c>
      <c r="I3453" s="408"/>
      <c r="J3453" s="408"/>
      <c r="K3453" s="399"/>
      <c r="L3453" s="408"/>
      <c r="M3453" s="65">
        <v>206952</v>
      </c>
      <c r="N3453" s="66" t="s">
        <v>9</v>
      </c>
      <c r="O3453" s="66" t="s">
        <v>61</v>
      </c>
      <c r="P3453" s="82" t="str">
        <f>IF(AND('331-CT'!$E$7=TH!H3453,OR(N3453="331",O3453="331")),"x","")</f>
        <v/>
      </c>
      <c r="Q3453" s="82" t="str">
        <f>IF(AND(B3453='111'!$L$11,OR($N3453=$Q$7,$O3453=$Q$7)),"x","")</f>
        <v/>
      </c>
      <c r="R3453" s="82" t="str">
        <f>IF(AND($N3453=$Q$7,$B3453&lt;'111'!$L$11),"x","")</f>
        <v/>
      </c>
      <c r="S3453" s="82" t="str">
        <f>IF(AND($O3453=$Q$7,$B3453&lt;'111'!$L$11),"x","")</f>
        <v>x</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x</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customHeight="1">
      <c r="A3454" s="323" t="str">
        <f>IF(B3454&lt;&gt;"",IF(AND(B3454='IN-TC'!$S$4,OR(TH!N3460="1111",TH!O3460="1111")),TH!D3460,""),"")</f>
        <v/>
      </c>
      <c r="B3454" s="63">
        <f t="shared" si="229"/>
        <v>7</v>
      </c>
      <c r="C3454" s="64">
        <v>42570</v>
      </c>
      <c r="D3454" s="64" t="s">
        <v>876</v>
      </c>
      <c r="E3454" s="64">
        <f t="shared" si="230"/>
        <v>42570</v>
      </c>
      <c r="F3454" s="72" t="s">
        <v>1678</v>
      </c>
      <c r="G3454" s="931" t="s">
        <v>1714</v>
      </c>
      <c r="H3454" s="72" t="s">
        <v>815</v>
      </c>
      <c r="I3454" s="408"/>
      <c r="J3454" s="408"/>
      <c r="K3454" s="399"/>
      <c r="L3454" s="408"/>
      <c r="M3454" s="65">
        <v>500000</v>
      </c>
      <c r="N3454" s="66" t="s">
        <v>99</v>
      </c>
      <c r="O3454" s="66" t="s">
        <v>61</v>
      </c>
      <c r="P3454" s="82" t="str">
        <f>IF(AND('331-CT'!$E$7=TH!H3454,OR(N3454="331",O3454="331")),"x","")</f>
        <v/>
      </c>
      <c r="Q3454" s="82" t="str">
        <f>IF(AND(B3454='111'!$L$11,OR($N3454=$Q$7,$O3454=$Q$7)),"x","")</f>
        <v/>
      </c>
      <c r="R3454" s="82" t="str">
        <f>IF(AND($N3454=$Q$7,$B3454&lt;'111'!$L$11),"x","")</f>
        <v/>
      </c>
      <c r="S3454" s="82" t="str">
        <f>IF(AND($O3454=$Q$7,$B3454&lt;'111'!$L$11),"x","")</f>
        <v>x</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customHeight="1">
      <c r="A3455" s="323" t="str">
        <f>IF(B3455&lt;&gt;"",IF(AND(B3455='IN-TC'!$S$4,OR(TH!N3461="1111",TH!O3461="1111")),TH!D3461,""),"")</f>
        <v/>
      </c>
      <c r="B3455" s="63">
        <f t="shared" si="229"/>
        <v>7</v>
      </c>
      <c r="C3455" s="64">
        <v>42570</v>
      </c>
      <c r="D3455" s="64" t="s">
        <v>876</v>
      </c>
      <c r="E3455" s="64">
        <f t="shared" si="230"/>
        <v>42570</v>
      </c>
      <c r="F3455" s="72" t="s">
        <v>1515</v>
      </c>
      <c r="G3455" s="931" t="s">
        <v>1714</v>
      </c>
      <c r="H3455" s="72" t="s">
        <v>815</v>
      </c>
      <c r="I3455" s="408"/>
      <c r="J3455" s="408"/>
      <c r="K3455" s="399"/>
      <c r="L3455" s="408"/>
      <c r="M3455" s="65">
        <v>25000</v>
      </c>
      <c r="N3455" s="66" t="s">
        <v>9</v>
      </c>
      <c r="O3455" s="66" t="s">
        <v>61</v>
      </c>
      <c r="P3455" s="82" t="str">
        <f>IF(AND('331-CT'!$E$7=TH!H3455,OR(N3455="331",O3455="331")),"x","")</f>
        <v/>
      </c>
      <c r="Q3455" s="82" t="str">
        <f>IF(AND(B3455='111'!$L$11,OR($N3455=$Q$7,$O3455=$Q$7)),"x","")</f>
        <v/>
      </c>
      <c r="R3455" s="82" t="str">
        <f>IF(AND($N3455=$Q$7,$B3455&lt;'111'!$L$11),"x","")</f>
        <v/>
      </c>
      <c r="S3455" s="82" t="str">
        <f>IF(AND($O3455=$Q$7,$B3455&lt;'111'!$L$11),"x","")</f>
        <v>x</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x</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customHeight="1">
      <c r="A3456" s="323" t="str">
        <f>IF(B3456&lt;&gt;"",IF(AND(B3456='IN-TC'!$S$4,OR(TH!N3462="1111",TH!O3462="1111")),TH!D3462,""),"")</f>
        <v/>
      </c>
      <c r="B3456" s="63">
        <f t="shared" si="229"/>
        <v>7</v>
      </c>
      <c r="C3456" s="64">
        <v>42572</v>
      </c>
      <c r="D3456" s="64" t="s">
        <v>877</v>
      </c>
      <c r="E3456" s="64">
        <f t="shared" si="230"/>
        <v>42572</v>
      </c>
      <c r="F3456" s="72" t="s">
        <v>1690</v>
      </c>
      <c r="G3456" s="931" t="s">
        <v>1691</v>
      </c>
      <c r="H3456" s="72" t="s">
        <v>1692</v>
      </c>
      <c r="I3456" s="408"/>
      <c r="J3456" s="408"/>
      <c r="K3456" s="399"/>
      <c r="L3456" s="408"/>
      <c r="M3456" s="65">
        <v>2119091</v>
      </c>
      <c r="N3456" s="66" t="s">
        <v>99</v>
      </c>
      <c r="O3456" s="66" t="s">
        <v>61</v>
      </c>
      <c r="P3456" s="82" t="str">
        <f>IF(AND('331-CT'!$E$7=TH!H3456,OR(N3456="331",O3456="331")),"x","")</f>
        <v/>
      </c>
      <c r="Q3456" s="82" t="str">
        <f>IF(AND(B3456='111'!$L$11,OR($N3456=$Q$7,$O3456=$Q$7)),"x","")</f>
        <v/>
      </c>
      <c r="R3456" s="82" t="str">
        <f>IF(AND($N3456=$Q$7,$B3456&lt;'111'!$L$11),"x","")</f>
        <v/>
      </c>
      <c r="S3456" s="82" t="str">
        <f>IF(AND($O3456=$Q$7,$B3456&lt;'111'!$L$11),"x","")</f>
        <v>x</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customHeight="1">
      <c r="A3457" s="323" t="str">
        <f>IF(B3457&lt;&gt;"",IF(AND(B3457='IN-TC'!$S$4,OR(TH!N3463="1111",TH!O3463="1111")),TH!D3463,""),"")</f>
        <v/>
      </c>
      <c r="B3457" s="63">
        <f t="shared" si="229"/>
        <v>7</v>
      </c>
      <c r="C3457" s="64">
        <v>42572</v>
      </c>
      <c r="D3457" s="64" t="s">
        <v>877</v>
      </c>
      <c r="E3457" s="64">
        <f t="shared" si="230"/>
        <v>42572</v>
      </c>
      <c r="F3457" s="72" t="s">
        <v>1693</v>
      </c>
      <c r="G3457" s="931" t="s">
        <v>1691</v>
      </c>
      <c r="H3457" s="72" t="s">
        <v>1692</v>
      </c>
      <c r="I3457" s="408"/>
      <c r="J3457" s="408"/>
      <c r="K3457" s="399"/>
      <c r="L3457" s="408"/>
      <c r="M3457" s="65">
        <v>211909</v>
      </c>
      <c r="N3457" s="66" t="s">
        <v>9</v>
      </c>
      <c r="O3457" s="66" t="s">
        <v>61</v>
      </c>
      <c r="P3457" s="82" t="str">
        <f>IF(AND('331-CT'!$E$7=TH!H3457,OR(N3457="331",O3457="331")),"x","")</f>
        <v/>
      </c>
      <c r="Q3457" s="82" t="str">
        <f>IF(AND(B3457='111'!$L$11,OR($N3457=$Q$7,$O3457=$Q$7)),"x","")</f>
        <v/>
      </c>
      <c r="R3457" s="82" t="str">
        <f>IF(AND($N3457=$Q$7,$B3457&lt;'111'!$L$11),"x","")</f>
        <v/>
      </c>
      <c r="S3457" s="82" t="str">
        <f>IF(AND($O3457=$Q$7,$B3457&lt;'111'!$L$11),"x","")</f>
        <v>x</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x</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customHeight="1">
      <c r="A3458" s="323" t="str">
        <f>IF(B3458&lt;&gt;"",IF(AND(B3458='IN-TC'!$S$4,OR(TH!N3464="1111",TH!O3464="1111")),TH!D3464,""),"")</f>
        <v/>
      </c>
      <c r="B3458" s="63">
        <f t="shared" si="229"/>
        <v>7</v>
      </c>
      <c r="C3458" s="64">
        <v>42572</v>
      </c>
      <c r="D3458" s="64" t="s">
        <v>687</v>
      </c>
      <c r="E3458" s="64">
        <f t="shared" si="230"/>
        <v>42572</v>
      </c>
      <c r="F3458" s="72" t="s">
        <v>1757</v>
      </c>
      <c r="G3458" s="67" t="s">
        <v>902</v>
      </c>
      <c r="H3458" s="72" t="s">
        <v>1340</v>
      </c>
      <c r="I3458" s="408"/>
      <c r="J3458" s="408"/>
      <c r="K3458" s="399"/>
      <c r="L3458" s="408"/>
      <c r="M3458" s="65">
        <v>321158412</v>
      </c>
      <c r="N3458" s="66" t="s">
        <v>25</v>
      </c>
      <c r="O3458" s="66" t="s">
        <v>70</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customHeight="1">
      <c r="A3459" s="323" t="str">
        <f>IF(B3459&lt;&gt;"",IF(AND(B3459='IN-TC'!$S$4,OR(TH!N3474="1111",TH!O3474="1111")),TH!D3474,""),"")</f>
        <v/>
      </c>
      <c r="B3459" s="63">
        <f t="shared" si="229"/>
        <v>7</v>
      </c>
      <c r="C3459" s="64">
        <v>42573</v>
      </c>
      <c r="D3459" s="64" t="s">
        <v>690</v>
      </c>
      <c r="E3459" s="64">
        <f t="shared" si="230"/>
        <v>42573</v>
      </c>
      <c r="F3459" s="72" t="s">
        <v>1760</v>
      </c>
      <c r="G3459" s="67" t="s">
        <v>1856</v>
      </c>
      <c r="H3459" s="72" t="s">
        <v>1761</v>
      </c>
      <c r="I3459" s="408"/>
      <c r="J3459" s="408"/>
      <c r="K3459" s="399"/>
      <c r="L3459" s="408"/>
      <c r="M3459" s="65">
        <v>32000000</v>
      </c>
      <c r="N3459" s="66" t="s">
        <v>25</v>
      </c>
      <c r="O3459" s="66" t="s">
        <v>25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x</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customHeight="1">
      <c r="A3460" s="323" t="str">
        <f>IF(B3460&lt;&gt;"",IF(AND(B3460='IN-TC'!$S$4,OR(TH!N3465="1111",TH!O3465="1111")),TH!D3465,""),"")</f>
        <v/>
      </c>
      <c r="B3460" s="63">
        <f t="shared" si="229"/>
        <v>7</v>
      </c>
      <c r="C3460" s="64">
        <v>42573</v>
      </c>
      <c r="D3460" s="64" t="s">
        <v>687</v>
      </c>
      <c r="E3460" s="64">
        <f t="shared" si="230"/>
        <v>42573</v>
      </c>
      <c r="F3460" s="72" t="s">
        <v>1766</v>
      </c>
      <c r="G3460" s="67" t="s">
        <v>1544</v>
      </c>
      <c r="H3460" s="72"/>
      <c r="I3460" s="408"/>
      <c r="J3460" s="408"/>
      <c r="K3460" s="399">
        <v>30</v>
      </c>
      <c r="L3460" s="408">
        <v>22330</v>
      </c>
      <c r="M3460" s="65">
        <f>ROUND(K3460*L3460,0)</f>
        <v>669900</v>
      </c>
      <c r="N3460" s="66" t="s">
        <v>260</v>
      </c>
      <c r="O3460" s="66" t="s">
        <v>25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x</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customHeight="1">
      <c r="A3461" s="323" t="str">
        <f>IF(B3461&lt;&gt;"",IF(AND(B3461='IN-TC'!$S$4,OR(TH!N3475="1111",TH!O3475="1111")),TH!D3475,""),"")</f>
        <v/>
      </c>
      <c r="B3461" s="63">
        <f t="shared" si="229"/>
        <v>7</v>
      </c>
      <c r="C3461" s="64">
        <v>42573</v>
      </c>
      <c r="D3461" s="64" t="s">
        <v>687</v>
      </c>
      <c r="E3461" s="64">
        <f t="shared" si="230"/>
        <v>42573</v>
      </c>
      <c r="F3461" s="72" t="s">
        <v>1762</v>
      </c>
      <c r="G3461" s="67" t="s">
        <v>902</v>
      </c>
      <c r="H3461" s="72" t="s">
        <v>1753</v>
      </c>
      <c r="I3461" s="408"/>
      <c r="J3461" s="408"/>
      <c r="K3461" s="399"/>
      <c r="L3461" s="408"/>
      <c r="M3461" s="65">
        <v>21828000</v>
      </c>
      <c r="N3461" s="66" t="s">
        <v>25</v>
      </c>
      <c r="O3461" s="66" t="s">
        <v>581</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customHeight="1">
      <c r="A3462" s="323" t="str">
        <f>IF(B3462&lt;&gt;"",IF(AND(B3462='IN-TC'!$S$4,OR(TH!N3466="1111",TH!O3466="1111")),TH!D3466,""),"")</f>
        <v/>
      </c>
      <c r="B3462" s="63">
        <f t="shared" si="229"/>
        <v>7</v>
      </c>
      <c r="C3462" s="64">
        <v>42573</v>
      </c>
      <c r="D3462" s="64" t="s">
        <v>690</v>
      </c>
      <c r="E3462" s="64">
        <f t="shared" si="230"/>
        <v>42573</v>
      </c>
      <c r="F3462" s="72" t="s">
        <v>1765</v>
      </c>
      <c r="G3462" s="67" t="s">
        <v>1544</v>
      </c>
      <c r="H3462" s="72"/>
      <c r="I3462" s="408"/>
      <c r="J3462" s="408"/>
      <c r="K3462" s="399"/>
      <c r="L3462" s="408"/>
      <c r="M3462" s="65">
        <v>111650</v>
      </c>
      <c r="N3462" s="66" t="s">
        <v>99</v>
      </c>
      <c r="O3462" s="66" t="s">
        <v>25</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x</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customHeight="1">
      <c r="A3463" s="323" t="str">
        <f>IF(B3463&lt;&gt;"",IF(AND(B3463='IN-TC'!$S$4,OR(TH!N3467="1111",TH!O3467="1111")),TH!D3467,""),"")</f>
        <v/>
      </c>
      <c r="B3463" s="63">
        <f t="shared" si="229"/>
        <v>7</v>
      </c>
      <c r="C3463" s="64">
        <v>42573</v>
      </c>
      <c r="D3463" s="64" t="s">
        <v>690</v>
      </c>
      <c r="E3463" s="64">
        <f t="shared" si="230"/>
        <v>42573</v>
      </c>
      <c r="F3463" s="72" t="s">
        <v>1767</v>
      </c>
      <c r="G3463" s="67" t="s">
        <v>1544</v>
      </c>
      <c r="H3463" s="922" t="s">
        <v>1860</v>
      </c>
      <c r="I3463" s="408"/>
      <c r="J3463" s="408"/>
      <c r="K3463" s="399"/>
      <c r="L3463" s="408"/>
      <c r="M3463" s="65">
        <v>5889312</v>
      </c>
      <c r="N3463" s="66" t="s">
        <v>97</v>
      </c>
      <c r="O3463" s="66" t="s">
        <v>25</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x</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customHeight="1">
      <c r="A3464" s="323" t="str">
        <f>IF(B3464&lt;&gt;"",IF(AND(B3464='IN-TC'!$S$4,OR(TH!N3468="1111",TH!O3468="1111")),TH!D3468,""),"")</f>
        <v/>
      </c>
      <c r="B3464" s="63">
        <f t="shared" si="229"/>
        <v>7</v>
      </c>
      <c r="C3464" s="64">
        <v>42573</v>
      </c>
      <c r="D3464" s="64" t="s">
        <v>690</v>
      </c>
      <c r="E3464" s="64">
        <f t="shared" si="230"/>
        <v>42573</v>
      </c>
      <c r="F3464" s="72" t="s">
        <v>1767</v>
      </c>
      <c r="G3464" s="67" t="s">
        <v>1544</v>
      </c>
      <c r="H3464" s="922" t="s">
        <v>1860</v>
      </c>
      <c r="I3464" s="408"/>
      <c r="J3464" s="408"/>
      <c r="K3464" s="399"/>
      <c r="L3464" s="408"/>
      <c r="M3464" s="65">
        <v>6456140</v>
      </c>
      <c r="N3464" s="66" t="s">
        <v>97</v>
      </c>
      <c r="O3464" s="66" t="s">
        <v>25</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x</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customHeight="1">
      <c r="A3465" s="323" t="str">
        <f>IF(B3465&lt;&gt;"",IF(AND(B3465='IN-TC'!$S$4,OR(TH!N3469="1111",TH!O3469="1111")),TH!D3469,""),"")</f>
        <v/>
      </c>
      <c r="B3465" s="63">
        <f t="shared" si="229"/>
        <v>7</v>
      </c>
      <c r="C3465" s="64">
        <v>42573</v>
      </c>
      <c r="D3465" s="64" t="s">
        <v>690</v>
      </c>
      <c r="E3465" s="64">
        <f t="shared" si="230"/>
        <v>42573</v>
      </c>
      <c r="F3465" s="72" t="s">
        <v>1767</v>
      </c>
      <c r="G3465" s="67" t="s">
        <v>1544</v>
      </c>
      <c r="H3465" s="922" t="s">
        <v>1860</v>
      </c>
      <c r="I3465" s="408"/>
      <c r="J3465" s="408"/>
      <c r="K3465" s="399"/>
      <c r="L3465" s="408"/>
      <c r="M3465" s="65">
        <v>6491628</v>
      </c>
      <c r="N3465" s="66" t="s">
        <v>97</v>
      </c>
      <c r="O3465" s="66" t="s">
        <v>25</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x</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customHeight="1">
      <c r="A3466" s="323" t="str">
        <f>IF(B3466&lt;&gt;"",IF(AND(B3466='IN-TC'!$S$4,OR(TH!N3470="1111",TH!O3470="1111")),TH!D3470,""),"")</f>
        <v/>
      </c>
      <c r="B3466" s="63">
        <f t="shared" si="229"/>
        <v>7</v>
      </c>
      <c r="C3466" s="64">
        <v>42573</v>
      </c>
      <c r="D3466" s="64" t="s">
        <v>690</v>
      </c>
      <c r="E3466" s="64">
        <f t="shared" si="230"/>
        <v>42573</v>
      </c>
      <c r="F3466" s="72" t="s">
        <v>1767</v>
      </c>
      <c r="G3466" s="67" t="s">
        <v>1544</v>
      </c>
      <c r="H3466" s="922" t="s">
        <v>1860</v>
      </c>
      <c r="I3466" s="408"/>
      <c r="J3466" s="408"/>
      <c r="K3466" s="399"/>
      <c r="L3466" s="408"/>
      <c r="M3466" s="65">
        <v>5487768</v>
      </c>
      <c r="N3466" s="66" t="s">
        <v>97</v>
      </c>
      <c r="O3466" s="66" t="s">
        <v>25</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x</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customHeight="1">
      <c r="A3467" s="323" t="str">
        <f>IF(B3467&lt;&gt;"",IF(AND(B3467='IN-TC'!$S$4,OR(TH!N3459="1111",TH!O3459="1111")),TH!D3459,""),"")</f>
        <v/>
      </c>
      <c r="B3467" s="63">
        <f t="shared" si="229"/>
        <v>7</v>
      </c>
      <c r="C3467" s="64">
        <v>42573</v>
      </c>
      <c r="D3467" s="64" t="s">
        <v>690</v>
      </c>
      <c r="E3467" s="64">
        <f t="shared" si="230"/>
        <v>42573</v>
      </c>
      <c r="F3467" s="72" t="s">
        <v>1767</v>
      </c>
      <c r="G3467" s="67" t="s">
        <v>1544</v>
      </c>
      <c r="H3467" s="922" t="s">
        <v>1860</v>
      </c>
      <c r="I3467" s="408"/>
      <c r="J3467" s="408"/>
      <c r="K3467" s="399"/>
      <c r="L3467" s="408"/>
      <c r="M3467" s="65">
        <v>6023160</v>
      </c>
      <c r="N3467" s="66" t="s">
        <v>97</v>
      </c>
      <c r="O3467" s="66" t="s">
        <v>25</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x</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customHeight="1">
      <c r="A3468" s="323" t="str">
        <f>IF(B3468&lt;&gt;"",IF(AND(B3468='IN-TC'!$S$4,OR(TH!N3471="1111",TH!O3471="1111")),TH!D3471,""),"")</f>
        <v/>
      </c>
      <c r="B3468" s="63">
        <f t="shared" si="229"/>
        <v>7</v>
      </c>
      <c r="C3468" s="64">
        <v>42573</v>
      </c>
      <c r="D3468" s="64" t="s">
        <v>690</v>
      </c>
      <c r="E3468" s="64">
        <f t="shared" si="230"/>
        <v>42573</v>
      </c>
      <c r="F3468" s="72" t="s">
        <v>1767</v>
      </c>
      <c r="G3468" s="67" t="s">
        <v>1544</v>
      </c>
      <c r="H3468" s="922" t="s">
        <v>1860</v>
      </c>
      <c r="I3468" s="408"/>
      <c r="J3468" s="408"/>
      <c r="K3468" s="399"/>
      <c r="L3468" s="408"/>
      <c r="M3468" s="65">
        <v>4082364</v>
      </c>
      <c r="N3468" s="66" t="s">
        <v>97</v>
      </c>
      <c r="O3468" s="66" t="s">
        <v>25</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x</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customHeight="1">
      <c r="A3469" s="323" t="str">
        <f>IF(B3469&lt;&gt;"",IF(AND(B3469='IN-TC'!$S$4,OR(TH!N3472="1111",TH!O3472="1111")),TH!D3472,""),"")</f>
        <v/>
      </c>
      <c r="B3469" s="63">
        <f t="shared" si="229"/>
        <v>7</v>
      </c>
      <c r="C3469" s="64">
        <v>42573</v>
      </c>
      <c r="D3469" s="64" t="s">
        <v>690</v>
      </c>
      <c r="E3469" s="64">
        <f t="shared" si="230"/>
        <v>42573</v>
      </c>
      <c r="F3469" s="72" t="s">
        <v>1767</v>
      </c>
      <c r="G3469" s="67" t="s">
        <v>1544</v>
      </c>
      <c r="H3469" s="922" t="s">
        <v>1860</v>
      </c>
      <c r="I3469" s="408"/>
      <c r="J3469" s="408"/>
      <c r="K3469" s="399"/>
      <c r="L3469" s="408"/>
      <c r="M3469" s="65">
        <v>5956236</v>
      </c>
      <c r="N3469" s="66" t="s">
        <v>97</v>
      </c>
      <c r="O3469" s="66" t="s">
        <v>25</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x</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customHeight="1">
      <c r="A3470" s="323" t="str">
        <f>IF(B3470&lt;&gt;"",IF(AND(B3470='IN-TC'!$S$4,OR(TH!N3473="1111",TH!O3473="1111")),TH!D3473,""),"")</f>
        <v/>
      </c>
      <c r="B3470" s="63">
        <f t="shared" si="229"/>
        <v>7</v>
      </c>
      <c r="C3470" s="64">
        <v>42573</v>
      </c>
      <c r="D3470" s="64" t="s">
        <v>690</v>
      </c>
      <c r="E3470" s="64">
        <f t="shared" si="230"/>
        <v>42573</v>
      </c>
      <c r="F3470" s="72" t="s">
        <v>1776</v>
      </c>
      <c r="G3470" s="67" t="s">
        <v>1544</v>
      </c>
      <c r="H3470" s="72"/>
      <c r="I3470" s="408"/>
      <c r="J3470" s="408"/>
      <c r="K3470" s="399">
        <v>30.33</v>
      </c>
      <c r="L3470" s="408">
        <v>22330</v>
      </c>
      <c r="M3470" s="65">
        <f>ROUND(K3470*L3470,0)</f>
        <v>677269</v>
      </c>
      <c r="N3470" s="66" t="s">
        <v>99</v>
      </c>
      <c r="O3470" s="66" t="s">
        <v>260</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customHeight="1">
      <c r="A3471" s="323" t="str">
        <f>IF(B3471&lt;&gt;"",IF(AND(B3471='IN-TC'!$S$4,OR(TH!N581="1111",TH!O581="1111")),TH!D581,""),"")</f>
        <v/>
      </c>
      <c r="B3471" s="63">
        <f t="shared" si="229"/>
        <v>12</v>
      </c>
      <c r="C3471" s="78">
        <v>42719</v>
      </c>
      <c r="D3471" s="78" t="s">
        <v>2338</v>
      </c>
      <c r="E3471" s="78">
        <f t="shared" si="230"/>
        <v>42719</v>
      </c>
      <c r="F3471" s="79" t="s">
        <v>455</v>
      </c>
      <c r="G3471" s="934" t="s">
        <v>2581</v>
      </c>
      <c r="H3471" s="80" t="s">
        <v>1198</v>
      </c>
      <c r="I3471" s="406">
        <v>52000</v>
      </c>
      <c r="J3471" s="406">
        <v>60000</v>
      </c>
      <c r="K3471" s="397"/>
      <c r="L3471" s="406"/>
      <c r="M3471" s="81">
        <f>ROUND(I3471*J3471,0)</f>
        <v>3120000000</v>
      </c>
      <c r="N3471" s="82" t="s">
        <v>278</v>
      </c>
      <c r="O3471" s="82" t="s">
        <v>8</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customHeight="1">
      <c r="A3472" s="323" t="str">
        <f>IF(B3472&lt;&gt;"",IF(AND(B3472='IN-TC'!$S$4,OR(TH!N3477="1111",TH!O3477="1111")),TH!D3477,""),"")</f>
        <v/>
      </c>
      <c r="B3472" s="63">
        <f t="shared" si="229"/>
        <v>7</v>
      </c>
      <c r="C3472" s="64">
        <v>42573</v>
      </c>
      <c r="D3472" s="64" t="s">
        <v>690</v>
      </c>
      <c r="E3472" s="64">
        <f t="shared" si="230"/>
        <v>42573</v>
      </c>
      <c r="F3472" s="72" t="s">
        <v>1758</v>
      </c>
      <c r="G3472" s="67" t="s">
        <v>902</v>
      </c>
      <c r="H3472" s="329" t="s">
        <v>618</v>
      </c>
      <c r="I3472" s="408"/>
      <c r="J3472" s="408"/>
      <c r="K3472" s="399"/>
      <c r="L3472" s="408"/>
      <c r="M3472" s="65">
        <v>40000000</v>
      </c>
      <c r="N3472" s="66" t="s">
        <v>8</v>
      </c>
      <c r="O3472" s="66" t="s">
        <v>25</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1" ht="15.75" customHeight="1">
      <c r="A3473" s="323" t="str">
        <f>IF(B3473&lt;&gt;"",IF(AND(B3473='IN-TC'!$S$4,OR(TH!N3478="1111",TH!O3478="1111")),TH!D3478,""),"")</f>
        <v/>
      </c>
      <c r="B3473" s="63">
        <f t="shared" si="229"/>
        <v>7</v>
      </c>
      <c r="C3473" s="64">
        <v>42573</v>
      </c>
      <c r="D3473" s="64" t="s">
        <v>690</v>
      </c>
      <c r="E3473" s="64">
        <f t="shared" si="230"/>
        <v>42573</v>
      </c>
      <c r="F3473" s="72" t="s">
        <v>1156</v>
      </c>
      <c r="G3473" s="67" t="s">
        <v>902</v>
      </c>
      <c r="H3473" s="72" t="s">
        <v>1779</v>
      </c>
      <c r="I3473" s="408"/>
      <c r="J3473" s="408"/>
      <c r="K3473" s="399"/>
      <c r="L3473" s="408"/>
      <c r="M3473" s="65">
        <v>20000</v>
      </c>
      <c r="N3473" s="66" t="s">
        <v>99</v>
      </c>
      <c r="O3473" s="66" t="s">
        <v>25</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1" ht="15.75" customHeight="1">
      <c r="A3474" s="323" t="str">
        <f>IF(B3474&lt;&gt;"",IF(AND(B3474='IN-TC'!$S$4,OR(TH!N3479="1111",TH!O3479="1111")),TH!D3479,""),"")</f>
        <v/>
      </c>
      <c r="B3474" s="63">
        <f t="shared" si="229"/>
        <v>7</v>
      </c>
      <c r="C3474" s="64">
        <v>42573</v>
      </c>
      <c r="D3474" s="64" t="s">
        <v>690</v>
      </c>
      <c r="E3474" s="64">
        <f t="shared" si="230"/>
        <v>42573</v>
      </c>
      <c r="F3474" s="72" t="s">
        <v>1616</v>
      </c>
      <c r="G3474" s="67" t="s">
        <v>902</v>
      </c>
      <c r="H3474" s="72" t="s">
        <v>1779</v>
      </c>
      <c r="I3474" s="408"/>
      <c r="J3474" s="408"/>
      <c r="K3474" s="399"/>
      <c r="L3474" s="408"/>
      <c r="M3474" s="65">
        <v>2000</v>
      </c>
      <c r="N3474" s="66" t="s">
        <v>9</v>
      </c>
      <c r="O3474" s="66" t="s">
        <v>25</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x</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1" ht="15.75" customHeight="1">
      <c r="A3475" s="323" t="str">
        <f>IF(B3475&lt;&gt;"",IF(AND(B3475='IN-TC'!$S$4,OR(TH!N2110="1111",TH!O2110="1111")),TH!D2110,""),"")</f>
        <v/>
      </c>
      <c r="B3475" s="63">
        <f t="shared" si="229"/>
        <v>11</v>
      </c>
      <c r="C3475" s="78">
        <v>42681</v>
      </c>
      <c r="D3475" s="78" t="s">
        <v>570</v>
      </c>
      <c r="E3475" s="78">
        <v>42681</v>
      </c>
      <c r="F3475" s="80" t="s">
        <v>2349</v>
      </c>
      <c r="G3475" s="934" t="s">
        <v>2520</v>
      </c>
      <c r="H3475" s="80" t="s">
        <v>617</v>
      </c>
      <c r="I3475" s="406"/>
      <c r="J3475" s="406"/>
      <c r="K3475" s="397"/>
      <c r="L3475" s="406"/>
      <c r="M3475" s="81">
        <v>2839370</v>
      </c>
      <c r="N3475" s="82" t="s">
        <v>9</v>
      </c>
      <c r="O3475" s="82" t="s">
        <v>8</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x</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c r="AE3475">
        <v>1</v>
      </c>
    </row>
    <row r="3476" spans="1:31" ht="15.75" customHeight="1">
      <c r="A3476" s="323" t="str">
        <f>IF(B3476&lt;&gt;"",IF(AND(B3476='IN-TC'!$S$4,OR(TH!N3481="1111",TH!O3481="1111")),TH!D3481,""),"")</f>
        <v/>
      </c>
      <c r="B3476" s="63">
        <f t="shared" si="229"/>
        <v>7</v>
      </c>
      <c r="C3476" s="64">
        <v>42573</v>
      </c>
      <c r="D3476" s="64" t="s">
        <v>690</v>
      </c>
      <c r="E3476" s="64">
        <f>C3476</f>
        <v>42573</v>
      </c>
      <c r="F3476" s="72" t="s">
        <v>1156</v>
      </c>
      <c r="G3476" s="67" t="s">
        <v>902</v>
      </c>
      <c r="H3476" s="72" t="s">
        <v>1779</v>
      </c>
      <c r="I3476" s="408"/>
      <c r="J3476" s="408"/>
      <c r="K3476" s="399"/>
      <c r="L3476" s="408"/>
      <c r="M3476" s="65">
        <v>24649</v>
      </c>
      <c r="N3476" s="66" t="s">
        <v>99</v>
      </c>
      <c r="O3476" s="66" t="s">
        <v>25</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1" ht="15.75" customHeight="1">
      <c r="A3477" s="323" t="str">
        <f>IF(B3477&lt;&gt;"",IF(AND(B3477='IN-TC'!$S$4,OR(TH!N3482="1111",TH!O3482="1111")),TH!D3482,""),"")</f>
        <v/>
      </c>
      <c r="B3477" s="63">
        <f t="shared" si="229"/>
        <v>7</v>
      </c>
      <c r="C3477" s="64">
        <v>42573</v>
      </c>
      <c r="D3477" s="64" t="s">
        <v>690</v>
      </c>
      <c r="E3477" s="64">
        <f>C3477</f>
        <v>42573</v>
      </c>
      <c r="F3477" s="72" t="s">
        <v>1616</v>
      </c>
      <c r="G3477" s="67" t="s">
        <v>902</v>
      </c>
      <c r="H3477" s="72" t="s">
        <v>1779</v>
      </c>
      <c r="I3477" s="408"/>
      <c r="J3477" s="408"/>
      <c r="K3477" s="399"/>
      <c r="L3477" s="408"/>
      <c r="M3477" s="65">
        <v>2851</v>
      </c>
      <c r="N3477" s="66" t="s">
        <v>9</v>
      </c>
      <c r="O3477" s="66" t="s">
        <v>25</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x</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1" ht="15.75" customHeight="1">
      <c r="A3478" s="323" t="str">
        <f>IF(B3478&lt;&gt;"",IF(AND(B3478='IN-TC'!$S$4,OR(TH!N3483="1111",TH!O3483="1111")),TH!D3483,""),"")</f>
        <v/>
      </c>
      <c r="B3478" s="63">
        <f t="shared" si="229"/>
        <v>7</v>
      </c>
      <c r="C3478" s="64">
        <v>42573</v>
      </c>
      <c r="D3478" s="64" t="s">
        <v>690</v>
      </c>
      <c r="E3478" s="64">
        <f>C3478</f>
        <v>42573</v>
      </c>
      <c r="F3478" s="72" t="s">
        <v>1156</v>
      </c>
      <c r="G3478" s="67" t="s">
        <v>902</v>
      </c>
      <c r="H3478" s="72" t="s">
        <v>1779</v>
      </c>
      <c r="I3478" s="408"/>
      <c r="J3478" s="408"/>
      <c r="K3478" s="399"/>
      <c r="L3478" s="408"/>
      <c r="M3478" s="65">
        <v>20000</v>
      </c>
      <c r="N3478" s="66" t="s">
        <v>99</v>
      </c>
      <c r="O3478" s="66" t="s">
        <v>25</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1" ht="15.75" customHeight="1">
      <c r="A3479" s="323" t="str">
        <f>IF(B3479&lt;&gt;"",IF(AND(B3479='IN-TC'!$S$4,OR(TH!N3484="1111",TH!O3484="1111")),TH!D3484,""),"")</f>
        <v/>
      </c>
      <c r="B3479" s="63">
        <f t="shared" si="229"/>
        <v>7</v>
      </c>
      <c r="C3479" s="64">
        <v>42573</v>
      </c>
      <c r="D3479" s="64" t="s">
        <v>690</v>
      </c>
      <c r="E3479" s="64">
        <f>C3479</f>
        <v>42573</v>
      </c>
      <c r="F3479" s="72" t="s">
        <v>1616</v>
      </c>
      <c r="G3479" s="67" t="s">
        <v>902</v>
      </c>
      <c r="H3479" s="72" t="s">
        <v>1779</v>
      </c>
      <c r="I3479" s="408"/>
      <c r="J3479" s="408"/>
      <c r="K3479" s="399"/>
      <c r="L3479" s="408"/>
      <c r="M3479" s="65">
        <v>2000</v>
      </c>
      <c r="N3479" s="66" t="s">
        <v>9</v>
      </c>
      <c r="O3479" s="66" t="s">
        <v>25</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x</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1" ht="15.75" customHeight="1">
      <c r="A3480" s="323" t="str">
        <f>IF(B3480&lt;&gt;"",IF(AND(B3480='IN-TC'!$S$4,OR(TH!N2141="1111",TH!O2141="1111")),TH!D2141,""),"")</f>
        <v/>
      </c>
      <c r="B3480" s="63">
        <f t="shared" si="229"/>
        <v>12</v>
      </c>
      <c r="C3480" s="78">
        <v>42719</v>
      </c>
      <c r="D3480" s="78" t="s">
        <v>570</v>
      </c>
      <c r="E3480" s="78">
        <v>42719</v>
      </c>
      <c r="F3480" s="80" t="s">
        <v>2277</v>
      </c>
      <c r="G3480" s="934" t="s">
        <v>1351</v>
      </c>
      <c r="H3480" s="80" t="s">
        <v>1198</v>
      </c>
      <c r="I3480" s="406">
        <v>52000</v>
      </c>
      <c r="J3480" s="406">
        <v>10000</v>
      </c>
      <c r="K3480" s="397"/>
      <c r="L3480" s="406"/>
      <c r="M3480" s="81">
        <f>ROUND(I3480*J3480,0)</f>
        <v>520000000</v>
      </c>
      <c r="N3480" s="82" t="s">
        <v>276</v>
      </c>
      <c r="O3480" s="82" t="s">
        <v>8</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c r="AE3480">
        <v>1</v>
      </c>
    </row>
    <row r="3481" spans="1:31" ht="15.75" customHeight="1">
      <c r="A3481" s="323" t="str">
        <f>IF(B3481&lt;&gt;"",IF(AND(B3481='IN-TC'!$S$4,OR(TH!N3486="1111",TH!O3486="1111")),TH!D3486,""),"")</f>
        <v/>
      </c>
      <c r="B3481" s="63">
        <f t="shared" si="229"/>
        <v>7</v>
      </c>
      <c r="C3481" s="64">
        <v>42574</v>
      </c>
      <c r="D3481" s="64" t="s">
        <v>687</v>
      </c>
      <c r="E3481" s="64">
        <f t="shared" ref="E3481:E3498" si="231">C3481</f>
        <v>42574</v>
      </c>
      <c r="F3481" s="72" t="s">
        <v>1632</v>
      </c>
      <c r="G3481" s="67" t="s">
        <v>902</v>
      </c>
      <c r="H3481" s="72"/>
      <c r="I3481" s="408"/>
      <c r="J3481" s="408"/>
      <c r="K3481" s="399"/>
      <c r="L3481" s="408"/>
      <c r="M3481" s="65">
        <v>22662</v>
      </c>
      <c r="N3481" s="66" t="s">
        <v>25</v>
      </c>
      <c r="O3481" s="66" t="s">
        <v>41</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1" ht="15.75" customHeight="1">
      <c r="A3482" s="323" t="str">
        <f>IF(B3482&lt;&gt;"",IF(AND(B3482='IN-TC'!$S$4,OR(TH!N3485="1111",TH!O3485="1111")),TH!D3485,""),"")</f>
        <v/>
      </c>
      <c r="B3482" s="63">
        <f t="shared" si="229"/>
        <v>7</v>
      </c>
      <c r="C3482" s="64">
        <v>42574</v>
      </c>
      <c r="D3482" s="64" t="s">
        <v>1542</v>
      </c>
      <c r="E3482" s="64">
        <f t="shared" si="231"/>
        <v>42574</v>
      </c>
      <c r="F3482" s="72" t="s">
        <v>1126</v>
      </c>
      <c r="G3482" s="67" t="s">
        <v>902</v>
      </c>
      <c r="H3482" s="72" t="s">
        <v>748</v>
      </c>
      <c r="I3482" s="408"/>
      <c r="J3482" s="408"/>
      <c r="K3482" s="399"/>
      <c r="L3482" s="408"/>
      <c r="M3482" s="65">
        <v>90000000</v>
      </c>
      <c r="N3482" s="66" t="s">
        <v>61</v>
      </c>
      <c r="O3482" s="66" t="s">
        <v>25</v>
      </c>
      <c r="P3482" s="82" t="str">
        <f>IF(AND('331-CT'!$E$7=TH!H3482,OR(N3482="331",O3482="331")),"x","")</f>
        <v/>
      </c>
      <c r="Q3482" s="82" t="str">
        <f>IF(AND(B3482='111'!$L$11,OR($N3482=$Q$7,$O3482=$Q$7)),"x","")</f>
        <v/>
      </c>
      <c r="R3482" s="82" t="str">
        <f>IF(AND($N3482=$Q$7,$B3482&lt;'111'!$L$11),"x","")</f>
        <v>x</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1" ht="15.75" customHeight="1">
      <c r="A3483" s="323" t="str">
        <f>IF(B3483&lt;&gt;"",IF(AND(B3483='IN-TC'!$S$4,OR(TH!N3487="1111",TH!O3487="1111")),TH!D3487,""),"")</f>
        <v/>
      </c>
      <c r="B3483" s="63">
        <f t="shared" si="229"/>
        <v>7</v>
      </c>
      <c r="C3483" s="64">
        <v>42576</v>
      </c>
      <c r="D3483" s="64" t="s">
        <v>687</v>
      </c>
      <c r="E3483" s="64">
        <f t="shared" si="231"/>
        <v>42576</v>
      </c>
      <c r="F3483" s="72" t="s">
        <v>1632</v>
      </c>
      <c r="G3483" s="67" t="s">
        <v>1544</v>
      </c>
      <c r="H3483" s="72"/>
      <c r="I3483" s="408"/>
      <c r="J3483" s="408"/>
      <c r="K3483" s="399"/>
      <c r="L3483" s="408"/>
      <c r="M3483" s="65">
        <v>12388</v>
      </c>
      <c r="N3483" s="66" t="s">
        <v>25</v>
      </c>
      <c r="O3483" s="66" t="s">
        <v>41</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x</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1" ht="15.75" customHeight="1">
      <c r="A3484" s="323" t="str">
        <f>IF(B3484&lt;&gt;"",IF(AND(B3484='IN-TC'!$S$4,OR(TH!N3488="1111",TH!O3488="1111")),TH!D3488,""),"")</f>
        <v/>
      </c>
      <c r="B3484" s="63">
        <f t="shared" si="229"/>
        <v>7</v>
      </c>
      <c r="C3484" s="64">
        <v>42576</v>
      </c>
      <c r="D3484" s="64" t="s">
        <v>687</v>
      </c>
      <c r="E3484" s="64">
        <f t="shared" si="231"/>
        <v>42576</v>
      </c>
      <c r="F3484" s="72" t="s">
        <v>1768</v>
      </c>
      <c r="G3484" s="67" t="s">
        <v>1544</v>
      </c>
      <c r="H3484" s="72"/>
      <c r="I3484" s="408"/>
      <c r="J3484" s="408"/>
      <c r="K3484" s="399">
        <v>350</v>
      </c>
      <c r="L3484" s="408">
        <v>23287</v>
      </c>
      <c r="M3484" s="65">
        <f>ROUND(K3484*L3484,0)</f>
        <v>8150450</v>
      </c>
      <c r="N3484" s="66" t="s">
        <v>260</v>
      </c>
      <c r="O3484" s="66" t="s">
        <v>25</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x</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1" ht="15.75" customHeight="1">
      <c r="A3485" s="323" t="str">
        <f>IF(B3485&lt;&gt;"",IF(AND(B3485='IN-TC'!$S$4,OR(TH!N3489="1111",TH!O3489="1111")),TH!D3489,""),"")</f>
        <v/>
      </c>
      <c r="B3485" s="63">
        <f t="shared" si="229"/>
        <v>7</v>
      </c>
      <c r="C3485" s="64">
        <v>42576</v>
      </c>
      <c r="D3485" s="64" t="s">
        <v>690</v>
      </c>
      <c r="E3485" s="64">
        <f t="shared" si="231"/>
        <v>42576</v>
      </c>
      <c r="F3485" s="72" t="s">
        <v>1767</v>
      </c>
      <c r="G3485" s="67" t="s">
        <v>1544</v>
      </c>
      <c r="H3485" s="1093" t="s">
        <v>1864</v>
      </c>
      <c r="I3485" s="408"/>
      <c r="J3485" s="408"/>
      <c r="K3485" s="399">
        <v>360.96</v>
      </c>
      <c r="L3485" s="408">
        <v>22330</v>
      </c>
      <c r="M3485" s="65">
        <f>ROUND(K3485*L3485,0)</f>
        <v>8060237</v>
      </c>
      <c r="N3485" s="66" t="s">
        <v>97</v>
      </c>
      <c r="O3485" s="66" t="s">
        <v>260</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1" ht="15.75" customHeight="1">
      <c r="A3486" s="323" t="str">
        <f>IF(B3486&lt;&gt;"",IF(AND(B3486='IN-TC'!$S$4,OR(TH!N3490="1111",TH!O3490="1111")),TH!D3490,""),"")</f>
        <v/>
      </c>
      <c r="B3486" s="63">
        <f t="shared" si="229"/>
        <v>7</v>
      </c>
      <c r="C3486" s="64">
        <v>42577</v>
      </c>
      <c r="D3486" s="64" t="s">
        <v>878</v>
      </c>
      <c r="E3486" s="64">
        <f t="shared" si="231"/>
        <v>42577</v>
      </c>
      <c r="F3486" s="72" t="s">
        <v>1715</v>
      </c>
      <c r="G3486" s="931" t="s">
        <v>1716</v>
      </c>
      <c r="H3486" s="72" t="s">
        <v>1020</v>
      </c>
      <c r="I3486" s="408"/>
      <c r="J3486" s="408"/>
      <c r="K3486" s="399"/>
      <c r="L3486" s="408"/>
      <c r="M3486" s="65">
        <v>5500000</v>
      </c>
      <c r="N3486" s="66" t="s">
        <v>99</v>
      </c>
      <c r="O3486" s="66" t="s">
        <v>61</v>
      </c>
      <c r="P3486" s="82" t="str">
        <f>IF(AND('331-CT'!$E$7=TH!H3486,OR(N3486="331",O3486="331")),"x","")</f>
        <v/>
      </c>
      <c r="Q3486" s="82" t="str">
        <f>IF(AND(B3486='111'!$L$11,OR($N3486=$Q$7,$O3486=$Q$7)),"x","")</f>
        <v/>
      </c>
      <c r="R3486" s="82" t="str">
        <f>IF(AND($N3486=$Q$7,$B3486&lt;'111'!$L$11),"x","")</f>
        <v/>
      </c>
      <c r="S3486" s="82" t="str">
        <f>IF(AND($O3486=$Q$7,$B3486&lt;'111'!$L$11),"x","")</f>
        <v>x</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1" ht="15.75" customHeight="1">
      <c r="A3487" s="323" t="str">
        <f>IF(B3487&lt;&gt;"",IF(AND(B3487='IN-TC'!$S$4,OR(TH!N3491="1111",TH!O3491="1111")),TH!D3491,""),"")</f>
        <v/>
      </c>
      <c r="B3487" s="63">
        <f t="shared" si="229"/>
        <v>7</v>
      </c>
      <c r="C3487" s="64">
        <v>42578</v>
      </c>
      <c r="D3487" s="64" t="s">
        <v>879</v>
      </c>
      <c r="E3487" s="64">
        <f t="shared" si="231"/>
        <v>42578</v>
      </c>
      <c r="F3487" s="72" t="s">
        <v>1717</v>
      </c>
      <c r="G3487" s="931" t="s">
        <v>1720</v>
      </c>
      <c r="H3487" s="72" t="s">
        <v>823</v>
      </c>
      <c r="I3487" s="408"/>
      <c r="J3487" s="408"/>
      <c r="K3487" s="399"/>
      <c r="L3487" s="408"/>
      <c r="M3487" s="65">
        <v>16050000</v>
      </c>
      <c r="N3487" s="66" t="s">
        <v>99</v>
      </c>
      <c r="O3487" s="66" t="s">
        <v>61</v>
      </c>
      <c r="P3487" s="82" t="str">
        <f>IF(AND('331-CT'!$E$7=TH!H3487,OR(N3487="331",O3487="331")),"x","")</f>
        <v/>
      </c>
      <c r="Q3487" s="82" t="str">
        <f>IF(AND(B3487='111'!$L$11,OR($N3487=$Q$7,$O3487=$Q$7)),"x","")</f>
        <v/>
      </c>
      <c r="R3487" s="82" t="str">
        <f>IF(AND($N3487=$Q$7,$B3487&lt;'111'!$L$11),"x","")</f>
        <v/>
      </c>
      <c r="S3487" s="82" t="str">
        <f>IF(AND($O3487=$Q$7,$B3487&lt;'111'!$L$11),"x","")</f>
        <v>x</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1" ht="15.75" customHeight="1">
      <c r="A3488" s="323" t="str">
        <f>IF(B3488&lt;&gt;"",IF(AND(B3488='IN-TC'!$S$4,OR(TH!N3492="1111",TH!O3492="1111")),TH!D3492,""),"")</f>
        <v/>
      </c>
      <c r="B3488" s="63">
        <f t="shared" si="229"/>
        <v>7</v>
      </c>
      <c r="C3488" s="64">
        <v>42578</v>
      </c>
      <c r="D3488" s="64" t="s">
        <v>879</v>
      </c>
      <c r="E3488" s="64">
        <f t="shared" si="231"/>
        <v>42578</v>
      </c>
      <c r="F3488" s="72" t="s">
        <v>1718</v>
      </c>
      <c r="G3488" s="931" t="s">
        <v>1720</v>
      </c>
      <c r="H3488" s="72" t="s">
        <v>823</v>
      </c>
      <c r="I3488" s="408"/>
      <c r="J3488" s="408"/>
      <c r="K3488" s="399"/>
      <c r="L3488" s="408"/>
      <c r="M3488" s="65">
        <v>1605000</v>
      </c>
      <c r="N3488" s="66" t="s">
        <v>9</v>
      </c>
      <c r="O3488" s="66" t="s">
        <v>61</v>
      </c>
      <c r="P3488" s="82" t="str">
        <f>IF(AND('331-CT'!$E$7=TH!H3488,OR(N3488="331",O3488="331")),"x","")</f>
        <v/>
      </c>
      <c r="Q3488" s="82" t="str">
        <f>IF(AND(B3488='111'!$L$11,OR($N3488=$Q$7,$O3488=$Q$7)),"x","")</f>
        <v/>
      </c>
      <c r="R3488" s="82" t="str">
        <f>IF(AND($N3488=$Q$7,$B3488&lt;'111'!$L$11),"x","")</f>
        <v/>
      </c>
      <c r="S3488" s="82" t="str">
        <f>IF(AND($O3488=$Q$7,$B3488&lt;'111'!$L$11),"x","")</f>
        <v>x</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x</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customHeight="1">
      <c r="A3489" s="323" t="str">
        <f>IF(B3489&lt;&gt;"",IF(AND(B3489='IN-TC'!$S$4,OR(TH!N3493="1111",TH!O3493="1111")),TH!D3493,""),"")</f>
        <v/>
      </c>
      <c r="B3489" s="63">
        <f t="shared" si="229"/>
        <v>7</v>
      </c>
      <c r="C3489" s="64">
        <v>42578</v>
      </c>
      <c r="D3489" s="64" t="s">
        <v>687</v>
      </c>
      <c r="E3489" s="64">
        <f t="shared" si="231"/>
        <v>42578</v>
      </c>
      <c r="F3489" s="72" t="s">
        <v>1777</v>
      </c>
      <c r="G3489" s="67" t="s">
        <v>1544</v>
      </c>
      <c r="H3489" s="72"/>
      <c r="I3489" s="408"/>
      <c r="J3489" s="408"/>
      <c r="K3489" s="399">
        <v>15</v>
      </c>
      <c r="L3489" s="408">
        <v>22330</v>
      </c>
      <c r="M3489" s="65">
        <f>ROUND(K3489*L3489,0)</f>
        <v>334950</v>
      </c>
      <c r="N3489" s="66" t="s">
        <v>260</v>
      </c>
      <c r="O3489" s="66" t="s">
        <v>41</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customHeight="1">
      <c r="A3490" s="323" t="str">
        <f>IF(B3490&lt;&gt;"",IF(AND(B3490='IN-TC'!$S$4,OR(TH!N3494="1111",TH!O3494="1111")),TH!D3494,""),"")</f>
        <v/>
      </c>
      <c r="B3490" s="63">
        <f t="shared" si="229"/>
        <v>7</v>
      </c>
      <c r="C3490" s="64">
        <v>42578</v>
      </c>
      <c r="D3490" s="64" t="s">
        <v>690</v>
      </c>
      <c r="E3490" s="64">
        <f t="shared" si="231"/>
        <v>42578</v>
      </c>
      <c r="F3490" s="72" t="s">
        <v>1767</v>
      </c>
      <c r="G3490" s="67" t="s">
        <v>1544</v>
      </c>
      <c r="H3490" s="1093" t="s">
        <v>1864</v>
      </c>
      <c r="I3490" s="408"/>
      <c r="J3490" s="408"/>
      <c r="K3490" s="399">
        <v>14.04</v>
      </c>
      <c r="L3490" s="408">
        <v>22330</v>
      </c>
      <c r="M3490" s="65">
        <f>ROUND(K3490*L3490,0)</f>
        <v>313513</v>
      </c>
      <c r="N3490" s="66" t="s">
        <v>97</v>
      </c>
      <c r="O3490" s="66" t="s">
        <v>260</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customHeight="1">
      <c r="A3491" s="323" t="str">
        <f>IF(B3491&lt;&gt;"",IF(AND(B3491='IN-TC'!$S$4,OR(TH!N3495="1111",TH!O3495="1111")),TH!D3495,""),"")</f>
        <v/>
      </c>
      <c r="B3491" s="63">
        <f t="shared" si="229"/>
        <v>7</v>
      </c>
      <c r="C3491" s="64">
        <v>42579</v>
      </c>
      <c r="D3491" s="64" t="s">
        <v>880</v>
      </c>
      <c r="E3491" s="64">
        <f t="shared" si="231"/>
        <v>42579</v>
      </c>
      <c r="F3491" s="72" t="s">
        <v>997</v>
      </c>
      <c r="G3491" s="931" t="s">
        <v>1719</v>
      </c>
      <c r="H3491" s="72" t="s">
        <v>792</v>
      </c>
      <c r="I3491" s="408"/>
      <c r="J3491" s="408"/>
      <c r="K3491" s="399"/>
      <c r="L3491" s="408"/>
      <c r="M3491" s="65">
        <v>1491654</v>
      </c>
      <c r="N3491" s="66" t="s">
        <v>99</v>
      </c>
      <c r="O3491" s="66" t="s">
        <v>61</v>
      </c>
      <c r="P3491" s="82" t="str">
        <f>IF(AND('331-CT'!$E$7=TH!H3491,OR(N3491="331",O3491="331")),"x","")</f>
        <v/>
      </c>
      <c r="Q3491" s="82" t="str">
        <f>IF(AND(B3491='111'!$L$11,OR($N3491=$Q$7,$O3491=$Q$7)),"x","")</f>
        <v/>
      </c>
      <c r="R3491" s="82" t="str">
        <f>IF(AND($N3491=$Q$7,$B3491&lt;'111'!$L$11),"x","")</f>
        <v/>
      </c>
      <c r="S3491" s="82" t="str">
        <f>IF(AND($O3491=$Q$7,$B3491&lt;'111'!$L$11),"x","")</f>
        <v>x</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customHeight="1">
      <c r="A3492" s="323" t="str">
        <f>IF(B3492&lt;&gt;"",IF(AND(B3492='IN-TC'!$S$4,OR(TH!N3496="1111",TH!O3496="1111")),TH!D3496,""),"")</f>
        <v/>
      </c>
      <c r="B3492" s="63">
        <f t="shared" si="229"/>
        <v>7</v>
      </c>
      <c r="C3492" s="64">
        <v>42579</v>
      </c>
      <c r="D3492" s="64" t="s">
        <v>880</v>
      </c>
      <c r="E3492" s="64">
        <f t="shared" si="231"/>
        <v>42579</v>
      </c>
      <c r="F3492" s="72" t="s">
        <v>998</v>
      </c>
      <c r="G3492" s="931" t="s">
        <v>1719</v>
      </c>
      <c r="H3492" s="72" t="s">
        <v>792</v>
      </c>
      <c r="I3492" s="408"/>
      <c r="J3492" s="408"/>
      <c r="K3492" s="399"/>
      <c r="L3492" s="408"/>
      <c r="M3492" s="65">
        <v>149166</v>
      </c>
      <c r="N3492" s="66" t="s">
        <v>9</v>
      </c>
      <c r="O3492" s="66" t="s">
        <v>61</v>
      </c>
      <c r="P3492" s="82" t="str">
        <f>IF(AND('331-CT'!$E$7=TH!H3492,OR(N3492="331",O3492="331")),"x","")</f>
        <v/>
      </c>
      <c r="Q3492" s="82" t="str">
        <f>IF(AND(B3492='111'!$L$11,OR($N3492=$Q$7,$O3492=$Q$7)),"x","")</f>
        <v/>
      </c>
      <c r="R3492" s="82" t="str">
        <f>IF(AND($N3492=$Q$7,$B3492&lt;'111'!$L$11),"x","")</f>
        <v/>
      </c>
      <c r="S3492" s="82" t="str">
        <f>IF(AND($O3492=$Q$7,$B3492&lt;'111'!$L$11),"x","")</f>
        <v>x</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x</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customHeight="1">
      <c r="A3493" s="323" t="str">
        <f>IF(B3493&lt;&gt;"",IF(AND(B3493='IN-TC'!$S$4,OR(TH!N3497="1111",TH!O3497="1111")),TH!D3497,""),"")</f>
        <v/>
      </c>
      <c r="B3493" s="63">
        <f t="shared" si="229"/>
        <v>7</v>
      </c>
      <c r="C3493" s="64">
        <v>42579</v>
      </c>
      <c r="D3493" s="64" t="s">
        <v>881</v>
      </c>
      <c r="E3493" s="64">
        <f t="shared" si="231"/>
        <v>42579</v>
      </c>
      <c r="F3493" s="72" t="s">
        <v>1678</v>
      </c>
      <c r="G3493" s="931" t="s">
        <v>1721</v>
      </c>
      <c r="H3493" s="72" t="s">
        <v>815</v>
      </c>
      <c r="I3493" s="408"/>
      <c r="J3493" s="408"/>
      <c r="K3493" s="399"/>
      <c r="L3493" s="408"/>
      <c r="M3493" s="65">
        <v>360000</v>
      </c>
      <c r="N3493" s="66" t="s">
        <v>99</v>
      </c>
      <c r="O3493" s="66" t="s">
        <v>61</v>
      </c>
      <c r="P3493" s="82" t="str">
        <f>IF(AND('331-CT'!$E$7=TH!H3493,OR(N3493="331",O3493="331")),"x","")</f>
        <v/>
      </c>
      <c r="Q3493" s="82" t="str">
        <f>IF(AND(B3493='111'!$L$11,OR($N3493=$Q$7,$O3493=$Q$7)),"x","")</f>
        <v/>
      </c>
      <c r="R3493" s="82" t="str">
        <f>IF(AND($N3493=$Q$7,$B3493&lt;'111'!$L$11),"x","")</f>
        <v/>
      </c>
      <c r="S3493" s="82" t="str">
        <f>IF(AND($O3493=$Q$7,$B3493&lt;'111'!$L$11),"x","")</f>
        <v>x</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customHeight="1">
      <c r="A3494" s="323" t="str">
        <f>IF(B3494&lt;&gt;"",IF(AND(B3494='IN-TC'!$S$4,OR(TH!N3498="1111",TH!O3498="1111")),TH!D3498,""),"")</f>
        <v/>
      </c>
      <c r="B3494" s="63">
        <f t="shared" si="229"/>
        <v>7</v>
      </c>
      <c r="C3494" s="64">
        <v>42579</v>
      </c>
      <c r="D3494" s="64" t="s">
        <v>881</v>
      </c>
      <c r="E3494" s="64">
        <f t="shared" si="231"/>
        <v>42579</v>
      </c>
      <c r="F3494" s="72" t="s">
        <v>1515</v>
      </c>
      <c r="G3494" s="931" t="s">
        <v>1721</v>
      </c>
      <c r="H3494" s="72" t="s">
        <v>815</v>
      </c>
      <c r="I3494" s="408"/>
      <c r="J3494" s="408"/>
      <c r="K3494" s="399"/>
      <c r="L3494" s="408"/>
      <c r="M3494" s="65">
        <v>18000</v>
      </c>
      <c r="N3494" s="66" t="s">
        <v>9</v>
      </c>
      <c r="O3494" s="66" t="s">
        <v>61</v>
      </c>
      <c r="P3494" s="82" t="str">
        <f>IF(AND('331-CT'!$E$7=TH!H3494,OR(N3494="331",O3494="331")),"x","")</f>
        <v/>
      </c>
      <c r="Q3494" s="82" t="str">
        <f>IF(AND(B3494='111'!$L$11,OR($N3494=$Q$7,$O3494=$Q$7)),"x","")</f>
        <v/>
      </c>
      <c r="R3494" s="82" t="str">
        <f>IF(AND($N3494=$Q$7,$B3494&lt;'111'!$L$11),"x","")</f>
        <v/>
      </c>
      <c r="S3494" s="82" t="str">
        <f>IF(AND($O3494=$Q$7,$B3494&lt;'111'!$L$11),"x","")</f>
        <v>x</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x</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customHeight="1">
      <c r="A3495" s="323" t="str">
        <f>IF(B3495&lt;&gt;"",IF(AND(B3495='IN-TC'!$S$4,OR(TH!N3499="1111",TH!O3499="1111")),TH!D3499,""),"")</f>
        <v/>
      </c>
      <c r="B3495" s="63">
        <f t="shared" si="229"/>
        <v>7</v>
      </c>
      <c r="C3495" s="64">
        <v>42580</v>
      </c>
      <c r="D3495" s="64" t="s">
        <v>882</v>
      </c>
      <c r="E3495" s="64">
        <f t="shared" si="231"/>
        <v>42580</v>
      </c>
      <c r="F3495" s="72" t="s">
        <v>1722</v>
      </c>
      <c r="G3495" s="931" t="s">
        <v>1724</v>
      </c>
      <c r="H3495" s="72" t="s">
        <v>1725</v>
      </c>
      <c r="I3495" s="408"/>
      <c r="J3495" s="408"/>
      <c r="K3495" s="399"/>
      <c r="L3495" s="408"/>
      <c r="M3495" s="65">
        <v>1939361</v>
      </c>
      <c r="N3495" s="66" t="s">
        <v>99</v>
      </c>
      <c r="O3495" s="66" t="s">
        <v>61</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customHeight="1">
      <c r="A3496" s="323" t="str">
        <f>IF(B3496&lt;&gt;"",IF(AND(B3496='IN-TC'!$S$4,OR(TH!N3500="1111",TH!O3500="1111")),TH!D3500,""),"")</f>
        <v/>
      </c>
      <c r="B3496" s="63">
        <f t="shared" si="229"/>
        <v>7</v>
      </c>
      <c r="C3496" s="64">
        <v>42580</v>
      </c>
      <c r="D3496" s="64" t="s">
        <v>882</v>
      </c>
      <c r="E3496" s="64">
        <f t="shared" si="231"/>
        <v>42580</v>
      </c>
      <c r="F3496" s="72" t="s">
        <v>1723</v>
      </c>
      <c r="G3496" s="931" t="s">
        <v>1724</v>
      </c>
      <c r="H3496" s="72" t="s">
        <v>1725</v>
      </c>
      <c r="I3496" s="408"/>
      <c r="J3496" s="408"/>
      <c r="K3496" s="399"/>
      <c r="L3496" s="408"/>
      <c r="M3496" s="65">
        <v>193936</v>
      </c>
      <c r="N3496" s="66" t="s">
        <v>9</v>
      </c>
      <c r="O3496" s="66" t="s">
        <v>61</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x</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customHeight="1">
      <c r="A3497" s="323" t="str">
        <f>IF(B3497&lt;&gt;"",IF(AND(B3497='IN-TC'!$S$4,OR(TH!N3501="1111",TH!O3501="1111")),TH!D3501,""),"")</f>
        <v/>
      </c>
      <c r="B3497" s="63">
        <f t="shared" si="229"/>
        <v>7</v>
      </c>
      <c r="C3497" s="64">
        <v>42582</v>
      </c>
      <c r="D3497" s="64" t="s">
        <v>883</v>
      </c>
      <c r="E3497" s="64">
        <f t="shared" si="231"/>
        <v>42582</v>
      </c>
      <c r="F3497" s="72" t="s">
        <v>1094</v>
      </c>
      <c r="G3497" s="931" t="s">
        <v>1726</v>
      </c>
      <c r="H3497" s="72" t="s">
        <v>792</v>
      </c>
      <c r="I3497" s="408"/>
      <c r="J3497" s="408"/>
      <c r="K3497" s="399"/>
      <c r="L3497" s="408"/>
      <c r="M3497" s="65">
        <v>683636</v>
      </c>
      <c r="N3497" s="66" t="s">
        <v>99</v>
      </c>
      <c r="O3497" s="66" t="s">
        <v>61</v>
      </c>
      <c r="P3497" s="82" t="str">
        <f>IF(AND('331-CT'!$E$7=TH!H3497,OR(N3497="331",O3497="331")),"x","")</f>
        <v/>
      </c>
      <c r="Q3497" s="82" t="str">
        <f>IF(AND(B3497='111'!$L$11,OR($N3497=$Q$7,$O3497=$Q$7)),"x","")</f>
        <v/>
      </c>
      <c r="R3497" s="82" t="str">
        <f>IF(AND($N3497=$Q$7,$B3497&lt;'111'!$L$11),"x","")</f>
        <v/>
      </c>
      <c r="S3497" s="82" t="str">
        <f>IF(AND($O3497=$Q$7,$B3497&lt;'111'!$L$11),"x","")</f>
        <v>x</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customHeight="1">
      <c r="A3498" s="323" t="str">
        <f>IF(B3498&lt;&gt;"",IF(AND(B3498='IN-TC'!$S$4,OR(TH!N3502="1111",TH!O3502="1111")),TH!D3502,""),"")</f>
        <v/>
      </c>
      <c r="B3498" s="63">
        <f t="shared" si="229"/>
        <v>7</v>
      </c>
      <c r="C3498" s="64">
        <v>42582</v>
      </c>
      <c r="D3498" s="64" t="s">
        <v>883</v>
      </c>
      <c r="E3498" s="64">
        <f t="shared" si="231"/>
        <v>42582</v>
      </c>
      <c r="F3498" s="72" t="s">
        <v>1324</v>
      </c>
      <c r="G3498" s="931" t="s">
        <v>1726</v>
      </c>
      <c r="H3498" s="72" t="s">
        <v>792</v>
      </c>
      <c r="I3498" s="408"/>
      <c r="J3498" s="408"/>
      <c r="K3498" s="399"/>
      <c r="L3498" s="408"/>
      <c r="M3498" s="65">
        <v>68364</v>
      </c>
      <c r="N3498" s="66" t="s">
        <v>9</v>
      </c>
      <c r="O3498" s="66" t="s">
        <v>61</v>
      </c>
      <c r="P3498" s="82" t="str">
        <f>IF(AND('331-CT'!$E$7=TH!H3498,OR(N3498="331",O3498="331")),"x","")</f>
        <v/>
      </c>
      <c r="Q3498" s="82" t="str">
        <f>IF(AND(B3498='111'!$L$11,OR($N3498=$Q$7,$O3498=$Q$7)),"x","")</f>
        <v/>
      </c>
      <c r="R3498" s="82" t="str">
        <f>IF(AND($N3498=$Q$7,$B3498&lt;'111'!$L$11),"x","")</f>
        <v/>
      </c>
      <c r="S3498" s="82" t="str">
        <f>IF(AND($O3498=$Q$7,$B3498&lt;'111'!$L$11),"x","")</f>
        <v>x</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x</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customHeight="1">
      <c r="A3499" s="323" t="str">
        <f>IF(B3499&lt;&gt;"",IF(AND(B3499='IN-TC'!$S$4,OR(TH!N3503="1111",TH!O3503="1111")),TH!D3503,""),"")</f>
        <v/>
      </c>
      <c r="B3499" s="63">
        <f t="shared" si="229"/>
        <v>7</v>
      </c>
      <c r="C3499" s="64">
        <v>42582</v>
      </c>
      <c r="D3499" s="64" t="s">
        <v>884</v>
      </c>
      <c r="E3499" s="64">
        <v>42558</v>
      </c>
      <c r="F3499" s="72" t="s">
        <v>772</v>
      </c>
      <c r="G3499" s="931" t="s">
        <v>1738</v>
      </c>
      <c r="H3499" s="72" t="s">
        <v>810</v>
      </c>
      <c r="I3499" s="408"/>
      <c r="J3499" s="408"/>
      <c r="K3499" s="399"/>
      <c r="L3499" s="408"/>
      <c r="M3499" s="65">
        <v>3325000</v>
      </c>
      <c r="N3499" s="66" t="s">
        <v>99</v>
      </c>
      <c r="O3499" s="66" t="s">
        <v>61</v>
      </c>
      <c r="P3499" s="82" t="str">
        <f>IF(AND('331-CT'!$E$7=TH!H3499,OR(N3499="331",O3499="331")),"x","")</f>
        <v/>
      </c>
      <c r="Q3499" s="82" t="str">
        <f>IF(AND(B3499='111'!$L$11,OR($N3499=$Q$7,$O3499=$Q$7)),"x","")</f>
        <v/>
      </c>
      <c r="R3499" s="82" t="str">
        <f>IF(AND($N3499=$Q$7,$B3499&lt;'111'!$L$11),"x","")</f>
        <v/>
      </c>
      <c r="S3499" s="82" t="str">
        <f>IF(AND($O3499=$Q$7,$B3499&lt;'111'!$L$11),"x","")</f>
        <v>x</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customHeight="1">
      <c r="A3500" s="323" t="str">
        <f>IF(B3500&lt;&gt;"",IF(AND(B3500='IN-TC'!$S$4,OR(TH!N3504="1111",TH!O3504="1111")),TH!D3504,""),"")</f>
        <v/>
      </c>
      <c r="B3500" s="63">
        <f t="shared" si="229"/>
        <v>7</v>
      </c>
      <c r="C3500" s="64">
        <v>42582</v>
      </c>
      <c r="D3500" s="64" t="s">
        <v>884</v>
      </c>
      <c r="E3500" s="64">
        <v>42558</v>
      </c>
      <c r="F3500" s="72" t="s">
        <v>773</v>
      </c>
      <c r="G3500" s="931" t="s">
        <v>1738</v>
      </c>
      <c r="H3500" s="72" t="s">
        <v>810</v>
      </c>
      <c r="I3500" s="408"/>
      <c r="J3500" s="408"/>
      <c r="K3500" s="399"/>
      <c r="L3500" s="408"/>
      <c r="M3500" s="65">
        <v>332500</v>
      </c>
      <c r="N3500" s="66" t="s">
        <v>9</v>
      </c>
      <c r="O3500" s="66" t="s">
        <v>61</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x</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customHeight="1">
      <c r="A3501" s="323" t="str">
        <f>IF(B3501&lt;&gt;"",IF(AND(B3501='IN-TC'!$S$4,OR(TH!N3505="1111",TH!O3505="1111")),TH!D3505,""),"")</f>
        <v/>
      </c>
      <c r="B3501" s="63">
        <f t="shared" si="229"/>
        <v>7</v>
      </c>
      <c r="C3501" s="64">
        <v>42582</v>
      </c>
      <c r="D3501" s="64" t="s">
        <v>885</v>
      </c>
      <c r="E3501" s="64">
        <f t="shared" ref="E3501:E3531" si="232">C3501</f>
        <v>42582</v>
      </c>
      <c r="F3501" s="72" t="s">
        <v>1728</v>
      </c>
      <c r="G3501" s="931"/>
      <c r="H3501" s="72" t="s">
        <v>1343</v>
      </c>
      <c r="I3501" s="408"/>
      <c r="J3501" s="408"/>
      <c r="K3501" s="399"/>
      <c r="L3501" s="408"/>
      <c r="M3501" s="65">
        <v>2027273</v>
      </c>
      <c r="N3501" s="66" t="s">
        <v>99</v>
      </c>
      <c r="O3501" s="66" t="s">
        <v>61</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customHeight="1">
      <c r="A3502" s="323" t="str">
        <f>IF(B3502&lt;&gt;"",IF(AND(B3502='IN-TC'!$S$4,OR(TH!N3506="1111",TH!O3506="1111")),TH!D3506,""),"")</f>
        <v/>
      </c>
      <c r="B3502" s="63">
        <f t="shared" ref="B3502:B3565" si="233">IF(C3502&lt;&gt;"",MONTH(C3502),"")</f>
        <v>7</v>
      </c>
      <c r="C3502" s="64">
        <v>42582</v>
      </c>
      <c r="D3502" s="64" t="s">
        <v>885</v>
      </c>
      <c r="E3502" s="64">
        <f t="shared" si="232"/>
        <v>42582</v>
      </c>
      <c r="F3502" s="72" t="s">
        <v>1729</v>
      </c>
      <c r="G3502" s="931"/>
      <c r="H3502" s="72" t="s">
        <v>1343</v>
      </c>
      <c r="I3502" s="408"/>
      <c r="J3502" s="408"/>
      <c r="K3502" s="399"/>
      <c r="L3502" s="408"/>
      <c r="M3502" s="65">
        <v>202727</v>
      </c>
      <c r="N3502" s="66" t="s">
        <v>9</v>
      </c>
      <c r="O3502" s="66" t="s">
        <v>61</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x</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customHeight="1">
      <c r="A3503" s="323" t="str">
        <f>IF(B3503&lt;&gt;"",IF(AND(B3503='IN-TC'!$S$4,OR(TH!N3507="1111",TH!O3507="1111")),TH!D3507,""),"")</f>
        <v/>
      </c>
      <c r="B3503" s="63">
        <f t="shared" si="233"/>
        <v>7</v>
      </c>
      <c r="C3503" s="64">
        <v>42582</v>
      </c>
      <c r="D3503" s="64" t="s">
        <v>887</v>
      </c>
      <c r="E3503" s="64">
        <f t="shared" si="232"/>
        <v>42582</v>
      </c>
      <c r="F3503" s="72" t="s">
        <v>2375</v>
      </c>
      <c r="G3503" s="931"/>
      <c r="H3503" s="72" t="s">
        <v>2377</v>
      </c>
      <c r="I3503" s="408"/>
      <c r="J3503" s="408"/>
      <c r="K3503" s="399"/>
      <c r="L3503" s="408"/>
      <c r="M3503" s="65">
        <v>21828000</v>
      </c>
      <c r="N3503" s="66" t="s">
        <v>581</v>
      </c>
      <c r="O3503" s="66" t="s">
        <v>61</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customHeight="1">
      <c r="A3504" s="323" t="str">
        <f>IF(B3504&lt;&gt;"",IF(AND(B3504='IN-TC'!$S$4,OR(TH!N3508="1111",TH!O3508="1111")),TH!D3508,""),"")</f>
        <v/>
      </c>
      <c r="B3504" s="63">
        <f t="shared" si="233"/>
        <v>7</v>
      </c>
      <c r="C3504" s="90">
        <v>42582</v>
      </c>
      <c r="D3504" s="90" t="s">
        <v>888</v>
      </c>
      <c r="E3504" s="90">
        <f t="shared" si="232"/>
        <v>42582</v>
      </c>
      <c r="F3504" s="92" t="s">
        <v>1727</v>
      </c>
      <c r="G3504" s="1089"/>
      <c r="H3504" s="92" t="s">
        <v>832</v>
      </c>
      <c r="I3504" s="414"/>
      <c r="J3504" s="414"/>
      <c r="K3504" s="405"/>
      <c r="L3504" s="414"/>
      <c r="M3504" s="93">
        <v>106984580</v>
      </c>
      <c r="N3504" s="83" t="s">
        <v>580</v>
      </c>
      <c r="O3504" s="83" t="s">
        <v>61</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customHeight="1">
      <c r="A3505" s="323" t="str">
        <f>IF(B3505&lt;&gt;"",IF(AND(B3505='IN-TC'!$S$4,OR(TH!N2862="1111",TH!O2862="1111")),TH!D2862,""),"")</f>
        <v/>
      </c>
      <c r="B3505" s="63">
        <f t="shared" si="233"/>
        <v>8</v>
      </c>
      <c r="C3505" s="1092">
        <v>42583</v>
      </c>
      <c r="D3505" s="1092" t="s">
        <v>851</v>
      </c>
      <c r="E3505" s="1092">
        <f t="shared" si="232"/>
        <v>42583</v>
      </c>
      <c r="F3505" s="482" t="s">
        <v>947</v>
      </c>
      <c r="G3505" s="1094"/>
      <c r="H3505" s="1093" t="s">
        <v>3001</v>
      </c>
      <c r="I3505" s="1095"/>
      <c r="J3505" s="1095"/>
      <c r="K3505" s="1096"/>
      <c r="L3505" s="1095"/>
      <c r="M3505" s="1097">
        <v>500000000</v>
      </c>
      <c r="N3505" s="1098" t="s">
        <v>266</v>
      </c>
      <c r="O3505" s="1098" t="s">
        <v>61</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customHeight="1">
      <c r="A3506" s="323" t="str">
        <f>IF(B3506&lt;&gt;"",IF(AND(B3506='IN-TC'!$S$4,OR(TH!N3509="1111",TH!O3509="1111")),TH!D3509,""),"")</f>
        <v/>
      </c>
      <c r="B3506" s="63">
        <f t="shared" si="233"/>
        <v>8</v>
      </c>
      <c r="C3506" s="64">
        <v>42583</v>
      </c>
      <c r="D3506" s="64" t="s">
        <v>690</v>
      </c>
      <c r="E3506" s="64">
        <f t="shared" si="232"/>
        <v>42583</v>
      </c>
      <c r="F3506" s="72" t="s">
        <v>1767</v>
      </c>
      <c r="G3506" s="67" t="s">
        <v>1544</v>
      </c>
      <c r="H3506" s="72"/>
      <c r="I3506" s="408"/>
      <c r="J3506" s="408"/>
      <c r="K3506" s="399">
        <v>0.96</v>
      </c>
      <c r="L3506" s="408">
        <v>22330</v>
      </c>
      <c r="M3506" s="1097">
        <f>ROUND(K3506*L3506,0)</f>
        <v>21437</v>
      </c>
      <c r="N3506" s="66" t="s">
        <v>97</v>
      </c>
      <c r="O3506" s="66" t="s">
        <v>260</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customHeight="1">
      <c r="A3507" s="323" t="str">
        <f>IF(B3507&lt;&gt;"",IF(AND(B3507='IN-TC'!$S$4,OR(TH!N3510="1111",TH!O3510="1111")),TH!D3510,""),"")</f>
        <v/>
      </c>
      <c r="B3507" s="63">
        <f t="shared" si="233"/>
        <v>8</v>
      </c>
      <c r="C3507" s="64">
        <v>42583</v>
      </c>
      <c r="D3507" s="64" t="s">
        <v>690</v>
      </c>
      <c r="E3507" s="64">
        <f t="shared" si="232"/>
        <v>42583</v>
      </c>
      <c r="F3507" s="72" t="s">
        <v>1179</v>
      </c>
      <c r="G3507" s="67" t="s">
        <v>901</v>
      </c>
      <c r="H3507" s="72"/>
      <c r="I3507" s="408"/>
      <c r="J3507" s="408"/>
      <c r="K3507" s="399">
        <v>3</v>
      </c>
      <c r="L3507" s="408">
        <v>22280</v>
      </c>
      <c r="M3507" s="65">
        <f>ROUND(K3507*L3507,0)</f>
        <v>66840</v>
      </c>
      <c r="N3507" s="66" t="s">
        <v>99</v>
      </c>
      <c r="O3507" s="66" t="s">
        <v>260</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customHeight="1">
      <c r="A3508" s="323" t="str">
        <f>IF(B3508&lt;&gt;"",IF(AND(B3508='IN-TC'!$S$4,OR(TH!N3511="1111",TH!O3511="1111")),TH!D3511,""),"")</f>
        <v/>
      </c>
      <c r="B3508" s="63">
        <f t="shared" si="233"/>
        <v>8</v>
      </c>
      <c r="C3508" s="64">
        <v>42583</v>
      </c>
      <c r="D3508" s="64" t="s">
        <v>690</v>
      </c>
      <c r="E3508" s="64">
        <f t="shared" si="232"/>
        <v>42583</v>
      </c>
      <c r="F3508" s="72" t="s">
        <v>1180</v>
      </c>
      <c r="G3508" s="67" t="s">
        <v>901</v>
      </c>
      <c r="H3508" s="72"/>
      <c r="I3508" s="408"/>
      <c r="J3508" s="408"/>
      <c r="K3508" s="399">
        <v>0.3</v>
      </c>
      <c r="L3508" s="408">
        <v>22280</v>
      </c>
      <c r="M3508" s="65">
        <f>ROUND(K3508*L3508,0)</f>
        <v>6684</v>
      </c>
      <c r="N3508" s="82" t="s">
        <v>9</v>
      </c>
      <c r="O3508" s="66" t="s">
        <v>260</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x</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customHeight="1">
      <c r="A3509" s="323" t="str">
        <f>IF(B3509&lt;&gt;"",IF(AND(B3509='IN-TC'!$S$4,OR(TH!N3512="1111",TH!O3512="1111")),TH!D3512,""),"")</f>
        <v/>
      </c>
      <c r="B3509" s="63">
        <f t="shared" si="233"/>
        <v>8</v>
      </c>
      <c r="C3509" s="64">
        <v>42583</v>
      </c>
      <c r="D3509" s="64" t="s">
        <v>690</v>
      </c>
      <c r="E3509" s="64">
        <f t="shared" si="232"/>
        <v>42583</v>
      </c>
      <c r="F3509" s="72" t="s">
        <v>1172</v>
      </c>
      <c r="G3509" s="67" t="s">
        <v>902</v>
      </c>
      <c r="H3509" s="72"/>
      <c r="I3509" s="408"/>
      <c r="J3509" s="408"/>
      <c r="K3509" s="399"/>
      <c r="L3509" s="408"/>
      <c r="M3509" s="65">
        <v>111350</v>
      </c>
      <c r="N3509" s="66" t="s">
        <v>99</v>
      </c>
      <c r="O3509" s="66" t="s">
        <v>25</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customHeight="1">
      <c r="A3510" s="323" t="str">
        <f>IF(B3510&lt;&gt;"",IF(AND(B3510='IN-TC'!$S$4,OR(TH!N3513="1111",TH!O3513="1111")),TH!D3513,""),"")</f>
        <v/>
      </c>
      <c r="B3510" s="63">
        <f t="shared" si="233"/>
        <v>8</v>
      </c>
      <c r="C3510" s="64">
        <v>42583</v>
      </c>
      <c r="D3510" s="64" t="s">
        <v>690</v>
      </c>
      <c r="E3510" s="64">
        <f t="shared" si="232"/>
        <v>42583</v>
      </c>
      <c r="F3510" s="72" t="s">
        <v>1173</v>
      </c>
      <c r="G3510" s="67" t="s">
        <v>902</v>
      </c>
      <c r="H3510" s="72"/>
      <c r="I3510" s="408"/>
      <c r="J3510" s="408"/>
      <c r="K3510" s="399"/>
      <c r="L3510" s="408"/>
      <c r="M3510" s="65">
        <v>11135</v>
      </c>
      <c r="N3510" s="82" t="s">
        <v>9</v>
      </c>
      <c r="O3510" s="66" t="s">
        <v>25</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x</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customHeight="1">
      <c r="A3511" s="323" t="str">
        <f>IF(B3511&lt;&gt;"",IF(AND(B3511='IN-TC'!$S$4,OR(TH!N3514="1111",TH!O3514="1111")),TH!D3514,""),"")</f>
        <v/>
      </c>
      <c r="B3511" s="63">
        <f t="shared" si="233"/>
        <v>8</v>
      </c>
      <c r="C3511" s="64">
        <v>42584</v>
      </c>
      <c r="D3511" s="64" t="s">
        <v>687</v>
      </c>
      <c r="E3511" s="64">
        <f t="shared" si="232"/>
        <v>42584</v>
      </c>
      <c r="F3511" s="72" t="s">
        <v>1648</v>
      </c>
      <c r="G3511" s="67" t="s">
        <v>1901</v>
      </c>
      <c r="H3511" s="72"/>
      <c r="I3511" s="408"/>
      <c r="J3511" s="408"/>
      <c r="K3511" s="399">
        <v>500</v>
      </c>
      <c r="L3511" s="408">
        <v>22330</v>
      </c>
      <c r="M3511" s="1097">
        <f>ROUND(K3511*L3511,0)</f>
        <v>11165000</v>
      </c>
      <c r="N3511" s="66" t="s">
        <v>260</v>
      </c>
      <c r="O3511" s="66" t="s">
        <v>260</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customHeight="1">
      <c r="A3512" s="323" t="str">
        <f>IF(B3512&lt;&gt;"",IF(AND(B3512='IN-TC'!$S$4,OR(TH!N3515="1111",TH!O3515="1111")),TH!D3515,""),"")</f>
        <v/>
      </c>
      <c r="B3512" s="63">
        <f t="shared" si="233"/>
        <v>8</v>
      </c>
      <c r="C3512" s="64">
        <v>42584</v>
      </c>
      <c r="D3512" s="64" t="s">
        <v>690</v>
      </c>
      <c r="E3512" s="64">
        <f t="shared" si="232"/>
        <v>42584</v>
      </c>
      <c r="F3512" s="72" t="s">
        <v>1767</v>
      </c>
      <c r="G3512" s="67" t="s">
        <v>1544</v>
      </c>
      <c r="H3512" s="72"/>
      <c r="I3512" s="408"/>
      <c r="J3512" s="408"/>
      <c r="K3512" s="399">
        <v>230.25</v>
      </c>
      <c r="L3512" s="408">
        <v>22330</v>
      </c>
      <c r="M3512" s="1097">
        <f>ROUND(K3512*L3512,0)</f>
        <v>5141483</v>
      </c>
      <c r="N3512" s="66" t="s">
        <v>97</v>
      </c>
      <c r="O3512" s="66" t="s">
        <v>260</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customHeight="1">
      <c r="A3513" s="323" t="str">
        <f>IF(B3513&lt;&gt;"",IF(AND(B3513='IN-TC'!$S$4,OR(TH!N2863="1111",TH!O2863="1111")),TH!D2863,""),"")</f>
        <v/>
      </c>
      <c r="B3513" s="63">
        <f t="shared" si="233"/>
        <v>8</v>
      </c>
      <c r="C3513" s="64">
        <v>42585</v>
      </c>
      <c r="D3513" s="64" t="s">
        <v>852</v>
      </c>
      <c r="E3513" s="64">
        <f t="shared" si="232"/>
        <v>42585</v>
      </c>
      <c r="F3513" s="72" t="s">
        <v>756</v>
      </c>
      <c r="G3513" s="931" t="s">
        <v>1781</v>
      </c>
      <c r="H3513" s="72" t="s">
        <v>1089</v>
      </c>
      <c r="I3513" s="408"/>
      <c r="J3513" s="408"/>
      <c r="K3513" s="399"/>
      <c r="L3513" s="408"/>
      <c r="M3513" s="1091">
        <v>592155</v>
      </c>
      <c r="N3513" s="66" t="s">
        <v>99</v>
      </c>
      <c r="O3513" s="66" t="s">
        <v>61</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customHeight="1">
      <c r="A3514" s="323" t="str">
        <f>IF(B3514&lt;&gt;"",IF(AND(B3514='IN-TC'!$S$4,OR(TH!N2864="1111",TH!O2864="1111")),TH!D2864,""),"")</f>
        <v/>
      </c>
      <c r="B3514" s="63">
        <f t="shared" si="233"/>
        <v>8</v>
      </c>
      <c r="C3514" s="64">
        <v>42585</v>
      </c>
      <c r="D3514" s="64" t="s">
        <v>852</v>
      </c>
      <c r="E3514" s="64">
        <f t="shared" si="232"/>
        <v>42585</v>
      </c>
      <c r="F3514" s="72" t="s">
        <v>757</v>
      </c>
      <c r="G3514" s="931" t="s">
        <v>1781</v>
      </c>
      <c r="H3514" s="72" t="s">
        <v>1089</v>
      </c>
      <c r="I3514" s="408"/>
      <c r="J3514" s="408"/>
      <c r="K3514" s="399"/>
      <c r="L3514" s="408"/>
      <c r="M3514" s="65">
        <v>59215</v>
      </c>
      <c r="N3514" s="82" t="s">
        <v>9</v>
      </c>
      <c r="O3514" s="66" t="s">
        <v>61</v>
      </c>
      <c r="P3514" s="82" t="str">
        <f>IF(AND('331-CT'!$E$7=TH!H3514,OR(N3514="331",O3514="331")),"x","")</f>
        <v/>
      </c>
      <c r="Q3514" s="82" t="str">
        <f>IF(AND(B3514='111'!$L$11,OR($N3514=$Q$7,$O3514=$Q$7)),"x","")</f>
        <v/>
      </c>
      <c r="R3514" s="82" t="str">
        <f>IF(AND($N3514=$Q$7,$B3514&lt;'111'!$L$11),"x","")</f>
        <v/>
      </c>
      <c r="S3514" s="82" t="str">
        <f>IF(AND($O3514=$Q$7,$B3514&lt;'111'!$L$11),"x","")</f>
        <v>x</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x</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customHeight="1">
      <c r="A3515" s="323" t="str">
        <f>IF(B3515&lt;&gt;"",IF(AND(B3515='IN-TC'!$S$4,OR(TH!N3518="1111",TH!O3518="1111")),TH!D3518,""),"")</f>
        <v/>
      </c>
      <c r="B3515" s="63">
        <f t="shared" si="233"/>
        <v>8</v>
      </c>
      <c r="C3515" s="64">
        <v>42585</v>
      </c>
      <c r="D3515" s="64" t="s">
        <v>690</v>
      </c>
      <c r="E3515" s="64">
        <f t="shared" si="232"/>
        <v>42585</v>
      </c>
      <c r="F3515" s="72" t="s">
        <v>1776</v>
      </c>
      <c r="G3515" s="67" t="s">
        <v>1544</v>
      </c>
      <c r="H3515" s="72" t="s">
        <v>1921</v>
      </c>
      <c r="I3515" s="408"/>
      <c r="J3515" s="408"/>
      <c r="K3515" s="399">
        <v>30.33</v>
      </c>
      <c r="L3515" s="408">
        <v>22330</v>
      </c>
      <c r="M3515" s="1097">
        <f>ROUND(K3515*L3515,0)</f>
        <v>677269</v>
      </c>
      <c r="N3515" s="66" t="s">
        <v>99</v>
      </c>
      <c r="O3515" s="66" t="s">
        <v>260</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customHeight="1">
      <c r="A3516" s="323" t="str">
        <f>IF(B3516&lt;&gt;"",IF(AND(B3516='IN-TC'!$S$4,OR(TH!N3519="1111",TH!O3519="1111")),TH!D3519,""),"")</f>
        <v/>
      </c>
      <c r="B3516" s="63">
        <f t="shared" si="233"/>
        <v>8</v>
      </c>
      <c r="C3516" s="64">
        <v>42585</v>
      </c>
      <c r="D3516" s="64" t="s">
        <v>690</v>
      </c>
      <c r="E3516" s="64">
        <f t="shared" si="232"/>
        <v>42585</v>
      </c>
      <c r="F3516" s="72" t="s">
        <v>1778</v>
      </c>
      <c r="G3516" s="67" t="s">
        <v>1544</v>
      </c>
      <c r="H3516" s="72" t="s">
        <v>1922</v>
      </c>
      <c r="I3516" s="408"/>
      <c r="J3516" s="408"/>
      <c r="K3516" s="399">
        <v>5</v>
      </c>
      <c r="L3516" s="408">
        <v>21830</v>
      </c>
      <c r="M3516" s="1097">
        <f>ROUND(K3516*L3516,0)</f>
        <v>109150</v>
      </c>
      <c r="N3516" s="66" t="s">
        <v>99</v>
      </c>
      <c r="O3516" s="66" t="s">
        <v>260</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customHeight="1">
      <c r="A3517" s="323" t="str">
        <f>IF(B3517&lt;&gt;"",IF(AND(B3517='IN-TC'!$S$4,OR(TH!N2865="1111",TH!O2865="1111")),TH!D2865,""),"")</f>
        <v/>
      </c>
      <c r="B3517" s="63">
        <f t="shared" si="233"/>
        <v>8</v>
      </c>
      <c r="C3517" s="64">
        <v>42586</v>
      </c>
      <c r="D3517" s="64" t="s">
        <v>853</v>
      </c>
      <c r="E3517" s="64">
        <f t="shared" si="232"/>
        <v>42586</v>
      </c>
      <c r="F3517" s="72" t="s">
        <v>1678</v>
      </c>
      <c r="G3517" s="931" t="s">
        <v>1782</v>
      </c>
      <c r="H3517" s="72" t="s">
        <v>815</v>
      </c>
      <c r="I3517" s="408"/>
      <c r="J3517" s="408"/>
      <c r="K3517" s="399"/>
      <c r="L3517" s="408"/>
      <c r="M3517" s="65">
        <v>720000</v>
      </c>
      <c r="N3517" s="66" t="s">
        <v>99</v>
      </c>
      <c r="O3517" s="66" t="s">
        <v>61</v>
      </c>
      <c r="P3517" s="82" t="str">
        <f>IF(AND('331-CT'!$E$7=TH!H3517,OR(N3517="331",O3517="331")),"x","")</f>
        <v/>
      </c>
      <c r="Q3517" s="82" t="str">
        <f>IF(AND(B3517='111'!$L$11,OR($N3517=$Q$7,$O3517=$Q$7)),"x","")</f>
        <v/>
      </c>
      <c r="R3517" s="82" t="str">
        <f>IF(AND($N3517=$Q$7,$B3517&lt;'111'!$L$11),"x","")</f>
        <v/>
      </c>
      <c r="S3517" s="82" t="str">
        <f>IF(AND($O3517=$Q$7,$B3517&lt;'111'!$L$11),"x","")</f>
        <v>x</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customHeight="1">
      <c r="A3518" s="323" t="str">
        <f>IF(B3518&lt;&gt;"",IF(AND(B3518='IN-TC'!$S$4,OR(TH!N3516="1111",TH!O3516="1111")),TH!D3516,""),"")</f>
        <v/>
      </c>
      <c r="B3518" s="63">
        <f t="shared" si="233"/>
        <v>8</v>
      </c>
      <c r="C3518" s="64">
        <v>42586</v>
      </c>
      <c r="D3518" s="64" t="s">
        <v>853</v>
      </c>
      <c r="E3518" s="64">
        <f t="shared" si="232"/>
        <v>42586</v>
      </c>
      <c r="F3518" s="72" t="s">
        <v>1783</v>
      </c>
      <c r="G3518" s="931" t="s">
        <v>1782</v>
      </c>
      <c r="H3518" s="72" t="s">
        <v>815</v>
      </c>
      <c r="I3518" s="408"/>
      <c r="J3518" s="408"/>
      <c r="K3518" s="399"/>
      <c r="L3518" s="408"/>
      <c r="M3518" s="65">
        <v>36000</v>
      </c>
      <c r="N3518" s="82" t="s">
        <v>9</v>
      </c>
      <c r="O3518" s="66" t="s">
        <v>61</v>
      </c>
      <c r="P3518" s="82" t="str">
        <f>IF(AND('331-CT'!$E$7=TH!H3518,OR(N3518="331",O3518="331")),"x","")</f>
        <v/>
      </c>
      <c r="Q3518" s="82" t="str">
        <f>IF(AND(B3518='111'!$L$11,OR($N3518=$Q$7,$O3518=$Q$7)),"x","")</f>
        <v/>
      </c>
      <c r="R3518" s="82" t="str">
        <f>IF(AND($N3518=$Q$7,$B3518&lt;'111'!$L$11),"x","")</f>
        <v/>
      </c>
      <c r="S3518" s="82" t="str">
        <f>IF(AND($O3518=$Q$7,$B3518&lt;'111'!$L$11),"x","")</f>
        <v>x</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x</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customHeight="1">
      <c r="A3519" s="323" t="str">
        <f>IF(B3519&lt;&gt;"",IF(AND(B3519='IN-TC'!$S$4,OR(TH!N3517="1111",TH!O3517="1111")),TH!D3517,""),"")</f>
        <v/>
      </c>
      <c r="B3519" s="63">
        <f t="shared" si="233"/>
        <v>8</v>
      </c>
      <c r="C3519" s="64">
        <v>42586</v>
      </c>
      <c r="D3519" s="64" t="s">
        <v>854</v>
      </c>
      <c r="E3519" s="64">
        <f t="shared" si="232"/>
        <v>42586</v>
      </c>
      <c r="F3519" s="72" t="s">
        <v>1087</v>
      </c>
      <c r="G3519" s="67" t="s">
        <v>902</v>
      </c>
      <c r="H3519" s="72" t="s">
        <v>748</v>
      </c>
      <c r="I3519" s="408"/>
      <c r="J3519" s="408"/>
      <c r="K3519" s="399"/>
      <c r="L3519" s="408"/>
      <c r="M3519" s="65">
        <v>160000000</v>
      </c>
      <c r="N3519" s="66" t="s">
        <v>25</v>
      </c>
      <c r="O3519" s="66" t="s">
        <v>61</v>
      </c>
      <c r="P3519" s="82" t="str">
        <f>IF(AND('331-CT'!$E$7=TH!H3519,OR(N3519="331",O3519="331")),"x","")</f>
        <v/>
      </c>
      <c r="Q3519" s="82" t="str">
        <f>IF(AND(B3519='111'!$L$11,OR($N3519=$Q$7,$O3519=$Q$7)),"x","")</f>
        <v/>
      </c>
      <c r="R3519" s="82" t="str">
        <f>IF(AND($N3519=$Q$7,$B3519&lt;'111'!$L$11),"x","")</f>
        <v/>
      </c>
      <c r="S3519" s="82" t="str">
        <f>IF(AND($O3519=$Q$7,$B3519&lt;'111'!$L$11),"x","")</f>
        <v>x</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customHeight="1">
      <c r="A3520" s="323" t="str">
        <f>IF(B3520&lt;&gt;"",IF(AND(B3520='IN-TC'!$S$4,OR(TH!N3520="1111",TH!O3520="1111")),TH!D3520,""),"")</f>
        <v/>
      </c>
      <c r="B3520" s="63">
        <f t="shared" si="233"/>
        <v>8</v>
      </c>
      <c r="C3520" s="64">
        <v>42586</v>
      </c>
      <c r="D3520" s="64" t="s">
        <v>854</v>
      </c>
      <c r="E3520" s="64">
        <f t="shared" si="232"/>
        <v>42586</v>
      </c>
      <c r="F3520" s="72" t="s">
        <v>1087</v>
      </c>
      <c r="G3520" s="67" t="s">
        <v>901</v>
      </c>
      <c r="H3520" s="72" t="s">
        <v>748</v>
      </c>
      <c r="I3520" s="408"/>
      <c r="J3520" s="408"/>
      <c r="K3520" s="399"/>
      <c r="L3520" s="408"/>
      <c r="M3520" s="65">
        <v>170000000</v>
      </c>
      <c r="N3520" s="66" t="s">
        <v>25</v>
      </c>
      <c r="O3520" s="66" t="s">
        <v>61</v>
      </c>
      <c r="P3520" s="82" t="str">
        <f>IF(AND('331-CT'!$E$7=TH!H3520,OR(N3520="331",O3520="331")),"x","")</f>
        <v/>
      </c>
      <c r="Q3520" s="82" t="str">
        <f>IF(AND(B3520='111'!$L$11,OR($N3520=$Q$7,$O3520=$Q$7)),"x","")</f>
        <v/>
      </c>
      <c r="R3520" s="82" t="str">
        <f>IF(AND($N3520=$Q$7,$B3520&lt;'111'!$L$11),"x","")</f>
        <v/>
      </c>
      <c r="S3520" s="82" t="str">
        <f>IF(AND($O3520=$Q$7,$B3520&lt;'111'!$L$11),"x","")</f>
        <v>x</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customHeight="1">
      <c r="A3521" s="323" t="str">
        <f>IF(B3521&lt;&gt;"",IF(AND(B3521='IN-TC'!$S$4,OR(TH!N3529="1111",TH!O3529="1111")),TH!D3529,""),"")</f>
        <v/>
      </c>
      <c r="B3521" s="63">
        <f t="shared" si="233"/>
        <v>8</v>
      </c>
      <c r="C3521" s="64">
        <v>42586</v>
      </c>
      <c r="D3521" s="64" t="s">
        <v>570</v>
      </c>
      <c r="E3521" s="64">
        <f t="shared" si="232"/>
        <v>42586</v>
      </c>
      <c r="F3521" s="72" t="s">
        <v>1049</v>
      </c>
      <c r="G3521" s="67" t="s">
        <v>901</v>
      </c>
      <c r="H3521" s="329" t="s">
        <v>727</v>
      </c>
      <c r="I3521" s="408"/>
      <c r="J3521" s="408"/>
      <c r="K3521" s="399"/>
      <c r="L3521" s="408"/>
      <c r="M3521" s="65">
        <v>3138000</v>
      </c>
      <c r="N3521" s="66" t="s">
        <v>97</v>
      </c>
      <c r="O3521" s="66" t="s">
        <v>254</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customHeight="1">
      <c r="A3522" s="323" t="str">
        <f>IF(B3522&lt;&gt;"",IF(AND(B3522='IN-TC'!$S$4,OR(TH!N3525="1111",TH!O3525="1111")),TH!D3525,""),"")</f>
        <v/>
      </c>
      <c r="B3522" s="63">
        <f t="shared" si="233"/>
        <v>8</v>
      </c>
      <c r="C3522" s="64">
        <v>42586</v>
      </c>
      <c r="D3522" s="64" t="s">
        <v>687</v>
      </c>
      <c r="E3522" s="64">
        <f t="shared" si="232"/>
        <v>42586</v>
      </c>
      <c r="F3522" s="72" t="s">
        <v>1879</v>
      </c>
      <c r="G3522" s="79" t="s">
        <v>901</v>
      </c>
      <c r="H3522" s="72" t="s">
        <v>1880</v>
      </c>
      <c r="I3522" s="408"/>
      <c r="J3522" s="408"/>
      <c r="K3522" s="399">
        <v>52300</v>
      </c>
      <c r="L3522" s="408">
        <v>22295</v>
      </c>
      <c r="M3522" s="65">
        <v>1166028500</v>
      </c>
      <c r="N3522" s="66" t="s">
        <v>25</v>
      </c>
      <c r="O3522" s="66" t="s">
        <v>254</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customHeight="1">
      <c r="A3523" s="323" t="str">
        <f>IF(B3523&lt;&gt;"",IF(AND(B3523='IN-TC'!$S$4,OR(TH!N3562="1111",TH!O3562="1111")),TH!D3562,""),"")</f>
        <v/>
      </c>
      <c r="B3523" s="63">
        <f t="shared" si="233"/>
        <v>8</v>
      </c>
      <c r="C3523" s="78">
        <v>42593</v>
      </c>
      <c r="D3523" s="78" t="s">
        <v>570</v>
      </c>
      <c r="E3523" s="78">
        <f t="shared" si="232"/>
        <v>42593</v>
      </c>
      <c r="F3523" s="72" t="s">
        <v>599</v>
      </c>
      <c r="G3523" s="79" t="s">
        <v>901</v>
      </c>
      <c r="H3523" s="918" t="s">
        <v>589</v>
      </c>
      <c r="I3523" s="406"/>
      <c r="J3523" s="406"/>
      <c r="K3523" s="397">
        <v>10</v>
      </c>
      <c r="L3523" s="414">
        <v>22270</v>
      </c>
      <c r="M3523" s="81">
        <f>ROUND(K3523*L3523,0)</f>
        <v>222700</v>
      </c>
      <c r="N3523" s="82" t="s">
        <v>99</v>
      </c>
      <c r="O3523" s="82" t="s">
        <v>576</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customHeight="1">
      <c r="A3524" s="323" t="str">
        <f>IF(B3524&lt;&gt;"",IF(AND(B3524='IN-TC'!$S$4,OR(TH!N3527="1111",TH!O3527="1111")),TH!D3527,""),"")</f>
        <v/>
      </c>
      <c r="B3524" s="63">
        <f t="shared" si="233"/>
        <v>8</v>
      </c>
      <c r="C3524" s="64">
        <v>42586</v>
      </c>
      <c r="D3524" s="64" t="s">
        <v>687</v>
      </c>
      <c r="E3524" s="64">
        <f t="shared" si="232"/>
        <v>42586</v>
      </c>
      <c r="F3524" s="72" t="s">
        <v>1902</v>
      </c>
      <c r="G3524" s="67" t="s">
        <v>901</v>
      </c>
      <c r="H3524" s="72"/>
      <c r="I3524" s="408"/>
      <c r="J3524" s="408"/>
      <c r="K3524" s="399">
        <v>6600</v>
      </c>
      <c r="L3524" s="408">
        <v>22310</v>
      </c>
      <c r="M3524" s="65">
        <f>ROUND(K3524*L3524,0)</f>
        <v>147246000</v>
      </c>
      <c r="N3524" s="66" t="s">
        <v>260</v>
      </c>
      <c r="O3524" s="66" t="s">
        <v>25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customHeight="1">
      <c r="A3525" s="323" t="str">
        <f>IF(B3525&lt;&gt;"",IF(AND(B3525='IN-TC'!$S$4,OR(TH!N3528="1111",TH!O3528="1111")),TH!D3528,""),"")</f>
        <v/>
      </c>
      <c r="B3525" s="63">
        <f t="shared" si="233"/>
        <v>8</v>
      </c>
      <c r="C3525" s="64">
        <v>42586</v>
      </c>
      <c r="D3525" s="64" t="s">
        <v>690</v>
      </c>
      <c r="E3525" s="64">
        <f t="shared" si="232"/>
        <v>42586</v>
      </c>
      <c r="F3525" s="72" t="s">
        <v>1170</v>
      </c>
      <c r="G3525" s="67" t="s">
        <v>901</v>
      </c>
      <c r="H3525" s="329" t="s">
        <v>727</v>
      </c>
      <c r="I3525" s="408"/>
      <c r="J3525" s="408"/>
      <c r="K3525" s="401">
        <v>52300</v>
      </c>
      <c r="L3525" s="408">
        <v>22280</v>
      </c>
      <c r="M3525" s="65">
        <f>ROUND(K3525*L3525,0)</f>
        <v>1165244000</v>
      </c>
      <c r="N3525" s="66" t="s">
        <v>254</v>
      </c>
      <c r="O3525" s="66" t="s">
        <v>260</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customHeight="1">
      <c r="A3526" s="323" t="str">
        <f>IF(B3526&lt;&gt;"",IF(AND(B3526='IN-TC'!$S$4,OR(TH!N2021="1111",TH!O2021="1111")),TH!D2021,""),"")</f>
        <v/>
      </c>
      <c r="B3526" s="63">
        <f t="shared" si="233"/>
        <v>9</v>
      </c>
      <c r="C3526" s="78">
        <v>42635</v>
      </c>
      <c r="D3526" s="78" t="s">
        <v>570</v>
      </c>
      <c r="E3526" s="78">
        <f t="shared" si="232"/>
        <v>42635</v>
      </c>
      <c r="F3526" s="80" t="s">
        <v>1156</v>
      </c>
      <c r="G3526" s="934" t="s">
        <v>1982</v>
      </c>
      <c r="H3526" s="80" t="s">
        <v>614</v>
      </c>
      <c r="I3526" s="406"/>
      <c r="J3526" s="406"/>
      <c r="K3526" s="397"/>
      <c r="L3526" s="406"/>
      <c r="M3526" s="81">
        <v>14340000</v>
      </c>
      <c r="N3526" s="82" t="s">
        <v>579</v>
      </c>
      <c r="O3526" s="82" t="s">
        <v>8</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customHeight="1">
      <c r="A3527" s="323" t="str">
        <f>IF(B3527&lt;&gt;"",IF(AND(B3527='IN-TC'!$S$4,OR(TH!N3531="1111",TH!O3531="1111")),TH!D3531,""),"")</f>
        <v/>
      </c>
      <c r="B3527" s="63">
        <f t="shared" si="233"/>
        <v>8</v>
      </c>
      <c r="C3527" s="64">
        <v>42586</v>
      </c>
      <c r="D3527" s="64" t="s">
        <v>690</v>
      </c>
      <c r="E3527" s="64">
        <f t="shared" si="232"/>
        <v>42586</v>
      </c>
      <c r="F3527" s="72" t="s">
        <v>1179</v>
      </c>
      <c r="G3527" s="67" t="s">
        <v>902</v>
      </c>
      <c r="H3527" s="72"/>
      <c r="I3527" s="408"/>
      <c r="J3527" s="408"/>
      <c r="K3527" s="399"/>
      <c r="L3527" s="408"/>
      <c r="M3527" s="65">
        <v>20000</v>
      </c>
      <c r="N3527" s="66" t="s">
        <v>99</v>
      </c>
      <c r="O3527" s="66" t="s">
        <v>25</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customHeight="1">
      <c r="A3528" s="323" t="str">
        <f>IF(B3528&lt;&gt;"",IF(AND(B3528='IN-TC'!$S$4,OR(TH!N3532="1111",TH!O3532="1111")),TH!D3532,""),"")</f>
        <v/>
      </c>
      <c r="B3528" s="63">
        <f t="shared" si="233"/>
        <v>8</v>
      </c>
      <c r="C3528" s="64">
        <v>42586</v>
      </c>
      <c r="D3528" s="64" t="s">
        <v>690</v>
      </c>
      <c r="E3528" s="64">
        <f t="shared" si="232"/>
        <v>42586</v>
      </c>
      <c r="F3528" s="72" t="s">
        <v>1180</v>
      </c>
      <c r="G3528" s="67" t="s">
        <v>902</v>
      </c>
      <c r="H3528" s="72"/>
      <c r="I3528" s="408"/>
      <c r="J3528" s="408"/>
      <c r="K3528" s="399"/>
      <c r="L3528" s="408"/>
      <c r="M3528" s="65">
        <v>2000</v>
      </c>
      <c r="N3528" s="82" t="s">
        <v>9</v>
      </c>
      <c r="O3528" s="66" t="s">
        <v>25</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x</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customHeight="1">
      <c r="A3529" s="323" t="str">
        <f>IF(B3529&lt;&gt;"",IF(AND(B3529='IN-TC'!$S$4,OR(TH!N4143="1111",TH!O4143="1111")),TH!D4143,""),"")</f>
        <v/>
      </c>
      <c r="B3529" s="63">
        <f t="shared" si="233"/>
        <v>11</v>
      </c>
      <c r="C3529" s="64">
        <v>42698</v>
      </c>
      <c r="D3529" s="64" t="s">
        <v>690</v>
      </c>
      <c r="E3529" s="64">
        <f t="shared" si="232"/>
        <v>42698</v>
      </c>
      <c r="F3529" s="72" t="s">
        <v>2345</v>
      </c>
      <c r="G3529" s="67" t="s">
        <v>901</v>
      </c>
      <c r="H3529" s="72" t="s">
        <v>614</v>
      </c>
      <c r="I3529" s="408"/>
      <c r="J3529" s="408"/>
      <c r="K3529" s="399"/>
      <c r="L3529" s="408"/>
      <c r="M3529" s="65">
        <v>810000</v>
      </c>
      <c r="N3529" s="66" t="s">
        <v>8</v>
      </c>
      <c r="O3529" s="66" t="s">
        <v>25</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customHeight="1">
      <c r="A3530" s="323" t="str">
        <f>IF(B3530&lt;&gt;"",IF(AND(B3530='IN-TC'!$S$4,OR(TH!N3534="1111",TH!O3534="1111")),TH!D3534,""),"")</f>
        <v/>
      </c>
      <c r="B3530" s="63">
        <f t="shared" si="233"/>
        <v>8</v>
      </c>
      <c r="C3530" s="64">
        <v>42586</v>
      </c>
      <c r="D3530" s="64" t="s">
        <v>690</v>
      </c>
      <c r="E3530" s="64">
        <f t="shared" si="232"/>
        <v>42586</v>
      </c>
      <c r="F3530" s="72" t="s">
        <v>1179</v>
      </c>
      <c r="G3530" s="67" t="s">
        <v>902</v>
      </c>
      <c r="H3530" s="72"/>
      <c r="I3530" s="408"/>
      <c r="J3530" s="408"/>
      <c r="K3530" s="399"/>
      <c r="L3530" s="408"/>
      <c r="M3530" s="65">
        <v>40000</v>
      </c>
      <c r="N3530" s="66" t="s">
        <v>99</v>
      </c>
      <c r="O3530" s="66" t="s">
        <v>25</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customHeight="1">
      <c r="A3531" s="323" t="str">
        <f>IF(B3531&lt;&gt;"",IF(AND(B3531='IN-TC'!$S$4,OR(TH!N3535="1111",TH!O3535="1111")),TH!D3535,""),"")</f>
        <v/>
      </c>
      <c r="B3531" s="63">
        <f t="shared" si="233"/>
        <v>8</v>
      </c>
      <c r="C3531" s="64">
        <v>42586</v>
      </c>
      <c r="D3531" s="64" t="s">
        <v>690</v>
      </c>
      <c r="E3531" s="64">
        <f t="shared" si="232"/>
        <v>42586</v>
      </c>
      <c r="F3531" s="72" t="s">
        <v>1180</v>
      </c>
      <c r="G3531" s="67" t="s">
        <v>902</v>
      </c>
      <c r="H3531" s="72"/>
      <c r="I3531" s="408"/>
      <c r="J3531" s="408"/>
      <c r="K3531" s="399"/>
      <c r="L3531" s="408"/>
      <c r="M3531" s="65">
        <v>4000</v>
      </c>
      <c r="N3531" s="82" t="s">
        <v>9</v>
      </c>
      <c r="O3531" s="66" t="s">
        <v>25</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x</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customHeight="1">
      <c r="A3532" s="1160" t="str">
        <f>IF(B3532&lt;&gt;"",IF(AND(B3532='IN-TC'!$S$4,OR(TH!N2185="1111",TH!O2185="1111")),TH!D2185,""),"")</f>
        <v/>
      </c>
      <c r="B3532" s="948">
        <f t="shared" si="233"/>
        <v>12</v>
      </c>
      <c r="C3532" s="78">
        <v>42733</v>
      </c>
      <c r="D3532" s="78" t="s">
        <v>570</v>
      </c>
      <c r="E3532" s="78">
        <v>42733</v>
      </c>
      <c r="F3532" s="80" t="s">
        <v>1486</v>
      </c>
      <c r="G3532" s="934" t="s">
        <v>2822</v>
      </c>
      <c r="H3532" s="80" t="s">
        <v>1484</v>
      </c>
      <c r="I3532" s="406"/>
      <c r="J3532" s="406"/>
      <c r="K3532" s="397"/>
      <c r="L3532" s="406"/>
      <c r="M3532" s="81">
        <v>68370000</v>
      </c>
      <c r="N3532" s="82" t="s">
        <v>579</v>
      </c>
      <c r="O3532" s="82" t="s">
        <v>8</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customHeight="1">
      <c r="A3533" s="323" t="str">
        <f>IF(B3533&lt;&gt;"",IF(AND(B3533='IN-TC'!$S$4,OR(TH!N3537="1111",TH!O3537="1111")),TH!D3537,""),"")</f>
        <v/>
      </c>
      <c r="B3533" s="63">
        <f t="shared" si="233"/>
        <v>8</v>
      </c>
      <c r="C3533" s="64">
        <v>42586</v>
      </c>
      <c r="D3533" s="64" t="s">
        <v>690</v>
      </c>
      <c r="E3533" s="64">
        <f>C3533</f>
        <v>42586</v>
      </c>
      <c r="F3533" s="72" t="s">
        <v>1179</v>
      </c>
      <c r="G3533" s="67" t="s">
        <v>902</v>
      </c>
      <c r="H3533" s="72"/>
      <c r="I3533" s="408"/>
      <c r="J3533" s="408"/>
      <c r="K3533" s="399"/>
      <c r="L3533" s="408"/>
      <c r="M3533" s="65">
        <v>40000</v>
      </c>
      <c r="N3533" s="66" t="s">
        <v>99</v>
      </c>
      <c r="O3533" s="66" t="s">
        <v>25</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customHeight="1">
      <c r="A3534" s="323" t="str">
        <f>IF(B3534&lt;&gt;"",IF(AND(B3534='IN-TC'!$S$4,OR(TH!N3538="1111",TH!O3538="1111")),TH!D3538,""),"")</f>
        <v/>
      </c>
      <c r="B3534" s="63">
        <f t="shared" si="233"/>
        <v>8</v>
      </c>
      <c r="C3534" s="64">
        <v>42586</v>
      </c>
      <c r="D3534" s="64" t="s">
        <v>690</v>
      </c>
      <c r="E3534" s="64">
        <f>C3534</f>
        <v>42586</v>
      </c>
      <c r="F3534" s="72" t="s">
        <v>1180</v>
      </c>
      <c r="G3534" s="67" t="s">
        <v>902</v>
      </c>
      <c r="H3534" s="72"/>
      <c r="I3534" s="408"/>
      <c r="J3534" s="408"/>
      <c r="K3534" s="399"/>
      <c r="L3534" s="408"/>
      <c r="M3534" s="65">
        <v>4000</v>
      </c>
      <c r="N3534" s="82" t="s">
        <v>9</v>
      </c>
      <c r="O3534" s="66" t="s">
        <v>25</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x</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customHeight="1">
      <c r="A3535" s="323" t="str">
        <f>IF(B3535&lt;&gt;"",IF(AND(B3535='IN-TC'!$S$4,OR(TH!N4127="1111",TH!O4127="1111")),TH!D4127,""),"")</f>
        <v/>
      </c>
      <c r="B3535" s="63">
        <f t="shared" si="233"/>
        <v>11</v>
      </c>
      <c r="C3535" s="64">
        <v>42689</v>
      </c>
      <c r="D3535" s="64" t="s">
        <v>690</v>
      </c>
      <c r="E3535" s="64">
        <f>C3535</f>
        <v>42689</v>
      </c>
      <c r="F3535" s="72" t="s">
        <v>2341</v>
      </c>
      <c r="G3535" s="67" t="s">
        <v>901</v>
      </c>
      <c r="H3535" s="72" t="s">
        <v>617</v>
      </c>
      <c r="I3535" s="408"/>
      <c r="J3535" s="408"/>
      <c r="K3535" s="399"/>
      <c r="L3535" s="408"/>
      <c r="M3535" s="65">
        <v>22634810</v>
      </c>
      <c r="N3535" s="66" t="s">
        <v>8</v>
      </c>
      <c r="O3535" s="66" t="s">
        <v>25</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customHeight="1">
      <c r="A3536" s="323" t="str">
        <f>IF(B3536&lt;&gt;"",IF(AND(B3536='IN-TC'!$S$4,OR(TH!N3540="1111",TH!O3540="1111")),TH!D3540,""),"")</f>
        <v/>
      </c>
      <c r="B3536" s="63">
        <f t="shared" si="233"/>
        <v>8</v>
      </c>
      <c r="C3536" s="64">
        <v>42586</v>
      </c>
      <c r="D3536" s="64" t="s">
        <v>690</v>
      </c>
      <c r="E3536" s="64">
        <f>C3536</f>
        <v>42586</v>
      </c>
      <c r="F3536" s="72" t="s">
        <v>1179</v>
      </c>
      <c r="G3536" s="67" t="s">
        <v>902</v>
      </c>
      <c r="H3536" s="72"/>
      <c r="I3536" s="408"/>
      <c r="J3536" s="408"/>
      <c r="K3536" s="399"/>
      <c r="L3536" s="408"/>
      <c r="M3536" s="65">
        <v>45000</v>
      </c>
      <c r="N3536" s="66" t="s">
        <v>99</v>
      </c>
      <c r="O3536" s="66" t="s">
        <v>25</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1" ht="15.75" customHeight="1">
      <c r="A3537" s="323" t="str">
        <f>IF(B3537&lt;&gt;"",IF(AND(B3537='IN-TC'!$S$4,OR(TH!N3541="1111",TH!O3541="1111")),TH!D3541,""),"")</f>
        <v/>
      </c>
      <c r="B3537" s="63">
        <f t="shared" si="233"/>
        <v>8</v>
      </c>
      <c r="C3537" s="64">
        <v>42586</v>
      </c>
      <c r="D3537" s="64" t="s">
        <v>690</v>
      </c>
      <c r="E3537" s="64">
        <f>C3537</f>
        <v>42586</v>
      </c>
      <c r="F3537" s="72" t="s">
        <v>1180</v>
      </c>
      <c r="G3537" s="67" t="s">
        <v>902</v>
      </c>
      <c r="H3537" s="72"/>
      <c r="I3537" s="408"/>
      <c r="J3537" s="408"/>
      <c r="K3537" s="399"/>
      <c r="L3537" s="408"/>
      <c r="M3537" s="65">
        <v>4500</v>
      </c>
      <c r="N3537" s="82" t="s">
        <v>9</v>
      </c>
      <c r="O3537" s="66" t="s">
        <v>25</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x</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1" ht="15.75" customHeight="1">
      <c r="A3538" s="323" t="str">
        <f>IF(B3538&lt;&gt;"",IF(AND(B3538='IN-TC'!$S$4,OR(TH!N2142="1111",TH!O2142="1111")),TH!D2142,""),"")</f>
        <v/>
      </c>
      <c r="B3538" s="63">
        <f t="shared" si="233"/>
        <v>12</v>
      </c>
      <c r="C3538" s="78">
        <v>42719</v>
      </c>
      <c r="D3538" s="78" t="s">
        <v>570</v>
      </c>
      <c r="E3538" s="78">
        <v>42719</v>
      </c>
      <c r="F3538" s="80" t="s">
        <v>2281</v>
      </c>
      <c r="G3538" s="934" t="s">
        <v>1351</v>
      </c>
      <c r="H3538" s="80" t="s">
        <v>1198</v>
      </c>
      <c r="I3538" s="406"/>
      <c r="J3538" s="406"/>
      <c r="K3538" s="397"/>
      <c r="L3538" s="406"/>
      <c r="M3538" s="81">
        <v>52000000</v>
      </c>
      <c r="N3538" s="82" t="s">
        <v>9</v>
      </c>
      <c r="O3538" s="82" t="s">
        <v>8</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x</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c r="AE3538">
        <v>1</v>
      </c>
    </row>
    <row r="3539" spans="1:31" ht="15.75" customHeight="1">
      <c r="A3539" s="323" t="str">
        <f>IF(B3539&lt;&gt;"",IF(AND(B3539='IN-TC'!$S$4,OR(TH!N3543="1111",TH!O3543="1111")),TH!D3543,""),"")</f>
        <v/>
      </c>
      <c r="B3539" s="63">
        <f t="shared" si="233"/>
        <v>8</v>
      </c>
      <c r="C3539" s="64">
        <v>42586</v>
      </c>
      <c r="D3539" s="64" t="s">
        <v>690</v>
      </c>
      <c r="E3539" s="64">
        <f t="shared" ref="E3539:E3570" si="234">C3539</f>
        <v>42586</v>
      </c>
      <c r="F3539" s="72" t="s">
        <v>1179</v>
      </c>
      <c r="G3539" s="67" t="s">
        <v>902</v>
      </c>
      <c r="H3539" s="72"/>
      <c r="I3539" s="408"/>
      <c r="J3539" s="408"/>
      <c r="K3539" s="399"/>
      <c r="L3539" s="408"/>
      <c r="M3539" s="65">
        <v>20000</v>
      </c>
      <c r="N3539" s="66" t="s">
        <v>99</v>
      </c>
      <c r="O3539" s="66" t="s">
        <v>25</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1" ht="15.75" customHeight="1">
      <c r="A3540" s="323" t="str">
        <f>IF(B3540&lt;&gt;"",IF(AND(B3540='IN-TC'!$S$4,OR(TH!N3544="1111",TH!O3544="1111")),TH!D3544,""),"")</f>
        <v/>
      </c>
      <c r="B3540" s="63">
        <f t="shared" si="233"/>
        <v>8</v>
      </c>
      <c r="C3540" s="64">
        <v>42586</v>
      </c>
      <c r="D3540" s="64" t="s">
        <v>690</v>
      </c>
      <c r="E3540" s="64">
        <f t="shared" si="234"/>
        <v>42586</v>
      </c>
      <c r="F3540" s="72" t="s">
        <v>1180</v>
      </c>
      <c r="G3540" s="67" t="s">
        <v>902</v>
      </c>
      <c r="H3540" s="72"/>
      <c r="I3540" s="408"/>
      <c r="J3540" s="408"/>
      <c r="K3540" s="399"/>
      <c r="L3540" s="408"/>
      <c r="M3540" s="65">
        <v>2000</v>
      </c>
      <c r="N3540" s="82" t="s">
        <v>9</v>
      </c>
      <c r="O3540" s="66" t="s">
        <v>25</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x</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1" ht="15.75" customHeight="1">
      <c r="A3541" s="323" t="str">
        <f>IF(B3541&lt;&gt;"",IF(AND(B3541='IN-TC'!$S$4,OR(TH!N3545="1111",TH!O3545="1111")),TH!D3545,""),"")</f>
        <v/>
      </c>
      <c r="B3541" s="63">
        <f t="shared" si="233"/>
        <v>8</v>
      </c>
      <c r="C3541" s="64">
        <v>42586</v>
      </c>
      <c r="D3541" s="64" t="s">
        <v>690</v>
      </c>
      <c r="E3541" s="64">
        <f t="shared" si="234"/>
        <v>42586</v>
      </c>
      <c r="F3541" s="72" t="s">
        <v>1865</v>
      </c>
      <c r="G3541" s="67" t="s">
        <v>901</v>
      </c>
      <c r="H3541" s="329" t="s">
        <v>727</v>
      </c>
      <c r="I3541" s="408"/>
      <c r="J3541" s="408"/>
      <c r="K3541" s="399"/>
      <c r="L3541" s="408"/>
      <c r="M3541" s="65">
        <v>2554552</v>
      </c>
      <c r="N3541" s="66" t="s">
        <v>97</v>
      </c>
      <c r="O3541" s="66" t="s">
        <v>25</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1" ht="15.75" customHeight="1">
      <c r="A3542" s="323" t="str">
        <f>IF(B3542&lt;&gt;"",IF(AND(B3542='IN-TC'!$S$4,OR(TH!N3546="1111",TH!O3546="1111")),TH!D3546,""),"")</f>
        <v/>
      </c>
      <c r="B3542" s="63">
        <f t="shared" si="233"/>
        <v>8</v>
      </c>
      <c r="C3542" s="64">
        <v>42586</v>
      </c>
      <c r="D3542" s="64" t="s">
        <v>690</v>
      </c>
      <c r="E3542" s="64">
        <f t="shared" si="234"/>
        <v>42586</v>
      </c>
      <c r="F3542" s="72" t="s">
        <v>1179</v>
      </c>
      <c r="G3542" s="67" t="s">
        <v>901</v>
      </c>
      <c r="H3542" s="72"/>
      <c r="I3542" s="408"/>
      <c r="J3542" s="408"/>
      <c r="K3542" s="399"/>
      <c r="L3542" s="408"/>
      <c r="M3542" s="65">
        <v>20000</v>
      </c>
      <c r="N3542" s="66" t="s">
        <v>99</v>
      </c>
      <c r="O3542" s="66" t="s">
        <v>25</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1" ht="15.75" customHeight="1">
      <c r="A3543" s="323" t="str">
        <f>IF(B3543&lt;&gt;"",IF(AND(B3543='IN-TC'!$S$4,OR(TH!N3547="1111",TH!O3547="1111")),TH!D3547,""),"")</f>
        <v/>
      </c>
      <c r="B3543" s="63">
        <f t="shared" si="233"/>
        <v>8</v>
      </c>
      <c r="C3543" s="64">
        <v>42586</v>
      </c>
      <c r="D3543" s="64" t="s">
        <v>690</v>
      </c>
      <c r="E3543" s="64">
        <f t="shared" si="234"/>
        <v>42586</v>
      </c>
      <c r="F3543" s="72" t="s">
        <v>1180</v>
      </c>
      <c r="G3543" s="67" t="s">
        <v>901</v>
      </c>
      <c r="H3543" s="72"/>
      <c r="I3543" s="408"/>
      <c r="J3543" s="408"/>
      <c r="K3543" s="399"/>
      <c r="L3543" s="408"/>
      <c r="M3543" s="65">
        <v>2000</v>
      </c>
      <c r="N3543" s="82" t="s">
        <v>9</v>
      </c>
      <c r="O3543" s="66" t="s">
        <v>25</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x</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1" ht="15.75" customHeight="1">
      <c r="A3544" s="323" t="str">
        <f>IF(B3544&lt;&gt;"",IF(AND(B3544='IN-TC'!$S$4,OR(TH!N3524="1111",TH!O3524="1111")),TH!D3524,""),"")</f>
        <v/>
      </c>
      <c r="B3544" s="63">
        <f t="shared" si="233"/>
        <v>8</v>
      </c>
      <c r="C3544" s="64">
        <v>42586</v>
      </c>
      <c r="D3544" s="64" t="s">
        <v>857</v>
      </c>
      <c r="E3544" s="64">
        <f t="shared" si="234"/>
        <v>42586</v>
      </c>
      <c r="F3544" s="72" t="s">
        <v>1126</v>
      </c>
      <c r="G3544" s="67" t="s">
        <v>901</v>
      </c>
      <c r="H3544" s="72" t="s">
        <v>748</v>
      </c>
      <c r="I3544" s="408"/>
      <c r="J3544" s="408"/>
      <c r="K3544" s="399"/>
      <c r="L3544" s="408"/>
      <c r="M3544" s="65">
        <v>1189000000</v>
      </c>
      <c r="N3544" s="66" t="s">
        <v>61</v>
      </c>
      <c r="O3544" s="66" t="s">
        <v>25</v>
      </c>
      <c r="P3544" s="82" t="str">
        <f>IF(AND('331-CT'!$E$7=TH!H3544,OR(N3544="331",O3544="331")),"x","")</f>
        <v/>
      </c>
      <c r="Q3544" s="82" t="str">
        <f>IF(AND(B3544='111'!$L$11,OR($N3544=$Q$7,$O3544=$Q$7)),"x","")</f>
        <v/>
      </c>
      <c r="R3544" s="82" t="str">
        <f>IF(AND($N3544=$Q$7,$B3544&lt;'111'!$L$11),"x","")</f>
        <v>x</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1" ht="15.75" customHeight="1">
      <c r="A3545" s="323" t="str">
        <f>IF(B3545&lt;&gt;"",IF(AND(B3545='IN-TC'!$S$4,OR(TH!N3521="1111",TH!O3521="1111")),TH!D3521,""),"")</f>
        <v/>
      </c>
      <c r="B3545" s="63">
        <f t="shared" si="233"/>
        <v>8</v>
      </c>
      <c r="C3545" s="64">
        <v>42587</v>
      </c>
      <c r="D3545" s="64" t="s">
        <v>855</v>
      </c>
      <c r="E3545" s="64">
        <f t="shared" si="234"/>
        <v>42587</v>
      </c>
      <c r="F3545" s="72" t="s">
        <v>782</v>
      </c>
      <c r="G3545" s="931" t="s">
        <v>1784</v>
      </c>
      <c r="H3545" s="72" t="s">
        <v>1456</v>
      </c>
      <c r="I3545" s="408"/>
      <c r="J3545" s="408"/>
      <c r="K3545" s="399"/>
      <c r="L3545" s="408"/>
      <c r="M3545" s="65">
        <v>354533</v>
      </c>
      <c r="N3545" s="66" t="s">
        <v>99</v>
      </c>
      <c r="O3545" s="66" t="s">
        <v>61</v>
      </c>
      <c r="P3545" s="82" t="str">
        <f>IF(AND('331-CT'!$E$7=TH!H3545,OR(N3545="331",O3545="331")),"x","")</f>
        <v/>
      </c>
      <c r="Q3545" s="82" t="str">
        <f>IF(AND(B3545='111'!$L$11,OR($N3545=$Q$7,$O3545=$Q$7)),"x","")</f>
        <v/>
      </c>
      <c r="R3545" s="82" t="str">
        <f>IF(AND($N3545=$Q$7,$B3545&lt;'111'!$L$11),"x","")</f>
        <v/>
      </c>
      <c r="S3545" s="82" t="str">
        <f>IF(AND($O3545=$Q$7,$B3545&lt;'111'!$L$11),"x","")</f>
        <v>x</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1" ht="15.75" customHeight="1">
      <c r="A3546" s="323" t="str">
        <f>IF(B3546&lt;&gt;"",IF(AND(B3546='IN-TC'!$S$4,OR(TH!N3522="1111",TH!O3522="1111")),TH!D3522,""),"")</f>
        <v/>
      </c>
      <c r="B3546" s="63">
        <f t="shared" si="233"/>
        <v>8</v>
      </c>
      <c r="C3546" s="64">
        <v>42587</v>
      </c>
      <c r="D3546" s="64" t="s">
        <v>855</v>
      </c>
      <c r="E3546" s="64">
        <f t="shared" si="234"/>
        <v>42587</v>
      </c>
      <c r="F3546" s="72" t="s">
        <v>783</v>
      </c>
      <c r="G3546" s="931" t="s">
        <v>1784</v>
      </c>
      <c r="H3546" s="72" t="s">
        <v>1456</v>
      </c>
      <c r="I3546" s="408"/>
      <c r="J3546" s="408"/>
      <c r="K3546" s="399"/>
      <c r="L3546" s="408"/>
      <c r="M3546" s="65">
        <v>35453</v>
      </c>
      <c r="N3546" s="82" t="s">
        <v>9</v>
      </c>
      <c r="O3546" s="66" t="s">
        <v>61</v>
      </c>
      <c r="P3546" s="82" t="str">
        <f>IF(AND('331-CT'!$E$7=TH!H3546,OR(N3546="331",O3546="331")),"x","")</f>
        <v/>
      </c>
      <c r="Q3546" s="82" t="str">
        <f>IF(AND(B3546='111'!$L$11,OR($N3546=$Q$7,$O3546=$Q$7)),"x","")</f>
        <v/>
      </c>
      <c r="R3546" s="82" t="str">
        <f>IF(AND($N3546=$Q$7,$B3546&lt;'111'!$L$11),"x","")</f>
        <v/>
      </c>
      <c r="S3546" s="82" t="str">
        <f>IF(AND($O3546=$Q$7,$B3546&lt;'111'!$L$11),"x","")</f>
        <v>x</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x</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1" ht="15.75" customHeight="1">
      <c r="A3547" s="323" t="str">
        <f>IF(B3547&lt;&gt;"",IF(AND(B3547='IN-TC'!$S$4,OR(TH!N3550="1111",TH!O3550="1111")),TH!D3550,""),"")</f>
        <v/>
      </c>
      <c r="B3547" s="63">
        <f t="shared" si="233"/>
        <v>8</v>
      </c>
      <c r="C3547" s="64">
        <v>42587</v>
      </c>
      <c r="D3547" s="64" t="s">
        <v>690</v>
      </c>
      <c r="E3547" s="64">
        <f t="shared" si="234"/>
        <v>42587</v>
      </c>
      <c r="F3547" s="72" t="s">
        <v>1767</v>
      </c>
      <c r="G3547" s="67" t="s">
        <v>1544</v>
      </c>
      <c r="H3547" s="72"/>
      <c r="I3547" s="408"/>
      <c r="J3547" s="408"/>
      <c r="K3547" s="399">
        <v>229.92</v>
      </c>
      <c r="L3547" s="408">
        <v>22330</v>
      </c>
      <c r="M3547" s="1097">
        <f>ROUND(K3547*L3547,0)</f>
        <v>5134114</v>
      </c>
      <c r="N3547" s="66" t="s">
        <v>97</v>
      </c>
      <c r="O3547" s="66" t="s">
        <v>260</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1" ht="15.75" customHeight="1">
      <c r="A3548" s="323" t="str">
        <f>IF(B3548&lt;&gt;"",IF(AND(B3548='IN-TC'!$S$4,OR(TH!N3523="1111",TH!O3523="1111")),TH!D3523,""),"")</f>
        <v/>
      </c>
      <c r="B3548" s="63">
        <f t="shared" si="233"/>
        <v>8</v>
      </c>
      <c r="C3548" s="64">
        <v>42588</v>
      </c>
      <c r="D3548" s="64" t="s">
        <v>856</v>
      </c>
      <c r="E3548" s="64">
        <f t="shared" si="234"/>
        <v>42588</v>
      </c>
      <c r="F3548" s="72" t="s">
        <v>1785</v>
      </c>
      <c r="G3548" s="931" t="s">
        <v>1787</v>
      </c>
      <c r="H3548" s="72" t="s">
        <v>830</v>
      </c>
      <c r="I3548" s="408"/>
      <c r="J3548" s="408"/>
      <c r="K3548" s="399"/>
      <c r="L3548" s="408"/>
      <c r="M3548" s="65">
        <v>2016629</v>
      </c>
      <c r="N3548" s="66" t="s">
        <v>99</v>
      </c>
      <c r="O3548" s="66" t="s">
        <v>61</v>
      </c>
      <c r="P3548" s="82" t="str">
        <f>IF(AND('331-CT'!$E$7=TH!H3548,OR(N3548="331",O3548="331")),"x","")</f>
        <v/>
      </c>
      <c r="Q3548" s="82" t="str">
        <f>IF(AND(B3548='111'!$L$11,OR($N3548=$Q$7,$O3548=$Q$7)),"x","")</f>
        <v/>
      </c>
      <c r="R3548" s="82" t="str">
        <f>IF(AND($N3548=$Q$7,$B3548&lt;'111'!$L$11),"x","")</f>
        <v/>
      </c>
      <c r="S3548" s="82" t="str">
        <f>IF(AND($O3548=$Q$7,$B3548&lt;'111'!$L$11),"x","")</f>
        <v>x</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1" ht="15.75" customHeight="1">
      <c r="A3549" s="323" t="str">
        <f>IF(B3549&lt;&gt;"",IF(AND(B3549='IN-TC'!$S$4,OR(TH!N3548="1111",TH!O3548="1111")),TH!D3548,""),"")</f>
        <v/>
      </c>
      <c r="B3549" s="63">
        <f t="shared" si="233"/>
        <v>8</v>
      </c>
      <c r="C3549" s="64">
        <v>42588</v>
      </c>
      <c r="D3549" s="64" t="s">
        <v>856</v>
      </c>
      <c r="E3549" s="64">
        <f t="shared" si="234"/>
        <v>42588</v>
      </c>
      <c r="F3549" s="72" t="s">
        <v>1786</v>
      </c>
      <c r="G3549" s="931" t="s">
        <v>1787</v>
      </c>
      <c r="H3549" s="72" t="s">
        <v>830</v>
      </c>
      <c r="I3549" s="408"/>
      <c r="J3549" s="408"/>
      <c r="K3549" s="399"/>
      <c r="L3549" s="408"/>
      <c r="M3549" s="65">
        <v>201663</v>
      </c>
      <c r="N3549" s="82" t="s">
        <v>9</v>
      </c>
      <c r="O3549" s="66" t="s">
        <v>61</v>
      </c>
      <c r="P3549" s="82" t="str">
        <f>IF(AND('331-CT'!$E$7=TH!H3549,OR(N3549="331",O3549="331")),"x","")</f>
        <v/>
      </c>
      <c r="Q3549" s="82" t="str">
        <f>IF(AND(B3549='111'!$L$11,OR($N3549=$Q$7,$O3549=$Q$7)),"x","")</f>
        <v/>
      </c>
      <c r="R3549" s="82" t="str">
        <f>IF(AND($N3549=$Q$7,$B3549&lt;'111'!$L$11),"x","")</f>
        <v/>
      </c>
      <c r="S3549" s="82" t="str">
        <f>IF(AND($O3549=$Q$7,$B3549&lt;'111'!$L$11),"x","")</f>
        <v>x</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x</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1" ht="15.75" customHeight="1">
      <c r="A3550" s="323" t="str">
        <f>IF(B3550&lt;&gt;"",IF(AND(B3550='IN-TC'!$S$4,OR(TH!N3549="1111",TH!O3549="1111")),TH!D3549,""),"")</f>
        <v/>
      </c>
      <c r="B3550" s="63">
        <f t="shared" si="233"/>
        <v>8</v>
      </c>
      <c r="C3550" s="64">
        <v>42588</v>
      </c>
      <c r="D3550" s="64" t="s">
        <v>858</v>
      </c>
      <c r="E3550" s="64">
        <f t="shared" si="234"/>
        <v>42588</v>
      </c>
      <c r="F3550" s="72" t="s">
        <v>218</v>
      </c>
      <c r="G3550" s="931" t="s">
        <v>1788</v>
      </c>
      <c r="H3550" s="329" t="s">
        <v>606</v>
      </c>
      <c r="I3550" s="408">
        <v>450</v>
      </c>
      <c r="J3550" s="408">
        <v>18060.61</v>
      </c>
      <c r="K3550" s="399"/>
      <c r="L3550" s="408"/>
      <c r="M3550" s="65">
        <f>ROUND(I3550*J3550,0)</f>
        <v>8127275</v>
      </c>
      <c r="N3550" s="66" t="s">
        <v>276</v>
      </c>
      <c r="O3550" s="66" t="s">
        <v>61</v>
      </c>
      <c r="P3550" s="82" t="str">
        <f>IF(AND('331-CT'!$E$7=TH!H3550,OR(N3550="331",O3550="331")),"x","")</f>
        <v/>
      </c>
      <c r="Q3550" s="82" t="str">
        <f>IF(AND(B3550='111'!$L$11,OR($N3550=$Q$7,$O3550=$Q$7)),"x","")</f>
        <v/>
      </c>
      <c r="R3550" s="82" t="str">
        <f>IF(AND($N3550=$Q$7,$B3550&lt;'111'!$L$11),"x","")</f>
        <v/>
      </c>
      <c r="S3550" s="82" t="str">
        <f>IF(AND($O3550=$Q$7,$B3550&lt;'111'!$L$11),"x","")</f>
        <v>x</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1" ht="15.75" customHeight="1">
      <c r="A3551" s="323" t="str">
        <f>IF(B3551&lt;&gt;"",IF(AND(B3551='IN-TC'!$S$4,OR(TH!N3551="1111",TH!O3551="1111")),TH!D3551,""),"")</f>
        <v/>
      </c>
      <c r="B3551" s="63">
        <f t="shared" si="233"/>
        <v>8</v>
      </c>
      <c r="C3551" s="64">
        <v>42588</v>
      </c>
      <c r="D3551" s="64" t="s">
        <v>858</v>
      </c>
      <c r="E3551" s="64">
        <f t="shared" si="234"/>
        <v>42588</v>
      </c>
      <c r="F3551" s="72" t="s">
        <v>1335</v>
      </c>
      <c r="G3551" s="931" t="s">
        <v>1788</v>
      </c>
      <c r="H3551" s="329" t="s">
        <v>606</v>
      </c>
      <c r="I3551" s="408"/>
      <c r="J3551" s="408"/>
      <c r="K3551" s="399"/>
      <c r="L3551" s="408"/>
      <c r="M3551" s="65">
        <v>812728</v>
      </c>
      <c r="N3551" s="82" t="s">
        <v>9</v>
      </c>
      <c r="O3551" s="66" t="s">
        <v>61</v>
      </c>
      <c r="P3551" s="82" t="str">
        <f>IF(AND('331-CT'!$E$7=TH!H3551,OR(N3551="331",O3551="331")),"x","")</f>
        <v/>
      </c>
      <c r="Q3551" s="82" t="str">
        <f>IF(AND(B3551='111'!$L$11,OR($N3551=$Q$7,$O3551=$Q$7)),"x","")</f>
        <v/>
      </c>
      <c r="R3551" s="82" t="str">
        <f>IF(AND($N3551=$Q$7,$B3551&lt;'111'!$L$11),"x","")</f>
        <v/>
      </c>
      <c r="S3551" s="82" t="str">
        <f>IF(AND($O3551=$Q$7,$B3551&lt;'111'!$L$11),"x","")</f>
        <v>x</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x</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1" ht="15.75" customHeight="1">
      <c r="A3552" s="323" t="str">
        <f>IF(B3552&lt;&gt;"",IF(AND(B3552='IN-TC'!$S$4,OR(TH!N3552="1111",TH!O3552="1111")),TH!D3552,""),"")</f>
        <v/>
      </c>
      <c r="B3552" s="63">
        <f t="shared" si="233"/>
        <v>8</v>
      </c>
      <c r="C3552" s="64">
        <v>42589</v>
      </c>
      <c r="D3552" s="64" t="s">
        <v>859</v>
      </c>
      <c r="E3552" s="64">
        <f t="shared" si="234"/>
        <v>42589</v>
      </c>
      <c r="F3552" s="72" t="s">
        <v>1789</v>
      </c>
      <c r="G3552" s="931" t="s">
        <v>1791</v>
      </c>
      <c r="H3552" s="72" t="s">
        <v>1089</v>
      </c>
      <c r="I3552" s="408"/>
      <c r="J3552" s="408"/>
      <c r="K3552" s="399"/>
      <c r="L3552" s="408"/>
      <c r="M3552" s="65">
        <v>1257127</v>
      </c>
      <c r="N3552" s="66" t="s">
        <v>99</v>
      </c>
      <c r="O3552" s="66" t="s">
        <v>61</v>
      </c>
      <c r="P3552" s="82" t="str">
        <f>IF(AND('331-CT'!$E$7=TH!H3552,OR(N3552="331",O3552="331")),"x","")</f>
        <v/>
      </c>
      <c r="Q3552" s="82" t="str">
        <f>IF(AND(B3552='111'!$L$11,OR($N3552=$Q$7,$O3552=$Q$7)),"x","")</f>
        <v/>
      </c>
      <c r="R3552" s="82" t="str">
        <f>IF(AND($N3552=$Q$7,$B3552&lt;'111'!$L$11),"x","")</f>
        <v/>
      </c>
      <c r="S3552" s="82" t="str">
        <f>IF(AND($O3552=$Q$7,$B3552&lt;'111'!$L$11),"x","")</f>
        <v>x</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1" ht="15.75" customHeight="1">
      <c r="A3553" s="323" t="str">
        <f>IF(B3553&lt;&gt;"",IF(AND(B3553='IN-TC'!$S$4,OR(TH!N3553="1111",TH!O3553="1111")),TH!D3553,""),"")</f>
        <v/>
      </c>
      <c r="B3553" s="63">
        <f t="shared" si="233"/>
        <v>8</v>
      </c>
      <c r="C3553" s="64">
        <v>42589</v>
      </c>
      <c r="D3553" s="64" t="s">
        <v>859</v>
      </c>
      <c r="E3553" s="64">
        <f t="shared" si="234"/>
        <v>42589</v>
      </c>
      <c r="F3553" s="72" t="s">
        <v>1790</v>
      </c>
      <c r="G3553" s="931" t="s">
        <v>1791</v>
      </c>
      <c r="H3553" s="72" t="s">
        <v>1089</v>
      </c>
      <c r="I3553" s="408"/>
      <c r="J3553" s="408"/>
      <c r="K3553" s="399"/>
      <c r="L3553" s="408"/>
      <c r="M3553" s="65">
        <v>125713</v>
      </c>
      <c r="N3553" s="82" t="s">
        <v>9</v>
      </c>
      <c r="O3553" s="66" t="s">
        <v>61</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x</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1" ht="15.75" customHeight="1">
      <c r="A3554" s="323" t="str">
        <f>IF(B3554&lt;&gt;"",IF(AND(B3554='IN-TC'!$S$4,OR(TH!N3554="1111",TH!O3554="1111")),TH!D3554,""),"")</f>
        <v/>
      </c>
      <c r="B3554" s="63">
        <f t="shared" si="233"/>
        <v>8</v>
      </c>
      <c r="C3554" s="1092">
        <v>42590</v>
      </c>
      <c r="D3554" s="1092" t="s">
        <v>860</v>
      </c>
      <c r="E3554" s="1092">
        <f t="shared" si="234"/>
        <v>42590</v>
      </c>
      <c r="F3554" s="482" t="s">
        <v>947</v>
      </c>
      <c r="G3554" s="1094"/>
      <c r="H3554" s="1093" t="s">
        <v>3001</v>
      </c>
      <c r="I3554" s="1095"/>
      <c r="J3554" s="1095"/>
      <c r="K3554" s="1096"/>
      <c r="L3554" s="1095"/>
      <c r="M3554" s="1097">
        <v>500000000</v>
      </c>
      <c r="N3554" s="1098" t="s">
        <v>266</v>
      </c>
      <c r="O3554" s="1098" t="s">
        <v>61</v>
      </c>
      <c r="P3554" s="82" t="str">
        <f>IF(AND('331-CT'!$E$7=TH!H3554,OR(N3554="331",O3554="331")),"x","")</f>
        <v/>
      </c>
      <c r="Q3554" s="82" t="str">
        <f>IF(AND(B3554='111'!$L$11,OR($N3554=$Q$7,$O3554=$Q$7)),"x","")</f>
        <v/>
      </c>
      <c r="R3554" s="82" t="str">
        <f>IF(AND($N3554=$Q$7,$B3554&lt;'111'!$L$11),"x","")</f>
        <v/>
      </c>
      <c r="S3554" s="82" t="str">
        <f>IF(AND($O3554=$Q$7,$B3554&lt;'111'!$L$11),"x","")</f>
        <v>x</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1" ht="15.75" customHeight="1">
      <c r="A3555" s="323" t="str">
        <f>IF(B3555&lt;&gt;"",IF(AND(B3555='IN-TC'!$S$4,OR(TH!N3555="1111",TH!O3555="1111")),TH!D3555,""),"")</f>
        <v/>
      </c>
      <c r="B3555" s="63">
        <f t="shared" si="233"/>
        <v>8</v>
      </c>
      <c r="C3555" s="64">
        <v>42592</v>
      </c>
      <c r="D3555" s="64" t="s">
        <v>861</v>
      </c>
      <c r="E3555" s="64">
        <f t="shared" si="234"/>
        <v>42592</v>
      </c>
      <c r="F3555" s="72" t="s">
        <v>1789</v>
      </c>
      <c r="G3555" s="931" t="s">
        <v>1792</v>
      </c>
      <c r="H3555" s="72" t="s">
        <v>1089</v>
      </c>
      <c r="I3555" s="408"/>
      <c r="J3555" s="408"/>
      <c r="K3555" s="399"/>
      <c r="L3555" s="408"/>
      <c r="M3555" s="65">
        <v>1249464</v>
      </c>
      <c r="N3555" s="66" t="s">
        <v>99</v>
      </c>
      <c r="O3555" s="66" t="s">
        <v>61</v>
      </c>
      <c r="P3555" s="82" t="str">
        <f>IF(AND('331-CT'!$E$7=TH!H3555,OR(N3555="331",O3555="331")),"x","")</f>
        <v/>
      </c>
      <c r="Q3555" s="82" t="str">
        <f>IF(AND(B3555='111'!$L$11,OR($N3555=$Q$7,$O3555=$Q$7)),"x","")</f>
        <v/>
      </c>
      <c r="R3555" s="82" t="str">
        <f>IF(AND($N3555=$Q$7,$B3555&lt;'111'!$L$11),"x","")</f>
        <v/>
      </c>
      <c r="S3555" s="82" t="str">
        <f>IF(AND($O3555=$Q$7,$B3555&lt;'111'!$L$11),"x","")</f>
        <v>x</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1" ht="15.75" customHeight="1">
      <c r="A3556" s="323" t="str">
        <f>IF(B3556&lt;&gt;"",IF(AND(B3556='IN-TC'!$S$4,OR(TH!N3556="1111",TH!O3556="1111")),TH!D3556,""),"")</f>
        <v/>
      </c>
      <c r="B3556" s="63">
        <f t="shared" si="233"/>
        <v>8</v>
      </c>
      <c r="C3556" s="64">
        <v>42592</v>
      </c>
      <c r="D3556" s="64" t="s">
        <v>861</v>
      </c>
      <c r="E3556" s="64">
        <f t="shared" si="234"/>
        <v>42592</v>
      </c>
      <c r="F3556" s="72" t="s">
        <v>1790</v>
      </c>
      <c r="G3556" s="931" t="s">
        <v>1792</v>
      </c>
      <c r="H3556" s="72" t="s">
        <v>1089</v>
      </c>
      <c r="I3556" s="408"/>
      <c r="J3556" s="408"/>
      <c r="K3556" s="399"/>
      <c r="L3556" s="408"/>
      <c r="M3556" s="65">
        <v>124946</v>
      </c>
      <c r="N3556" s="82" t="s">
        <v>9</v>
      </c>
      <c r="O3556" s="66" t="s">
        <v>61</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x</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1" ht="15.75" customHeight="1">
      <c r="A3557" s="323" t="str">
        <f>IF(B3557&lt;&gt;"",IF(AND(B3557='IN-TC'!$S$4,OR(TH!N3563="1111",TH!O3563="1111")),TH!D3563,""),"")</f>
        <v/>
      </c>
      <c r="B3557" s="63">
        <f t="shared" si="233"/>
        <v>8</v>
      </c>
      <c r="C3557" s="78">
        <v>42593</v>
      </c>
      <c r="D3557" s="78" t="s">
        <v>570</v>
      </c>
      <c r="E3557" s="78">
        <f t="shared" si="234"/>
        <v>42593</v>
      </c>
      <c r="F3557" s="72" t="s">
        <v>1174</v>
      </c>
      <c r="G3557" s="79" t="s">
        <v>901</v>
      </c>
      <c r="H3557" s="918" t="s">
        <v>589</v>
      </c>
      <c r="I3557" s="406"/>
      <c r="J3557" s="406"/>
      <c r="K3557" s="397">
        <v>1</v>
      </c>
      <c r="L3557" s="414">
        <v>22270</v>
      </c>
      <c r="M3557" s="81">
        <f>ROUND(K3557*L3557,0)</f>
        <v>22270</v>
      </c>
      <c r="N3557" s="82" t="s">
        <v>9</v>
      </c>
      <c r="O3557" s="82" t="s">
        <v>576</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x</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1" ht="15.75" customHeight="1">
      <c r="A3558" s="323" t="str">
        <f>IF(B3558&lt;&gt;"",IF(AND(B3558='IN-TC'!$S$4,OR(TH!N3564="1111",TH!O3564="1111")),TH!D3564,""),"")</f>
        <v/>
      </c>
      <c r="B3558" s="63">
        <f t="shared" si="233"/>
        <v>8</v>
      </c>
      <c r="C3558" s="78">
        <v>42593</v>
      </c>
      <c r="D3558" s="78" t="s">
        <v>570</v>
      </c>
      <c r="E3558" s="78">
        <f t="shared" si="234"/>
        <v>42593</v>
      </c>
      <c r="F3558" s="72" t="s">
        <v>1047</v>
      </c>
      <c r="G3558" s="79" t="s">
        <v>901</v>
      </c>
      <c r="H3558" s="918" t="s">
        <v>589</v>
      </c>
      <c r="I3558" s="406"/>
      <c r="J3558" s="406"/>
      <c r="K3558" s="397">
        <v>35.08</v>
      </c>
      <c r="L3558" s="414">
        <v>22270</v>
      </c>
      <c r="M3558" s="81">
        <f>ROUND(K3558*L3558,0)</f>
        <v>781232</v>
      </c>
      <c r="N3558" s="82" t="s">
        <v>97</v>
      </c>
      <c r="O3558" s="82" t="s">
        <v>576</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1" ht="15.75" customHeight="1">
      <c r="A3559" s="323" t="str">
        <f>IF(B3559&lt;&gt;"",IF(AND(B3559='IN-TC'!$S$4,OR(TH!N3565="1111",TH!O3565="1111")),TH!D3565,""),"")</f>
        <v/>
      </c>
      <c r="B3559" s="63">
        <f t="shared" si="233"/>
        <v>8</v>
      </c>
      <c r="C3559" s="78">
        <v>42593</v>
      </c>
      <c r="D3559" s="78" t="s">
        <v>570</v>
      </c>
      <c r="E3559" s="78">
        <f t="shared" si="234"/>
        <v>42593</v>
      </c>
      <c r="F3559" s="72" t="s">
        <v>601</v>
      </c>
      <c r="G3559" s="79" t="s">
        <v>901</v>
      </c>
      <c r="H3559" s="918" t="s">
        <v>589</v>
      </c>
      <c r="I3559" s="406"/>
      <c r="J3559" s="406"/>
      <c r="K3559" s="397">
        <v>51.98</v>
      </c>
      <c r="L3559" s="414">
        <v>22270</v>
      </c>
      <c r="M3559" s="81">
        <f>ROUND(K3559*L3559,0)</f>
        <v>1157595</v>
      </c>
      <c r="N3559" s="82" t="s">
        <v>99</v>
      </c>
      <c r="O3559" s="82" t="s">
        <v>576</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1" ht="15.75" customHeight="1">
      <c r="A3560" s="323" t="str">
        <f>IF(B3560&lt;&gt;"",IF(AND(B3560='IN-TC'!$S$4,OR(TH!N3566="1111",TH!O3566="1111")),TH!D3566,""),"")</f>
        <v/>
      </c>
      <c r="B3560" s="63">
        <f t="shared" si="233"/>
        <v>8</v>
      </c>
      <c r="C3560" s="78">
        <v>42593</v>
      </c>
      <c r="D3560" s="78" t="s">
        <v>570</v>
      </c>
      <c r="E3560" s="78">
        <f t="shared" si="234"/>
        <v>42593</v>
      </c>
      <c r="F3560" s="72" t="s">
        <v>1178</v>
      </c>
      <c r="G3560" s="79" t="s">
        <v>901</v>
      </c>
      <c r="H3560" s="918" t="s">
        <v>589</v>
      </c>
      <c r="I3560" s="406"/>
      <c r="J3560" s="406"/>
      <c r="K3560" s="397">
        <v>5.2</v>
      </c>
      <c r="L3560" s="414">
        <v>22270</v>
      </c>
      <c r="M3560" s="81">
        <f>ROUND(K3560*L3560,0)</f>
        <v>115804</v>
      </c>
      <c r="N3560" s="82" t="s">
        <v>9</v>
      </c>
      <c r="O3560" s="82" t="s">
        <v>576</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x</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1" ht="15.75" customHeight="1">
      <c r="A3561" s="323" t="str">
        <f>IF(B3561&lt;&gt;"",IF(AND(B3561='IN-TC'!$S$4,OR(TH!N3567="1111",TH!O3567="1111")),TH!D3567,""),"")</f>
        <v/>
      </c>
      <c r="B3561" s="63">
        <f t="shared" si="233"/>
        <v>8</v>
      </c>
      <c r="C3561" s="78">
        <v>42593</v>
      </c>
      <c r="D3561" s="78" t="s">
        <v>570</v>
      </c>
      <c r="E3561" s="78">
        <f t="shared" si="234"/>
        <v>42593</v>
      </c>
      <c r="F3561" s="72" t="s">
        <v>1968</v>
      </c>
      <c r="G3561" s="79" t="s">
        <v>901</v>
      </c>
      <c r="H3561" s="918" t="s">
        <v>589</v>
      </c>
      <c r="I3561" s="406"/>
      <c r="J3561" s="406"/>
      <c r="K3561" s="397">
        <v>35</v>
      </c>
      <c r="L3561" s="414">
        <v>22270</v>
      </c>
      <c r="M3561" s="81">
        <f>ROUND(K3561*L3561,0)</f>
        <v>779450</v>
      </c>
      <c r="N3561" s="82" t="s">
        <v>99</v>
      </c>
      <c r="O3561" s="82" t="s">
        <v>576</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1" ht="15.75" customHeight="1">
      <c r="A3562" s="323" t="str">
        <f>IF(B3562&lt;&gt;"",IF(AND(B3562='IN-TC'!$S$4,OR(TH!N3568="1111",TH!O3568="1111")),TH!D3568,""),"")</f>
        <v/>
      </c>
      <c r="B3562" s="63">
        <f t="shared" si="233"/>
        <v>8</v>
      </c>
      <c r="C3562" s="78">
        <v>42593</v>
      </c>
      <c r="D3562" s="78" t="s">
        <v>570</v>
      </c>
      <c r="E3562" s="78">
        <f t="shared" si="234"/>
        <v>42593</v>
      </c>
      <c r="F3562" s="72" t="s">
        <v>1049</v>
      </c>
      <c r="G3562" s="79" t="s">
        <v>901</v>
      </c>
      <c r="H3562" s="918" t="s">
        <v>589</v>
      </c>
      <c r="I3562" s="406"/>
      <c r="J3562" s="406"/>
      <c r="K3562" s="397"/>
      <c r="L3562" s="406"/>
      <c r="M3562" s="81">
        <v>2279470</v>
      </c>
      <c r="N3562" s="82" t="s">
        <v>576</v>
      </c>
      <c r="O3562" s="82" t="s">
        <v>41</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1" ht="15.75" customHeight="1">
      <c r="A3563" s="323" t="str">
        <f>IF(B3563&lt;&gt;"",IF(AND(B3563='IN-TC'!$S$4,OR(TH!N288="1111",TH!O288="1111")),TH!D288,""),"")</f>
        <v/>
      </c>
      <c r="B3563" s="63">
        <f t="shared" si="233"/>
        <v>9</v>
      </c>
      <c r="C3563" s="1087">
        <v>42641</v>
      </c>
      <c r="D3563" s="1087" t="s">
        <v>1656</v>
      </c>
      <c r="E3563" s="1087">
        <f t="shared" si="234"/>
        <v>42641</v>
      </c>
      <c r="F3563" s="1155" t="s">
        <v>1501</v>
      </c>
      <c r="G3563" s="1131" t="s">
        <v>2013</v>
      </c>
      <c r="H3563" s="92" t="s">
        <v>589</v>
      </c>
      <c r="I3563" s="414">
        <v>1450</v>
      </c>
      <c r="J3563" s="1132">
        <v>8.4</v>
      </c>
      <c r="K3563" s="405">
        <f>I3563*J3563</f>
        <v>12180</v>
      </c>
      <c r="L3563" s="414">
        <v>22270</v>
      </c>
      <c r="M3563" s="1133">
        <f>ROUND(K3563*L3563,0)</f>
        <v>271248600</v>
      </c>
      <c r="N3563" s="1134" t="s">
        <v>576</v>
      </c>
      <c r="O3563" s="1134" t="s">
        <v>292</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1" ht="15.75" customHeight="1">
      <c r="A3564" s="323" t="str">
        <f>IF(B3564&lt;&gt;"",IF(AND(B3564='IN-TC'!$S$4,OR(TH!N289="1111",TH!O289="1111")),TH!D289,""),"")</f>
        <v/>
      </c>
      <c r="B3564" s="63">
        <f t="shared" si="233"/>
        <v>9</v>
      </c>
      <c r="C3564" s="1087">
        <v>42641</v>
      </c>
      <c r="D3564" s="1087" t="s">
        <v>1656</v>
      </c>
      <c r="E3564" s="1087">
        <f t="shared" si="234"/>
        <v>42641</v>
      </c>
      <c r="F3564" s="1155" t="s">
        <v>1503</v>
      </c>
      <c r="G3564" s="1131" t="s">
        <v>2013</v>
      </c>
      <c r="H3564" s="92" t="s">
        <v>589</v>
      </c>
      <c r="I3564" s="414">
        <v>2000</v>
      </c>
      <c r="J3564" s="1132">
        <v>8.6</v>
      </c>
      <c r="K3564" s="405">
        <f>I3564*J3564</f>
        <v>17200</v>
      </c>
      <c r="L3564" s="414">
        <v>22270</v>
      </c>
      <c r="M3564" s="1133">
        <f>ROUND(K3564*L3564,0)</f>
        <v>383044000</v>
      </c>
      <c r="N3564" s="1134" t="s">
        <v>576</v>
      </c>
      <c r="O3564" s="1134" t="s">
        <v>292</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1" ht="15.75" customHeight="1">
      <c r="A3565" s="323" t="str">
        <f>IF(B3565&lt;&gt;"",IF(AND(B3565='IN-TC'!$S$4,OR(TH!N290="1111",TH!O290="1111")),TH!D290,""),"")</f>
        <v/>
      </c>
      <c r="B3565" s="63">
        <f t="shared" si="233"/>
        <v>9</v>
      </c>
      <c r="C3565" s="1087">
        <v>42641</v>
      </c>
      <c r="D3565" s="1087" t="s">
        <v>1656</v>
      </c>
      <c r="E3565" s="1087">
        <f t="shared" si="234"/>
        <v>42641</v>
      </c>
      <c r="F3565" s="1155" t="s">
        <v>441</v>
      </c>
      <c r="G3565" s="1131" t="s">
        <v>2013</v>
      </c>
      <c r="H3565" s="92" t="s">
        <v>589</v>
      </c>
      <c r="I3565" s="414">
        <v>940</v>
      </c>
      <c r="J3565" s="1132">
        <v>11.7</v>
      </c>
      <c r="K3565" s="405">
        <f>I3565*J3565</f>
        <v>10998</v>
      </c>
      <c r="L3565" s="414">
        <v>22270</v>
      </c>
      <c r="M3565" s="1133">
        <f>ROUND(K3565*L3565,0)</f>
        <v>244925460</v>
      </c>
      <c r="N3565" s="1134" t="s">
        <v>576</v>
      </c>
      <c r="O3565" s="1134" t="s">
        <v>292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E3565" s="1272"/>
    </row>
    <row r="3566" spans="1:31" ht="15.75" customHeight="1">
      <c r="A3566" s="323" t="str">
        <f>IF(B3566&lt;&gt;"",IF(AND(B3566='IN-TC'!$S$4,OR(TH!N291="1111",TH!O291="1111")),TH!D291,""),"")</f>
        <v/>
      </c>
      <c r="B3566" s="63">
        <f t="shared" ref="B3566:B3629" si="235">IF(C3566&lt;&gt;"",MONTH(C3566),"")</f>
        <v>9</v>
      </c>
      <c r="C3566" s="1087">
        <v>42641</v>
      </c>
      <c r="D3566" s="1087" t="s">
        <v>1656</v>
      </c>
      <c r="E3566" s="1087">
        <f t="shared" si="234"/>
        <v>42641</v>
      </c>
      <c r="F3566" s="1155" t="s">
        <v>1930</v>
      </c>
      <c r="G3566" s="1131" t="s">
        <v>2013</v>
      </c>
      <c r="H3566" s="92" t="s">
        <v>589</v>
      </c>
      <c r="I3566" s="414">
        <v>940</v>
      </c>
      <c r="J3566" s="1132">
        <v>9.5</v>
      </c>
      <c r="K3566" s="405">
        <f>I3566*J3566</f>
        <v>8930</v>
      </c>
      <c r="L3566" s="414">
        <v>22270</v>
      </c>
      <c r="M3566" s="1133">
        <f>ROUND(K3566*L3566,0)</f>
        <v>198871100</v>
      </c>
      <c r="N3566" s="1134" t="s">
        <v>576</v>
      </c>
      <c r="O3566" s="1134" t="s">
        <v>292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1" ht="15.75" customHeight="1">
      <c r="A3567" s="323" t="str">
        <f>IF(B3567&lt;&gt;"",IF(AND(B3567='IN-TC'!$S$4,OR(TH!N3557="1111",TH!O3557="1111")),TH!D3557,""),"")</f>
        <v/>
      </c>
      <c r="B3567" s="63">
        <f t="shared" si="235"/>
        <v>8</v>
      </c>
      <c r="C3567" s="64">
        <v>42594</v>
      </c>
      <c r="D3567" s="64" t="s">
        <v>862</v>
      </c>
      <c r="E3567" s="64">
        <f t="shared" si="234"/>
        <v>42594</v>
      </c>
      <c r="F3567" s="72" t="s">
        <v>1795</v>
      </c>
      <c r="G3567" s="931" t="s">
        <v>1796</v>
      </c>
      <c r="H3567" s="72" t="s">
        <v>1798</v>
      </c>
      <c r="I3567" s="408"/>
      <c r="J3567" s="408"/>
      <c r="K3567" s="399"/>
      <c r="L3567" s="408"/>
      <c r="M3567" s="65">
        <v>800000</v>
      </c>
      <c r="N3567" s="66" t="s">
        <v>99</v>
      </c>
      <c r="O3567" s="66" t="s">
        <v>61</v>
      </c>
      <c r="P3567" s="82" t="str">
        <f>IF(AND('331-CT'!$E$7=TH!H3567,OR(N3567="331",O3567="331")),"x","")</f>
        <v/>
      </c>
      <c r="Q3567" s="82" t="str">
        <f>IF(AND(B3567='111'!$L$11,OR($N3567=$Q$7,$O3567=$Q$7)),"x","")</f>
        <v/>
      </c>
      <c r="R3567" s="82" t="str">
        <f>IF(AND($N3567=$Q$7,$B3567&lt;'111'!$L$11),"x","")</f>
        <v/>
      </c>
      <c r="S3567" s="82" t="str">
        <f>IF(AND($O3567=$Q$7,$B3567&lt;'111'!$L$11),"x","")</f>
        <v>x</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1" ht="15.75" customHeight="1">
      <c r="A3568" s="323" t="str">
        <f>IF(B3568&lt;&gt;"",IF(AND(B3568='IN-TC'!$S$4,OR(TH!N3558="1111",TH!O3558="1111")),TH!D3558,""),"")</f>
        <v/>
      </c>
      <c r="B3568" s="63">
        <f t="shared" si="235"/>
        <v>8</v>
      </c>
      <c r="C3568" s="64">
        <v>42594</v>
      </c>
      <c r="D3568" s="64" t="s">
        <v>863</v>
      </c>
      <c r="E3568" s="64">
        <f t="shared" si="234"/>
        <v>42594</v>
      </c>
      <c r="F3568" s="72" t="s">
        <v>1793</v>
      </c>
      <c r="G3568" s="931" t="s">
        <v>1797</v>
      </c>
      <c r="H3568" s="72" t="s">
        <v>1798</v>
      </c>
      <c r="I3568" s="408"/>
      <c r="J3568" s="408"/>
      <c r="K3568" s="399"/>
      <c r="L3568" s="408"/>
      <c r="M3568" s="65">
        <v>10385464</v>
      </c>
      <c r="N3568" s="66" t="s">
        <v>99</v>
      </c>
      <c r="O3568" s="66" t="s">
        <v>61</v>
      </c>
      <c r="P3568" s="82" t="str">
        <f>IF(AND('331-CT'!$E$7=TH!H3568,OR(N3568="331",O3568="331")),"x","")</f>
        <v/>
      </c>
      <c r="Q3568" s="82" t="str">
        <f>IF(AND(B3568='111'!$L$11,OR($N3568=$Q$7,$O3568=$Q$7)),"x","")</f>
        <v/>
      </c>
      <c r="R3568" s="82" t="str">
        <f>IF(AND($N3568=$Q$7,$B3568&lt;'111'!$L$11),"x","")</f>
        <v/>
      </c>
      <c r="S3568" s="82" t="str">
        <f>IF(AND($O3568=$Q$7,$B3568&lt;'111'!$L$11),"x","")</f>
        <v>x</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1" ht="15.75" customHeight="1">
      <c r="A3569" s="323" t="str">
        <f>IF(B3569&lt;&gt;"",IF(AND(B3569='IN-TC'!$S$4,OR(TH!N3569="1111",TH!O3569="1111")),TH!D3569,""),"")</f>
        <v/>
      </c>
      <c r="B3569" s="63">
        <f t="shared" si="235"/>
        <v>8</v>
      </c>
      <c r="C3569" s="64">
        <v>42594</v>
      </c>
      <c r="D3569" s="64" t="s">
        <v>863</v>
      </c>
      <c r="E3569" s="64">
        <f t="shared" si="234"/>
        <v>42594</v>
      </c>
      <c r="F3569" s="72" t="s">
        <v>1794</v>
      </c>
      <c r="G3569" s="931" t="s">
        <v>1797</v>
      </c>
      <c r="H3569" s="72" t="s">
        <v>1798</v>
      </c>
      <c r="I3569" s="408"/>
      <c r="J3569" s="408"/>
      <c r="K3569" s="399"/>
      <c r="L3569" s="408"/>
      <c r="M3569" s="65">
        <v>1038546</v>
      </c>
      <c r="N3569" s="82" t="s">
        <v>9</v>
      </c>
      <c r="O3569" s="66" t="s">
        <v>61</v>
      </c>
      <c r="P3569" s="82" t="str">
        <f>IF(AND('331-CT'!$E$7=TH!H3569,OR(N3569="331",O3569="331")),"x","")</f>
        <v/>
      </c>
      <c r="Q3569" s="82" t="str">
        <f>IF(AND(B3569='111'!$L$11,OR($N3569=$Q$7,$O3569=$Q$7)),"x","")</f>
        <v/>
      </c>
      <c r="R3569" s="82" t="str">
        <f>IF(AND($N3569=$Q$7,$B3569&lt;'111'!$L$11),"x","")</f>
        <v/>
      </c>
      <c r="S3569" s="82" t="str">
        <f>IF(AND($O3569=$Q$7,$B3569&lt;'111'!$L$11),"x","")</f>
        <v>x</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x</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1" ht="15.75" customHeight="1">
      <c r="A3570" s="1227" t="str">
        <f>IF(B3570&lt;&gt;"",IF(AND(B3570='IN-TC'!$S$4,OR(TH!N619="1111",TH!O619="1111")),TH!D619,""),"")</f>
        <v/>
      </c>
      <c r="B3570" s="1228">
        <f t="shared" si="235"/>
        <v>12</v>
      </c>
      <c r="C3570" s="1229">
        <v>42722</v>
      </c>
      <c r="D3570" s="1229" t="s">
        <v>2980</v>
      </c>
      <c r="E3570" s="1229">
        <f t="shared" si="234"/>
        <v>42722</v>
      </c>
      <c r="F3570" s="1230" t="s">
        <v>455</v>
      </c>
      <c r="G3570" s="1231" t="s">
        <v>2582</v>
      </c>
      <c r="H3570" s="1232" t="s">
        <v>1198</v>
      </c>
      <c r="I3570" s="1233">
        <v>52000</v>
      </c>
      <c r="J3570" s="1233">
        <v>60000</v>
      </c>
      <c r="K3570" s="1234"/>
      <c r="L3570" s="1233"/>
      <c r="M3570" s="1235">
        <f>ROUND(I3570*J3570,0)</f>
        <v>3120000000</v>
      </c>
      <c r="N3570" s="1236" t="s">
        <v>276</v>
      </c>
      <c r="O3570" s="1236" t="s">
        <v>278</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1" ht="15.75" customHeight="1">
      <c r="A3571" s="323" t="str">
        <f>IF(B3571&lt;&gt;"",IF(AND(B3571='IN-TC'!$S$4,OR(TH!N2111="1111",TH!O2111="1111")),TH!D2111,""),"")</f>
        <v/>
      </c>
      <c r="B3571" s="63">
        <f t="shared" si="235"/>
        <v>11</v>
      </c>
      <c r="C3571" s="78">
        <v>42690</v>
      </c>
      <c r="D3571" s="78" t="s">
        <v>570</v>
      </c>
      <c r="E3571" s="78">
        <v>42690</v>
      </c>
      <c r="F3571" s="80" t="s">
        <v>2348</v>
      </c>
      <c r="G3571" s="934" t="s">
        <v>2521</v>
      </c>
      <c r="H3571" s="80" t="s">
        <v>617</v>
      </c>
      <c r="I3571" s="406"/>
      <c r="J3571" s="406"/>
      <c r="K3571" s="397"/>
      <c r="L3571" s="406"/>
      <c r="M3571" s="81">
        <v>31079200</v>
      </c>
      <c r="N3571" s="82" t="s">
        <v>276</v>
      </c>
      <c r="O3571" s="82" t="s">
        <v>8</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c r="AE3571">
        <v>1</v>
      </c>
    </row>
    <row r="3572" spans="1:31" ht="15.75" customHeight="1">
      <c r="A3572" s="323" t="str">
        <f>IF(B3572&lt;&gt;"",IF(AND(B3572='IN-TC'!$S$4,OR(TH!N3574="1111",TH!O3574="1111")),TH!D3574,""),"")</f>
        <v/>
      </c>
      <c r="B3572" s="63">
        <f t="shared" si="235"/>
        <v>8</v>
      </c>
      <c r="C3572" s="64">
        <v>42594</v>
      </c>
      <c r="D3572" s="64" t="s">
        <v>690</v>
      </c>
      <c r="E3572" s="64">
        <f t="shared" ref="E3572:E3609" si="236">C3572</f>
        <v>42594</v>
      </c>
      <c r="F3572" s="72" t="s">
        <v>1179</v>
      </c>
      <c r="G3572" s="67" t="s">
        <v>902</v>
      </c>
      <c r="H3572" s="72"/>
      <c r="I3572" s="408"/>
      <c r="J3572" s="408"/>
      <c r="K3572" s="399"/>
      <c r="L3572" s="408"/>
      <c r="M3572" s="65">
        <v>25000</v>
      </c>
      <c r="N3572" s="66" t="s">
        <v>99</v>
      </c>
      <c r="O3572" s="66" t="s">
        <v>25</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1" ht="15.75" customHeight="1">
      <c r="A3573" s="323" t="str">
        <f>IF(B3573&lt;&gt;"",IF(AND(B3573='IN-TC'!$S$4,OR(TH!N3575="1111",TH!O3575="1111")),TH!D3575,""),"")</f>
        <v/>
      </c>
      <c r="B3573" s="63">
        <f t="shared" si="235"/>
        <v>8</v>
      </c>
      <c r="C3573" s="64">
        <v>42594</v>
      </c>
      <c r="D3573" s="64" t="s">
        <v>690</v>
      </c>
      <c r="E3573" s="64">
        <f t="shared" si="236"/>
        <v>42594</v>
      </c>
      <c r="F3573" s="72" t="s">
        <v>1180</v>
      </c>
      <c r="G3573" s="67" t="s">
        <v>902</v>
      </c>
      <c r="H3573" s="72"/>
      <c r="I3573" s="408"/>
      <c r="J3573" s="408"/>
      <c r="K3573" s="399"/>
      <c r="L3573" s="408"/>
      <c r="M3573" s="65">
        <v>2500</v>
      </c>
      <c r="N3573" s="82" t="s">
        <v>9</v>
      </c>
      <c r="O3573" s="66" t="s">
        <v>25</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x</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1" ht="15.75" customHeight="1">
      <c r="A3574" s="323" t="str">
        <f>IF(B3574&lt;&gt;"",IF(AND(B3574='IN-TC'!$S$4,OR(TH!N3570="1111",TH!O3570="1111")),TH!D3570,""),"")</f>
        <v/>
      </c>
      <c r="B3574" s="63">
        <f t="shared" si="235"/>
        <v>8</v>
      </c>
      <c r="C3574" s="64">
        <v>42595</v>
      </c>
      <c r="D3574" s="64" t="s">
        <v>864</v>
      </c>
      <c r="E3574" s="64">
        <f t="shared" si="236"/>
        <v>42595</v>
      </c>
      <c r="F3574" s="72" t="s">
        <v>1094</v>
      </c>
      <c r="G3574" s="931" t="s">
        <v>1799</v>
      </c>
      <c r="H3574" s="72" t="s">
        <v>792</v>
      </c>
      <c r="I3574" s="408"/>
      <c r="J3574" s="408"/>
      <c r="K3574" s="399"/>
      <c r="L3574" s="408"/>
      <c r="M3574" s="65">
        <v>1068364</v>
      </c>
      <c r="N3574" s="66" t="s">
        <v>99</v>
      </c>
      <c r="O3574" s="66" t="s">
        <v>61</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1" ht="15.75" customHeight="1">
      <c r="A3575" s="323" t="str">
        <f>IF(B3575&lt;&gt;"",IF(AND(B3575='IN-TC'!$S$4,OR(TH!N3571="1111",TH!O3571="1111")),TH!D3571,""),"")</f>
        <v/>
      </c>
      <c r="B3575" s="63">
        <f t="shared" si="235"/>
        <v>8</v>
      </c>
      <c r="C3575" s="64">
        <v>42595</v>
      </c>
      <c r="D3575" s="64" t="s">
        <v>864</v>
      </c>
      <c r="E3575" s="64">
        <f t="shared" si="236"/>
        <v>42595</v>
      </c>
      <c r="F3575" s="72" t="s">
        <v>1324</v>
      </c>
      <c r="G3575" s="931" t="s">
        <v>1799</v>
      </c>
      <c r="H3575" s="72" t="s">
        <v>792</v>
      </c>
      <c r="I3575" s="408"/>
      <c r="J3575" s="408"/>
      <c r="K3575" s="399"/>
      <c r="L3575" s="408"/>
      <c r="M3575" s="65">
        <v>106836</v>
      </c>
      <c r="N3575" s="82" t="s">
        <v>9</v>
      </c>
      <c r="O3575" s="66" t="s">
        <v>61</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x</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1" ht="15.75" customHeight="1">
      <c r="A3576" s="323" t="str">
        <f>IF(B3576&lt;&gt;"",IF(AND(B3576='IN-TC'!$S$4,OR(TH!N3576="1111",TH!O3576="1111")),TH!D3576,""),"")</f>
        <v/>
      </c>
      <c r="B3576" s="63">
        <f t="shared" si="235"/>
        <v>8</v>
      </c>
      <c r="C3576" s="1092">
        <v>42597</v>
      </c>
      <c r="D3576" s="1092" t="s">
        <v>865</v>
      </c>
      <c r="E3576" s="1092">
        <f t="shared" si="236"/>
        <v>42597</v>
      </c>
      <c r="F3576" s="482" t="s">
        <v>947</v>
      </c>
      <c r="G3576" s="1094"/>
      <c r="H3576" s="1093" t="s">
        <v>3001</v>
      </c>
      <c r="I3576" s="1095"/>
      <c r="J3576" s="1095"/>
      <c r="K3576" s="1096"/>
      <c r="L3576" s="1095"/>
      <c r="M3576" s="1097">
        <v>497600000</v>
      </c>
      <c r="N3576" s="1098" t="s">
        <v>266</v>
      </c>
      <c r="O3576" s="1098" t="s">
        <v>61</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1" ht="15.75" customHeight="1">
      <c r="A3577" s="323" t="str">
        <f>IF(B3577&lt;&gt;"",IF(AND(B3577='IN-TC'!$S$4,OR(TH!N3577="1111",TH!O3577="1111")),TH!D3577,""),"")</f>
        <v/>
      </c>
      <c r="B3577" s="63">
        <f t="shared" si="235"/>
        <v>8</v>
      </c>
      <c r="C3577" s="64">
        <v>42597</v>
      </c>
      <c r="D3577" s="64" t="s">
        <v>866</v>
      </c>
      <c r="E3577" s="64">
        <f t="shared" si="236"/>
        <v>42597</v>
      </c>
      <c r="F3577" s="72" t="s">
        <v>756</v>
      </c>
      <c r="G3577" s="931" t="s">
        <v>1800</v>
      </c>
      <c r="H3577" s="72" t="s">
        <v>792</v>
      </c>
      <c r="I3577" s="408"/>
      <c r="J3577" s="408"/>
      <c r="K3577" s="399"/>
      <c r="L3577" s="408"/>
      <c r="M3577" s="65">
        <v>530000</v>
      </c>
      <c r="N3577" s="66" t="s">
        <v>99</v>
      </c>
      <c r="O3577" s="66" t="s">
        <v>61</v>
      </c>
      <c r="P3577" s="82" t="str">
        <f>IF(AND('331-CT'!$E$7=TH!H3577,OR(N3577="331",O3577="331")),"x","")</f>
        <v/>
      </c>
      <c r="Q3577" s="82" t="str">
        <f>IF(AND(B3577='111'!$L$11,OR($N3577=$Q$7,$O3577=$Q$7)),"x","")</f>
        <v/>
      </c>
      <c r="R3577" s="82" t="str">
        <f>IF(AND($N3577=$Q$7,$B3577&lt;'111'!$L$11),"x","")</f>
        <v/>
      </c>
      <c r="S3577" s="82" t="str">
        <f>IF(AND($O3577=$Q$7,$B3577&lt;'111'!$L$11),"x","")</f>
        <v>x</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1" ht="15.75" customHeight="1">
      <c r="A3578" s="323" t="str">
        <f>IF(B3578&lt;&gt;"",IF(AND(B3578='IN-TC'!$S$4,OR(TH!N3578="1111",TH!O3578="1111")),TH!D3578,""),"")</f>
        <v/>
      </c>
      <c r="B3578" s="63">
        <f t="shared" si="235"/>
        <v>8</v>
      </c>
      <c r="C3578" s="64">
        <v>42597</v>
      </c>
      <c r="D3578" s="64" t="s">
        <v>866</v>
      </c>
      <c r="E3578" s="64">
        <f t="shared" si="236"/>
        <v>42597</v>
      </c>
      <c r="F3578" s="72" t="s">
        <v>757</v>
      </c>
      <c r="G3578" s="931" t="s">
        <v>1800</v>
      </c>
      <c r="H3578" s="72" t="s">
        <v>792</v>
      </c>
      <c r="I3578" s="408"/>
      <c r="J3578" s="408"/>
      <c r="K3578" s="399"/>
      <c r="L3578" s="408"/>
      <c r="M3578" s="65">
        <v>53000</v>
      </c>
      <c r="N3578" s="82" t="s">
        <v>9</v>
      </c>
      <c r="O3578" s="66" t="s">
        <v>61</v>
      </c>
      <c r="P3578" s="82" t="str">
        <f>IF(AND('331-CT'!$E$7=TH!H3578,OR(N3578="331",O3578="331")),"x","")</f>
        <v/>
      </c>
      <c r="Q3578" s="82" t="str">
        <f>IF(AND(B3578='111'!$L$11,OR($N3578=$Q$7,$O3578=$Q$7)),"x","")</f>
        <v/>
      </c>
      <c r="R3578" s="82" t="str">
        <f>IF(AND($N3578=$Q$7,$B3578&lt;'111'!$L$11),"x","")</f>
        <v/>
      </c>
      <c r="S3578" s="82" t="str">
        <f>IF(AND($O3578=$Q$7,$B3578&lt;'111'!$L$11),"x","")</f>
        <v>x</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x</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1" ht="15.75" customHeight="1">
      <c r="A3579" s="323" t="str">
        <f>IF(B3579&lt;&gt;"",IF(AND(B3579='IN-TC'!$S$4,OR(TH!N3580="1111",TH!O3580="1111")),TH!D3580,""),"")</f>
        <v/>
      </c>
      <c r="B3579" s="63">
        <f t="shared" si="235"/>
        <v>8</v>
      </c>
      <c r="C3579" s="64">
        <v>42597</v>
      </c>
      <c r="D3579" s="64" t="s">
        <v>690</v>
      </c>
      <c r="E3579" s="64">
        <f t="shared" si="236"/>
        <v>42597</v>
      </c>
      <c r="F3579" s="72" t="s">
        <v>1767</v>
      </c>
      <c r="G3579" s="67" t="s">
        <v>901</v>
      </c>
      <c r="H3579" s="72" t="s">
        <v>1652</v>
      </c>
      <c r="I3579" s="408"/>
      <c r="J3579" s="408"/>
      <c r="K3579" s="399">
        <v>286.32</v>
      </c>
      <c r="L3579" s="408">
        <v>22280</v>
      </c>
      <c r="M3579" s="65">
        <f>ROUND(K3579*L3579,0)</f>
        <v>6379210</v>
      </c>
      <c r="N3579" s="66" t="s">
        <v>97</v>
      </c>
      <c r="O3579" s="66" t="s">
        <v>260</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1" ht="15.75" customHeight="1">
      <c r="A3580" s="323" t="str">
        <f>IF(B3580&lt;&gt;"",IF(AND(B3580='IN-TC'!$S$4,OR(TH!N3581="1111",TH!O3581="1111")),TH!D3581,""),"")</f>
        <v/>
      </c>
      <c r="B3580" s="63">
        <f t="shared" si="235"/>
        <v>8</v>
      </c>
      <c r="C3580" s="64">
        <v>42597</v>
      </c>
      <c r="D3580" s="64" t="s">
        <v>690</v>
      </c>
      <c r="E3580" s="64">
        <f t="shared" si="236"/>
        <v>42597</v>
      </c>
      <c r="F3580" s="72" t="s">
        <v>1767</v>
      </c>
      <c r="G3580" s="67" t="s">
        <v>901</v>
      </c>
      <c r="H3580" s="72" t="s">
        <v>1877</v>
      </c>
      <c r="I3580" s="408"/>
      <c r="J3580" s="408"/>
      <c r="K3580" s="399">
        <v>161.25</v>
      </c>
      <c r="L3580" s="408">
        <v>22280</v>
      </c>
      <c r="M3580" s="65">
        <f>ROUND(K3580*L3580,0)</f>
        <v>3592650</v>
      </c>
      <c r="N3580" s="66" t="s">
        <v>97</v>
      </c>
      <c r="O3580" s="66" t="s">
        <v>260</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1" ht="15.75" customHeight="1">
      <c r="A3581" s="323" t="str">
        <f>IF(B3581&lt;&gt;"",IF(AND(B3581='IN-TC'!$S$4,OR(TH!N3582="1111",TH!O3582="1111")),TH!D3582,""),"")</f>
        <v/>
      </c>
      <c r="B3581" s="63">
        <f t="shared" si="235"/>
        <v>8</v>
      </c>
      <c r="C3581" s="64">
        <v>42597</v>
      </c>
      <c r="D3581" s="64" t="s">
        <v>690</v>
      </c>
      <c r="E3581" s="64">
        <f t="shared" si="236"/>
        <v>42597</v>
      </c>
      <c r="F3581" s="72" t="s">
        <v>1767</v>
      </c>
      <c r="G3581" s="67" t="s">
        <v>901</v>
      </c>
      <c r="H3581" s="72" t="s">
        <v>1650</v>
      </c>
      <c r="I3581" s="408"/>
      <c r="J3581" s="408"/>
      <c r="K3581" s="399">
        <v>213.68</v>
      </c>
      <c r="L3581" s="408">
        <v>22280</v>
      </c>
      <c r="M3581" s="65">
        <f>ROUND(K3581*L3581,0)</f>
        <v>4760790</v>
      </c>
      <c r="N3581" s="66" t="s">
        <v>97</v>
      </c>
      <c r="O3581" s="66" t="s">
        <v>260</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1" ht="15.75" customHeight="1">
      <c r="A3582" s="323" t="str">
        <f>IF(B3582&lt;&gt;"",IF(AND(B3582='IN-TC'!$S$4,OR(TH!N3579="1111",TH!O3579="1111")),TH!D3579,""),"")</f>
        <v/>
      </c>
      <c r="B3582" s="63">
        <f t="shared" si="235"/>
        <v>8</v>
      </c>
      <c r="C3582" s="64">
        <v>42598</v>
      </c>
      <c r="D3582" s="64" t="s">
        <v>867</v>
      </c>
      <c r="E3582" s="64">
        <f t="shared" si="236"/>
        <v>42598</v>
      </c>
      <c r="F3582" s="72" t="s">
        <v>1094</v>
      </c>
      <c r="G3582" s="931" t="s">
        <v>1801</v>
      </c>
      <c r="H3582" s="72" t="s">
        <v>792</v>
      </c>
      <c r="I3582" s="408"/>
      <c r="J3582" s="408"/>
      <c r="K3582" s="399"/>
      <c r="L3582" s="408"/>
      <c r="M3582" s="65">
        <v>783491</v>
      </c>
      <c r="N3582" s="66" t="s">
        <v>99</v>
      </c>
      <c r="O3582" s="66" t="s">
        <v>61</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1" ht="15.75" customHeight="1">
      <c r="A3583" s="323" t="str">
        <f>IF(B3583&lt;&gt;"",IF(AND(B3583='IN-TC'!$S$4,OR(TH!N3583="1111",TH!O3583="1111")),TH!D3583,""),"")</f>
        <v/>
      </c>
      <c r="B3583" s="63">
        <f t="shared" si="235"/>
        <v>8</v>
      </c>
      <c r="C3583" s="64">
        <v>42598</v>
      </c>
      <c r="D3583" s="64" t="s">
        <v>867</v>
      </c>
      <c r="E3583" s="64">
        <f t="shared" si="236"/>
        <v>42598</v>
      </c>
      <c r="F3583" s="72" t="s">
        <v>1324</v>
      </c>
      <c r="G3583" s="931" t="s">
        <v>1801</v>
      </c>
      <c r="H3583" s="72" t="s">
        <v>792</v>
      </c>
      <c r="I3583" s="408"/>
      <c r="J3583" s="408"/>
      <c r="K3583" s="399"/>
      <c r="L3583" s="408"/>
      <c r="M3583" s="65">
        <v>78349</v>
      </c>
      <c r="N3583" s="82" t="s">
        <v>9</v>
      </c>
      <c r="O3583" s="66" t="s">
        <v>61</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x</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1" ht="15.75" customHeight="1">
      <c r="A3584" s="323" t="str">
        <f>IF(B3584&lt;&gt;"",IF(AND(B3584='IN-TC'!$S$4,OR(TH!N3585="1111",TH!O3585="1111")),TH!D3585,""),"")</f>
        <v/>
      </c>
      <c r="B3584" s="63">
        <f t="shared" si="235"/>
        <v>8</v>
      </c>
      <c r="C3584" s="64">
        <v>42598</v>
      </c>
      <c r="D3584" s="64" t="s">
        <v>690</v>
      </c>
      <c r="E3584" s="64">
        <f t="shared" si="236"/>
        <v>42598</v>
      </c>
      <c r="F3584" s="72" t="s">
        <v>1425</v>
      </c>
      <c r="G3584" s="67" t="s">
        <v>901</v>
      </c>
      <c r="H3584" s="72"/>
      <c r="I3584" s="408"/>
      <c r="J3584" s="408"/>
      <c r="K3584" s="399">
        <v>1600</v>
      </c>
      <c r="L3584" s="408">
        <v>22270</v>
      </c>
      <c r="M3584" s="65">
        <f>ROUND(K3584*L3584,0)</f>
        <v>35632000</v>
      </c>
      <c r="N3584" s="66" t="s">
        <v>25</v>
      </c>
      <c r="O3584" s="66" t="s">
        <v>260</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customHeight="1">
      <c r="A3585" s="323" t="str">
        <f>IF(B3585&lt;&gt;"",IF(AND(B3585='IN-TC'!$S$4,OR(TH!N3587="1111",TH!O3587="1111")),TH!D3587,""),"")</f>
        <v/>
      </c>
      <c r="B3585" s="63">
        <f t="shared" si="235"/>
        <v>8</v>
      </c>
      <c r="C3585" s="64">
        <v>42598</v>
      </c>
      <c r="D3585" s="64" t="s">
        <v>690</v>
      </c>
      <c r="E3585" s="64">
        <f t="shared" si="236"/>
        <v>42598</v>
      </c>
      <c r="F3585" s="72" t="s">
        <v>1633</v>
      </c>
      <c r="G3585" s="67" t="s">
        <v>901</v>
      </c>
      <c r="H3585" s="329"/>
      <c r="I3585" s="408"/>
      <c r="J3585" s="408"/>
      <c r="K3585" s="399"/>
      <c r="L3585" s="408"/>
      <c r="M3585" s="65">
        <v>50000</v>
      </c>
      <c r="N3585" s="66" t="s">
        <v>99</v>
      </c>
      <c r="O3585" s="66" t="s">
        <v>25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customHeight="1">
      <c r="A3586" s="323" t="str">
        <f>IF(B3586&lt;&gt;"",IF(AND(B3586='IN-TC'!$S$4,OR(TH!N3588="1111",TH!O3588="1111")),TH!D3588,""),"")</f>
        <v/>
      </c>
      <c r="B3586" s="63">
        <f t="shared" si="235"/>
        <v>8</v>
      </c>
      <c r="C3586" s="64">
        <v>42598</v>
      </c>
      <c r="D3586" s="64" t="s">
        <v>690</v>
      </c>
      <c r="E3586" s="64">
        <f t="shared" si="236"/>
        <v>42598</v>
      </c>
      <c r="F3586" s="72" t="s">
        <v>1634</v>
      </c>
      <c r="G3586" s="67" t="s">
        <v>901</v>
      </c>
      <c r="H3586" s="329"/>
      <c r="I3586" s="408"/>
      <c r="J3586" s="408"/>
      <c r="K3586" s="399"/>
      <c r="L3586" s="408"/>
      <c r="M3586" s="65">
        <v>5000</v>
      </c>
      <c r="N3586" s="82" t="s">
        <v>9</v>
      </c>
      <c r="O3586" s="66" t="s">
        <v>25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x</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customHeight="1">
      <c r="A3587" s="323" t="str">
        <f>IF(B3587&lt;&gt;"",IF(AND(B3587='IN-TC'!$S$4,OR(TH!N3589="1111",TH!O3589="1111")),TH!D3589,""),"")</f>
        <v/>
      </c>
      <c r="B3587" s="63">
        <f t="shared" si="235"/>
        <v>8</v>
      </c>
      <c r="C3587" s="64">
        <v>42598</v>
      </c>
      <c r="D3587" s="64" t="s">
        <v>690</v>
      </c>
      <c r="E3587" s="64">
        <f t="shared" si="236"/>
        <v>42598</v>
      </c>
      <c r="F3587" s="72" t="s">
        <v>1633</v>
      </c>
      <c r="G3587" s="67" t="s">
        <v>901</v>
      </c>
      <c r="H3587" s="329"/>
      <c r="I3587" s="408"/>
      <c r="J3587" s="408"/>
      <c r="K3587" s="399"/>
      <c r="L3587" s="408"/>
      <c r="M3587" s="65">
        <v>50000</v>
      </c>
      <c r="N3587" s="66" t="s">
        <v>99</v>
      </c>
      <c r="O3587" s="66" t="s">
        <v>25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customHeight="1">
      <c r="A3588" s="323" t="str">
        <f>IF(B3588&lt;&gt;"",IF(AND(B3588='IN-TC'!$S$4,OR(TH!N3590="1111",TH!O3590="1111")),TH!D3590,""),"")</f>
        <v/>
      </c>
      <c r="B3588" s="63">
        <f t="shared" si="235"/>
        <v>8</v>
      </c>
      <c r="C3588" s="64">
        <v>42598</v>
      </c>
      <c r="D3588" s="64" t="s">
        <v>690</v>
      </c>
      <c r="E3588" s="64">
        <f t="shared" si="236"/>
        <v>42598</v>
      </c>
      <c r="F3588" s="72" t="s">
        <v>1634</v>
      </c>
      <c r="G3588" s="67" t="s">
        <v>901</v>
      </c>
      <c r="H3588" s="329"/>
      <c r="I3588" s="408"/>
      <c r="J3588" s="408"/>
      <c r="K3588" s="399"/>
      <c r="L3588" s="408"/>
      <c r="M3588" s="65">
        <v>5000</v>
      </c>
      <c r="N3588" s="82" t="s">
        <v>9</v>
      </c>
      <c r="O3588" s="66" t="s">
        <v>25</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x</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customHeight="1">
      <c r="A3589" s="323" t="str">
        <f>IF(B3589&lt;&gt;"",IF(AND(B3589='IN-TC'!$S$4,OR(TH!N3586="1111",TH!O3586="1111")),TH!D3586,""),"")</f>
        <v/>
      </c>
      <c r="B3589" s="63">
        <f t="shared" si="235"/>
        <v>8</v>
      </c>
      <c r="C3589" s="64">
        <v>42598</v>
      </c>
      <c r="D3589" s="64" t="s">
        <v>886</v>
      </c>
      <c r="E3589" s="64">
        <f t="shared" si="236"/>
        <v>42598</v>
      </c>
      <c r="F3589" s="72" t="s">
        <v>1126</v>
      </c>
      <c r="G3589" s="67" t="s">
        <v>901</v>
      </c>
      <c r="H3589" s="72" t="s">
        <v>748</v>
      </c>
      <c r="I3589" s="408"/>
      <c r="J3589" s="408"/>
      <c r="K3589" s="399"/>
      <c r="L3589" s="408"/>
      <c r="M3589" s="65">
        <v>35600000</v>
      </c>
      <c r="N3589" s="66" t="s">
        <v>61</v>
      </c>
      <c r="O3589" s="66" t="s">
        <v>25</v>
      </c>
      <c r="P3589" s="82" t="str">
        <f>IF(AND('331-CT'!$E$7=TH!H3589,OR(N3589="331",O3589="331")),"x","")</f>
        <v/>
      </c>
      <c r="Q3589" s="82" t="str">
        <f>IF(AND(B3589='111'!$L$11,OR($N3589=$Q$7,$O3589=$Q$7)),"x","")</f>
        <v/>
      </c>
      <c r="R3589" s="82" t="str">
        <f>IF(AND($N3589=$Q$7,$B3589&lt;'111'!$L$11),"x","")</f>
        <v>x</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customHeight="1">
      <c r="A3590" s="323" t="str">
        <f>IF(B3590&lt;&gt;"",IF(AND(B3590='IN-TC'!$S$4,OR(TH!N3584="1111",TH!O3584="1111")),TH!D3584,""),"")</f>
        <v/>
      </c>
      <c r="B3590" s="63">
        <f t="shared" si="235"/>
        <v>8</v>
      </c>
      <c r="C3590" s="64">
        <v>42599</v>
      </c>
      <c r="D3590" s="64" t="s">
        <v>868</v>
      </c>
      <c r="E3590" s="64">
        <f t="shared" si="236"/>
        <v>42599</v>
      </c>
      <c r="F3590" s="72" t="s">
        <v>756</v>
      </c>
      <c r="G3590" s="931" t="s">
        <v>1802</v>
      </c>
      <c r="H3590" s="72" t="s">
        <v>792</v>
      </c>
      <c r="I3590" s="408"/>
      <c r="J3590" s="408"/>
      <c r="K3590" s="399"/>
      <c r="L3590" s="408"/>
      <c r="M3590" s="65">
        <v>614800</v>
      </c>
      <c r="N3590" s="66" t="s">
        <v>99</v>
      </c>
      <c r="O3590" s="66" t="s">
        <v>61</v>
      </c>
      <c r="P3590" s="82" t="str">
        <f>IF(AND('331-CT'!$E$7=TH!H3590,OR(N3590="331",O3590="331")),"x","")</f>
        <v/>
      </c>
      <c r="Q3590" s="82" t="str">
        <f>IF(AND(B3590='111'!$L$11,OR($N3590=$Q$7,$O3590=$Q$7)),"x","")</f>
        <v/>
      </c>
      <c r="R3590" s="82" t="str">
        <f>IF(AND($N3590=$Q$7,$B3590&lt;'111'!$L$11),"x","")</f>
        <v/>
      </c>
      <c r="S3590" s="82" t="str">
        <f>IF(AND($O3590=$Q$7,$B3590&lt;'111'!$L$11),"x","")</f>
        <v>x</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customHeight="1">
      <c r="A3591" s="323" t="str">
        <f>IF(B3591&lt;&gt;"",IF(AND(B3591='IN-TC'!$S$4,OR(TH!N3591="1111",TH!O3591="1111")),TH!D3591,""),"")</f>
        <v/>
      </c>
      <c r="B3591" s="63">
        <f t="shared" si="235"/>
        <v>8</v>
      </c>
      <c r="C3591" s="64">
        <v>42599</v>
      </c>
      <c r="D3591" s="64" t="s">
        <v>868</v>
      </c>
      <c r="E3591" s="64">
        <f t="shared" si="236"/>
        <v>42599</v>
      </c>
      <c r="F3591" s="72" t="s">
        <v>757</v>
      </c>
      <c r="G3591" s="931" t="s">
        <v>1802</v>
      </c>
      <c r="H3591" s="72" t="s">
        <v>792</v>
      </c>
      <c r="I3591" s="408"/>
      <c r="J3591" s="408"/>
      <c r="K3591" s="399"/>
      <c r="L3591" s="408"/>
      <c r="M3591" s="65">
        <v>61480</v>
      </c>
      <c r="N3591" s="82" t="s">
        <v>9</v>
      </c>
      <c r="O3591" s="66" t="s">
        <v>61</v>
      </c>
      <c r="P3591" s="82" t="str">
        <f>IF(AND('331-CT'!$E$7=TH!H3591,OR(N3591="331",O3591="331")),"x","")</f>
        <v/>
      </c>
      <c r="Q3591" s="82" t="str">
        <f>IF(AND(B3591='111'!$L$11,OR($N3591=$Q$7,$O3591=$Q$7)),"x","")</f>
        <v/>
      </c>
      <c r="R3591" s="82" t="str">
        <f>IF(AND($N3591=$Q$7,$B3591&lt;'111'!$L$11),"x","")</f>
        <v/>
      </c>
      <c r="S3591" s="82" t="str">
        <f>IF(AND($O3591=$Q$7,$B3591&lt;'111'!$L$11),"x","")</f>
        <v>x</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x</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customHeight="1">
      <c r="A3592" s="323" t="str">
        <f>IF(B3592&lt;&gt;"",IF(AND(B3592='IN-TC'!$S$4,OR(TH!N3592="1111",TH!O3592="1111")),TH!D3592,""),"")</f>
        <v/>
      </c>
      <c r="B3592" s="63">
        <f t="shared" si="235"/>
        <v>8</v>
      </c>
      <c r="C3592" s="64">
        <v>42600</v>
      </c>
      <c r="D3592" s="64" t="s">
        <v>869</v>
      </c>
      <c r="E3592" s="64">
        <f t="shared" si="236"/>
        <v>42600</v>
      </c>
      <c r="F3592" s="72" t="s">
        <v>1094</v>
      </c>
      <c r="G3592" s="931" t="s">
        <v>1803</v>
      </c>
      <c r="H3592" s="72" t="s">
        <v>792</v>
      </c>
      <c r="I3592" s="408"/>
      <c r="J3592" s="408"/>
      <c r="K3592" s="399"/>
      <c r="L3592" s="408"/>
      <c r="M3592" s="65">
        <v>405736</v>
      </c>
      <c r="N3592" s="66" t="s">
        <v>99</v>
      </c>
      <c r="O3592" s="66" t="s">
        <v>61</v>
      </c>
      <c r="P3592" s="82" t="str">
        <f>IF(AND('331-CT'!$E$7=TH!H3592,OR(N3592="331",O3592="331")),"x","")</f>
        <v/>
      </c>
      <c r="Q3592" s="82" t="str">
        <f>IF(AND(B3592='111'!$L$11,OR($N3592=$Q$7,$O3592=$Q$7)),"x","")</f>
        <v/>
      </c>
      <c r="R3592" s="82" t="str">
        <f>IF(AND($N3592=$Q$7,$B3592&lt;'111'!$L$11),"x","")</f>
        <v/>
      </c>
      <c r="S3592" s="82" t="str">
        <f>IF(AND($O3592=$Q$7,$B3592&lt;'111'!$L$11),"x","")</f>
        <v>x</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customHeight="1">
      <c r="A3593" s="323" t="str">
        <f>IF(B3593&lt;&gt;"",IF(AND(B3593='IN-TC'!$S$4,OR(TH!N3593="1111",TH!O3593="1111")),TH!D3593,""),"")</f>
        <v/>
      </c>
      <c r="B3593" s="63">
        <f t="shared" si="235"/>
        <v>8</v>
      </c>
      <c r="C3593" s="64">
        <v>42600</v>
      </c>
      <c r="D3593" s="64" t="s">
        <v>869</v>
      </c>
      <c r="E3593" s="64">
        <f t="shared" si="236"/>
        <v>42600</v>
      </c>
      <c r="F3593" s="72" t="s">
        <v>1324</v>
      </c>
      <c r="G3593" s="931" t="s">
        <v>1803</v>
      </c>
      <c r="H3593" s="72" t="s">
        <v>792</v>
      </c>
      <c r="I3593" s="408"/>
      <c r="J3593" s="408"/>
      <c r="K3593" s="399"/>
      <c r="L3593" s="408"/>
      <c r="M3593" s="65">
        <v>40574</v>
      </c>
      <c r="N3593" s="82" t="s">
        <v>9</v>
      </c>
      <c r="O3593" s="66" t="s">
        <v>61</v>
      </c>
      <c r="P3593" s="82" t="str">
        <f>IF(AND('331-CT'!$E$7=TH!H3593,OR(N3593="331",O3593="331")),"x","")</f>
        <v/>
      </c>
      <c r="Q3593" s="82" t="str">
        <f>IF(AND(B3593='111'!$L$11,OR($N3593=$Q$7,$O3593=$Q$7)),"x","")</f>
        <v/>
      </c>
      <c r="R3593" s="82" t="str">
        <f>IF(AND($N3593=$Q$7,$B3593&lt;'111'!$L$11),"x","")</f>
        <v/>
      </c>
      <c r="S3593" s="82" t="str">
        <f>IF(AND($O3593=$Q$7,$B3593&lt;'111'!$L$11),"x","")</f>
        <v>x</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x</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customHeight="1">
      <c r="A3594" s="323" t="str">
        <f>IF(B3594&lt;&gt;"",IF(AND(B3594='IN-TC'!$S$4,OR(TH!N3942="1111",TH!O3942="1111")),TH!D3942,""),"")</f>
        <v>C33</v>
      </c>
      <c r="B3594" s="63">
        <f t="shared" si="235"/>
        <v>10</v>
      </c>
      <c r="C3594" s="64">
        <v>42650</v>
      </c>
      <c r="D3594" s="64" t="s">
        <v>687</v>
      </c>
      <c r="E3594" s="64">
        <f t="shared" si="236"/>
        <v>42650</v>
      </c>
      <c r="F3594" s="72" t="s">
        <v>1436</v>
      </c>
      <c r="G3594" s="67" t="s">
        <v>1544</v>
      </c>
      <c r="H3594" s="72" t="s">
        <v>1875</v>
      </c>
      <c r="I3594" s="408"/>
      <c r="J3594" s="408"/>
      <c r="K3594" s="399">
        <v>194610.5</v>
      </c>
      <c r="L3594" s="1125">
        <v>22270</v>
      </c>
      <c r="M3594" s="65">
        <f>ROUND(K3594*L3594,0)</f>
        <v>4333975835</v>
      </c>
      <c r="N3594" s="66" t="s">
        <v>260</v>
      </c>
      <c r="O3594" s="66" t="s">
        <v>576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customHeight="1">
      <c r="A3595" s="323" t="str">
        <f>IF(B3595&lt;&gt;"",IF(AND(B3595='IN-TC'!$S$4,OR(TH!N3599="1111",TH!O3599="1111")),TH!D3599,""),"")</f>
        <v/>
      </c>
      <c r="B3595" s="63">
        <f t="shared" si="235"/>
        <v>8</v>
      </c>
      <c r="C3595" s="64">
        <v>42600</v>
      </c>
      <c r="D3595" s="64" t="s">
        <v>687</v>
      </c>
      <c r="E3595" s="64">
        <f t="shared" si="236"/>
        <v>42600</v>
      </c>
      <c r="F3595" s="72" t="s">
        <v>1425</v>
      </c>
      <c r="G3595" s="67" t="s">
        <v>1544</v>
      </c>
      <c r="H3595" s="72" t="s">
        <v>1780</v>
      </c>
      <c r="I3595" s="408"/>
      <c r="J3595" s="408"/>
      <c r="K3595" s="399">
        <v>61500</v>
      </c>
      <c r="L3595" s="408">
        <v>22260</v>
      </c>
      <c r="M3595" s="65">
        <f>ROUND(K3595*L3595,0)</f>
        <v>1368990000</v>
      </c>
      <c r="N3595" s="66" t="s">
        <v>25</v>
      </c>
      <c r="O3595" s="66" t="s">
        <v>260</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x</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customHeight="1">
      <c r="A3596" s="323" t="str">
        <f>IF(B3596&lt;&gt;"",IF(AND(B3596='IN-TC'!$S$4,OR(TH!N3602="1111",TH!O3602="1111")),TH!D3602,""),"")</f>
        <v/>
      </c>
      <c r="B3596" s="63">
        <f t="shared" si="235"/>
        <v>8</v>
      </c>
      <c r="C3596" s="64">
        <v>42600</v>
      </c>
      <c r="D3596" s="64" t="s">
        <v>687</v>
      </c>
      <c r="E3596" s="64">
        <f t="shared" si="236"/>
        <v>42600</v>
      </c>
      <c r="F3596" s="72" t="s">
        <v>1425</v>
      </c>
      <c r="G3596" s="67" t="s">
        <v>1544</v>
      </c>
      <c r="H3596" s="72" t="s">
        <v>1780</v>
      </c>
      <c r="I3596" s="408"/>
      <c r="J3596" s="408"/>
      <c r="K3596" s="399">
        <v>21500</v>
      </c>
      <c r="L3596" s="408">
        <v>22292</v>
      </c>
      <c r="M3596" s="65">
        <f>ROUND(K3596*L3596,0)</f>
        <v>479278000</v>
      </c>
      <c r="N3596" s="66" t="s">
        <v>25</v>
      </c>
      <c r="O3596" s="66" t="s">
        <v>260</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x</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customHeight="1">
      <c r="A3597" s="323" t="str">
        <f>IF(B3597&lt;&gt;"",IF(AND(B3597='IN-TC'!$S$4,OR(TH!N3603="1111",TH!O3603="1111")),TH!D3603,""),"")</f>
        <v/>
      </c>
      <c r="B3597" s="63">
        <f t="shared" si="235"/>
        <v>8</v>
      </c>
      <c r="C3597" s="64">
        <v>42600</v>
      </c>
      <c r="D3597" s="64" t="s">
        <v>687</v>
      </c>
      <c r="E3597" s="64">
        <f t="shared" si="236"/>
        <v>42600</v>
      </c>
      <c r="F3597" s="72" t="s">
        <v>1910</v>
      </c>
      <c r="G3597" s="67" t="s">
        <v>1544</v>
      </c>
      <c r="H3597" s="72" t="s">
        <v>1911</v>
      </c>
      <c r="I3597" s="408"/>
      <c r="J3597" s="408"/>
      <c r="K3597" s="399">
        <v>63000</v>
      </c>
      <c r="L3597" s="408">
        <v>22292</v>
      </c>
      <c r="M3597" s="65">
        <v>1404396000</v>
      </c>
      <c r="N3597" s="66" t="s">
        <v>25</v>
      </c>
      <c r="O3597" s="66" t="s">
        <v>254</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x</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customHeight="1">
      <c r="A3598" s="323" t="str">
        <f>IF(B3598&lt;&gt;"",IF(AND(B3598='IN-TC'!$S$4,OR(TH!N3596="1111",TH!O3596="1111")),TH!D3596,""),"")</f>
        <v/>
      </c>
      <c r="B3598" s="63">
        <f t="shared" si="235"/>
        <v>8</v>
      </c>
      <c r="C3598" s="64">
        <v>42600</v>
      </c>
      <c r="D3598" s="64" t="s">
        <v>690</v>
      </c>
      <c r="E3598" s="64">
        <f t="shared" si="236"/>
        <v>42600</v>
      </c>
      <c r="F3598" s="72" t="s">
        <v>1778</v>
      </c>
      <c r="G3598" s="67" t="s">
        <v>1544</v>
      </c>
      <c r="H3598" s="72"/>
      <c r="I3598" s="408"/>
      <c r="J3598" s="408"/>
      <c r="K3598" s="399">
        <v>45.87</v>
      </c>
      <c r="L3598" s="408">
        <v>22300</v>
      </c>
      <c r="M3598" s="65">
        <f>ROUND(K3598*L3598,0)</f>
        <v>1022901</v>
      </c>
      <c r="N3598" s="66" t="s">
        <v>99</v>
      </c>
      <c r="O3598" s="66" t="s">
        <v>260</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customHeight="1">
      <c r="A3599" s="323" t="str">
        <f>IF(B3599&lt;&gt;"",IF(AND(B3599='IN-TC'!$S$4,OR(TH!N3597="1111",TH!O3597="1111")),TH!D3597,""),"")</f>
        <v/>
      </c>
      <c r="B3599" s="63">
        <f t="shared" si="235"/>
        <v>8</v>
      </c>
      <c r="C3599" s="64">
        <v>42600</v>
      </c>
      <c r="D3599" s="64" t="s">
        <v>690</v>
      </c>
      <c r="E3599" s="64">
        <f t="shared" si="236"/>
        <v>42600</v>
      </c>
      <c r="F3599" s="72" t="s">
        <v>1423</v>
      </c>
      <c r="G3599" s="67" t="s">
        <v>1544</v>
      </c>
      <c r="H3599" s="72" t="s">
        <v>1921</v>
      </c>
      <c r="I3599" s="408"/>
      <c r="J3599" s="408"/>
      <c r="K3599" s="399">
        <v>30.33</v>
      </c>
      <c r="L3599" s="408">
        <v>22300</v>
      </c>
      <c r="M3599" s="65">
        <f>ROUND(K3599*L3599,0)</f>
        <v>676359</v>
      </c>
      <c r="N3599" s="66" t="s">
        <v>99</v>
      </c>
      <c r="O3599" s="66" t="s">
        <v>260</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customHeight="1">
      <c r="A3600" s="323" t="str">
        <f>IF(B3600&lt;&gt;"",IF(AND(B3600='IN-TC'!$S$4,OR(TH!N3598="1111",TH!O3598="1111")),TH!D3598,""),"")</f>
        <v/>
      </c>
      <c r="B3600" s="63">
        <f t="shared" si="235"/>
        <v>8</v>
      </c>
      <c r="C3600" s="64">
        <v>42600</v>
      </c>
      <c r="D3600" s="64" t="s">
        <v>690</v>
      </c>
      <c r="E3600" s="64">
        <f t="shared" si="236"/>
        <v>42600</v>
      </c>
      <c r="F3600" s="72" t="s">
        <v>1778</v>
      </c>
      <c r="G3600" s="67" t="s">
        <v>1544</v>
      </c>
      <c r="H3600" s="72" t="s">
        <v>1922</v>
      </c>
      <c r="I3600" s="408"/>
      <c r="J3600" s="408"/>
      <c r="K3600" s="399">
        <v>5</v>
      </c>
      <c r="L3600" s="408">
        <v>21857</v>
      </c>
      <c r="M3600" s="65">
        <f>ROUND(K3600*L3600,0)</f>
        <v>109285</v>
      </c>
      <c r="N3600" s="66" t="s">
        <v>99</v>
      </c>
      <c r="O3600" s="66" t="s">
        <v>260</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1" ht="15.75" customHeight="1">
      <c r="A3601" s="323" t="str">
        <f>IF(B3601&lt;&gt;"",IF(AND(B3601='IN-TC'!$S$4,OR(TH!N3600="1111",TH!O3600="1111")),TH!D3600,""),"")</f>
        <v/>
      </c>
      <c r="B3601" s="63">
        <f t="shared" si="235"/>
        <v>8</v>
      </c>
      <c r="C3601" s="64">
        <v>42600</v>
      </c>
      <c r="D3601" s="64" t="s">
        <v>690</v>
      </c>
      <c r="E3601" s="64">
        <f t="shared" si="236"/>
        <v>42600</v>
      </c>
      <c r="F3601" s="72" t="s">
        <v>1170</v>
      </c>
      <c r="G3601" s="67" t="s">
        <v>1544</v>
      </c>
      <c r="H3601" s="922" t="s">
        <v>1860</v>
      </c>
      <c r="I3601" s="408"/>
      <c r="J3601" s="408"/>
      <c r="K3601" s="399">
        <v>61000</v>
      </c>
      <c r="L3601" s="408">
        <v>22308</v>
      </c>
      <c r="M3601" s="65">
        <f>ROUND(K3601*L3601,0)</f>
        <v>1360788000</v>
      </c>
      <c r="N3601" s="66" t="s">
        <v>254</v>
      </c>
      <c r="O3601" s="66" t="s">
        <v>25</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x</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1" ht="15.75" customHeight="1">
      <c r="A3602" s="323" t="str">
        <f>IF(B3602&lt;&gt;"",IF(AND(B3602='IN-TC'!$S$4,OR(TH!N3601="1111",TH!O3601="1111")),TH!D3601,""),"")</f>
        <v/>
      </c>
      <c r="B3602" s="63">
        <f t="shared" si="235"/>
        <v>8</v>
      </c>
      <c r="C3602" s="64">
        <v>42600</v>
      </c>
      <c r="D3602" s="64" t="s">
        <v>690</v>
      </c>
      <c r="E3602" s="64">
        <f t="shared" si="236"/>
        <v>42600</v>
      </c>
      <c r="F3602" s="72" t="s">
        <v>1767</v>
      </c>
      <c r="G3602" s="67" t="s">
        <v>1544</v>
      </c>
      <c r="H3602" s="922" t="s">
        <v>1860</v>
      </c>
      <c r="I3602" s="408"/>
      <c r="J3602" s="408"/>
      <c r="K3602" s="399"/>
      <c r="L3602" s="408"/>
      <c r="M3602" s="65">
        <v>3674128</v>
      </c>
      <c r="N3602" s="66" t="s">
        <v>97</v>
      </c>
      <c r="O3602" s="66" t="s">
        <v>25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x</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1" ht="15.75" customHeight="1">
      <c r="A3603" s="323" t="str">
        <f>IF(B3603&lt;&gt;"",IF(AND(B3603='IN-TC'!$S$4,OR(TH!N3604="1111",TH!O3604="1111")),TH!D3604,""),"")</f>
        <v/>
      </c>
      <c r="B3603" s="63">
        <f t="shared" si="235"/>
        <v>8</v>
      </c>
      <c r="C3603" s="64">
        <v>42600</v>
      </c>
      <c r="D3603" s="64" t="s">
        <v>889</v>
      </c>
      <c r="E3603" s="64">
        <f t="shared" si="236"/>
        <v>42600</v>
      </c>
      <c r="F3603" s="72" t="s">
        <v>1126</v>
      </c>
      <c r="G3603" s="67" t="s">
        <v>1544</v>
      </c>
      <c r="H3603" s="72" t="s">
        <v>748</v>
      </c>
      <c r="I3603" s="408"/>
      <c r="J3603" s="408"/>
      <c r="K3603" s="399"/>
      <c r="L3603" s="408"/>
      <c r="M3603" s="65">
        <v>1365000000</v>
      </c>
      <c r="N3603" s="66" t="s">
        <v>61</v>
      </c>
      <c r="O3603" s="66" t="s">
        <v>25</v>
      </c>
      <c r="P3603" s="82" t="str">
        <f>IF(AND('331-CT'!$E$7=TH!H3603,OR(N3603="331",O3603="331")),"x","")</f>
        <v/>
      </c>
      <c r="Q3603" s="82" t="str">
        <f>IF(AND(B3603='111'!$L$11,OR($N3603=$Q$7,$O3603=$Q$7)),"x","")</f>
        <v/>
      </c>
      <c r="R3603" s="82" t="str">
        <f>IF(AND($N3603=$Q$7,$B3603&lt;'111'!$L$11),"x","")</f>
        <v>x</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x</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1" ht="15.75" customHeight="1">
      <c r="A3604" s="323" t="str">
        <f>IF(B3604&lt;&gt;"",IF(AND(B3604='IN-TC'!$S$4,OR(TH!N588="1111",TH!O588="1111")),TH!D588,""),"")</f>
        <v/>
      </c>
      <c r="B3604" s="63">
        <f t="shared" si="235"/>
        <v>12</v>
      </c>
      <c r="C3604" s="78">
        <v>42722</v>
      </c>
      <c r="D3604" s="78" t="s">
        <v>2464</v>
      </c>
      <c r="E3604" s="78">
        <f t="shared" si="236"/>
        <v>42722</v>
      </c>
      <c r="F3604" s="79" t="s">
        <v>455</v>
      </c>
      <c r="G3604" s="934" t="s">
        <v>2582</v>
      </c>
      <c r="H3604" s="80" t="s">
        <v>1198</v>
      </c>
      <c r="I3604" s="406">
        <v>52000</v>
      </c>
      <c r="J3604" s="406">
        <v>60000</v>
      </c>
      <c r="K3604" s="397"/>
      <c r="L3604" s="406"/>
      <c r="M3604" s="81">
        <f>ROUND(I3604*J3604,0)</f>
        <v>3120000000</v>
      </c>
      <c r="N3604" s="82" t="s">
        <v>278</v>
      </c>
      <c r="O3604" s="82" t="s">
        <v>8</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1" ht="15.75" customHeight="1">
      <c r="A3605" s="323" t="str">
        <f>IF(B3605&lt;&gt;"",IF(AND(B3605='IN-TC'!$S$4,OR(TH!N3606="1111",TH!O3606="1111")),TH!D3606,""),"")</f>
        <v/>
      </c>
      <c r="B3605" s="63">
        <f t="shared" si="235"/>
        <v>8</v>
      </c>
      <c r="C3605" s="64">
        <v>42601</v>
      </c>
      <c r="D3605" s="64" t="s">
        <v>690</v>
      </c>
      <c r="E3605" s="64">
        <f t="shared" si="236"/>
        <v>42601</v>
      </c>
      <c r="F3605" s="72" t="s">
        <v>1530</v>
      </c>
      <c r="G3605" s="67" t="s">
        <v>1544</v>
      </c>
      <c r="H3605" s="72" t="s">
        <v>1780</v>
      </c>
      <c r="I3605" s="408"/>
      <c r="J3605" s="408"/>
      <c r="K3605" s="399"/>
      <c r="L3605" s="408"/>
      <c r="M3605" s="65">
        <v>10000</v>
      </c>
      <c r="N3605" s="66" t="s">
        <v>99</v>
      </c>
      <c r="O3605" s="66" t="s">
        <v>25</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x</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1" ht="15.75" customHeight="1">
      <c r="A3606" s="323" t="str">
        <f>IF(B3606&lt;&gt;"",IF(AND(B3606='IN-TC'!$S$4,OR(TH!N3607="1111",TH!O3607="1111")),TH!D3607,""),"")</f>
        <v/>
      </c>
      <c r="B3606" s="63">
        <f t="shared" si="235"/>
        <v>8</v>
      </c>
      <c r="C3606" s="64">
        <v>42601</v>
      </c>
      <c r="D3606" s="64" t="s">
        <v>690</v>
      </c>
      <c r="E3606" s="64">
        <f t="shared" si="236"/>
        <v>42601</v>
      </c>
      <c r="F3606" s="72" t="s">
        <v>1531</v>
      </c>
      <c r="G3606" s="67" t="s">
        <v>1544</v>
      </c>
      <c r="H3606" s="72" t="s">
        <v>1780</v>
      </c>
      <c r="I3606" s="408"/>
      <c r="J3606" s="408"/>
      <c r="K3606" s="399"/>
      <c r="L3606" s="408"/>
      <c r="M3606" s="65">
        <v>1000</v>
      </c>
      <c r="N3606" s="82" t="s">
        <v>9</v>
      </c>
      <c r="O3606" s="66" t="s">
        <v>25</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x</v>
      </c>
      <c r="W3606" s="82" t="str">
        <f>IF(AND('341-CT'!$H$9=H3606,OR(LEFT(N3606,3)=$W$7,LEFT(O3606,3)=$W$7)),"x","")</f>
        <v/>
      </c>
      <c r="X3606" s="82" t="str">
        <f>IF(OR(TH!N3606=TH!$X$7,O3606=TH!$X$7),"x","")</f>
        <v>x</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1" ht="15.75" customHeight="1">
      <c r="A3607" s="323" t="str">
        <f>IF(B3607&lt;&gt;"",IF(AND(B3607='IN-TC'!$S$4,OR(TH!N3608="1111",TH!O3608="1111")),TH!D3608,""),"")</f>
        <v/>
      </c>
      <c r="B3607" s="63">
        <f t="shared" si="235"/>
        <v>8</v>
      </c>
      <c r="C3607" s="64">
        <v>42601</v>
      </c>
      <c r="D3607" s="64" t="s">
        <v>690</v>
      </c>
      <c r="E3607" s="64">
        <f t="shared" si="236"/>
        <v>42601</v>
      </c>
      <c r="F3607" s="72" t="s">
        <v>1181</v>
      </c>
      <c r="G3607" s="67" t="s">
        <v>1640</v>
      </c>
      <c r="H3607" s="72" t="s">
        <v>1780</v>
      </c>
      <c r="I3607" s="408"/>
      <c r="J3607" s="408"/>
      <c r="K3607" s="399"/>
      <c r="L3607" s="408"/>
      <c r="M3607" s="65">
        <v>500000000</v>
      </c>
      <c r="N3607" s="66" t="s">
        <v>25</v>
      </c>
      <c r="O3607" s="66" t="s">
        <v>25</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x</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1" ht="15.75" customHeight="1">
      <c r="A3608" s="323" t="str">
        <f>IF(B3608&lt;&gt;"",IF(AND(B3608='IN-TC'!$S$4,OR(TH!N3609="1111",TH!O3609="1111")),TH!D3609,""),"")</f>
        <v/>
      </c>
      <c r="B3608" s="63">
        <f t="shared" si="235"/>
        <v>8</v>
      </c>
      <c r="C3608" s="64">
        <v>42601</v>
      </c>
      <c r="D3608" s="64" t="s">
        <v>690</v>
      </c>
      <c r="E3608" s="64">
        <f t="shared" si="236"/>
        <v>42601</v>
      </c>
      <c r="F3608" s="72" t="s">
        <v>1179</v>
      </c>
      <c r="G3608" s="67" t="s">
        <v>1544</v>
      </c>
      <c r="H3608" s="72" t="s">
        <v>1780</v>
      </c>
      <c r="I3608" s="408"/>
      <c r="J3608" s="408"/>
      <c r="K3608" s="399"/>
      <c r="L3608" s="408"/>
      <c r="M3608" s="65">
        <v>150000</v>
      </c>
      <c r="N3608" s="66" t="s">
        <v>99</v>
      </c>
      <c r="O3608" s="66" t="s">
        <v>25</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x</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1" ht="15.75" customHeight="1">
      <c r="A3609" s="323" t="str">
        <f>IF(B3609&lt;&gt;"",IF(AND(B3609='IN-TC'!$S$4,OR(TH!N3610="1111",TH!O3610="1111")),TH!D3610,""),"")</f>
        <v/>
      </c>
      <c r="B3609" s="63">
        <f t="shared" si="235"/>
        <v>8</v>
      </c>
      <c r="C3609" s="64">
        <v>42601</v>
      </c>
      <c r="D3609" s="64" t="s">
        <v>690</v>
      </c>
      <c r="E3609" s="64">
        <f t="shared" si="236"/>
        <v>42601</v>
      </c>
      <c r="F3609" s="72" t="s">
        <v>1180</v>
      </c>
      <c r="G3609" s="67" t="s">
        <v>1544</v>
      </c>
      <c r="H3609" s="72" t="s">
        <v>1780</v>
      </c>
      <c r="I3609" s="408"/>
      <c r="J3609" s="408"/>
      <c r="K3609" s="399"/>
      <c r="L3609" s="408"/>
      <c r="M3609" s="65">
        <v>15000</v>
      </c>
      <c r="N3609" s="82" t="s">
        <v>9</v>
      </c>
      <c r="O3609" s="66" t="s">
        <v>25</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x</v>
      </c>
      <c r="W3609" s="82" t="str">
        <f>IF(AND('341-CT'!$H$9=H3609,OR(LEFT(N3609,3)=$W$7,LEFT(O3609,3)=$W$7)),"x","")</f>
        <v/>
      </c>
      <c r="X3609" s="82" t="str">
        <f>IF(OR(TH!N3609=TH!$X$7,O3609=TH!$X$7),"x","")</f>
        <v>x</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1" ht="15.75" customHeight="1">
      <c r="A3610" s="323" t="str">
        <f>IF(B3610&lt;&gt;"",IF(AND(B3610='IN-TC'!$S$4,OR(TH!N2143="1111",TH!O2143="1111")),TH!D2143,""),"")</f>
        <v/>
      </c>
      <c r="B3610" s="63">
        <f t="shared" si="235"/>
        <v>12</v>
      </c>
      <c r="C3610" s="78">
        <v>42722</v>
      </c>
      <c r="D3610" s="78" t="s">
        <v>570</v>
      </c>
      <c r="E3610" s="78">
        <v>42722</v>
      </c>
      <c r="F3610" s="80" t="s">
        <v>2277</v>
      </c>
      <c r="G3610" s="934" t="s">
        <v>2584</v>
      </c>
      <c r="H3610" s="80" t="s">
        <v>1198</v>
      </c>
      <c r="I3610" s="406">
        <v>26000</v>
      </c>
      <c r="J3610" s="406">
        <v>10000</v>
      </c>
      <c r="K3610" s="397"/>
      <c r="L3610" s="406"/>
      <c r="M3610" s="81">
        <f>ROUND(I3610*J3610,0)</f>
        <v>260000000</v>
      </c>
      <c r="N3610" s="82" t="s">
        <v>276</v>
      </c>
      <c r="O3610" s="82" t="s">
        <v>8</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c r="AE3610">
        <v>1</v>
      </c>
    </row>
    <row r="3611" spans="1:31" ht="15.75" customHeight="1">
      <c r="A3611" s="1170" t="str">
        <f>IF(B3611&lt;&gt;"",IF(AND(B3611='IN-TC'!$S$4,OR(TH!N1072="1111",TH!O1072="1111")),TH!D1072,""),"")</f>
        <v/>
      </c>
      <c r="B3611" s="1199">
        <f t="shared" si="235"/>
        <v>12</v>
      </c>
      <c r="C3611" s="90">
        <v>42727</v>
      </c>
      <c r="D3611" s="90" t="s">
        <v>570</v>
      </c>
      <c r="E3611" s="90">
        <f t="shared" ref="E3611:E3622" si="237">C3611</f>
        <v>42727</v>
      </c>
      <c r="F3611" s="92" t="s">
        <v>2695</v>
      </c>
      <c r="G3611" s="1089" t="s">
        <v>2694</v>
      </c>
      <c r="H3611" s="92" t="s">
        <v>611</v>
      </c>
      <c r="I3611" s="414">
        <v>350</v>
      </c>
      <c r="J3611" s="414">
        <v>10000</v>
      </c>
      <c r="K3611" s="405"/>
      <c r="L3611" s="414"/>
      <c r="M3611" s="93">
        <v>3500000</v>
      </c>
      <c r="N3611" s="83" t="s">
        <v>99</v>
      </c>
      <c r="O3611" s="83" t="s">
        <v>8</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c r="AE3611">
        <v>1</v>
      </c>
    </row>
    <row r="3612" spans="1:31" ht="15.75" customHeight="1">
      <c r="A3612" s="323" t="str">
        <f>IF(B3612&lt;&gt;"",IF(AND(B3612='IN-TC'!$S$4,OR(TH!N3613="1111",TH!O3613="1111")),TH!D3613,""),"")</f>
        <v/>
      </c>
      <c r="B3612" s="63">
        <f t="shared" si="235"/>
        <v>8</v>
      </c>
      <c r="C3612" s="64">
        <v>42601</v>
      </c>
      <c r="D3612" s="64" t="s">
        <v>690</v>
      </c>
      <c r="E3612" s="64">
        <f t="shared" si="237"/>
        <v>42601</v>
      </c>
      <c r="F3612" s="72" t="s">
        <v>1179</v>
      </c>
      <c r="G3612" s="67" t="s">
        <v>902</v>
      </c>
      <c r="H3612" s="72"/>
      <c r="I3612" s="408"/>
      <c r="J3612" s="408"/>
      <c r="K3612" s="399"/>
      <c r="L3612" s="408"/>
      <c r="M3612" s="65">
        <v>20000</v>
      </c>
      <c r="N3612" s="66" t="s">
        <v>99</v>
      </c>
      <c r="O3612" s="66" t="s">
        <v>25</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1" ht="15.75" customHeight="1">
      <c r="A3613" s="323" t="str">
        <f>IF(B3613&lt;&gt;"",IF(AND(B3613='IN-TC'!$S$4,OR(TH!N3614="1111",TH!O3614="1111")),TH!D3614,""),"")</f>
        <v/>
      </c>
      <c r="B3613" s="63">
        <f t="shared" si="235"/>
        <v>8</v>
      </c>
      <c r="C3613" s="64">
        <v>42601</v>
      </c>
      <c r="D3613" s="64" t="s">
        <v>690</v>
      </c>
      <c r="E3613" s="64">
        <f t="shared" si="237"/>
        <v>42601</v>
      </c>
      <c r="F3613" s="72" t="s">
        <v>1180</v>
      </c>
      <c r="G3613" s="67" t="s">
        <v>902</v>
      </c>
      <c r="H3613" s="72"/>
      <c r="I3613" s="408"/>
      <c r="J3613" s="408"/>
      <c r="K3613" s="399"/>
      <c r="L3613" s="408"/>
      <c r="M3613" s="65">
        <v>2000</v>
      </c>
      <c r="N3613" s="82" t="s">
        <v>9</v>
      </c>
      <c r="O3613" s="66" t="s">
        <v>25</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x</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1" ht="15.75" customHeight="1">
      <c r="A3614" s="1160" t="str">
        <f>IF(B3614&lt;&gt;"",IF(AND(B3614='IN-TC'!$S$4,OR(TH!N953="1111",TH!O953="1111")),TH!D953,""),"")</f>
        <v/>
      </c>
      <c r="B3614" s="948">
        <f t="shared" si="235"/>
        <v>11</v>
      </c>
      <c r="C3614" s="78">
        <v>42693</v>
      </c>
      <c r="D3614" s="78" t="s">
        <v>2500</v>
      </c>
      <c r="E3614" s="78">
        <f t="shared" si="237"/>
        <v>42693</v>
      </c>
      <c r="F3614" s="80" t="s">
        <v>639</v>
      </c>
      <c r="G3614" s="934" t="s">
        <v>2319</v>
      </c>
      <c r="H3614" s="310" t="s">
        <v>1403</v>
      </c>
      <c r="I3614" s="406"/>
      <c r="J3614" s="406"/>
      <c r="K3614" s="397"/>
      <c r="L3614" s="406"/>
      <c r="M3614" s="81">
        <v>3500000</v>
      </c>
      <c r="N3614" s="82" t="s">
        <v>9</v>
      </c>
      <c r="O3614" s="82" t="s">
        <v>8</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x</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c r="AE3614">
        <v>1</v>
      </c>
    </row>
    <row r="3615" spans="1:31" ht="15.75" customHeight="1">
      <c r="A3615" s="323" t="str">
        <f>IF(B3615&lt;&gt;"",IF(AND(B3615='IN-TC'!$S$4,OR(TH!N3616="1111",TH!O3616="1111")),TH!D3616,""),"")</f>
        <v/>
      </c>
      <c r="B3615" s="63">
        <f t="shared" si="235"/>
        <v>8</v>
      </c>
      <c r="C3615" s="64">
        <v>42601</v>
      </c>
      <c r="D3615" s="64" t="s">
        <v>690</v>
      </c>
      <c r="E3615" s="64">
        <f t="shared" si="237"/>
        <v>42601</v>
      </c>
      <c r="F3615" s="72" t="s">
        <v>1179</v>
      </c>
      <c r="G3615" s="67" t="s">
        <v>902</v>
      </c>
      <c r="H3615" s="72"/>
      <c r="I3615" s="408"/>
      <c r="J3615" s="408"/>
      <c r="K3615" s="399"/>
      <c r="L3615" s="408"/>
      <c r="M3615" s="65">
        <v>20000</v>
      </c>
      <c r="N3615" s="66" t="s">
        <v>99</v>
      </c>
      <c r="O3615" s="66" t="s">
        <v>25</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1" ht="15.75" customHeight="1">
      <c r="A3616" s="323" t="str">
        <f>IF(B3616&lt;&gt;"",IF(AND(B3616='IN-TC'!$S$4,OR(TH!N3617="1111",TH!O3617="1111")),TH!D3617,""),"")</f>
        <v/>
      </c>
      <c r="B3616" s="63">
        <f t="shared" si="235"/>
        <v>8</v>
      </c>
      <c r="C3616" s="64">
        <v>42601</v>
      </c>
      <c r="D3616" s="64" t="s">
        <v>690</v>
      </c>
      <c r="E3616" s="64">
        <f t="shared" si="237"/>
        <v>42601</v>
      </c>
      <c r="F3616" s="72" t="s">
        <v>1180</v>
      </c>
      <c r="G3616" s="67" t="s">
        <v>902</v>
      </c>
      <c r="H3616" s="72"/>
      <c r="I3616" s="408"/>
      <c r="J3616" s="408"/>
      <c r="K3616" s="399"/>
      <c r="L3616" s="408"/>
      <c r="M3616" s="65">
        <v>2000</v>
      </c>
      <c r="N3616" s="82" t="s">
        <v>9</v>
      </c>
      <c r="O3616" s="66" t="s">
        <v>25</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x</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1" ht="15.75" customHeight="1">
      <c r="A3617" s="1160" t="str">
        <f>IF(B3617&lt;&gt;"",IF(AND(B3617='IN-TC'!$S$4,OR(TH!N1088="1111",TH!O1088="1111")),TH!D1088,""),"")</f>
        <v/>
      </c>
      <c r="B3617" s="948">
        <f t="shared" si="235"/>
        <v>12</v>
      </c>
      <c r="C3617" s="78">
        <v>42728</v>
      </c>
      <c r="D3617" s="78" t="s">
        <v>2889</v>
      </c>
      <c r="E3617" s="78">
        <f t="shared" si="237"/>
        <v>42728</v>
      </c>
      <c r="F3617" s="80" t="s">
        <v>2006</v>
      </c>
      <c r="G3617" s="934" t="s">
        <v>2888</v>
      </c>
      <c r="H3617" s="310" t="s">
        <v>608</v>
      </c>
      <c r="I3617" s="406">
        <v>1040</v>
      </c>
      <c r="J3617" s="406">
        <v>13500</v>
      </c>
      <c r="K3617" s="397"/>
      <c r="L3617" s="406"/>
      <c r="M3617" s="81">
        <f>ROUND(I3617*J3617,0)</f>
        <v>14040000</v>
      </c>
      <c r="N3617" s="82" t="s">
        <v>270</v>
      </c>
      <c r="O3617" s="82" t="s">
        <v>8</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c r="AE3617">
        <v>1</v>
      </c>
    </row>
    <row r="3618" spans="1:31" ht="15.75" customHeight="1">
      <c r="A3618" s="323" t="str">
        <f>IF(B3618&lt;&gt;"",IF(AND(B3618='IN-TC'!$S$4,OR(TH!N3619="1111",TH!O3619="1111")),TH!D3619,""),"")</f>
        <v/>
      </c>
      <c r="B3618" s="63">
        <f t="shared" si="235"/>
        <v>8</v>
      </c>
      <c r="C3618" s="64">
        <v>42601</v>
      </c>
      <c r="D3618" s="64" t="s">
        <v>690</v>
      </c>
      <c r="E3618" s="64">
        <f t="shared" si="237"/>
        <v>42601</v>
      </c>
      <c r="F3618" s="72" t="s">
        <v>1179</v>
      </c>
      <c r="G3618" s="67" t="s">
        <v>902</v>
      </c>
      <c r="H3618" s="72"/>
      <c r="I3618" s="408"/>
      <c r="J3618" s="408"/>
      <c r="K3618" s="399"/>
      <c r="L3618" s="408"/>
      <c r="M3618" s="65">
        <v>20000</v>
      </c>
      <c r="N3618" s="66" t="s">
        <v>99</v>
      </c>
      <c r="O3618" s="66" t="s">
        <v>25</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1" ht="15.75" customHeight="1">
      <c r="A3619" s="323" t="str">
        <f>IF(B3619&lt;&gt;"",IF(AND(B3619='IN-TC'!$S$4,OR(TH!N3620="1111",TH!O3620="1111")),TH!D3620,""),"")</f>
        <v/>
      </c>
      <c r="B3619" s="63">
        <f t="shared" si="235"/>
        <v>8</v>
      </c>
      <c r="C3619" s="64">
        <v>42601</v>
      </c>
      <c r="D3619" s="64" t="s">
        <v>690</v>
      </c>
      <c r="E3619" s="64">
        <f t="shared" si="237"/>
        <v>42601</v>
      </c>
      <c r="F3619" s="72" t="s">
        <v>1180</v>
      </c>
      <c r="G3619" s="67" t="s">
        <v>902</v>
      </c>
      <c r="H3619" s="72"/>
      <c r="I3619" s="408"/>
      <c r="J3619" s="408"/>
      <c r="K3619" s="399"/>
      <c r="L3619" s="408"/>
      <c r="M3619" s="65">
        <v>2000</v>
      </c>
      <c r="N3619" s="82" t="s">
        <v>9</v>
      </c>
      <c r="O3619" s="66" t="s">
        <v>25</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x</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1" ht="15.75" customHeight="1">
      <c r="A3620" s="323" t="str">
        <f>IF(B3620&lt;&gt;"",IF(AND(B3620='IN-TC'!$S$4,OR(TH!N3916="1111",TH!O3916="1111")),TH!D3916,""),"")</f>
        <v>C25</v>
      </c>
      <c r="B3620" s="63">
        <f t="shared" si="235"/>
        <v>10</v>
      </c>
      <c r="C3620" s="64">
        <v>42667</v>
      </c>
      <c r="D3620" s="64" t="s">
        <v>690</v>
      </c>
      <c r="E3620" s="64">
        <f t="shared" si="237"/>
        <v>42667</v>
      </c>
      <c r="F3620" s="72" t="s">
        <v>1625</v>
      </c>
      <c r="G3620" s="67" t="s">
        <v>901</v>
      </c>
      <c r="H3620" s="72" t="s">
        <v>607</v>
      </c>
      <c r="I3620" s="408"/>
      <c r="J3620" s="408"/>
      <c r="K3620" s="399"/>
      <c r="L3620" s="408"/>
      <c r="M3620" s="65">
        <v>19200000</v>
      </c>
      <c r="N3620" s="66" t="s">
        <v>8</v>
      </c>
      <c r="O3620" s="66" t="s">
        <v>25</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1" ht="15.75" customHeight="1">
      <c r="A3621" s="323" t="str">
        <f>IF(B3621&lt;&gt;"",IF(AND(B3621='IN-TC'!$S$4,OR(TH!N3622="1111",TH!O3622="1111")),TH!D3622,""),"")</f>
        <v/>
      </c>
      <c r="B3621" s="63">
        <f t="shared" si="235"/>
        <v>8</v>
      </c>
      <c r="C3621" s="64">
        <v>42601</v>
      </c>
      <c r="D3621" s="64" t="s">
        <v>690</v>
      </c>
      <c r="E3621" s="64">
        <f t="shared" si="237"/>
        <v>42601</v>
      </c>
      <c r="F3621" s="72" t="s">
        <v>1179</v>
      </c>
      <c r="G3621" s="67" t="s">
        <v>902</v>
      </c>
      <c r="H3621" s="72"/>
      <c r="I3621" s="408"/>
      <c r="J3621" s="408"/>
      <c r="K3621" s="399"/>
      <c r="L3621" s="408"/>
      <c r="M3621" s="65">
        <v>20000</v>
      </c>
      <c r="N3621" s="66" t="s">
        <v>99</v>
      </c>
      <c r="O3621" s="66" t="s">
        <v>25</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1" ht="15.75" customHeight="1">
      <c r="A3622" s="323" t="str">
        <f>IF(B3622&lt;&gt;"",IF(AND(B3622='IN-TC'!$S$4,OR(TH!N3623="1111",TH!O3623="1111")),TH!D3623,""),"")</f>
        <v/>
      </c>
      <c r="B3622" s="63">
        <f t="shared" si="235"/>
        <v>8</v>
      </c>
      <c r="C3622" s="64">
        <v>42601</v>
      </c>
      <c r="D3622" s="64" t="s">
        <v>690</v>
      </c>
      <c r="E3622" s="64">
        <f t="shared" si="237"/>
        <v>42601</v>
      </c>
      <c r="F3622" s="72" t="s">
        <v>1180</v>
      </c>
      <c r="G3622" s="67" t="s">
        <v>902</v>
      </c>
      <c r="H3622" s="72"/>
      <c r="I3622" s="408"/>
      <c r="J3622" s="408"/>
      <c r="K3622" s="399"/>
      <c r="L3622" s="408"/>
      <c r="M3622" s="65">
        <v>2000</v>
      </c>
      <c r="N3622" s="82" t="s">
        <v>9</v>
      </c>
      <c r="O3622" s="66" t="s">
        <v>25</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x</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1" ht="15.75" customHeight="1">
      <c r="A3623" s="323" t="str">
        <f>IF(B3623&lt;&gt;"",IF(AND(B3623='IN-TC'!$S$4,OR(TH!N2112="1111",TH!O2112="1111")),TH!D2112,""),"")</f>
        <v/>
      </c>
      <c r="B3623" s="63">
        <f t="shared" si="235"/>
        <v>11</v>
      </c>
      <c r="C3623" s="78">
        <v>42690</v>
      </c>
      <c r="D3623" s="78" t="s">
        <v>570</v>
      </c>
      <c r="E3623" s="78">
        <v>42690</v>
      </c>
      <c r="F3623" s="80" t="s">
        <v>2350</v>
      </c>
      <c r="G3623" s="934" t="s">
        <v>2521</v>
      </c>
      <c r="H3623" s="80" t="s">
        <v>617</v>
      </c>
      <c r="I3623" s="406"/>
      <c r="J3623" s="406"/>
      <c r="K3623" s="397"/>
      <c r="L3623" s="406"/>
      <c r="M3623" s="81">
        <v>3107920</v>
      </c>
      <c r="N3623" s="82" t="s">
        <v>9</v>
      </c>
      <c r="O3623" s="82" t="s">
        <v>8</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x</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c r="AE3623">
        <v>1</v>
      </c>
    </row>
    <row r="3624" spans="1:31" ht="15.75" customHeight="1">
      <c r="A3624" s="323" t="str">
        <f>IF(B3624&lt;&gt;"",IF(AND(B3624='IN-TC'!$S$4,OR(TH!N3625="1111",TH!O3625="1111")),TH!D3625,""),"")</f>
        <v/>
      </c>
      <c r="B3624" s="63">
        <f t="shared" si="235"/>
        <v>8</v>
      </c>
      <c r="C3624" s="64">
        <v>42601</v>
      </c>
      <c r="D3624" s="64" t="s">
        <v>690</v>
      </c>
      <c r="E3624" s="64">
        <f>C3624</f>
        <v>42601</v>
      </c>
      <c r="F3624" s="72" t="s">
        <v>1179</v>
      </c>
      <c r="G3624" s="67" t="s">
        <v>902</v>
      </c>
      <c r="H3624" s="72"/>
      <c r="I3624" s="408"/>
      <c r="J3624" s="408"/>
      <c r="K3624" s="399"/>
      <c r="L3624" s="408"/>
      <c r="M3624" s="65">
        <v>20000</v>
      </c>
      <c r="N3624" s="66" t="s">
        <v>99</v>
      </c>
      <c r="O3624" s="66" t="s">
        <v>25</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1" ht="15.75" customHeight="1">
      <c r="A3625" s="323" t="str">
        <f>IF(B3625&lt;&gt;"",IF(AND(B3625='IN-TC'!$S$4,OR(TH!N3626="1111",TH!O3626="1111")),TH!D3626,""),"")</f>
        <v/>
      </c>
      <c r="B3625" s="63">
        <f t="shared" si="235"/>
        <v>8</v>
      </c>
      <c r="C3625" s="64">
        <v>42601</v>
      </c>
      <c r="D3625" s="64" t="s">
        <v>690</v>
      </c>
      <c r="E3625" s="64">
        <f>C3625</f>
        <v>42601</v>
      </c>
      <c r="F3625" s="72" t="s">
        <v>1180</v>
      </c>
      <c r="G3625" s="67" t="s">
        <v>902</v>
      </c>
      <c r="H3625" s="72"/>
      <c r="I3625" s="408"/>
      <c r="J3625" s="408"/>
      <c r="K3625" s="399"/>
      <c r="L3625" s="408"/>
      <c r="M3625" s="65">
        <v>2000</v>
      </c>
      <c r="N3625" s="82" t="s">
        <v>9</v>
      </c>
      <c r="O3625" s="66" t="s">
        <v>25</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x</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1" ht="15.75" customHeight="1">
      <c r="A3626" s="323" t="str">
        <f>IF(B3626&lt;&gt;"",IF(AND(B3626='IN-TC'!$S$4,OR(TH!N2132="1111",TH!O2132="1111")),TH!D2132,""),"")</f>
        <v/>
      </c>
      <c r="B3626" s="63">
        <f t="shared" si="235"/>
        <v>12</v>
      </c>
      <c r="C3626" s="78">
        <v>42705</v>
      </c>
      <c r="D3626" s="78" t="s">
        <v>570</v>
      </c>
      <c r="E3626" s="78">
        <v>42704</v>
      </c>
      <c r="F3626" s="80" t="s">
        <v>2130</v>
      </c>
      <c r="G3626" s="934" t="s">
        <v>2664</v>
      </c>
      <c r="H3626" s="80" t="s">
        <v>1365</v>
      </c>
      <c r="I3626" s="406"/>
      <c r="J3626" s="406"/>
      <c r="K3626" s="397"/>
      <c r="L3626" s="406"/>
      <c r="M3626" s="81">
        <v>7398032</v>
      </c>
      <c r="N3626" s="82" t="s">
        <v>579</v>
      </c>
      <c r="O3626" s="82" t="s">
        <v>8</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c r="AE3626">
        <v>1</v>
      </c>
    </row>
    <row r="3627" spans="1:31" ht="15.75" customHeight="1">
      <c r="A3627" s="323" t="str">
        <f>IF(B3627&lt;&gt;"",IF(AND(B3627='IN-TC'!$S$4,OR(TH!N3594="1111",TH!O3594="1111")),TH!D3594,""),"")</f>
        <v/>
      </c>
      <c r="B3627" s="63">
        <f t="shared" si="235"/>
        <v>8</v>
      </c>
      <c r="C3627" s="1092">
        <v>42602</v>
      </c>
      <c r="D3627" s="1092" t="s">
        <v>870</v>
      </c>
      <c r="E3627" s="1092">
        <f>C3627</f>
        <v>42602</v>
      </c>
      <c r="F3627" s="482" t="s">
        <v>947</v>
      </c>
      <c r="G3627" s="1094"/>
      <c r="H3627" s="1093" t="s">
        <v>946</v>
      </c>
      <c r="I3627" s="1095"/>
      <c r="J3627" s="1095"/>
      <c r="K3627" s="1096"/>
      <c r="L3627" s="1095"/>
      <c r="M3627" s="1097">
        <v>115000000</v>
      </c>
      <c r="N3627" s="1098" t="s">
        <v>266</v>
      </c>
      <c r="O3627" s="1098" t="s">
        <v>61</v>
      </c>
      <c r="P3627" s="82" t="str">
        <f>IF(AND('331-CT'!$E$7=TH!H3627,OR(N3627="331",O3627="331")),"x","")</f>
        <v/>
      </c>
      <c r="Q3627" s="82" t="str">
        <f>IF(AND(B3627='111'!$L$11,OR($N3627=$Q$7,$O3627=$Q$7)),"x","")</f>
        <v/>
      </c>
      <c r="R3627" s="82" t="str">
        <f>IF(AND($N3627=$Q$7,$B3627&lt;'111'!$L$11),"x","")</f>
        <v/>
      </c>
      <c r="S3627" s="82" t="str">
        <f>IF(AND($O3627=$Q$7,$B3627&lt;'111'!$L$11),"x","")</f>
        <v>x</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1" ht="15.75" customHeight="1">
      <c r="A3628" s="323" t="str">
        <f>IF(B3628&lt;&gt;"",IF(AND(B3628='IN-TC'!$S$4,OR(TH!N2144="1111",TH!O2144="1111")),TH!D2144,""),"")</f>
        <v/>
      </c>
      <c r="B3628" s="63">
        <f t="shared" si="235"/>
        <v>12</v>
      </c>
      <c r="C3628" s="78">
        <v>42722</v>
      </c>
      <c r="D3628" s="78" t="s">
        <v>570</v>
      </c>
      <c r="E3628" s="78">
        <v>42722</v>
      </c>
      <c r="F3628" s="80" t="s">
        <v>2281</v>
      </c>
      <c r="G3628" s="934" t="s">
        <v>2584</v>
      </c>
      <c r="H3628" s="80" t="s">
        <v>1198</v>
      </c>
      <c r="I3628" s="406"/>
      <c r="J3628" s="406"/>
      <c r="K3628" s="397"/>
      <c r="L3628" s="406"/>
      <c r="M3628" s="81">
        <v>26000000</v>
      </c>
      <c r="N3628" s="82" t="s">
        <v>9</v>
      </c>
      <c r="O3628" s="82" t="s">
        <v>8</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x</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c r="AE3628">
        <v>1</v>
      </c>
    </row>
    <row r="3629" spans="1:31" ht="15.75" customHeight="1">
      <c r="A3629" s="323" t="str">
        <f>IF(B3629&lt;&gt;"",IF(AND(B3629='IN-TC'!$S$4,OR(TH!N3629="1111",TH!O3629="1111")),TH!D3629,""),"")</f>
        <v/>
      </c>
      <c r="B3629" s="63">
        <f t="shared" si="235"/>
        <v>8</v>
      </c>
      <c r="C3629" s="64">
        <v>42602</v>
      </c>
      <c r="D3629" s="64" t="s">
        <v>892</v>
      </c>
      <c r="E3629" s="64">
        <f t="shared" ref="E3629:E3650" si="238">C3629</f>
        <v>42602</v>
      </c>
      <c r="F3629" s="72" t="s">
        <v>1126</v>
      </c>
      <c r="G3629" s="67" t="s">
        <v>902</v>
      </c>
      <c r="H3629" s="72" t="s">
        <v>748</v>
      </c>
      <c r="I3629" s="408"/>
      <c r="J3629" s="408"/>
      <c r="K3629" s="399"/>
      <c r="L3629" s="408"/>
      <c r="M3629" s="65">
        <v>250000000</v>
      </c>
      <c r="N3629" s="66" t="s">
        <v>61</v>
      </c>
      <c r="O3629" s="66" t="s">
        <v>25</v>
      </c>
      <c r="P3629" s="82" t="str">
        <f>IF(AND('331-CT'!$E$7=TH!H3629,OR(N3629="331",O3629="331")),"x","")</f>
        <v/>
      </c>
      <c r="Q3629" s="82" t="str">
        <f>IF(AND(B3629='111'!$L$11,OR($N3629=$Q$7,$O3629=$Q$7)),"x","")</f>
        <v/>
      </c>
      <c r="R3629" s="82" t="str">
        <f>IF(AND($N3629=$Q$7,$B3629&lt;'111'!$L$11),"x","")</f>
        <v>x</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1" ht="15.75" customHeight="1">
      <c r="A3630" s="323" t="str">
        <f>IF(B3630&lt;&gt;"",IF(AND(B3630='IN-TC'!$S$4,OR(TH!N3630="1111",TH!O3630="1111")),TH!D3630,""),"")</f>
        <v/>
      </c>
      <c r="B3630" s="63">
        <f t="shared" ref="B3630:B3693" si="239">IF(C3630&lt;&gt;"",MONTH(C3630),"")</f>
        <v>8</v>
      </c>
      <c r="C3630" s="64">
        <v>42604</v>
      </c>
      <c r="D3630" s="64" t="s">
        <v>687</v>
      </c>
      <c r="E3630" s="64">
        <f t="shared" si="238"/>
        <v>42604</v>
      </c>
      <c r="F3630" s="72" t="s">
        <v>1918</v>
      </c>
      <c r="G3630" s="67" t="s">
        <v>1544</v>
      </c>
      <c r="H3630" s="72" t="s">
        <v>1921</v>
      </c>
      <c r="I3630" s="408"/>
      <c r="J3630" s="408"/>
      <c r="K3630" s="399">
        <v>63000</v>
      </c>
      <c r="L3630" s="408">
        <v>22292</v>
      </c>
      <c r="M3630" s="65">
        <v>1404396000</v>
      </c>
      <c r="N3630" s="66" t="s">
        <v>25</v>
      </c>
      <c r="O3630" s="66" t="s">
        <v>254</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x</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1" ht="15.75" customHeight="1">
      <c r="A3631" s="323" t="str">
        <f>IF(B3631&lt;&gt;"",IF(AND(B3631='IN-TC'!$S$4,OR(TH!N3631="1111",TH!O3631="1111")),TH!D3631,""),"")</f>
        <v/>
      </c>
      <c r="B3631" s="63">
        <f t="shared" si="239"/>
        <v>8</v>
      </c>
      <c r="C3631" s="64">
        <v>42604</v>
      </c>
      <c r="D3631" s="64" t="s">
        <v>690</v>
      </c>
      <c r="E3631" s="64">
        <f t="shared" si="238"/>
        <v>42604</v>
      </c>
      <c r="F3631" s="72" t="s">
        <v>1767</v>
      </c>
      <c r="G3631" s="67" t="s">
        <v>1544</v>
      </c>
      <c r="H3631" s="922" t="s">
        <v>1860</v>
      </c>
      <c r="I3631" s="408"/>
      <c r="J3631" s="408"/>
      <c r="K3631" s="399"/>
      <c r="L3631" s="408"/>
      <c r="M3631" s="1097">
        <v>6085622</v>
      </c>
      <c r="N3631" s="66" t="s">
        <v>97</v>
      </c>
      <c r="O3631" s="66" t="s">
        <v>25</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x</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1" ht="15.75" customHeight="1">
      <c r="A3632" s="323" t="str">
        <f>IF(B3632&lt;&gt;"",IF(AND(B3632='IN-TC'!$S$4,OR(TH!N3632="1111",TH!O3632="1111")),TH!D3632,""),"")</f>
        <v/>
      </c>
      <c r="B3632" s="63">
        <f t="shared" si="239"/>
        <v>8</v>
      </c>
      <c r="C3632" s="64">
        <v>42604</v>
      </c>
      <c r="D3632" s="64" t="s">
        <v>690</v>
      </c>
      <c r="E3632" s="64">
        <f t="shared" si="238"/>
        <v>42604</v>
      </c>
      <c r="F3632" s="72" t="s">
        <v>1767</v>
      </c>
      <c r="G3632" s="67" t="s">
        <v>1544</v>
      </c>
      <c r="H3632" s="922" t="s">
        <v>1860</v>
      </c>
      <c r="I3632" s="408"/>
      <c r="J3632" s="408"/>
      <c r="K3632" s="399"/>
      <c r="L3632" s="1130"/>
      <c r="M3632" s="65">
        <v>6671345</v>
      </c>
      <c r="N3632" s="66" t="s">
        <v>97</v>
      </c>
      <c r="O3632" s="66" t="s">
        <v>25</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x</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customHeight="1">
      <c r="A3633" s="323" t="str">
        <f>IF(B3633&lt;&gt;"",IF(AND(B3633='IN-TC'!$S$4,OR(TH!N3633="1111",TH!O3633="1111")),TH!D3633,""),"")</f>
        <v/>
      </c>
      <c r="B3633" s="63">
        <f t="shared" si="239"/>
        <v>8</v>
      </c>
      <c r="C3633" s="64">
        <v>42604</v>
      </c>
      <c r="D3633" s="64" t="s">
        <v>690</v>
      </c>
      <c r="E3633" s="64">
        <f t="shared" si="238"/>
        <v>42604</v>
      </c>
      <c r="F3633" s="72" t="s">
        <v>1767</v>
      </c>
      <c r="G3633" s="67" t="s">
        <v>1544</v>
      </c>
      <c r="H3633" s="922" t="s">
        <v>1860</v>
      </c>
      <c r="I3633" s="408"/>
      <c r="J3633" s="408"/>
      <c r="K3633" s="399"/>
      <c r="L3633" s="408"/>
      <c r="M3633" s="65">
        <v>6708016</v>
      </c>
      <c r="N3633" s="66" t="s">
        <v>97</v>
      </c>
      <c r="O3633" s="66" t="s">
        <v>25</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x</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customHeight="1">
      <c r="A3634" s="323" t="str">
        <f>IF(B3634&lt;&gt;"",IF(AND(B3634='IN-TC'!$S$4,OR(TH!N3634="1111",TH!O3634="1111")),TH!D3634,""),"")</f>
        <v/>
      </c>
      <c r="B3634" s="63">
        <f t="shared" si="239"/>
        <v>8</v>
      </c>
      <c r="C3634" s="64">
        <v>42604</v>
      </c>
      <c r="D3634" s="64" t="s">
        <v>690</v>
      </c>
      <c r="E3634" s="64">
        <f t="shared" si="238"/>
        <v>42604</v>
      </c>
      <c r="F3634" s="72" t="s">
        <v>1767</v>
      </c>
      <c r="G3634" s="67" t="s">
        <v>1544</v>
      </c>
      <c r="H3634" s="922" t="s">
        <v>1860</v>
      </c>
      <c r="I3634" s="408"/>
      <c r="J3634" s="408"/>
      <c r="K3634" s="399"/>
      <c r="L3634" s="408"/>
      <c r="M3634" s="65">
        <v>5670694</v>
      </c>
      <c r="N3634" s="66" t="s">
        <v>97</v>
      </c>
      <c r="O3634" s="66" t="s">
        <v>25</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x</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customHeight="1">
      <c r="A3635" s="323" t="str">
        <f>IF(B3635&lt;&gt;"",IF(AND(B3635='IN-TC'!$S$4,OR(TH!N3635="1111",TH!O3635="1111")),TH!D3635,""),"")</f>
        <v/>
      </c>
      <c r="B3635" s="63">
        <f t="shared" si="239"/>
        <v>8</v>
      </c>
      <c r="C3635" s="64">
        <v>42604</v>
      </c>
      <c r="D3635" s="64" t="s">
        <v>690</v>
      </c>
      <c r="E3635" s="64">
        <f t="shared" si="238"/>
        <v>42604</v>
      </c>
      <c r="F3635" s="72" t="s">
        <v>1767</v>
      </c>
      <c r="G3635" s="67" t="s">
        <v>1544</v>
      </c>
      <c r="H3635" s="922" t="s">
        <v>1860</v>
      </c>
      <c r="I3635" s="408"/>
      <c r="J3635" s="408"/>
      <c r="K3635" s="399"/>
      <c r="L3635" s="408"/>
      <c r="M3635" s="65">
        <v>6223932</v>
      </c>
      <c r="N3635" s="66" t="s">
        <v>97</v>
      </c>
      <c r="O3635" s="66" t="s">
        <v>25</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x</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customHeight="1">
      <c r="A3636" s="323" t="str">
        <f>IF(B3636&lt;&gt;"",IF(AND(B3636='IN-TC'!$S$4,OR(TH!N3636="1111",TH!O3636="1111")),TH!D3636,""),"")</f>
        <v/>
      </c>
      <c r="B3636" s="63">
        <f t="shared" si="239"/>
        <v>8</v>
      </c>
      <c r="C3636" s="64">
        <v>42604</v>
      </c>
      <c r="D3636" s="64" t="s">
        <v>690</v>
      </c>
      <c r="E3636" s="64">
        <f t="shared" si="238"/>
        <v>42604</v>
      </c>
      <c r="F3636" s="72" t="s">
        <v>1767</v>
      </c>
      <c r="G3636" s="67" t="s">
        <v>1544</v>
      </c>
      <c r="H3636" s="922" t="s">
        <v>1860</v>
      </c>
      <c r="I3636" s="408"/>
      <c r="J3636" s="408"/>
      <c r="K3636" s="399"/>
      <c r="L3636" s="408"/>
      <c r="M3636" s="65">
        <v>6154777</v>
      </c>
      <c r="N3636" s="66" t="s">
        <v>97</v>
      </c>
      <c r="O3636" s="66" t="s">
        <v>25</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x</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customHeight="1">
      <c r="A3637" s="323" t="str">
        <f>IF(B3637&lt;&gt;"",IF(AND(B3637='IN-TC'!$S$4,OR(TH!N3637="1111",TH!O3637="1111")),TH!D3637,""),"")</f>
        <v/>
      </c>
      <c r="B3637" s="63">
        <f t="shared" si="239"/>
        <v>8</v>
      </c>
      <c r="C3637" s="64">
        <v>42605</v>
      </c>
      <c r="D3637" s="64" t="s">
        <v>871</v>
      </c>
      <c r="E3637" s="64">
        <f t="shared" si="238"/>
        <v>42605</v>
      </c>
      <c r="F3637" s="72" t="s">
        <v>1094</v>
      </c>
      <c r="G3637" s="931" t="s">
        <v>1804</v>
      </c>
      <c r="H3637" s="72" t="s">
        <v>792</v>
      </c>
      <c r="I3637" s="408"/>
      <c r="J3637" s="408"/>
      <c r="K3637" s="399"/>
      <c r="L3637" s="408"/>
      <c r="M3637" s="65">
        <v>686627</v>
      </c>
      <c r="N3637" s="66" t="s">
        <v>99</v>
      </c>
      <c r="O3637" s="66" t="s">
        <v>61</v>
      </c>
      <c r="P3637" s="82" t="str">
        <f>IF(AND('331-CT'!$E$7=TH!H3637,OR(N3637="331",O3637="331")),"x","")</f>
        <v/>
      </c>
      <c r="Q3637" s="82" t="str">
        <f>IF(AND(B3637='111'!$L$11,OR($N3637=$Q$7,$O3637=$Q$7)),"x","")</f>
        <v/>
      </c>
      <c r="R3637" s="82" t="str">
        <f>IF(AND($N3637=$Q$7,$B3637&lt;'111'!$L$11),"x","")</f>
        <v/>
      </c>
      <c r="S3637" s="82" t="str">
        <f>IF(AND($O3637=$Q$7,$B3637&lt;'111'!$L$11),"x","")</f>
        <v>x</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customHeight="1">
      <c r="A3638" s="323" t="str">
        <f>IF(B3638&lt;&gt;"",IF(AND(B3638='IN-TC'!$S$4,OR(TH!N3638="1111",TH!O3638="1111")),TH!D3638,""),"")</f>
        <v/>
      </c>
      <c r="B3638" s="63">
        <f t="shared" si="239"/>
        <v>8</v>
      </c>
      <c r="C3638" s="64">
        <v>42605</v>
      </c>
      <c r="D3638" s="64" t="s">
        <v>871</v>
      </c>
      <c r="E3638" s="64">
        <f t="shared" si="238"/>
        <v>42605</v>
      </c>
      <c r="F3638" s="72" t="s">
        <v>1324</v>
      </c>
      <c r="G3638" s="931" t="s">
        <v>1804</v>
      </c>
      <c r="H3638" s="72" t="s">
        <v>792</v>
      </c>
      <c r="I3638" s="408"/>
      <c r="J3638" s="408"/>
      <c r="K3638" s="399"/>
      <c r="L3638" s="408"/>
      <c r="M3638" s="65">
        <v>68663</v>
      </c>
      <c r="N3638" s="82" t="s">
        <v>9</v>
      </c>
      <c r="O3638" s="66" t="s">
        <v>61</v>
      </c>
      <c r="P3638" s="82" t="str">
        <f>IF(AND('331-CT'!$E$7=TH!H3638,OR(N3638="331",O3638="331")),"x","")</f>
        <v/>
      </c>
      <c r="Q3638" s="82" t="str">
        <f>IF(AND(B3638='111'!$L$11,OR($N3638=$Q$7,$O3638=$Q$7)),"x","")</f>
        <v/>
      </c>
      <c r="R3638" s="82" t="str">
        <f>IF(AND($N3638=$Q$7,$B3638&lt;'111'!$L$11),"x","")</f>
        <v/>
      </c>
      <c r="S3638" s="82" t="str">
        <f>IF(AND($O3638=$Q$7,$B3638&lt;'111'!$L$11),"x","")</f>
        <v>x</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x</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customHeight="1">
      <c r="A3639" s="323" t="str">
        <f>IF(B3639&lt;&gt;"",IF(AND(B3639='IN-TC'!$S$4,OR(TH!N3639="1111",TH!O3639="1111")),TH!D3639,""),"")</f>
        <v/>
      </c>
      <c r="B3639" s="63">
        <f t="shared" si="239"/>
        <v>8</v>
      </c>
      <c r="C3639" s="64">
        <v>42605</v>
      </c>
      <c r="D3639" s="64" t="s">
        <v>893</v>
      </c>
      <c r="E3639" s="64">
        <f t="shared" si="238"/>
        <v>42605</v>
      </c>
      <c r="F3639" s="72" t="s">
        <v>1126</v>
      </c>
      <c r="G3639" s="67" t="s">
        <v>1544</v>
      </c>
      <c r="H3639" s="72" t="s">
        <v>748</v>
      </c>
      <c r="I3639" s="408"/>
      <c r="J3639" s="408"/>
      <c r="K3639" s="399"/>
      <c r="L3639" s="408"/>
      <c r="M3639" s="65">
        <v>1350000000</v>
      </c>
      <c r="N3639" s="66" t="s">
        <v>61</v>
      </c>
      <c r="O3639" s="66" t="s">
        <v>25</v>
      </c>
      <c r="P3639" s="82" t="str">
        <f>IF(AND('331-CT'!$E$7=TH!H3639,OR(N3639="331",O3639="331")),"x","")</f>
        <v/>
      </c>
      <c r="Q3639" s="82" t="str">
        <f>IF(AND(B3639='111'!$L$11,OR($N3639=$Q$7,$O3639=$Q$7)),"x","")</f>
        <v/>
      </c>
      <c r="R3639" s="82" t="str">
        <f>IF(AND($N3639=$Q$7,$B3639&lt;'111'!$L$11),"x","")</f>
        <v>x</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x</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customHeight="1">
      <c r="A3640" s="323" t="str">
        <f>IF(B3640&lt;&gt;"",IF(AND(B3640='IN-TC'!$S$4,OR(TH!N3640="1111",TH!O3640="1111")),TH!D3640,""),"")</f>
        <v/>
      </c>
      <c r="B3640" s="63">
        <f t="shared" si="239"/>
        <v>8</v>
      </c>
      <c r="C3640" s="64">
        <v>42606</v>
      </c>
      <c r="D3640" s="64" t="s">
        <v>872</v>
      </c>
      <c r="E3640" s="64">
        <f t="shared" si="238"/>
        <v>42606</v>
      </c>
      <c r="F3640" s="72" t="s">
        <v>1094</v>
      </c>
      <c r="G3640" s="931" t="s">
        <v>1805</v>
      </c>
      <c r="H3640" s="72" t="s">
        <v>792</v>
      </c>
      <c r="I3640" s="408"/>
      <c r="J3640" s="408"/>
      <c r="K3640" s="399"/>
      <c r="L3640" s="408"/>
      <c r="M3640" s="65">
        <v>584364</v>
      </c>
      <c r="N3640" s="66" t="s">
        <v>99</v>
      </c>
      <c r="O3640" s="66" t="s">
        <v>61</v>
      </c>
      <c r="P3640" s="82" t="str">
        <f>IF(AND('331-CT'!$E$7=TH!H3640,OR(N3640="331",O3640="331")),"x","")</f>
        <v/>
      </c>
      <c r="Q3640" s="82" t="str">
        <f>IF(AND(B3640='111'!$L$11,OR($N3640=$Q$7,$O3640=$Q$7)),"x","")</f>
        <v/>
      </c>
      <c r="R3640" s="82" t="str">
        <f>IF(AND($N3640=$Q$7,$B3640&lt;'111'!$L$11),"x","")</f>
        <v/>
      </c>
      <c r="S3640" s="82" t="str">
        <f>IF(AND($O3640=$Q$7,$B3640&lt;'111'!$L$11),"x","")</f>
        <v>x</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customHeight="1">
      <c r="A3641" s="323" t="str">
        <f>IF(B3641&lt;&gt;"",IF(AND(B3641='IN-TC'!$S$4,OR(TH!N3641="1111",TH!O3641="1111")),TH!D3641,""),"")</f>
        <v/>
      </c>
      <c r="B3641" s="63">
        <f t="shared" si="239"/>
        <v>8</v>
      </c>
      <c r="C3641" s="64">
        <v>42606</v>
      </c>
      <c r="D3641" s="64" t="s">
        <v>872</v>
      </c>
      <c r="E3641" s="64">
        <f t="shared" si="238"/>
        <v>42606</v>
      </c>
      <c r="F3641" s="72" t="s">
        <v>1324</v>
      </c>
      <c r="G3641" s="931" t="s">
        <v>1805</v>
      </c>
      <c r="H3641" s="72" t="s">
        <v>792</v>
      </c>
      <c r="I3641" s="408"/>
      <c r="J3641" s="408"/>
      <c r="K3641" s="399"/>
      <c r="L3641" s="408"/>
      <c r="M3641" s="65">
        <v>58436</v>
      </c>
      <c r="N3641" s="82" t="s">
        <v>9</v>
      </c>
      <c r="O3641" s="66" t="s">
        <v>61</v>
      </c>
      <c r="P3641" s="82" t="str">
        <f>IF(AND('331-CT'!$E$7=TH!H3641,OR(N3641="331",O3641="331")),"x","")</f>
        <v/>
      </c>
      <c r="Q3641" s="82" t="str">
        <f>IF(AND(B3641='111'!$L$11,OR($N3641=$Q$7,$O3641=$Q$7)),"x","")</f>
        <v/>
      </c>
      <c r="R3641" s="82" t="str">
        <f>IF(AND($N3641=$Q$7,$B3641&lt;'111'!$L$11),"x","")</f>
        <v/>
      </c>
      <c r="S3641" s="82" t="str">
        <f>IF(AND($O3641=$Q$7,$B3641&lt;'111'!$L$11),"x","")</f>
        <v>x</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x</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customHeight="1">
      <c r="A3642" s="323" t="str">
        <f>IF(B3642&lt;&gt;"",IF(AND(B3642='IN-TC'!$S$4,OR(TH!N3642="1111",TH!O3642="1111")),TH!D3642,""),"")</f>
        <v/>
      </c>
      <c r="B3642" s="63">
        <f t="shared" si="239"/>
        <v>8</v>
      </c>
      <c r="C3642" s="64">
        <v>42606</v>
      </c>
      <c r="D3642" s="64" t="s">
        <v>873</v>
      </c>
      <c r="E3642" s="64">
        <f t="shared" si="238"/>
        <v>42606</v>
      </c>
      <c r="F3642" s="72" t="s">
        <v>1087</v>
      </c>
      <c r="G3642" s="67" t="s">
        <v>901</v>
      </c>
      <c r="H3642" s="72" t="s">
        <v>748</v>
      </c>
      <c r="I3642" s="408"/>
      <c r="J3642" s="408"/>
      <c r="K3642" s="399"/>
      <c r="L3642" s="408"/>
      <c r="M3642" s="65">
        <v>50000000</v>
      </c>
      <c r="N3642" s="66" t="s">
        <v>25</v>
      </c>
      <c r="O3642" s="66" t="s">
        <v>61</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customHeight="1">
      <c r="A3643" s="323" t="str">
        <f>IF(B3643&lt;&gt;"",IF(AND(B3643='IN-TC'!$S$4,OR(TH!N3644="1111",TH!O3644="1111")),TH!D3644,""),"")</f>
        <v/>
      </c>
      <c r="B3643" s="63">
        <f t="shared" si="239"/>
        <v>8</v>
      </c>
      <c r="C3643" s="64">
        <v>42606</v>
      </c>
      <c r="D3643" s="64" t="s">
        <v>570</v>
      </c>
      <c r="E3643" s="64">
        <f t="shared" si="238"/>
        <v>42606</v>
      </c>
      <c r="F3643" s="72" t="s">
        <v>1874</v>
      </c>
      <c r="G3643" s="67" t="s">
        <v>1544</v>
      </c>
      <c r="H3643" s="72" t="s">
        <v>1538</v>
      </c>
      <c r="I3643" s="408"/>
      <c r="J3643" s="408"/>
      <c r="K3643" s="399">
        <v>169.59</v>
      </c>
      <c r="L3643" s="408">
        <v>22292</v>
      </c>
      <c r="M3643" s="65">
        <f>ROUND(K3643*L3643,0)</f>
        <v>3780500</v>
      </c>
      <c r="N3643" s="66" t="s">
        <v>99</v>
      </c>
      <c r="O3643" s="66" t="s">
        <v>576</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customHeight="1">
      <c r="A3644" s="323" t="str">
        <f>IF(B3644&lt;&gt;"",IF(AND(B3644='IN-TC'!$S$4,OR(TH!N3645="1111",TH!O3645="1111")),TH!D3645,""),"")</f>
        <v/>
      </c>
      <c r="B3644" s="63">
        <f t="shared" si="239"/>
        <v>8</v>
      </c>
      <c r="C3644" s="64">
        <v>42606</v>
      </c>
      <c r="D3644" s="64" t="s">
        <v>570</v>
      </c>
      <c r="E3644" s="64">
        <f t="shared" si="238"/>
        <v>42606</v>
      </c>
      <c r="F3644" s="72" t="s">
        <v>1049</v>
      </c>
      <c r="G3644" s="67" t="s">
        <v>1544</v>
      </c>
      <c r="H3644" s="72" t="s">
        <v>1538</v>
      </c>
      <c r="I3644" s="408"/>
      <c r="J3644" s="408"/>
      <c r="K3644" s="399"/>
      <c r="L3644" s="408"/>
      <c r="M3644" s="65">
        <v>2240000</v>
      </c>
      <c r="N3644" s="66" t="s">
        <v>576</v>
      </c>
      <c r="O3644" s="66" t="s">
        <v>41</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customHeight="1">
      <c r="A3645" s="323" t="str">
        <f>IF(B3645&lt;&gt;"",IF(AND(B3645='IN-TC'!$S$4,OR(TH!N3651="1111",TH!O3651="1111")),TH!D3651,""),"")</f>
        <v/>
      </c>
      <c r="B3645" s="63">
        <f t="shared" si="239"/>
        <v>8</v>
      </c>
      <c r="C3645" s="64">
        <v>42606</v>
      </c>
      <c r="D3645" s="64" t="s">
        <v>687</v>
      </c>
      <c r="E3645" s="64">
        <f t="shared" si="238"/>
        <v>42606</v>
      </c>
      <c r="F3645" s="72" t="s">
        <v>1436</v>
      </c>
      <c r="G3645" s="79" t="s">
        <v>902</v>
      </c>
      <c r="H3645" s="1103" t="s">
        <v>1525</v>
      </c>
      <c r="I3645" s="408"/>
      <c r="J3645" s="408"/>
      <c r="K3645" s="399">
        <v>6642.37</v>
      </c>
      <c r="L3645" s="408">
        <v>22270</v>
      </c>
      <c r="M3645" s="65">
        <f>ROUND(K3645*L3645,0)</f>
        <v>147925580</v>
      </c>
      <c r="N3645" s="82" t="s">
        <v>260</v>
      </c>
      <c r="O3645" s="82" t="s">
        <v>576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customHeight="1">
      <c r="A3646" s="323" t="str">
        <f>IF(B3646&lt;&gt;"",IF(AND(B3646='IN-TC'!$S$4,OR(TH!N3650="1111",TH!O3650="1111")),TH!D3650,""),"")</f>
        <v/>
      </c>
      <c r="B3646" s="63">
        <f t="shared" si="239"/>
        <v>8</v>
      </c>
      <c r="C3646" s="64">
        <v>42606</v>
      </c>
      <c r="D3646" s="64" t="s">
        <v>570</v>
      </c>
      <c r="E3646" s="64">
        <f t="shared" si="238"/>
        <v>42606</v>
      </c>
      <c r="F3646" s="72" t="s">
        <v>1499</v>
      </c>
      <c r="G3646" s="79" t="s">
        <v>902</v>
      </c>
      <c r="H3646" s="1103" t="s">
        <v>1525</v>
      </c>
      <c r="I3646" s="408"/>
      <c r="J3646" s="408"/>
      <c r="K3646" s="399">
        <v>5.2</v>
      </c>
      <c r="L3646" s="408">
        <v>22270</v>
      </c>
      <c r="M3646" s="65">
        <f>ROUND(K3646*L3646,0)</f>
        <v>115804</v>
      </c>
      <c r="N3646" s="82" t="s">
        <v>99</v>
      </c>
      <c r="O3646" s="82" t="s">
        <v>576</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customHeight="1">
      <c r="A3647" s="323" t="str">
        <f>IF(B3647&lt;&gt;"",IF(AND(B3647='IN-TC'!$S$4,OR(TH!N3652="1111",TH!O3652="1111")),TH!D3652,""),"")</f>
        <v/>
      </c>
      <c r="B3647" s="63">
        <f t="shared" si="239"/>
        <v>8</v>
      </c>
      <c r="C3647" s="64">
        <v>42606</v>
      </c>
      <c r="D3647" s="64" t="s">
        <v>570</v>
      </c>
      <c r="E3647" s="64">
        <f t="shared" si="238"/>
        <v>42606</v>
      </c>
      <c r="F3647" s="72" t="s">
        <v>1499</v>
      </c>
      <c r="G3647" s="79" t="s">
        <v>902</v>
      </c>
      <c r="H3647" s="1103" t="s">
        <v>1525</v>
      </c>
      <c r="I3647" s="408"/>
      <c r="J3647" s="408"/>
      <c r="K3647" s="399">
        <v>6.22</v>
      </c>
      <c r="L3647" s="408">
        <v>22270</v>
      </c>
      <c r="M3647" s="65">
        <f>ROUND(K3647*L3647,0)</f>
        <v>138519</v>
      </c>
      <c r="N3647" s="82" t="s">
        <v>99</v>
      </c>
      <c r="O3647" s="82" t="s">
        <v>576</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customHeight="1">
      <c r="A3648" s="323" t="str">
        <f>IF(B3648&lt;&gt;"",IF(AND(B3648='IN-TC'!$S$4,OR(TH!N3653="1111",TH!O3653="1111")),TH!D3653,""),"")</f>
        <v/>
      </c>
      <c r="B3648" s="63">
        <f t="shared" si="239"/>
        <v>8</v>
      </c>
      <c r="C3648" s="64">
        <v>42606</v>
      </c>
      <c r="D3648" s="64" t="s">
        <v>570</v>
      </c>
      <c r="E3648" s="64">
        <f t="shared" si="238"/>
        <v>42606</v>
      </c>
      <c r="F3648" s="72" t="s">
        <v>2198</v>
      </c>
      <c r="G3648" s="79" t="s">
        <v>902</v>
      </c>
      <c r="H3648" s="1103" t="s">
        <v>1525</v>
      </c>
      <c r="I3648" s="408"/>
      <c r="J3648" s="408"/>
      <c r="K3648" s="399">
        <v>330.59</v>
      </c>
      <c r="L3648" s="408">
        <v>22270</v>
      </c>
      <c r="M3648" s="65">
        <f>ROUND(K3648*L3648,0)</f>
        <v>7362239</v>
      </c>
      <c r="N3648" s="82" t="s">
        <v>576</v>
      </c>
      <c r="O3648" s="82" t="s">
        <v>101</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1" ht="15.75" customHeight="1">
      <c r="A3649" s="323" t="str">
        <f>IF(B3649&lt;&gt;"",IF(AND(B3649='IN-TC'!$S$4,OR(TH!N300="1111",TH!O300="1111")),TH!D300,""),"")</f>
        <v/>
      </c>
      <c r="B3649" s="63">
        <f t="shared" si="239"/>
        <v>11</v>
      </c>
      <c r="C3649" s="1087">
        <v>42684</v>
      </c>
      <c r="D3649" s="1087" t="s">
        <v>1657</v>
      </c>
      <c r="E3649" s="1087">
        <f t="shared" si="238"/>
        <v>42684</v>
      </c>
      <c r="F3649" s="1155" t="s">
        <v>1889</v>
      </c>
      <c r="G3649" s="1131" t="s">
        <v>2178</v>
      </c>
      <c r="H3649" s="92" t="s">
        <v>1538</v>
      </c>
      <c r="I3649" s="414">
        <v>10000</v>
      </c>
      <c r="J3649" s="1132">
        <v>7</v>
      </c>
      <c r="K3649" s="405">
        <f>I3649*J3649</f>
        <v>70000</v>
      </c>
      <c r="L3649" s="414">
        <v>22285</v>
      </c>
      <c r="M3649" s="1133">
        <f>ROUND(K3649*L3649,0)</f>
        <v>1559950000</v>
      </c>
      <c r="N3649" s="1134" t="s">
        <v>576</v>
      </c>
      <c r="O3649" s="1134" t="s">
        <v>292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1" ht="15.75" customHeight="1">
      <c r="A3650" s="323" t="str">
        <f>IF(B3650&lt;&gt;"",IF(AND(B3650='IN-TC'!$S$4,OR(TH!N3654="1111",TH!O3654="1111")),TH!D3654,""),"")</f>
        <v/>
      </c>
      <c r="B3650" s="63">
        <f t="shared" si="239"/>
        <v>8</v>
      </c>
      <c r="C3650" s="64">
        <v>42606</v>
      </c>
      <c r="D3650" s="64" t="s">
        <v>570</v>
      </c>
      <c r="E3650" s="64">
        <f t="shared" si="238"/>
        <v>42606</v>
      </c>
      <c r="F3650" s="72" t="s">
        <v>1049</v>
      </c>
      <c r="G3650" s="79" t="s">
        <v>902</v>
      </c>
      <c r="H3650" s="1103" t="s">
        <v>1525</v>
      </c>
      <c r="I3650" s="408"/>
      <c r="J3650" s="408"/>
      <c r="K3650" s="399"/>
      <c r="L3650" s="408"/>
      <c r="M3650" s="65">
        <v>521925</v>
      </c>
      <c r="N3650" s="82" t="s">
        <v>576</v>
      </c>
      <c r="O3650" s="82" t="s">
        <v>41</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1" ht="15.75" customHeight="1">
      <c r="A3651" s="323" t="str">
        <f>IF(B3651&lt;&gt;"",IF(AND(B3651='IN-TC'!$S$4,OR(TH!N26="1111",TH!O26="1111")),TH!D26,""),"")</f>
        <v/>
      </c>
      <c r="B3651" s="63">
        <f t="shared" si="239"/>
        <v>12</v>
      </c>
      <c r="C3651" s="78">
        <f>E3651</f>
        <v>42735</v>
      </c>
      <c r="D3651" s="78" t="s">
        <v>113</v>
      </c>
      <c r="E3651" s="78">
        <v>42735</v>
      </c>
      <c r="F3651" s="79" t="s">
        <v>3004</v>
      </c>
      <c r="G3651" s="79"/>
      <c r="H3651" s="310" t="s">
        <v>1525</v>
      </c>
      <c r="I3651" s="406"/>
      <c r="J3651" s="406"/>
      <c r="K3651" s="397">
        <v>11900</v>
      </c>
      <c r="L3651" s="406">
        <v>22330</v>
      </c>
      <c r="M3651" s="81">
        <f>L3651*K3651</f>
        <v>265727000</v>
      </c>
      <c r="N3651" s="84" t="s">
        <v>8</v>
      </c>
      <c r="O3651" s="82" t="s">
        <v>576</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1" ht="15.75" customHeight="1">
      <c r="A3652" s="323" t="str">
        <f>IF(B3652&lt;&gt;"",IF(AND(B3652='IN-TC'!$S$4,OR(TH!N3646="1111",TH!O3646="1111")),TH!D3646,""),"")</f>
        <v/>
      </c>
      <c r="B3652" s="63">
        <f t="shared" si="239"/>
        <v>8</v>
      </c>
      <c r="C3652" s="64">
        <v>42606</v>
      </c>
      <c r="D3652" s="64" t="s">
        <v>690</v>
      </c>
      <c r="E3652" s="64">
        <f t="shared" ref="E3652:E3686" si="240">C3652</f>
        <v>42606</v>
      </c>
      <c r="F3652" s="72" t="s">
        <v>1920</v>
      </c>
      <c r="G3652" s="67" t="s">
        <v>1544</v>
      </c>
      <c r="H3652" s="72" t="s">
        <v>1921</v>
      </c>
      <c r="I3652" s="408"/>
      <c r="J3652" s="408"/>
      <c r="K3652" s="399">
        <v>63000</v>
      </c>
      <c r="L3652" s="408">
        <v>22292</v>
      </c>
      <c r="M3652" s="65">
        <f>ROUND(K3652*L3652,0)</f>
        <v>1404396000</v>
      </c>
      <c r="N3652" s="66" t="s">
        <v>254</v>
      </c>
      <c r="O3652" s="66" t="s">
        <v>260</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1" ht="15.75" customHeight="1">
      <c r="A3653" s="323" t="str">
        <f>IF(B3653&lt;&gt;"",IF(AND(B3653='IN-TC'!$S$4,OR(TH!N3647="1111",TH!O3647="1111")),TH!D3647,""),"")</f>
        <v/>
      </c>
      <c r="B3653" s="63">
        <f t="shared" si="239"/>
        <v>8</v>
      </c>
      <c r="C3653" s="64">
        <v>42606</v>
      </c>
      <c r="D3653" s="64" t="s">
        <v>690</v>
      </c>
      <c r="E3653" s="64">
        <f t="shared" si="240"/>
        <v>42606</v>
      </c>
      <c r="F3653" s="72" t="s">
        <v>1919</v>
      </c>
      <c r="G3653" s="67" t="s">
        <v>1544</v>
      </c>
      <c r="H3653" s="72" t="s">
        <v>1922</v>
      </c>
      <c r="I3653" s="408"/>
      <c r="J3653" s="408"/>
      <c r="K3653" s="399">
        <v>10.5</v>
      </c>
      <c r="L3653" s="408">
        <v>22292</v>
      </c>
      <c r="M3653" s="65">
        <f>ROUND(K3653*L3653,0)</f>
        <v>234066</v>
      </c>
      <c r="N3653" s="66" t="s">
        <v>99</v>
      </c>
      <c r="O3653" s="66" t="s">
        <v>260</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1" ht="15.75" customHeight="1">
      <c r="A3654" s="323" t="str">
        <f>IF(B3654&lt;&gt;"",IF(AND(B3654='IN-TC'!$S$4,OR(TH!N3648="1111",TH!O3648="1111")),TH!D3648,""),"")</f>
        <v/>
      </c>
      <c r="B3654" s="63">
        <f t="shared" si="239"/>
        <v>8</v>
      </c>
      <c r="C3654" s="64">
        <v>42606</v>
      </c>
      <c r="D3654" s="64" t="s">
        <v>690</v>
      </c>
      <c r="E3654" s="64">
        <f t="shared" si="240"/>
        <v>42606</v>
      </c>
      <c r="F3654" s="72" t="s">
        <v>1767</v>
      </c>
      <c r="G3654" s="67" t="s">
        <v>1544</v>
      </c>
      <c r="H3654" s="72" t="s">
        <v>1923</v>
      </c>
      <c r="I3654" s="408"/>
      <c r="J3654" s="408"/>
      <c r="K3654" s="399">
        <v>387.5</v>
      </c>
      <c r="L3654" s="408">
        <v>22292</v>
      </c>
      <c r="M3654" s="65">
        <f>ROUND(K3654*L3654,0)</f>
        <v>8638150</v>
      </c>
      <c r="N3654" s="66" t="s">
        <v>97</v>
      </c>
      <c r="O3654" s="66" t="s">
        <v>260</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1" ht="15.75" customHeight="1">
      <c r="A3655" s="323" t="str">
        <f>IF(B3655&lt;&gt;"",IF(AND(B3655='IN-TC'!$S$4,OR(TH!N3655="1111",TH!O3655="1111")),TH!D3655,""),"")</f>
        <v/>
      </c>
      <c r="B3655" s="63">
        <f t="shared" si="239"/>
        <v>8</v>
      </c>
      <c r="C3655" s="64">
        <v>42606</v>
      </c>
      <c r="D3655" s="64" t="s">
        <v>690</v>
      </c>
      <c r="E3655" s="64">
        <f t="shared" si="240"/>
        <v>42606</v>
      </c>
      <c r="F3655" s="72" t="s">
        <v>1898</v>
      </c>
      <c r="G3655" s="67" t="s">
        <v>1544</v>
      </c>
      <c r="H3655" s="72" t="s">
        <v>1921</v>
      </c>
      <c r="I3655" s="408"/>
      <c r="J3655" s="408"/>
      <c r="K3655" s="399"/>
      <c r="L3655" s="408"/>
      <c r="M3655" s="65">
        <v>2063292</v>
      </c>
      <c r="N3655" s="66" t="s">
        <v>99</v>
      </c>
      <c r="O3655" s="66" t="s">
        <v>25</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x</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1" ht="15.75" customHeight="1">
      <c r="A3656" s="323" t="str">
        <f>IF(B3656&lt;&gt;"",IF(AND(B3656='IN-TC'!$S$4,OR(TH!N3656="1111",TH!O3656="1111")),TH!D3656,""),"")</f>
        <v/>
      </c>
      <c r="B3656" s="63">
        <f t="shared" si="239"/>
        <v>8</v>
      </c>
      <c r="C3656" s="64">
        <v>42606</v>
      </c>
      <c r="D3656" s="64" t="s">
        <v>690</v>
      </c>
      <c r="E3656" s="64">
        <f t="shared" si="240"/>
        <v>42606</v>
      </c>
      <c r="F3656" s="72" t="s">
        <v>1898</v>
      </c>
      <c r="G3656" s="67" t="s">
        <v>1544</v>
      </c>
      <c r="H3656" s="72" t="s">
        <v>1922</v>
      </c>
      <c r="I3656" s="408"/>
      <c r="J3656" s="408"/>
      <c r="K3656" s="399"/>
      <c r="L3656" s="408"/>
      <c r="M3656" s="65">
        <v>122815</v>
      </c>
      <c r="N3656" s="66" t="s">
        <v>99</v>
      </c>
      <c r="O3656" s="66" t="s">
        <v>25</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x</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1" ht="15.75" customHeight="1">
      <c r="A3657" s="323" t="str">
        <f>IF(B3657&lt;&gt;"",IF(AND(B3657='IN-TC'!$S$4,OR(TH!N3657="1111",TH!O3657="1111")),TH!D3657,""),"")</f>
        <v/>
      </c>
      <c r="B3657" s="63">
        <f t="shared" si="239"/>
        <v>8</v>
      </c>
      <c r="C3657" s="64">
        <v>42606</v>
      </c>
      <c r="D3657" s="64" t="s">
        <v>690</v>
      </c>
      <c r="E3657" s="64">
        <f t="shared" si="240"/>
        <v>42606</v>
      </c>
      <c r="F3657" s="72" t="s">
        <v>1909</v>
      </c>
      <c r="G3657" s="67" t="s">
        <v>901</v>
      </c>
      <c r="H3657" s="72" t="s">
        <v>1639</v>
      </c>
      <c r="I3657" s="408"/>
      <c r="J3657" s="408"/>
      <c r="K3657" s="399"/>
      <c r="L3657" s="408"/>
      <c r="M3657" s="65">
        <v>28690200</v>
      </c>
      <c r="N3657" s="66" t="s">
        <v>8</v>
      </c>
      <c r="O3657" s="66" t="s">
        <v>25</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1" ht="15.75" customHeight="1">
      <c r="A3658" s="323" t="str">
        <f>IF(B3658&lt;&gt;"",IF(AND(B3658='IN-TC'!$S$4,OR(TH!N3658="1111",TH!O3658="1111")),TH!D3658,""),"")</f>
        <v/>
      </c>
      <c r="B3658" s="63">
        <f t="shared" si="239"/>
        <v>8</v>
      </c>
      <c r="C3658" s="64">
        <v>42606</v>
      </c>
      <c r="D3658" s="64" t="s">
        <v>690</v>
      </c>
      <c r="E3658" s="64">
        <f t="shared" si="240"/>
        <v>42606</v>
      </c>
      <c r="F3658" s="72" t="s">
        <v>1179</v>
      </c>
      <c r="G3658" s="67" t="s">
        <v>901</v>
      </c>
      <c r="H3658" s="72"/>
      <c r="I3658" s="408"/>
      <c r="J3658" s="408"/>
      <c r="K3658" s="399"/>
      <c r="L3658" s="408"/>
      <c r="M3658" s="65">
        <v>40000</v>
      </c>
      <c r="N3658" s="66" t="s">
        <v>99</v>
      </c>
      <c r="O3658" s="66" t="s">
        <v>25</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1" ht="15.75" customHeight="1">
      <c r="A3659" s="323" t="str">
        <f>IF(B3659&lt;&gt;"",IF(AND(B3659='IN-TC'!$S$4,OR(TH!N3659="1111",TH!O3659="1111")),TH!D3659,""),"")</f>
        <v/>
      </c>
      <c r="B3659" s="63">
        <f t="shared" si="239"/>
        <v>8</v>
      </c>
      <c r="C3659" s="64">
        <v>42606</v>
      </c>
      <c r="D3659" s="64" t="s">
        <v>690</v>
      </c>
      <c r="E3659" s="64">
        <f t="shared" si="240"/>
        <v>42606</v>
      </c>
      <c r="F3659" s="72" t="s">
        <v>1180</v>
      </c>
      <c r="G3659" s="67" t="s">
        <v>901</v>
      </c>
      <c r="H3659" s="72"/>
      <c r="I3659" s="408"/>
      <c r="J3659" s="408"/>
      <c r="K3659" s="399"/>
      <c r="L3659" s="408"/>
      <c r="M3659" s="65">
        <v>4000</v>
      </c>
      <c r="N3659" s="82" t="s">
        <v>9</v>
      </c>
      <c r="O3659" s="66" t="s">
        <v>25</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x</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1" ht="15.75" customHeight="1">
      <c r="A3660" s="323" t="str">
        <f>IF(B3660&lt;&gt;"",IF(AND(B3660='IN-TC'!$S$4,OR(TH!N3660="1111",TH!O3660="1111")),TH!D3660,""),"")</f>
        <v/>
      </c>
      <c r="B3660" s="63">
        <f t="shared" si="239"/>
        <v>8</v>
      </c>
      <c r="C3660" s="64">
        <v>42607</v>
      </c>
      <c r="D3660" s="64" t="s">
        <v>687</v>
      </c>
      <c r="E3660" s="64">
        <f t="shared" si="240"/>
        <v>42607</v>
      </c>
      <c r="F3660" s="72" t="s">
        <v>1632</v>
      </c>
      <c r="G3660" s="67" t="s">
        <v>1544</v>
      </c>
      <c r="H3660" s="72" t="s">
        <v>1780</v>
      </c>
      <c r="I3660" s="408"/>
      <c r="J3660" s="408"/>
      <c r="K3660" s="399"/>
      <c r="L3660" s="408"/>
      <c r="M3660" s="65">
        <v>16442</v>
      </c>
      <c r="N3660" s="66" t="s">
        <v>25</v>
      </c>
      <c r="O3660" s="66" t="s">
        <v>41</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x</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1" ht="15.75" customHeight="1">
      <c r="A3661" s="1160" t="str">
        <f>IF(B3661&lt;&gt;"",IF(AND(B3661='IN-TC'!$S$4,OR(TH!N944="1111",TH!O944="1111")),TH!D944,""),"")</f>
        <v/>
      </c>
      <c r="B3661" s="948">
        <f t="shared" si="239"/>
        <v>11</v>
      </c>
      <c r="C3661" s="78">
        <v>42685</v>
      </c>
      <c r="D3661" s="78" t="s">
        <v>666</v>
      </c>
      <c r="E3661" s="78">
        <f t="shared" si="240"/>
        <v>42685</v>
      </c>
      <c r="F3661" s="80" t="s">
        <v>1161</v>
      </c>
      <c r="G3661" s="934" t="s">
        <v>2189</v>
      </c>
      <c r="H3661" s="310" t="s">
        <v>604</v>
      </c>
      <c r="I3661" s="406"/>
      <c r="J3661" s="406"/>
      <c r="K3661" s="397"/>
      <c r="L3661" s="406"/>
      <c r="M3661" s="81">
        <v>480000</v>
      </c>
      <c r="N3661" s="82" t="s">
        <v>9</v>
      </c>
      <c r="O3661" s="82" t="s">
        <v>8</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x</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c r="AE3661">
        <v>1</v>
      </c>
    </row>
    <row r="3662" spans="1:31" ht="15.75" customHeight="1">
      <c r="A3662" s="323" t="str">
        <f>IF(B3662&lt;&gt;"",IF(AND(B3662='IN-TC'!$S$4,OR(TH!N3662="1111",TH!O3662="1111")),TH!D3662,""),"")</f>
        <v/>
      </c>
      <c r="B3662" s="63">
        <f t="shared" si="239"/>
        <v>8</v>
      </c>
      <c r="C3662" s="64">
        <v>42608</v>
      </c>
      <c r="D3662" s="64" t="s">
        <v>875</v>
      </c>
      <c r="E3662" s="64">
        <f t="shared" si="240"/>
        <v>42608</v>
      </c>
      <c r="F3662" s="72" t="s">
        <v>218</v>
      </c>
      <c r="G3662" s="931" t="s">
        <v>1806</v>
      </c>
      <c r="H3662" s="329" t="s">
        <v>606</v>
      </c>
      <c r="I3662" s="408">
        <v>450</v>
      </c>
      <c r="J3662" s="408">
        <v>18060.607</v>
      </c>
      <c r="K3662" s="399"/>
      <c r="L3662" s="408"/>
      <c r="M3662" s="65">
        <f>ROUND(I3662*J3662,0)</f>
        <v>8127273</v>
      </c>
      <c r="N3662" s="66" t="s">
        <v>276</v>
      </c>
      <c r="O3662" s="66" t="s">
        <v>61</v>
      </c>
      <c r="P3662" s="82" t="str">
        <f>IF(AND('331-CT'!$E$7=TH!H3662,OR(N3662="331",O3662="331")),"x","")</f>
        <v/>
      </c>
      <c r="Q3662" s="82" t="str">
        <f>IF(AND(B3662='111'!$L$11,OR($N3662=$Q$7,$O3662=$Q$7)),"x","")</f>
        <v/>
      </c>
      <c r="R3662" s="82" t="str">
        <f>IF(AND($N3662=$Q$7,$B3662&lt;'111'!$L$11),"x","")</f>
        <v/>
      </c>
      <c r="S3662" s="82" t="str">
        <f>IF(AND($O3662=$Q$7,$B3662&lt;'111'!$L$11),"x","")</f>
        <v>x</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1" ht="15.75" customHeight="1">
      <c r="A3663" s="323" t="str">
        <f>IF(B3663&lt;&gt;"",IF(AND(B3663='IN-TC'!$S$4,OR(TH!N3663="1111",TH!O3663="1111")),TH!D3663,""),"")</f>
        <v/>
      </c>
      <c r="B3663" s="63">
        <f t="shared" si="239"/>
        <v>8</v>
      </c>
      <c r="C3663" s="64">
        <v>42608</v>
      </c>
      <c r="D3663" s="64" t="s">
        <v>875</v>
      </c>
      <c r="E3663" s="64">
        <f t="shared" si="240"/>
        <v>42608</v>
      </c>
      <c r="F3663" s="72" t="s">
        <v>1335</v>
      </c>
      <c r="G3663" s="931" t="s">
        <v>1806</v>
      </c>
      <c r="H3663" s="329" t="s">
        <v>606</v>
      </c>
      <c r="I3663" s="408"/>
      <c r="J3663" s="408"/>
      <c r="K3663" s="399"/>
      <c r="L3663" s="408"/>
      <c r="M3663" s="65">
        <v>812727</v>
      </c>
      <c r="N3663" s="82" t="s">
        <v>9</v>
      </c>
      <c r="O3663" s="66" t="s">
        <v>61</v>
      </c>
      <c r="P3663" s="82" t="str">
        <f>IF(AND('331-CT'!$E$7=TH!H3663,OR(N3663="331",O3663="331")),"x","")</f>
        <v/>
      </c>
      <c r="Q3663" s="82" t="str">
        <f>IF(AND(B3663='111'!$L$11,OR($N3663=$Q$7,$O3663=$Q$7)),"x","")</f>
        <v/>
      </c>
      <c r="R3663" s="82" t="str">
        <f>IF(AND($N3663=$Q$7,$B3663&lt;'111'!$L$11),"x","")</f>
        <v/>
      </c>
      <c r="S3663" s="82" t="str">
        <f>IF(AND($O3663=$Q$7,$B3663&lt;'111'!$L$11),"x","")</f>
        <v>x</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x</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1" ht="15.75" customHeight="1">
      <c r="A3664" s="323" t="str">
        <f>IF(B3664&lt;&gt;"",IF(AND(B3664='IN-TC'!$S$4,OR(TH!N3664="1111",TH!O3664="1111")),TH!D3664,""),"")</f>
        <v/>
      </c>
      <c r="B3664" s="63">
        <f t="shared" si="239"/>
        <v>8</v>
      </c>
      <c r="C3664" s="64">
        <v>42609</v>
      </c>
      <c r="D3664" s="64" t="s">
        <v>876</v>
      </c>
      <c r="E3664" s="64">
        <f t="shared" si="240"/>
        <v>42609</v>
      </c>
      <c r="F3664" s="72" t="s">
        <v>1808</v>
      </c>
      <c r="G3664" s="931" t="s">
        <v>1810</v>
      </c>
      <c r="H3664" s="72" t="s">
        <v>823</v>
      </c>
      <c r="I3664" s="408"/>
      <c r="J3664" s="408"/>
      <c r="K3664" s="399"/>
      <c r="L3664" s="408"/>
      <c r="M3664" s="65">
        <v>16050000</v>
      </c>
      <c r="N3664" s="66" t="s">
        <v>99</v>
      </c>
      <c r="O3664" s="66" t="s">
        <v>61</v>
      </c>
      <c r="P3664" s="82" t="str">
        <f>IF(AND('331-CT'!$E$7=TH!H3664,OR(N3664="331",O3664="331")),"x","")</f>
        <v/>
      </c>
      <c r="Q3664" s="82" t="str">
        <f>IF(AND(B3664='111'!$L$11,OR($N3664=$Q$7,$O3664=$Q$7)),"x","")</f>
        <v/>
      </c>
      <c r="R3664" s="82" t="str">
        <f>IF(AND($N3664=$Q$7,$B3664&lt;'111'!$L$11),"x","")</f>
        <v/>
      </c>
      <c r="S3664" s="82" t="str">
        <f>IF(AND($O3664=$Q$7,$B3664&lt;'111'!$L$11),"x","")</f>
        <v>x</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customHeight="1">
      <c r="A3665" s="323" t="str">
        <f>IF(B3665&lt;&gt;"",IF(AND(B3665='IN-TC'!$S$4,OR(TH!N3665="1111",TH!O3665="1111")),TH!D3665,""),"")</f>
        <v/>
      </c>
      <c r="B3665" s="63">
        <f t="shared" si="239"/>
        <v>8</v>
      </c>
      <c r="C3665" s="64">
        <v>42609</v>
      </c>
      <c r="D3665" s="64" t="s">
        <v>876</v>
      </c>
      <c r="E3665" s="64">
        <f t="shared" si="240"/>
        <v>42609</v>
      </c>
      <c r="F3665" s="72" t="s">
        <v>1809</v>
      </c>
      <c r="G3665" s="931" t="s">
        <v>1810</v>
      </c>
      <c r="H3665" s="72" t="s">
        <v>823</v>
      </c>
      <c r="I3665" s="408"/>
      <c r="J3665" s="408"/>
      <c r="K3665" s="399"/>
      <c r="L3665" s="408"/>
      <c r="M3665" s="65">
        <v>1605000</v>
      </c>
      <c r="N3665" s="82" t="s">
        <v>9</v>
      </c>
      <c r="O3665" s="66" t="s">
        <v>61</v>
      </c>
      <c r="P3665" s="82" t="str">
        <f>IF(AND('331-CT'!$E$7=TH!H3665,OR(N3665="331",O3665="331")),"x","")</f>
        <v/>
      </c>
      <c r="Q3665" s="82" t="str">
        <f>IF(AND(B3665='111'!$L$11,OR($N3665=$Q$7,$O3665=$Q$7)),"x","")</f>
        <v/>
      </c>
      <c r="R3665" s="82" t="str">
        <f>IF(AND($N3665=$Q$7,$B3665&lt;'111'!$L$11),"x","")</f>
        <v/>
      </c>
      <c r="S3665" s="82" t="str">
        <f>IF(AND($O3665=$Q$7,$B3665&lt;'111'!$L$11),"x","")</f>
        <v>x</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x</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customHeight="1">
      <c r="A3666" s="323" t="str">
        <f>IF(B3666&lt;&gt;"",IF(AND(B3666='IN-TC'!$S$4,OR(TH!N3666="1111",TH!O3666="1111")),TH!D3666,""),"")</f>
        <v/>
      </c>
      <c r="B3666" s="63">
        <f t="shared" si="239"/>
        <v>8</v>
      </c>
      <c r="C3666" s="64">
        <v>42610</v>
      </c>
      <c r="D3666" s="64" t="s">
        <v>877</v>
      </c>
      <c r="E3666" s="64">
        <f t="shared" si="240"/>
        <v>42610</v>
      </c>
      <c r="F3666" s="72" t="s">
        <v>756</v>
      </c>
      <c r="G3666" s="931" t="s">
        <v>1811</v>
      </c>
      <c r="H3666" s="72" t="s">
        <v>792</v>
      </c>
      <c r="I3666" s="408"/>
      <c r="J3666" s="408"/>
      <c r="K3666" s="399"/>
      <c r="L3666" s="408"/>
      <c r="M3666" s="65">
        <v>573845</v>
      </c>
      <c r="N3666" s="66" t="s">
        <v>99</v>
      </c>
      <c r="O3666" s="66" t="s">
        <v>61</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customHeight="1">
      <c r="A3667" s="323" t="str">
        <f>IF(B3667&lt;&gt;"",IF(AND(B3667='IN-TC'!$S$4,OR(TH!N3667="1111",TH!O3667="1111")),TH!D3667,""),"")</f>
        <v/>
      </c>
      <c r="B3667" s="63">
        <f t="shared" si="239"/>
        <v>8</v>
      </c>
      <c r="C3667" s="64">
        <v>42610</v>
      </c>
      <c r="D3667" s="64" t="s">
        <v>877</v>
      </c>
      <c r="E3667" s="64">
        <f t="shared" si="240"/>
        <v>42610</v>
      </c>
      <c r="F3667" s="72" t="s">
        <v>757</v>
      </c>
      <c r="G3667" s="931" t="s">
        <v>1811</v>
      </c>
      <c r="H3667" s="72" t="s">
        <v>792</v>
      </c>
      <c r="I3667" s="408"/>
      <c r="J3667" s="408"/>
      <c r="K3667" s="399"/>
      <c r="L3667" s="408"/>
      <c r="M3667" s="65">
        <v>57385</v>
      </c>
      <c r="N3667" s="82" t="s">
        <v>9</v>
      </c>
      <c r="O3667" s="66" t="s">
        <v>61</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x</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customHeight="1">
      <c r="A3668" s="323" t="str">
        <f>IF(B3668&lt;&gt;"",IF(AND(B3668='IN-TC'!$S$4,OR(TH!N3668="1111",TH!O3668="1111")),TH!D3668,""),"")</f>
        <v/>
      </c>
      <c r="B3668" s="63">
        <f t="shared" si="239"/>
        <v>8</v>
      </c>
      <c r="C3668" s="64">
        <v>42611</v>
      </c>
      <c r="D3668" s="64" t="s">
        <v>878</v>
      </c>
      <c r="E3668" s="64">
        <f t="shared" si="240"/>
        <v>42611</v>
      </c>
      <c r="F3668" s="72" t="s">
        <v>1789</v>
      </c>
      <c r="G3668" s="931" t="s">
        <v>1812</v>
      </c>
      <c r="H3668" s="72" t="s">
        <v>1089</v>
      </c>
      <c r="I3668" s="408"/>
      <c r="J3668" s="408"/>
      <c r="K3668" s="399"/>
      <c r="L3668" s="408"/>
      <c r="M3668" s="65">
        <v>1328700</v>
      </c>
      <c r="N3668" s="66" t="s">
        <v>99</v>
      </c>
      <c r="O3668" s="66" t="s">
        <v>61</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customHeight="1">
      <c r="A3669" s="323" t="str">
        <f>IF(B3669&lt;&gt;"",IF(AND(B3669='IN-TC'!$S$4,OR(TH!N3669="1111",TH!O3669="1111")),TH!D3669,""),"")</f>
        <v/>
      </c>
      <c r="B3669" s="63">
        <f t="shared" si="239"/>
        <v>8</v>
      </c>
      <c r="C3669" s="64">
        <v>42611</v>
      </c>
      <c r="D3669" s="64" t="s">
        <v>878</v>
      </c>
      <c r="E3669" s="64">
        <f t="shared" si="240"/>
        <v>42611</v>
      </c>
      <c r="F3669" s="72" t="s">
        <v>1790</v>
      </c>
      <c r="G3669" s="931" t="s">
        <v>1812</v>
      </c>
      <c r="H3669" s="72" t="s">
        <v>1089</v>
      </c>
      <c r="I3669" s="408"/>
      <c r="J3669" s="408"/>
      <c r="K3669" s="399"/>
      <c r="L3669" s="408"/>
      <c r="M3669" s="65">
        <v>132870</v>
      </c>
      <c r="N3669" s="82" t="s">
        <v>9</v>
      </c>
      <c r="O3669" s="66" t="s">
        <v>61</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x</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customHeight="1">
      <c r="A3670" s="323" t="str">
        <f>IF(B3670&lt;&gt;"",IF(AND(B3670='IN-TC'!$S$4,OR(TH!N3676="1111",TH!O3676="1111")),TH!D3676,""),"")</f>
        <v/>
      </c>
      <c r="B3670" s="63">
        <f t="shared" si="239"/>
        <v>8</v>
      </c>
      <c r="C3670" s="64">
        <v>42611</v>
      </c>
      <c r="D3670" s="64" t="s">
        <v>879</v>
      </c>
      <c r="E3670" s="64">
        <f t="shared" si="240"/>
        <v>42611</v>
      </c>
      <c r="F3670" s="72" t="s">
        <v>1087</v>
      </c>
      <c r="G3670" s="67" t="s">
        <v>1544</v>
      </c>
      <c r="H3670" s="72" t="s">
        <v>748</v>
      </c>
      <c r="I3670" s="408"/>
      <c r="J3670" s="408"/>
      <c r="K3670" s="399"/>
      <c r="L3670" s="408"/>
      <c r="M3670" s="65">
        <v>1800000000</v>
      </c>
      <c r="N3670" s="66" t="s">
        <v>25</v>
      </c>
      <c r="O3670" s="66" t="s">
        <v>61</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x</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customHeight="1">
      <c r="A3671" s="323" t="str">
        <f>IF(B3671&lt;&gt;"",IF(AND(B3671='IN-TC'!$S$4,OR(TH!N3670="1111",TH!O3670="1111")),TH!D3670,""),"")</f>
        <v/>
      </c>
      <c r="B3671" s="63">
        <f t="shared" si="239"/>
        <v>8</v>
      </c>
      <c r="C3671" s="64">
        <v>42611</v>
      </c>
      <c r="D3671" s="64" t="s">
        <v>690</v>
      </c>
      <c r="E3671" s="64">
        <f t="shared" si="240"/>
        <v>42611</v>
      </c>
      <c r="F3671" s="72" t="s">
        <v>1648</v>
      </c>
      <c r="G3671" s="67" t="s">
        <v>1900</v>
      </c>
      <c r="H3671" s="72"/>
      <c r="I3671" s="408"/>
      <c r="J3671" s="408"/>
      <c r="K3671" s="399">
        <v>6700</v>
      </c>
      <c r="L3671" s="408">
        <v>22260</v>
      </c>
      <c r="M3671" s="65">
        <f>ROUND(K3671*L3671,0)</f>
        <v>149142000</v>
      </c>
      <c r="N3671" s="66" t="s">
        <v>260</v>
      </c>
      <c r="O3671" s="66" t="s">
        <v>260</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customHeight="1">
      <c r="A3672" s="323" t="str">
        <f>IF(B3672&lt;&gt;"",IF(AND(B3672='IN-TC'!$S$4,OR(TH!N3671="1111",TH!O3671="1111")),TH!D3671,""),"")</f>
        <v/>
      </c>
      <c r="B3672" s="63">
        <f t="shared" si="239"/>
        <v>8</v>
      </c>
      <c r="C3672" s="64">
        <v>42611</v>
      </c>
      <c r="D3672" s="64" t="s">
        <v>690</v>
      </c>
      <c r="E3672" s="64">
        <f t="shared" si="240"/>
        <v>42611</v>
      </c>
      <c r="F3672" s="72" t="s">
        <v>1899</v>
      </c>
      <c r="G3672" s="67" t="s">
        <v>1544</v>
      </c>
      <c r="H3672" s="72"/>
      <c r="I3672" s="408"/>
      <c r="J3672" s="408"/>
      <c r="K3672" s="399">
        <v>3.3</v>
      </c>
      <c r="L3672" s="408">
        <v>22260</v>
      </c>
      <c r="M3672" s="65">
        <f>ROUND(K3672*L3672,0)</f>
        <v>73458</v>
      </c>
      <c r="N3672" s="66" t="s">
        <v>99</v>
      </c>
      <c r="O3672" s="66" t="s">
        <v>260</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customHeight="1">
      <c r="A3673" s="323" t="str">
        <f>IF(B3673&lt;&gt;"",IF(AND(B3673='IN-TC'!$S$4,OR(TH!N3672="1111",TH!O3672="1111")),TH!D3672,""),"")</f>
        <v/>
      </c>
      <c r="B3673" s="63">
        <f t="shared" si="239"/>
        <v>8</v>
      </c>
      <c r="C3673" s="64">
        <v>42611</v>
      </c>
      <c r="D3673" s="64" t="s">
        <v>690</v>
      </c>
      <c r="E3673" s="64">
        <f t="shared" si="240"/>
        <v>42611</v>
      </c>
      <c r="F3673" s="72" t="s">
        <v>1425</v>
      </c>
      <c r="G3673" s="79" t="s">
        <v>908</v>
      </c>
      <c r="H3673" s="72"/>
      <c r="I3673" s="408"/>
      <c r="J3673" s="408"/>
      <c r="K3673" s="399">
        <v>8600</v>
      </c>
      <c r="L3673" s="408">
        <v>22295</v>
      </c>
      <c r="M3673" s="65">
        <f>ROUND(K3673*L3673,0)</f>
        <v>191737000</v>
      </c>
      <c r="N3673" s="66" t="s">
        <v>25</v>
      </c>
      <c r="O3673" s="82" t="s">
        <v>260</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customHeight="1">
      <c r="A3674" s="323" t="str">
        <f>IF(B3674&lt;&gt;"",IF(AND(B3674='IN-TC'!$S$4,OR(TH!N3673="1111",TH!O3673="1111")),TH!D3673,""),"")</f>
        <v/>
      </c>
      <c r="B3674" s="63">
        <f t="shared" si="239"/>
        <v>8</v>
      </c>
      <c r="C3674" s="64">
        <v>42611</v>
      </c>
      <c r="D3674" s="64" t="s">
        <v>690</v>
      </c>
      <c r="E3674" s="64">
        <f t="shared" si="240"/>
        <v>42611</v>
      </c>
      <c r="F3674" s="72" t="s">
        <v>1181</v>
      </c>
      <c r="G3674" s="67" t="s">
        <v>1901</v>
      </c>
      <c r="H3674" s="72"/>
      <c r="I3674" s="408"/>
      <c r="J3674" s="408"/>
      <c r="K3674" s="399"/>
      <c r="L3674" s="408"/>
      <c r="M3674" s="65">
        <v>210000000</v>
      </c>
      <c r="N3674" s="66" t="s">
        <v>25</v>
      </c>
      <c r="O3674" s="66" t="s">
        <v>25</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x</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customHeight="1">
      <c r="A3675" s="323" t="str">
        <f>IF(B3675&lt;&gt;"",IF(AND(B3675='IN-TC'!$S$4,OR(TH!N3674="1111",TH!O3674="1111")),TH!D3674,""),"")</f>
        <v/>
      </c>
      <c r="B3675" s="63">
        <f t="shared" si="239"/>
        <v>8</v>
      </c>
      <c r="C3675" s="64">
        <v>42611</v>
      </c>
      <c r="D3675" s="64" t="s">
        <v>690</v>
      </c>
      <c r="E3675" s="64">
        <f t="shared" si="240"/>
        <v>42611</v>
      </c>
      <c r="F3675" s="72" t="s">
        <v>1179</v>
      </c>
      <c r="G3675" s="67" t="s">
        <v>901</v>
      </c>
      <c r="H3675" s="72"/>
      <c r="I3675" s="408"/>
      <c r="J3675" s="408"/>
      <c r="K3675" s="399"/>
      <c r="L3675" s="408"/>
      <c r="M3675" s="65">
        <v>63000</v>
      </c>
      <c r="N3675" s="66" t="s">
        <v>99</v>
      </c>
      <c r="O3675" s="66" t="s">
        <v>25</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customHeight="1">
      <c r="A3676" s="323" t="str">
        <f>IF(B3676&lt;&gt;"",IF(AND(B3676='IN-TC'!$S$4,OR(TH!N3675="1111",TH!O3675="1111")),TH!D3675,""),"")</f>
        <v/>
      </c>
      <c r="B3676" s="63">
        <f t="shared" si="239"/>
        <v>8</v>
      </c>
      <c r="C3676" s="64">
        <v>42611</v>
      </c>
      <c r="D3676" s="64" t="s">
        <v>690</v>
      </c>
      <c r="E3676" s="64">
        <f t="shared" si="240"/>
        <v>42611</v>
      </c>
      <c r="F3676" s="72" t="s">
        <v>1180</v>
      </c>
      <c r="G3676" s="67" t="s">
        <v>901</v>
      </c>
      <c r="H3676" s="72"/>
      <c r="I3676" s="408"/>
      <c r="J3676" s="408"/>
      <c r="K3676" s="399"/>
      <c r="L3676" s="408"/>
      <c r="M3676" s="65">
        <v>6300</v>
      </c>
      <c r="N3676" s="66" t="s">
        <v>9</v>
      </c>
      <c r="O3676" s="66" t="s">
        <v>25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x</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customHeight="1">
      <c r="A3677" s="323" t="str">
        <f>IF(B3677&lt;&gt;"",IF(AND(B3677='IN-TC'!$S$4,OR(TH!N3677="1111",TH!O3677="1111")),TH!D3677,""),"")</f>
        <v/>
      </c>
      <c r="B3677" s="63">
        <f t="shared" si="239"/>
        <v>8</v>
      </c>
      <c r="C3677" s="64">
        <v>42612</v>
      </c>
      <c r="D3677" s="64" t="s">
        <v>880</v>
      </c>
      <c r="E3677" s="64">
        <f t="shared" si="240"/>
        <v>42612</v>
      </c>
      <c r="F3677" s="72" t="s">
        <v>1341</v>
      </c>
      <c r="G3677" s="67"/>
      <c r="H3677" s="72" t="s">
        <v>1343</v>
      </c>
      <c r="I3677" s="408"/>
      <c r="J3677" s="408"/>
      <c r="K3677" s="399"/>
      <c r="L3677" s="408"/>
      <c r="M3677" s="65">
        <v>245455</v>
      </c>
      <c r="N3677" s="66" t="s">
        <v>99</v>
      </c>
      <c r="O3677" s="66" t="s">
        <v>61</v>
      </c>
      <c r="P3677" s="82" t="str">
        <f>IF(AND('331-CT'!$E$7=TH!H3677,OR(N3677="331",O3677="331")),"x","")</f>
        <v/>
      </c>
      <c r="Q3677" s="82" t="str">
        <f>IF(AND(B3677='111'!$L$11,OR($N3677=$Q$7,$O3677=$Q$7)),"x","")</f>
        <v/>
      </c>
      <c r="R3677" s="82" t="str">
        <f>IF(AND($N3677=$Q$7,$B3677&lt;'111'!$L$11),"x","")</f>
        <v/>
      </c>
      <c r="S3677" s="82" t="str">
        <f>IF(AND($O3677=$Q$7,$B3677&lt;'111'!$L$11),"x","")</f>
        <v>x</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customHeight="1">
      <c r="A3678" s="323" t="str">
        <f>IF(B3678&lt;&gt;"",IF(AND(B3678='IN-TC'!$S$4,OR(TH!N3678="1111",TH!O3678="1111")),TH!D3678,""),"")</f>
        <v/>
      </c>
      <c r="B3678" s="63">
        <f t="shared" si="239"/>
        <v>8</v>
      </c>
      <c r="C3678" s="64">
        <v>42612</v>
      </c>
      <c r="D3678" s="64" t="s">
        <v>880</v>
      </c>
      <c r="E3678" s="64">
        <f t="shared" si="240"/>
        <v>42612</v>
      </c>
      <c r="F3678" s="72" t="s">
        <v>1342</v>
      </c>
      <c r="G3678" s="67"/>
      <c r="H3678" s="72" t="s">
        <v>1343</v>
      </c>
      <c r="I3678" s="408"/>
      <c r="J3678" s="408"/>
      <c r="K3678" s="399"/>
      <c r="L3678" s="408"/>
      <c r="M3678" s="65">
        <v>24545</v>
      </c>
      <c r="N3678" s="82" t="s">
        <v>9</v>
      </c>
      <c r="O3678" s="66" t="s">
        <v>61</v>
      </c>
      <c r="P3678" s="82" t="str">
        <f>IF(AND('331-CT'!$E$7=TH!H3678,OR(N3678="331",O3678="331")),"x","")</f>
        <v/>
      </c>
      <c r="Q3678" s="82" t="str">
        <f>IF(AND(B3678='111'!$L$11,OR($N3678=$Q$7,$O3678=$Q$7)),"x","")</f>
        <v/>
      </c>
      <c r="R3678" s="82" t="str">
        <f>IF(AND($N3678=$Q$7,$B3678&lt;'111'!$L$11),"x","")</f>
        <v/>
      </c>
      <c r="S3678" s="82" t="str">
        <f>IF(AND($O3678=$Q$7,$B3678&lt;'111'!$L$11),"x","")</f>
        <v>x</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x</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customHeight="1">
      <c r="A3679" s="323" t="str">
        <f>IF(B3679&lt;&gt;"",IF(AND(B3679='IN-TC'!$S$4,OR(TH!N3681="1111",TH!O3681="1111")),TH!D3681,""),"")</f>
        <v/>
      </c>
      <c r="B3679" s="63">
        <f t="shared" si="239"/>
        <v>8</v>
      </c>
      <c r="C3679" s="64">
        <v>42612</v>
      </c>
      <c r="D3679" s="64" t="s">
        <v>687</v>
      </c>
      <c r="E3679" s="64">
        <f t="shared" si="240"/>
        <v>42612</v>
      </c>
      <c r="F3679" s="72" t="s">
        <v>1924</v>
      </c>
      <c r="G3679" s="67" t="s">
        <v>1544</v>
      </c>
      <c r="H3679" s="72" t="s">
        <v>1925</v>
      </c>
      <c r="I3679" s="408"/>
      <c r="J3679" s="408"/>
      <c r="K3679" s="399">
        <v>89500</v>
      </c>
      <c r="L3679" s="408">
        <v>22308</v>
      </c>
      <c r="M3679" s="65">
        <f>ROUND(K3679*L3679,0)</f>
        <v>1996566000</v>
      </c>
      <c r="N3679" s="66" t="s">
        <v>260</v>
      </c>
      <c r="O3679" s="66" t="s">
        <v>254</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customHeight="1">
      <c r="A3680" s="323" t="str">
        <f>IF(B3680&lt;&gt;"",IF(AND(B3680='IN-TC'!$S$4,OR(TH!N3682="1111",TH!O3682="1111")),TH!D3682,""),"")</f>
        <v/>
      </c>
      <c r="B3680" s="63">
        <f t="shared" si="239"/>
        <v>8</v>
      </c>
      <c r="C3680" s="64">
        <v>42612</v>
      </c>
      <c r="D3680" s="64" t="s">
        <v>687</v>
      </c>
      <c r="E3680" s="64">
        <f t="shared" si="240"/>
        <v>42612</v>
      </c>
      <c r="F3680" s="72" t="s">
        <v>1425</v>
      </c>
      <c r="G3680" s="67" t="s">
        <v>1544</v>
      </c>
      <c r="H3680" s="72"/>
      <c r="I3680" s="408"/>
      <c r="J3680" s="408"/>
      <c r="K3680" s="399">
        <v>89500</v>
      </c>
      <c r="L3680" s="408">
        <v>22308</v>
      </c>
      <c r="M3680" s="65">
        <f>ROUND(K3680*L3680,0)</f>
        <v>1996566000</v>
      </c>
      <c r="N3680" s="66" t="s">
        <v>25</v>
      </c>
      <c r="O3680" s="66" t="s">
        <v>260</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x</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customHeight="1">
      <c r="A3681" s="323" t="str">
        <f>IF(B3681&lt;&gt;"",IF(AND(B3681='IN-TC'!$S$4,OR(TH!N3679="1111",TH!O3679="1111")),TH!D3679,""),"")</f>
        <v/>
      </c>
      <c r="B3681" s="63">
        <f t="shared" si="239"/>
        <v>8</v>
      </c>
      <c r="C3681" s="64">
        <v>42612</v>
      </c>
      <c r="D3681" s="64" t="s">
        <v>690</v>
      </c>
      <c r="E3681" s="64">
        <f t="shared" si="240"/>
        <v>42612</v>
      </c>
      <c r="F3681" s="72" t="s">
        <v>1170</v>
      </c>
      <c r="G3681" s="67" t="s">
        <v>1544</v>
      </c>
      <c r="H3681" s="922" t="s">
        <v>1860</v>
      </c>
      <c r="I3681" s="408"/>
      <c r="J3681" s="408"/>
      <c r="K3681" s="399">
        <v>89000</v>
      </c>
      <c r="L3681" s="408">
        <v>22308</v>
      </c>
      <c r="M3681" s="65">
        <f>ROUND(K3681*L3681,0)</f>
        <v>1985412000</v>
      </c>
      <c r="N3681" s="66" t="s">
        <v>254</v>
      </c>
      <c r="O3681" s="66" t="s">
        <v>25</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x</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customHeight="1">
      <c r="A3682" s="323" t="str">
        <f>IF(B3682&lt;&gt;"",IF(AND(B3682='IN-TC'!$S$4,OR(TH!N3680="1111",TH!O3680="1111")),TH!D3680,""),"")</f>
        <v/>
      </c>
      <c r="B3682" s="63">
        <f t="shared" si="239"/>
        <v>8</v>
      </c>
      <c r="C3682" s="64">
        <v>42612</v>
      </c>
      <c r="D3682" s="64" t="s">
        <v>690</v>
      </c>
      <c r="E3682" s="64">
        <f t="shared" si="240"/>
        <v>42612</v>
      </c>
      <c r="F3682" s="72" t="s">
        <v>1865</v>
      </c>
      <c r="G3682" s="67" t="s">
        <v>1544</v>
      </c>
      <c r="H3682" s="922" t="s">
        <v>1860</v>
      </c>
      <c r="I3682" s="408"/>
      <c r="J3682" s="408"/>
      <c r="K3682" s="399"/>
      <c r="L3682" s="408"/>
      <c r="M3682" s="65">
        <v>6991959</v>
      </c>
      <c r="N3682" s="66" t="s">
        <v>97</v>
      </c>
      <c r="O3682" s="66" t="s">
        <v>25</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x</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customHeight="1">
      <c r="A3683" s="323" t="str">
        <f>IF(B3683&lt;&gt;"",IF(AND(B3683='IN-TC'!$S$4,OR(TH!N3685="1111",TH!O3685="1111")),TH!D3685,""),"")</f>
        <v/>
      </c>
      <c r="B3683" s="63">
        <f t="shared" si="239"/>
        <v>8</v>
      </c>
      <c r="C3683" s="64">
        <v>42612</v>
      </c>
      <c r="D3683" s="64" t="s">
        <v>690</v>
      </c>
      <c r="E3683" s="64">
        <f t="shared" si="240"/>
        <v>42612</v>
      </c>
      <c r="F3683" s="72" t="s">
        <v>1530</v>
      </c>
      <c r="G3683" s="67" t="s">
        <v>1544</v>
      </c>
      <c r="H3683" s="72" t="s">
        <v>1780</v>
      </c>
      <c r="I3683" s="408"/>
      <c r="J3683" s="408"/>
      <c r="K3683" s="399"/>
      <c r="L3683" s="408"/>
      <c r="M3683" s="65">
        <v>10000</v>
      </c>
      <c r="N3683" s="66" t="s">
        <v>99</v>
      </c>
      <c r="O3683" s="66" t="s">
        <v>25</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x</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customHeight="1">
      <c r="A3684" s="323" t="str">
        <f>IF(B3684&lt;&gt;"",IF(AND(B3684='IN-TC'!$S$4,OR(TH!N3686="1111",TH!O3686="1111")),TH!D3686,""),"")</f>
        <v/>
      </c>
      <c r="B3684" s="63">
        <f t="shared" si="239"/>
        <v>8</v>
      </c>
      <c r="C3684" s="64">
        <v>42612</v>
      </c>
      <c r="D3684" s="64" t="s">
        <v>690</v>
      </c>
      <c r="E3684" s="64">
        <f t="shared" si="240"/>
        <v>42612</v>
      </c>
      <c r="F3684" s="72" t="s">
        <v>1531</v>
      </c>
      <c r="G3684" s="67" t="s">
        <v>1544</v>
      </c>
      <c r="H3684" s="72" t="s">
        <v>1780</v>
      </c>
      <c r="I3684" s="408"/>
      <c r="J3684" s="408"/>
      <c r="K3684" s="399"/>
      <c r="L3684" s="408"/>
      <c r="M3684" s="65">
        <v>1000</v>
      </c>
      <c r="N3684" s="82" t="s">
        <v>9</v>
      </c>
      <c r="O3684" s="66" t="s">
        <v>25</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x</v>
      </c>
      <c r="W3684" s="82" t="str">
        <f>IF(AND('341-CT'!$H$9=H3684,OR(LEFT(N3684,3)=$W$7,LEFT(O3684,3)=$W$7)),"x","")</f>
        <v/>
      </c>
      <c r="X3684" s="82" t="str">
        <f>IF(OR(TH!N3684=TH!$X$7,O3684=TH!$X$7),"x","")</f>
        <v>x</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customHeight="1">
      <c r="A3685" s="323" t="str">
        <f>IF(B3685&lt;&gt;"",IF(AND(B3685='IN-TC'!$S$4,OR(TH!N3683="1111",TH!O3683="1111")),TH!D3683,""),"")</f>
        <v/>
      </c>
      <c r="B3685" s="63">
        <f t="shared" si="239"/>
        <v>8</v>
      </c>
      <c r="C3685" s="64">
        <v>42612</v>
      </c>
      <c r="D3685" s="64" t="s">
        <v>900</v>
      </c>
      <c r="E3685" s="64">
        <f t="shared" si="240"/>
        <v>42612</v>
      </c>
      <c r="F3685" s="72" t="s">
        <v>1126</v>
      </c>
      <c r="G3685" s="67" t="s">
        <v>1544</v>
      </c>
      <c r="H3685" s="72" t="s">
        <v>748</v>
      </c>
      <c r="I3685" s="408"/>
      <c r="J3685" s="408"/>
      <c r="K3685" s="399"/>
      <c r="L3685" s="408"/>
      <c r="M3685" s="65">
        <v>2000000000</v>
      </c>
      <c r="N3685" s="66" t="s">
        <v>61</v>
      </c>
      <c r="O3685" s="66" t="s">
        <v>25</v>
      </c>
      <c r="P3685" s="82" t="str">
        <f>IF(AND('331-CT'!$E$7=TH!H3685,OR(N3685="331",O3685="331")),"x","")</f>
        <v/>
      </c>
      <c r="Q3685" s="82" t="str">
        <f>IF(AND(B3685='111'!$L$11,OR($N3685=$Q$7,$O3685=$Q$7)),"x","")</f>
        <v/>
      </c>
      <c r="R3685" s="82" t="str">
        <f>IF(AND($N3685=$Q$7,$B3685&lt;'111'!$L$11),"x","")</f>
        <v>x</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x</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customHeight="1">
      <c r="A3686" s="323" t="str">
        <f>IF(B3686&lt;&gt;"",IF(AND(B3686='IN-TC'!$S$4,OR(TH!N4476="1111",TH!O4476="1111")),TH!D4476,""),"")</f>
        <v/>
      </c>
      <c r="B3686" s="63">
        <f t="shared" si="239"/>
        <v>12</v>
      </c>
      <c r="C3686" s="64">
        <v>42723</v>
      </c>
      <c r="D3686" s="64" t="s">
        <v>690</v>
      </c>
      <c r="E3686" s="64">
        <f t="shared" si="240"/>
        <v>42723</v>
      </c>
      <c r="F3686" s="72" t="s">
        <v>1532</v>
      </c>
      <c r="G3686" s="67" t="s">
        <v>901</v>
      </c>
      <c r="H3686" s="72" t="s">
        <v>1198</v>
      </c>
      <c r="I3686" s="408"/>
      <c r="J3686" s="408"/>
      <c r="K3686" s="399"/>
      <c r="L3686" s="408"/>
      <c r="M3686" s="65">
        <v>2078000000</v>
      </c>
      <c r="N3686" s="66" t="s">
        <v>8</v>
      </c>
      <c r="O3686" s="66" t="s">
        <v>25</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customHeight="1">
      <c r="A3687" s="323" t="str">
        <f>IF(B3687&lt;&gt;"",IF(AND(B3687='IN-TC'!$S$4,OR(TH!N3687="1111",TH!O3687="1111")),TH!D3687,""),"")</f>
        <v/>
      </c>
      <c r="B3687" s="63">
        <f t="shared" si="239"/>
        <v>8</v>
      </c>
      <c r="C3687" s="78">
        <v>42613</v>
      </c>
      <c r="D3687" s="78" t="s">
        <v>881</v>
      </c>
      <c r="E3687" s="78">
        <v>42613</v>
      </c>
      <c r="F3687" s="80" t="s">
        <v>1912</v>
      </c>
      <c r="G3687" s="934" t="s">
        <v>1915</v>
      </c>
      <c r="H3687" s="80" t="s">
        <v>1916</v>
      </c>
      <c r="I3687" s="406"/>
      <c r="J3687" s="406"/>
      <c r="K3687" s="397"/>
      <c r="L3687" s="406"/>
      <c r="M3687" s="81">
        <v>2569100</v>
      </c>
      <c r="N3687" s="82" t="s">
        <v>579</v>
      </c>
      <c r="O3687" s="82" t="s">
        <v>61</v>
      </c>
      <c r="P3687" s="82" t="str">
        <f>IF(AND('331-CT'!$E$7=TH!H3687,OR(N3687="331",O3687="331")),"x","")</f>
        <v/>
      </c>
      <c r="Q3687" s="82" t="str">
        <f>IF(AND(B3687='111'!$L$11,OR($N3687=$Q$7,$O3687=$Q$7)),"x","")</f>
        <v/>
      </c>
      <c r="R3687" s="82" t="str">
        <f>IF(AND($N3687=$Q$7,$B3687&lt;'111'!$L$11),"x","")</f>
        <v/>
      </c>
      <c r="S3687" s="82" t="str">
        <f>IF(AND($O3687=$Q$7,$B3687&lt;'111'!$L$11),"x","")</f>
        <v>x</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customHeight="1">
      <c r="A3688" s="323" t="str">
        <f>IF(B3688&lt;&gt;"",IF(AND(B3688='IN-TC'!$S$4,OR(TH!N3688="1111",TH!O3688="1111")),TH!D3688,""),"")</f>
        <v/>
      </c>
      <c r="B3688" s="63">
        <f t="shared" si="239"/>
        <v>8</v>
      </c>
      <c r="C3688" s="78">
        <v>42613</v>
      </c>
      <c r="D3688" s="78" t="s">
        <v>881</v>
      </c>
      <c r="E3688" s="78">
        <v>42613</v>
      </c>
      <c r="F3688" s="80" t="s">
        <v>1913</v>
      </c>
      <c r="G3688" s="934" t="s">
        <v>1915</v>
      </c>
      <c r="H3688" s="80" t="s">
        <v>1916</v>
      </c>
      <c r="I3688" s="406"/>
      <c r="J3688" s="406"/>
      <c r="K3688" s="397"/>
      <c r="L3688" s="406"/>
      <c r="M3688" s="81">
        <v>256910</v>
      </c>
      <c r="N3688" s="82" t="s">
        <v>9</v>
      </c>
      <c r="O3688" s="82" t="s">
        <v>61</v>
      </c>
      <c r="P3688" s="82" t="str">
        <f>IF(AND('331-CT'!$E$7=TH!H3688,OR(N3688="331",O3688="331")),"x","")</f>
        <v/>
      </c>
      <c r="Q3688" s="82" t="str">
        <f>IF(AND(B3688='111'!$L$11,OR($N3688=$Q$7,$O3688=$Q$7)),"x","")</f>
        <v/>
      </c>
      <c r="R3688" s="82" t="str">
        <f>IF(AND($N3688=$Q$7,$B3688&lt;'111'!$L$11),"x","")</f>
        <v/>
      </c>
      <c r="S3688" s="82" t="str">
        <f>IF(AND($O3688=$Q$7,$B3688&lt;'111'!$L$11),"x","")</f>
        <v>x</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x</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customHeight="1">
      <c r="A3689" s="323" t="str">
        <f>IF(B3689&lt;&gt;"",IF(AND(B3689='IN-TC'!$S$4,OR(TH!N3689="1111",TH!O3689="1111")),TH!D3689,""),"")</f>
        <v/>
      </c>
      <c r="B3689" s="63">
        <f t="shared" si="239"/>
        <v>8</v>
      </c>
      <c r="C3689" s="90">
        <v>42613</v>
      </c>
      <c r="D3689" s="90" t="s">
        <v>882</v>
      </c>
      <c r="E3689" s="90">
        <f>C3689</f>
        <v>42613</v>
      </c>
      <c r="F3689" s="92" t="s">
        <v>1928</v>
      </c>
      <c r="G3689" s="91"/>
      <c r="H3689" s="92" t="s">
        <v>832</v>
      </c>
      <c r="I3689" s="414"/>
      <c r="J3689" s="414"/>
      <c r="K3689" s="405"/>
      <c r="L3689" s="414"/>
      <c r="M3689" s="93">
        <v>104092694</v>
      </c>
      <c r="N3689" s="83" t="s">
        <v>580</v>
      </c>
      <c r="O3689" s="83" t="s">
        <v>61</v>
      </c>
      <c r="P3689" s="82" t="str">
        <f>IF(AND('331-CT'!$E$7=TH!H3689,OR(N3689="331",O3689="331")),"x","")</f>
        <v/>
      </c>
      <c r="Q3689" s="82" t="str">
        <f>IF(AND(B3689='111'!$L$11,OR($N3689=$Q$7,$O3689=$Q$7)),"x","")</f>
        <v/>
      </c>
      <c r="R3689" s="82" t="str">
        <f>IF(AND($N3689=$Q$7,$B3689&lt;'111'!$L$11),"x","")</f>
        <v/>
      </c>
      <c r="S3689" s="82" t="str">
        <f>IF(AND($O3689=$Q$7,$B3689&lt;'111'!$L$11),"x","")</f>
        <v>x</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customHeight="1">
      <c r="A3690" s="323" t="str">
        <f>IF(B3690&lt;&gt;"",IF(AND(B3690='IN-TC'!$S$4,OR(TH!N3690="1111",TH!O3690="1111")),TH!D3690,""),"")</f>
        <v/>
      </c>
      <c r="B3690" s="63">
        <f t="shared" si="239"/>
        <v>8</v>
      </c>
      <c r="C3690" s="64">
        <v>42613</v>
      </c>
      <c r="D3690" s="64" t="s">
        <v>690</v>
      </c>
      <c r="E3690" s="64">
        <f>C3690</f>
        <v>42613</v>
      </c>
      <c r="F3690" s="72" t="s">
        <v>1425</v>
      </c>
      <c r="G3690" s="67" t="s">
        <v>903</v>
      </c>
      <c r="H3690" s="72"/>
      <c r="I3690" s="408"/>
      <c r="J3690" s="408"/>
      <c r="K3690" s="399">
        <v>6700</v>
      </c>
      <c r="L3690" s="408">
        <v>22280</v>
      </c>
      <c r="M3690" s="65">
        <f>ROUND(K3690*L3690,0)</f>
        <v>149276000</v>
      </c>
      <c r="N3690" s="66" t="s">
        <v>25</v>
      </c>
      <c r="O3690" s="66" t="s">
        <v>260</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customHeight="1">
      <c r="A3691" s="323" t="str">
        <f>IF(B3691&lt;&gt;"",IF(AND(B3691='IN-TC'!$S$4,OR(TH!N4222="1111",TH!O4222="1111")),TH!D4222,""),"")</f>
        <v/>
      </c>
      <c r="B3691" s="63">
        <f t="shared" si="239"/>
        <v>11</v>
      </c>
      <c r="C3691" s="64">
        <v>42697</v>
      </c>
      <c r="D3691" s="64" t="s">
        <v>690</v>
      </c>
      <c r="E3691" s="64">
        <f>C3691</f>
        <v>42697</v>
      </c>
      <c r="F3691" s="72" t="s">
        <v>2457</v>
      </c>
      <c r="G3691" s="67" t="s">
        <v>1544</v>
      </c>
      <c r="H3691" s="72" t="s">
        <v>617</v>
      </c>
      <c r="I3691" s="408"/>
      <c r="J3691" s="408"/>
      <c r="K3691" s="399"/>
      <c r="L3691" s="408"/>
      <c r="M3691" s="65">
        <v>31233070</v>
      </c>
      <c r="N3691" s="66" t="s">
        <v>8</v>
      </c>
      <c r="O3691" s="66" t="s">
        <v>25</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x</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customHeight="1">
      <c r="A3692" s="323" t="str">
        <f>IF(B3692&lt;&gt;"",IF(AND(B3692='IN-TC'!$S$4,OR(TH!N3692="1111",TH!O3692="1111")),TH!D3692,""),"")</f>
        <v/>
      </c>
      <c r="B3692" s="63">
        <f t="shared" si="239"/>
        <v>8</v>
      </c>
      <c r="C3692" s="64">
        <v>42613</v>
      </c>
      <c r="D3692" s="64" t="s">
        <v>690</v>
      </c>
      <c r="E3692" s="64">
        <f>C3692</f>
        <v>42613</v>
      </c>
      <c r="F3692" s="72" t="s">
        <v>1179</v>
      </c>
      <c r="G3692" s="67" t="s">
        <v>902</v>
      </c>
      <c r="H3692" s="72"/>
      <c r="I3692" s="408"/>
      <c r="J3692" s="408"/>
      <c r="K3692" s="399"/>
      <c r="L3692" s="408"/>
      <c r="M3692" s="65">
        <v>25000</v>
      </c>
      <c r="N3692" s="66" t="s">
        <v>99</v>
      </c>
      <c r="O3692" s="66" t="s">
        <v>25</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customHeight="1">
      <c r="A3693" s="323" t="str">
        <f>IF(B3693&lt;&gt;"",IF(AND(B3693='IN-TC'!$S$4,OR(TH!N3693="1111",TH!O3693="1111")),TH!D3693,""),"")</f>
        <v/>
      </c>
      <c r="B3693" s="63">
        <f t="shared" si="239"/>
        <v>8</v>
      </c>
      <c r="C3693" s="64">
        <v>42613</v>
      </c>
      <c r="D3693" s="64" t="s">
        <v>690</v>
      </c>
      <c r="E3693" s="64">
        <f>C3693</f>
        <v>42613</v>
      </c>
      <c r="F3693" s="72" t="s">
        <v>1180</v>
      </c>
      <c r="G3693" s="67" t="s">
        <v>902</v>
      </c>
      <c r="H3693" s="72"/>
      <c r="I3693" s="408"/>
      <c r="J3693" s="408"/>
      <c r="K3693" s="399"/>
      <c r="L3693" s="408"/>
      <c r="M3693" s="65">
        <v>2500</v>
      </c>
      <c r="N3693" s="82" t="s">
        <v>9</v>
      </c>
      <c r="O3693" s="66" t="s">
        <v>25</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x</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customHeight="1">
      <c r="A3694" s="323" t="str">
        <f>IF(B3694&lt;&gt;"",IF(AND(B3694='IN-TC'!$S$4,OR(TH!N3747="1111",TH!O3747="1111")),TH!D3747,""),"")</f>
        <v/>
      </c>
      <c r="B3694" s="63">
        <f t="shared" ref="B3694:B3757" si="241">IF(C3694&lt;&gt;"",MONTH(C3694),"")</f>
        <v>9</v>
      </c>
      <c r="C3694" s="64">
        <v>42614</v>
      </c>
      <c r="D3694" s="64" t="s">
        <v>852</v>
      </c>
      <c r="E3694" s="64">
        <v>42590</v>
      </c>
      <c r="F3694" s="72" t="s">
        <v>2017</v>
      </c>
      <c r="G3694" s="931" t="s">
        <v>2019</v>
      </c>
      <c r="H3694" s="72" t="s">
        <v>1410</v>
      </c>
      <c r="I3694" s="408"/>
      <c r="J3694" s="408"/>
      <c r="K3694" s="399"/>
      <c r="L3694" s="408"/>
      <c r="M3694" s="65">
        <v>140000</v>
      </c>
      <c r="N3694" s="66" t="s">
        <v>99</v>
      </c>
      <c r="O3694" s="66" t="s">
        <v>61</v>
      </c>
      <c r="P3694" s="82" t="str">
        <f>IF(AND('331-CT'!$E$7=TH!H3694,OR(N3694="331",O3694="331")),"x","")</f>
        <v/>
      </c>
      <c r="Q3694" s="82" t="str">
        <f>IF(AND(B3694='111'!$L$11,OR($N3694=$Q$7,$O3694=$Q$7)),"x","")</f>
        <v/>
      </c>
      <c r="R3694" s="82" t="str">
        <f>IF(AND($N3694=$Q$7,$B3694&lt;'111'!$L$11),"x","")</f>
        <v/>
      </c>
      <c r="S3694" s="82" t="str">
        <f>IF(AND($O3694=$Q$7,$B3694&lt;'111'!$L$11),"x","")</f>
        <v>x</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customHeight="1">
      <c r="A3695" s="323" t="str">
        <f>IF(B3695&lt;&gt;"",IF(AND(B3695='IN-TC'!$S$4,OR(TH!N3748="1111",TH!O3748="1111")),TH!D3748,""),"")</f>
        <v/>
      </c>
      <c r="B3695" s="63">
        <f t="shared" si="241"/>
        <v>9</v>
      </c>
      <c r="C3695" s="64">
        <v>42614</v>
      </c>
      <c r="D3695" s="64" t="s">
        <v>852</v>
      </c>
      <c r="E3695" s="64">
        <v>42590</v>
      </c>
      <c r="F3695" s="72" t="s">
        <v>2018</v>
      </c>
      <c r="G3695" s="931" t="s">
        <v>2019</v>
      </c>
      <c r="H3695" s="72" t="s">
        <v>1410</v>
      </c>
      <c r="I3695" s="408"/>
      <c r="J3695" s="408"/>
      <c r="K3695" s="399"/>
      <c r="L3695" s="408"/>
      <c r="M3695" s="65">
        <v>7000</v>
      </c>
      <c r="N3695" s="66" t="s">
        <v>9</v>
      </c>
      <c r="O3695" s="66" t="s">
        <v>61</v>
      </c>
      <c r="P3695" s="82" t="str">
        <f>IF(AND('331-CT'!$E$7=TH!H3695,OR(N3695="331",O3695="331")),"x","")</f>
        <v/>
      </c>
      <c r="Q3695" s="82" t="str">
        <f>IF(AND(B3695='111'!$L$11,OR($N3695=$Q$7,$O3695=$Q$7)),"x","")</f>
        <v/>
      </c>
      <c r="R3695" s="82" t="str">
        <f>IF(AND($N3695=$Q$7,$B3695&lt;'111'!$L$11),"x","")</f>
        <v/>
      </c>
      <c r="S3695" s="82" t="str">
        <f>IF(AND($O3695=$Q$7,$B3695&lt;'111'!$L$11),"x","")</f>
        <v>x</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x</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customHeight="1">
      <c r="A3696" s="323" t="str">
        <f>IF(B3696&lt;&gt;"",IF(AND(B3696='IN-TC'!$S$4,OR(TH!N3694="1111",TH!O3694="1111")),TH!D3694,""),"")</f>
        <v/>
      </c>
      <c r="B3696" s="63">
        <f t="shared" si="241"/>
        <v>9</v>
      </c>
      <c r="C3696" s="64">
        <v>42614</v>
      </c>
      <c r="D3696" s="64" t="s">
        <v>851</v>
      </c>
      <c r="E3696" s="64">
        <f>C3696</f>
        <v>42614</v>
      </c>
      <c r="F3696" s="72" t="s">
        <v>2014</v>
      </c>
      <c r="G3696" s="931" t="s">
        <v>2015</v>
      </c>
      <c r="H3696" s="72" t="s">
        <v>1410</v>
      </c>
      <c r="I3696" s="408"/>
      <c r="J3696" s="408"/>
      <c r="K3696" s="399"/>
      <c r="L3696" s="408"/>
      <c r="M3696" s="65">
        <v>380000</v>
      </c>
      <c r="N3696" s="66" t="s">
        <v>99</v>
      </c>
      <c r="O3696" s="66" t="s">
        <v>61</v>
      </c>
      <c r="P3696" s="82" t="str">
        <f>IF(AND('331-CT'!$E$7=TH!H3696,OR(N3696="331",O3696="331")),"x","")</f>
        <v/>
      </c>
      <c r="Q3696" s="82" t="str">
        <f>IF(AND(B3696='111'!$L$11,OR($N3696=$Q$7,$O3696=$Q$7)),"x","")</f>
        <v/>
      </c>
      <c r="R3696" s="82" t="str">
        <f>IF(AND($N3696=$Q$7,$B3696&lt;'111'!$L$11),"x","")</f>
        <v/>
      </c>
      <c r="S3696" s="82" t="str">
        <f>IF(AND($O3696=$Q$7,$B3696&lt;'111'!$L$11),"x","")</f>
        <v>x</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customHeight="1">
      <c r="A3697" s="323" t="str">
        <f>IF(B3697&lt;&gt;"",IF(AND(B3697='IN-TC'!$S$4,OR(TH!N3695="1111",TH!O3695="1111")),TH!D3695,""),"")</f>
        <v/>
      </c>
      <c r="B3697" s="63">
        <f t="shared" si="241"/>
        <v>9</v>
      </c>
      <c r="C3697" s="64">
        <v>42614</v>
      </c>
      <c r="D3697" s="64" t="s">
        <v>851</v>
      </c>
      <c r="E3697" s="64">
        <f>C3697</f>
        <v>42614</v>
      </c>
      <c r="F3697" s="72" t="s">
        <v>2016</v>
      </c>
      <c r="G3697" s="931" t="s">
        <v>2015</v>
      </c>
      <c r="H3697" s="72" t="s">
        <v>1410</v>
      </c>
      <c r="I3697" s="408"/>
      <c r="J3697" s="408"/>
      <c r="K3697" s="399"/>
      <c r="L3697" s="408"/>
      <c r="M3697" s="65">
        <v>19000</v>
      </c>
      <c r="N3697" s="66" t="s">
        <v>9</v>
      </c>
      <c r="O3697" s="66" t="s">
        <v>61</v>
      </c>
      <c r="P3697" s="82" t="str">
        <f>IF(AND('331-CT'!$E$7=TH!H3697,OR(N3697="331",O3697="331")),"x","")</f>
        <v/>
      </c>
      <c r="Q3697" s="82" t="str">
        <f>IF(AND(B3697='111'!$L$11,OR($N3697=$Q$7,$O3697=$Q$7)),"x","")</f>
        <v/>
      </c>
      <c r="R3697" s="82" t="str">
        <f>IF(AND($N3697=$Q$7,$B3697&lt;'111'!$L$11),"x","")</f>
        <v/>
      </c>
      <c r="S3697" s="82" t="str">
        <f>IF(AND($O3697=$Q$7,$B3697&lt;'111'!$L$11),"x","")</f>
        <v>x</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x</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customHeight="1">
      <c r="A3698" s="323" t="str">
        <f>IF(B3698&lt;&gt;"",IF(AND(B3698='IN-TC'!$S$4,OR(TH!N3749="1111",TH!O3749="1111")),TH!D3749,""),"")</f>
        <v/>
      </c>
      <c r="B3698" s="63">
        <f t="shared" si="241"/>
        <v>9</v>
      </c>
      <c r="C3698" s="64">
        <v>42614</v>
      </c>
      <c r="D3698" s="64" t="s">
        <v>853</v>
      </c>
      <c r="E3698" s="64">
        <v>42597</v>
      </c>
      <c r="F3698" s="72" t="s">
        <v>2020</v>
      </c>
      <c r="G3698" s="931" t="s">
        <v>2022</v>
      </c>
      <c r="H3698" s="72" t="s">
        <v>2023</v>
      </c>
      <c r="I3698" s="408"/>
      <c r="J3698" s="408"/>
      <c r="K3698" s="399"/>
      <c r="L3698" s="408"/>
      <c r="M3698" s="65">
        <v>2000000</v>
      </c>
      <c r="N3698" s="66" t="s">
        <v>99</v>
      </c>
      <c r="O3698" s="66" t="s">
        <v>61</v>
      </c>
      <c r="P3698" s="82" t="str">
        <f>IF(AND('331-CT'!$E$7=TH!H3698,OR(N3698="331",O3698="331")),"x","")</f>
        <v/>
      </c>
      <c r="Q3698" s="82" t="str">
        <f>IF(AND(B3698='111'!$L$11,OR($N3698=$Q$7,$O3698=$Q$7)),"x","")</f>
        <v/>
      </c>
      <c r="R3698" s="82" t="str">
        <f>IF(AND($N3698=$Q$7,$B3698&lt;'111'!$L$11),"x","")</f>
        <v/>
      </c>
      <c r="S3698" s="82" t="str">
        <f>IF(AND($O3698=$Q$7,$B3698&lt;'111'!$L$11),"x","")</f>
        <v>x</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customHeight="1">
      <c r="A3699" s="323" t="str">
        <f>IF(B3699&lt;&gt;"",IF(AND(B3699='IN-TC'!$S$4,OR(TH!N3750="1111",TH!O3750="1111")),TH!D3750,""),"")</f>
        <v/>
      </c>
      <c r="B3699" s="63">
        <f t="shared" si="241"/>
        <v>9</v>
      </c>
      <c r="C3699" s="64">
        <v>42614</v>
      </c>
      <c r="D3699" s="64" t="s">
        <v>853</v>
      </c>
      <c r="E3699" s="64">
        <v>42597</v>
      </c>
      <c r="F3699" s="72" t="s">
        <v>2021</v>
      </c>
      <c r="G3699" s="931" t="s">
        <v>2022</v>
      </c>
      <c r="H3699" s="72" t="s">
        <v>2023</v>
      </c>
      <c r="I3699" s="408"/>
      <c r="J3699" s="408"/>
      <c r="K3699" s="399"/>
      <c r="L3699" s="408"/>
      <c r="M3699" s="65">
        <v>100000</v>
      </c>
      <c r="N3699" s="66" t="s">
        <v>9</v>
      </c>
      <c r="O3699" s="66" t="s">
        <v>61</v>
      </c>
      <c r="P3699" s="82" t="str">
        <f>IF(AND('331-CT'!$E$7=TH!H3699,OR(N3699="331",O3699="331")),"x","")</f>
        <v/>
      </c>
      <c r="Q3699" s="82" t="str">
        <f>IF(AND(B3699='111'!$L$11,OR($N3699=$Q$7,$O3699=$Q$7)),"x","")</f>
        <v/>
      </c>
      <c r="R3699" s="82" t="str">
        <f>IF(AND($N3699=$Q$7,$B3699&lt;'111'!$L$11),"x","")</f>
        <v/>
      </c>
      <c r="S3699" s="82" t="str">
        <f>IF(AND($O3699=$Q$7,$B3699&lt;'111'!$L$11),"x","")</f>
        <v>x</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x</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customHeight="1">
      <c r="A3700" s="323" t="str">
        <f>IF(B3700&lt;&gt;"",IF(AND(B3700='IN-TC'!$S$4,OR(TH!N3751="1111",TH!O3751="1111")),TH!D3751,""),"")</f>
        <v/>
      </c>
      <c r="B3700" s="63">
        <f t="shared" si="241"/>
        <v>9</v>
      </c>
      <c r="C3700" s="1092">
        <v>42614</v>
      </c>
      <c r="D3700" s="1092" t="s">
        <v>854</v>
      </c>
      <c r="E3700" s="1092">
        <f t="shared" ref="E3700:E3705" si="242">C3700</f>
        <v>42614</v>
      </c>
      <c r="F3700" s="482" t="s">
        <v>947</v>
      </c>
      <c r="G3700" s="1094"/>
      <c r="H3700" s="1093" t="s">
        <v>946</v>
      </c>
      <c r="I3700" s="1095"/>
      <c r="J3700" s="1095"/>
      <c r="K3700" s="1096"/>
      <c r="L3700" s="1095"/>
      <c r="M3700" s="1097">
        <v>500000000</v>
      </c>
      <c r="N3700" s="1098" t="s">
        <v>266</v>
      </c>
      <c r="O3700" s="1098" t="s">
        <v>61</v>
      </c>
      <c r="P3700" s="82" t="str">
        <f>IF(AND('331-CT'!$E$7=TH!H3700,OR(N3700="331",O3700="331")),"x","")</f>
        <v/>
      </c>
      <c r="Q3700" s="82" t="str">
        <f>IF(AND(B3700='111'!$L$11,OR($N3700=$Q$7,$O3700=$Q$7)),"x","")</f>
        <v/>
      </c>
      <c r="R3700" s="82" t="str">
        <f>IF(AND($N3700=$Q$7,$B3700&lt;'111'!$L$11),"x","")</f>
        <v/>
      </c>
      <c r="S3700" s="82" t="str">
        <f>IF(AND($O3700=$Q$7,$B3700&lt;'111'!$L$11),"x","")</f>
        <v>x</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customHeight="1">
      <c r="A3701" s="323" t="str">
        <f>IF(B3701&lt;&gt;"",IF(AND(B3701='IN-TC'!$S$4,OR(TH!N3701="1111",TH!O3701="1111")),TH!D3701,""),"")</f>
        <v/>
      </c>
      <c r="B3701" s="63">
        <f t="shared" si="241"/>
        <v>9</v>
      </c>
      <c r="C3701" s="64">
        <v>42614</v>
      </c>
      <c r="D3701" s="64" t="s">
        <v>687</v>
      </c>
      <c r="E3701" s="64">
        <f t="shared" si="242"/>
        <v>42614</v>
      </c>
      <c r="F3701" s="72" t="s">
        <v>1902</v>
      </c>
      <c r="G3701" s="67" t="s">
        <v>1544</v>
      </c>
      <c r="H3701" s="72" t="s">
        <v>1780</v>
      </c>
      <c r="I3701" s="408"/>
      <c r="J3701" s="408"/>
      <c r="K3701" s="399">
        <v>231.24</v>
      </c>
      <c r="L3701" s="408">
        <v>22330</v>
      </c>
      <c r="M3701" s="65">
        <f>ROUND(K3701*L3701,0)</f>
        <v>5163589</v>
      </c>
      <c r="N3701" s="66" t="s">
        <v>260</v>
      </c>
      <c r="O3701" s="66" t="s">
        <v>25</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x</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customHeight="1">
      <c r="A3702" s="323" t="str">
        <f>IF(B3702&lt;&gt;"",IF(AND(B3702='IN-TC'!$S$4,OR(TH!N3730="1111",TH!O3730="1111")),TH!D3730,""),"")</f>
        <v/>
      </c>
      <c r="B3702" s="63">
        <f t="shared" si="241"/>
        <v>9</v>
      </c>
      <c r="C3702" s="64">
        <v>42614</v>
      </c>
      <c r="D3702" s="64" t="s">
        <v>690</v>
      </c>
      <c r="E3702" s="64">
        <f t="shared" si="242"/>
        <v>42614</v>
      </c>
      <c r="F3702" s="72" t="s">
        <v>2009</v>
      </c>
      <c r="G3702" s="67" t="s">
        <v>1544</v>
      </c>
      <c r="H3702" s="72" t="s">
        <v>1780</v>
      </c>
      <c r="I3702" s="408"/>
      <c r="J3702" s="408"/>
      <c r="K3702" s="399">
        <v>0.03</v>
      </c>
      <c r="L3702" s="408">
        <v>22330</v>
      </c>
      <c r="M3702" s="65">
        <f>ROUND(K3702*L3702,0)</f>
        <v>670</v>
      </c>
      <c r="N3702" s="66" t="s">
        <v>97</v>
      </c>
      <c r="O3702" s="66" t="s">
        <v>260</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customHeight="1">
      <c r="A3703" s="323" t="str">
        <f>IF(B3703&lt;&gt;"",IF(AND(B3703='IN-TC'!$S$4,OR(TH!N3731="1111",TH!O3731="1111")),TH!D3731,""),"")</f>
        <v/>
      </c>
      <c r="B3703" s="63">
        <f t="shared" si="241"/>
        <v>9</v>
      </c>
      <c r="C3703" s="90">
        <v>42614</v>
      </c>
      <c r="D3703" s="90" t="s">
        <v>690</v>
      </c>
      <c r="E3703" s="90">
        <f t="shared" si="242"/>
        <v>42614</v>
      </c>
      <c r="F3703" s="72" t="s">
        <v>2008</v>
      </c>
      <c r="G3703" s="91" t="s">
        <v>1544</v>
      </c>
      <c r="H3703" s="92" t="s">
        <v>1780</v>
      </c>
      <c r="I3703" s="414"/>
      <c r="J3703" s="414"/>
      <c r="K3703" s="405">
        <v>231.21</v>
      </c>
      <c r="L3703" s="414">
        <v>22330</v>
      </c>
      <c r="M3703" s="93">
        <f>ROUND(K3703*L3703,0)</f>
        <v>5162919</v>
      </c>
      <c r="N3703" s="83" t="s">
        <v>97</v>
      </c>
      <c r="O3703" s="83" t="s">
        <v>260</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customHeight="1">
      <c r="A3704" s="323" t="str">
        <f>IF(B3704&lt;&gt;"",IF(AND(B3704='IN-TC'!$S$4,OR(TH!N3752="1111",TH!O3752="1111")),TH!D3752,""),"")</f>
        <v/>
      </c>
      <c r="B3704" s="63">
        <f t="shared" si="241"/>
        <v>9</v>
      </c>
      <c r="C3704" s="1092">
        <v>42616</v>
      </c>
      <c r="D3704" s="1092" t="s">
        <v>855</v>
      </c>
      <c r="E3704" s="1092">
        <f t="shared" si="242"/>
        <v>42616</v>
      </c>
      <c r="F3704" s="482" t="s">
        <v>947</v>
      </c>
      <c r="G3704" s="1094"/>
      <c r="H3704" s="1093" t="s">
        <v>946</v>
      </c>
      <c r="I3704" s="1095"/>
      <c r="J3704" s="1095"/>
      <c r="K3704" s="1096"/>
      <c r="L3704" s="1095"/>
      <c r="M3704" s="1097">
        <v>500000000</v>
      </c>
      <c r="N3704" s="1098" t="s">
        <v>266</v>
      </c>
      <c r="O3704" s="1098" t="s">
        <v>61</v>
      </c>
      <c r="P3704" s="82" t="str">
        <f>IF(AND('331-CT'!$E$7=TH!H3704,OR(N3704="331",O3704="331")),"x","")</f>
        <v/>
      </c>
      <c r="Q3704" s="82" t="str">
        <f>IF(AND(B3704='111'!$L$11,OR($N3704=$Q$7,$O3704=$Q$7)),"x","")</f>
        <v/>
      </c>
      <c r="R3704" s="82" t="str">
        <f>IF(AND($N3704=$Q$7,$B3704&lt;'111'!$L$11),"x","")</f>
        <v/>
      </c>
      <c r="S3704" s="82" t="str">
        <f>IF(AND($O3704=$Q$7,$B3704&lt;'111'!$L$11),"x","")</f>
        <v>x</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customHeight="1">
      <c r="A3705" s="323" t="str">
        <f>IF(B3705&lt;&gt;"",IF(AND(B3705='IN-TC'!$S$4,OR(TH!N3753="1111",TH!O3753="1111")),TH!D3753,""),"")</f>
        <v/>
      </c>
      <c r="B3705" s="63">
        <f t="shared" si="241"/>
        <v>9</v>
      </c>
      <c r="C3705" s="1092">
        <v>42616</v>
      </c>
      <c r="D3705" s="1092" t="s">
        <v>856</v>
      </c>
      <c r="E3705" s="1092">
        <f t="shared" si="242"/>
        <v>42616</v>
      </c>
      <c r="F3705" s="482" t="s">
        <v>947</v>
      </c>
      <c r="G3705" s="1094"/>
      <c r="H3705" s="1093" t="s">
        <v>3001</v>
      </c>
      <c r="I3705" s="1095"/>
      <c r="J3705" s="1095"/>
      <c r="K3705" s="1096"/>
      <c r="L3705" s="1095"/>
      <c r="M3705" s="1097">
        <v>500000000</v>
      </c>
      <c r="N3705" s="1098" t="s">
        <v>266</v>
      </c>
      <c r="O3705" s="1098" t="s">
        <v>61</v>
      </c>
      <c r="P3705" s="82" t="str">
        <f>IF(AND('331-CT'!$E$7=TH!H3705,OR(N3705="331",O3705="331")),"x","")</f>
        <v/>
      </c>
      <c r="Q3705" s="82" t="str">
        <f>IF(AND(B3705='111'!$L$11,OR($N3705=$Q$7,$O3705=$Q$7)),"x","")</f>
        <v/>
      </c>
      <c r="R3705" s="82" t="str">
        <f>IF(AND($N3705=$Q$7,$B3705&lt;'111'!$L$11),"x","")</f>
        <v/>
      </c>
      <c r="S3705" s="82" t="str">
        <f>IF(AND($O3705=$Q$7,$B3705&lt;'111'!$L$11),"x","")</f>
        <v>x</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customHeight="1">
      <c r="A3706" s="323" t="str">
        <f>IF(B3706&lt;&gt;"",IF(AND(B3706='IN-TC'!$S$4,OR(TH!N3755="1111",TH!O3755="1111")),TH!D3755,""),"")</f>
        <v/>
      </c>
      <c r="B3706" s="63">
        <f t="shared" si="241"/>
        <v>9</v>
      </c>
      <c r="C3706" s="64">
        <v>42617</v>
      </c>
      <c r="D3706" s="64" t="s">
        <v>858</v>
      </c>
      <c r="E3706" s="64">
        <v>42617</v>
      </c>
      <c r="F3706" s="72" t="s">
        <v>1094</v>
      </c>
      <c r="G3706" s="931" t="s">
        <v>2024</v>
      </c>
      <c r="H3706" s="72" t="s">
        <v>792</v>
      </c>
      <c r="I3706" s="408"/>
      <c r="J3706" s="408"/>
      <c r="K3706" s="399"/>
      <c r="L3706" s="408"/>
      <c r="M3706" s="65">
        <v>584364</v>
      </c>
      <c r="N3706" s="66" t="s">
        <v>99</v>
      </c>
      <c r="O3706" s="66" t="s">
        <v>61</v>
      </c>
      <c r="P3706" s="82" t="str">
        <f>IF(AND('331-CT'!$E$7=TH!H3706,OR(N3706="331",O3706="331")),"x","")</f>
        <v/>
      </c>
      <c r="Q3706" s="82" t="str">
        <f>IF(AND(B3706='111'!$L$11,OR($N3706=$Q$7,$O3706=$Q$7)),"x","")</f>
        <v/>
      </c>
      <c r="R3706" s="82" t="str">
        <f>IF(AND($N3706=$Q$7,$B3706&lt;'111'!$L$11),"x","")</f>
        <v/>
      </c>
      <c r="S3706" s="82" t="str">
        <f>IF(AND($O3706=$Q$7,$B3706&lt;'111'!$L$11),"x","")</f>
        <v>x</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customHeight="1">
      <c r="A3707" s="323" t="str">
        <f>IF(B3707&lt;&gt;"",IF(AND(B3707='IN-TC'!$S$4,OR(TH!N3754="1111",TH!O3754="1111")),TH!D3754,""),"")</f>
        <v/>
      </c>
      <c r="B3707" s="63">
        <f t="shared" si="241"/>
        <v>9</v>
      </c>
      <c r="C3707" s="64">
        <v>42617</v>
      </c>
      <c r="D3707" s="64" t="s">
        <v>858</v>
      </c>
      <c r="E3707" s="64">
        <v>42617</v>
      </c>
      <c r="F3707" s="72" t="s">
        <v>1324</v>
      </c>
      <c r="G3707" s="931" t="s">
        <v>2024</v>
      </c>
      <c r="H3707" s="72" t="s">
        <v>792</v>
      </c>
      <c r="I3707" s="408"/>
      <c r="J3707" s="408"/>
      <c r="K3707" s="399"/>
      <c r="L3707" s="408"/>
      <c r="M3707" s="65">
        <v>58436</v>
      </c>
      <c r="N3707" s="66" t="s">
        <v>9</v>
      </c>
      <c r="O3707" s="66" t="s">
        <v>61</v>
      </c>
      <c r="P3707" s="82" t="str">
        <f>IF(AND('331-CT'!$E$7=TH!H3707,OR(N3707="331",O3707="331")),"x","")</f>
        <v/>
      </c>
      <c r="Q3707" s="82" t="str">
        <f>IF(AND(B3707='111'!$L$11,OR($N3707=$Q$7,$O3707=$Q$7)),"x","")</f>
        <v/>
      </c>
      <c r="R3707" s="82" t="str">
        <f>IF(AND($N3707=$Q$7,$B3707&lt;'111'!$L$11),"x","")</f>
        <v/>
      </c>
      <c r="S3707" s="82" t="str">
        <f>IF(AND($O3707=$Q$7,$B3707&lt;'111'!$L$11),"x","")</f>
        <v>x</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x</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customHeight="1">
      <c r="A3708" s="323" t="str">
        <f>IF(B3708&lt;&gt;"",IF(AND(B3708='IN-TC'!$S$4,OR(TH!N3756="1111",TH!O3756="1111")),TH!D3756,""),"")</f>
        <v/>
      </c>
      <c r="B3708" s="63">
        <f t="shared" si="241"/>
        <v>9</v>
      </c>
      <c r="C3708" s="64">
        <v>42618</v>
      </c>
      <c r="D3708" s="64" t="s">
        <v>859</v>
      </c>
      <c r="E3708" s="64">
        <v>42618</v>
      </c>
      <c r="F3708" s="72" t="s">
        <v>1094</v>
      </c>
      <c r="G3708" s="931" t="s">
        <v>2025</v>
      </c>
      <c r="H3708" s="72" t="s">
        <v>792</v>
      </c>
      <c r="I3708" s="408"/>
      <c r="J3708" s="408"/>
      <c r="K3708" s="399"/>
      <c r="L3708" s="408"/>
      <c r="M3708" s="65">
        <v>613582</v>
      </c>
      <c r="N3708" s="66" t="s">
        <v>99</v>
      </c>
      <c r="O3708" s="66" t="s">
        <v>61</v>
      </c>
      <c r="P3708" s="82" t="str">
        <f>IF(AND('331-CT'!$E$7=TH!H3708,OR(N3708="331",O3708="331")),"x","")</f>
        <v/>
      </c>
      <c r="Q3708" s="82" t="str">
        <f>IF(AND(B3708='111'!$L$11,OR($N3708=$Q$7,$O3708=$Q$7)),"x","")</f>
        <v/>
      </c>
      <c r="R3708" s="82" t="str">
        <f>IF(AND($N3708=$Q$7,$B3708&lt;'111'!$L$11),"x","")</f>
        <v/>
      </c>
      <c r="S3708" s="82" t="str">
        <f>IF(AND($O3708=$Q$7,$B3708&lt;'111'!$L$11),"x","")</f>
        <v>x</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customHeight="1">
      <c r="A3709" s="323" t="str">
        <f>IF(B3709&lt;&gt;"",IF(AND(B3709='IN-TC'!$S$4,OR(TH!N3757="1111",TH!O3757="1111")),TH!D3757,""),"")</f>
        <v/>
      </c>
      <c r="B3709" s="63">
        <f t="shared" si="241"/>
        <v>9</v>
      </c>
      <c r="C3709" s="64">
        <v>42618</v>
      </c>
      <c r="D3709" s="64" t="s">
        <v>859</v>
      </c>
      <c r="E3709" s="64">
        <v>42618</v>
      </c>
      <c r="F3709" s="72" t="s">
        <v>1324</v>
      </c>
      <c r="G3709" s="931" t="s">
        <v>2025</v>
      </c>
      <c r="H3709" s="72" t="s">
        <v>792</v>
      </c>
      <c r="I3709" s="408"/>
      <c r="J3709" s="408"/>
      <c r="K3709" s="399"/>
      <c r="L3709" s="408"/>
      <c r="M3709" s="65">
        <v>61358</v>
      </c>
      <c r="N3709" s="66" t="s">
        <v>9</v>
      </c>
      <c r="O3709" s="66" t="s">
        <v>61</v>
      </c>
      <c r="P3709" s="82" t="str">
        <f>IF(AND('331-CT'!$E$7=TH!H3709,OR(N3709="331",O3709="331")),"x","")</f>
        <v/>
      </c>
      <c r="Q3709" s="82" t="str">
        <f>IF(AND(B3709='111'!$L$11,OR($N3709=$Q$7,$O3709=$Q$7)),"x","")</f>
        <v/>
      </c>
      <c r="R3709" s="82" t="str">
        <f>IF(AND($N3709=$Q$7,$B3709&lt;'111'!$L$11),"x","")</f>
        <v/>
      </c>
      <c r="S3709" s="82" t="str">
        <f>IF(AND($O3709=$Q$7,$B3709&lt;'111'!$L$11),"x","")</f>
        <v>x</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x</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customHeight="1">
      <c r="A3710" s="323" t="str">
        <f>IF(B3710&lt;&gt;"",IF(AND(B3710='IN-TC'!$S$4,OR(TH!N3758="1111",TH!O3758="1111")),TH!D3758,""),"")</f>
        <v/>
      </c>
      <c r="B3710" s="63">
        <f t="shared" si="241"/>
        <v>9</v>
      </c>
      <c r="C3710" s="64">
        <v>42618</v>
      </c>
      <c r="D3710" s="64" t="s">
        <v>860</v>
      </c>
      <c r="E3710" s="64">
        <v>42618</v>
      </c>
      <c r="F3710" s="72" t="s">
        <v>2026</v>
      </c>
      <c r="G3710" s="931" t="s">
        <v>2027</v>
      </c>
      <c r="H3710" s="72" t="s">
        <v>830</v>
      </c>
      <c r="I3710" s="408"/>
      <c r="J3710" s="408"/>
      <c r="K3710" s="399"/>
      <c r="L3710" s="408"/>
      <c r="M3710" s="65">
        <v>2015864</v>
      </c>
      <c r="N3710" s="66" t="s">
        <v>99</v>
      </c>
      <c r="O3710" s="66" t="s">
        <v>61</v>
      </c>
      <c r="P3710" s="82" t="str">
        <f>IF(AND('331-CT'!$E$7=TH!H3710,OR(N3710="331",O3710="331")),"x","")</f>
        <v/>
      </c>
      <c r="Q3710" s="82" t="str">
        <f>IF(AND(B3710='111'!$L$11,OR($N3710=$Q$7,$O3710=$Q$7)),"x","")</f>
        <v/>
      </c>
      <c r="R3710" s="82" t="str">
        <f>IF(AND($N3710=$Q$7,$B3710&lt;'111'!$L$11),"x","")</f>
        <v/>
      </c>
      <c r="S3710" s="82" t="str">
        <f>IF(AND($O3710=$Q$7,$B3710&lt;'111'!$L$11),"x","")</f>
        <v>x</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customHeight="1">
      <c r="A3711" s="323" t="str">
        <f>IF(B3711&lt;&gt;"",IF(AND(B3711='IN-TC'!$S$4,OR(TH!N3759="1111",TH!O3759="1111")),TH!D3759,""),"")</f>
        <v/>
      </c>
      <c r="B3711" s="63">
        <f t="shared" si="241"/>
        <v>9</v>
      </c>
      <c r="C3711" s="64">
        <v>42618</v>
      </c>
      <c r="D3711" s="64" t="s">
        <v>860</v>
      </c>
      <c r="E3711" s="64">
        <v>42618</v>
      </c>
      <c r="F3711" s="72" t="s">
        <v>2028</v>
      </c>
      <c r="G3711" s="931" t="s">
        <v>2027</v>
      </c>
      <c r="H3711" s="72" t="s">
        <v>830</v>
      </c>
      <c r="I3711" s="408"/>
      <c r="J3711" s="408"/>
      <c r="K3711" s="399"/>
      <c r="L3711" s="408"/>
      <c r="M3711" s="65">
        <v>201586</v>
      </c>
      <c r="N3711" s="66" t="s">
        <v>9</v>
      </c>
      <c r="O3711" s="66" t="s">
        <v>61</v>
      </c>
      <c r="P3711" s="82" t="str">
        <f>IF(AND('331-CT'!$E$7=TH!H3711,OR(N3711="331",O3711="331")),"x","")</f>
        <v/>
      </c>
      <c r="Q3711" s="82" t="str">
        <f>IF(AND(B3711='111'!$L$11,OR($N3711=$Q$7,$O3711=$Q$7)),"x","")</f>
        <v/>
      </c>
      <c r="R3711" s="82" t="str">
        <f>IF(AND($N3711=$Q$7,$B3711&lt;'111'!$L$11),"x","")</f>
        <v/>
      </c>
      <c r="S3711" s="82" t="str">
        <f>IF(AND($O3711=$Q$7,$B3711&lt;'111'!$L$11),"x","")</f>
        <v>x</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x</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customHeight="1">
      <c r="A3712" s="323" t="str">
        <f>IF(B3712&lt;&gt;"",IF(AND(B3712='IN-TC'!$S$4,OR(TH!N3733="1111",TH!O3733="1111")),TH!D3733,""),"")</f>
        <v/>
      </c>
      <c r="B3712" s="63">
        <f t="shared" si="241"/>
        <v>9</v>
      </c>
      <c r="C3712" s="78">
        <v>42618</v>
      </c>
      <c r="D3712" s="78" t="s">
        <v>570</v>
      </c>
      <c r="E3712" s="78">
        <f t="shared" ref="E3712:E3728" si="243">C3712</f>
        <v>42618</v>
      </c>
      <c r="F3712" s="72" t="s">
        <v>1968</v>
      </c>
      <c r="G3712" s="79" t="s">
        <v>1544</v>
      </c>
      <c r="H3712" s="80" t="s">
        <v>1862</v>
      </c>
      <c r="I3712" s="406"/>
      <c r="J3712" s="406"/>
      <c r="K3712" s="397">
        <v>77.48</v>
      </c>
      <c r="L3712" s="408">
        <v>22260</v>
      </c>
      <c r="M3712" s="81">
        <f>ROUND(K3712*L3712,0)</f>
        <v>1724705</v>
      </c>
      <c r="N3712" s="82" t="s">
        <v>99</v>
      </c>
      <c r="O3712" s="82" t="s">
        <v>576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customHeight="1">
      <c r="A3713" s="323" t="str">
        <f>IF(B3713&lt;&gt;"",IF(AND(B3713='IN-TC'!$S$4,OR(TH!N3732="1111",TH!O3732="1111")),TH!D3732,""),"")</f>
        <v/>
      </c>
      <c r="B3713" s="63">
        <f t="shared" si="241"/>
        <v>9</v>
      </c>
      <c r="C3713" s="78">
        <v>42618</v>
      </c>
      <c r="D3713" s="78" t="s">
        <v>687</v>
      </c>
      <c r="E3713" s="78">
        <f t="shared" si="243"/>
        <v>42618</v>
      </c>
      <c r="F3713" s="72" t="s">
        <v>1436</v>
      </c>
      <c r="G3713" s="79" t="s">
        <v>1544</v>
      </c>
      <c r="H3713" s="80" t="s">
        <v>1862</v>
      </c>
      <c r="I3713" s="406"/>
      <c r="J3713" s="406"/>
      <c r="K3713" s="397">
        <v>3161.23</v>
      </c>
      <c r="L3713" s="408">
        <v>22260</v>
      </c>
      <c r="M3713" s="81">
        <f>ROUND(K3713*L3713,0)</f>
        <v>70368980</v>
      </c>
      <c r="N3713" s="82" t="s">
        <v>260</v>
      </c>
      <c r="O3713" s="82" t="s">
        <v>576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customHeight="1">
      <c r="A3714" s="323" t="str">
        <f>IF(B3714&lt;&gt;"",IF(AND(B3714='IN-TC'!$S$4,OR(TH!N3702="1111",TH!O3702="1111")),TH!D3702,""),"")</f>
        <v/>
      </c>
      <c r="B3714" s="63">
        <f t="shared" si="241"/>
        <v>9</v>
      </c>
      <c r="C3714" s="64">
        <v>42618</v>
      </c>
      <c r="D3714" s="64" t="s">
        <v>690</v>
      </c>
      <c r="E3714" s="64">
        <f t="shared" si="243"/>
        <v>42618</v>
      </c>
      <c r="F3714" s="72" t="s">
        <v>1156</v>
      </c>
      <c r="G3714" s="67" t="s">
        <v>1544</v>
      </c>
      <c r="H3714" s="72" t="s">
        <v>1780</v>
      </c>
      <c r="I3714" s="408"/>
      <c r="J3714" s="408"/>
      <c r="K3714" s="399"/>
      <c r="L3714" s="408"/>
      <c r="M3714" s="65">
        <v>44660</v>
      </c>
      <c r="N3714" s="66" t="s">
        <v>99</v>
      </c>
      <c r="O3714" s="66" t="s">
        <v>25</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x</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customHeight="1">
      <c r="A3715" s="323" t="str">
        <f>IF(B3715&lt;&gt;"",IF(AND(B3715='IN-TC'!$S$4,OR(TH!N3703="1111",TH!O3703="1111")),TH!D3703,""),"")</f>
        <v/>
      </c>
      <c r="B3715" s="63">
        <f t="shared" si="241"/>
        <v>9</v>
      </c>
      <c r="C3715" s="64">
        <v>42618</v>
      </c>
      <c r="D3715" s="64" t="s">
        <v>690</v>
      </c>
      <c r="E3715" s="64">
        <f t="shared" si="243"/>
        <v>42618</v>
      </c>
      <c r="F3715" s="72" t="s">
        <v>1616</v>
      </c>
      <c r="G3715" s="67" t="s">
        <v>1544</v>
      </c>
      <c r="H3715" s="72" t="s">
        <v>1780</v>
      </c>
      <c r="I3715" s="408"/>
      <c r="J3715" s="408"/>
      <c r="K3715" s="399"/>
      <c r="L3715" s="408"/>
      <c r="M3715" s="65">
        <v>4466</v>
      </c>
      <c r="N3715" s="66" t="s">
        <v>9</v>
      </c>
      <c r="O3715" s="66" t="s">
        <v>25</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x</v>
      </c>
      <c r="W3715" s="82" t="str">
        <f>IF(AND('341-CT'!$H$9=H3715,OR(LEFT(N3715,3)=$W$7,LEFT(O3715,3)=$W$7)),"x","")</f>
        <v/>
      </c>
      <c r="X3715" s="82" t="str">
        <f>IF(OR(TH!N3715=TH!$X$7,O3715=TH!$X$7),"x","")</f>
        <v>x</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customHeight="1">
      <c r="A3716" s="323" t="str">
        <f>IF(B3716&lt;&gt;"",IF(AND(B3716='IN-TC'!$S$4,OR(TH!N3735="1111",TH!O3735="1111")),TH!D3735,""),"")</f>
        <v/>
      </c>
      <c r="B3716" s="63">
        <f t="shared" si="241"/>
        <v>9</v>
      </c>
      <c r="C3716" s="90">
        <v>43348</v>
      </c>
      <c r="D3716" s="90" t="s">
        <v>690</v>
      </c>
      <c r="E3716" s="90">
        <f t="shared" si="243"/>
        <v>43348</v>
      </c>
      <c r="F3716" s="72" t="s">
        <v>2008</v>
      </c>
      <c r="G3716" s="91" t="s">
        <v>1544</v>
      </c>
      <c r="H3716" s="92" t="s">
        <v>1780</v>
      </c>
      <c r="I3716" s="414"/>
      <c r="J3716" s="414"/>
      <c r="K3716" s="405">
        <v>229.91</v>
      </c>
      <c r="L3716" s="414">
        <v>22330</v>
      </c>
      <c r="M3716" s="93">
        <f>ROUND(K3716*L3716,0)</f>
        <v>5133890</v>
      </c>
      <c r="N3716" s="83" t="s">
        <v>97</v>
      </c>
      <c r="O3716" s="83" t="s">
        <v>260</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customHeight="1">
      <c r="A3717" s="323" t="str">
        <f>IF(B3717&lt;&gt;"",IF(AND(B3717='IN-TC'!$S$4,OR(TH!N3760="1111",TH!O3760="1111")),TH!D3760,""),"")</f>
        <v/>
      </c>
      <c r="B3717" s="63">
        <f t="shared" si="241"/>
        <v>9</v>
      </c>
      <c r="C3717" s="1092">
        <v>42619</v>
      </c>
      <c r="D3717" s="1092" t="s">
        <v>861</v>
      </c>
      <c r="E3717" s="1092">
        <f t="shared" si="243"/>
        <v>42619</v>
      </c>
      <c r="F3717" s="482" t="s">
        <v>947</v>
      </c>
      <c r="G3717" s="1094"/>
      <c r="H3717" s="1093" t="s">
        <v>3001</v>
      </c>
      <c r="I3717" s="1095"/>
      <c r="J3717" s="1095"/>
      <c r="K3717" s="1096"/>
      <c r="L3717" s="1095"/>
      <c r="M3717" s="1097">
        <v>450000000</v>
      </c>
      <c r="N3717" s="1098" t="s">
        <v>266</v>
      </c>
      <c r="O3717" s="1098" t="s">
        <v>61</v>
      </c>
      <c r="P3717" s="82" t="str">
        <f>IF(AND('331-CT'!$E$7=TH!H3717,OR(N3717="331",O3717="331")),"x","")</f>
        <v/>
      </c>
      <c r="Q3717" s="82" t="str">
        <f>IF(AND(B3717='111'!$L$11,OR($N3717=$Q$7,$O3717=$Q$7)),"x","")</f>
        <v/>
      </c>
      <c r="R3717" s="82" t="str">
        <f>IF(AND($N3717=$Q$7,$B3717&lt;'111'!$L$11),"x","")</f>
        <v/>
      </c>
      <c r="S3717" s="82" t="str">
        <f>IF(AND($O3717=$Q$7,$B3717&lt;'111'!$L$11),"x","")</f>
        <v>x</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customHeight="1">
      <c r="A3718" s="323" t="str">
        <f>IF(B3718&lt;&gt;"",IF(AND(B3718='IN-TC'!$S$4,OR(TH!N3761="1111",TH!O3761="1111")),TH!D3761,""),"")</f>
        <v/>
      </c>
      <c r="B3718" s="63">
        <f t="shared" si="241"/>
        <v>9</v>
      </c>
      <c r="C3718" s="1092">
        <v>42619</v>
      </c>
      <c r="D3718" s="1092" t="s">
        <v>862</v>
      </c>
      <c r="E3718" s="1092">
        <f t="shared" si="243"/>
        <v>42619</v>
      </c>
      <c r="F3718" s="482" t="s">
        <v>947</v>
      </c>
      <c r="G3718" s="1094"/>
      <c r="H3718" s="1093" t="s">
        <v>946</v>
      </c>
      <c r="I3718" s="1095"/>
      <c r="J3718" s="1095"/>
      <c r="K3718" s="1096"/>
      <c r="L3718" s="1095"/>
      <c r="M3718" s="1097">
        <v>500000000</v>
      </c>
      <c r="N3718" s="1098" t="s">
        <v>266</v>
      </c>
      <c r="O3718" s="1098" t="s">
        <v>61</v>
      </c>
      <c r="P3718" s="82" t="str">
        <f>IF(AND('331-CT'!$E$7=TH!H3718,OR(N3718="331",O3718="331")),"x","")</f>
        <v/>
      </c>
      <c r="Q3718" s="82" t="str">
        <f>IF(AND(B3718='111'!$L$11,OR($N3718=$Q$7,$O3718=$Q$7)),"x","")</f>
        <v/>
      </c>
      <c r="R3718" s="82" t="str">
        <f>IF(AND($N3718=$Q$7,$B3718&lt;'111'!$L$11),"x","")</f>
        <v/>
      </c>
      <c r="S3718" s="82" t="str">
        <f>IF(AND($O3718=$Q$7,$B3718&lt;'111'!$L$11),"x","")</f>
        <v>x</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customHeight="1">
      <c r="A3719" s="323" t="str">
        <f>IF(B3719&lt;&gt;"",IF(AND(B3719='IN-TC'!$S$4,OR(TH!N293="1111",TH!O293="1111")),TH!D293,""),"")</f>
        <v/>
      </c>
      <c r="B3719" s="63">
        <f t="shared" si="241"/>
        <v>10</v>
      </c>
      <c r="C3719" s="1087">
        <v>42656</v>
      </c>
      <c r="D3719" s="1087" t="s">
        <v>585</v>
      </c>
      <c r="E3719" s="1087">
        <f t="shared" si="243"/>
        <v>42656</v>
      </c>
      <c r="F3719" s="1155" t="s">
        <v>435</v>
      </c>
      <c r="G3719" s="1131" t="s">
        <v>2118</v>
      </c>
      <c r="H3719" s="92" t="s">
        <v>1875</v>
      </c>
      <c r="I3719" s="414">
        <v>23400</v>
      </c>
      <c r="J3719" s="1132">
        <v>6.9</v>
      </c>
      <c r="K3719" s="405">
        <f>I3719*J3719</f>
        <v>161460</v>
      </c>
      <c r="L3719" s="414">
        <v>22270</v>
      </c>
      <c r="M3719" s="1133">
        <f>ROUND(K3719*L3719,0)</f>
        <v>3595714200</v>
      </c>
      <c r="N3719" s="1134" t="s">
        <v>576</v>
      </c>
      <c r="O3719" s="1134" t="s">
        <v>292</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customHeight="1">
      <c r="A3720" s="323" t="str">
        <f>IF(B3720&lt;&gt;"",IF(AND(B3720='IN-TC'!$S$4,OR(TH!N3705="1111",TH!O3705="1111")),TH!D3705,""),"")</f>
        <v/>
      </c>
      <c r="B3720" s="63">
        <f t="shared" si="241"/>
        <v>9</v>
      </c>
      <c r="C3720" s="64">
        <v>42621</v>
      </c>
      <c r="D3720" s="64" t="s">
        <v>687</v>
      </c>
      <c r="E3720" s="64">
        <f t="shared" si="243"/>
        <v>42621</v>
      </c>
      <c r="F3720" s="72" t="s">
        <v>1425</v>
      </c>
      <c r="G3720" s="67" t="s">
        <v>1544</v>
      </c>
      <c r="H3720" s="72" t="s">
        <v>1780</v>
      </c>
      <c r="I3720" s="408"/>
      <c r="J3720" s="408"/>
      <c r="K3720" s="399">
        <v>83500</v>
      </c>
      <c r="L3720" s="408">
        <v>22290</v>
      </c>
      <c r="M3720" s="65">
        <f>ROUND(K3720*L3720,0)</f>
        <v>1861215000</v>
      </c>
      <c r="N3720" s="66" t="s">
        <v>25</v>
      </c>
      <c r="O3720" s="66" t="s">
        <v>260</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x</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customHeight="1">
      <c r="A3721" s="323" t="str">
        <f>IF(B3721&lt;&gt;"",IF(AND(B3721='IN-TC'!$S$4,OR(TH!N3716="1111",TH!O3716="1111")),TH!D3716,""),"")</f>
        <v/>
      </c>
      <c r="B3721" s="63">
        <f t="shared" si="241"/>
        <v>9</v>
      </c>
      <c r="C3721" s="64">
        <v>42621</v>
      </c>
      <c r="D3721" s="64" t="s">
        <v>690</v>
      </c>
      <c r="E3721" s="64">
        <f t="shared" si="243"/>
        <v>42621</v>
      </c>
      <c r="F3721" s="72" t="s">
        <v>1156</v>
      </c>
      <c r="G3721" s="67" t="s">
        <v>1544</v>
      </c>
      <c r="H3721" s="72" t="s">
        <v>1780</v>
      </c>
      <c r="I3721" s="408"/>
      <c r="J3721" s="408"/>
      <c r="K3721" s="399"/>
      <c r="L3721" s="408"/>
      <c r="M3721" s="65">
        <v>901239</v>
      </c>
      <c r="N3721" s="66" t="s">
        <v>99</v>
      </c>
      <c r="O3721" s="66" t="s">
        <v>25</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x</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customHeight="1">
      <c r="A3722" s="323" t="str">
        <f>IF(B3722&lt;&gt;"",IF(AND(B3722='IN-TC'!$S$4,OR(TH!N3704="1111",TH!O3704="1111")),TH!D3704,""),"")</f>
        <v/>
      </c>
      <c r="B3722" s="63">
        <f t="shared" si="241"/>
        <v>9</v>
      </c>
      <c r="C3722" s="64">
        <v>42621</v>
      </c>
      <c r="D3722" s="64" t="s">
        <v>690</v>
      </c>
      <c r="E3722" s="64">
        <f t="shared" si="243"/>
        <v>42621</v>
      </c>
      <c r="F3722" s="72" t="s">
        <v>1616</v>
      </c>
      <c r="G3722" s="67" t="s">
        <v>1544</v>
      </c>
      <c r="H3722" s="72" t="s">
        <v>1780</v>
      </c>
      <c r="I3722" s="408"/>
      <c r="J3722" s="408"/>
      <c r="K3722" s="399"/>
      <c r="L3722" s="408"/>
      <c r="M3722" s="65">
        <v>90124</v>
      </c>
      <c r="N3722" s="66" t="s">
        <v>9</v>
      </c>
      <c r="O3722" s="66" t="s">
        <v>25</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x</v>
      </c>
      <c r="W3722" s="82" t="str">
        <f>IF(AND('341-CT'!$H$9=H3722,OR(LEFT(N3722,3)=$W$7,LEFT(O3722,3)=$W$7)),"x","")</f>
        <v/>
      </c>
      <c r="X3722" s="82" t="str">
        <f>IF(OR(TH!N3722=TH!$X$7,O3722=TH!$X$7),"x","")</f>
        <v>x</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customHeight="1">
      <c r="A3723" s="323" t="str">
        <f>IF(B3723&lt;&gt;"",IF(AND(B3723='IN-TC'!$S$4,OR(TH!N3706="1111",TH!O3706="1111")),TH!D3706,""),"")</f>
        <v/>
      </c>
      <c r="B3723" s="63">
        <f t="shared" si="241"/>
        <v>9</v>
      </c>
      <c r="C3723" s="64">
        <v>42622</v>
      </c>
      <c r="D3723" s="64" t="s">
        <v>690</v>
      </c>
      <c r="E3723" s="64">
        <f t="shared" si="243"/>
        <v>42622</v>
      </c>
      <c r="F3723" s="72" t="s">
        <v>1778</v>
      </c>
      <c r="G3723" s="67" t="s">
        <v>1544</v>
      </c>
      <c r="H3723" s="72" t="s">
        <v>1780</v>
      </c>
      <c r="I3723" s="408"/>
      <c r="J3723" s="408"/>
      <c r="K3723" s="399"/>
      <c r="L3723" s="408"/>
      <c r="M3723" s="65">
        <v>2203017</v>
      </c>
      <c r="N3723" s="66" t="s">
        <v>99</v>
      </c>
      <c r="O3723" s="66" t="s">
        <v>25</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x</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customHeight="1">
      <c r="A3724" s="323" t="str">
        <f>IF(B3724&lt;&gt;"",IF(AND(B3724='IN-TC'!$S$4,OR(TH!N3707="1111",TH!O3707="1111")),TH!D3707,""),"")</f>
        <v/>
      </c>
      <c r="B3724" s="63">
        <f t="shared" si="241"/>
        <v>9</v>
      </c>
      <c r="C3724" s="64">
        <v>42622</v>
      </c>
      <c r="D3724" s="64" t="s">
        <v>690</v>
      </c>
      <c r="E3724" s="64">
        <f t="shared" si="243"/>
        <v>42622</v>
      </c>
      <c r="F3724" s="72" t="s">
        <v>2010</v>
      </c>
      <c r="G3724" s="67" t="s">
        <v>1544</v>
      </c>
      <c r="H3724" s="72" t="s">
        <v>1780</v>
      </c>
      <c r="I3724" s="408"/>
      <c r="J3724" s="408"/>
      <c r="K3724" s="399"/>
      <c r="L3724" s="408"/>
      <c r="M3724" s="65">
        <v>220302</v>
      </c>
      <c r="N3724" s="66" t="s">
        <v>9</v>
      </c>
      <c r="O3724" s="66" t="s">
        <v>25</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x</v>
      </c>
      <c r="W3724" s="82" t="str">
        <f>IF(AND('341-CT'!$H$9=H3724,OR(LEFT(N3724,3)=$W$7,LEFT(O3724,3)=$W$7)),"x","")</f>
        <v/>
      </c>
      <c r="X3724" s="82" t="str">
        <f>IF(OR(TH!N3724=TH!$X$7,O3724=TH!$X$7),"x","")</f>
        <v>x</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customHeight="1">
      <c r="A3725" s="323" t="str">
        <f>IF(B3725&lt;&gt;"",IF(AND(B3725='IN-TC'!$S$4,OR(TH!N3696="1111",TH!O3696="1111")),TH!D3696,""),"")</f>
        <v/>
      </c>
      <c r="B3725" s="63">
        <f t="shared" si="241"/>
        <v>9</v>
      </c>
      <c r="C3725" s="64">
        <v>42622</v>
      </c>
      <c r="D3725" s="64" t="s">
        <v>857</v>
      </c>
      <c r="E3725" s="64">
        <f t="shared" si="243"/>
        <v>42622</v>
      </c>
      <c r="F3725" s="72" t="s">
        <v>1126</v>
      </c>
      <c r="G3725" s="67" t="s">
        <v>1544</v>
      </c>
      <c r="H3725" s="72" t="s">
        <v>748</v>
      </c>
      <c r="I3725" s="408"/>
      <c r="J3725" s="408"/>
      <c r="K3725" s="399"/>
      <c r="L3725" s="408"/>
      <c r="M3725" s="65">
        <v>1850000000</v>
      </c>
      <c r="N3725" s="66" t="s">
        <v>61</v>
      </c>
      <c r="O3725" s="66" t="s">
        <v>25</v>
      </c>
      <c r="P3725" s="82" t="str">
        <f>IF(AND('331-CT'!$E$7=TH!H3725,OR(N3725="331",O3725="331")),"x","")</f>
        <v/>
      </c>
      <c r="Q3725" s="82" t="str">
        <f>IF(AND(B3725='111'!$L$11,OR($N3725=$Q$7,$O3725=$Q$7)),"x","")</f>
        <v/>
      </c>
      <c r="R3725" s="82" t="str">
        <f>IF(AND($N3725=$Q$7,$B3725&lt;'111'!$L$11),"x","")</f>
        <v>x</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x</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customHeight="1">
      <c r="A3726" s="323" t="str">
        <f>IF(B3726&lt;&gt;"",IF(AND(B3726='IN-TC'!$S$4,OR(TH!N3697="1111",TH!O3697="1111")),TH!D3697,""),"")</f>
        <v/>
      </c>
      <c r="B3726" s="63">
        <f t="shared" si="241"/>
        <v>9</v>
      </c>
      <c r="C3726" s="64">
        <v>42622</v>
      </c>
      <c r="D3726" s="64" t="s">
        <v>886</v>
      </c>
      <c r="E3726" s="64">
        <f t="shared" si="243"/>
        <v>42622</v>
      </c>
      <c r="F3726" s="72" t="s">
        <v>1126</v>
      </c>
      <c r="G3726" s="67" t="s">
        <v>902</v>
      </c>
      <c r="H3726" s="72" t="s">
        <v>748</v>
      </c>
      <c r="I3726" s="408"/>
      <c r="J3726" s="408"/>
      <c r="K3726" s="399"/>
      <c r="L3726" s="408"/>
      <c r="M3726" s="65">
        <v>100000000</v>
      </c>
      <c r="N3726" s="66" t="s">
        <v>61</v>
      </c>
      <c r="O3726" s="66" t="s">
        <v>25</v>
      </c>
      <c r="P3726" s="82" t="str">
        <f>IF(AND('331-CT'!$E$7=TH!H3726,OR(N3726="331",O3726="331")),"x","")</f>
        <v/>
      </c>
      <c r="Q3726" s="82" t="str">
        <f>IF(AND(B3726='111'!$L$11,OR($N3726=$Q$7,$O3726=$Q$7)),"x","")</f>
        <v/>
      </c>
      <c r="R3726" s="82" t="str">
        <f>IF(AND($N3726=$Q$7,$B3726&lt;'111'!$L$11),"x","")</f>
        <v>x</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customHeight="1">
      <c r="A3727" s="323" t="str">
        <f>IF(B3727&lt;&gt;"",IF(AND(B3727='IN-TC'!$S$4,OR(TH!N3762="1111",TH!O3762="1111")),TH!D3762,""),"")</f>
        <v/>
      </c>
      <c r="B3727" s="63">
        <f t="shared" si="241"/>
        <v>9</v>
      </c>
      <c r="C3727" s="1092">
        <v>42623</v>
      </c>
      <c r="D3727" s="1092" t="s">
        <v>863</v>
      </c>
      <c r="E3727" s="1092">
        <f t="shared" si="243"/>
        <v>42623</v>
      </c>
      <c r="F3727" s="482" t="s">
        <v>947</v>
      </c>
      <c r="G3727" s="1094"/>
      <c r="H3727" s="1093" t="s">
        <v>946</v>
      </c>
      <c r="I3727" s="1095"/>
      <c r="J3727" s="1095"/>
      <c r="K3727" s="1096"/>
      <c r="L3727" s="1095"/>
      <c r="M3727" s="1097">
        <v>500000000</v>
      </c>
      <c r="N3727" s="1098" t="s">
        <v>266</v>
      </c>
      <c r="O3727" s="1098" t="s">
        <v>61</v>
      </c>
      <c r="P3727" s="82" t="str">
        <f>IF(AND('331-CT'!$E$7=TH!H3727,OR(N3727="331",O3727="331")),"x","")</f>
        <v/>
      </c>
      <c r="Q3727" s="82" t="str">
        <f>IF(AND(B3727='111'!$L$11,OR($N3727=$Q$7,$O3727=$Q$7)),"x","")</f>
        <v/>
      </c>
      <c r="R3727" s="82" t="str">
        <f>IF(AND($N3727=$Q$7,$B3727&lt;'111'!$L$11),"x","")</f>
        <v/>
      </c>
      <c r="S3727" s="82" t="str">
        <f>IF(AND($O3727=$Q$7,$B3727&lt;'111'!$L$11),"x","")</f>
        <v>x</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customHeight="1">
      <c r="A3728" s="323" t="str">
        <f>IF(B3728&lt;&gt;"",IF(AND(B3728='IN-TC'!$S$4,OR(TH!N3763="1111",TH!O3763="1111")),TH!D3763,""),"")</f>
        <v/>
      </c>
      <c r="B3728" s="63">
        <f t="shared" si="241"/>
        <v>9</v>
      </c>
      <c r="C3728" s="1092">
        <v>42623</v>
      </c>
      <c r="D3728" s="1092" t="s">
        <v>864</v>
      </c>
      <c r="E3728" s="1092">
        <f t="shared" si="243"/>
        <v>42623</v>
      </c>
      <c r="F3728" s="482" t="s">
        <v>947</v>
      </c>
      <c r="G3728" s="1094"/>
      <c r="H3728" s="1093" t="s">
        <v>3001</v>
      </c>
      <c r="I3728" s="1095"/>
      <c r="J3728" s="1095"/>
      <c r="K3728" s="1096"/>
      <c r="L3728" s="1095"/>
      <c r="M3728" s="1097">
        <v>500000000</v>
      </c>
      <c r="N3728" s="1098" t="s">
        <v>266</v>
      </c>
      <c r="O3728" s="1098" t="s">
        <v>61</v>
      </c>
      <c r="P3728" s="82" t="str">
        <f>IF(AND('331-CT'!$E$7=TH!H3728,OR(N3728="331",O3728="331")),"x","")</f>
        <v/>
      </c>
      <c r="Q3728" s="82" t="str">
        <f>IF(AND(B3728='111'!$L$11,OR($N3728=$Q$7,$O3728=$Q$7)),"x","")</f>
        <v/>
      </c>
      <c r="R3728" s="82" t="str">
        <f>IF(AND($N3728=$Q$7,$B3728&lt;'111'!$L$11),"x","")</f>
        <v/>
      </c>
      <c r="S3728" s="82" t="str">
        <f>IF(AND($O3728=$Q$7,$B3728&lt;'111'!$L$11),"x","")</f>
        <v>x</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1" ht="15.75" customHeight="1">
      <c r="A3729" s="323" t="str">
        <f>IF(B3729&lt;&gt;"",IF(AND(B3729='IN-TC'!$S$4,OR(TH!N3764="1111",TH!O3764="1111")),TH!D3764,""),"")</f>
        <v/>
      </c>
      <c r="B3729" s="63">
        <f t="shared" si="241"/>
        <v>9</v>
      </c>
      <c r="C3729" s="64">
        <v>42624</v>
      </c>
      <c r="D3729" s="64" t="s">
        <v>865</v>
      </c>
      <c r="E3729" s="64">
        <v>42618</v>
      </c>
      <c r="F3729" s="72" t="s">
        <v>756</v>
      </c>
      <c r="G3729" s="931" t="s">
        <v>2029</v>
      </c>
      <c r="H3729" s="72" t="s">
        <v>792</v>
      </c>
      <c r="I3729" s="408"/>
      <c r="J3729" s="408"/>
      <c r="K3729" s="399"/>
      <c r="L3729" s="408"/>
      <c r="M3729" s="65">
        <v>1271764</v>
      </c>
      <c r="N3729" s="66" t="s">
        <v>99</v>
      </c>
      <c r="O3729" s="66" t="s">
        <v>61</v>
      </c>
      <c r="P3729" s="82" t="str">
        <f>IF(AND('331-CT'!$E$7=TH!H3729,OR(N3729="331",O3729="331")),"x","")</f>
        <v/>
      </c>
      <c r="Q3729" s="82" t="str">
        <f>IF(AND(B3729='111'!$L$11,OR($N3729=$Q$7,$O3729=$Q$7)),"x","")</f>
        <v/>
      </c>
      <c r="R3729" s="82" t="str">
        <f>IF(AND($N3729=$Q$7,$B3729&lt;'111'!$L$11),"x","")</f>
        <v/>
      </c>
      <c r="S3729" s="82" t="str">
        <f>IF(AND($O3729=$Q$7,$B3729&lt;'111'!$L$11),"x","")</f>
        <v>x</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1" ht="15.75" customHeight="1">
      <c r="A3730" s="323" t="str">
        <f>IF(B3730&lt;&gt;"",IF(AND(B3730='IN-TC'!$S$4,OR(TH!N3765="1111",TH!O3765="1111")),TH!D3765,""),"")</f>
        <v/>
      </c>
      <c r="B3730" s="63">
        <f t="shared" si="241"/>
        <v>9</v>
      </c>
      <c r="C3730" s="64">
        <v>42624</v>
      </c>
      <c r="D3730" s="64" t="s">
        <v>865</v>
      </c>
      <c r="E3730" s="64">
        <v>42618</v>
      </c>
      <c r="F3730" s="72" t="s">
        <v>757</v>
      </c>
      <c r="G3730" s="931" t="s">
        <v>2029</v>
      </c>
      <c r="H3730" s="72" t="s">
        <v>792</v>
      </c>
      <c r="I3730" s="408"/>
      <c r="J3730" s="408"/>
      <c r="K3730" s="399"/>
      <c r="L3730" s="408"/>
      <c r="M3730" s="65">
        <v>127176</v>
      </c>
      <c r="N3730" s="66" t="s">
        <v>9</v>
      </c>
      <c r="O3730" s="66" t="s">
        <v>61</v>
      </c>
      <c r="P3730" s="82" t="str">
        <f>IF(AND('331-CT'!$E$7=TH!H3730,OR(N3730="331",O3730="331")),"x","")</f>
        <v/>
      </c>
      <c r="Q3730" s="82" t="str">
        <f>IF(AND(B3730='111'!$L$11,OR($N3730=$Q$7,$O3730=$Q$7)),"x","")</f>
        <v/>
      </c>
      <c r="R3730" s="82" t="str">
        <f>IF(AND($N3730=$Q$7,$B3730&lt;'111'!$L$11),"x","")</f>
        <v/>
      </c>
      <c r="S3730" s="82" t="str">
        <f>IF(AND($O3730=$Q$7,$B3730&lt;'111'!$L$11),"x","")</f>
        <v>x</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x</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1" ht="15.75" customHeight="1">
      <c r="A3731" s="323" t="str">
        <f>IF(B3731&lt;&gt;"",IF(AND(B3731='IN-TC'!$S$4,OR(TH!N3766="1111",TH!O3766="1111")),TH!D3766,""),"")</f>
        <v/>
      </c>
      <c r="B3731" s="63">
        <f t="shared" si="241"/>
        <v>9</v>
      </c>
      <c r="C3731" s="64">
        <v>42626</v>
      </c>
      <c r="D3731" s="64" t="s">
        <v>866</v>
      </c>
      <c r="E3731" s="64">
        <v>42626</v>
      </c>
      <c r="F3731" s="72" t="s">
        <v>2030</v>
      </c>
      <c r="G3731" s="931" t="s">
        <v>2032</v>
      </c>
      <c r="H3731" s="72" t="s">
        <v>792</v>
      </c>
      <c r="I3731" s="408"/>
      <c r="J3731" s="408"/>
      <c r="K3731" s="399"/>
      <c r="L3731" s="408"/>
      <c r="M3731" s="65">
        <v>1403782</v>
      </c>
      <c r="N3731" s="66" t="s">
        <v>99</v>
      </c>
      <c r="O3731" s="66" t="s">
        <v>61</v>
      </c>
      <c r="P3731" s="82" t="str">
        <f>IF(AND('331-CT'!$E$7=TH!H3731,OR(N3731="331",O3731="331")),"x","")</f>
        <v/>
      </c>
      <c r="Q3731" s="82" t="str">
        <f>IF(AND(B3731='111'!$L$11,OR($N3731=$Q$7,$O3731=$Q$7)),"x","")</f>
        <v/>
      </c>
      <c r="R3731" s="82" t="str">
        <f>IF(AND($N3731=$Q$7,$B3731&lt;'111'!$L$11),"x","")</f>
        <v/>
      </c>
      <c r="S3731" s="82" t="str">
        <f>IF(AND($O3731=$Q$7,$B3731&lt;'111'!$L$11),"x","")</f>
        <v>x</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1" ht="15.75" customHeight="1">
      <c r="A3732" s="323" t="str">
        <f>IF(B3732&lt;&gt;"",IF(AND(B3732='IN-TC'!$S$4,OR(TH!N3767="1111",TH!O3767="1111")),TH!D3767,""),"")</f>
        <v/>
      </c>
      <c r="B3732" s="63">
        <f t="shared" si="241"/>
        <v>9</v>
      </c>
      <c r="C3732" s="64">
        <v>42626</v>
      </c>
      <c r="D3732" s="64" t="s">
        <v>866</v>
      </c>
      <c r="E3732" s="64">
        <v>42626</v>
      </c>
      <c r="F3732" s="72" t="s">
        <v>2031</v>
      </c>
      <c r="G3732" s="931" t="s">
        <v>2032</v>
      </c>
      <c r="H3732" s="72" t="s">
        <v>792</v>
      </c>
      <c r="I3732" s="408"/>
      <c r="J3732" s="408"/>
      <c r="K3732" s="399"/>
      <c r="L3732" s="408"/>
      <c r="M3732" s="65">
        <v>140378</v>
      </c>
      <c r="N3732" s="66" t="s">
        <v>9</v>
      </c>
      <c r="O3732" s="66" t="s">
        <v>61</v>
      </c>
      <c r="P3732" s="82" t="str">
        <f>IF(AND('331-CT'!$E$7=TH!H3732,OR(N3732="331",O3732="331")),"x","")</f>
        <v/>
      </c>
      <c r="Q3732" s="82" t="str">
        <f>IF(AND(B3732='111'!$L$11,OR($N3732=$Q$7,$O3732=$Q$7)),"x","")</f>
        <v/>
      </c>
      <c r="R3732" s="82" t="str">
        <f>IF(AND($N3732=$Q$7,$B3732&lt;'111'!$L$11),"x","")</f>
        <v/>
      </c>
      <c r="S3732" s="82" t="str">
        <f>IF(AND($O3732=$Q$7,$B3732&lt;'111'!$L$11),"x","")</f>
        <v>x</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x</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1" ht="15.75" customHeight="1">
      <c r="A3733" s="323" t="str">
        <f>IF(B3733&lt;&gt;"",IF(AND(B3733='IN-TC'!$S$4,OR(TH!N305="1111",TH!O305="1111")),TH!D305,""),"")</f>
        <v/>
      </c>
      <c r="B3733" s="63">
        <f t="shared" si="241"/>
        <v>11</v>
      </c>
      <c r="C3733" s="1087">
        <v>42699</v>
      </c>
      <c r="D3733" s="1087" t="s">
        <v>2317</v>
      </c>
      <c r="E3733" s="1087">
        <f t="shared" ref="E3733:E3741" si="244">C3733</f>
        <v>42699</v>
      </c>
      <c r="F3733" s="1155" t="s">
        <v>455</v>
      </c>
      <c r="G3733" s="1131" t="s">
        <v>2318</v>
      </c>
      <c r="H3733" s="92" t="s">
        <v>1887</v>
      </c>
      <c r="I3733" s="414">
        <v>104000</v>
      </c>
      <c r="J3733" s="1132">
        <v>2.8</v>
      </c>
      <c r="K3733" s="405">
        <f>I3733*J3733</f>
        <v>291200</v>
      </c>
      <c r="L3733" s="414">
        <v>22395</v>
      </c>
      <c r="M3733" s="1133">
        <f>ROUND(K3733*L3733,0)</f>
        <v>6521424000</v>
      </c>
      <c r="N3733" s="1134" t="s">
        <v>576</v>
      </c>
      <c r="O3733" s="1134" t="s">
        <v>292</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1" ht="15.75" customHeight="1">
      <c r="A3734" s="323" t="str">
        <f>IF(B3734&lt;&gt;"",IF(AND(B3734='IN-TC'!$S$4,OR(TH!N306="1111",TH!O306="1111")),TH!D306,""),"")</f>
        <v/>
      </c>
      <c r="B3734" s="63">
        <f t="shared" si="241"/>
        <v>11</v>
      </c>
      <c r="C3734" s="1087">
        <v>42702</v>
      </c>
      <c r="D3734" s="1087" t="s">
        <v>2328</v>
      </c>
      <c r="E3734" s="1087">
        <f t="shared" si="244"/>
        <v>42702</v>
      </c>
      <c r="F3734" s="1155" t="s">
        <v>455</v>
      </c>
      <c r="G3734" s="1131" t="s">
        <v>2329</v>
      </c>
      <c r="H3734" s="92" t="s">
        <v>1887</v>
      </c>
      <c r="I3734" s="414">
        <v>104000</v>
      </c>
      <c r="J3734" s="1132">
        <v>2.8</v>
      </c>
      <c r="K3734" s="405">
        <f>I3734*J3734</f>
        <v>291200</v>
      </c>
      <c r="L3734" s="414">
        <v>22680</v>
      </c>
      <c r="M3734" s="1133">
        <f>ROUND(K3734*L3734,0)</f>
        <v>6604416000</v>
      </c>
      <c r="N3734" s="1134" t="s">
        <v>576</v>
      </c>
      <c r="O3734" s="1134" t="s">
        <v>292</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1" ht="15.75" customHeight="1">
      <c r="A3735" s="323" t="str">
        <f>IF(B3735&lt;&gt;"",IF(AND(B3735='IN-TC'!$S$4,OR(TH!N3709="1111",TH!O3709="1111")),TH!D3709,""),"")</f>
        <v/>
      </c>
      <c r="B3735" s="63">
        <f t="shared" si="241"/>
        <v>9</v>
      </c>
      <c r="C3735" s="64">
        <v>42626</v>
      </c>
      <c r="D3735" s="64" t="s">
        <v>687</v>
      </c>
      <c r="E3735" s="64">
        <f t="shared" si="244"/>
        <v>42626</v>
      </c>
      <c r="F3735" s="72" t="s">
        <v>1425</v>
      </c>
      <c r="G3735" s="67" t="s">
        <v>1544</v>
      </c>
      <c r="H3735" s="72" t="s">
        <v>1780</v>
      </c>
      <c r="I3735" s="408"/>
      <c r="J3735" s="408"/>
      <c r="K3735" s="399">
        <v>148300</v>
      </c>
      <c r="L3735" s="408">
        <v>22294</v>
      </c>
      <c r="M3735" s="65">
        <f>ROUND(K3735*L3735,0)</f>
        <v>3306200200</v>
      </c>
      <c r="N3735" s="66" t="s">
        <v>25</v>
      </c>
      <c r="O3735" s="66" t="s">
        <v>260</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x</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1" ht="15.75" customHeight="1">
      <c r="A3736" s="323" t="str">
        <f>IF(B3736&lt;&gt;"",IF(AND(B3736='IN-TC'!$S$4,OR(TH!N3712="1111",TH!O3712="1111")),TH!D3712,""),"")</f>
        <v/>
      </c>
      <c r="B3736" s="63">
        <f t="shared" si="241"/>
        <v>9</v>
      </c>
      <c r="C3736" s="90">
        <v>42626</v>
      </c>
      <c r="D3736" s="90" t="s">
        <v>687</v>
      </c>
      <c r="E3736" s="90">
        <f t="shared" si="244"/>
        <v>42626</v>
      </c>
      <c r="F3736" s="72" t="s">
        <v>2003</v>
      </c>
      <c r="G3736" s="91" t="s">
        <v>1544</v>
      </c>
      <c r="H3736" s="72" t="s">
        <v>2172</v>
      </c>
      <c r="I3736" s="414"/>
      <c r="J3736" s="414"/>
      <c r="K3736" s="405">
        <v>88000</v>
      </c>
      <c r="L3736" s="414">
        <v>22295</v>
      </c>
      <c r="M3736" s="93">
        <f>ROUND(K3736*L3736,0)</f>
        <v>1961960000</v>
      </c>
      <c r="N3736" s="83" t="s">
        <v>25</v>
      </c>
      <c r="O3736" s="83" t="s">
        <v>254</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x</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1" ht="15.75" customHeight="1">
      <c r="A3737" s="323" t="str">
        <f>IF(B3737&lt;&gt;"",IF(AND(B3737='IN-TC'!$S$4,OR(TH!N3708="1111",TH!O3708="1111")),TH!D3708,""),"")</f>
        <v/>
      </c>
      <c r="B3737" s="63">
        <f t="shared" si="241"/>
        <v>9</v>
      </c>
      <c r="C3737" s="64">
        <v>42626</v>
      </c>
      <c r="D3737" s="64" t="s">
        <v>690</v>
      </c>
      <c r="E3737" s="64">
        <f t="shared" si="244"/>
        <v>42626</v>
      </c>
      <c r="F3737" s="72" t="s">
        <v>1778</v>
      </c>
      <c r="G3737" s="67" t="s">
        <v>1544</v>
      </c>
      <c r="H3737" s="72" t="s">
        <v>1780</v>
      </c>
      <c r="I3737" s="408"/>
      <c r="J3737" s="408"/>
      <c r="K3737" s="399"/>
      <c r="L3737" s="408"/>
      <c r="M3737" s="65">
        <v>1819873</v>
      </c>
      <c r="N3737" s="66" t="s">
        <v>99</v>
      </c>
      <c r="O3737" s="66" t="s">
        <v>25</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x</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1" ht="15.75" customHeight="1">
      <c r="A3738" s="323" t="str">
        <f>IF(B3738&lt;&gt;"",IF(AND(B3738='IN-TC'!$S$4,OR(TH!N3710="1111",TH!O3710="1111")),TH!D3710,""),"")</f>
        <v/>
      </c>
      <c r="B3738" s="63">
        <f t="shared" si="241"/>
        <v>9</v>
      </c>
      <c r="C3738" s="64">
        <v>42626</v>
      </c>
      <c r="D3738" s="64" t="s">
        <v>690</v>
      </c>
      <c r="E3738" s="64">
        <f t="shared" si="244"/>
        <v>42626</v>
      </c>
      <c r="F3738" s="72" t="s">
        <v>1170</v>
      </c>
      <c r="G3738" s="67" t="s">
        <v>1544</v>
      </c>
      <c r="H3738" s="922" t="s">
        <v>1860</v>
      </c>
      <c r="I3738" s="408"/>
      <c r="J3738" s="408"/>
      <c r="K3738" s="399">
        <v>88000</v>
      </c>
      <c r="L3738" s="408">
        <v>22308</v>
      </c>
      <c r="M3738" s="65">
        <f>ROUND(K3738*L3738,0)</f>
        <v>1963104000</v>
      </c>
      <c r="N3738" s="66" t="s">
        <v>254</v>
      </c>
      <c r="O3738" s="66" t="s">
        <v>25</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x</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1" ht="15.75" customHeight="1">
      <c r="A3739" s="323" t="str">
        <f>IF(B3739&lt;&gt;"",IF(AND(B3739='IN-TC'!$S$4,OR(TH!N3711="1111",TH!O3711="1111")),TH!D3711,""),"")</f>
        <v/>
      </c>
      <c r="B3739" s="63">
        <f t="shared" si="241"/>
        <v>9</v>
      </c>
      <c r="C3739" s="64">
        <v>42626</v>
      </c>
      <c r="D3739" s="64" t="s">
        <v>690</v>
      </c>
      <c r="E3739" s="64">
        <f t="shared" si="244"/>
        <v>42626</v>
      </c>
      <c r="F3739" s="72" t="s">
        <v>1170</v>
      </c>
      <c r="G3739" s="67" t="s">
        <v>1544</v>
      </c>
      <c r="H3739" s="922" t="s">
        <v>1860</v>
      </c>
      <c r="I3739" s="408"/>
      <c r="J3739" s="408"/>
      <c r="K3739" s="399"/>
      <c r="L3739" s="408"/>
      <c r="M3739" s="65">
        <v>9387368</v>
      </c>
      <c r="N3739" s="66" t="s">
        <v>97</v>
      </c>
      <c r="O3739" s="66" t="s">
        <v>25</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x</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1" ht="15.75" customHeight="1">
      <c r="A3740" s="323" t="str">
        <f>IF(B3740&lt;&gt;"",IF(AND(B3740='IN-TC'!$S$4,OR(TH!N3768="1111",TH!O3768="1111")),TH!D3768,""),"")</f>
        <v/>
      </c>
      <c r="B3740" s="63">
        <f t="shared" si="241"/>
        <v>9</v>
      </c>
      <c r="C3740" s="1092">
        <v>42627</v>
      </c>
      <c r="D3740" s="1092" t="s">
        <v>867</v>
      </c>
      <c r="E3740" s="1092">
        <f t="shared" si="244"/>
        <v>42627</v>
      </c>
      <c r="F3740" s="482" t="s">
        <v>947</v>
      </c>
      <c r="G3740" s="1094"/>
      <c r="H3740" s="1093" t="s">
        <v>946</v>
      </c>
      <c r="I3740" s="1095"/>
      <c r="J3740" s="1095"/>
      <c r="K3740" s="1096"/>
      <c r="L3740" s="1095"/>
      <c r="M3740" s="1097">
        <v>500000000</v>
      </c>
      <c r="N3740" s="1098" t="s">
        <v>266</v>
      </c>
      <c r="O3740" s="1098" t="s">
        <v>61</v>
      </c>
      <c r="P3740" s="82" t="str">
        <f>IF(AND('331-CT'!$E$7=TH!H3740,OR(N3740="331",O3740="331")),"x","")</f>
        <v/>
      </c>
      <c r="Q3740" s="82" t="str">
        <f>IF(AND(B3740='111'!$L$11,OR($N3740=$Q$7,$O3740=$Q$7)),"x","")</f>
        <v/>
      </c>
      <c r="R3740" s="82" t="str">
        <f>IF(AND($N3740=$Q$7,$B3740&lt;'111'!$L$11),"x","")</f>
        <v/>
      </c>
      <c r="S3740" s="82" t="str">
        <f>IF(AND($O3740=$Q$7,$B3740&lt;'111'!$L$11),"x","")</f>
        <v>x</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1" ht="15.75" customHeight="1">
      <c r="A3741" s="323" t="str">
        <f>IF(B3741&lt;&gt;"",IF(AND(B3741='IN-TC'!$S$4,OR(TH!N3769="1111",TH!O3769="1111")),TH!D3769,""),"")</f>
        <v/>
      </c>
      <c r="B3741" s="63">
        <f t="shared" si="241"/>
        <v>9</v>
      </c>
      <c r="C3741" s="1092">
        <v>42627</v>
      </c>
      <c r="D3741" s="1092" t="s">
        <v>868</v>
      </c>
      <c r="E3741" s="1092">
        <f t="shared" si="244"/>
        <v>42627</v>
      </c>
      <c r="F3741" s="482" t="s">
        <v>947</v>
      </c>
      <c r="G3741" s="1094"/>
      <c r="H3741" s="1093" t="s">
        <v>3001</v>
      </c>
      <c r="I3741" s="1095"/>
      <c r="J3741" s="1095"/>
      <c r="K3741" s="1096"/>
      <c r="L3741" s="1095"/>
      <c r="M3741" s="1097">
        <v>400000000</v>
      </c>
      <c r="N3741" s="1098" t="s">
        <v>266</v>
      </c>
      <c r="O3741" s="1098" t="s">
        <v>61</v>
      </c>
      <c r="P3741" s="82" t="str">
        <f>IF(AND('331-CT'!$E$7=TH!H3741,OR(N3741="331",O3741="331")),"x","")</f>
        <v/>
      </c>
      <c r="Q3741" s="82" t="str">
        <f>IF(AND(B3741='111'!$L$11,OR($N3741=$Q$7,$O3741=$Q$7)),"x","")</f>
        <v/>
      </c>
      <c r="R3741" s="82" t="str">
        <f>IF(AND($N3741=$Q$7,$B3741&lt;'111'!$L$11),"x","")</f>
        <v/>
      </c>
      <c r="S3741" s="82" t="str">
        <f>IF(AND($O3741=$Q$7,$B3741&lt;'111'!$L$11),"x","")</f>
        <v>x</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1" ht="15.75" customHeight="1">
      <c r="A3742" s="323" t="str">
        <f>IF(B3742&lt;&gt;"",IF(AND(B3742='IN-TC'!$S$4,OR(TH!N2113="1111",TH!O2113="1111")),TH!D2113,""),"")</f>
        <v/>
      </c>
      <c r="B3742" s="63">
        <f t="shared" si="241"/>
        <v>11</v>
      </c>
      <c r="C3742" s="78">
        <v>42700</v>
      </c>
      <c r="D3742" s="78" t="s">
        <v>570</v>
      </c>
      <c r="E3742" s="78">
        <v>42700</v>
      </c>
      <c r="F3742" s="80" t="s">
        <v>2351</v>
      </c>
      <c r="G3742" s="934" t="s">
        <v>2527</v>
      </c>
      <c r="H3742" s="80" t="s">
        <v>617</v>
      </c>
      <c r="I3742" s="406"/>
      <c r="J3742" s="406"/>
      <c r="K3742" s="397"/>
      <c r="L3742" s="406"/>
      <c r="M3742" s="81">
        <v>25335400</v>
      </c>
      <c r="N3742" s="82" t="s">
        <v>276</v>
      </c>
      <c r="O3742" s="82" t="s">
        <v>8</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c r="AE3742">
        <v>1</v>
      </c>
    </row>
    <row r="3743" spans="1:31" ht="15.75" customHeight="1">
      <c r="A3743" s="323" t="str">
        <f>IF(B3743&lt;&gt;"",IF(AND(B3743='IN-TC'!$S$4,OR(TH!N3698="1111",TH!O3698="1111")),TH!D3698,""),"")</f>
        <v/>
      </c>
      <c r="B3743" s="63">
        <f t="shared" si="241"/>
        <v>9</v>
      </c>
      <c r="C3743" s="64">
        <v>42627</v>
      </c>
      <c r="D3743" s="64" t="s">
        <v>889</v>
      </c>
      <c r="E3743" s="64">
        <f>C3743</f>
        <v>42627</v>
      </c>
      <c r="F3743" s="72" t="s">
        <v>1126</v>
      </c>
      <c r="G3743" s="67" t="s">
        <v>1544</v>
      </c>
      <c r="H3743" s="72" t="s">
        <v>748</v>
      </c>
      <c r="I3743" s="408"/>
      <c r="J3743" s="408"/>
      <c r="K3743" s="399"/>
      <c r="L3743" s="408"/>
      <c r="M3743" s="65">
        <v>3300000000</v>
      </c>
      <c r="N3743" s="66" t="s">
        <v>61</v>
      </c>
      <c r="O3743" s="66" t="s">
        <v>25</v>
      </c>
      <c r="P3743" s="82" t="str">
        <f>IF(AND('331-CT'!$E$7=TH!H3743,OR(N3743="331",O3743="331")),"x","")</f>
        <v/>
      </c>
      <c r="Q3743" s="82" t="str">
        <f>IF(AND(B3743='111'!$L$11,OR($N3743=$Q$7,$O3743=$Q$7)),"x","")</f>
        <v/>
      </c>
      <c r="R3743" s="82" t="str">
        <f>IF(AND($N3743=$Q$7,$B3743&lt;'111'!$L$11),"x","")</f>
        <v>x</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x</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1" ht="15.75" customHeight="1">
      <c r="A3744" s="323" t="str">
        <f>IF(B3744&lt;&gt;"",IF(AND(B3744='IN-TC'!$S$4,OR(TH!N3770="1111",TH!O3770="1111")),TH!D3770,""),"")</f>
        <v/>
      </c>
      <c r="B3744" s="63">
        <f t="shared" si="241"/>
        <v>9</v>
      </c>
      <c r="C3744" s="64">
        <v>42628</v>
      </c>
      <c r="D3744" s="64" t="s">
        <v>869</v>
      </c>
      <c r="E3744" s="64">
        <v>42628</v>
      </c>
      <c r="F3744" s="72" t="s">
        <v>2033</v>
      </c>
      <c r="G3744" s="931" t="s">
        <v>2035</v>
      </c>
      <c r="H3744" s="72" t="s">
        <v>1418</v>
      </c>
      <c r="I3744" s="408"/>
      <c r="J3744" s="408"/>
      <c r="K3744" s="399"/>
      <c r="L3744" s="408"/>
      <c r="M3744" s="65">
        <v>1673000</v>
      </c>
      <c r="N3744" s="66" t="s">
        <v>99</v>
      </c>
      <c r="O3744" s="66" t="s">
        <v>61</v>
      </c>
      <c r="P3744" s="82" t="str">
        <f>IF(AND('331-CT'!$E$7=TH!H3744,OR(N3744="331",O3744="331")),"x","")</f>
        <v/>
      </c>
      <c r="Q3744" s="82" t="str">
        <f>IF(AND(B3744='111'!$L$11,OR($N3744=$Q$7,$O3744=$Q$7)),"x","")</f>
        <v/>
      </c>
      <c r="R3744" s="82" t="str">
        <f>IF(AND($N3744=$Q$7,$B3744&lt;'111'!$L$11),"x","")</f>
        <v/>
      </c>
      <c r="S3744" s="82" t="str">
        <f>IF(AND($O3744=$Q$7,$B3744&lt;'111'!$L$11),"x","")</f>
        <v>x</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customHeight="1">
      <c r="A3745" s="323" t="str">
        <f>IF(B3745&lt;&gt;"",IF(AND(B3745='IN-TC'!$S$4,OR(TH!N3771="1111",TH!O3771="1111")),TH!D3771,""),"")</f>
        <v/>
      </c>
      <c r="B3745" s="63">
        <f t="shared" si="241"/>
        <v>9</v>
      </c>
      <c r="C3745" s="64">
        <v>42628</v>
      </c>
      <c r="D3745" s="64" t="s">
        <v>869</v>
      </c>
      <c r="E3745" s="64">
        <v>42628</v>
      </c>
      <c r="F3745" s="72" t="s">
        <v>2034</v>
      </c>
      <c r="G3745" s="931" t="s">
        <v>2035</v>
      </c>
      <c r="H3745" s="72" t="s">
        <v>1418</v>
      </c>
      <c r="I3745" s="408"/>
      <c r="J3745" s="408"/>
      <c r="K3745" s="399"/>
      <c r="L3745" s="408"/>
      <c r="M3745" s="65">
        <v>167300</v>
      </c>
      <c r="N3745" s="66" t="s">
        <v>9</v>
      </c>
      <c r="O3745" s="66" t="s">
        <v>61</v>
      </c>
      <c r="P3745" s="82" t="str">
        <f>IF(AND('331-CT'!$E$7=TH!H3745,OR(N3745="331",O3745="331")),"x","")</f>
        <v/>
      </c>
      <c r="Q3745" s="82" t="str">
        <f>IF(AND(B3745='111'!$L$11,OR($N3745=$Q$7,$O3745=$Q$7)),"x","")</f>
        <v/>
      </c>
      <c r="R3745" s="82" t="str">
        <f>IF(AND($N3745=$Q$7,$B3745&lt;'111'!$L$11),"x","")</f>
        <v/>
      </c>
      <c r="S3745" s="82" t="str">
        <f>IF(AND($O3745=$Q$7,$B3745&lt;'111'!$L$11),"x","")</f>
        <v>x</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x</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customHeight="1">
      <c r="A3746" s="323" t="str">
        <f>IF(B3746&lt;&gt;"",IF(AND(B3746='IN-TC'!$S$4,OR(TH!N3813="1111",TH!O3813="1111")),TH!D3813,""),"")</f>
        <v/>
      </c>
      <c r="B3746" s="63">
        <f t="shared" si="241"/>
        <v>9</v>
      </c>
      <c r="C3746" s="64">
        <v>42630</v>
      </c>
      <c r="D3746" s="64" t="s">
        <v>690</v>
      </c>
      <c r="E3746" s="64">
        <f>C3746</f>
        <v>42630</v>
      </c>
      <c r="F3746" s="72" t="s">
        <v>1633</v>
      </c>
      <c r="G3746" s="67" t="s">
        <v>901</v>
      </c>
      <c r="H3746" s="72" t="s">
        <v>2048</v>
      </c>
      <c r="I3746" s="408"/>
      <c r="J3746" s="408"/>
      <c r="K3746" s="399"/>
      <c r="L3746" s="408"/>
      <c r="M3746" s="65">
        <v>50000</v>
      </c>
      <c r="N3746" s="66" t="s">
        <v>99</v>
      </c>
      <c r="O3746" s="66" t="s">
        <v>25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customHeight="1">
      <c r="A3747" s="323" t="str">
        <f>IF(B3747&lt;&gt;"",IF(AND(B3747='IN-TC'!$S$4,OR(TH!N3814="1111",TH!O3814="1111")),TH!D3814,""),"")</f>
        <v/>
      </c>
      <c r="B3747" s="63">
        <f t="shared" si="241"/>
        <v>9</v>
      </c>
      <c r="C3747" s="64">
        <v>42630</v>
      </c>
      <c r="D3747" s="64" t="s">
        <v>690</v>
      </c>
      <c r="E3747" s="64">
        <f>C3747</f>
        <v>42630</v>
      </c>
      <c r="F3747" s="72" t="s">
        <v>1634</v>
      </c>
      <c r="G3747" s="67" t="s">
        <v>901</v>
      </c>
      <c r="H3747" s="72" t="s">
        <v>2048</v>
      </c>
      <c r="I3747" s="408"/>
      <c r="J3747" s="408"/>
      <c r="K3747" s="399"/>
      <c r="L3747" s="408"/>
      <c r="M3747" s="65">
        <v>5000</v>
      </c>
      <c r="N3747" s="66" t="s">
        <v>9</v>
      </c>
      <c r="O3747" s="66" t="s">
        <v>25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x</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customHeight="1">
      <c r="A3748" s="323" t="str">
        <f>IF(B3748&lt;&gt;"",IF(AND(B3748='IN-TC'!$S$4,OR(TH!N3815="1111",TH!O3815="1111")),TH!D3815,""),"")</f>
        <v/>
      </c>
      <c r="B3748" s="63">
        <f t="shared" si="241"/>
        <v>9</v>
      </c>
      <c r="C3748" s="64">
        <v>42630</v>
      </c>
      <c r="D3748" s="64" t="s">
        <v>690</v>
      </c>
      <c r="E3748" s="64">
        <f>C3748</f>
        <v>42630</v>
      </c>
      <c r="F3748" s="72" t="s">
        <v>1633</v>
      </c>
      <c r="G3748" s="67" t="s">
        <v>901</v>
      </c>
      <c r="H3748" s="72" t="s">
        <v>2048</v>
      </c>
      <c r="I3748" s="408"/>
      <c r="J3748" s="408"/>
      <c r="K3748" s="399"/>
      <c r="L3748" s="408"/>
      <c r="M3748" s="65">
        <v>50000</v>
      </c>
      <c r="N3748" s="66" t="s">
        <v>99</v>
      </c>
      <c r="O3748" s="66" t="s">
        <v>25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customHeight="1">
      <c r="A3749" s="323" t="str">
        <f>IF(B3749&lt;&gt;"",IF(AND(B3749='IN-TC'!$S$4,OR(TH!N3816="1111",TH!O3816="1111")),TH!D3816,""),"")</f>
        <v/>
      </c>
      <c r="B3749" s="63">
        <f t="shared" si="241"/>
        <v>9</v>
      </c>
      <c r="C3749" s="64">
        <v>42630</v>
      </c>
      <c r="D3749" s="64" t="s">
        <v>690</v>
      </c>
      <c r="E3749" s="64">
        <f>C3749</f>
        <v>42630</v>
      </c>
      <c r="F3749" s="72" t="s">
        <v>1634</v>
      </c>
      <c r="G3749" s="67" t="s">
        <v>901</v>
      </c>
      <c r="H3749" s="72" t="s">
        <v>2048</v>
      </c>
      <c r="I3749" s="408"/>
      <c r="J3749" s="408"/>
      <c r="K3749" s="399"/>
      <c r="L3749" s="408"/>
      <c r="M3749" s="65">
        <v>5000</v>
      </c>
      <c r="N3749" s="66" t="s">
        <v>9</v>
      </c>
      <c r="O3749" s="66" t="s">
        <v>25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x</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customHeight="1">
      <c r="A3750" s="323" t="str">
        <f>IF(B3750&lt;&gt;"",IF(AND(B3750='IN-TC'!$S$4,OR(TH!N3772="1111",TH!O3772="1111")),TH!D3772,""),"")</f>
        <v/>
      </c>
      <c r="B3750" s="63">
        <f t="shared" si="241"/>
        <v>9</v>
      </c>
      <c r="C3750" s="1092">
        <v>42632</v>
      </c>
      <c r="D3750" s="1092" t="s">
        <v>870</v>
      </c>
      <c r="E3750" s="1092">
        <f>C3750</f>
        <v>42632</v>
      </c>
      <c r="F3750" s="482" t="s">
        <v>947</v>
      </c>
      <c r="G3750" s="1094"/>
      <c r="H3750" s="1093" t="s">
        <v>946</v>
      </c>
      <c r="I3750" s="1095"/>
      <c r="J3750" s="1095"/>
      <c r="K3750" s="1096"/>
      <c r="L3750" s="1095"/>
      <c r="M3750" s="1097">
        <v>500000000</v>
      </c>
      <c r="N3750" s="1098" t="s">
        <v>266</v>
      </c>
      <c r="O3750" s="1098" t="s">
        <v>61</v>
      </c>
      <c r="P3750" s="82" t="str">
        <f>IF(AND('331-CT'!$E$7=TH!H3750,OR(N3750="331",O3750="331")),"x","")</f>
        <v/>
      </c>
      <c r="Q3750" s="82" t="str">
        <f>IF(AND(B3750='111'!$L$11,OR($N3750=$Q$7,$O3750=$Q$7)),"x","")</f>
        <v/>
      </c>
      <c r="R3750" s="82" t="str">
        <f>IF(AND($N3750=$Q$7,$B3750&lt;'111'!$L$11),"x","")</f>
        <v/>
      </c>
      <c r="S3750" s="82" t="str">
        <f>IF(AND($O3750=$Q$7,$B3750&lt;'111'!$L$11),"x","")</f>
        <v>x</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customHeight="1">
      <c r="A3751" s="323" t="str">
        <f>IF(B3751&lt;&gt;"",IF(AND(B3751='IN-TC'!$S$4,OR(TH!N3773="1111",TH!O3773="1111")),TH!D3773,""),"")</f>
        <v/>
      </c>
      <c r="B3751" s="63">
        <f t="shared" si="241"/>
        <v>9</v>
      </c>
      <c r="C3751" s="64">
        <v>42632</v>
      </c>
      <c r="D3751" s="64" t="s">
        <v>871</v>
      </c>
      <c r="E3751" s="64">
        <v>42632</v>
      </c>
      <c r="F3751" s="72" t="s">
        <v>1094</v>
      </c>
      <c r="G3751" s="931" t="s">
        <v>2036</v>
      </c>
      <c r="H3751" s="72" t="s">
        <v>792</v>
      </c>
      <c r="I3751" s="408"/>
      <c r="J3751" s="408"/>
      <c r="K3751" s="399"/>
      <c r="L3751" s="1125"/>
      <c r="M3751" s="65">
        <v>876545</v>
      </c>
      <c r="N3751" s="66" t="s">
        <v>99</v>
      </c>
      <c r="O3751" s="66" t="s">
        <v>61</v>
      </c>
      <c r="P3751" s="82" t="str">
        <f>IF(AND('331-CT'!$E$7=TH!H3751,OR(N3751="331",O3751="331")),"x","")</f>
        <v/>
      </c>
      <c r="Q3751" s="82" t="str">
        <f>IF(AND(B3751='111'!$L$11,OR($N3751=$Q$7,$O3751=$Q$7)),"x","")</f>
        <v/>
      </c>
      <c r="R3751" s="82" t="str">
        <f>IF(AND($N3751=$Q$7,$B3751&lt;'111'!$L$11),"x","")</f>
        <v/>
      </c>
      <c r="S3751" s="82" t="str">
        <f>IF(AND($O3751=$Q$7,$B3751&lt;'111'!$L$11),"x","")</f>
        <v>x</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customHeight="1">
      <c r="A3752" s="323" t="str">
        <f>IF(B3752&lt;&gt;"",IF(AND(B3752='IN-TC'!$S$4,OR(TH!N3774="1111",TH!O3774="1111")),TH!D3774,""),"")</f>
        <v/>
      </c>
      <c r="B3752" s="63">
        <f t="shared" si="241"/>
        <v>9</v>
      </c>
      <c r="C3752" s="64">
        <v>42632</v>
      </c>
      <c r="D3752" s="64" t="s">
        <v>871</v>
      </c>
      <c r="E3752" s="64">
        <v>42632</v>
      </c>
      <c r="F3752" s="72" t="s">
        <v>1324</v>
      </c>
      <c r="G3752" s="931" t="s">
        <v>2036</v>
      </c>
      <c r="H3752" s="72" t="s">
        <v>792</v>
      </c>
      <c r="I3752" s="408"/>
      <c r="J3752" s="408"/>
      <c r="K3752" s="399"/>
      <c r="L3752" s="1125"/>
      <c r="M3752" s="65">
        <v>87655</v>
      </c>
      <c r="N3752" s="66" t="s">
        <v>9</v>
      </c>
      <c r="O3752" s="66" t="s">
        <v>61</v>
      </c>
      <c r="P3752" s="82" t="str">
        <f>IF(AND('331-CT'!$E$7=TH!H3752,OR(N3752="331",O3752="331")),"x","")</f>
        <v/>
      </c>
      <c r="Q3752" s="82" t="str">
        <f>IF(AND(B3752='111'!$L$11,OR($N3752=$Q$7,$O3752=$Q$7)),"x","")</f>
        <v/>
      </c>
      <c r="R3752" s="82" t="str">
        <f>IF(AND($N3752=$Q$7,$B3752&lt;'111'!$L$11),"x","")</f>
        <v/>
      </c>
      <c r="S3752" s="82" t="str">
        <f>IF(AND($O3752=$Q$7,$B3752&lt;'111'!$L$11),"x","")</f>
        <v>x</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x</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customHeight="1">
      <c r="A3753" s="1160" t="str">
        <f>IF(B3753&lt;&gt;"",IF(AND(B3753='IN-TC'!$S$4,OR(TH!N4287="1111",TH!O4287="1111")),TH!D4287,""),"")</f>
        <v/>
      </c>
      <c r="B3753" s="63">
        <f t="shared" si="241"/>
        <v>11</v>
      </c>
      <c r="C3753" s="78">
        <v>42703</v>
      </c>
      <c r="D3753" s="78" t="s">
        <v>687</v>
      </c>
      <c r="E3753" s="78">
        <f t="shared" ref="E3753:E3765" si="245">C3753</f>
        <v>42703</v>
      </c>
      <c r="F3753" s="80" t="s">
        <v>1436</v>
      </c>
      <c r="G3753" s="79" t="s">
        <v>1544</v>
      </c>
      <c r="H3753" s="80" t="s">
        <v>1887</v>
      </c>
      <c r="I3753" s="406"/>
      <c r="J3753" s="406"/>
      <c r="K3753" s="397">
        <v>145588</v>
      </c>
      <c r="L3753" s="1125">
        <v>22600</v>
      </c>
      <c r="M3753" s="81">
        <f>ROUND(K3753*L3753,0)</f>
        <v>3290288800</v>
      </c>
      <c r="N3753" s="82" t="s">
        <v>260</v>
      </c>
      <c r="O3753" s="82" t="s">
        <v>576</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customHeight="1">
      <c r="A3754" s="1160" t="str">
        <f>IF(B3754&lt;&gt;"",IF(AND(B3754='IN-TC'!$S$4,OR(TH!N4288="1111",TH!O4288="1111")),TH!D4288,""),"")</f>
        <v/>
      </c>
      <c r="B3754" s="63">
        <f t="shared" si="241"/>
        <v>11</v>
      </c>
      <c r="C3754" s="78">
        <v>42703</v>
      </c>
      <c r="D3754" s="78" t="s">
        <v>570</v>
      </c>
      <c r="E3754" s="78">
        <f t="shared" si="245"/>
        <v>42703</v>
      </c>
      <c r="F3754" s="80" t="s">
        <v>1968</v>
      </c>
      <c r="G3754" s="79" t="s">
        <v>1544</v>
      </c>
      <c r="H3754" s="80" t="s">
        <v>1887</v>
      </c>
      <c r="I3754" s="406"/>
      <c r="J3754" s="406"/>
      <c r="K3754" s="397">
        <v>12</v>
      </c>
      <c r="L3754" s="408">
        <v>22600</v>
      </c>
      <c r="M3754" s="81">
        <f>ROUND(K3754*L3754,0)</f>
        <v>271200</v>
      </c>
      <c r="N3754" s="82" t="s">
        <v>99</v>
      </c>
      <c r="O3754" s="82" t="s">
        <v>576</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customHeight="1">
      <c r="A3755" s="323" t="str">
        <f>IF(B3755&lt;&gt;"",IF(AND(B3755='IN-TC'!$S$4,OR(TH!N3717="1111",TH!O3717="1111")),TH!D3717,""),"")</f>
        <v/>
      </c>
      <c r="B3755" s="63">
        <f t="shared" si="241"/>
        <v>9</v>
      </c>
      <c r="C3755" s="64">
        <v>42633</v>
      </c>
      <c r="D3755" s="64" t="s">
        <v>687</v>
      </c>
      <c r="E3755" s="64">
        <f t="shared" si="245"/>
        <v>42633</v>
      </c>
      <c r="F3755" s="72" t="s">
        <v>1425</v>
      </c>
      <c r="G3755" s="67" t="s">
        <v>1544</v>
      </c>
      <c r="H3755" s="72" t="s">
        <v>1780</v>
      </c>
      <c r="I3755" s="408"/>
      <c r="J3755" s="408"/>
      <c r="K3755" s="399">
        <v>148000</v>
      </c>
      <c r="L3755" s="408">
        <v>22310</v>
      </c>
      <c r="M3755" s="65">
        <f>ROUND(K3755*L3755,0)</f>
        <v>3301880000</v>
      </c>
      <c r="N3755" s="66" t="s">
        <v>25</v>
      </c>
      <c r="O3755" s="66" t="s">
        <v>260</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x</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customHeight="1">
      <c r="A3756" s="323" t="str">
        <f>IF(B3756&lt;&gt;"",IF(AND(B3756='IN-TC'!$S$4,OR(TH!N3714="1111",TH!O3714="1111")),TH!D3714,""),"")</f>
        <v/>
      </c>
      <c r="B3756" s="63">
        <f t="shared" si="241"/>
        <v>9</v>
      </c>
      <c r="C3756" s="64">
        <v>42633</v>
      </c>
      <c r="D3756" s="64" t="s">
        <v>690</v>
      </c>
      <c r="E3756" s="64">
        <f t="shared" si="245"/>
        <v>42633</v>
      </c>
      <c r="F3756" s="72" t="s">
        <v>1778</v>
      </c>
      <c r="G3756" s="67" t="s">
        <v>1544</v>
      </c>
      <c r="H3756" s="72" t="s">
        <v>1780</v>
      </c>
      <c r="I3756" s="408"/>
      <c r="J3756" s="408"/>
      <c r="K3756" s="399"/>
      <c r="L3756" s="408"/>
      <c r="M3756" s="65">
        <v>1820688</v>
      </c>
      <c r="N3756" s="66" t="s">
        <v>99</v>
      </c>
      <c r="O3756" s="66" t="s">
        <v>25</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x</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customHeight="1">
      <c r="A3757" s="323" t="str">
        <f>IF(B3757&lt;&gt;"",IF(AND(B3757='IN-TC'!$S$4,OR(TH!N3715="1111",TH!O3715="1111")),TH!D3715,""),"")</f>
        <v/>
      </c>
      <c r="B3757" s="63">
        <f t="shared" si="241"/>
        <v>9</v>
      </c>
      <c r="C3757" s="64">
        <v>42633</v>
      </c>
      <c r="D3757" s="64" t="s">
        <v>690</v>
      </c>
      <c r="E3757" s="64">
        <f t="shared" si="245"/>
        <v>42633</v>
      </c>
      <c r="F3757" s="72" t="s">
        <v>1172</v>
      </c>
      <c r="G3757" s="67" t="s">
        <v>1544</v>
      </c>
      <c r="H3757" s="72" t="s">
        <v>1780</v>
      </c>
      <c r="I3757" s="408"/>
      <c r="J3757" s="408"/>
      <c r="K3757" s="399"/>
      <c r="L3757" s="408"/>
      <c r="M3757" s="65">
        <v>122870</v>
      </c>
      <c r="N3757" s="66" t="s">
        <v>99</v>
      </c>
      <c r="O3757" s="66" t="s">
        <v>25</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x</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customHeight="1">
      <c r="A3758" s="323" t="str">
        <f>IF(B3758&lt;&gt;"",IF(AND(B3758='IN-TC'!$S$4,OR(TH!N3740="1111",TH!O3740="1111")),TH!D3740,""),"")</f>
        <v/>
      </c>
      <c r="B3758" s="63">
        <f t="shared" ref="B3758:B3821" si="246">IF(C3758&lt;&gt;"",MONTH(C3758),"")</f>
        <v>9</v>
      </c>
      <c r="C3758" s="64">
        <v>42633</v>
      </c>
      <c r="D3758" s="64" t="s">
        <v>690</v>
      </c>
      <c r="E3758" s="64">
        <f t="shared" si="245"/>
        <v>42633</v>
      </c>
      <c r="F3758" s="72" t="s">
        <v>1172</v>
      </c>
      <c r="G3758" s="67" t="s">
        <v>1544</v>
      </c>
      <c r="H3758" s="72"/>
      <c r="I3758" s="408"/>
      <c r="J3758" s="408"/>
      <c r="K3758" s="399">
        <v>30.33</v>
      </c>
      <c r="L3758" s="408">
        <v>22310</v>
      </c>
      <c r="M3758" s="65">
        <f>ROUND(K3758*L3758,0)</f>
        <v>676662</v>
      </c>
      <c r="N3758" s="66" t="s">
        <v>99</v>
      </c>
      <c r="O3758" s="66" t="s">
        <v>260</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customHeight="1">
      <c r="A3759" s="323" t="str">
        <f>IF(B3759&lt;&gt;"",IF(AND(B3759='IN-TC'!$S$4,OR(TH!N3718="1111",TH!O3718="1111")),TH!D3718,""),"")</f>
        <v/>
      </c>
      <c r="B3759" s="63">
        <f t="shared" si="246"/>
        <v>9</v>
      </c>
      <c r="C3759" s="64">
        <v>42634</v>
      </c>
      <c r="D3759" s="64" t="s">
        <v>690</v>
      </c>
      <c r="E3759" s="64">
        <f t="shared" si="245"/>
        <v>42634</v>
      </c>
      <c r="F3759" s="72" t="s">
        <v>1172</v>
      </c>
      <c r="G3759" s="67" t="s">
        <v>1544</v>
      </c>
      <c r="H3759" s="72" t="s">
        <v>1780</v>
      </c>
      <c r="I3759" s="408"/>
      <c r="J3759" s="408"/>
      <c r="K3759" s="399"/>
      <c r="L3759" s="408"/>
      <c r="M3759" s="65">
        <v>223700</v>
      </c>
      <c r="N3759" s="66" t="s">
        <v>99</v>
      </c>
      <c r="O3759" s="66" t="s">
        <v>25</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x</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customHeight="1">
      <c r="A3760" s="323" t="str">
        <f>IF(B3760&lt;&gt;"",IF(AND(B3760='IN-TC'!$S$4,OR(TH!N3720="1111",TH!O3720="1111")),TH!D3720,""),"")</f>
        <v/>
      </c>
      <c r="B3760" s="63">
        <f t="shared" si="246"/>
        <v>9</v>
      </c>
      <c r="C3760" s="64">
        <v>42634</v>
      </c>
      <c r="D3760" s="64" t="s">
        <v>690</v>
      </c>
      <c r="E3760" s="64">
        <f t="shared" si="245"/>
        <v>42634</v>
      </c>
      <c r="F3760" s="72" t="s">
        <v>1767</v>
      </c>
      <c r="G3760" s="67" t="s">
        <v>1544</v>
      </c>
      <c r="H3760" s="922" t="s">
        <v>1860</v>
      </c>
      <c r="I3760" s="408"/>
      <c r="J3760" s="408"/>
      <c r="K3760" s="399"/>
      <c r="L3760" s="1125"/>
      <c r="M3760" s="65">
        <v>4038951</v>
      </c>
      <c r="N3760" s="66" t="s">
        <v>97</v>
      </c>
      <c r="O3760" s="66" t="s">
        <v>25</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x</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1" ht="15.75" customHeight="1">
      <c r="A3761" s="323" t="str">
        <f>IF(B3761&lt;&gt;"",IF(AND(B3761='IN-TC'!$S$4,OR(TH!N3822="1111",TH!O3822="1111")),TH!D3822,""),"")</f>
        <v/>
      </c>
      <c r="B3761" s="63">
        <f t="shared" si="246"/>
        <v>9</v>
      </c>
      <c r="C3761" s="64">
        <v>42634</v>
      </c>
      <c r="D3761" s="64" t="s">
        <v>690</v>
      </c>
      <c r="E3761" s="64">
        <f t="shared" si="245"/>
        <v>42634</v>
      </c>
      <c r="F3761" s="72" t="s">
        <v>1172</v>
      </c>
      <c r="G3761" s="67" t="s">
        <v>901</v>
      </c>
      <c r="H3761" s="72" t="s">
        <v>2048</v>
      </c>
      <c r="I3761" s="408"/>
      <c r="J3761" s="408"/>
      <c r="K3761" s="399">
        <v>15</v>
      </c>
      <c r="L3761" s="1125">
        <v>22300</v>
      </c>
      <c r="M3761" s="65">
        <f>ROUND(K3761*L3761,0)</f>
        <v>334500</v>
      </c>
      <c r="N3761" s="66" t="s">
        <v>99</v>
      </c>
      <c r="O3761" s="66" t="s">
        <v>260</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1" ht="15.75" customHeight="1">
      <c r="A3762" s="323" t="str">
        <f>IF(B3762&lt;&gt;"",IF(AND(B3762='IN-TC'!$S$4,OR(TH!N3823="1111",TH!O3823="1111")),TH!D3823,""),"")</f>
        <v/>
      </c>
      <c r="B3762" s="63">
        <f t="shared" si="246"/>
        <v>9</v>
      </c>
      <c r="C3762" s="64">
        <v>42634</v>
      </c>
      <c r="D3762" s="64" t="s">
        <v>690</v>
      </c>
      <c r="E3762" s="64">
        <f t="shared" si="245"/>
        <v>42634</v>
      </c>
      <c r="F3762" s="72" t="s">
        <v>1173</v>
      </c>
      <c r="G3762" s="67" t="s">
        <v>901</v>
      </c>
      <c r="H3762" s="72" t="s">
        <v>2048</v>
      </c>
      <c r="I3762" s="408"/>
      <c r="J3762" s="408"/>
      <c r="K3762" s="399">
        <v>1.5</v>
      </c>
      <c r="L3762" s="1125">
        <v>22300</v>
      </c>
      <c r="M3762" s="65">
        <f>ROUND(K3762*L3762,0)</f>
        <v>33450</v>
      </c>
      <c r="N3762" s="66" t="s">
        <v>9</v>
      </c>
      <c r="O3762" s="66" t="s">
        <v>260</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x</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1" ht="15.75" customHeight="1">
      <c r="A3763" s="323" t="str">
        <f>IF(B3763&lt;&gt;"",IF(AND(B3763='IN-TC'!$S$4,OR(TH!N3699="1111",TH!O3699="1111")),TH!D3699,""),"")</f>
        <v/>
      </c>
      <c r="B3763" s="63">
        <f t="shared" si="246"/>
        <v>9</v>
      </c>
      <c r="C3763" s="64">
        <v>42634</v>
      </c>
      <c r="D3763" s="64" t="s">
        <v>892</v>
      </c>
      <c r="E3763" s="64">
        <f t="shared" si="245"/>
        <v>42634</v>
      </c>
      <c r="F3763" s="72" t="s">
        <v>1126</v>
      </c>
      <c r="G3763" s="67" t="s">
        <v>1544</v>
      </c>
      <c r="H3763" s="72" t="s">
        <v>748</v>
      </c>
      <c r="I3763" s="408"/>
      <c r="J3763" s="408"/>
      <c r="K3763" s="399"/>
      <c r="L3763" s="1125"/>
      <c r="M3763" s="65">
        <v>3300000000</v>
      </c>
      <c r="N3763" s="66" t="s">
        <v>61</v>
      </c>
      <c r="O3763" s="66" t="s">
        <v>25</v>
      </c>
      <c r="P3763" s="82" t="str">
        <f>IF(AND('331-CT'!$E$7=TH!H3763,OR(N3763="331",O3763="331")),"x","")</f>
        <v/>
      </c>
      <c r="Q3763" s="82" t="str">
        <f>IF(AND(B3763='111'!$L$11,OR($N3763=$Q$7,$O3763=$Q$7)),"x","")</f>
        <v/>
      </c>
      <c r="R3763" s="82" t="str">
        <f>IF(AND($N3763=$Q$7,$B3763&lt;'111'!$L$11),"x","")</f>
        <v>x</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x</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1">
      <c r="A3764" s="323" t="str">
        <f>IF(B3764&lt;&gt;"",IF(AND(B3764='IN-TC'!$S$4,OR(TH!N3775="1111",TH!O3775="1111")),TH!D3775,""),"")</f>
        <v/>
      </c>
      <c r="B3764" s="63">
        <f t="shared" si="246"/>
        <v>9</v>
      </c>
      <c r="C3764" s="64">
        <v>42635</v>
      </c>
      <c r="D3764" s="64" t="s">
        <v>872</v>
      </c>
      <c r="E3764" s="64">
        <f t="shared" si="245"/>
        <v>42635</v>
      </c>
      <c r="F3764" s="72" t="s">
        <v>218</v>
      </c>
      <c r="G3764" s="931" t="s">
        <v>1970</v>
      </c>
      <c r="H3764" s="72" t="s">
        <v>606</v>
      </c>
      <c r="I3764" s="408">
        <v>450</v>
      </c>
      <c r="J3764" s="408">
        <v>18515.151999999998</v>
      </c>
      <c r="K3764" s="399"/>
      <c r="L3764" s="408"/>
      <c r="M3764" s="65">
        <f>ROUND(I3764*J3764,0)</f>
        <v>8331818</v>
      </c>
      <c r="N3764" s="66" t="s">
        <v>276</v>
      </c>
      <c r="O3764" s="66" t="s">
        <v>61</v>
      </c>
      <c r="P3764" s="82" t="str">
        <f>IF(AND('331-CT'!$E$7=TH!H3764,OR(N3764="331",O3764="331")),"x","")</f>
        <v/>
      </c>
      <c r="Q3764" s="82" t="str">
        <f>IF(AND(B3764='111'!$L$11,OR($N3764=$Q$7,$O3764=$Q$7)),"x","")</f>
        <v/>
      </c>
      <c r="R3764" s="82" t="str">
        <f>IF(AND($N3764=$Q$7,$B3764&lt;'111'!$L$11),"x","")</f>
        <v/>
      </c>
      <c r="S3764" s="82" t="str">
        <f>IF(AND($O3764=$Q$7,$B3764&lt;'111'!$L$11),"x","")</f>
        <v>x</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1">
      <c r="A3765" s="323" t="str">
        <f>IF(B3765&lt;&gt;"",IF(AND(B3765='IN-TC'!$S$4,OR(TH!N3776="1111",TH!O3776="1111")),TH!D3776,""),"")</f>
        <v/>
      </c>
      <c r="B3765" s="63">
        <f t="shared" si="246"/>
        <v>9</v>
      </c>
      <c r="C3765" s="64">
        <v>42635</v>
      </c>
      <c r="D3765" s="64" t="s">
        <v>872</v>
      </c>
      <c r="E3765" s="64">
        <f t="shared" si="245"/>
        <v>42635</v>
      </c>
      <c r="F3765" s="72" t="s">
        <v>1335</v>
      </c>
      <c r="G3765" s="931" t="s">
        <v>1970</v>
      </c>
      <c r="H3765" s="72" t="s">
        <v>606</v>
      </c>
      <c r="I3765" s="408"/>
      <c r="J3765" s="408"/>
      <c r="K3765" s="399"/>
      <c r="L3765" s="408"/>
      <c r="M3765" s="65">
        <v>833182</v>
      </c>
      <c r="N3765" s="66" t="s">
        <v>9</v>
      </c>
      <c r="O3765" s="66" t="s">
        <v>61</v>
      </c>
      <c r="P3765" s="82" t="str">
        <f>IF(AND('331-CT'!$E$7=TH!H3765,OR(N3765="331",O3765="331")),"x","")</f>
        <v/>
      </c>
      <c r="Q3765" s="82" t="str">
        <f>IF(AND(B3765='111'!$L$11,OR($N3765=$Q$7,$O3765=$Q$7)),"x","")</f>
        <v/>
      </c>
      <c r="R3765" s="82" t="str">
        <f>IF(AND($N3765=$Q$7,$B3765&lt;'111'!$L$11),"x","")</f>
        <v/>
      </c>
      <c r="S3765" s="82" t="str">
        <f>IF(AND($O3765=$Q$7,$B3765&lt;'111'!$L$11),"x","")</f>
        <v>x</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x</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1" ht="15.75" customHeight="1">
      <c r="A3766" s="323" t="str">
        <f>IF(B3766&lt;&gt;"",IF(AND(B3766='IN-TC'!$S$4,OR(TH!N3777="1111",TH!O3777="1111")),TH!D3777,""),"")</f>
        <v/>
      </c>
      <c r="B3766" s="63">
        <f t="shared" si="246"/>
        <v>9</v>
      </c>
      <c r="C3766" s="64">
        <v>42635</v>
      </c>
      <c r="D3766" s="64" t="s">
        <v>873</v>
      </c>
      <c r="E3766" s="64">
        <v>42635</v>
      </c>
      <c r="F3766" s="72" t="s">
        <v>1197</v>
      </c>
      <c r="G3766" s="67"/>
      <c r="H3766" s="72" t="s">
        <v>2046</v>
      </c>
      <c r="I3766" s="408"/>
      <c r="J3766" s="408"/>
      <c r="K3766" s="399"/>
      <c r="L3766" s="408"/>
      <c r="M3766" s="65">
        <v>50000000</v>
      </c>
      <c r="N3766" s="66" t="s">
        <v>18</v>
      </c>
      <c r="O3766" s="66" t="s">
        <v>61</v>
      </c>
      <c r="P3766" s="82" t="str">
        <f>IF(AND('331-CT'!$E$7=TH!H3766,OR(N3766="331",O3766="331")),"x","")</f>
        <v/>
      </c>
      <c r="Q3766" s="82" t="str">
        <f>IF(AND(B3766='111'!$L$11,OR($N3766=$Q$7,$O3766=$Q$7)),"x","")</f>
        <v/>
      </c>
      <c r="R3766" s="82" t="str">
        <f>IF(AND($N3766=$Q$7,$B3766&lt;'111'!$L$11),"x","")</f>
        <v/>
      </c>
      <c r="S3766" s="82" t="str">
        <f>IF(AND($O3766=$Q$7,$B3766&lt;'111'!$L$11),"x","")</f>
        <v>x</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1" ht="15.75" customHeight="1">
      <c r="A3767" s="323" t="str">
        <f>IF(B3767&lt;&gt;"",IF(AND(B3767='IN-TC'!$S$4,OR(TH!N3794="1111",TH!O3794="1111")),TH!D3794,""),"")</f>
        <v/>
      </c>
      <c r="B3767" s="63">
        <f t="shared" si="246"/>
        <v>9</v>
      </c>
      <c r="C3767" s="64">
        <v>42635</v>
      </c>
      <c r="D3767" s="64" t="s">
        <v>687</v>
      </c>
      <c r="E3767" s="64">
        <v>42635</v>
      </c>
      <c r="F3767" s="72" t="s">
        <v>2045</v>
      </c>
      <c r="G3767" s="67" t="s">
        <v>902</v>
      </c>
      <c r="H3767" s="72" t="s">
        <v>2046</v>
      </c>
      <c r="I3767" s="408"/>
      <c r="J3767" s="408"/>
      <c r="K3767" s="399"/>
      <c r="L3767" s="408"/>
      <c r="M3767" s="65">
        <v>50000000</v>
      </c>
      <c r="N3767" s="66" t="s">
        <v>25</v>
      </c>
      <c r="O3767" s="66" t="s">
        <v>18</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1" ht="15.75" customHeight="1">
      <c r="A3768" s="323" t="str">
        <f>IF(B3768&lt;&gt;"",IF(AND(B3768='IN-TC'!$S$4,OR(TH!N3741="1111",TH!O3741="1111")),TH!D3741,""),"")</f>
        <v/>
      </c>
      <c r="B3768" s="63">
        <f t="shared" si="246"/>
        <v>9</v>
      </c>
      <c r="C3768" s="90">
        <v>42635</v>
      </c>
      <c r="D3768" s="90" t="s">
        <v>690</v>
      </c>
      <c r="E3768" s="90">
        <f>C3768</f>
        <v>42635</v>
      </c>
      <c r="F3768" s="72" t="s">
        <v>2008</v>
      </c>
      <c r="G3768" s="91" t="s">
        <v>1544</v>
      </c>
      <c r="H3768" s="92" t="s">
        <v>1780</v>
      </c>
      <c r="I3768" s="414"/>
      <c r="J3768" s="414"/>
      <c r="K3768" s="405">
        <v>239.9</v>
      </c>
      <c r="L3768" s="1327">
        <v>22310</v>
      </c>
      <c r="M3768" s="81">
        <f>ROUND(K3768*L3768,0)</f>
        <v>5352169</v>
      </c>
      <c r="N3768" s="83" t="s">
        <v>97</v>
      </c>
      <c r="O3768" s="83" t="s">
        <v>260</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1" ht="15.75" customHeight="1">
      <c r="A3769" s="323" t="str">
        <f>IF(B3769&lt;&gt;"",IF(AND(B3769='IN-TC'!$S$4,OR(TH!N4146="1111",TH!O4146="1111")),TH!D4146,""),"")</f>
        <v/>
      </c>
      <c r="B3769" s="63">
        <f t="shared" si="246"/>
        <v>11</v>
      </c>
      <c r="C3769" s="64">
        <v>42698</v>
      </c>
      <c r="D3769" s="64" t="s">
        <v>690</v>
      </c>
      <c r="E3769" s="64">
        <f>C3769</f>
        <v>42698</v>
      </c>
      <c r="F3769" s="72" t="s">
        <v>2345</v>
      </c>
      <c r="G3769" s="67" t="s">
        <v>901</v>
      </c>
      <c r="H3769" s="72" t="s">
        <v>614</v>
      </c>
      <c r="I3769" s="408"/>
      <c r="J3769" s="408"/>
      <c r="K3769" s="399"/>
      <c r="L3769" s="1125"/>
      <c r="M3769" s="65">
        <v>2230000</v>
      </c>
      <c r="N3769" s="66" t="s">
        <v>8</v>
      </c>
      <c r="O3769" s="66" t="s">
        <v>25</v>
      </c>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1" ht="15.75" customHeight="1">
      <c r="A3770" s="323" t="str">
        <f>IF(B3770&lt;&gt;"",IF(AND(B3770='IN-TC'!$S$4,OR(TH!N3796="1111",TH!O3796="1111")),TH!D3796,""),"")</f>
        <v/>
      </c>
      <c r="B3770" s="63">
        <f t="shared" si="246"/>
        <v>9</v>
      </c>
      <c r="C3770" s="64">
        <v>42635</v>
      </c>
      <c r="D3770" s="64" t="s">
        <v>690</v>
      </c>
      <c r="E3770" s="64">
        <v>42635</v>
      </c>
      <c r="F3770" s="72" t="s">
        <v>1179</v>
      </c>
      <c r="G3770" s="67" t="s">
        <v>902</v>
      </c>
      <c r="H3770" s="72" t="s">
        <v>1779</v>
      </c>
      <c r="I3770" s="408"/>
      <c r="J3770" s="408"/>
      <c r="K3770" s="399"/>
      <c r="L3770" s="408"/>
      <c r="M3770" s="65">
        <v>20000</v>
      </c>
      <c r="N3770" s="66" t="s">
        <v>99</v>
      </c>
      <c r="O3770" s="66" t="s">
        <v>25</v>
      </c>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1" ht="15.75" customHeight="1">
      <c r="A3771" s="323" t="str">
        <f>IF(B3771&lt;&gt;"",IF(AND(B3771='IN-TC'!$S$4,OR(TH!N3797="1111",TH!O3797="1111")),TH!D3797,""),"")</f>
        <v/>
      </c>
      <c r="B3771" s="63">
        <f t="shared" si="246"/>
        <v>9</v>
      </c>
      <c r="C3771" s="64">
        <v>42635</v>
      </c>
      <c r="D3771" s="64" t="s">
        <v>690</v>
      </c>
      <c r="E3771" s="64">
        <v>42635</v>
      </c>
      <c r="F3771" s="72" t="s">
        <v>1180</v>
      </c>
      <c r="G3771" s="67" t="s">
        <v>902</v>
      </c>
      <c r="H3771" s="72" t="s">
        <v>1779</v>
      </c>
      <c r="I3771" s="408"/>
      <c r="J3771" s="408"/>
      <c r="K3771" s="399"/>
      <c r="L3771" s="408"/>
      <c r="M3771" s="65">
        <v>2000</v>
      </c>
      <c r="N3771" s="66" t="s">
        <v>9</v>
      </c>
      <c r="O3771" s="66" t="s">
        <v>25</v>
      </c>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x</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1" ht="15.75" customHeight="1">
      <c r="A3772" s="323" t="str">
        <f>IF(B3772&lt;&gt;"",IF(AND(B3772='IN-TC'!$S$4,OR(TH!N2114="1111",TH!O2114="1111")),TH!D2114,""),"")</f>
        <v/>
      </c>
      <c r="B3772" s="63">
        <f t="shared" si="246"/>
        <v>11</v>
      </c>
      <c r="C3772" s="78">
        <v>42700</v>
      </c>
      <c r="D3772" s="78" t="s">
        <v>570</v>
      </c>
      <c r="E3772" s="78">
        <v>42700</v>
      </c>
      <c r="F3772" s="80" t="s">
        <v>2352</v>
      </c>
      <c r="G3772" s="934" t="s">
        <v>2527</v>
      </c>
      <c r="H3772" s="80" t="s">
        <v>617</v>
      </c>
      <c r="I3772" s="406"/>
      <c r="J3772" s="406"/>
      <c r="K3772" s="397"/>
      <c r="L3772" s="1326"/>
      <c r="M3772" s="81">
        <v>2533540</v>
      </c>
      <c r="N3772" s="82" t="s">
        <v>9</v>
      </c>
      <c r="O3772" s="82" t="s">
        <v>8</v>
      </c>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x</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c r="AE3772">
        <v>1</v>
      </c>
    </row>
    <row r="3773" spans="1:31" ht="15.75" customHeight="1">
      <c r="A3773" s="323" t="str">
        <f>IF(B3773&lt;&gt;"",IF(AND(B3773='IN-TC'!$S$4,OR(TH!N3799="1111",TH!O3799="1111")),TH!D3799,""),"")</f>
        <v/>
      </c>
      <c r="B3773" s="63">
        <f t="shared" si="246"/>
        <v>9</v>
      </c>
      <c r="C3773" s="64">
        <v>42635</v>
      </c>
      <c r="D3773" s="64" t="s">
        <v>690</v>
      </c>
      <c r="E3773" s="64">
        <f>C3773</f>
        <v>42635</v>
      </c>
      <c r="F3773" s="72" t="s">
        <v>1179</v>
      </c>
      <c r="G3773" s="67" t="s">
        <v>902</v>
      </c>
      <c r="H3773" s="72" t="s">
        <v>1779</v>
      </c>
      <c r="I3773" s="408"/>
      <c r="J3773" s="408"/>
      <c r="K3773" s="399"/>
      <c r="L3773" s="408"/>
      <c r="M3773" s="65">
        <v>25000</v>
      </c>
      <c r="N3773" s="66" t="s">
        <v>99</v>
      </c>
      <c r="O3773" s="66" t="s">
        <v>25</v>
      </c>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1" ht="15.75" customHeight="1">
      <c r="A3774" s="323" t="str">
        <f>IF(B3774&lt;&gt;"",IF(AND(B3774='IN-TC'!$S$4,OR(TH!N3800="1111",TH!O3800="1111")),TH!D3800,""),"")</f>
        <v/>
      </c>
      <c r="B3774" s="63">
        <f t="shared" si="246"/>
        <v>9</v>
      </c>
      <c r="C3774" s="64">
        <v>42635</v>
      </c>
      <c r="D3774" s="64" t="s">
        <v>690</v>
      </c>
      <c r="E3774" s="64">
        <f>C3774</f>
        <v>42635</v>
      </c>
      <c r="F3774" s="72" t="s">
        <v>1180</v>
      </c>
      <c r="G3774" s="67" t="s">
        <v>902</v>
      </c>
      <c r="H3774" s="72" t="s">
        <v>1779</v>
      </c>
      <c r="I3774" s="408"/>
      <c r="J3774" s="408"/>
      <c r="K3774" s="399"/>
      <c r="L3774" s="408"/>
      <c r="M3774" s="65">
        <v>2500</v>
      </c>
      <c r="N3774" s="66" t="s">
        <v>9</v>
      </c>
      <c r="O3774" s="66" t="s">
        <v>25</v>
      </c>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x</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1" ht="15.75" customHeight="1">
      <c r="A3775" s="323" t="str">
        <f>IF(B3775&lt;&gt;"",IF(AND(B3775='IN-TC'!$S$4,OR(TH!N2118="1111",TH!O2118="1111")),TH!D2118,""),"")</f>
        <v/>
      </c>
      <c r="B3775" s="63">
        <f t="shared" si="246"/>
        <v>11</v>
      </c>
      <c r="C3775" s="78">
        <v>42698</v>
      </c>
      <c r="D3775" s="78" t="s">
        <v>570</v>
      </c>
      <c r="E3775" s="78">
        <v>42698</v>
      </c>
      <c r="F3775" s="80" t="s">
        <v>1980</v>
      </c>
      <c r="G3775" s="934" t="s">
        <v>2437</v>
      </c>
      <c r="H3775" s="80" t="s">
        <v>614</v>
      </c>
      <c r="I3775" s="406"/>
      <c r="J3775" s="406"/>
      <c r="K3775" s="397"/>
      <c r="L3775" s="406"/>
      <c r="M3775" s="81">
        <v>810000</v>
      </c>
      <c r="N3775" s="82" t="s">
        <v>579</v>
      </c>
      <c r="O3775" s="82" t="s">
        <v>8</v>
      </c>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1" ht="15.75" customHeight="1">
      <c r="A3776" s="323" t="str">
        <f>IF(B3776&lt;&gt;"",IF(AND(B3776='IN-TC'!$S$4,OR(TH!N3802="1111",TH!O3802="1111")),TH!D3802,""),"")</f>
        <v/>
      </c>
      <c r="B3776" s="63">
        <f t="shared" si="246"/>
        <v>9</v>
      </c>
      <c r="C3776" s="64">
        <v>42635</v>
      </c>
      <c r="D3776" s="64" t="s">
        <v>690</v>
      </c>
      <c r="E3776" s="64">
        <v>42635</v>
      </c>
      <c r="F3776" s="72" t="s">
        <v>1179</v>
      </c>
      <c r="G3776" s="67" t="s">
        <v>902</v>
      </c>
      <c r="H3776" s="72" t="s">
        <v>1779</v>
      </c>
      <c r="I3776" s="408"/>
      <c r="J3776" s="408"/>
      <c r="K3776" s="399"/>
      <c r="L3776" s="408"/>
      <c r="M3776" s="65">
        <v>20000</v>
      </c>
      <c r="N3776" s="66" t="s">
        <v>99</v>
      </c>
      <c r="O3776" s="66" t="s">
        <v>25</v>
      </c>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customHeight="1">
      <c r="A3777" s="323" t="str">
        <f>IF(B3777&lt;&gt;"",IF(AND(B3777='IN-TC'!$S$4,OR(TH!N3803="1111",TH!O3803="1111")),TH!D3803,""),"")</f>
        <v/>
      </c>
      <c r="B3777" s="63">
        <f t="shared" si="246"/>
        <v>9</v>
      </c>
      <c r="C3777" s="64">
        <v>42635</v>
      </c>
      <c r="D3777" s="64" t="s">
        <v>690</v>
      </c>
      <c r="E3777" s="64">
        <v>42635</v>
      </c>
      <c r="F3777" s="72" t="s">
        <v>1180</v>
      </c>
      <c r="G3777" s="67" t="s">
        <v>902</v>
      </c>
      <c r="H3777" s="72" t="s">
        <v>1779</v>
      </c>
      <c r="I3777" s="408"/>
      <c r="J3777" s="408"/>
      <c r="K3777" s="399"/>
      <c r="L3777" s="408"/>
      <c r="M3777" s="65">
        <v>2000</v>
      </c>
      <c r="N3777" s="66" t="s">
        <v>9</v>
      </c>
      <c r="O3777" s="66" t="s">
        <v>25</v>
      </c>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x</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customHeight="1">
      <c r="A3778" s="323" t="str">
        <f>IF(B3778&lt;&gt;"",IF(AND(B3778='IN-TC'!$S$4,OR(TH!N3778="1111",TH!O3778="1111")),TH!D3778,""),"")</f>
        <v/>
      </c>
      <c r="B3778" s="63">
        <f t="shared" si="246"/>
        <v>9</v>
      </c>
      <c r="C3778" s="1092">
        <v>42636</v>
      </c>
      <c r="D3778" s="1092" t="s">
        <v>874</v>
      </c>
      <c r="E3778" s="1092">
        <f>C3778</f>
        <v>42636</v>
      </c>
      <c r="F3778" s="482" t="s">
        <v>947</v>
      </c>
      <c r="G3778" s="1094"/>
      <c r="H3778" s="1093" t="s">
        <v>3001</v>
      </c>
      <c r="I3778" s="1095"/>
      <c r="J3778" s="1095"/>
      <c r="K3778" s="1096"/>
      <c r="L3778" s="1136"/>
      <c r="M3778" s="1097">
        <v>400000000</v>
      </c>
      <c r="N3778" s="1098" t="s">
        <v>266</v>
      </c>
      <c r="O3778" s="1098" t="s">
        <v>61</v>
      </c>
      <c r="P3778" s="82" t="str">
        <f>IF(AND('331-CT'!$E$7=TH!H3778,OR(N3778="331",O3778="331")),"x","")</f>
        <v/>
      </c>
      <c r="Q3778" s="82" t="str">
        <f>IF(AND(B3778='111'!$L$11,OR($N3778=$Q$7,$O3778=$Q$7)),"x","")</f>
        <v/>
      </c>
      <c r="R3778" s="82" t="str">
        <f>IF(AND($N3778=$Q$7,$B3778&lt;'111'!$L$11),"x","")</f>
        <v/>
      </c>
      <c r="S3778" s="82" t="str">
        <f>IF(AND($O3778=$Q$7,$B3778&lt;'111'!$L$11),"x","")</f>
        <v>x</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customHeight="1">
      <c r="A3779" s="323" t="str">
        <f>IF(B3779&lt;&gt;"",IF(AND(B3779='IN-TC'!$S$4,OR(TH!N3779="1111",TH!O3779="1111")),TH!D3779,""),"")</f>
        <v/>
      </c>
      <c r="B3779" s="63">
        <f t="shared" si="246"/>
        <v>9</v>
      </c>
      <c r="C3779" s="64">
        <v>42637</v>
      </c>
      <c r="D3779" s="64" t="s">
        <v>875</v>
      </c>
      <c r="E3779" s="64">
        <f>C3779</f>
        <v>42637</v>
      </c>
      <c r="F3779" s="72" t="s">
        <v>1087</v>
      </c>
      <c r="G3779" s="67" t="s">
        <v>901</v>
      </c>
      <c r="H3779" s="72" t="s">
        <v>748</v>
      </c>
      <c r="I3779" s="408"/>
      <c r="J3779" s="408"/>
      <c r="K3779" s="399"/>
      <c r="L3779" s="408"/>
      <c r="M3779" s="65">
        <v>20000000</v>
      </c>
      <c r="N3779" s="66" t="s">
        <v>25</v>
      </c>
      <c r="O3779" s="66" t="s">
        <v>61</v>
      </c>
      <c r="P3779" s="82" t="str">
        <f>IF(AND('331-CT'!$E$7=TH!H3779,OR(N3779="331",O3779="331")),"x","")</f>
        <v/>
      </c>
      <c r="Q3779" s="82" t="str">
        <f>IF(AND(B3779='111'!$L$11,OR($N3779=$Q$7,$O3779=$Q$7)),"x","")</f>
        <v/>
      </c>
      <c r="R3779" s="82" t="str">
        <f>IF(AND($N3779=$Q$7,$B3779&lt;'111'!$L$11),"x","")</f>
        <v/>
      </c>
      <c r="S3779" s="82" t="str">
        <f>IF(AND($O3779=$Q$7,$B3779&lt;'111'!$L$11),"x","")</f>
        <v>x</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customHeight="1">
      <c r="A3780" s="323" t="str">
        <f>IF(B3780&lt;&gt;"",IF(AND(B3780='IN-TC'!$S$4,OR(TH!N3804="1111",TH!O3804="1111")),TH!D3804,""),"")</f>
        <v/>
      </c>
      <c r="B3780" s="63">
        <f t="shared" si="246"/>
        <v>9</v>
      </c>
      <c r="C3780" s="64">
        <v>42637</v>
      </c>
      <c r="D3780" s="64" t="s">
        <v>687</v>
      </c>
      <c r="E3780" s="64">
        <v>42635</v>
      </c>
      <c r="F3780" s="72" t="s">
        <v>1632</v>
      </c>
      <c r="G3780" s="67" t="s">
        <v>902</v>
      </c>
      <c r="H3780" s="72" t="s">
        <v>1779</v>
      </c>
      <c r="I3780" s="408"/>
      <c r="J3780" s="408"/>
      <c r="K3780" s="399"/>
      <c r="L3780" s="408"/>
      <c r="M3780" s="65">
        <v>9429</v>
      </c>
      <c r="N3780" s="66" t="s">
        <v>25</v>
      </c>
      <c r="O3780" s="66" t="s">
        <v>41</v>
      </c>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customHeight="1">
      <c r="A3781" s="323" t="str">
        <f>IF(B3781&lt;&gt;"",IF(AND(B3781='IN-TC'!$S$4,OR(TH!N3817="1111",TH!O3817="1111")),TH!D3817,""),"")</f>
        <v/>
      </c>
      <c r="B3781" s="63">
        <f t="shared" si="246"/>
        <v>9</v>
      </c>
      <c r="C3781" s="64">
        <v>42637</v>
      </c>
      <c r="D3781" s="64" t="s">
        <v>690</v>
      </c>
      <c r="E3781" s="64">
        <f>C3781</f>
        <v>42637</v>
      </c>
      <c r="F3781" s="72" t="s">
        <v>1767</v>
      </c>
      <c r="G3781" s="67" t="s">
        <v>901</v>
      </c>
      <c r="H3781" s="72" t="s">
        <v>1650</v>
      </c>
      <c r="I3781" s="408"/>
      <c r="J3781" s="408"/>
      <c r="K3781" s="399">
        <v>213.96</v>
      </c>
      <c r="L3781" s="408">
        <v>22340</v>
      </c>
      <c r="M3781" s="65">
        <f>ROUND(K3781*L3781,0)</f>
        <v>4779866</v>
      </c>
      <c r="N3781" s="66" t="s">
        <v>97</v>
      </c>
      <c r="O3781" s="66" t="s">
        <v>25</v>
      </c>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customHeight="1">
      <c r="A3782" s="323" t="str">
        <f>IF(B3782&lt;&gt;"",IF(AND(B3782='IN-TC'!$S$4,OR(TH!N3818="1111",TH!O3818="1111")),TH!D3818,""),"")</f>
        <v/>
      </c>
      <c r="B3782" s="63">
        <f t="shared" si="246"/>
        <v>9</v>
      </c>
      <c r="C3782" s="64">
        <v>42637</v>
      </c>
      <c r="D3782" s="64" t="s">
        <v>690</v>
      </c>
      <c r="E3782" s="64">
        <f>C3782</f>
        <v>42637</v>
      </c>
      <c r="F3782" s="72" t="s">
        <v>1767</v>
      </c>
      <c r="G3782" s="67" t="s">
        <v>901</v>
      </c>
      <c r="H3782" s="72" t="s">
        <v>1652</v>
      </c>
      <c r="I3782" s="408"/>
      <c r="J3782" s="408"/>
      <c r="K3782" s="399">
        <v>286.7</v>
      </c>
      <c r="L3782" s="1125">
        <v>22340</v>
      </c>
      <c r="M3782" s="65">
        <f>ROUND(K3782*L3782,0)</f>
        <v>6404878</v>
      </c>
      <c r="N3782" s="66" t="s">
        <v>97</v>
      </c>
      <c r="O3782" s="66" t="s">
        <v>25</v>
      </c>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customHeight="1">
      <c r="A3783" s="323" t="str">
        <f>IF(B3783&lt;&gt;"",IF(AND(B3783='IN-TC'!$S$4,OR(TH!N3819="1111",TH!O3819="1111")),TH!D3819,""),"")</f>
        <v/>
      </c>
      <c r="B3783" s="63">
        <f t="shared" si="246"/>
        <v>9</v>
      </c>
      <c r="C3783" s="64">
        <v>42637</v>
      </c>
      <c r="D3783" s="64" t="s">
        <v>690</v>
      </c>
      <c r="E3783" s="64">
        <f>C3783</f>
        <v>42637</v>
      </c>
      <c r="F3783" s="72" t="s">
        <v>1767</v>
      </c>
      <c r="G3783" s="67" t="s">
        <v>901</v>
      </c>
      <c r="H3783" s="72" t="s">
        <v>1877</v>
      </c>
      <c r="I3783" s="408"/>
      <c r="J3783" s="408"/>
      <c r="K3783" s="399">
        <v>111.21</v>
      </c>
      <c r="L3783" s="1125">
        <v>22340</v>
      </c>
      <c r="M3783" s="65">
        <f>ROUND(K3783*L3783,0)</f>
        <v>2484431</v>
      </c>
      <c r="N3783" s="66" t="s">
        <v>97</v>
      </c>
      <c r="O3783" s="66" t="s">
        <v>25</v>
      </c>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customHeight="1">
      <c r="A3784" s="323" t="str">
        <f>IF(B3784&lt;&gt;"",IF(AND(B3784='IN-TC'!$S$4,OR(TH!N3820="1111",TH!O3820="1111")),TH!D3820,""),"")</f>
        <v/>
      </c>
      <c r="B3784" s="63">
        <f t="shared" si="246"/>
        <v>9</v>
      </c>
      <c r="C3784" s="64">
        <v>42637</v>
      </c>
      <c r="D3784" s="64" t="s">
        <v>690</v>
      </c>
      <c r="E3784" s="64">
        <f>C3784</f>
        <v>42637</v>
      </c>
      <c r="F3784" s="72" t="s">
        <v>1767</v>
      </c>
      <c r="G3784" s="67" t="s">
        <v>901</v>
      </c>
      <c r="H3784" s="72" t="s">
        <v>1880</v>
      </c>
      <c r="I3784" s="408"/>
      <c r="J3784" s="408"/>
      <c r="K3784" s="399">
        <v>183.26</v>
      </c>
      <c r="L3784" s="408">
        <v>22340</v>
      </c>
      <c r="M3784" s="65">
        <f>ROUND(K3784*L3784,0)</f>
        <v>4094028</v>
      </c>
      <c r="N3784" s="66" t="s">
        <v>97</v>
      </c>
      <c r="O3784" s="66" t="s">
        <v>25</v>
      </c>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customHeight="1">
      <c r="A3785" s="323" t="str">
        <f>IF(B3785&lt;&gt;"",IF(AND(B3785='IN-TC'!$S$4,OR(TH!N3780="1111",TH!O3780="1111")),TH!D3780,""),"")</f>
        <v/>
      </c>
      <c r="B3785" s="63">
        <f t="shared" si="246"/>
        <v>9</v>
      </c>
      <c r="C3785" s="64">
        <v>42638</v>
      </c>
      <c r="D3785" s="64" t="s">
        <v>876</v>
      </c>
      <c r="E3785" s="64">
        <v>42638</v>
      </c>
      <c r="F3785" s="72" t="s">
        <v>2030</v>
      </c>
      <c r="G3785" s="931" t="s">
        <v>2037</v>
      </c>
      <c r="H3785" s="72" t="s">
        <v>792</v>
      </c>
      <c r="I3785" s="408"/>
      <c r="J3785" s="408"/>
      <c r="K3785" s="399"/>
      <c r="L3785" s="408"/>
      <c r="M3785" s="65">
        <v>1693491</v>
      </c>
      <c r="N3785" s="66" t="s">
        <v>99</v>
      </c>
      <c r="O3785" s="66" t="s">
        <v>61</v>
      </c>
      <c r="P3785" s="82" t="str">
        <f>IF(AND('331-CT'!$E$7=TH!H3785,OR(N3785="331",O3785="331")),"x","")</f>
        <v/>
      </c>
      <c r="Q3785" s="82" t="str">
        <f>IF(AND(B3785='111'!$L$11,OR($N3785=$Q$7,$O3785=$Q$7)),"x","")</f>
        <v/>
      </c>
      <c r="R3785" s="82" t="str">
        <f>IF(AND($N3785=$Q$7,$B3785&lt;'111'!$L$11),"x","")</f>
        <v/>
      </c>
      <c r="S3785" s="82" t="str">
        <f>IF(AND($O3785=$Q$7,$B3785&lt;'111'!$L$11),"x","")</f>
        <v>x</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customHeight="1">
      <c r="A3786" s="323" t="str">
        <f>IF(B3786&lt;&gt;"",IF(AND(B3786='IN-TC'!$S$4,OR(TH!N3781="1111",TH!O3781="1111")),TH!D3781,""),"")</f>
        <v/>
      </c>
      <c r="B3786" s="63">
        <f t="shared" si="246"/>
        <v>9</v>
      </c>
      <c r="C3786" s="64">
        <v>42638</v>
      </c>
      <c r="D3786" s="64" t="s">
        <v>876</v>
      </c>
      <c r="E3786" s="64">
        <v>42638</v>
      </c>
      <c r="F3786" s="72" t="s">
        <v>2031</v>
      </c>
      <c r="G3786" s="931" t="s">
        <v>2037</v>
      </c>
      <c r="H3786" s="72" t="s">
        <v>792</v>
      </c>
      <c r="I3786" s="408"/>
      <c r="J3786" s="408"/>
      <c r="K3786" s="399"/>
      <c r="L3786" s="408"/>
      <c r="M3786" s="65">
        <v>169349</v>
      </c>
      <c r="N3786" s="66" t="s">
        <v>9</v>
      </c>
      <c r="O3786" s="66" t="s">
        <v>61</v>
      </c>
      <c r="P3786" s="82" t="str">
        <f>IF(AND('331-CT'!$E$7=TH!H3786,OR(N3786="331",O3786="331")),"x","")</f>
        <v/>
      </c>
      <c r="Q3786" s="82" t="str">
        <f>IF(AND(B3786='111'!$L$11,OR($N3786=$Q$7,$O3786=$Q$7)),"x","")</f>
        <v/>
      </c>
      <c r="R3786" s="82" t="str">
        <f>IF(AND($N3786=$Q$7,$B3786&lt;'111'!$L$11),"x","")</f>
        <v/>
      </c>
      <c r="S3786" s="82" t="str">
        <f>IF(AND($O3786=$Q$7,$B3786&lt;'111'!$L$11),"x","")</f>
        <v>x</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x</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customHeight="1">
      <c r="A3787" s="323" t="str">
        <f>IF(B3787&lt;&gt;"",IF(AND(B3787='IN-TC'!$S$4,OR(TH!N3719="1111",TH!O3719="1111")),TH!D3719,""),"")</f>
        <v/>
      </c>
      <c r="B3787" s="63">
        <f t="shared" si="246"/>
        <v>9</v>
      </c>
      <c r="C3787" s="64">
        <v>42638</v>
      </c>
      <c r="D3787" s="64" t="s">
        <v>687</v>
      </c>
      <c r="E3787" s="64">
        <f t="shared" ref="E3787:E3798" si="247">C3787</f>
        <v>42638</v>
      </c>
      <c r="F3787" s="72" t="s">
        <v>1632</v>
      </c>
      <c r="G3787" s="67" t="s">
        <v>1544</v>
      </c>
      <c r="H3787" s="72" t="s">
        <v>1780</v>
      </c>
      <c r="I3787" s="408"/>
      <c r="J3787" s="408"/>
      <c r="K3787" s="399"/>
      <c r="L3787" s="408"/>
      <c r="M3787" s="65">
        <v>92243</v>
      </c>
      <c r="N3787" s="66" t="s">
        <v>25</v>
      </c>
      <c r="O3787" s="66" t="s">
        <v>41</v>
      </c>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x</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customHeight="1">
      <c r="A3788" s="323" t="str">
        <f>IF(B3788&lt;&gt;"",IF(AND(B3788='IN-TC'!$S$4,OR(TH!N3721="1111",TH!O3721="1111")),TH!D3721,""),"")</f>
        <v/>
      </c>
      <c r="B3788" s="63">
        <f t="shared" si="246"/>
        <v>9</v>
      </c>
      <c r="C3788" s="64">
        <v>42638</v>
      </c>
      <c r="D3788" s="64" t="s">
        <v>690</v>
      </c>
      <c r="E3788" s="64">
        <f t="shared" si="247"/>
        <v>42638</v>
      </c>
      <c r="F3788" s="72" t="s">
        <v>1767</v>
      </c>
      <c r="G3788" s="67" t="s">
        <v>1544</v>
      </c>
      <c r="H3788" s="922" t="s">
        <v>1860</v>
      </c>
      <c r="I3788" s="408"/>
      <c r="J3788" s="408"/>
      <c r="K3788" s="399"/>
      <c r="L3788" s="408"/>
      <c r="M3788" s="65">
        <v>92243</v>
      </c>
      <c r="N3788" s="66" t="s">
        <v>97</v>
      </c>
      <c r="O3788" s="66" t="s">
        <v>25</v>
      </c>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x</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customHeight="1">
      <c r="A3789" s="323" t="str">
        <f>IF(B3789&lt;&gt;"",IF(AND(B3789='IN-TC'!$S$4,OR(TH!N3782="1111",TH!O3782="1111")),TH!D3782,""),"")</f>
        <v/>
      </c>
      <c r="B3789" s="63">
        <f t="shared" si="246"/>
        <v>9</v>
      </c>
      <c r="C3789" s="1092">
        <v>42639</v>
      </c>
      <c r="D3789" s="1092" t="s">
        <v>877</v>
      </c>
      <c r="E3789" s="1092">
        <f t="shared" si="247"/>
        <v>42639</v>
      </c>
      <c r="F3789" s="482" t="s">
        <v>947</v>
      </c>
      <c r="G3789" s="1094"/>
      <c r="H3789" s="1093" t="s">
        <v>946</v>
      </c>
      <c r="I3789" s="1095"/>
      <c r="J3789" s="1095"/>
      <c r="K3789" s="1096"/>
      <c r="L3789" s="1095"/>
      <c r="M3789" s="1097">
        <v>400000000</v>
      </c>
      <c r="N3789" s="1098" t="s">
        <v>266</v>
      </c>
      <c r="O3789" s="1098" t="s">
        <v>61</v>
      </c>
      <c r="P3789" s="82" t="str">
        <f>IF(AND('331-CT'!$E$7=TH!H3789,OR(N3789="331",O3789="331")),"x","")</f>
        <v/>
      </c>
      <c r="Q3789" s="82" t="str">
        <f>IF(AND(B3789='111'!$L$11,OR($N3789=$Q$7,$O3789=$Q$7)),"x","")</f>
        <v/>
      </c>
      <c r="R3789" s="82" t="str">
        <f>IF(AND($N3789=$Q$7,$B3789&lt;'111'!$L$11),"x","")</f>
        <v/>
      </c>
      <c r="S3789" s="82" t="str">
        <f>IF(AND($O3789=$Q$7,$B3789&lt;'111'!$L$11),"x","")</f>
        <v>x</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customHeight="1">
      <c r="A3790" s="323" t="str">
        <f>IF(B3790&lt;&gt;"",IF(AND(B3790='IN-TC'!$S$4,OR(TH!N3783="1111",TH!O3783="1111")),TH!D3783,""),"")</f>
        <v/>
      </c>
      <c r="B3790" s="63">
        <f t="shared" si="246"/>
        <v>9</v>
      </c>
      <c r="C3790" s="1092">
        <v>42639</v>
      </c>
      <c r="D3790" s="1092" t="s">
        <v>878</v>
      </c>
      <c r="E3790" s="1092">
        <f t="shared" si="247"/>
        <v>42639</v>
      </c>
      <c r="F3790" s="482" t="s">
        <v>947</v>
      </c>
      <c r="G3790" s="1094"/>
      <c r="H3790" s="1093" t="s">
        <v>3001</v>
      </c>
      <c r="I3790" s="1095"/>
      <c r="J3790" s="1095"/>
      <c r="K3790" s="1096"/>
      <c r="L3790" s="1095"/>
      <c r="M3790" s="1097">
        <v>450000000</v>
      </c>
      <c r="N3790" s="1098" t="s">
        <v>266</v>
      </c>
      <c r="O3790" s="1098" t="s">
        <v>61</v>
      </c>
      <c r="P3790" s="82" t="str">
        <f>IF(AND('331-CT'!$E$7=TH!H3790,OR(N3790="331",O3790="331")),"x","")</f>
        <v/>
      </c>
      <c r="Q3790" s="82" t="str">
        <f>IF(AND(B3790='111'!$L$11,OR($N3790=$Q$7,$O3790=$Q$7)),"x","")</f>
        <v/>
      </c>
      <c r="R3790" s="82" t="str">
        <f>IF(AND($N3790=$Q$7,$B3790&lt;'111'!$L$11),"x","")</f>
        <v/>
      </c>
      <c r="S3790" s="82" t="str">
        <f>IF(AND($O3790=$Q$7,$B3790&lt;'111'!$L$11),"x","")</f>
        <v>x</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customHeight="1">
      <c r="A3791" s="323" t="str">
        <f>IF(B3791&lt;&gt;"",IF(AND(B3791='IN-TC'!$S$4,OR(TH!N3805="1111",TH!O3805="1111")),TH!D3805,""),"")</f>
        <v/>
      </c>
      <c r="B3791" s="63">
        <f t="shared" si="246"/>
        <v>9</v>
      </c>
      <c r="C3791" s="64">
        <v>42639</v>
      </c>
      <c r="D3791" s="64" t="s">
        <v>690</v>
      </c>
      <c r="E3791" s="64">
        <f t="shared" si="247"/>
        <v>42639</v>
      </c>
      <c r="F3791" s="72" t="s">
        <v>1633</v>
      </c>
      <c r="G3791" s="67" t="s">
        <v>902</v>
      </c>
      <c r="H3791" s="72" t="s">
        <v>1779</v>
      </c>
      <c r="I3791" s="408"/>
      <c r="J3791" s="408"/>
      <c r="K3791" s="399"/>
      <c r="L3791" s="1125"/>
      <c r="M3791" s="65">
        <v>50000</v>
      </c>
      <c r="N3791" s="66" t="s">
        <v>99</v>
      </c>
      <c r="O3791" s="66" t="s">
        <v>25</v>
      </c>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customHeight="1">
      <c r="A3792" s="323" t="str">
        <f>IF(B3792&lt;&gt;"",IF(AND(B3792='IN-TC'!$S$4,OR(TH!N3806="1111",TH!O3806="1111")),TH!D3806,""),"")</f>
        <v/>
      </c>
      <c r="B3792" s="63">
        <f t="shared" si="246"/>
        <v>9</v>
      </c>
      <c r="C3792" s="64">
        <v>42639</v>
      </c>
      <c r="D3792" s="64" t="s">
        <v>690</v>
      </c>
      <c r="E3792" s="64">
        <f t="shared" si="247"/>
        <v>42639</v>
      </c>
      <c r="F3792" s="72" t="s">
        <v>1634</v>
      </c>
      <c r="G3792" s="67" t="s">
        <v>902</v>
      </c>
      <c r="H3792" s="72" t="s">
        <v>1779</v>
      </c>
      <c r="I3792" s="408"/>
      <c r="J3792" s="408"/>
      <c r="K3792" s="399"/>
      <c r="L3792" s="1125"/>
      <c r="M3792" s="65">
        <v>5000</v>
      </c>
      <c r="N3792" s="66" t="s">
        <v>9</v>
      </c>
      <c r="O3792" s="66" t="s">
        <v>25</v>
      </c>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x</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customHeight="1">
      <c r="A3793" s="323" t="str">
        <f>IF(B3793&lt;&gt;"",IF(AND(B3793='IN-TC'!$S$4,OR(TH!N3807="1111",TH!O3807="1111")),TH!D3807,""),"")</f>
        <v/>
      </c>
      <c r="B3793" s="63">
        <f t="shared" si="246"/>
        <v>9</v>
      </c>
      <c r="C3793" s="64">
        <v>42639</v>
      </c>
      <c r="D3793" s="64" t="s">
        <v>690</v>
      </c>
      <c r="E3793" s="64">
        <f t="shared" si="247"/>
        <v>42639</v>
      </c>
      <c r="F3793" s="72" t="s">
        <v>1633</v>
      </c>
      <c r="G3793" s="67" t="s">
        <v>902</v>
      </c>
      <c r="H3793" s="72" t="s">
        <v>1779</v>
      </c>
      <c r="I3793" s="408"/>
      <c r="J3793" s="408"/>
      <c r="K3793" s="399"/>
      <c r="L3793" s="408"/>
      <c r="M3793" s="65">
        <v>50000</v>
      </c>
      <c r="N3793" s="66" t="s">
        <v>99</v>
      </c>
      <c r="O3793" s="66" t="s">
        <v>25</v>
      </c>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customHeight="1">
      <c r="A3794" s="323" t="str">
        <f>IF(B3794&lt;&gt;"",IF(AND(B3794='IN-TC'!$S$4,OR(TH!N3808="1111",TH!O3808="1111")),TH!D3808,""),"")</f>
        <v/>
      </c>
      <c r="B3794" s="63">
        <f t="shared" si="246"/>
        <v>9</v>
      </c>
      <c r="C3794" s="64">
        <v>42639</v>
      </c>
      <c r="D3794" s="64" t="s">
        <v>690</v>
      </c>
      <c r="E3794" s="64">
        <f t="shared" si="247"/>
        <v>42639</v>
      </c>
      <c r="F3794" s="72" t="s">
        <v>1634</v>
      </c>
      <c r="G3794" s="67" t="s">
        <v>902</v>
      </c>
      <c r="H3794" s="72" t="s">
        <v>1779</v>
      </c>
      <c r="I3794" s="408"/>
      <c r="J3794" s="408"/>
      <c r="K3794" s="399"/>
      <c r="L3794" s="408"/>
      <c r="M3794" s="65">
        <v>5000</v>
      </c>
      <c r="N3794" s="66" t="s">
        <v>9</v>
      </c>
      <c r="O3794" s="66" t="s">
        <v>25</v>
      </c>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x</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customHeight="1">
      <c r="A3795" s="323" t="str">
        <f>IF(B3795&lt;&gt;"",IF(AND(B3795='IN-TC'!$S$4,OR(TH!N3809="1111",TH!O3809="1111")),TH!D3809,""),"")</f>
        <v/>
      </c>
      <c r="B3795" s="63">
        <f t="shared" si="246"/>
        <v>9</v>
      </c>
      <c r="C3795" s="64">
        <v>42639</v>
      </c>
      <c r="D3795" s="64" t="s">
        <v>690</v>
      </c>
      <c r="E3795" s="64">
        <f t="shared" si="247"/>
        <v>42639</v>
      </c>
      <c r="F3795" s="72" t="s">
        <v>1633</v>
      </c>
      <c r="G3795" s="67" t="s">
        <v>902</v>
      </c>
      <c r="H3795" s="72" t="s">
        <v>1779</v>
      </c>
      <c r="I3795" s="408"/>
      <c r="J3795" s="408"/>
      <c r="K3795" s="399"/>
      <c r="L3795" s="408"/>
      <c r="M3795" s="65">
        <v>50000</v>
      </c>
      <c r="N3795" s="66" t="s">
        <v>99</v>
      </c>
      <c r="O3795" s="66" t="s">
        <v>25</v>
      </c>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customHeight="1">
      <c r="A3796" s="323" t="str">
        <f>IF(B3796&lt;&gt;"",IF(AND(B3796='IN-TC'!$S$4,OR(TH!N3810="1111",TH!O3810="1111")),TH!D3810,""),"")</f>
        <v/>
      </c>
      <c r="B3796" s="63">
        <f t="shared" si="246"/>
        <v>9</v>
      </c>
      <c r="C3796" s="64">
        <v>42639</v>
      </c>
      <c r="D3796" s="64" t="s">
        <v>690</v>
      </c>
      <c r="E3796" s="64">
        <f t="shared" si="247"/>
        <v>42639</v>
      </c>
      <c r="F3796" s="72" t="s">
        <v>1634</v>
      </c>
      <c r="G3796" s="67" t="s">
        <v>902</v>
      </c>
      <c r="H3796" s="72" t="s">
        <v>1779</v>
      </c>
      <c r="I3796" s="408"/>
      <c r="J3796" s="408"/>
      <c r="K3796" s="399"/>
      <c r="L3796" s="408"/>
      <c r="M3796" s="65">
        <v>5000</v>
      </c>
      <c r="N3796" s="66" t="s">
        <v>9</v>
      </c>
      <c r="O3796" s="66" t="s">
        <v>25</v>
      </c>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x</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customHeight="1">
      <c r="A3797" s="323" t="str">
        <f>IF(B3797&lt;&gt;"",IF(AND(B3797='IN-TC'!$S$4,OR(TH!N3811="1111",TH!O3811="1111")),TH!D3811,""),"")</f>
        <v/>
      </c>
      <c r="B3797" s="63">
        <f t="shared" si="246"/>
        <v>9</v>
      </c>
      <c r="C3797" s="64">
        <v>42639</v>
      </c>
      <c r="D3797" s="64" t="s">
        <v>690</v>
      </c>
      <c r="E3797" s="64">
        <f t="shared" si="247"/>
        <v>42639</v>
      </c>
      <c r="F3797" s="72" t="s">
        <v>1633</v>
      </c>
      <c r="G3797" s="67" t="s">
        <v>902</v>
      </c>
      <c r="H3797" s="72" t="s">
        <v>1779</v>
      </c>
      <c r="I3797" s="408"/>
      <c r="J3797" s="408"/>
      <c r="K3797" s="399"/>
      <c r="L3797" s="408"/>
      <c r="M3797" s="65">
        <v>50000</v>
      </c>
      <c r="N3797" s="66" t="s">
        <v>99</v>
      </c>
      <c r="O3797" s="66" t="s">
        <v>25</v>
      </c>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customHeight="1">
      <c r="A3798" s="323" t="str">
        <f>IF(B3798&lt;&gt;"",IF(AND(B3798='IN-TC'!$S$4,OR(TH!N3812="1111",TH!O3812="1111")),TH!D3812,""),"")</f>
        <v/>
      </c>
      <c r="B3798" s="63">
        <f t="shared" si="246"/>
        <v>9</v>
      </c>
      <c r="C3798" s="64">
        <v>42639</v>
      </c>
      <c r="D3798" s="64" t="s">
        <v>690</v>
      </c>
      <c r="E3798" s="64">
        <f t="shared" si="247"/>
        <v>42639</v>
      </c>
      <c r="F3798" s="72" t="s">
        <v>1634</v>
      </c>
      <c r="G3798" s="67" t="s">
        <v>902</v>
      </c>
      <c r="H3798" s="72" t="s">
        <v>1779</v>
      </c>
      <c r="I3798" s="408"/>
      <c r="J3798" s="408"/>
      <c r="K3798" s="399"/>
      <c r="L3798" s="408"/>
      <c r="M3798" s="65">
        <v>5000</v>
      </c>
      <c r="N3798" s="66" t="s">
        <v>9</v>
      </c>
      <c r="O3798" s="66" t="s">
        <v>25</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x</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customHeight="1">
      <c r="A3799" s="323" t="str">
        <f>IF(B3799&lt;&gt;"",IF(AND(B3799='IN-TC'!$S$4,OR(TH!N3784="1111",TH!O3784="1111")),TH!D3784,""),"")</f>
        <v/>
      </c>
      <c r="B3799" s="63">
        <f t="shared" si="246"/>
        <v>9</v>
      </c>
      <c r="C3799" s="64">
        <v>42640</v>
      </c>
      <c r="D3799" s="64" t="s">
        <v>879</v>
      </c>
      <c r="E3799" s="64">
        <v>42640</v>
      </c>
      <c r="F3799" s="72" t="s">
        <v>2038</v>
      </c>
      <c r="G3799" s="931" t="s">
        <v>2040</v>
      </c>
      <c r="H3799" s="72" t="s">
        <v>2041</v>
      </c>
      <c r="I3799" s="408"/>
      <c r="J3799" s="408"/>
      <c r="K3799" s="399"/>
      <c r="L3799" s="408"/>
      <c r="M3799" s="65">
        <v>16050000</v>
      </c>
      <c r="N3799" s="66" t="s">
        <v>99</v>
      </c>
      <c r="O3799" s="66" t="s">
        <v>61</v>
      </c>
      <c r="P3799" s="82" t="str">
        <f>IF(AND('331-CT'!$E$7=TH!H3799,OR(N3799="331",O3799="331")),"x","")</f>
        <v/>
      </c>
      <c r="Q3799" s="82" t="str">
        <f>IF(AND(B3799='111'!$L$11,OR($N3799=$Q$7,$O3799=$Q$7)),"x","")</f>
        <v/>
      </c>
      <c r="R3799" s="82" t="str">
        <f>IF(AND($N3799=$Q$7,$B3799&lt;'111'!$L$11),"x","")</f>
        <v/>
      </c>
      <c r="S3799" s="82" t="str">
        <f>IF(AND($O3799=$Q$7,$B3799&lt;'111'!$L$11),"x","")</f>
        <v>x</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customHeight="1">
      <c r="A3800" s="323" t="str">
        <f>IF(B3800&lt;&gt;"",IF(AND(B3800='IN-TC'!$S$4,OR(TH!N3785="1111",TH!O3785="1111")),TH!D3785,""),"")</f>
        <v/>
      </c>
      <c r="B3800" s="63">
        <f t="shared" si="246"/>
        <v>9</v>
      </c>
      <c r="C3800" s="64">
        <v>42640</v>
      </c>
      <c r="D3800" s="64" t="s">
        <v>879</v>
      </c>
      <c r="E3800" s="64">
        <v>42640</v>
      </c>
      <c r="F3800" s="72" t="s">
        <v>2039</v>
      </c>
      <c r="G3800" s="931" t="s">
        <v>2040</v>
      </c>
      <c r="H3800" s="72" t="s">
        <v>2041</v>
      </c>
      <c r="I3800" s="408"/>
      <c r="J3800" s="408"/>
      <c r="K3800" s="399"/>
      <c r="L3800" s="408"/>
      <c r="M3800" s="65">
        <v>1605000</v>
      </c>
      <c r="N3800" s="66" t="s">
        <v>9</v>
      </c>
      <c r="O3800" s="66" t="s">
        <v>61</v>
      </c>
      <c r="P3800" s="82" t="str">
        <f>IF(AND('331-CT'!$E$7=TH!H3800,OR(N3800="331",O3800="331")),"x","")</f>
        <v/>
      </c>
      <c r="Q3800" s="82" t="str">
        <f>IF(AND(B3800='111'!$L$11,OR($N3800=$Q$7,$O3800=$Q$7)),"x","")</f>
        <v/>
      </c>
      <c r="R3800" s="82" t="str">
        <f>IF(AND($N3800=$Q$7,$B3800&lt;'111'!$L$11),"x","")</f>
        <v/>
      </c>
      <c r="S3800" s="82" t="str">
        <f>IF(AND($O3800=$Q$7,$B3800&lt;'111'!$L$11),"x","")</f>
        <v>x</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x</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customHeight="1">
      <c r="A3801" s="323" t="str">
        <f>IF(B3801&lt;&gt;"",IF(AND(B3801='IN-TC'!$S$4,OR(TH!N3786="1111",TH!O3786="1111")),TH!D3786,""),"")</f>
        <v/>
      </c>
      <c r="B3801" s="63">
        <f t="shared" si="246"/>
        <v>9</v>
      </c>
      <c r="C3801" s="64">
        <v>42640</v>
      </c>
      <c r="D3801" s="64" t="s">
        <v>880</v>
      </c>
      <c r="E3801" s="64">
        <v>42640</v>
      </c>
      <c r="F3801" s="72" t="s">
        <v>2042</v>
      </c>
      <c r="G3801" s="931" t="s">
        <v>2044</v>
      </c>
      <c r="H3801" s="72" t="s">
        <v>1692</v>
      </c>
      <c r="I3801" s="408"/>
      <c r="J3801" s="408"/>
      <c r="K3801" s="399"/>
      <c r="L3801" s="408"/>
      <c r="M3801" s="65">
        <v>998182</v>
      </c>
      <c r="N3801" s="66" t="s">
        <v>99</v>
      </c>
      <c r="O3801" s="66" t="s">
        <v>61</v>
      </c>
      <c r="P3801" s="82" t="str">
        <f>IF(AND('331-CT'!$E$7=TH!H3801,OR(N3801="331",O3801="331")),"x","")</f>
        <v/>
      </c>
      <c r="Q3801" s="82" t="str">
        <f>IF(AND(B3801='111'!$L$11,OR($N3801=$Q$7,$O3801=$Q$7)),"x","")</f>
        <v/>
      </c>
      <c r="R3801" s="82" t="str">
        <f>IF(AND($N3801=$Q$7,$B3801&lt;'111'!$L$11),"x","")</f>
        <v/>
      </c>
      <c r="S3801" s="82" t="str">
        <f>IF(AND($O3801=$Q$7,$B3801&lt;'111'!$L$11),"x","")</f>
        <v>x</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customHeight="1">
      <c r="A3802" s="323" t="str">
        <f>IF(B3802&lt;&gt;"",IF(AND(B3802='IN-TC'!$S$4,OR(TH!N3787="1111",TH!O3787="1111")),TH!D3787,""),"")</f>
        <v/>
      </c>
      <c r="B3802" s="63">
        <f t="shared" si="246"/>
        <v>9</v>
      </c>
      <c r="C3802" s="64">
        <v>42640</v>
      </c>
      <c r="D3802" s="64" t="s">
        <v>880</v>
      </c>
      <c r="E3802" s="64">
        <v>42640</v>
      </c>
      <c r="F3802" s="72" t="s">
        <v>2043</v>
      </c>
      <c r="G3802" s="931" t="s">
        <v>2044</v>
      </c>
      <c r="H3802" s="72" t="s">
        <v>1692</v>
      </c>
      <c r="I3802" s="408"/>
      <c r="J3802" s="408"/>
      <c r="K3802" s="399"/>
      <c r="L3802" s="408"/>
      <c r="M3802" s="65">
        <v>99818</v>
      </c>
      <c r="N3802" s="66" t="s">
        <v>9</v>
      </c>
      <c r="O3802" s="66" t="s">
        <v>61</v>
      </c>
      <c r="P3802" s="82" t="str">
        <f>IF(AND('331-CT'!$E$7=TH!H3802,OR(N3802="331",O3802="331")),"x","")</f>
        <v/>
      </c>
      <c r="Q3802" s="82" t="str">
        <f>IF(AND(B3802='111'!$L$11,OR($N3802=$Q$7,$O3802=$Q$7)),"x","")</f>
        <v/>
      </c>
      <c r="R3802" s="82" t="str">
        <f>IF(AND($N3802=$Q$7,$B3802&lt;'111'!$L$11),"x","")</f>
        <v/>
      </c>
      <c r="S3802" s="82" t="str">
        <f>IF(AND($O3802=$Q$7,$B3802&lt;'111'!$L$11),"x","")</f>
        <v>x</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x</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customHeight="1">
      <c r="A3803" s="323" t="str">
        <f>IF(B3803&lt;&gt;"",IF(AND(B3803='IN-TC'!$S$4,OR(TH!N3788="1111",TH!O3788="1111")),TH!D3788,""),"")</f>
        <v/>
      </c>
      <c r="B3803" s="63">
        <f t="shared" si="246"/>
        <v>9</v>
      </c>
      <c r="C3803" s="64">
        <v>42641</v>
      </c>
      <c r="D3803" s="64" t="s">
        <v>881</v>
      </c>
      <c r="E3803" s="64">
        <f t="shared" ref="E3803:E3816" si="248">C3803</f>
        <v>42641</v>
      </c>
      <c r="F3803" s="72" t="s">
        <v>1087</v>
      </c>
      <c r="G3803" s="67" t="s">
        <v>1544</v>
      </c>
      <c r="H3803" s="72" t="s">
        <v>1780</v>
      </c>
      <c r="I3803" s="408"/>
      <c r="J3803" s="408"/>
      <c r="K3803" s="399"/>
      <c r="L3803" s="408"/>
      <c r="M3803" s="65">
        <v>100000000</v>
      </c>
      <c r="N3803" s="66" t="s">
        <v>25</v>
      </c>
      <c r="O3803" s="66" t="s">
        <v>61</v>
      </c>
      <c r="P3803" s="82" t="str">
        <f>IF(AND('331-CT'!$E$7=TH!H3803,OR(N3803="331",O3803="331")),"x","")</f>
        <v/>
      </c>
      <c r="Q3803" s="82" t="str">
        <f>IF(AND(B3803='111'!$L$11,OR($N3803=$Q$7,$O3803=$Q$7)),"x","")</f>
        <v/>
      </c>
      <c r="R3803" s="82" t="str">
        <f>IF(AND($N3803=$Q$7,$B3803&lt;'111'!$L$11),"x","")</f>
        <v/>
      </c>
      <c r="S3803" s="82" t="str">
        <f>IF(AND($O3803=$Q$7,$B3803&lt;'111'!$L$11),"x","")</f>
        <v>x</v>
      </c>
      <c r="T3803" s="82" t="str">
        <f>IF(ISERROR(FIND('112'!$M$9,G3803,1)),"",IF((AND(FIND('112'!$M$9,G3803,1)&gt;=1,B3803='112'!$K$9,OR($N3803='112'!$I$6,$O3803='112'!$I$6))),"x",""))</f>
        <v/>
      </c>
      <c r="U3803" s="82" t="str">
        <f>IF(ISERROR(FIND('112'!$M$9,G3803,1)),"",IF((AND(LEFT(G3803,2)=LEFT('112'!$M$9,2),B3803&lt;'112'!$K$9,$N3803='112'!$I$6)),"x",""))</f>
        <v>x</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customHeight="1">
      <c r="A3804" s="323" t="str">
        <f>IF(B3804&lt;&gt;"",IF(AND(B3804='IN-TC'!$S$4,OR(TH!N3722="1111",TH!O3722="1111")),TH!D3722,""),"")</f>
        <v/>
      </c>
      <c r="B3804" s="63">
        <f t="shared" si="246"/>
        <v>9</v>
      </c>
      <c r="C3804" s="64">
        <v>42641</v>
      </c>
      <c r="D3804" s="64" t="s">
        <v>687</v>
      </c>
      <c r="E3804" s="64">
        <f t="shared" si="248"/>
        <v>42641</v>
      </c>
      <c r="F3804" s="72" t="s">
        <v>1902</v>
      </c>
      <c r="G3804" s="67" t="s">
        <v>1544</v>
      </c>
      <c r="H3804" s="72" t="s">
        <v>1780</v>
      </c>
      <c r="I3804" s="408"/>
      <c r="J3804" s="408"/>
      <c r="K3804" s="399">
        <v>642.85</v>
      </c>
      <c r="L3804" s="408">
        <v>22340</v>
      </c>
      <c r="M3804" s="65">
        <f>ROUND(K3804*L3804,0)</f>
        <v>14361269</v>
      </c>
      <c r="N3804" s="66" t="s">
        <v>260</v>
      </c>
      <c r="O3804" s="66" t="s">
        <v>25</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x</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customHeight="1">
      <c r="A3805" s="323" t="str">
        <f>IF(B3805&lt;&gt;"",IF(AND(B3805='IN-TC'!$S$4,OR(TH!N3723="1111",TH!O3723="1111")),TH!D3723,""),"")</f>
        <v/>
      </c>
      <c r="B3805" s="63">
        <f t="shared" si="246"/>
        <v>9</v>
      </c>
      <c r="C3805" s="64">
        <v>42641</v>
      </c>
      <c r="D3805" s="64" t="s">
        <v>690</v>
      </c>
      <c r="E3805" s="64">
        <f t="shared" si="248"/>
        <v>42641</v>
      </c>
      <c r="F3805" s="72" t="s">
        <v>1767</v>
      </c>
      <c r="G3805" s="67" t="s">
        <v>1544</v>
      </c>
      <c r="H3805" s="922" t="s">
        <v>1860</v>
      </c>
      <c r="I3805" s="408"/>
      <c r="J3805" s="408"/>
      <c r="K3805" s="399"/>
      <c r="L3805" s="408"/>
      <c r="M3805" s="65">
        <v>2540151</v>
      </c>
      <c r="N3805" s="66" t="s">
        <v>97</v>
      </c>
      <c r="O3805" s="66" t="s">
        <v>25</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x</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customHeight="1">
      <c r="A3806" s="323" t="str">
        <f>IF(B3806&lt;&gt;"",IF(AND(B3806='IN-TC'!$S$4,OR(TH!N3724="1111",TH!O3724="1111")),TH!D3724,""),"")</f>
        <v/>
      </c>
      <c r="B3806" s="63">
        <f t="shared" si="246"/>
        <v>9</v>
      </c>
      <c r="C3806" s="64">
        <v>42641</v>
      </c>
      <c r="D3806" s="64" t="s">
        <v>690</v>
      </c>
      <c r="E3806" s="64">
        <f t="shared" si="248"/>
        <v>42641</v>
      </c>
      <c r="F3806" s="72" t="s">
        <v>1767</v>
      </c>
      <c r="G3806" s="67" t="s">
        <v>1544</v>
      </c>
      <c r="H3806" s="922" t="s">
        <v>1860</v>
      </c>
      <c r="I3806" s="408"/>
      <c r="J3806" s="408"/>
      <c r="K3806" s="399"/>
      <c r="L3806" s="408"/>
      <c r="M3806" s="65">
        <v>6708015</v>
      </c>
      <c r="N3806" s="66" t="s">
        <v>97</v>
      </c>
      <c r="O3806" s="66" t="s">
        <v>25</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x</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customHeight="1">
      <c r="A3807" s="323" t="str">
        <f>IF(B3807&lt;&gt;"",IF(AND(B3807='IN-TC'!$S$4,OR(TH!N3725="1111",TH!O3725="1111")),TH!D3725,""),"")</f>
        <v/>
      </c>
      <c r="B3807" s="63">
        <f t="shared" si="246"/>
        <v>9</v>
      </c>
      <c r="C3807" s="64">
        <v>42641</v>
      </c>
      <c r="D3807" s="64" t="s">
        <v>690</v>
      </c>
      <c r="E3807" s="64">
        <f t="shared" si="248"/>
        <v>42641</v>
      </c>
      <c r="F3807" s="72" t="s">
        <v>1767</v>
      </c>
      <c r="G3807" s="67" t="s">
        <v>1544</v>
      </c>
      <c r="H3807" s="922" t="s">
        <v>1860</v>
      </c>
      <c r="I3807" s="408"/>
      <c r="J3807" s="408"/>
      <c r="K3807" s="399"/>
      <c r="L3807" s="408"/>
      <c r="M3807" s="65">
        <v>5670693</v>
      </c>
      <c r="N3807" s="66" t="s">
        <v>97</v>
      </c>
      <c r="O3807" s="66" t="s">
        <v>25</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x</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customHeight="1">
      <c r="A3808" s="323" t="str">
        <f>IF(B3808&lt;&gt;"",IF(AND(B3808='IN-TC'!$S$4,OR(TH!N3726="1111",TH!O3726="1111")),TH!D3726,""),"")</f>
        <v/>
      </c>
      <c r="B3808" s="63">
        <f t="shared" si="246"/>
        <v>9</v>
      </c>
      <c r="C3808" s="64">
        <v>42641</v>
      </c>
      <c r="D3808" s="64" t="s">
        <v>690</v>
      </c>
      <c r="E3808" s="64">
        <f t="shared" si="248"/>
        <v>42641</v>
      </c>
      <c r="F3808" s="72" t="s">
        <v>1767</v>
      </c>
      <c r="G3808" s="67" t="s">
        <v>1544</v>
      </c>
      <c r="H3808" s="922" t="s">
        <v>1860</v>
      </c>
      <c r="I3808" s="408"/>
      <c r="J3808" s="408"/>
      <c r="K3808" s="399"/>
      <c r="L3808" s="408"/>
      <c r="M3808" s="65">
        <v>6223932</v>
      </c>
      <c r="N3808" s="66" t="s">
        <v>97</v>
      </c>
      <c r="O3808" s="66" t="s">
        <v>25</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x</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customHeight="1">
      <c r="A3809" s="323" t="str">
        <f>IF(B3809&lt;&gt;"",IF(AND(B3809='IN-TC'!$S$4,OR(TH!N3742="1111",TH!O3742="1111")),TH!D3742,""),"")</f>
        <v/>
      </c>
      <c r="B3809" s="63">
        <f t="shared" si="246"/>
        <v>9</v>
      </c>
      <c r="C3809" s="90">
        <v>42641</v>
      </c>
      <c r="D3809" s="90" t="s">
        <v>690</v>
      </c>
      <c r="E3809" s="90">
        <f t="shared" si="248"/>
        <v>42641</v>
      </c>
      <c r="F3809" s="72" t="s">
        <v>2008</v>
      </c>
      <c r="G3809" s="91" t="s">
        <v>1544</v>
      </c>
      <c r="H3809" s="92" t="s">
        <v>1780</v>
      </c>
      <c r="I3809" s="414"/>
      <c r="J3809" s="414"/>
      <c r="K3809" s="405">
        <v>122.6</v>
      </c>
      <c r="L3809" s="414">
        <v>22340</v>
      </c>
      <c r="M3809" s="81">
        <f>ROUND(K3809*L3809,0)</f>
        <v>2738884</v>
      </c>
      <c r="N3809" s="83" t="s">
        <v>97</v>
      </c>
      <c r="O3809" s="83" t="s">
        <v>260</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customHeight="1">
      <c r="A3810" s="323" t="str">
        <f>IF(B3810&lt;&gt;"",IF(AND(B3810='IN-TC'!$S$4,OR(TH!N3743="1111",TH!O3743="1111")),TH!D3743,""),"")</f>
        <v/>
      </c>
      <c r="B3810" s="63">
        <f t="shared" si="246"/>
        <v>9</v>
      </c>
      <c r="C3810" s="90">
        <v>42641</v>
      </c>
      <c r="D3810" s="90" t="s">
        <v>690</v>
      </c>
      <c r="E3810" s="90">
        <f t="shared" si="248"/>
        <v>42641</v>
      </c>
      <c r="F3810" s="72" t="s">
        <v>2008</v>
      </c>
      <c r="G3810" s="91" t="s">
        <v>1544</v>
      </c>
      <c r="H3810" s="92" t="s">
        <v>1780</v>
      </c>
      <c r="I3810" s="414"/>
      <c r="J3810" s="414"/>
      <c r="K3810" s="405">
        <v>156.62</v>
      </c>
      <c r="L3810" s="414">
        <v>22310</v>
      </c>
      <c r="M3810" s="81">
        <f>ROUND(K3810*L3810,0)</f>
        <v>3494192</v>
      </c>
      <c r="N3810" s="83" t="s">
        <v>97</v>
      </c>
      <c r="O3810" s="83" t="s">
        <v>260</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customHeight="1">
      <c r="A3811" s="323" t="str">
        <f>IF(B3811&lt;&gt;"",IF(AND(B3811='IN-TC'!$S$4,OR(TH!N3744="1111",TH!O3744="1111")),TH!D3744,""),"")</f>
        <v/>
      </c>
      <c r="B3811" s="63">
        <f t="shared" si="246"/>
        <v>9</v>
      </c>
      <c r="C3811" s="90">
        <v>42641</v>
      </c>
      <c r="D3811" s="90" t="s">
        <v>690</v>
      </c>
      <c r="E3811" s="90">
        <f t="shared" si="248"/>
        <v>42641</v>
      </c>
      <c r="F3811" s="72" t="s">
        <v>2008</v>
      </c>
      <c r="G3811" s="91" t="s">
        <v>1544</v>
      </c>
      <c r="H3811" s="92" t="s">
        <v>1780</v>
      </c>
      <c r="I3811" s="414"/>
      <c r="J3811" s="414"/>
      <c r="K3811" s="405">
        <v>126.09</v>
      </c>
      <c r="L3811" s="414">
        <v>22310</v>
      </c>
      <c r="M3811" s="81">
        <f>ROUND(K3811*L3811,0)</f>
        <v>2813068</v>
      </c>
      <c r="N3811" s="83" t="s">
        <v>97</v>
      </c>
      <c r="O3811" s="83" t="s">
        <v>260</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customHeight="1">
      <c r="A3812" s="323" t="str">
        <f>IF(B3812&lt;&gt;"",IF(AND(B3812='IN-TC'!$S$4,OR(TH!N3745="1111",TH!O3745="1111")),TH!D3745,""),"")</f>
        <v/>
      </c>
      <c r="B3812" s="63">
        <f t="shared" si="246"/>
        <v>9</v>
      </c>
      <c r="C3812" s="90">
        <v>42641</v>
      </c>
      <c r="D3812" s="90" t="s">
        <v>690</v>
      </c>
      <c r="E3812" s="90">
        <f t="shared" si="248"/>
        <v>42641</v>
      </c>
      <c r="F3812" s="72" t="s">
        <v>2008</v>
      </c>
      <c r="G3812" s="91" t="s">
        <v>1544</v>
      </c>
      <c r="H3812" s="92" t="s">
        <v>1780</v>
      </c>
      <c r="I3812" s="414"/>
      <c r="J3812" s="414"/>
      <c r="K3812" s="405">
        <v>171.54</v>
      </c>
      <c r="L3812" s="414">
        <v>22310</v>
      </c>
      <c r="M3812" s="81">
        <f>ROUND(K3812*L3812,0)</f>
        <v>3827057</v>
      </c>
      <c r="N3812" s="83" t="s">
        <v>97</v>
      </c>
      <c r="O3812" s="83" t="s">
        <v>260</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customHeight="1">
      <c r="A3813" s="323" t="str">
        <f>IF(B3813&lt;&gt;"",IF(AND(B3813='IN-TC'!$S$4,OR(TH!N3746="1111",TH!O3746="1111")),TH!D3746,""),"")</f>
        <v/>
      </c>
      <c r="B3813" s="63">
        <f t="shared" si="246"/>
        <v>9</v>
      </c>
      <c r="C3813" s="90">
        <v>42641</v>
      </c>
      <c r="D3813" s="90" t="s">
        <v>690</v>
      </c>
      <c r="E3813" s="90">
        <f t="shared" si="248"/>
        <v>42641</v>
      </c>
      <c r="F3813" s="72" t="s">
        <v>2008</v>
      </c>
      <c r="G3813" s="91" t="s">
        <v>1544</v>
      </c>
      <c r="H3813" s="92" t="s">
        <v>1780</v>
      </c>
      <c r="I3813" s="414"/>
      <c r="J3813" s="414"/>
      <c r="K3813" s="405">
        <v>66</v>
      </c>
      <c r="L3813" s="414">
        <v>22310</v>
      </c>
      <c r="M3813" s="81">
        <f>ROUND(K3813*L3813,0)</f>
        <v>1472460</v>
      </c>
      <c r="N3813" s="83" t="s">
        <v>97</v>
      </c>
      <c r="O3813" s="83" t="s">
        <v>260</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customHeight="1">
      <c r="A3814" s="1227" t="str">
        <f>IF(B3814&lt;&gt;"",IF(AND(B3814='IN-TC'!$S$4,OR(TH!N620="1111",TH!O620="1111")),TH!D620,""),"")</f>
        <v/>
      </c>
      <c r="B3814" s="1228">
        <f t="shared" si="246"/>
        <v>12</v>
      </c>
      <c r="C3814" s="1229">
        <v>42724</v>
      </c>
      <c r="D3814" s="1229" t="s">
        <v>2982</v>
      </c>
      <c r="E3814" s="1229">
        <f t="shared" si="248"/>
        <v>42724</v>
      </c>
      <c r="F3814" s="1230" t="s">
        <v>455</v>
      </c>
      <c r="G3814" s="1231" t="s">
        <v>2738</v>
      </c>
      <c r="H3814" s="1232" t="s">
        <v>1198</v>
      </c>
      <c r="I3814" s="1233">
        <v>26390</v>
      </c>
      <c r="J3814" s="1233">
        <v>61000</v>
      </c>
      <c r="K3814" s="1234"/>
      <c r="L3814" s="1233"/>
      <c r="M3814" s="1235">
        <f>ROUND(I3814*J3814,0)</f>
        <v>1609790000</v>
      </c>
      <c r="N3814" s="1236" t="s">
        <v>276</v>
      </c>
      <c r="O3814" s="1236" t="s">
        <v>278</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customHeight="1">
      <c r="A3815" s="323" t="str">
        <f>IF(B3815&lt;&gt;"",IF(AND(B3815='IN-TC'!$S$4,OR(TH!N3728="1111",TH!O3728="1111")),TH!D3728,""),"")</f>
        <v/>
      </c>
      <c r="B3815" s="63">
        <f t="shared" si="246"/>
        <v>9</v>
      </c>
      <c r="C3815" s="64">
        <v>42642</v>
      </c>
      <c r="D3815" s="64" t="s">
        <v>690</v>
      </c>
      <c r="E3815" s="64">
        <f t="shared" si="248"/>
        <v>42642</v>
      </c>
      <c r="F3815" s="72" t="s">
        <v>1156</v>
      </c>
      <c r="G3815" s="67" t="s">
        <v>1544</v>
      </c>
      <c r="H3815" s="72" t="s">
        <v>1780</v>
      </c>
      <c r="I3815" s="408"/>
      <c r="J3815" s="408"/>
      <c r="K3815" s="399"/>
      <c r="L3815" s="408"/>
      <c r="M3815" s="65">
        <v>36000</v>
      </c>
      <c r="N3815" s="66" t="s">
        <v>99</v>
      </c>
      <c r="O3815" s="66" t="s">
        <v>25</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x</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customHeight="1">
      <c r="A3816" s="323" t="str">
        <f>IF(B3816&lt;&gt;"",IF(AND(B3816='IN-TC'!$S$4,OR(TH!N3729="1111",TH!O3729="1111")),TH!D3729,""),"")</f>
        <v/>
      </c>
      <c r="B3816" s="63">
        <f t="shared" si="246"/>
        <v>9</v>
      </c>
      <c r="C3816" s="64">
        <v>42642</v>
      </c>
      <c r="D3816" s="64" t="s">
        <v>690</v>
      </c>
      <c r="E3816" s="64">
        <f t="shared" si="248"/>
        <v>42642</v>
      </c>
      <c r="F3816" s="72" t="s">
        <v>1616</v>
      </c>
      <c r="G3816" s="67" t="s">
        <v>1544</v>
      </c>
      <c r="H3816" s="72" t="s">
        <v>1780</v>
      </c>
      <c r="I3816" s="408"/>
      <c r="J3816" s="408"/>
      <c r="K3816" s="399"/>
      <c r="L3816" s="408"/>
      <c r="M3816" s="65">
        <v>3600</v>
      </c>
      <c r="N3816" s="66" t="s">
        <v>9</v>
      </c>
      <c r="O3816" s="66" t="s">
        <v>25</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x</v>
      </c>
      <c r="W3816" s="82" t="str">
        <f>IF(AND('341-CT'!$H$9=H3816,OR(LEFT(N3816,3)=$W$7,LEFT(O3816,3)=$W$7)),"x","")</f>
        <v/>
      </c>
      <c r="X3816" s="82" t="str">
        <f>IF(OR(TH!N3816=TH!$X$7,O3816=TH!$X$7),"x","")</f>
        <v>x</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customHeight="1">
      <c r="A3817" s="323" t="str">
        <f>IF(B3817&lt;&gt;"",IF(AND(B3817='IN-TC'!$S$4,OR(TH!N3789="1111",TH!O3789="1111")),TH!D3789,""),"")</f>
        <v/>
      </c>
      <c r="B3817" s="63">
        <f t="shared" si="246"/>
        <v>9</v>
      </c>
      <c r="C3817" s="64">
        <v>42643</v>
      </c>
      <c r="D3817" s="64" t="s">
        <v>882</v>
      </c>
      <c r="E3817" s="64">
        <v>42643</v>
      </c>
      <c r="F3817" s="72" t="s">
        <v>1341</v>
      </c>
      <c r="G3817" s="67"/>
      <c r="H3817" s="72" t="s">
        <v>1343</v>
      </c>
      <c r="I3817" s="408"/>
      <c r="J3817" s="408"/>
      <c r="K3817" s="399"/>
      <c r="L3817" s="408"/>
      <c r="M3817" s="65">
        <v>2381818</v>
      </c>
      <c r="N3817" s="66" t="s">
        <v>99</v>
      </c>
      <c r="O3817" s="66" t="s">
        <v>61</v>
      </c>
      <c r="P3817" s="82" t="str">
        <f>IF(AND('331-CT'!$E$7=TH!H3817,OR(N3817="331",O3817="331")),"x","")</f>
        <v/>
      </c>
      <c r="Q3817" s="82" t="str">
        <f>IF(AND(B3817='111'!$L$11,OR($N3817=$Q$7,$O3817=$Q$7)),"x","")</f>
        <v/>
      </c>
      <c r="R3817" s="82" t="str">
        <f>IF(AND($N3817=$Q$7,$B3817&lt;'111'!$L$11),"x","")</f>
        <v/>
      </c>
      <c r="S3817" s="82" t="str">
        <f>IF(AND($O3817=$Q$7,$B3817&lt;'111'!$L$11),"x","")</f>
        <v>x</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customHeight="1">
      <c r="A3818" s="323" t="str">
        <f>IF(B3818&lt;&gt;"",IF(AND(B3818='IN-TC'!$S$4,OR(TH!N3790="1111",TH!O3790="1111")),TH!D3790,""),"")</f>
        <v/>
      </c>
      <c r="B3818" s="63">
        <f t="shared" si="246"/>
        <v>9</v>
      </c>
      <c r="C3818" s="64">
        <v>42643</v>
      </c>
      <c r="D3818" s="64" t="s">
        <v>882</v>
      </c>
      <c r="E3818" s="64">
        <v>42643</v>
      </c>
      <c r="F3818" s="72" t="s">
        <v>1342</v>
      </c>
      <c r="G3818" s="67"/>
      <c r="H3818" s="72" t="s">
        <v>1343</v>
      </c>
      <c r="I3818" s="408"/>
      <c r="J3818" s="408"/>
      <c r="K3818" s="399"/>
      <c r="L3818" s="408"/>
      <c r="M3818" s="65">
        <v>238182</v>
      </c>
      <c r="N3818" s="66" t="s">
        <v>9</v>
      </c>
      <c r="O3818" s="66" t="s">
        <v>61</v>
      </c>
      <c r="P3818" s="82" t="str">
        <f>IF(AND('331-CT'!$E$7=TH!H3818,OR(N3818="331",O3818="331")),"x","")</f>
        <v/>
      </c>
      <c r="Q3818" s="82" t="str">
        <f>IF(AND(B3818='111'!$L$11,OR($N3818=$Q$7,$O3818=$Q$7)),"x","")</f>
        <v/>
      </c>
      <c r="R3818" s="82" t="str">
        <f>IF(AND($N3818=$Q$7,$B3818&lt;'111'!$L$11),"x","")</f>
        <v/>
      </c>
      <c r="S3818" s="82" t="str">
        <f>IF(AND($O3818=$Q$7,$B3818&lt;'111'!$L$11),"x","")</f>
        <v>x</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x</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customHeight="1">
      <c r="A3819" s="323" t="str">
        <f>IF(B3819&lt;&gt;"",IF(AND(B3819='IN-TC'!$S$4,OR(TH!N3791="1111",TH!O3791="1111")),TH!D3791,""),"")</f>
        <v/>
      </c>
      <c r="B3819" s="63">
        <f t="shared" si="246"/>
        <v>9</v>
      </c>
      <c r="C3819" s="1092">
        <v>42643</v>
      </c>
      <c r="D3819" s="1092" t="s">
        <v>883</v>
      </c>
      <c r="E3819" s="1092">
        <f>C3819</f>
        <v>42643</v>
      </c>
      <c r="F3819" s="482" t="s">
        <v>947</v>
      </c>
      <c r="G3819" s="1094"/>
      <c r="H3819" s="1093" t="s">
        <v>946</v>
      </c>
      <c r="I3819" s="1095"/>
      <c r="J3819" s="1095"/>
      <c r="K3819" s="1096"/>
      <c r="L3819" s="1095"/>
      <c r="M3819" s="1097">
        <v>495642500</v>
      </c>
      <c r="N3819" s="1098" t="s">
        <v>266</v>
      </c>
      <c r="O3819" s="1098" t="s">
        <v>61</v>
      </c>
      <c r="P3819" s="82" t="str">
        <f>IF(AND('331-CT'!$E$7=TH!H3819,OR(N3819="331",O3819="331")),"x","")</f>
        <v/>
      </c>
      <c r="Q3819" s="82" t="str">
        <f>IF(AND(B3819='111'!$L$11,OR($N3819=$Q$7,$O3819=$Q$7)),"x","")</f>
        <v/>
      </c>
      <c r="R3819" s="82" t="str">
        <f>IF(AND($N3819=$Q$7,$B3819&lt;'111'!$L$11),"x","")</f>
        <v/>
      </c>
      <c r="S3819" s="82" t="str">
        <f>IF(AND($O3819=$Q$7,$B3819&lt;'111'!$L$11),"x","")</f>
        <v>x</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customHeight="1">
      <c r="A3820" s="323" t="str">
        <f>IF(B3820&lt;&gt;"",IF(AND(B3820='IN-TC'!$S$4,OR(TH!N3792="1111",TH!O3792="1111")),TH!D3792,""),"")</f>
        <v/>
      </c>
      <c r="B3820" s="63">
        <f t="shared" si="246"/>
        <v>9</v>
      </c>
      <c r="C3820" s="1092">
        <v>42643</v>
      </c>
      <c r="D3820" s="1092" t="s">
        <v>884</v>
      </c>
      <c r="E3820" s="1092">
        <f>C3820</f>
        <v>42643</v>
      </c>
      <c r="F3820" s="482" t="s">
        <v>947</v>
      </c>
      <c r="G3820" s="1094"/>
      <c r="H3820" s="1093" t="s">
        <v>3001</v>
      </c>
      <c r="I3820" s="1095"/>
      <c r="J3820" s="1095"/>
      <c r="K3820" s="1096"/>
      <c r="L3820" s="1095"/>
      <c r="M3820" s="1097">
        <v>283230500</v>
      </c>
      <c r="N3820" s="1098" t="s">
        <v>266</v>
      </c>
      <c r="O3820" s="1098" t="s">
        <v>61</v>
      </c>
      <c r="P3820" s="82" t="str">
        <f>IF(AND('331-CT'!$E$7=TH!H3820,OR(N3820="331",O3820="331")),"x","")</f>
        <v/>
      </c>
      <c r="Q3820" s="82" t="str">
        <f>IF(AND(B3820='111'!$L$11,OR($N3820=$Q$7,$O3820=$Q$7)),"x","")</f>
        <v/>
      </c>
      <c r="R3820" s="82" t="str">
        <f>IF(AND($N3820=$Q$7,$B3820&lt;'111'!$L$11),"x","")</f>
        <v/>
      </c>
      <c r="S3820" s="82" t="str">
        <f>IF(AND($O3820=$Q$7,$B3820&lt;'111'!$L$11),"x","")</f>
        <v>x</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customHeight="1">
      <c r="A3821" s="323" t="str">
        <f>IF(B3821&lt;&gt;"",IF(AND(B3821='IN-TC'!$S$4,OR(TH!N3793="1111",TH!O3793="1111")),TH!D3793,""),"")</f>
        <v/>
      </c>
      <c r="B3821" s="63">
        <f t="shared" si="246"/>
        <v>9</v>
      </c>
      <c r="C3821" s="90">
        <v>42643</v>
      </c>
      <c r="D3821" s="90" t="s">
        <v>885</v>
      </c>
      <c r="E3821" s="90">
        <v>42643</v>
      </c>
      <c r="F3821" s="92" t="s">
        <v>2320</v>
      </c>
      <c r="G3821" s="91"/>
      <c r="H3821" s="92" t="s">
        <v>832</v>
      </c>
      <c r="I3821" s="414"/>
      <c r="J3821" s="414"/>
      <c r="K3821" s="405"/>
      <c r="L3821" s="414"/>
      <c r="M3821" s="93">
        <v>103143875</v>
      </c>
      <c r="N3821" s="83" t="s">
        <v>580</v>
      </c>
      <c r="O3821" s="83" t="s">
        <v>61</v>
      </c>
      <c r="P3821" s="82" t="str">
        <f>IF(AND('331-CT'!$E$7=TH!H3821,OR(N3821="331",O3821="331")),"x","")</f>
        <v/>
      </c>
      <c r="Q3821" s="82" t="str">
        <f>IF(AND(B3821='111'!$L$11,OR($N3821=$Q$7,$O3821=$Q$7)),"x","")</f>
        <v/>
      </c>
      <c r="R3821" s="82" t="str">
        <f>IF(AND($N3821=$Q$7,$B3821&lt;'111'!$L$11),"x","")</f>
        <v/>
      </c>
      <c r="S3821" s="82" t="str">
        <f>IF(AND($O3821=$Q$7,$B3821&lt;'111'!$L$11),"x","")</f>
        <v>x</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customHeight="1">
      <c r="A3822" s="323" t="str">
        <f>IF(B3822&lt;&gt;"",IF(AND(B3822='IN-TC'!$S$4,OR(TH!N3821="1111",TH!O3821="1111")),TH!D3821,""),"")</f>
        <v/>
      </c>
      <c r="B3822" s="63">
        <f t="shared" ref="B3822:B3885" si="249">IF(C3822&lt;&gt;"",MONTH(C3822),"")</f>
        <v>9</v>
      </c>
      <c r="C3822" s="78">
        <v>42643</v>
      </c>
      <c r="D3822" s="78" t="s">
        <v>687</v>
      </c>
      <c r="E3822" s="78">
        <f t="shared" ref="E3822:E3831" si="250">C3822</f>
        <v>42643</v>
      </c>
      <c r="F3822" s="72" t="s">
        <v>1436</v>
      </c>
      <c r="G3822" s="79" t="s">
        <v>901</v>
      </c>
      <c r="H3822" s="80" t="s">
        <v>589</v>
      </c>
      <c r="I3822" s="406"/>
      <c r="J3822" s="406"/>
      <c r="K3822" s="397">
        <v>46800</v>
      </c>
      <c r="L3822" s="406">
        <v>22290</v>
      </c>
      <c r="M3822" s="81">
        <f>ROUND(K3822*L3822,0)</f>
        <v>1043172000</v>
      </c>
      <c r="N3822" s="82" t="s">
        <v>25</v>
      </c>
      <c r="O3822" s="82" t="s">
        <v>576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customHeight="1">
      <c r="A3823" s="323" t="str">
        <f>IF(B3823&lt;&gt;"",IF(AND(B3823='IN-TC'!$S$4,OR(TH!N592="1111",TH!O592="1111")),TH!D592,""),"")</f>
        <v/>
      </c>
      <c r="B3823" s="63">
        <f t="shared" si="249"/>
        <v>12</v>
      </c>
      <c r="C3823" s="78">
        <v>42724</v>
      </c>
      <c r="D3823" s="78" t="s">
        <v>2655</v>
      </c>
      <c r="E3823" s="78">
        <f t="shared" si="250"/>
        <v>42724</v>
      </c>
      <c r="F3823" s="79" t="s">
        <v>455</v>
      </c>
      <c r="G3823" s="934" t="s">
        <v>2738</v>
      </c>
      <c r="H3823" s="80" t="s">
        <v>1198</v>
      </c>
      <c r="I3823" s="406">
        <v>26390</v>
      </c>
      <c r="J3823" s="406">
        <v>61000</v>
      </c>
      <c r="K3823" s="397"/>
      <c r="L3823" s="406"/>
      <c r="M3823" s="81">
        <f>ROUND(I3823*J3823,0)</f>
        <v>1609790000</v>
      </c>
      <c r="N3823" s="82" t="s">
        <v>278</v>
      </c>
      <c r="O3823" s="82" t="s">
        <v>8</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customHeight="1">
      <c r="A3824" s="323" t="str">
        <f>IF(B3824&lt;&gt;"",IF(AND(B3824='IN-TC'!$S$4,OR(TH!N3825="1111",TH!O3825="1111")),TH!D3825,""),"")</f>
        <v>C02</v>
      </c>
      <c r="B3824" s="63">
        <f t="shared" si="249"/>
        <v>10</v>
      </c>
      <c r="C3824" s="64">
        <v>42644</v>
      </c>
      <c r="D3824" s="64" t="s">
        <v>851</v>
      </c>
      <c r="E3824" s="64">
        <f t="shared" si="250"/>
        <v>42644</v>
      </c>
      <c r="F3824" s="72" t="s">
        <v>1087</v>
      </c>
      <c r="G3824" s="67" t="s">
        <v>902</v>
      </c>
      <c r="H3824" s="72" t="s">
        <v>748</v>
      </c>
      <c r="I3824" s="408"/>
      <c r="J3824" s="408"/>
      <c r="K3824" s="399"/>
      <c r="L3824" s="408"/>
      <c r="M3824" s="65">
        <v>10000000</v>
      </c>
      <c r="N3824" s="66" t="s">
        <v>25</v>
      </c>
      <c r="O3824" s="66" t="s">
        <v>61</v>
      </c>
      <c r="P3824" s="82" t="str">
        <f>IF(AND('331-CT'!$E$7=TH!H3824,OR(N3824="331",O3824="331")),"x","")</f>
        <v/>
      </c>
      <c r="Q3824" s="82" t="str">
        <f>IF(AND(B3824='111'!$L$11,OR($N3824=$Q$7,$O3824=$Q$7)),"x","")</f>
        <v/>
      </c>
      <c r="R3824" s="82" t="str">
        <f>IF(AND($N3824=$Q$7,$B3824&lt;'111'!$L$11),"x","")</f>
        <v/>
      </c>
      <c r="S3824" s="82" t="str">
        <f>IF(AND($O3824=$Q$7,$B3824&lt;'111'!$L$11),"x","")</f>
        <v>x</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1" ht="15.75" customHeight="1">
      <c r="A3825" s="323" t="str">
        <f>IF(B3825&lt;&gt;"",IF(AND(B3825='IN-TC'!$S$4,OR(TH!N3826="1111",TH!O3826="1111")),TH!D3826,""),"")</f>
        <v>T01</v>
      </c>
      <c r="B3825" s="63">
        <f t="shared" si="249"/>
        <v>10</v>
      </c>
      <c r="C3825" s="1092">
        <v>42644</v>
      </c>
      <c r="D3825" s="1092" t="s">
        <v>852</v>
      </c>
      <c r="E3825" s="1092">
        <f t="shared" si="250"/>
        <v>42644</v>
      </c>
      <c r="F3825" s="482" t="s">
        <v>947</v>
      </c>
      <c r="G3825" s="1094"/>
      <c r="H3825" s="1093" t="s">
        <v>3001</v>
      </c>
      <c r="I3825" s="1095"/>
      <c r="J3825" s="1095"/>
      <c r="K3825" s="1096"/>
      <c r="L3825" s="1095"/>
      <c r="M3825" s="1097">
        <v>800000000</v>
      </c>
      <c r="N3825" s="1098" t="s">
        <v>266</v>
      </c>
      <c r="O3825" s="1098" t="s">
        <v>61</v>
      </c>
      <c r="P3825" s="82" t="str">
        <f>IF(AND('331-CT'!$E$7=TH!H3825,OR(N3825="331",O3825="331")),"x","")</f>
        <v/>
      </c>
      <c r="Q3825" s="82" t="str">
        <f>IF(AND(B3825='111'!$L$11,OR($N3825=$Q$7,$O3825=$Q$7)),"x","")</f>
        <v/>
      </c>
      <c r="R3825" s="82" t="str">
        <f>IF(AND($N3825=$Q$7,$B3825&lt;'111'!$L$11),"x","")</f>
        <v/>
      </c>
      <c r="S3825" s="82" t="str">
        <f>IF(AND($O3825=$Q$7,$B3825&lt;'111'!$L$11),"x","")</f>
        <v>x</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1" ht="15.75" customHeight="1">
      <c r="A3826" s="323" t="str">
        <f>IF(B3826&lt;&gt;"",IF(AND(B3826='IN-TC'!$S$4,OR(TH!N3824="1111",TH!O3824="1111")),TH!D3824,""),"")</f>
        <v>C01</v>
      </c>
      <c r="B3826" s="63">
        <f t="shared" si="249"/>
        <v>10</v>
      </c>
      <c r="C3826" s="64">
        <v>42644</v>
      </c>
      <c r="D3826" s="64" t="s">
        <v>857</v>
      </c>
      <c r="E3826" s="64">
        <f t="shared" si="250"/>
        <v>42644</v>
      </c>
      <c r="F3826" s="72" t="s">
        <v>1126</v>
      </c>
      <c r="G3826" s="67" t="s">
        <v>901</v>
      </c>
      <c r="H3826" s="72" t="s">
        <v>748</v>
      </c>
      <c r="I3826" s="408"/>
      <c r="J3826" s="408"/>
      <c r="K3826" s="399"/>
      <c r="L3826" s="1125"/>
      <c r="M3826" s="65">
        <v>940000000</v>
      </c>
      <c r="N3826" s="66" t="s">
        <v>61</v>
      </c>
      <c r="O3826" s="66" t="s">
        <v>25</v>
      </c>
      <c r="P3826" s="82" t="str">
        <f>IF(AND('331-CT'!$E$7=TH!H3826,OR(N3826="331",O3826="331")),"x","")</f>
        <v/>
      </c>
      <c r="Q3826" s="82" t="str">
        <f>IF(AND(B3826='111'!$L$11,OR($N3826=$Q$7,$O3826=$Q$7)),"x","")</f>
        <v/>
      </c>
      <c r="R3826" s="82" t="str">
        <f>IF(AND($N3826=$Q$7,$B3826&lt;'111'!$L$11),"x","")</f>
        <v>x</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1" ht="15.75" customHeight="1">
      <c r="A3827" s="323" t="str">
        <f>IF(B3827&lt;&gt;"",IF(AND(B3827='IN-TC'!$S$4,OR(TH!N3827="1111",TH!O3827="1111")),TH!D3827,""),"")</f>
        <v>C03</v>
      </c>
      <c r="B3827" s="63">
        <f t="shared" si="249"/>
        <v>10</v>
      </c>
      <c r="C3827" s="64">
        <v>42646</v>
      </c>
      <c r="D3827" s="64" t="s">
        <v>853</v>
      </c>
      <c r="E3827" s="64">
        <f t="shared" si="250"/>
        <v>42646</v>
      </c>
      <c r="F3827" s="72" t="s">
        <v>2054</v>
      </c>
      <c r="G3827" s="931" t="s">
        <v>2057</v>
      </c>
      <c r="H3827" s="72" t="s">
        <v>2055</v>
      </c>
      <c r="I3827" s="408"/>
      <c r="J3827" s="408"/>
      <c r="K3827" s="399"/>
      <c r="L3827" s="408"/>
      <c r="M3827" s="65">
        <v>90909</v>
      </c>
      <c r="N3827" s="66" t="s">
        <v>99</v>
      </c>
      <c r="O3827" s="66" t="s">
        <v>61</v>
      </c>
      <c r="P3827" s="82" t="str">
        <f>IF(AND('331-CT'!$E$7=TH!H3827,OR(N3827="331",O3827="331")),"x","")</f>
        <v/>
      </c>
      <c r="Q3827" s="82" t="str">
        <f>IF(AND(B3827='111'!$L$11,OR($N3827=$Q$7,$O3827=$Q$7)),"x","")</f>
        <v/>
      </c>
      <c r="R3827" s="82" t="str">
        <f>IF(AND($N3827=$Q$7,$B3827&lt;'111'!$L$11),"x","")</f>
        <v/>
      </c>
      <c r="S3827" s="82" t="str">
        <f>IF(AND($O3827=$Q$7,$B3827&lt;'111'!$L$11),"x","")</f>
        <v>x</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1" ht="15.75" customHeight="1">
      <c r="A3828" s="323" t="str">
        <f>IF(B3828&lt;&gt;"",IF(AND(B3828='IN-TC'!$S$4,OR(TH!N3828="1111",TH!O3828="1111")),TH!D3828,""),"")</f>
        <v>C03</v>
      </c>
      <c r="B3828" s="63">
        <f t="shared" si="249"/>
        <v>10</v>
      </c>
      <c r="C3828" s="64">
        <v>42646</v>
      </c>
      <c r="D3828" s="64" t="s">
        <v>853</v>
      </c>
      <c r="E3828" s="64">
        <f t="shared" si="250"/>
        <v>42646</v>
      </c>
      <c r="F3828" s="72" t="s">
        <v>2056</v>
      </c>
      <c r="G3828" s="931" t="s">
        <v>2057</v>
      </c>
      <c r="H3828" s="72" t="s">
        <v>2055</v>
      </c>
      <c r="I3828" s="408"/>
      <c r="J3828" s="408"/>
      <c r="K3828" s="399"/>
      <c r="L3828" s="408"/>
      <c r="M3828" s="65">
        <v>9091</v>
      </c>
      <c r="N3828" s="66" t="s">
        <v>9</v>
      </c>
      <c r="O3828" s="66" t="s">
        <v>61</v>
      </c>
      <c r="P3828" s="82" t="str">
        <f>IF(AND('331-CT'!$E$7=TH!H3828,OR(N3828="331",O3828="331")),"x","")</f>
        <v/>
      </c>
      <c r="Q3828" s="82" t="str">
        <f>IF(AND(B3828='111'!$L$11,OR($N3828=$Q$7,$O3828=$Q$7)),"x","")</f>
        <v/>
      </c>
      <c r="R3828" s="82" t="str">
        <f>IF(AND($N3828=$Q$7,$B3828&lt;'111'!$L$11),"x","")</f>
        <v/>
      </c>
      <c r="S3828" s="82" t="str">
        <f>IF(AND($O3828=$Q$7,$B3828&lt;'111'!$L$11),"x","")</f>
        <v>x</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x</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1" ht="15.75" customHeight="1">
      <c r="A3829" s="323" t="str">
        <f>IF(B3829&lt;&gt;"",IF(AND(B3829='IN-TC'!$S$4,OR(TH!N3829="1111",TH!O3829="1111")),TH!D3829,""),"")</f>
        <v>C04</v>
      </c>
      <c r="B3829" s="63">
        <f t="shared" si="249"/>
        <v>10</v>
      </c>
      <c r="C3829" s="64">
        <v>42646</v>
      </c>
      <c r="D3829" s="64" t="s">
        <v>854</v>
      </c>
      <c r="E3829" s="64">
        <f t="shared" si="250"/>
        <v>42646</v>
      </c>
      <c r="F3829" s="72" t="s">
        <v>756</v>
      </c>
      <c r="G3829" s="931" t="s">
        <v>2058</v>
      </c>
      <c r="H3829" s="72" t="s">
        <v>792</v>
      </c>
      <c r="I3829" s="408"/>
      <c r="J3829" s="408"/>
      <c r="K3829" s="399"/>
      <c r="L3829" s="408"/>
      <c r="M3829" s="65">
        <v>556818</v>
      </c>
      <c r="N3829" s="66" t="s">
        <v>99</v>
      </c>
      <c r="O3829" s="66" t="s">
        <v>61</v>
      </c>
      <c r="P3829" s="82" t="str">
        <f>IF(AND('331-CT'!$E$7=TH!H3829,OR(N3829="331",O3829="331")),"x","")</f>
        <v/>
      </c>
      <c r="Q3829" s="82" t="str">
        <f>IF(AND(B3829='111'!$L$11,OR($N3829=$Q$7,$O3829=$Q$7)),"x","")</f>
        <v/>
      </c>
      <c r="R3829" s="82" t="str">
        <f>IF(AND($N3829=$Q$7,$B3829&lt;'111'!$L$11),"x","")</f>
        <v/>
      </c>
      <c r="S3829" s="82" t="str">
        <f>IF(AND($O3829=$Q$7,$B3829&lt;'111'!$L$11),"x","")</f>
        <v>x</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1" ht="15.75" customHeight="1">
      <c r="A3830" s="323" t="str">
        <f>IF(B3830&lt;&gt;"",IF(AND(B3830='IN-TC'!$S$4,OR(TH!N3830="1111",TH!O3830="1111")),TH!D3830,""),"")</f>
        <v>C04</v>
      </c>
      <c r="B3830" s="63">
        <f t="shared" si="249"/>
        <v>10</v>
      </c>
      <c r="C3830" s="64">
        <v>42646</v>
      </c>
      <c r="D3830" s="64" t="s">
        <v>854</v>
      </c>
      <c r="E3830" s="64">
        <f t="shared" si="250"/>
        <v>42646</v>
      </c>
      <c r="F3830" s="72" t="s">
        <v>757</v>
      </c>
      <c r="G3830" s="931" t="s">
        <v>2058</v>
      </c>
      <c r="H3830" s="72" t="s">
        <v>792</v>
      </c>
      <c r="I3830" s="408"/>
      <c r="J3830" s="408"/>
      <c r="K3830" s="399"/>
      <c r="L3830" s="408"/>
      <c r="M3830" s="65">
        <v>55682</v>
      </c>
      <c r="N3830" s="66" t="s">
        <v>9</v>
      </c>
      <c r="O3830" s="66" t="s">
        <v>61</v>
      </c>
      <c r="P3830" s="82" t="str">
        <f>IF(AND('331-CT'!$E$7=TH!H3830,OR(N3830="331",O3830="331")),"x","")</f>
        <v/>
      </c>
      <c r="Q3830" s="82" t="str">
        <f>IF(AND(B3830='111'!$L$11,OR($N3830=$Q$7,$O3830=$Q$7)),"x","")</f>
        <v/>
      </c>
      <c r="R3830" s="82" t="str">
        <f>IF(AND($N3830=$Q$7,$B3830&lt;'111'!$L$11),"x","")</f>
        <v/>
      </c>
      <c r="S3830" s="82" t="str">
        <f>IF(AND($O3830=$Q$7,$B3830&lt;'111'!$L$11),"x","")</f>
        <v>x</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x</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1" ht="15.75" customHeight="1">
      <c r="A3831" s="323" t="str">
        <f>IF(B3831&lt;&gt;"",IF(AND(B3831='IN-TC'!$S$4,OR(TH!N3831="1111",TH!O3831="1111")),TH!D3831,""),"")</f>
        <v>C05</v>
      </c>
      <c r="B3831" s="63">
        <f t="shared" si="249"/>
        <v>10</v>
      </c>
      <c r="C3831" s="1092">
        <v>42646</v>
      </c>
      <c r="D3831" s="1092" t="s">
        <v>855</v>
      </c>
      <c r="E3831" s="1092">
        <f t="shared" si="250"/>
        <v>42646</v>
      </c>
      <c r="F3831" s="482" t="s">
        <v>947</v>
      </c>
      <c r="G3831" s="1094"/>
      <c r="H3831" s="1093" t="s">
        <v>3001</v>
      </c>
      <c r="I3831" s="1095"/>
      <c r="J3831" s="1095"/>
      <c r="K3831" s="1096"/>
      <c r="L3831" s="1136"/>
      <c r="M3831" s="1097">
        <v>750000000</v>
      </c>
      <c r="N3831" s="1098" t="s">
        <v>266</v>
      </c>
      <c r="O3831" s="1098" t="s">
        <v>61</v>
      </c>
      <c r="P3831" s="82" t="str">
        <f>IF(AND('331-CT'!$E$7=TH!H3831,OR(N3831="331",O3831="331")),"x","")</f>
        <v/>
      </c>
      <c r="Q3831" s="82" t="str">
        <f>IF(AND(B3831='111'!$L$11,OR($N3831=$Q$7,$O3831=$Q$7)),"x","")</f>
        <v/>
      </c>
      <c r="R3831" s="82" t="str">
        <f>IF(AND($N3831=$Q$7,$B3831&lt;'111'!$L$11),"x","")</f>
        <v/>
      </c>
      <c r="S3831" s="82" t="str">
        <f>IF(AND($O3831=$Q$7,$B3831&lt;'111'!$L$11),"x","")</f>
        <v>x</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1" ht="15.75" customHeight="1">
      <c r="A3832" s="323" t="str">
        <f>IF(B3832&lt;&gt;"",IF(AND(B3832='IN-TC'!$S$4,OR(TH!N2181="1111",TH!O2181="1111")),TH!D2181,""),"")</f>
        <v/>
      </c>
      <c r="B3832" s="63">
        <f t="shared" si="249"/>
        <v>12</v>
      </c>
      <c r="C3832" s="78">
        <v>42734</v>
      </c>
      <c r="D3832" s="78" t="s">
        <v>570</v>
      </c>
      <c r="E3832" s="78">
        <v>42734</v>
      </c>
      <c r="F3832" s="80" t="s">
        <v>625</v>
      </c>
      <c r="G3832" s="934" t="s">
        <v>2801</v>
      </c>
      <c r="H3832" s="80" t="s">
        <v>615</v>
      </c>
      <c r="I3832" s="406"/>
      <c r="J3832" s="406"/>
      <c r="K3832" s="397"/>
      <c r="L3832" s="406"/>
      <c r="M3832" s="81">
        <v>200000</v>
      </c>
      <c r="N3832" s="82" t="s">
        <v>9</v>
      </c>
      <c r="O3832" s="82" t="s">
        <v>8</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x</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c r="AE3832">
        <v>1</v>
      </c>
    </row>
    <row r="3833" spans="1:31" ht="15.75" customHeight="1">
      <c r="A3833" s="323" t="str">
        <f>IF(B3833&lt;&gt;"",IF(AND(B3833='IN-TC'!$S$4,OR(TH!N3905="1111",TH!O3905="1111")),TH!D3905,""),"")</f>
        <v/>
      </c>
      <c r="B3833" s="63">
        <f t="shared" si="249"/>
        <v>10</v>
      </c>
      <c r="C3833" s="64">
        <v>42646</v>
      </c>
      <c r="D3833" s="64" t="s">
        <v>690</v>
      </c>
      <c r="E3833" s="64">
        <f t="shared" ref="E3833:E3864" si="251">C3833</f>
        <v>42646</v>
      </c>
      <c r="F3833" s="72" t="s">
        <v>1156</v>
      </c>
      <c r="G3833" s="67" t="s">
        <v>901</v>
      </c>
      <c r="H3833" s="72" t="s">
        <v>2048</v>
      </c>
      <c r="I3833" s="408"/>
      <c r="J3833" s="408"/>
      <c r="K3833" s="399"/>
      <c r="L3833" s="408"/>
      <c r="M3833" s="65">
        <v>50000</v>
      </c>
      <c r="N3833" s="66" t="s">
        <v>99</v>
      </c>
      <c r="O3833" s="66" t="s">
        <v>25</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1" ht="15.75" customHeight="1">
      <c r="A3834" s="323" t="str">
        <f>IF(B3834&lt;&gt;"",IF(AND(B3834='IN-TC'!$S$4,OR(TH!N3906="1111",TH!O3906="1111")),TH!D3906,""),"")</f>
        <v/>
      </c>
      <c r="B3834" s="63">
        <f t="shared" si="249"/>
        <v>10</v>
      </c>
      <c r="C3834" s="64">
        <v>42646</v>
      </c>
      <c r="D3834" s="64" t="s">
        <v>690</v>
      </c>
      <c r="E3834" s="64">
        <f t="shared" si="251"/>
        <v>42646</v>
      </c>
      <c r="F3834" s="72" t="s">
        <v>1616</v>
      </c>
      <c r="G3834" s="67" t="s">
        <v>901</v>
      </c>
      <c r="H3834" s="72" t="s">
        <v>2048</v>
      </c>
      <c r="I3834" s="408"/>
      <c r="J3834" s="408"/>
      <c r="K3834" s="399"/>
      <c r="L3834" s="408"/>
      <c r="M3834" s="65">
        <v>5000</v>
      </c>
      <c r="N3834" s="66" t="s">
        <v>9</v>
      </c>
      <c r="O3834" s="66" t="s">
        <v>25</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x</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1" ht="15.75" customHeight="1">
      <c r="A3835" s="323" t="str">
        <f>IF(B3835&lt;&gt;"",IF(AND(B3835='IN-TC'!$S$4,OR(TH!N3935="1111",TH!O3935="1111")),TH!D3935,""),"")</f>
        <v>C30</v>
      </c>
      <c r="B3835" s="63">
        <f t="shared" si="249"/>
        <v>10</v>
      </c>
      <c r="C3835" s="64">
        <v>42646</v>
      </c>
      <c r="D3835" s="64" t="s">
        <v>690</v>
      </c>
      <c r="E3835" s="64">
        <f t="shared" si="251"/>
        <v>42646</v>
      </c>
      <c r="F3835" s="72" t="s">
        <v>2137</v>
      </c>
      <c r="G3835" s="67" t="s">
        <v>902</v>
      </c>
      <c r="H3835" s="72" t="s">
        <v>1567</v>
      </c>
      <c r="I3835" s="408"/>
      <c r="J3835" s="408"/>
      <c r="K3835" s="399"/>
      <c r="L3835" s="408"/>
      <c r="M3835" s="65">
        <v>7261946</v>
      </c>
      <c r="N3835" s="66" t="s">
        <v>915</v>
      </c>
      <c r="O3835" s="66" t="s">
        <v>25</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1" ht="15.75" customHeight="1">
      <c r="A3836" s="323" t="str">
        <f>IF(B3836&lt;&gt;"",IF(AND(B3836='IN-TC'!$S$4,OR(TH!N3936="1111",TH!O3936="1111")),TH!D3936,""),"")</f>
        <v/>
      </c>
      <c r="B3836" s="63">
        <f t="shared" si="249"/>
        <v>10</v>
      </c>
      <c r="C3836" s="64">
        <v>42646</v>
      </c>
      <c r="D3836" s="64" t="s">
        <v>690</v>
      </c>
      <c r="E3836" s="64">
        <f t="shared" si="251"/>
        <v>42646</v>
      </c>
      <c r="F3836" s="72" t="s">
        <v>2138</v>
      </c>
      <c r="G3836" s="67" t="s">
        <v>902</v>
      </c>
      <c r="H3836" s="72" t="s">
        <v>1567</v>
      </c>
      <c r="I3836" s="408"/>
      <c r="J3836" s="408"/>
      <c r="K3836" s="399"/>
      <c r="L3836" s="1125"/>
      <c r="M3836" s="65">
        <v>76250</v>
      </c>
      <c r="N3836" s="66" t="s">
        <v>103</v>
      </c>
      <c r="O3836" s="66" t="s">
        <v>25</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1" ht="15.75" customHeight="1">
      <c r="A3837" s="323" t="str">
        <f>IF(B3837&lt;&gt;"",IF(AND(B3837='IN-TC'!$S$4,OR(TH!N3937="1111",TH!O3937="1111")),TH!D3937,""),"")</f>
        <v>T05</v>
      </c>
      <c r="B3837" s="63">
        <f t="shared" si="249"/>
        <v>10</v>
      </c>
      <c r="C3837" s="64">
        <v>42646</v>
      </c>
      <c r="D3837" s="64" t="s">
        <v>690</v>
      </c>
      <c r="E3837" s="64">
        <f t="shared" si="251"/>
        <v>42646</v>
      </c>
      <c r="F3837" s="72" t="s">
        <v>1156</v>
      </c>
      <c r="G3837" s="67" t="s">
        <v>902</v>
      </c>
      <c r="H3837" s="72" t="s">
        <v>1779</v>
      </c>
      <c r="I3837" s="408"/>
      <c r="J3837" s="408"/>
      <c r="K3837" s="399"/>
      <c r="L3837" s="408"/>
      <c r="M3837" s="65">
        <v>10000</v>
      </c>
      <c r="N3837" s="66" t="s">
        <v>99</v>
      </c>
      <c r="O3837" s="66" t="s">
        <v>25</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1" ht="15.75" customHeight="1">
      <c r="A3838" s="323" t="str">
        <f>IF(B3838&lt;&gt;"",IF(AND(B3838='IN-TC'!$S$4,OR(TH!N3938="1111",TH!O3938="1111")),TH!D3938,""),"")</f>
        <v>T06</v>
      </c>
      <c r="B3838" s="63">
        <f t="shared" si="249"/>
        <v>10</v>
      </c>
      <c r="C3838" s="64">
        <v>42646</v>
      </c>
      <c r="D3838" s="64" t="s">
        <v>690</v>
      </c>
      <c r="E3838" s="64">
        <f t="shared" si="251"/>
        <v>42646</v>
      </c>
      <c r="F3838" s="72" t="s">
        <v>1616</v>
      </c>
      <c r="G3838" s="67" t="s">
        <v>902</v>
      </c>
      <c r="H3838" s="72" t="s">
        <v>1779</v>
      </c>
      <c r="I3838" s="408"/>
      <c r="J3838" s="408"/>
      <c r="K3838" s="399"/>
      <c r="L3838" s="408"/>
      <c r="M3838" s="65">
        <v>1000</v>
      </c>
      <c r="N3838" s="66" t="s">
        <v>9</v>
      </c>
      <c r="O3838" s="66" t="s">
        <v>25</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x</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1" ht="15.75" customHeight="1">
      <c r="A3839" s="323" t="str">
        <f>IF(B3839&lt;&gt;"",IF(AND(B3839='IN-TC'!$S$4,OR(TH!N3832="1111",TH!O3832="1111")),TH!D3832,""),"")</f>
        <v/>
      </c>
      <c r="B3839" s="63">
        <f t="shared" si="249"/>
        <v>10</v>
      </c>
      <c r="C3839" s="64">
        <v>42647</v>
      </c>
      <c r="D3839" s="64" t="s">
        <v>856</v>
      </c>
      <c r="E3839" s="64">
        <f t="shared" si="251"/>
        <v>42647</v>
      </c>
      <c r="F3839" s="72" t="s">
        <v>2054</v>
      </c>
      <c r="G3839" s="931" t="s">
        <v>2059</v>
      </c>
      <c r="H3839" s="72" t="s">
        <v>2055</v>
      </c>
      <c r="I3839" s="408"/>
      <c r="J3839" s="408"/>
      <c r="K3839" s="399"/>
      <c r="L3839" s="408"/>
      <c r="M3839" s="65">
        <v>181818</v>
      </c>
      <c r="N3839" s="66" t="s">
        <v>99</v>
      </c>
      <c r="O3839" s="66" t="s">
        <v>61</v>
      </c>
      <c r="P3839" s="82" t="str">
        <f>IF(AND('331-CT'!$E$7=TH!H3839,OR(N3839="331",O3839="331")),"x","")</f>
        <v/>
      </c>
      <c r="Q3839" s="82" t="str">
        <f>IF(AND(B3839='111'!$L$11,OR($N3839=$Q$7,$O3839=$Q$7)),"x","")</f>
        <v/>
      </c>
      <c r="R3839" s="82" t="str">
        <f>IF(AND($N3839=$Q$7,$B3839&lt;'111'!$L$11),"x","")</f>
        <v/>
      </c>
      <c r="S3839" s="82" t="str">
        <f>IF(AND($O3839=$Q$7,$B3839&lt;'111'!$L$11),"x","")</f>
        <v>x</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1" ht="15.75" customHeight="1">
      <c r="A3840" s="323" t="str">
        <f>IF(B3840&lt;&gt;"",IF(AND(B3840='IN-TC'!$S$4,OR(TH!N3833="1111",TH!O3833="1111")),TH!D3833,""),"")</f>
        <v/>
      </c>
      <c r="B3840" s="63">
        <f t="shared" si="249"/>
        <v>10</v>
      </c>
      <c r="C3840" s="64">
        <v>42647</v>
      </c>
      <c r="D3840" s="64" t="s">
        <v>856</v>
      </c>
      <c r="E3840" s="64">
        <f t="shared" si="251"/>
        <v>42647</v>
      </c>
      <c r="F3840" s="72" t="s">
        <v>2056</v>
      </c>
      <c r="G3840" s="931" t="s">
        <v>2059</v>
      </c>
      <c r="H3840" s="72" t="s">
        <v>2055</v>
      </c>
      <c r="I3840" s="408"/>
      <c r="J3840" s="408"/>
      <c r="K3840" s="399"/>
      <c r="L3840" s="408"/>
      <c r="M3840" s="65">
        <v>18182</v>
      </c>
      <c r="N3840" s="66" t="s">
        <v>9</v>
      </c>
      <c r="O3840" s="66" t="s">
        <v>61</v>
      </c>
      <c r="P3840" s="82" t="str">
        <f>IF(AND('331-CT'!$E$7=TH!H3840,OR(N3840="331",O3840="331")),"x","")</f>
        <v/>
      </c>
      <c r="Q3840" s="82" t="str">
        <f>IF(AND(B3840='111'!$L$11,OR($N3840=$Q$7,$O3840=$Q$7)),"x","")</f>
        <v/>
      </c>
      <c r="R3840" s="82" t="str">
        <f>IF(AND($N3840=$Q$7,$B3840&lt;'111'!$L$11),"x","")</f>
        <v/>
      </c>
      <c r="S3840" s="82" t="str">
        <f>IF(AND($O3840=$Q$7,$B3840&lt;'111'!$L$11),"x","")</f>
        <v>x</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x</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customHeight="1">
      <c r="A3841" s="323" t="str">
        <f>IF(B3841&lt;&gt;"",IF(AND(B3841='IN-TC'!$S$4,OR(TH!N3834="1111",TH!O3834="1111")),TH!D3834,""),"")</f>
        <v/>
      </c>
      <c r="B3841" s="63">
        <f t="shared" si="249"/>
        <v>10</v>
      </c>
      <c r="C3841" s="64">
        <v>42647</v>
      </c>
      <c r="D3841" s="64" t="s">
        <v>858</v>
      </c>
      <c r="E3841" s="64">
        <f t="shared" si="251"/>
        <v>42647</v>
      </c>
      <c r="F3841" s="72" t="s">
        <v>1087</v>
      </c>
      <c r="G3841" s="67" t="s">
        <v>902</v>
      </c>
      <c r="H3841" s="72" t="s">
        <v>749</v>
      </c>
      <c r="I3841" s="408"/>
      <c r="J3841" s="408"/>
      <c r="K3841" s="399"/>
      <c r="L3841" s="408"/>
      <c r="M3841" s="65">
        <v>24000000</v>
      </c>
      <c r="N3841" s="66" t="s">
        <v>25</v>
      </c>
      <c r="O3841" s="66" t="s">
        <v>61</v>
      </c>
      <c r="P3841" s="82" t="str">
        <f>IF(AND('331-CT'!$E$7=TH!H3841,OR(N3841="331",O3841="331")),"x","")</f>
        <v/>
      </c>
      <c r="Q3841" s="82" t="str">
        <f>IF(AND(B3841='111'!$L$11,OR($N3841=$Q$7,$O3841=$Q$7)),"x","")</f>
        <v/>
      </c>
      <c r="R3841" s="82" t="str">
        <f>IF(AND($N3841=$Q$7,$B3841&lt;'111'!$L$11),"x","")</f>
        <v/>
      </c>
      <c r="S3841" s="82" t="str">
        <f>IF(AND($O3841=$Q$7,$B3841&lt;'111'!$L$11),"x","")</f>
        <v>x</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customHeight="1">
      <c r="A3842" s="323" t="str">
        <f>IF(B3842&lt;&gt;"",IF(AND(B3842='IN-TC'!$S$4,OR(TH!N3835="1111",TH!O3835="1111")),TH!D3835,""),"")</f>
        <v/>
      </c>
      <c r="B3842" s="63">
        <f t="shared" si="249"/>
        <v>10</v>
      </c>
      <c r="C3842" s="64">
        <v>42647</v>
      </c>
      <c r="D3842" s="64" t="s">
        <v>859</v>
      </c>
      <c r="E3842" s="64">
        <f t="shared" si="251"/>
        <v>42647</v>
      </c>
      <c r="F3842" s="72" t="s">
        <v>2061</v>
      </c>
      <c r="G3842" s="931" t="s">
        <v>2062</v>
      </c>
      <c r="H3842" s="72" t="s">
        <v>2063</v>
      </c>
      <c r="I3842" s="408"/>
      <c r="J3842" s="408"/>
      <c r="K3842" s="399"/>
      <c r="L3842" s="1125"/>
      <c r="M3842" s="65">
        <v>1135000</v>
      </c>
      <c r="N3842" s="66" t="s">
        <v>99</v>
      </c>
      <c r="O3842" s="66" t="s">
        <v>61</v>
      </c>
      <c r="P3842" s="82" t="str">
        <f>IF(AND('331-CT'!$E$7=TH!H3842,OR(N3842="331",O3842="331")),"x","")</f>
        <v/>
      </c>
      <c r="Q3842" s="82" t="str">
        <f>IF(AND(B3842='111'!$L$11,OR($N3842=$Q$7,$O3842=$Q$7)),"x","")</f>
        <v/>
      </c>
      <c r="R3842" s="82" t="str">
        <f>IF(AND($N3842=$Q$7,$B3842&lt;'111'!$L$11),"x","")</f>
        <v/>
      </c>
      <c r="S3842" s="82" t="str">
        <f>IF(AND($O3842=$Q$7,$B3842&lt;'111'!$L$11),"x","")</f>
        <v>x</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customHeight="1">
      <c r="A3843" s="323" t="str">
        <f>IF(B3843&lt;&gt;"",IF(AND(B3843='IN-TC'!$S$4,OR(TH!N3922="1111",TH!O3922="1111")),TH!D3922,""),"")</f>
        <v>C26</v>
      </c>
      <c r="B3843" s="63">
        <f t="shared" si="249"/>
        <v>10</v>
      </c>
      <c r="C3843" s="64">
        <v>42647</v>
      </c>
      <c r="D3843" s="64" t="s">
        <v>690</v>
      </c>
      <c r="E3843" s="64">
        <f t="shared" si="251"/>
        <v>42647</v>
      </c>
      <c r="F3843" s="72" t="s">
        <v>1423</v>
      </c>
      <c r="G3843" s="67" t="s">
        <v>901</v>
      </c>
      <c r="H3843" s="72" t="s">
        <v>2048</v>
      </c>
      <c r="I3843" s="408"/>
      <c r="J3843" s="408"/>
      <c r="K3843" s="399">
        <v>5</v>
      </c>
      <c r="L3843" s="1125">
        <v>22275</v>
      </c>
      <c r="M3843" s="65">
        <f>ROUND(K3843*L3843,0)</f>
        <v>111375</v>
      </c>
      <c r="N3843" s="66" t="s">
        <v>99</v>
      </c>
      <c r="O3843" s="66" t="s">
        <v>260</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customHeight="1">
      <c r="A3844" s="323" t="str">
        <f>IF(B3844&lt;&gt;"",IF(AND(B3844='IN-TC'!$S$4,OR(TH!N3923="1111",TH!O3923="1111")),TH!D3923,""),"")</f>
        <v>C27</v>
      </c>
      <c r="B3844" s="63">
        <f t="shared" si="249"/>
        <v>10</v>
      </c>
      <c r="C3844" s="64">
        <v>42647</v>
      </c>
      <c r="D3844" s="64" t="s">
        <v>690</v>
      </c>
      <c r="E3844" s="64">
        <f t="shared" si="251"/>
        <v>42647</v>
      </c>
      <c r="F3844" s="72" t="s">
        <v>1424</v>
      </c>
      <c r="G3844" s="67" t="s">
        <v>901</v>
      </c>
      <c r="H3844" s="72" t="s">
        <v>2048</v>
      </c>
      <c r="I3844" s="408"/>
      <c r="J3844" s="408"/>
      <c r="K3844" s="399">
        <v>0.5</v>
      </c>
      <c r="L3844" s="408">
        <v>22275</v>
      </c>
      <c r="M3844" s="65">
        <f>ROUND(K3844*L3844,0)</f>
        <v>11138</v>
      </c>
      <c r="N3844" s="66" t="s">
        <v>9</v>
      </c>
      <c r="O3844" s="66" t="s">
        <v>260</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x</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customHeight="1">
      <c r="A3845" s="323" t="str">
        <f>IF(B3845&lt;&gt;"",IF(AND(B3845='IN-TC'!$S$4,OR(TH!N4151="1111",TH!O4151="1111")),TH!D4151,""),"")</f>
        <v/>
      </c>
      <c r="B3845" s="63">
        <f t="shared" si="249"/>
        <v>11</v>
      </c>
      <c r="C3845" s="64">
        <v>42704</v>
      </c>
      <c r="D3845" s="64" t="s">
        <v>690</v>
      </c>
      <c r="E3845" s="64">
        <f t="shared" si="251"/>
        <v>42704</v>
      </c>
      <c r="F3845" s="72" t="s">
        <v>2346</v>
      </c>
      <c r="G3845" s="67" t="s">
        <v>901</v>
      </c>
      <c r="H3845" s="72" t="s">
        <v>617</v>
      </c>
      <c r="I3845" s="408"/>
      <c r="J3845" s="408"/>
      <c r="K3845" s="399"/>
      <c r="L3845" s="408"/>
      <c r="M3845" s="65">
        <v>34187120</v>
      </c>
      <c r="N3845" s="66" t="s">
        <v>8</v>
      </c>
      <c r="O3845" s="66" t="s">
        <v>25</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customHeight="1">
      <c r="A3846" s="323" t="str">
        <f>IF(B3846&lt;&gt;"",IF(AND(B3846='IN-TC'!$S$4,OR(TH!N3940="1111",TH!O3940="1111")),TH!D3940,""),"")</f>
        <v>C32</v>
      </c>
      <c r="B3846" s="63">
        <f t="shared" si="249"/>
        <v>10</v>
      </c>
      <c r="C3846" s="90">
        <v>42647</v>
      </c>
      <c r="D3846" s="90" t="s">
        <v>690</v>
      </c>
      <c r="E3846" s="90">
        <f t="shared" si="251"/>
        <v>42647</v>
      </c>
      <c r="F3846" s="72" t="s">
        <v>1179</v>
      </c>
      <c r="G3846" s="91" t="s">
        <v>902</v>
      </c>
      <c r="H3846" s="92" t="s">
        <v>1779</v>
      </c>
      <c r="I3846" s="414"/>
      <c r="J3846" s="414"/>
      <c r="K3846" s="405"/>
      <c r="L3846" s="414"/>
      <c r="M3846" s="93">
        <v>45000</v>
      </c>
      <c r="N3846" s="83" t="s">
        <v>99</v>
      </c>
      <c r="O3846" s="83" t="s">
        <v>25</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customHeight="1">
      <c r="A3847" s="323" t="str">
        <f>IF(B3847&lt;&gt;"",IF(AND(B3847='IN-TC'!$S$4,OR(TH!N3941="1111",TH!O3941="1111")),TH!D3941,""),"")</f>
        <v>C32</v>
      </c>
      <c r="B3847" s="63">
        <f t="shared" si="249"/>
        <v>10</v>
      </c>
      <c r="C3847" s="90">
        <v>42647</v>
      </c>
      <c r="D3847" s="90" t="s">
        <v>690</v>
      </c>
      <c r="E3847" s="90">
        <f t="shared" si="251"/>
        <v>42647</v>
      </c>
      <c r="F3847" s="72" t="s">
        <v>1180</v>
      </c>
      <c r="G3847" s="91" t="s">
        <v>902</v>
      </c>
      <c r="H3847" s="92" t="s">
        <v>1779</v>
      </c>
      <c r="I3847" s="414"/>
      <c r="J3847" s="414"/>
      <c r="K3847" s="405"/>
      <c r="L3847" s="414"/>
      <c r="M3847" s="93">
        <v>4500</v>
      </c>
      <c r="N3847" s="83" t="s">
        <v>9</v>
      </c>
      <c r="O3847" s="83" t="s">
        <v>25</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x</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customHeight="1">
      <c r="A3848" s="323" t="str">
        <f>IF(B3848&lt;&gt;"",IF(AND(B3848='IN-TC'!$S$4,OR(TH!N3836="1111",TH!O3836="1111")),TH!D3836,""),"")</f>
        <v/>
      </c>
      <c r="B3848" s="63">
        <f t="shared" si="249"/>
        <v>10</v>
      </c>
      <c r="C3848" s="1092">
        <v>42648</v>
      </c>
      <c r="D3848" s="1092" t="s">
        <v>860</v>
      </c>
      <c r="E3848" s="1092">
        <f t="shared" si="251"/>
        <v>42648</v>
      </c>
      <c r="F3848" s="482" t="s">
        <v>947</v>
      </c>
      <c r="G3848" s="1094"/>
      <c r="H3848" s="1093" t="s">
        <v>3001</v>
      </c>
      <c r="I3848" s="1095"/>
      <c r="J3848" s="1095"/>
      <c r="K3848" s="1096"/>
      <c r="L3848" s="1095"/>
      <c r="M3848" s="1097">
        <v>750000000</v>
      </c>
      <c r="N3848" s="1098" t="s">
        <v>266</v>
      </c>
      <c r="O3848" s="1098" t="s">
        <v>61</v>
      </c>
      <c r="P3848" s="82" t="str">
        <f>IF(AND('331-CT'!$E$7=TH!H3848,OR(N3848="331",O3848="331")),"x","")</f>
        <v/>
      </c>
      <c r="Q3848" s="82" t="str">
        <f>IF(AND(B3848='111'!$L$11,OR($N3848=$Q$7,$O3848=$Q$7)),"x","")</f>
        <v/>
      </c>
      <c r="R3848" s="82" t="str">
        <f>IF(AND($N3848=$Q$7,$B3848&lt;'111'!$L$11),"x","")</f>
        <v/>
      </c>
      <c r="S3848" s="82" t="str">
        <f>IF(AND($O3848=$Q$7,$B3848&lt;'111'!$L$11),"x","")</f>
        <v>x</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customHeight="1">
      <c r="A3849" s="323" t="str">
        <f>IF(B3849&lt;&gt;"",IF(AND(B3849='IN-TC'!$S$4,OR(TH!N3837="1111",TH!O3837="1111")),TH!D3837,""),"")</f>
        <v/>
      </c>
      <c r="B3849" s="63">
        <f t="shared" si="249"/>
        <v>10</v>
      </c>
      <c r="C3849" s="64">
        <v>42648</v>
      </c>
      <c r="D3849" s="64" t="s">
        <v>861</v>
      </c>
      <c r="E3849" s="64">
        <f t="shared" si="251"/>
        <v>42648</v>
      </c>
      <c r="F3849" s="72" t="s">
        <v>2064</v>
      </c>
      <c r="G3849" s="931" t="s">
        <v>2065</v>
      </c>
      <c r="H3849" s="72" t="s">
        <v>830</v>
      </c>
      <c r="I3849" s="408"/>
      <c r="J3849" s="408"/>
      <c r="K3849" s="399"/>
      <c r="L3849" s="408"/>
      <c r="M3849" s="65">
        <v>1945365</v>
      </c>
      <c r="N3849" s="66" t="s">
        <v>99</v>
      </c>
      <c r="O3849" s="66" t="s">
        <v>61</v>
      </c>
      <c r="P3849" s="82" t="str">
        <f>IF(AND('331-CT'!$E$7=TH!H3849,OR(N3849="331",O3849="331")),"x","")</f>
        <v/>
      </c>
      <c r="Q3849" s="82" t="str">
        <f>IF(AND(B3849='111'!$L$11,OR($N3849=$Q$7,$O3849=$Q$7)),"x","")</f>
        <v/>
      </c>
      <c r="R3849" s="82" t="str">
        <f>IF(AND($N3849=$Q$7,$B3849&lt;'111'!$L$11),"x","")</f>
        <v/>
      </c>
      <c r="S3849" s="82" t="str">
        <f>IF(AND($O3849=$Q$7,$B3849&lt;'111'!$L$11),"x","")</f>
        <v>x</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customHeight="1">
      <c r="A3850" s="323" t="str">
        <f>IF(B3850&lt;&gt;"",IF(AND(B3850='IN-TC'!$S$4,OR(TH!N3838="1111",TH!O3838="1111")),TH!D3838,""),"")</f>
        <v/>
      </c>
      <c r="B3850" s="63">
        <f t="shared" si="249"/>
        <v>10</v>
      </c>
      <c r="C3850" s="64">
        <v>42648</v>
      </c>
      <c r="D3850" s="64" t="s">
        <v>861</v>
      </c>
      <c r="E3850" s="64">
        <f t="shared" si="251"/>
        <v>42648</v>
      </c>
      <c r="F3850" s="72" t="s">
        <v>2069</v>
      </c>
      <c r="G3850" s="931" t="s">
        <v>2065</v>
      </c>
      <c r="H3850" s="72" t="s">
        <v>830</v>
      </c>
      <c r="I3850" s="408"/>
      <c r="J3850" s="408"/>
      <c r="K3850" s="399"/>
      <c r="L3850" s="408"/>
      <c r="M3850" s="65">
        <v>194537</v>
      </c>
      <c r="N3850" s="66" t="s">
        <v>9</v>
      </c>
      <c r="O3850" s="66" t="s">
        <v>61</v>
      </c>
      <c r="P3850" s="82" t="str">
        <f>IF(AND('331-CT'!$E$7=TH!H3850,OR(N3850="331",O3850="331")),"x","")</f>
        <v/>
      </c>
      <c r="Q3850" s="82" t="str">
        <f>IF(AND(B3850='111'!$L$11,OR($N3850=$Q$7,$O3850=$Q$7)),"x","")</f>
        <v/>
      </c>
      <c r="R3850" s="82" t="str">
        <f>IF(AND($N3850=$Q$7,$B3850&lt;'111'!$L$11),"x","")</f>
        <v/>
      </c>
      <c r="S3850" s="82" t="str">
        <f>IF(AND($O3850=$Q$7,$B3850&lt;'111'!$L$11),"x","")</f>
        <v>x</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x</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customHeight="1">
      <c r="A3851" s="323" t="str">
        <f>IF(B3851&lt;&gt;"",IF(AND(B3851='IN-TC'!$S$4,OR(TH!N3973="1111",TH!O3973="1111")),TH!D3973,""),"")</f>
        <v/>
      </c>
      <c r="B3851" s="63">
        <f t="shared" si="249"/>
        <v>10</v>
      </c>
      <c r="C3851" s="64">
        <v>42648</v>
      </c>
      <c r="D3851" s="64" t="s">
        <v>690</v>
      </c>
      <c r="E3851" s="64">
        <f t="shared" si="251"/>
        <v>42648</v>
      </c>
      <c r="F3851" s="72" t="s">
        <v>2146</v>
      </c>
      <c r="G3851" s="67" t="s">
        <v>1544</v>
      </c>
      <c r="H3851" s="72" t="s">
        <v>2097</v>
      </c>
      <c r="I3851" s="408"/>
      <c r="J3851" s="408"/>
      <c r="K3851" s="399"/>
      <c r="L3851" s="408"/>
      <c r="M3851" s="65">
        <v>862400</v>
      </c>
      <c r="N3851" s="66" t="s">
        <v>8</v>
      </c>
      <c r="O3851" s="66" t="s">
        <v>25</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x</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customHeight="1">
      <c r="A3852" s="323" t="str">
        <f>IF(B3852&lt;&gt;"",IF(AND(B3852='IN-TC'!$S$4,OR(TH!N3974="1111",TH!O3974="1111")),TH!D3974,""),"")</f>
        <v/>
      </c>
      <c r="B3852" s="63">
        <f t="shared" si="249"/>
        <v>10</v>
      </c>
      <c r="C3852" s="64">
        <v>42648</v>
      </c>
      <c r="D3852" s="64" t="s">
        <v>690</v>
      </c>
      <c r="E3852" s="64">
        <f t="shared" si="251"/>
        <v>42648</v>
      </c>
      <c r="F3852" s="72" t="s">
        <v>1179</v>
      </c>
      <c r="G3852" s="67" t="s">
        <v>1544</v>
      </c>
      <c r="H3852" s="72" t="s">
        <v>2097</v>
      </c>
      <c r="I3852" s="408"/>
      <c r="J3852" s="408"/>
      <c r="K3852" s="399"/>
      <c r="L3852" s="408"/>
      <c r="M3852" s="65">
        <v>11000</v>
      </c>
      <c r="N3852" s="66" t="s">
        <v>8</v>
      </c>
      <c r="O3852" s="66" t="s">
        <v>101</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customHeight="1">
      <c r="A3853" s="323" t="str">
        <f>IF(B3853&lt;&gt;"",IF(AND(B3853='IN-TC'!$S$4,OR(TH!N3975="1111",TH!O3975="1111")),TH!D3975,""),"")</f>
        <v/>
      </c>
      <c r="B3853" s="63">
        <f t="shared" si="249"/>
        <v>10</v>
      </c>
      <c r="C3853" s="64">
        <v>42648</v>
      </c>
      <c r="D3853" s="64" t="s">
        <v>690</v>
      </c>
      <c r="E3853" s="64">
        <f t="shared" si="251"/>
        <v>42648</v>
      </c>
      <c r="F3853" s="72" t="s">
        <v>2147</v>
      </c>
      <c r="G3853" s="67" t="s">
        <v>1544</v>
      </c>
      <c r="H3853" s="72" t="s">
        <v>2097</v>
      </c>
      <c r="I3853" s="408"/>
      <c r="J3853" s="408"/>
      <c r="K3853" s="399"/>
      <c r="L3853" s="1125"/>
      <c r="M3853" s="65">
        <v>10000</v>
      </c>
      <c r="N3853" s="66" t="s">
        <v>99</v>
      </c>
      <c r="O3853" s="66" t="s">
        <v>25</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x</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customHeight="1">
      <c r="A3854" s="323" t="str">
        <f>IF(B3854&lt;&gt;"",IF(AND(B3854='IN-TC'!$S$4,OR(TH!N3976="1111",TH!O3976="1111")),TH!D3976,""),"")</f>
        <v/>
      </c>
      <c r="B3854" s="63">
        <f t="shared" si="249"/>
        <v>10</v>
      </c>
      <c r="C3854" s="64">
        <v>42648</v>
      </c>
      <c r="D3854" s="64" t="s">
        <v>690</v>
      </c>
      <c r="E3854" s="64">
        <f t="shared" si="251"/>
        <v>42648</v>
      </c>
      <c r="F3854" s="72" t="s">
        <v>2148</v>
      </c>
      <c r="G3854" s="67" t="s">
        <v>1544</v>
      </c>
      <c r="H3854" s="72" t="s">
        <v>2097</v>
      </c>
      <c r="I3854" s="408"/>
      <c r="J3854" s="408"/>
      <c r="K3854" s="399"/>
      <c r="L3854" s="1125"/>
      <c r="M3854" s="65">
        <v>1000</v>
      </c>
      <c r="N3854" s="66" t="s">
        <v>9</v>
      </c>
      <c r="O3854" s="66" t="s">
        <v>25</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x</v>
      </c>
      <c r="W3854" s="82" t="str">
        <f>IF(AND('341-CT'!$H$9=H3854,OR(LEFT(N3854,3)=$W$7,LEFT(O3854,3)=$W$7)),"x","")</f>
        <v/>
      </c>
      <c r="X3854" s="82" t="str">
        <f>IF(OR(TH!N3854=TH!$X$7,O3854=TH!$X$7),"x","")</f>
        <v>x</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customHeight="1">
      <c r="A3855" s="323" t="str">
        <f>IF(B3855&lt;&gt;"",IF(AND(B3855='IN-TC'!$S$4,OR(TH!N3839="1111",TH!O3839="1111")),TH!D3839,""),"")</f>
        <v>C06</v>
      </c>
      <c r="B3855" s="63">
        <f t="shared" si="249"/>
        <v>10</v>
      </c>
      <c r="C3855" s="64">
        <v>42649</v>
      </c>
      <c r="D3855" s="64" t="s">
        <v>862</v>
      </c>
      <c r="E3855" s="64">
        <f t="shared" si="251"/>
        <v>42649</v>
      </c>
      <c r="F3855" s="72" t="s">
        <v>1087</v>
      </c>
      <c r="G3855" s="67" t="s">
        <v>1544</v>
      </c>
      <c r="H3855" s="72" t="s">
        <v>122</v>
      </c>
      <c r="I3855" s="408"/>
      <c r="J3855" s="408"/>
      <c r="K3855" s="399"/>
      <c r="L3855" s="1125"/>
      <c r="M3855" s="65">
        <v>2200000000</v>
      </c>
      <c r="N3855" s="66" t="s">
        <v>25</v>
      </c>
      <c r="O3855" s="66" t="s">
        <v>61</v>
      </c>
      <c r="P3855" s="82" t="str">
        <f>IF(AND('331-CT'!$E$7=TH!H3855,OR(N3855="331",O3855="331")),"x","")</f>
        <v/>
      </c>
      <c r="Q3855" s="82" t="str">
        <f>IF(AND(B3855='111'!$L$11,OR($N3855=$Q$7,$O3855=$Q$7)),"x","")</f>
        <v/>
      </c>
      <c r="R3855" s="82" t="str">
        <f>IF(AND($N3855=$Q$7,$B3855&lt;'111'!$L$11),"x","")</f>
        <v/>
      </c>
      <c r="S3855" s="82" t="str">
        <f>IF(AND($O3855=$Q$7,$B3855&lt;'111'!$L$11),"x","")</f>
        <v>x</v>
      </c>
      <c r="T3855" s="82" t="str">
        <f>IF(ISERROR(FIND('112'!$M$9,G3855,1)),"",IF((AND(FIND('112'!$M$9,G3855,1)&gt;=1,B3855='112'!$K$9,OR($N3855='112'!$I$6,$O3855='112'!$I$6))),"x",""))</f>
        <v/>
      </c>
      <c r="U3855" s="82" t="str">
        <f>IF(ISERROR(FIND('112'!$M$9,G3855,1)),"",IF((AND(LEFT(G3855,2)=LEFT('112'!$M$9,2),B3855&lt;'112'!$K$9,$N3855='112'!$I$6)),"x",""))</f>
        <v>x</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customHeight="1">
      <c r="A3856" s="323" t="str">
        <f>IF(B3856&lt;&gt;"",IF(AND(B3856='IN-TC'!$S$4,OR(TH!N3840="1111",TH!O3840="1111")),TH!D3840,""),"")</f>
        <v>C06</v>
      </c>
      <c r="B3856" s="63">
        <f t="shared" si="249"/>
        <v>10</v>
      </c>
      <c r="C3856" s="64">
        <v>42649</v>
      </c>
      <c r="D3856" s="64" t="s">
        <v>863</v>
      </c>
      <c r="E3856" s="64">
        <f t="shared" si="251"/>
        <v>42649</v>
      </c>
      <c r="F3856" s="72" t="s">
        <v>2066</v>
      </c>
      <c r="G3856" s="931" t="s">
        <v>2101</v>
      </c>
      <c r="H3856" s="72" t="s">
        <v>1456</v>
      </c>
      <c r="I3856" s="408"/>
      <c r="J3856" s="408"/>
      <c r="K3856" s="399"/>
      <c r="L3856" s="1125"/>
      <c r="M3856" s="65">
        <v>354533</v>
      </c>
      <c r="N3856" s="66" t="s">
        <v>99</v>
      </c>
      <c r="O3856" s="66" t="s">
        <v>61</v>
      </c>
      <c r="P3856" s="82" t="str">
        <f>IF(AND('331-CT'!$E$7=TH!H3856,OR(N3856="331",O3856="331")),"x","")</f>
        <v/>
      </c>
      <c r="Q3856" s="82" t="str">
        <f>IF(AND(B3856='111'!$L$11,OR($N3856=$Q$7,$O3856=$Q$7)),"x","")</f>
        <v/>
      </c>
      <c r="R3856" s="82" t="str">
        <f>IF(AND($N3856=$Q$7,$B3856&lt;'111'!$L$11),"x","")</f>
        <v/>
      </c>
      <c r="S3856" s="82" t="str">
        <f>IF(AND($O3856=$Q$7,$B3856&lt;'111'!$L$11),"x","")</f>
        <v>x</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customHeight="1">
      <c r="A3857" s="323" t="str">
        <f>IF(B3857&lt;&gt;"",IF(AND(B3857='IN-TC'!$S$4,OR(TH!N3841="1111",TH!O3841="1111")),TH!D3841,""),"")</f>
        <v>C07</v>
      </c>
      <c r="B3857" s="63">
        <f t="shared" si="249"/>
        <v>10</v>
      </c>
      <c r="C3857" s="64">
        <v>42649</v>
      </c>
      <c r="D3857" s="64" t="s">
        <v>863</v>
      </c>
      <c r="E3857" s="64">
        <f t="shared" si="251"/>
        <v>42649</v>
      </c>
      <c r="F3857" s="72" t="s">
        <v>2068</v>
      </c>
      <c r="G3857" s="931" t="s">
        <v>2101</v>
      </c>
      <c r="H3857" s="72" t="s">
        <v>1456</v>
      </c>
      <c r="I3857" s="408"/>
      <c r="J3857" s="408"/>
      <c r="K3857" s="399"/>
      <c r="L3857" s="1125"/>
      <c r="M3857" s="65">
        <v>35453</v>
      </c>
      <c r="N3857" s="66" t="s">
        <v>9</v>
      </c>
      <c r="O3857" s="66" t="s">
        <v>61</v>
      </c>
      <c r="P3857" s="82" t="str">
        <f>IF(AND('331-CT'!$E$7=TH!H3857,OR(N3857="331",O3857="331")),"x","")</f>
        <v/>
      </c>
      <c r="Q3857" s="82" t="str">
        <f>IF(AND(B3857='111'!$L$11,OR($N3857=$Q$7,$O3857=$Q$7)),"x","")</f>
        <v/>
      </c>
      <c r="R3857" s="82" t="str">
        <f>IF(AND($N3857=$Q$7,$B3857&lt;'111'!$L$11),"x","")</f>
        <v/>
      </c>
      <c r="S3857" s="82" t="str">
        <f>IF(AND($O3857=$Q$7,$B3857&lt;'111'!$L$11),"x","")</f>
        <v>x</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x</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customHeight="1">
      <c r="A3858" s="323" t="str">
        <f>IF(B3858&lt;&gt;"",IF(AND(B3858='IN-TC'!$S$4,OR(TH!N3842="1111",TH!O3842="1111")),TH!D3842,""),"")</f>
        <v>C08</v>
      </c>
      <c r="B3858" s="63">
        <f t="shared" si="249"/>
        <v>10</v>
      </c>
      <c r="C3858" s="1092">
        <v>42649</v>
      </c>
      <c r="D3858" s="1092" t="s">
        <v>864</v>
      </c>
      <c r="E3858" s="1092">
        <f t="shared" si="251"/>
        <v>42649</v>
      </c>
      <c r="F3858" s="482" t="s">
        <v>947</v>
      </c>
      <c r="G3858" s="1094"/>
      <c r="H3858" s="1093" t="s">
        <v>3001</v>
      </c>
      <c r="I3858" s="1095"/>
      <c r="J3858" s="1095"/>
      <c r="K3858" s="1096"/>
      <c r="L3858" s="1095"/>
      <c r="M3858" s="1097">
        <v>600000000</v>
      </c>
      <c r="N3858" s="1098" t="s">
        <v>266</v>
      </c>
      <c r="O3858" s="1098" t="s">
        <v>61</v>
      </c>
      <c r="P3858" s="82" t="str">
        <f>IF(AND('331-CT'!$E$7=TH!H3858,OR(N3858="331",O3858="331")),"x","")</f>
        <v/>
      </c>
      <c r="Q3858" s="82" t="str">
        <f>IF(AND(B3858='111'!$L$11,OR($N3858=$Q$7,$O3858=$Q$7)),"x","")</f>
        <v/>
      </c>
      <c r="R3858" s="82" t="str">
        <f>IF(AND($N3858=$Q$7,$B3858&lt;'111'!$L$11),"x","")</f>
        <v/>
      </c>
      <c r="S3858" s="82" t="str">
        <f>IF(AND($O3858=$Q$7,$B3858&lt;'111'!$L$11),"x","")</f>
        <v>x</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customHeight="1">
      <c r="A3859" s="323" t="str">
        <f>IF(B3859&lt;&gt;"",IF(AND(B3859='IN-TC'!$S$4,OR(TH!N3979="1111",TH!O3979="1111")),TH!D3979,""),"")</f>
        <v/>
      </c>
      <c r="B3859" s="63">
        <f t="shared" si="249"/>
        <v>10</v>
      </c>
      <c r="C3859" s="64">
        <v>42649</v>
      </c>
      <c r="D3859" s="64" t="s">
        <v>687</v>
      </c>
      <c r="E3859" s="64">
        <f t="shared" si="251"/>
        <v>42649</v>
      </c>
      <c r="F3859" s="72" t="s">
        <v>2151</v>
      </c>
      <c r="G3859" s="67" t="s">
        <v>1544</v>
      </c>
      <c r="H3859" s="72" t="s">
        <v>2169</v>
      </c>
      <c r="I3859" s="408"/>
      <c r="J3859" s="408"/>
      <c r="K3859" s="399">
        <v>96000</v>
      </c>
      <c r="L3859" s="408">
        <v>22296</v>
      </c>
      <c r="M3859" s="65">
        <v>2140416000</v>
      </c>
      <c r="N3859" s="66" t="s">
        <v>25</v>
      </c>
      <c r="O3859" s="66" t="s">
        <v>254</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x</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customHeight="1">
      <c r="A3860" s="323" t="str">
        <f>IF(B3860&lt;&gt;"",IF(AND(B3860='IN-TC'!$S$4,OR(TH!N3977="1111",TH!O3977="1111")),TH!D3977,""),"")</f>
        <v>C36</v>
      </c>
      <c r="B3860" s="63">
        <f t="shared" si="249"/>
        <v>10</v>
      </c>
      <c r="C3860" s="64">
        <v>42649</v>
      </c>
      <c r="D3860" s="64" t="s">
        <v>690</v>
      </c>
      <c r="E3860" s="64">
        <f t="shared" si="251"/>
        <v>42649</v>
      </c>
      <c r="F3860" s="72" t="s">
        <v>2149</v>
      </c>
      <c r="G3860" s="67" t="s">
        <v>1544</v>
      </c>
      <c r="H3860" s="922" t="s">
        <v>1860</v>
      </c>
      <c r="I3860" s="408"/>
      <c r="J3860" s="408"/>
      <c r="K3860" s="399">
        <v>96469.73</v>
      </c>
      <c r="L3860" s="408">
        <v>22308</v>
      </c>
      <c r="M3860" s="65">
        <f>ROUND(K3860*L3860,0)</f>
        <v>2152046737</v>
      </c>
      <c r="N3860" s="66" t="s">
        <v>254</v>
      </c>
      <c r="O3860" s="66" t="s">
        <v>25</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x</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customHeight="1">
      <c r="A3861" s="323" t="str">
        <f>IF(B3861&lt;&gt;"",IF(AND(B3861='IN-TC'!$S$4,OR(TH!N3978="1111",TH!O3978="1111")),TH!D3978,""),"")</f>
        <v/>
      </c>
      <c r="B3861" s="63">
        <f t="shared" si="249"/>
        <v>10</v>
      </c>
      <c r="C3861" s="64">
        <v>42649</v>
      </c>
      <c r="D3861" s="64" t="s">
        <v>690</v>
      </c>
      <c r="E3861" s="64">
        <f t="shared" si="251"/>
        <v>42649</v>
      </c>
      <c r="F3861" s="72" t="s">
        <v>2168</v>
      </c>
      <c r="G3861" s="67" t="s">
        <v>1544</v>
      </c>
      <c r="H3861" s="922"/>
      <c r="I3861" s="408"/>
      <c r="J3861" s="408"/>
      <c r="K3861" s="399"/>
      <c r="L3861" s="408"/>
      <c r="M3861" s="65">
        <v>8877346</v>
      </c>
      <c r="N3861" s="66" t="s">
        <v>97</v>
      </c>
      <c r="O3861" s="66" t="s">
        <v>25</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x</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customHeight="1">
      <c r="A3862" s="323" t="str">
        <f>IF(B3862&lt;&gt;"",IF(AND(B3862='IN-TC'!$S$4,OR(TH!N3843="1111",TH!O3843="1111")),TH!D3843,""),"")</f>
        <v/>
      </c>
      <c r="B3862" s="63">
        <f t="shared" si="249"/>
        <v>10</v>
      </c>
      <c r="C3862" s="1092">
        <v>42650</v>
      </c>
      <c r="D3862" s="1092" t="s">
        <v>865</v>
      </c>
      <c r="E3862" s="1092">
        <f t="shared" si="251"/>
        <v>42650</v>
      </c>
      <c r="F3862" s="482" t="s">
        <v>947</v>
      </c>
      <c r="G3862" s="1094"/>
      <c r="H3862" s="1093" t="s">
        <v>3001</v>
      </c>
      <c r="I3862" s="1095"/>
      <c r="J3862" s="1095"/>
      <c r="K3862" s="1096"/>
      <c r="L3862" s="1136"/>
      <c r="M3862" s="1097">
        <v>800000000</v>
      </c>
      <c r="N3862" s="1098" t="s">
        <v>266</v>
      </c>
      <c r="O3862" s="1098" t="s">
        <v>61</v>
      </c>
      <c r="P3862" s="82" t="str">
        <f>IF(AND('331-CT'!$E$7=TH!H3862,OR(N3862="331",O3862="331")),"x","")</f>
        <v/>
      </c>
      <c r="Q3862" s="82" t="str">
        <f>IF(AND(B3862='111'!$L$11,OR($N3862=$Q$7,$O3862=$Q$7)),"x","")</f>
        <v/>
      </c>
      <c r="R3862" s="82" t="str">
        <f>IF(AND($N3862=$Q$7,$B3862&lt;'111'!$L$11),"x","")</f>
        <v/>
      </c>
      <c r="S3862" s="82" t="str">
        <f>IF(AND($O3862=$Q$7,$B3862&lt;'111'!$L$11),"x","")</f>
        <v>x</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customHeight="1">
      <c r="A3863" s="323" t="str">
        <f>IF(B3863&lt;&gt;"",IF(AND(B3863='IN-TC'!$S$4,OR(TH!N3844="1111",TH!O3844="1111")),TH!D3844,""),"")</f>
        <v/>
      </c>
      <c r="B3863" s="63">
        <f t="shared" si="249"/>
        <v>10</v>
      </c>
      <c r="C3863" s="64">
        <v>42650</v>
      </c>
      <c r="D3863" s="64" t="s">
        <v>866</v>
      </c>
      <c r="E3863" s="64">
        <f t="shared" si="251"/>
        <v>42650</v>
      </c>
      <c r="F3863" s="72" t="s">
        <v>2066</v>
      </c>
      <c r="G3863" s="931" t="s">
        <v>2067</v>
      </c>
      <c r="H3863" s="72" t="s">
        <v>1300</v>
      </c>
      <c r="I3863" s="408"/>
      <c r="J3863" s="408"/>
      <c r="K3863" s="399"/>
      <c r="L3863" s="408"/>
      <c r="M3863" s="65">
        <v>1150000</v>
      </c>
      <c r="N3863" s="66" t="s">
        <v>99</v>
      </c>
      <c r="O3863" s="66" t="s">
        <v>61</v>
      </c>
      <c r="P3863" s="82" t="str">
        <f>IF(AND('331-CT'!$E$7=TH!H3863,OR(N3863="331",O3863="331")),"x","")</f>
        <v/>
      </c>
      <c r="Q3863" s="82" t="str">
        <f>IF(AND(B3863='111'!$L$11,OR($N3863=$Q$7,$O3863=$Q$7)),"x","")</f>
        <v/>
      </c>
      <c r="R3863" s="82" t="str">
        <f>IF(AND($N3863=$Q$7,$B3863&lt;'111'!$L$11),"x","")</f>
        <v/>
      </c>
      <c r="S3863" s="82" t="str">
        <f>IF(AND($O3863=$Q$7,$B3863&lt;'111'!$L$11),"x","")</f>
        <v>x</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customHeight="1">
      <c r="A3864" s="323" t="str">
        <f>IF(B3864&lt;&gt;"",IF(AND(B3864='IN-TC'!$S$4,OR(TH!N3845="1111",TH!O3845="1111")),TH!D3845,""),"")</f>
        <v/>
      </c>
      <c r="B3864" s="63">
        <f t="shared" si="249"/>
        <v>10</v>
      </c>
      <c r="C3864" s="64">
        <v>42650</v>
      </c>
      <c r="D3864" s="64" t="s">
        <v>866</v>
      </c>
      <c r="E3864" s="64">
        <f t="shared" si="251"/>
        <v>42650</v>
      </c>
      <c r="F3864" s="72" t="s">
        <v>2068</v>
      </c>
      <c r="G3864" s="931" t="s">
        <v>2067</v>
      </c>
      <c r="H3864" s="72" t="s">
        <v>1300</v>
      </c>
      <c r="I3864" s="408"/>
      <c r="J3864" s="408"/>
      <c r="K3864" s="399"/>
      <c r="L3864" s="408"/>
      <c r="M3864" s="65">
        <v>115000</v>
      </c>
      <c r="N3864" s="66" t="s">
        <v>9</v>
      </c>
      <c r="O3864" s="66" t="s">
        <v>61</v>
      </c>
      <c r="P3864" s="82" t="str">
        <f>IF(AND('331-CT'!$E$7=TH!H3864,OR(N3864="331",O3864="331")),"x","")</f>
        <v/>
      </c>
      <c r="Q3864" s="82" t="str">
        <f>IF(AND(B3864='111'!$L$11,OR($N3864=$Q$7,$O3864=$Q$7)),"x","")</f>
        <v/>
      </c>
      <c r="R3864" s="82" t="str">
        <f>IF(AND($N3864=$Q$7,$B3864&lt;'111'!$L$11),"x","")</f>
        <v/>
      </c>
      <c r="S3864" s="82" t="str">
        <f>IF(AND($O3864=$Q$7,$B3864&lt;'111'!$L$11),"x","")</f>
        <v>x</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x</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customHeight="1">
      <c r="A3865" s="323" t="str">
        <f>IF(B3865&lt;&gt;"",IF(AND(B3865='IN-TC'!$S$4,OR(TH!N3846="1111",TH!O3846="1111")),TH!D3846,""),"")</f>
        <v/>
      </c>
      <c r="B3865" s="63">
        <f t="shared" si="249"/>
        <v>10</v>
      </c>
      <c r="C3865" s="64">
        <v>42650</v>
      </c>
      <c r="D3865" s="64" t="s">
        <v>867</v>
      </c>
      <c r="E3865" s="64">
        <f t="shared" ref="E3865:E3896" si="252">C3865</f>
        <v>42650</v>
      </c>
      <c r="F3865" s="72" t="s">
        <v>2070</v>
      </c>
      <c r="G3865" s="931" t="s">
        <v>2072</v>
      </c>
      <c r="H3865" s="72" t="s">
        <v>2076</v>
      </c>
      <c r="I3865" s="408"/>
      <c r="J3865" s="408"/>
      <c r="K3865" s="399"/>
      <c r="L3865" s="1125"/>
      <c r="M3865" s="65">
        <v>5965470</v>
      </c>
      <c r="N3865" s="66" t="s">
        <v>99</v>
      </c>
      <c r="O3865" s="66" t="s">
        <v>61</v>
      </c>
      <c r="P3865" s="82" t="str">
        <f>IF(AND('331-CT'!$E$7=TH!H3865,OR(N3865="331",O3865="331")),"x","")</f>
        <v/>
      </c>
      <c r="Q3865" s="82" t="str">
        <f>IF(AND(B3865='111'!$L$11,OR($N3865=$Q$7,$O3865=$Q$7)),"x","")</f>
        <v/>
      </c>
      <c r="R3865" s="82" t="str">
        <f>IF(AND($N3865=$Q$7,$B3865&lt;'111'!$L$11),"x","")</f>
        <v/>
      </c>
      <c r="S3865" s="82" t="str">
        <f>IF(AND($O3865=$Q$7,$B3865&lt;'111'!$L$11),"x","")</f>
        <v>x</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customHeight="1">
      <c r="A3866" s="323" t="str">
        <f>IF(B3866&lt;&gt;"",IF(AND(B3866='IN-TC'!$S$4,OR(TH!N3847="1111",TH!O3847="1111")),TH!D3847,""),"")</f>
        <v/>
      </c>
      <c r="B3866" s="63">
        <f t="shared" si="249"/>
        <v>10</v>
      </c>
      <c r="C3866" s="64">
        <v>42650</v>
      </c>
      <c r="D3866" s="64" t="s">
        <v>867</v>
      </c>
      <c r="E3866" s="64">
        <f t="shared" si="252"/>
        <v>42650</v>
      </c>
      <c r="F3866" s="72" t="s">
        <v>2071</v>
      </c>
      <c r="G3866" s="931" t="s">
        <v>2072</v>
      </c>
      <c r="H3866" s="72" t="s">
        <v>2076</v>
      </c>
      <c r="I3866" s="408"/>
      <c r="J3866" s="408"/>
      <c r="K3866" s="399"/>
      <c r="L3866" s="408"/>
      <c r="M3866" s="65">
        <v>252730</v>
      </c>
      <c r="N3866" s="66" t="s">
        <v>9</v>
      </c>
      <c r="O3866" s="66" t="s">
        <v>61</v>
      </c>
      <c r="P3866" s="82" t="str">
        <f>IF(AND('331-CT'!$E$7=TH!H3866,OR(N3866="331",O3866="331")),"x","")</f>
        <v/>
      </c>
      <c r="Q3866" s="82" t="str">
        <f>IF(AND(B3866='111'!$L$11,OR($N3866=$Q$7,$O3866=$Q$7)),"x","")</f>
        <v/>
      </c>
      <c r="R3866" s="82" t="str">
        <f>IF(AND($N3866=$Q$7,$B3866&lt;'111'!$L$11),"x","")</f>
        <v/>
      </c>
      <c r="S3866" s="82" t="str">
        <f>IF(AND($O3866=$Q$7,$B3866&lt;'111'!$L$11),"x","")</f>
        <v>x</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x</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customHeight="1">
      <c r="A3867" s="323" t="str">
        <f>IF(B3867&lt;&gt;"",IF(AND(B3867='IN-TC'!$S$4,OR(TH!N3848="1111",TH!O3848="1111")),TH!D3848,""),"")</f>
        <v>C09</v>
      </c>
      <c r="B3867" s="63">
        <f t="shared" si="249"/>
        <v>10</v>
      </c>
      <c r="C3867" s="64">
        <v>42650</v>
      </c>
      <c r="D3867" s="64" t="s">
        <v>868</v>
      </c>
      <c r="E3867" s="64">
        <f t="shared" si="252"/>
        <v>42650</v>
      </c>
      <c r="F3867" s="72" t="s">
        <v>2074</v>
      </c>
      <c r="G3867" s="931" t="s">
        <v>2073</v>
      </c>
      <c r="H3867" s="72" t="s">
        <v>2076</v>
      </c>
      <c r="I3867" s="408"/>
      <c r="J3867" s="408"/>
      <c r="K3867" s="399"/>
      <c r="L3867" s="408"/>
      <c r="M3867" s="65">
        <v>4801870</v>
      </c>
      <c r="N3867" s="66" t="s">
        <v>99</v>
      </c>
      <c r="O3867" s="66" t="s">
        <v>61</v>
      </c>
      <c r="P3867" s="82" t="str">
        <f>IF(AND('331-CT'!$E$7=TH!H3867,OR(N3867="331",O3867="331")),"x","")</f>
        <v/>
      </c>
      <c r="Q3867" s="82" t="str">
        <f>IF(AND(B3867='111'!$L$11,OR($N3867=$Q$7,$O3867=$Q$7)),"x","")</f>
        <v/>
      </c>
      <c r="R3867" s="82" t="str">
        <f>IF(AND($N3867=$Q$7,$B3867&lt;'111'!$L$11),"x","")</f>
        <v/>
      </c>
      <c r="S3867" s="82" t="str">
        <f>IF(AND($O3867=$Q$7,$B3867&lt;'111'!$L$11),"x","")</f>
        <v>x</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customHeight="1">
      <c r="A3868" s="323" t="str">
        <f>IF(B3868&lt;&gt;"",IF(AND(B3868='IN-TC'!$S$4,OR(TH!N3849="1111",TH!O3849="1111")),TH!D3849,""),"")</f>
        <v>C10</v>
      </c>
      <c r="B3868" s="63">
        <f t="shared" si="249"/>
        <v>10</v>
      </c>
      <c r="C3868" s="64">
        <v>42650</v>
      </c>
      <c r="D3868" s="64" t="s">
        <v>868</v>
      </c>
      <c r="E3868" s="64">
        <f t="shared" si="252"/>
        <v>42650</v>
      </c>
      <c r="F3868" s="72" t="s">
        <v>2075</v>
      </c>
      <c r="G3868" s="931" t="s">
        <v>2073</v>
      </c>
      <c r="H3868" s="72" t="s">
        <v>2076</v>
      </c>
      <c r="I3868" s="408"/>
      <c r="J3868" s="408"/>
      <c r="K3868" s="399"/>
      <c r="L3868" s="1125"/>
      <c r="M3868" s="65">
        <v>252730</v>
      </c>
      <c r="N3868" s="66" t="s">
        <v>9</v>
      </c>
      <c r="O3868" s="66" t="s">
        <v>61</v>
      </c>
      <c r="P3868" s="82" t="str">
        <f>IF(AND('331-CT'!$E$7=TH!H3868,OR(N3868="331",O3868="331")),"x","")</f>
        <v/>
      </c>
      <c r="Q3868" s="82" t="str">
        <f>IF(AND(B3868='111'!$L$11,OR($N3868=$Q$7,$O3868=$Q$7)),"x","")</f>
        <v/>
      </c>
      <c r="R3868" s="82" t="str">
        <f>IF(AND($N3868=$Q$7,$B3868&lt;'111'!$L$11),"x","")</f>
        <v/>
      </c>
      <c r="S3868" s="82" t="str">
        <f>IF(AND($O3868=$Q$7,$B3868&lt;'111'!$L$11),"x","")</f>
        <v>x</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x</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customHeight="1">
      <c r="A3869" s="323" t="str">
        <f>IF(B3869&lt;&gt;"",IF(AND(B3869='IN-TC'!$S$4,OR(TH!N292="1111",TH!O292="1111")),TH!D292,""),"")</f>
        <v/>
      </c>
      <c r="B3869" s="63">
        <f t="shared" si="249"/>
        <v>10</v>
      </c>
      <c r="C3869" s="1087">
        <v>42656</v>
      </c>
      <c r="D3869" s="1087" t="s">
        <v>584</v>
      </c>
      <c r="E3869" s="1087">
        <f t="shared" si="252"/>
        <v>42656</v>
      </c>
      <c r="F3869" s="1155" t="s">
        <v>431</v>
      </c>
      <c r="G3869" s="1131" t="s">
        <v>2117</v>
      </c>
      <c r="H3869" s="92" t="s">
        <v>1875</v>
      </c>
      <c r="I3869" s="414">
        <v>23400</v>
      </c>
      <c r="J3869" s="1132">
        <v>4.5999999999999996</v>
      </c>
      <c r="K3869" s="405">
        <f>I3869*J3869</f>
        <v>107639.99999999999</v>
      </c>
      <c r="L3869" s="414">
        <v>22270</v>
      </c>
      <c r="M3869" s="1133">
        <f>ROUND(K3869*L3869,0)</f>
        <v>2397142800</v>
      </c>
      <c r="N3869" s="1134" t="s">
        <v>576</v>
      </c>
      <c r="O3869" s="1134" t="s">
        <v>292</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customHeight="1">
      <c r="A3870" s="323" t="str">
        <f>IF(B3870&lt;&gt;"",IF(AND(B3870='IN-TC'!$S$4,OR(TH!N3924="1111",TH!O3924="1111")),TH!D3924,""),"")</f>
        <v/>
      </c>
      <c r="B3870" s="63">
        <f t="shared" si="249"/>
        <v>10</v>
      </c>
      <c r="C3870" s="64">
        <v>42650</v>
      </c>
      <c r="D3870" s="64" t="s">
        <v>687</v>
      </c>
      <c r="E3870" s="64">
        <f t="shared" si="252"/>
        <v>42650</v>
      </c>
      <c r="F3870" s="72" t="s">
        <v>1648</v>
      </c>
      <c r="G3870" s="67" t="s">
        <v>1900</v>
      </c>
      <c r="H3870" s="72" t="s">
        <v>2048</v>
      </c>
      <c r="I3870" s="408"/>
      <c r="J3870" s="408"/>
      <c r="K3870" s="399">
        <v>94600</v>
      </c>
      <c r="L3870" s="408">
        <v>22300</v>
      </c>
      <c r="M3870" s="65">
        <f>ROUND(K3870*L3870,0)</f>
        <v>2109580000</v>
      </c>
      <c r="N3870" s="66" t="s">
        <v>260</v>
      </c>
      <c r="O3870" s="66" t="s">
        <v>260</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customHeight="1">
      <c r="A3871" s="323" t="str">
        <f>IF(B3871&lt;&gt;"",IF(AND(B3871='IN-TC'!$S$4,OR(TH!N3943="1111",TH!O3943="1111")),TH!D3943,""),"")</f>
        <v>C33</v>
      </c>
      <c r="B3871" s="63">
        <f t="shared" si="249"/>
        <v>10</v>
      </c>
      <c r="C3871" s="64">
        <v>42650</v>
      </c>
      <c r="D3871" s="64" t="s">
        <v>690</v>
      </c>
      <c r="E3871" s="64">
        <f t="shared" si="252"/>
        <v>42650</v>
      </c>
      <c r="F3871" s="72" t="s">
        <v>1425</v>
      </c>
      <c r="G3871" s="67" t="s">
        <v>1544</v>
      </c>
      <c r="H3871" s="72" t="s">
        <v>1780</v>
      </c>
      <c r="I3871" s="408"/>
      <c r="J3871" s="408"/>
      <c r="K3871" s="399">
        <v>100000</v>
      </c>
      <c r="L3871" s="408">
        <v>22296</v>
      </c>
      <c r="M3871" s="65">
        <f>ROUND(K3871*L3871,0)</f>
        <v>2229600000</v>
      </c>
      <c r="N3871" s="66" t="s">
        <v>25</v>
      </c>
      <c r="O3871" s="66" t="s">
        <v>260</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x</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customHeight="1">
      <c r="A3872" s="323" t="str">
        <f>IF(B3872&lt;&gt;"",IF(AND(B3872='IN-TC'!$S$4,OR(TH!N3944="1111",TH!O3944="1111")),TH!D3944,""),"")</f>
        <v/>
      </c>
      <c r="B3872" s="63">
        <f t="shared" si="249"/>
        <v>10</v>
      </c>
      <c r="C3872" s="64">
        <v>42650</v>
      </c>
      <c r="D3872" s="64" t="s">
        <v>690</v>
      </c>
      <c r="E3872" s="64">
        <f t="shared" si="252"/>
        <v>42650</v>
      </c>
      <c r="F3872" s="72" t="s">
        <v>2140</v>
      </c>
      <c r="G3872" s="67" t="s">
        <v>1544</v>
      </c>
      <c r="H3872" s="72" t="s">
        <v>1780</v>
      </c>
      <c r="I3872" s="408"/>
      <c r="J3872" s="408"/>
      <c r="K3872" s="399">
        <v>3</v>
      </c>
      <c r="L3872" s="408">
        <v>22290</v>
      </c>
      <c r="M3872" s="65">
        <f>ROUND(K3872*L3872,0)</f>
        <v>66870</v>
      </c>
      <c r="N3872" s="66" t="s">
        <v>99</v>
      </c>
      <c r="O3872" s="66" t="s">
        <v>260</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1" ht="15.75" customHeight="1">
      <c r="A3873" s="323" t="str">
        <f>IF(B3873&lt;&gt;"",IF(AND(B3873='IN-TC'!$S$4,OR(TH!N3945="1111",TH!O3945="1111")),TH!D3945,""),"")</f>
        <v/>
      </c>
      <c r="B3873" s="63">
        <f t="shared" si="249"/>
        <v>10</v>
      </c>
      <c r="C3873" s="64">
        <v>42650</v>
      </c>
      <c r="D3873" s="64" t="s">
        <v>690</v>
      </c>
      <c r="E3873" s="64">
        <f t="shared" si="252"/>
        <v>42650</v>
      </c>
      <c r="F3873" s="72" t="s">
        <v>2141</v>
      </c>
      <c r="G3873" s="67" t="s">
        <v>1544</v>
      </c>
      <c r="H3873" s="72" t="s">
        <v>1780</v>
      </c>
      <c r="I3873" s="408"/>
      <c r="J3873" s="408"/>
      <c r="K3873" s="399">
        <v>0.3</v>
      </c>
      <c r="L3873" s="408">
        <v>22290</v>
      </c>
      <c r="M3873" s="65">
        <f>ROUND(K3873*L3873,0)</f>
        <v>6687</v>
      </c>
      <c r="N3873" s="66" t="s">
        <v>9</v>
      </c>
      <c r="O3873" s="66" t="s">
        <v>260</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x</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1" ht="15.75" customHeight="1">
      <c r="A3874" s="323" t="str">
        <f>IF(B3874&lt;&gt;"",IF(AND(B3874='IN-TC'!$S$4,OR(TH!N3980="1111",TH!O3980="1111")),TH!D3980,""),"")</f>
        <v/>
      </c>
      <c r="B3874" s="63">
        <f t="shared" si="249"/>
        <v>10</v>
      </c>
      <c r="C3874" s="64">
        <v>42650</v>
      </c>
      <c r="D3874" s="64" t="s">
        <v>690</v>
      </c>
      <c r="E3874" s="64">
        <f t="shared" si="252"/>
        <v>42650</v>
      </c>
      <c r="F3874" s="72" t="s">
        <v>2199</v>
      </c>
      <c r="G3874" s="67" t="s">
        <v>1544</v>
      </c>
      <c r="H3874" s="72" t="s">
        <v>1780</v>
      </c>
      <c r="I3874" s="408"/>
      <c r="J3874" s="408"/>
      <c r="K3874" s="399"/>
      <c r="L3874" s="408"/>
      <c r="M3874" s="65">
        <v>2173905</v>
      </c>
      <c r="N3874" s="66" t="s">
        <v>99</v>
      </c>
      <c r="O3874" s="66" t="s">
        <v>25</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x</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1" ht="15.75" customHeight="1">
      <c r="A3875" s="323" t="str">
        <f>IF(B3875&lt;&gt;"",IF(AND(B3875='IN-TC'!$S$4,OR(TH!N3981="1111",TH!O3981="1111")),TH!D3981,""),"")</f>
        <v/>
      </c>
      <c r="B3875" s="63">
        <f t="shared" si="249"/>
        <v>10</v>
      </c>
      <c r="C3875" s="64">
        <v>42650</v>
      </c>
      <c r="D3875" s="64" t="s">
        <v>690</v>
      </c>
      <c r="E3875" s="64">
        <f t="shared" si="252"/>
        <v>42650</v>
      </c>
      <c r="F3875" s="72" t="s">
        <v>2200</v>
      </c>
      <c r="G3875" s="67" t="s">
        <v>1544</v>
      </c>
      <c r="H3875" s="72" t="s">
        <v>1780</v>
      </c>
      <c r="I3875" s="408"/>
      <c r="J3875" s="408"/>
      <c r="K3875" s="399"/>
      <c r="L3875" s="408"/>
      <c r="M3875" s="65">
        <v>217391</v>
      </c>
      <c r="N3875" s="66" t="s">
        <v>9</v>
      </c>
      <c r="O3875" s="66" t="s">
        <v>25</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x</v>
      </c>
      <c r="W3875" s="82" t="str">
        <f>IF(AND('341-CT'!$H$9=H3875,OR(LEFT(N3875,3)=$W$7,LEFT(O3875,3)=$W$7)),"x","")</f>
        <v/>
      </c>
      <c r="X3875" s="82" t="str">
        <f>IF(OR(TH!N3875=TH!$X$7,O3875=TH!$X$7),"x","")</f>
        <v>x</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1" ht="15.75" customHeight="1">
      <c r="A3876" s="323" t="str">
        <f>IF(B3876&lt;&gt;"",IF(AND(B3876='IN-TC'!$S$4,OR(TH!N3982="1111",TH!O3982="1111")),TH!D3982,""),"")</f>
        <v/>
      </c>
      <c r="B3876" s="63">
        <f t="shared" si="249"/>
        <v>10</v>
      </c>
      <c r="C3876" s="64">
        <v>42650</v>
      </c>
      <c r="D3876" s="64" t="s">
        <v>690</v>
      </c>
      <c r="E3876" s="64">
        <f t="shared" si="252"/>
        <v>42650</v>
      </c>
      <c r="F3876" s="72" t="s">
        <v>2152</v>
      </c>
      <c r="G3876" s="67" t="s">
        <v>1544</v>
      </c>
      <c r="H3876" s="72" t="s">
        <v>2097</v>
      </c>
      <c r="I3876" s="408"/>
      <c r="J3876" s="408"/>
      <c r="K3876" s="399"/>
      <c r="L3876" s="408"/>
      <c r="M3876" s="65">
        <v>12313480</v>
      </c>
      <c r="N3876" s="66" t="s">
        <v>8</v>
      </c>
      <c r="O3876" s="66" t="s">
        <v>25</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x</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1" ht="15.75" customHeight="1">
      <c r="A3877" s="323" t="str">
        <f>IF(B3877&lt;&gt;"",IF(AND(B3877='IN-TC'!$S$4,OR(TH!N3983="1111",TH!O3983="1111")),TH!D3983,""),"")</f>
        <v/>
      </c>
      <c r="B3877" s="63">
        <f t="shared" si="249"/>
        <v>10</v>
      </c>
      <c r="C3877" s="64">
        <v>42650</v>
      </c>
      <c r="D3877" s="64" t="s">
        <v>690</v>
      </c>
      <c r="E3877" s="64">
        <f t="shared" si="252"/>
        <v>42650</v>
      </c>
      <c r="F3877" s="72" t="s">
        <v>1179</v>
      </c>
      <c r="G3877" s="67" t="s">
        <v>1544</v>
      </c>
      <c r="H3877" s="72" t="s">
        <v>2097</v>
      </c>
      <c r="I3877" s="408"/>
      <c r="J3877" s="408"/>
      <c r="K3877" s="399"/>
      <c r="L3877" s="1125"/>
      <c r="M3877" s="65">
        <v>11000</v>
      </c>
      <c r="N3877" s="66" t="s">
        <v>8</v>
      </c>
      <c r="O3877" s="66" t="s">
        <v>101</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1" ht="15.75" customHeight="1">
      <c r="A3878" s="323" t="str">
        <f>IF(B3878&lt;&gt;"",IF(AND(B3878='IN-TC'!$S$4,OR(TH!N3984="1111",TH!O3984="1111")),TH!D3984,""),"")</f>
        <v/>
      </c>
      <c r="B3878" s="63">
        <f t="shared" si="249"/>
        <v>10</v>
      </c>
      <c r="C3878" s="64">
        <v>42650</v>
      </c>
      <c r="D3878" s="64" t="s">
        <v>690</v>
      </c>
      <c r="E3878" s="64">
        <f t="shared" si="252"/>
        <v>42650</v>
      </c>
      <c r="F3878" s="72" t="s">
        <v>2147</v>
      </c>
      <c r="G3878" s="67" t="s">
        <v>1544</v>
      </c>
      <c r="H3878" s="72" t="s">
        <v>1780</v>
      </c>
      <c r="I3878" s="408"/>
      <c r="J3878" s="408"/>
      <c r="K3878" s="399"/>
      <c r="L3878" s="1125"/>
      <c r="M3878" s="65">
        <v>10000</v>
      </c>
      <c r="N3878" s="66" t="s">
        <v>99</v>
      </c>
      <c r="O3878" s="66" t="s">
        <v>25</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x</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1" ht="15.75" customHeight="1">
      <c r="A3879" s="323" t="str">
        <f>IF(B3879&lt;&gt;"",IF(AND(B3879='IN-TC'!$S$4,OR(TH!N3985="1111",TH!O3985="1111")),TH!D3985,""),"")</f>
        <v/>
      </c>
      <c r="B3879" s="63">
        <f t="shared" si="249"/>
        <v>10</v>
      </c>
      <c r="C3879" s="64">
        <v>42650</v>
      </c>
      <c r="D3879" s="64" t="s">
        <v>690</v>
      </c>
      <c r="E3879" s="64">
        <f t="shared" si="252"/>
        <v>42650</v>
      </c>
      <c r="F3879" s="72" t="s">
        <v>2148</v>
      </c>
      <c r="G3879" s="67" t="s">
        <v>1544</v>
      </c>
      <c r="H3879" s="72" t="s">
        <v>1780</v>
      </c>
      <c r="I3879" s="408"/>
      <c r="J3879" s="408"/>
      <c r="K3879" s="399"/>
      <c r="L3879" s="408"/>
      <c r="M3879" s="65">
        <v>1000</v>
      </c>
      <c r="N3879" s="66" t="s">
        <v>9</v>
      </c>
      <c r="O3879" s="66" t="s">
        <v>25</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x</v>
      </c>
      <c r="W3879" s="82" t="str">
        <f>IF(AND('341-CT'!$H$9=H3879,OR(LEFT(N3879,3)=$W$7,LEFT(O3879,3)=$W$7)),"x","")</f>
        <v/>
      </c>
      <c r="X3879" s="82" t="str">
        <f>IF(OR(TH!N3879=TH!$X$7,O3879=TH!$X$7),"x","")</f>
        <v>x</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1" ht="15.75" customHeight="1">
      <c r="A3880" s="323" t="str">
        <f>IF(B3880&lt;&gt;"",IF(AND(B3880='IN-TC'!$S$4,OR(TH!N2055="1111",TH!O2055="1111")),TH!D2055,""),"")</f>
        <v/>
      </c>
      <c r="B3880" s="63">
        <f t="shared" si="249"/>
        <v>10</v>
      </c>
      <c r="C3880" s="78">
        <v>42674</v>
      </c>
      <c r="D3880" s="78" t="s">
        <v>570</v>
      </c>
      <c r="E3880" s="78">
        <f t="shared" si="252"/>
        <v>42674</v>
      </c>
      <c r="F3880" s="80" t="s">
        <v>2103</v>
      </c>
      <c r="G3880" s="934" t="s">
        <v>2105</v>
      </c>
      <c r="H3880" s="918" t="s">
        <v>613</v>
      </c>
      <c r="I3880" s="406"/>
      <c r="J3880" s="406"/>
      <c r="K3880" s="397"/>
      <c r="L3880" s="1326"/>
      <c r="M3880" s="81">
        <v>4680000</v>
      </c>
      <c r="N3880" s="82" t="s">
        <v>9</v>
      </c>
      <c r="O3880" s="82" t="s">
        <v>8</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x</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1" ht="15.75" customHeight="1">
      <c r="A3881" s="323" t="str">
        <f>IF(B3881&lt;&gt;"",IF(AND(B3881='IN-TC'!$S$4,OR(TH!N3987="1111",TH!O3987="1111")),TH!D3987,""),"")</f>
        <v/>
      </c>
      <c r="B3881" s="63">
        <f t="shared" si="249"/>
        <v>10</v>
      </c>
      <c r="C3881" s="64">
        <v>42650</v>
      </c>
      <c r="D3881" s="64" t="s">
        <v>690</v>
      </c>
      <c r="E3881" s="64">
        <f t="shared" si="252"/>
        <v>42650</v>
      </c>
      <c r="F3881" s="72" t="s">
        <v>2154</v>
      </c>
      <c r="G3881" s="67" t="s">
        <v>1544</v>
      </c>
      <c r="H3881" s="72" t="s">
        <v>1826</v>
      </c>
      <c r="I3881" s="408"/>
      <c r="J3881" s="408"/>
      <c r="K3881" s="399"/>
      <c r="L3881" s="1125"/>
      <c r="M3881" s="65">
        <v>84555900</v>
      </c>
      <c r="N3881" s="66" t="s">
        <v>8</v>
      </c>
      <c r="O3881" s="66" t="s">
        <v>25</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x</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1" ht="15.75" customHeight="1">
      <c r="A3882" s="323" t="str">
        <f>IF(B3882&lt;&gt;"",IF(AND(B3882='IN-TC'!$S$4,OR(TH!N3988="1111",TH!O3988="1111")),TH!D3988,""),"")</f>
        <v/>
      </c>
      <c r="B3882" s="63">
        <f t="shared" si="249"/>
        <v>10</v>
      </c>
      <c r="C3882" s="64">
        <v>42650</v>
      </c>
      <c r="D3882" s="64" t="s">
        <v>690</v>
      </c>
      <c r="E3882" s="64">
        <f t="shared" si="252"/>
        <v>42650</v>
      </c>
      <c r="F3882" s="72" t="s">
        <v>2147</v>
      </c>
      <c r="G3882" s="67" t="s">
        <v>1544</v>
      </c>
      <c r="H3882" s="72" t="s">
        <v>1780</v>
      </c>
      <c r="I3882" s="408"/>
      <c r="J3882" s="408"/>
      <c r="K3882" s="399"/>
      <c r="L3882" s="408"/>
      <c r="M3882" s="65">
        <v>10000</v>
      </c>
      <c r="N3882" s="66" t="s">
        <v>99</v>
      </c>
      <c r="O3882" s="66" t="s">
        <v>25</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x</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1" ht="15.75" customHeight="1">
      <c r="A3883" s="323" t="str">
        <f>IF(B3883&lt;&gt;"",IF(AND(B3883='IN-TC'!$S$4,OR(TH!N3989="1111",TH!O3989="1111")),TH!D3989,""),"")</f>
        <v>C37</v>
      </c>
      <c r="B3883" s="63">
        <f t="shared" si="249"/>
        <v>10</v>
      </c>
      <c r="C3883" s="64">
        <v>42650</v>
      </c>
      <c r="D3883" s="64" t="s">
        <v>690</v>
      </c>
      <c r="E3883" s="64">
        <f t="shared" si="252"/>
        <v>42650</v>
      </c>
      <c r="F3883" s="72" t="s">
        <v>2148</v>
      </c>
      <c r="G3883" s="67" t="s">
        <v>1544</v>
      </c>
      <c r="H3883" s="72" t="s">
        <v>1780</v>
      </c>
      <c r="I3883" s="408"/>
      <c r="J3883" s="408"/>
      <c r="K3883" s="399"/>
      <c r="L3883" s="408"/>
      <c r="M3883" s="65">
        <v>1000</v>
      </c>
      <c r="N3883" s="66" t="s">
        <v>9</v>
      </c>
      <c r="O3883" s="66" t="s">
        <v>25</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x</v>
      </c>
      <c r="W3883" s="82" t="str">
        <f>IF(AND('341-CT'!$H$9=H3883,OR(LEFT(N3883,3)=$W$7,LEFT(O3883,3)=$W$7)),"x","")</f>
        <v/>
      </c>
      <c r="X3883" s="82" t="str">
        <f>IF(OR(TH!N3883=TH!$X$7,O3883=TH!$X$7),"x","")</f>
        <v>x</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1" ht="15.75" customHeight="1">
      <c r="A3884" s="323" t="str">
        <f>IF(B3884&lt;&gt;"",IF(AND(B3884='IN-TC'!$S$4,OR(TH!N2188="1111",TH!O2188="1111")),TH!D2188,""),"")</f>
        <v/>
      </c>
      <c r="B3884" s="63">
        <f t="shared" si="249"/>
        <v>12</v>
      </c>
      <c r="C3884" s="78">
        <v>42735</v>
      </c>
      <c r="D3884" s="78" t="s">
        <v>570</v>
      </c>
      <c r="E3884" s="78">
        <f t="shared" si="252"/>
        <v>42735</v>
      </c>
      <c r="F3884" s="80" t="s">
        <v>624</v>
      </c>
      <c r="G3884" s="934" t="s">
        <v>2746</v>
      </c>
      <c r="H3884" s="80" t="s">
        <v>615</v>
      </c>
      <c r="I3884" s="406"/>
      <c r="J3884" s="406"/>
      <c r="K3884" s="397"/>
      <c r="L3884" s="406"/>
      <c r="M3884" s="81">
        <v>2000000</v>
      </c>
      <c r="N3884" s="82" t="s">
        <v>579</v>
      </c>
      <c r="O3884" s="82" t="s">
        <v>8</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c r="AE3884">
        <v>1</v>
      </c>
    </row>
    <row r="3885" spans="1:31" ht="15.75" customHeight="1">
      <c r="A3885" s="323" t="str">
        <f>IF(B3885&lt;&gt;"",IF(AND(B3885='IN-TC'!$S$4,OR(TH!N3991="1111",TH!O3991="1111")),TH!D3991,""),"")</f>
        <v>C39</v>
      </c>
      <c r="B3885" s="63">
        <f t="shared" si="249"/>
        <v>10</v>
      </c>
      <c r="C3885" s="64">
        <v>42650</v>
      </c>
      <c r="D3885" s="64" t="s">
        <v>690</v>
      </c>
      <c r="E3885" s="64">
        <f t="shared" si="252"/>
        <v>42650</v>
      </c>
      <c r="F3885" s="72" t="s">
        <v>2147</v>
      </c>
      <c r="G3885" s="67" t="s">
        <v>1544</v>
      </c>
      <c r="H3885" s="72" t="s">
        <v>1780</v>
      </c>
      <c r="I3885" s="408"/>
      <c r="J3885" s="408"/>
      <c r="K3885" s="399"/>
      <c r="L3885" s="1125"/>
      <c r="M3885" s="65">
        <v>10000</v>
      </c>
      <c r="N3885" s="66" t="s">
        <v>99</v>
      </c>
      <c r="O3885" s="66" t="s">
        <v>25</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x</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1" ht="15.75" customHeight="1">
      <c r="A3886" s="323" t="str">
        <f>IF(B3886&lt;&gt;"",IF(AND(B3886='IN-TC'!$S$4,OR(TH!N3992="1111",TH!O3992="1111")),TH!D3992,""),"")</f>
        <v>C39</v>
      </c>
      <c r="B3886" s="63">
        <f t="shared" ref="B3886:B3949" si="253">IF(C3886&lt;&gt;"",MONTH(C3886),"")</f>
        <v>10</v>
      </c>
      <c r="C3886" s="64">
        <v>42650</v>
      </c>
      <c r="D3886" s="64" t="s">
        <v>690</v>
      </c>
      <c r="E3886" s="64">
        <f t="shared" si="252"/>
        <v>42650</v>
      </c>
      <c r="F3886" s="72" t="s">
        <v>2148</v>
      </c>
      <c r="G3886" s="67" t="s">
        <v>1544</v>
      </c>
      <c r="H3886" s="72" t="s">
        <v>1780</v>
      </c>
      <c r="I3886" s="408"/>
      <c r="J3886" s="408"/>
      <c r="K3886" s="399"/>
      <c r="L3886" s="1125"/>
      <c r="M3886" s="65">
        <v>1000</v>
      </c>
      <c r="N3886" s="66" t="s">
        <v>9</v>
      </c>
      <c r="O3886" s="66" t="s">
        <v>25</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x</v>
      </c>
      <c r="W3886" s="82" t="str">
        <f>IF(AND('341-CT'!$H$9=H3886,OR(LEFT(N3886,3)=$W$7,LEFT(O3886,3)=$W$7)),"x","")</f>
        <v/>
      </c>
      <c r="X3886" s="82" t="str">
        <f>IF(OR(TH!N3886=TH!$X$7,O3886=TH!$X$7),"x","")</f>
        <v>x</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1" ht="15.75" customHeight="1">
      <c r="A3887" s="323" t="str">
        <f>IF(B3887&lt;&gt;"",IF(AND(B3887='IN-TC'!$S$4,OR(TH!N3993="1111",TH!O3993="1111")),TH!D3993,""),"")</f>
        <v/>
      </c>
      <c r="B3887" s="63">
        <f t="shared" si="253"/>
        <v>10</v>
      </c>
      <c r="C3887" s="64">
        <v>42650</v>
      </c>
      <c r="D3887" s="64" t="s">
        <v>690</v>
      </c>
      <c r="E3887" s="64">
        <f t="shared" si="252"/>
        <v>42650</v>
      </c>
      <c r="F3887" s="72" t="s">
        <v>1758</v>
      </c>
      <c r="G3887" s="67" t="s">
        <v>1544</v>
      </c>
      <c r="H3887" s="329" t="s">
        <v>618</v>
      </c>
      <c r="I3887" s="408"/>
      <c r="J3887" s="408"/>
      <c r="K3887" s="399"/>
      <c r="L3887" s="408"/>
      <c r="M3887" s="65">
        <v>37480000</v>
      </c>
      <c r="N3887" s="66" t="s">
        <v>8</v>
      </c>
      <c r="O3887" s="66" t="s">
        <v>25</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x</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1" ht="15.75" customHeight="1">
      <c r="A3888" s="323" t="str">
        <f>IF(B3888&lt;&gt;"",IF(AND(B3888='IN-TC'!$S$4,OR(TH!N3994="1111",TH!O3994="1111")),TH!D3994,""),"")</f>
        <v/>
      </c>
      <c r="B3888" s="63">
        <f t="shared" si="253"/>
        <v>10</v>
      </c>
      <c r="C3888" s="64">
        <v>42650</v>
      </c>
      <c r="D3888" s="64" t="s">
        <v>690</v>
      </c>
      <c r="E3888" s="64">
        <f t="shared" si="252"/>
        <v>42650</v>
      </c>
      <c r="F3888" s="72" t="s">
        <v>2147</v>
      </c>
      <c r="G3888" s="67" t="s">
        <v>1544</v>
      </c>
      <c r="H3888" s="72" t="s">
        <v>1780</v>
      </c>
      <c r="I3888" s="408"/>
      <c r="J3888" s="408"/>
      <c r="K3888" s="399"/>
      <c r="L3888" s="408"/>
      <c r="M3888" s="65">
        <v>10000</v>
      </c>
      <c r="N3888" s="66" t="s">
        <v>99</v>
      </c>
      <c r="O3888" s="66" t="s">
        <v>25</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x</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customHeight="1">
      <c r="A3889" s="323" t="str">
        <f>IF(B3889&lt;&gt;"",IF(AND(B3889='IN-TC'!$S$4,OR(TH!N3995="1111",TH!O3995="1111")),TH!D3995,""),"")</f>
        <v>C40</v>
      </c>
      <c r="B3889" s="63">
        <f t="shared" si="253"/>
        <v>10</v>
      </c>
      <c r="C3889" s="64">
        <v>42650</v>
      </c>
      <c r="D3889" s="64" t="s">
        <v>690</v>
      </c>
      <c r="E3889" s="64">
        <f t="shared" si="252"/>
        <v>42650</v>
      </c>
      <c r="F3889" s="72" t="s">
        <v>2148</v>
      </c>
      <c r="G3889" s="67" t="s">
        <v>1544</v>
      </c>
      <c r="H3889" s="72" t="s">
        <v>1780</v>
      </c>
      <c r="I3889" s="408"/>
      <c r="J3889" s="408"/>
      <c r="K3889" s="399"/>
      <c r="L3889" s="408"/>
      <c r="M3889" s="65">
        <v>1000</v>
      </c>
      <c r="N3889" s="66" t="s">
        <v>9</v>
      </c>
      <c r="O3889" s="66" t="s">
        <v>25</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x</v>
      </c>
      <c r="W3889" s="82" t="str">
        <f>IF(AND('341-CT'!$H$9=H3889,OR(LEFT(N3889,3)=$W$7,LEFT(O3889,3)=$W$7)),"x","")</f>
        <v/>
      </c>
      <c r="X3889" s="82" t="str">
        <f>IF(OR(TH!N3889=TH!$X$7,O3889=TH!$X$7),"x","")</f>
        <v>x</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customHeight="1">
      <c r="A3890" s="323" t="str">
        <f>IF(B3890&lt;&gt;"",IF(AND(B3890='IN-TC'!$S$4,OR(TH!N3850="1111",TH!O3850="1111")),TH!D3850,""),"")</f>
        <v>C10</v>
      </c>
      <c r="B3890" s="63">
        <f t="shared" si="253"/>
        <v>10</v>
      </c>
      <c r="C3890" s="64">
        <v>42650</v>
      </c>
      <c r="D3890" s="64" t="s">
        <v>886</v>
      </c>
      <c r="E3890" s="64">
        <f t="shared" si="252"/>
        <v>42650</v>
      </c>
      <c r="F3890" s="72" t="s">
        <v>1126</v>
      </c>
      <c r="G3890" s="67" t="s">
        <v>1544</v>
      </c>
      <c r="H3890" s="72" t="s">
        <v>748</v>
      </c>
      <c r="I3890" s="408"/>
      <c r="J3890" s="408"/>
      <c r="K3890" s="399"/>
      <c r="L3890" s="408"/>
      <c r="M3890" s="65">
        <v>1900000000</v>
      </c>
      <c r="N3890" s="66" t="s">
        <v>61</v>
      </c>
      <c r="O3890" s="66" t="s">
        <v>25</v>
      </c>
      <c r="P3890" s="82" t="str">
        <f>IF(AND('331-CT'!$E$7=TH!H3890,OR(N3890="331",O3890="331")),"x","")</f>
        <v/>
      </c>
      <c r="Q3890" s="82" t="str">
        <f>IF(AND(B3890='111'!$L$11,OR($N3890=$Q$7,$O3890=$Q$7)),"x","")</f>
        <v/>
      </c>
      <c r="R3890" s="82" t="str">
        <f>IF(AND($N3890=$Q$7,$B3890&lt;'111'!$L$11),"x","")</f>
        <v>x</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x</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customHeight="1">
      <c r="A3891" s="323" t="str">
        <f>IF(B3891&lt;&gt;"",IF(AND(B3891='IN-TC'!$S$4,OR(TH!N3851="1111",TH!O3851="1111")),TH!D3851,""),"")</f>
        <v/>
      </c>
      <c r="B3891" s="63">
        <f t="shared" si="253"/>
        <v>10</v>
      </c>
      <c r="C3891" s="64">
        <v>42650</v>
      </c>
      <c r="D3891" s="64" t="s">
        <v>889</v>
      </c>
      <c r="E3891" s="64">
        <f t="shared" si="252"/>
        <v>42650</v>
      </c>
      <c r="F3891" s="72" t="s">
        <v>1126</v>
      </c>
      <c r="G3891" s="67" t="s">
        <v>1544</v>
      </c>
      <c r="H3891" s="72" t="s">
        <v>748</v>
      </c>
      <c r="I3891" s="408"/>
      <c r="J3891" s="408"/>
      <c r="K3891" s="399"/>
      <c r="L3891" s="408"/>
      <c r="M3891" s="65">
        <v>2150000000</v>
      </c>
      <c r="N3891" s="66" t="s">
        <v>61</v>
      </c>
      <c r="O3891" s="66" t="s">
        <v>25</v>
      </c>
      <c r="P3891" s="82" t="str">
        <f>IF(AND('331-CT'!$E$7=TH!H3891,OR(N3891="331",O3891="331")),"x","")</f>
        <v/>
      </c>
      <c r="Q3891" s="82" t="str">
        <f>IF(AND(B3891='111'!$L$11,OR($N3891=$Q$7,$O3891=$Q$7)),"x","")</f>
        <v/>
      </c>
      <c r="R3891" s="82" t="str">
        <f>IF(AND($N3891=$Q$7,$B3891&lt;'111'!$L$11),"x","")</f>
        <v>x</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x</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customHeight="1">
      <c r="A3892" s="323" t="str">
        <f>IF(B3892&lt;&gt;"",IF(AND(B3892='IN-TC'!$S$4,OR(TH!N3853="1111",TH!O3853="1111")),TH!D3853,""),"")</f>
        <v/>
      </c>
      <c r="B3892" s="63">
        <f t="shared" si="253"/>
        <v>10</v>
      </c>
      <c r="C3892" s="1092">
        <v>42651</v>
      </c>
      <c r="D3892" s="1092" t="s">
        <v>869</v>
      </c>
      <c r="E3892" s="1092">
        <f t="shared" si="252"/>
        <v>42651</v>
      </c>
      <c r="F3892" s="482" t="s">
        <v>947</v>
      </c>
      <c r="G3892" s="1094"/>
      <c r="H3892" s="1093" t="s">
        <v>946</v>
      </c>
      <c r="I3892" s="1095"/>
      <c r="J3892" s="1095"/>
      <c r="K3892" s="1096"/>
      <c r="L3892" s="1095"/>
      <c r="M3892" s="1097">
        <v>500000000</v>
      </c>
      <c r="N3892" s="1098" t="s">
        <v>266</v>
      </c>
      <c r="O3892" s="1098" t="s">
        <v>61</v>
      </c>
      <c r="P3892" s="82" t="str">
        <f>IF(AND('331-CT'!$E$7=TH!H3892,OR(N3892="331",O3892="331")),"x","")</f>
        <v/>
      </c>
      <c r="Q3892" s="82" t="str">
        <f>IF(AND(B3892='111'!$L$11,OR($N3892=$Q$7,$O3892=$Q$7)),"x","")</f>
        <v/>
      </c>
      <c r="R3892" s="82" t="str">
        <f>IF(AND($N3892=$Q$7,$B3892&lt;'111'!$L$11),"x","")</f>
        <v/>
      </c>
      <c r="S3892" s="82" t="str">
        <f>IF(AND($O3892=$Q$7,$B3892&lt;'111'!$L$11),"x","")</f>
        <v>x</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customHeight="1">
      <c r="A3893" s="323" t="str">
        <f>IF(B3893&lt;&gt;"",IF(AND(B3893='IN-TC'!$S$4,OR(TH!N3854="1111",TH!O3854="1111")),TH!D3854,""),"")</f>
        <v/>
      </c>
      <c r="B3893" s="63">
        <f t="shared" si="253"/>
        <v>10</v>
      </c>
      <c r="C3893" s="1092">
        <v>42651</v>
      </c>
      <c r="D3893" s="1092" t="s">
        <v>870</v>
      </c>
      <c r="E3893" s="1092">
        <f t="shared" si="252"/>
        <v>42651</v>
      </c>
      <c r="F3893" s="482" t="s">
        <v>947</v>
      </c>
      <c r="G3893" s="1094"/>
      <c r="H3893" s="1093" t="s">
        <v>3001</v>
      </c>
      <c r="I3893" s="1095"/>
      <c r="J3893" s="1095"/>
      <c r="K3893" s="1096"/>
      <c r="L3893" s="1095"/>
      <c r="M3893" s="1097">
        <v>750000000</v>
      </c>
      <c r="N3893" s="1098" t="s">
        <v>266</v>
      </c>
      <c r="O3893" s="1098" t="s">
        <v>61</v>
      </c>
      <c r="P3893" s="82" t="str">
        <f>IF(AND('331-CT'!$E$7=TH!H3893,OR(N3893="331",O3893="331")),"x","")</f>
        <v/>
      </c>
      <c r="Q3893" s="82" t="str">
        <f>IF(AND(B3893='111'!$L$11,OR($N3893=$Q$7,$O3893=$Q$7)),"x","")</f>
        <v/>
      </c>
      <c r="R3893" s="82" t="str">
        <f>IF(AND($N3893=$Q$7,$B3893&lt;'111'!$L$11),"x","")</f>
        <v/>
      </c>
      <c r="S3893" s="82" t="str">
        <f>IF(AND($O3893=$Q$7,$B3893&lt;'111'!$L$11),"x","")</f>
        <v>x</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customHeight="1">
      <c r="A3894" s="323" t="str">
        <f>IF(B3894&lt;&gt;"",IF(AND(B3894='IN-TC'!$S$4,OR(TH!N3907="1111",TH!O3907="1111")),TH!D3907,""),"")</f>
        <v/>
      </c>
      <c r="B3894" s="63">
        <f t="shared" si="253"/>
        <v>10</v>
      </c>
      <c r="C3894" s="64">
        <v>42651</v>
      </c>
      <c r="D3894" s="64" t="s">
        <v>690</v>
      </c>
      <c r="E3894" s="64">
        <f t="shared" si="252"/>
        <v>42651</v>
      </c>
      <c r="F3894" s="72" t="s">
        <v>1425</v>
      </c>
      <c r="G3894" s="67" t="s">
        <v>901</v>
      </c>
      <c r="H3894" s="72" t="s">
        <v>2048</v>
      </c>
      <c r="I3894" s="408"/>
      <c r="J3894" s="408"/>
      <c r="K3894" s="399">
        <v>94500</v>
      </c>
      <c r="L3894" s="408">
        <v>22300</v>
      </c>
      <c r="M3894" s="65">
        <f>ROUND(K3894*L3894,0)</f>
        <v>2107350000</v>
      </c>
      <c r="N3894" s="66" t="s">
        <v>25</v>
      </c>
      <c r="O3894" s="66" t="s">
        <v>260</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customHeight="1">
      <c r="A3895" s="323" t="str">
        <f>IF(B3895&lt;&gt;"",IF(AND(B3895='IN-TC'!$S$4,OR(TH!N3852="1111",TH!O3852="1111")),TH!D3852,""),"")</f>
        <v/>
      </c>
      <c r="B3895" s="63">
        <f t="shared" si="253"/>
        <v>10</v>
      </c>
      <c r="C3895" s="64">
        <v>42651</v>
      </c>
      <c r="D3895" s="64" t="s">
        <v>892</v>
      </c>
      <c r="E3895" s="64">
        <f t="shared" si="252"/>
        <v>42651</v>
      </c>
      <c r="F3895" s="72" t="s">
        <v>1126</v>
      </c>
      <c r="G3895" s="67" t="s">
        <v>901</v>
      </c>
      <c r="H3895" s="72" t="s">
        <v>748</v>
      </c>
      <c r="I3895" s="408"/>
      <c r="J3895" s="408"/>
      <c r="K3895" s="399"/>
      <c r="L3895" s="408"/>
      <c r="M3895" s="65">
        <v>2100000000</v>
      </c>
      <c r="N3895" s="66" t="s">
        <v>61</v>
      </c>
      <c r="O3895" s="66" t="s">
        <v>25</v>
      </c>
      <c r="P3895" s="82" t="str">
        <f>IF(AND('331-CT'!$E$7=TH!H3895,OR(N3895="331",O3895="331")),"x","")</f>
        <v/>
      </c>
      <c r="Q3895" s="82" t="str">
        <f>IF(AND(B3895='111'!$L$11,OR($N3895=$Q$7,$O3895=$Q$7)),"x","")</f>
        <v/>
      </c>
      <c r="R3895" s="82" t="str">
        <f>IF(AND($N3895=$Q$7,$B3895&lt;'111'!$L$11),"x","")</f>
        <v>x</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customHeight="1">
      <c r="A3896" s="323" t="str">
        <f>IF(B3896&lt;&gt;"",IF(AND(B3896='IN-TC'!$S$4,OR(TH!N3855="1111",TH!O3855="1111")),TH!D3855,""),"")</f>
        <v>C11</v>
      </c>
      <c r="B3896" s="63">
        <f t="shared" si="253"/>
        <v>10</v>
      </c>
      <c r="C3896" s="1092">
        <v>42653</v>
      </c>
      <c r="D3896" s="1092" t="s">
        <v>871</v>
      </c>
      <c r="E3896" s="1092">
        <f t="shared" si="252"/>
        <v>42653</v>
      </c>
      <c r="F3896" s="482" t="s">
        <v>947</v>
      </c>
      <c r="G3896" s="1094"/>
      <c r="H3896" s="1093" t="s">
        <v>3001</v>
      </c>
      <c r="I3896" s="1095"/>
      <c r="J3896" s="1095"/>
      <c r="K3896" s="1096"/>
      <c r="L3896" s="1095"/>
      <c r="M3896" s="1097">
        <v>700000000</v>
      </c>
      <c r="N3896" s="1098" t="s">
        <v>266</v>
      </c>
      <c r="O3896" s="1098" t="s">
        <v>61</v>
      </c>
      <c r="P3896" s="82" t="str">
        <f>IF(AND('331-CT'!$E$7=TH!H3896,OR(N3896="331",O3896="331")),"x","")</f>
        <v/>
      </c>
      <c r="Q3896" s="82" t="str">
        <f>IF(AND(B3896='111'!$L$11,OR($N3896=$Q$7,$O3896=$Q$7)),"x","")</f>
        <v/>
      </c>
      <c r="R3896" s="82" t="str">
        <f>IF(AND($N3896=$Q$7,$B3896&lt;'111'!$L$11),"x","")</f>
        <v/>
      </c>
      <c r="S3896" s="82" t="str">
        <f>IF(AND($O3896=$Q$7,$B3896&lt;'111'!$L$11),"x","")</f>
        <v>x</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customHeight="1">
      <c r="A3897" s="323" t="str">
        <f>IF(B3897&lt;&gt;"",IF(AND(B3897='IN-TC'!$S$4,OR(TH!N3925="1111",TH!O3925="1111")),TH!D3925,""),"")</f>
        <v/>
      </c>
      <c r="B3897" s="63">
        <f t="shared" si="253"/>
        <v>10</v>
      </c>
      <c r="C3897" s="64">
        <v>42653</v>
      </c>
      <c r="D3897" s="64" t="s">
        <v>687</v>
      </c>
      <c r="E3897" s="64">
        <f t="shared" ref="E3897:E3906" si="254">C3897</f>
        <v>42653</v>
      </c>
      <c r="F3897" s="72" t="s">
        <v>1436</v>
      </c>
      <c r="G3897" s="67" t="s">
        <v>901</v>
      </c>
      <c r="H3897" s="72" t="s">
        <v>589</v>
      </c>
      <c r="I3897" s="408"/>
      <c r="J3897" s="408"/>
      <c r="K3897" s="399">
        <v>2271.46</v>
      </c>
      <c r="L3897" s="1125">
        <v>22275</v>
      </c>
      <c r="M3897" s="65">
        <f t="shared" ref="M3897:M3905" si="255">ROUND(K3897*L3897,0)</f>
        <v>50596772</v>
      </c>
      <c r="N3897" s="66" t="s">
        <v>260</v>
      </c>
      <c r="O3897" s="66" t="s">
        <v>576</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customHeight="1">
      <c r="A3898" s="323" t="str">
        <f>IF(B3898&lt;&gt;"",IF(AND(B3898='IN-TC'!$S$4,OR(TH!N3926="1111",TH!O3926="1111")),TH!D3926,""),"")</f>
        <v/>
      </c>
      <c r="B3898" s="63">
        <f t="shared" si="253"/>
        <v>10</v>
      </c>
      <c r="C3898" s="64">
        <v>42653</v>
      </c>
      <c r="D3898" s="64" t="s">
        <v>570</v>
      </c>
      <c r="E3898" s="64">
        <f t="shared" si="254"/>
        <v>42653</v>
      </c>
      <c r="F3898" s="72" t="s">
        <v>1045</v>
      </c>
      <c r="G3898" s="67" t="s">
        <v>901</v>
      </c>
      <c r="H3898" s="72" t="s">
        <v>589</v>
      </c>
      <c r="I3898" s="408"/>
      <c r="J3898" s="408"/>
      <c r="K3898" s="399">
        <v>73.959999999999994</v>
      </c>
      <c r="L3898" s="408">
        <v>22275</v>
      </c>
      <c r="M3898" s="65">
        <f t="shared" si="255"/>
        <v>1647459</v>
      </c>
      <c r="N3898" s="66" t="s">
        <v>99</v>
      </c>
      <c r="O3898" s="66" t="s">
        <v>576</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customHeight="1">
      <c r="A3899" s="323" t="str">
        <f>IF(B3899&lt;&gt;"",IF(AND(B3899='IN-TC'!$S$4,OR(TH!N3927="1111",TH!O3927="1111")),TH!D3927,""),"")</f>
        <v/>
      </c>
      <c r="B3899" s="63">
        <f t="shared" si="253"/>
        <v>10</v>
      </c>
      <c r="C3899" s="64">
        <v>42653</v>
      </c>
      <c r="D3899" s="64" t="s">
        <v>570</v>
      </c>
      <c r="E3899" s="64">
        <f t="shared" si="254"/>
        <v>42653</v>
      </c>
      <c r="F3899" s="72" t="s">
        <v>1046</v>
      </c>
      <c r="G3899" s="67" t="s">
        <v>901</v>
      </c>
      <c r="H3899" s="72" t="s">
        <v>589</v>
      </c>
      <c r="I3899" s="408"/>
      <c r="J3899" s="408"/>
      <c r="K3899" s="399">
        <v>7.4</v>
      </c>
      <c r="L3899" s="408">
        <v>22275</v>
      </c>
      <c r="M3899" s="65">
        <f t="shared" si="255"/>
        <v>164835</v>
      </c>
      <c r="N3899" s="66" t="s">
        <v>9</v>
      </c>
      <c r="O3899" s="66" t="s">
        <v>576</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x</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customHeight="1">
      <c r="A3900" s="323" t="str">
        <f>IF(B3900&lt;&gt;"",IF(AND(B3900='IN-TC'!$S$4,OR(TH!N3928="1111",TH!O3928="1111")),TH!D3928,""),"")</f>
        <v/>
      </c>
      <c r="B3900" s="63">
        <f t="shared" si="253"/>
        <v>10</v>
      </c>
      <c r="C3900" s="64">
        <v>42653</v>
      </c>
      <c r="D3900" s="64" t="s">
        <v>570</v>
      </c>
      <c r="E3900" s="64">
        <f t="shared" si="254"/>
        <v>42653</v>
      </c>
      <c r="F3900" s="72" t="s">
        <v>599</v>
      </c>
      <c r="G3900" s="67" t="s">
        <v>901</v>
      </c>
      <c r="H3900" s="72" t="s">
        <v>589</v>
      </c>
      <c r="I3900" s="408"/>
      <c r="J3900" s="408"/>
      <c r="K3900" s="399">
        <v>10</v>
      </c>
      <c r="L3900" s="408">
        <v>22275</v>
      </c>
      <c r="M3900" s="65">
        <f t="shared" si="255"/>
        <v>222750</v>
      </c>
      <c r="N3900" s="66" t="s">
        <v>99</v>
      </c>
      <c r="O3900" s="66" t="s">
        <v>576</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customHeight="1">
      <c r="A3901" s="323" t="str">
        <f>IF(B3901&lt;&gt;"",IF(AND(B3901='IN-TC'!$S$4,OR(TH!N3929="1111",TH!O3929="1111")),TH!D3929,""),"")</f>
        <v/>
      </c>
      <c r="B3901" s="63">
        <f t="shared" si="253"/>
        <v>10</v>
      </c>
      <c r="C3901" s="64">
        <v>42653</v>
      </c>
      <c r="D3901" s="64" t="s">
        <v>570</v>
      </c>
      <c r="E3901" s="64">
        <f t="shared" si="254"/>
        <v>42653</v>
      </c>
      <c r="F3901" s="72" t="s">
        <v>1174</v>
      </c>
      <c r="G3901" s="67" t="s">
        <v>901</v>
      </c>
      <c r="H3901" s="72" t="s">
        <v>589</v>
      </c>
      <c r="I3901" s="408"/>
      <c r="J3901" s="408"/>
      <c r="K3901" s="399">
        <v>1</v>
      </c>
      <c r="L3901" s="408">
        <v>22275</v>
      </c>
      <c r="M3901" s="65">
        <f t="shared" si="255"/>
        <v>22275</v>
      </c>
      <c r="N3901" s="66" t="s">
        <v>9</v>
      </c>
      <c r="O3901" s="66" t="s">
        <v>576</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x</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customHeight="1">
      <c r="A3902" s="323" t="str">
        <f>IF(B3902&lt;&gt;"",IF(AND(B3902='IN-TC'!$S$4,OR(TH!N3930="1111",TH!O3930="1111")),TH!D3930,""),"")</f>
        <v/>
      </c>
      <c r="B3902" s="63">
        <f t="shared" si="253"/>
        <v>10</v>
      </c>
      <c r="C3902" s="64">
        <v>42653</v>
      </c>
      <c r="D3902" s="64" t="s">
        <v>570</v>
      </c>
      <c r="E3902" s="64">
        <f t="shared" si="254"/>
        <v>42653</v>
      </c>
      <c r="F3902" s="72" t="s">
        <v>1047</v>
      </c>
      <c r="G3902" s="67" t="s">
        <v>901</v>
      </c>
      <c r="H3902" s="72" t="s">
        <v>589</v>
      </c>
      <c r="I3902" s="408"/>
      <c r="J3902" s="408"/>
      <c r="K3902" s="399">
        <v>52</v>
      </c>
      <c r="L3902" s="408">
        <v>22275</v>
      </c>
      <c r="M3902" s="65">
        <f t="shared" si="255"/>
        <v>1158300</v>
      </c>
      <c r="N3902" s="66" t="s">
        <v>97</v>
      </c>
      <c r="O3902" s="66" t="s">
        <v>576</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customHeight="1">
      <c r="A3903" s="323" t="str">
        <f>IF(B3903&lt;&gt;"",IF(AND(B3903='IN-TC'!$S$4,OR(TH!N3931="1111",TH!O3931="1111")),TH!D3931,""),"")</f>
        <v/>
      </c>
      <c r="B3903" s="63">
        <f t="shared" si="253"/>
        <v>10</v>
      </c>
      <c r="C3903" s="64">
        <v>42653</v>
      </c>
      <c r="D3903" s="64" t="s">
        <v>570</v>
      </c>
      <c r="E3903" s="64">
        <f t="shared" si="254"/>
        <v>42653</v>
      </c>
      <c r="F3903" s="72" t="s">
        <v>1175</v>
      </c>
      <c r="G3903" s="67" t="s">
        <v>901</v>
      </c>
      <c r="H3903" s="72" t="s">
        <v>589</v>
      </c>
      <c r="I3903" s="408"/>
      <c r="J3903" s="408"/>
      <c r="K3903" s="399">
        <v>51.98</v>
      </c>
      <c r="L3903" s="408">
        <v>22275</v>
      </c>
      <c r="M3903" s="65">
        <f t="shared" si="255"/>
        <v>1157855</v>
      </c>
      <c r="N3903" s="66" t="s">
        <v>99</v>
      </c>
      <c r="O3903" s="66" t="s">
        <v>576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customHeight="1">
      <c r="A3904" s="323" t="str">
        <f>IF(B3904&lt;&gt;"",IF(AND(B3904='IN-TC'!$S$4,OR(TH!N3932="1111",TH!O3932="1111")),TH!D3932,""),"")</f>
        <v>C28</v>
      </c>
      <c r="B3904" s="63">
        <f t="shared" si="253"/>
        <v>10</v>
      </c>
      <c r="C3904" s="64">
        <v>42653</v>
      </c>
      <c r="D3904" s="64" t="s">
        <v>570</v>
      </c>
      <c r="E3904" s="64">
        <f t="shared" si="254"/>
        <v>42653</v>
      </c>
      <c r="F3904" s="72" t="s">
        <v>1176</v>
      </c>
      <c r="G3904" s="67" t="s">
        <v>901</v>
      </c>
      <c r="H3904" s="72" t="s">
        <v>589</v>
      </c>
      <c r="I3904" s="408"/>
      <c r="J3904" s="408"/>
      <c r="K3904" s="399">
        <v>5.2</v>
      </c>
      <c r="L3904" s="408">
        <v>22275</v>
      </c>
      <c r="M3904" s="65">
        <f t="shared" si="255"/>
        <v>115830</v>
      </c>
      <c r="N3904" s="66" t="s">
        <v>9</v>
      </c>
      <c r="O3904" s="66" t="s">
        <v>576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x</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1" ht="15.75" customHeight="1">
      <c r="A3905" s="323" t="str">
        <f>IF(B3905&lt;&gt;"",IF(AND(B3905='IN-TC'!$S$4,OR(TH!N3933="1111",TH!O3933="1111")),TH!D3933,""),"")</f>
        <v>C29</v>
      </c>
      <c r="B3905" s="63">
        <f t="shared" si="253"/>
        <v>10</v>
      </c>
      <c r="C3905" s="64">
        <v>42653</v>
      </c>
      <c r="D3905" s="64" t="s">
        <v>570</v>
      </c>
      <c r="E3905" s="64">
        <f t="shared" si="254"/>
        <v>42653</v>
      </c>
      <c r="F3905" s="72" t="s">
        <v>1968</v>
      </c>
      <c r="G3905" s="67" t="s">
        <v>901</v>
      </c>
      <c r="H3905" s="72" t="s">
        <v>589</v>
      </c>
      <c r="I3905" s="408"/>
      <c r="J3905" s="408"/>
      <c r="K3905" s="399">
        <v>35</v>
      </c>
      <c r="L3905" s="408">
        <v>22275</v>
      </c>
      <c r="M3905" s="65">
        <f t="shared" si="255"/>
        <v>779625</v>
      </c>
      <c r="N3905" s="66" t="s">
        <v>99</v>
      </c>
      <c r="O3905" s="66" t="s">
        <v>576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1" ht="15.75" customHeight="1">
      <c r="A3906" s="323" t="str">
        <f>IF(B3906&lt;&gt;"",IF(AND(B3906='IN-TC'!$S$4,OR(TH!N3934="1111",TH!O3934="1111")),TH!D3934,""),"")</f>
        <v>C29</v>
      </c>
      <c r="B3906" s="63">
        <f t="shared" si="253"/>
        <v>10</v>
      </c>
      <c r="C3906" s="78">
        <v>42653</v>
      </c>
      <c r="D3906" s="78" t="s">
        <v>570</v>
      </c>
      <c r="E3906" s="78">
        <f t="shared" si="254"/>
        <v>42653</v>
      </c>
      <c r="F3906" s="72" t="s">
        <v>1049</v>
      </c>
      <c r="G3906" s="79" t="s">
        <v>901</v>
      </c>
      <c r="H3906" s="80" t="s">
        <v>589</v>
      </c>
      <c r="I3906" s="406"/>
      <c r="J3906" s="406"/>
      <c r="K3906" s="397"/>
      <c r="L3906" s="406"/>
      <c r="M3906" s="81">
        <v>948541</v>
      </c>
      <c r="N3906" s="82" t="s">
        <v>576</v>
      </c>
      <c r="O3906" s="82" t="s">
        <v>41</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1" ht="15.75" customHeight="1">
      <c r="A3907" s="323" t="str">
        <f>IF(B3907&lt;&gt;"",IF(AND(B3907='IN-TC'!$S$4,OR(TH!N2150="1111",TH!O2150="1111")),TH!D2150,""),"")</f>
        <v/>
      </c>
      <c r="B3907" s="63">
        <f t="shared" si="253"/>
        <v>12</v>
      </c>
      <c r="C3907" s="78">
        <v>42710</v>
      </c>
      <c r="D3907" s="78" t="s">
        <v>570</v>
      </c>
      <c r="E3907" s="78">
        <v>42710</v>
      </c>
      <c r="F3907" s="80" t="s">
        <v>2624</v>
      </c>
      <c r="G3907" s="934" t="s">
        <v>2705</v>
      </c>
      <c r="H3907" s="80" t="s">
        <v>617</v>
      </c>
      <c r="I3907" s="406"/>
      <c r="J3907" s="406"/>
      <c r="K3907" s="397"/>
      <c r="L3907" s="406"/>
      <c r="M3907" s="81">
        <v>29709000</v>
      </c>
      <c r="N3907" s="82" t="s">
        <v>276</v>
      </c>
      <c r="O3907" s="82" t="s">
        <v>8</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c r="AE3907">
        <v>1</v>
      </c>
    </row>
    <row r="3908" spans="1:31" ht="15.75" customHeight="1">
      <c r="A3908" s="323" t="str">
        <f>IF(B3908&lt;&gt;"",IF(AND(B3908='IN-TC'!$S$4,OR(TH!N3997="1111",TH!O3997="1111")),TH!D3997,""),"")</f>
        <v>C42</v>
      </c>
      <c r="B3908" s="63">
        <f t="shared" si="253"/>
        <v>10</v>
      </c>
      <c r="C3908" s="64">
        <v>42653</v>
      </c>
      <c r="D3908" s="64" t="s">
        <v>690</v>
      </c>
      <c r="E3908" s="64">
        <f t="shared" ref="E3908:E3943" si="256">C3908</f>
        <v>42653</v>
      </c>
      <c r="F3908" s="72" t="s">
        <v>2147</v>
      </c>
      <c r="G3908" s="67" t="s">
        <v>1544</v>
      </c>
      <c r="H3908" s="72" t="s">
        <v>1780</v>
      </c>
      <c r="I3908" s="408"/>
      <c r="J3908" s="408"/>
      <c r="K3908" s="399"/>
      <c r="L3908" s="408"/>
      <c r="M3908" s="65">
        <v>10000</v>
      </c>
      <c r="N3908" s="66" t="s">
        <v>99</v>
      </c>
      <c r="O3908" s="66" t="s">
        <v>25</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x</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1" ht="15.75" customHeight="1">
      <c r="A3909" s="323" t="str">
        <f>IF(B3909&lt;&gt;"",IF(AND(B3909='IN-TC'!$S$4,OR(TH!N3998="1111",TH!O3998="1111")),TH!D3998,""),"")</f>
        <v>C43</v>
      </c>
      <c r="B3909" s="63">
        <f t="shared" si="253"/>
        <v>10</v>
      </c>
      <c r="C3909" s="64">
        <v>42653</v>
      </c>
      <c r="D3909" s="64" t="s">
        <v>690</v>
      </c>
      <c r="E3909" s="64">
        <f t="shared" si="256"/>
        <v>42653</v>
      </c>
      <c r="F3909" s="72" t="s">
        <v>2148</v>
      </c>
      <c r="G3909" s="67" t="s">
        <v>1544</v>
      </c>
      <c r="H3909" s="72" t="s">
        <v>1780</v>
      </c>
      <c r="I3909" s="408"/>
      <c r="J3909" s="408"/>
      <c r="K3909" s="399"/>
      <c r="L3909" s="408"/>
      <c r="M3909" s="65">
        <v>1000</v>
      </c>
      <c r="N3909" s="66" t="s">
        <v>9</v>
      </c>
      <c r="O3909" s="66" t="s">
        <v>25</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x</v>
      </c>
      <c r="W3909" s="82" t="str">
        <f>IF(AND('341-CT'!$H$9=H3909,OR(LEFT(N3909,3)=$W$7,LEFT(O3909,3)=$W$7)),"x","")</f>
        <v/>
      </c>
      <c r="X3909" s="82" t="str">
        <f>IF(OR(TH!N3909=TH!$X$7,O3909=TH!$X$7),"x","")</f>
        <v>x</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1" ht="15.75" customHeight="1">
      <c r="A3910" s="323" t="str">
        <f>IF(B3910&lt;&gt;"",IF(AND(B3910='IN-TC'!$S$4,OR(TH!N3856="1111",TH!O3856="1111")),TH!D3856,""),"")</f>
        <v>C12</v>
      </c>
      <c r="B3910" s="63">
        <f t="shared" si="253"/>
        <v>10</v>
      </c>
      <c r="C3910" s="1092">
        <v>42655</v>
      </c>
      <c r="D3910" s="1092" t="s">
        <v>872</v>
      </c>
      <c r="E3910" s="1092">
        <f t="shared" si="256"/>
        <v>42655</v>
      </c>
      <c r="F3910" s="482" t="s">
        <v>947</v>
      </c>
      <c r="G3910" s="1094"/>
      <c r="H3910" s="1093" t="s">
        <v>946</v>
      </c>
      <c r="I3910" s="1095"/>
      <c r="J3910" s="1095"/>
      <c r="K3910" s="1096"/>
      <c r="L3910" s="1095"/>
      <c r="M3910" s="1097">
        <v>500000000</v>
      </c>
      <c r="N3910" s="1098" t="s">
        <v>266</v>
      </c>
      <c r="O3910" s="1098" t="s">
        <v>61</v>
      </c>
      <c r="P3910" s="82" t="str">
        <f>IF(AND('331-CT'!$E$7=TH!H3910,OR(N3910="331",O3910="331")),"x","")</f>
        <v/>
      </c>
      <c r="Q3910" s="82" t="str">
        <f>IF(AND(B3910='111'!$L$11,OR($N3910=$Q$7,$O3910=$Q$7)),"x","")</f>
        <v/>
      </c>
      <c r="R3910" s="82" t="str">
        <f>IF(AND($N3910=$Q$7,$B3910&lt;'111'!$L$11),"x","")</f>
        <v/>
      </c>
      <c r="S3910" s="82" t="str">
        <f>IF(AND($O3910=$Q$7,$B3910&lt;'111'!$L$11),"x","")</f>
        <v>x</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1" ht="15.75" customHeight="1">
      <c r="A3911" s="323" t="str">
        <f>IF(B3911&lt;&gt;"",IF(AND(B3911='IN-TC'!$S$4,OR(TH!N3857="1111",TH!O3857="1111")),TH!D3857,""),"")</f>
        <v>C12</v>
      </c>
      <c r="B3911" s="63">
        <f t="shared" si="253"/>
        <v>10</v>
      </c>
      <c r="C3911" s="1092">
        <v>42655</v>
      </c>
      <c r="D3911" s="1092" t="s">
        <v>873</v>
      </c>
      <c r="E3911" s="1092">
        <f t="shared" si="256"/>
        <v>42655</v>
      </c>
      <c r="F3911" s="482" t="s">
        <v>947</v>
      </c>
      <c r="G3911" s="1094"/>
      <c r="H3911" s="1093" t="s">
        <v>3001</v>
      </c>
      <c r="I3911" s="1095"/>
      <c r="J3911" s="1095"/>
      <c r="K3911" s="1096"/>
      <c r="L3911" s="1095"/>
      <c r="M3911" s="1097">
        <v>800000000</v>
      </c>
      <c r="N3911" s="1098" t="s">
        <v>266</v>
      </c>
      <c r="O3911" s="1098" t="s">
        <v>61</v>
      </c>
      <c r="P3911" s="82" t="str">
        <f>IF(AND('331-CT'!$E$7=TH!H3911,OR(N3911="331",O3911="331")),"x","")</f>
        <v/>
      </c>
      <c r="Q3911" s="82" t="str">
        <f>IF(AND(B3911='111'!$L$11,OR($N3911=$Q$7,$O3911=$Q$7)),"x","")</f>
        <v/>
      </c>
      <c r="R3911" s="82" t="str">
        <f>IF(AND($N3911=$Q$7,$B3911&lt;'111'!$L$11),"x","")</f>
        <v/>
      </c>
      <c r="S3911" s="82" t="str">
        <f>IF(AND($O3911=$Q$7,$B3911&lt;'111'!$L$11),"x","")</f>
        <v>x</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1" ht="15.75" customHeight="1">
      <c r="A3912" s="323" t="str">
        <f>IF(B3912&lt;&gt;"",IF(AND(B3912='IN-TC'!$S$4,OR(TH!N3858="1111",TH!O3858="1111")),TH!D3858,""),"")</f>
        <v>C13</v>
      </c>
      <c r="B3912" s="63">
        <f t="shared" si="253"/>
        <v>10</v>
      </c>
      <c r="C3912" s="64">
        <v>42656</v>
      </c>
      <c r="D3912" s="64" t="s">
        <v>874</v>
      </c>
      <c r="E3912" s="64">
        <f t="shared" si="256"/>
        <v>42656</v>
      </c>
      <c r="F3912" s="72" t="s">
        <v>985</v>
      </c>
      <c r="G3912" s="931" t="s">
        <v>2077</v>
      </c>
      <c r="H3912" s="72" t="s">
        <v>792</v>
      </c>
      <c r="I3912" s="408"/>
      <c r="J3912" s="408"/>
      <c r="K3912" s="399"/>
      <c r="L3912" s="408"/>
      <c r="M3912" s="65">
        <v>1192727</v>
      </c>
      <c r="N3912" s="66" t="s">
        <v>99</v>
      </c>
      <c r="O3912" s="66" t="s">
        <v>61</v>
      </c>
      <c r="P3912" s="82" t="str">
        <f>IF(AND('331-CT'!$E$7=TH!H3912,OR(N3912="331",O3912="331")),"x","")</f>
        <v/>
      </c>
      <c r="Q3912" s="82" t="str">
        <f>IF(AND(B3912='111'!$L$11,OR($N3912=$Q$7,$O3912=$Q$7)),"x","")</f>
        <v/>
      </c>
      <c r="R3912" s="82" t="str">
        <f>IF(AND($N3912=$Q$7,$B3912&lt;'111'!$L$11),"x","")</f>
        <v/>
      </c>
      <c r="S3912" s="82" t="str">
        <f>IF(AND($O3912=$Q$7,$B3912&lt;'111'!$L$11),"x","")</f>
        <v>x</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1" ht="15.75" customHeight="1">
      <c r="A3913" s="323" t="str">
        <f>IF(B3913&lt;&gt;"",IF(AND(B3913='IN-TC'!$S$4,OR(TH!N3859="1111",TH!O3859="1111")),TH!D3859,""),"")</f>
        <v/>
      </c>
      <c r="B3913" s="63">
        <f t="shared" si="253"/>
        <v>10</v>
      </c>
      <c r="C3913" s="64">
        <v>42656</v>
      </c>
      <c r="D3913" s="64" t="s">
        <v>874</v>
      </c>
      <c r="E3913" s="64">
        <f t="shared" si="256"/>
        <v>42656</v>
      </c>
      <c r="F3913" s="72" t="s">
        <v>986</v>
      </c>
      <c r="G3913" s="931" t="s">
        <v>2077</v>
      </c>
      <c r="H3913" s="72" t="s">
        <v>792</v>
      </c>
      <c r="I3913" s="408"/>
      <c r="J3913" s="408"/>
      <c r="K3913" s="399"/>
      <c r="L3913" s="408"/>
      <c r="M3913" s="65">
        <v>119273</v>
      </c>
      <c r="N3913" s="66" t="s">
        <v>9</v>
      </c>
      <c r="O3913" s="66" t="s">
        <v>61</v>
      </c>
      <c r="P3913" s="82" t="str">
        <f>IF(AND('331-CT'!$E$7=TH!H3913,OR(N3913="331",O3913="331")),"x","")</f>
        <v/>
      </c>
      <c r="Q3913" s="82" t="str">
        <f>IF(AND(B3913='111'!$L$11,OR($N3913=$Q$7,$O3913=$Q$7)),"x","")</f>
        <v/>
      </c>
      <c r="R3913" s="82" t="str">
        <f>IF(AND($N3913=$Q$7,$B3913&lt;'111'!$L$11),"x","")</f>
        <v/>
      </c>
      <c r="S3913" s="82" t="str">
        <f>IF(AND($O3913=$Q$7,$B3913&lt;'111'!$L$11),"x","")</f>
        <v>x</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x</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1" ht="15.75" customHeight="1">
      <c r="A3914" s="323" t="str">
        <f>IF(B3914&lt;&gt;"",IF(AND(B3914='IN-TC'!$S$4,OR(TH!N3860="1111",TH!O3860="1111")),TH!D3860,""),"")</f>
        <v/>
      </c>
      <c r="B3914" s="63">
        <f t="shared" si="253"/>
        <v>10</v>
      </c>
      <c r="C3914" s="64">
        <v>42656</v>
      </c>
      <c r="D3914" s="64" t="s">
        <v>875</v>
      </c>
      <c r="E3914" s="64">
        <f t="shared" si="256"/>
        <v>42656</v>
      </c>
      <c r="F3914" s="72" t="s">
        <v>218</v>
      </c>
      <c r="G3914" s="931" t="s">
        <v>2078</v>
      </c>
      <c r="H3914" s="72" t="s">
        <v>606</v>
      </c>
      <c r="I3914" s="408">
        <v>450</v>
      </c>
      <c r="J3914" s="408">
        <v>19646.465</v>
      </c>
      <c r="K3914" s="399"/>
      <c r="L3914" s="408"/>
      <c r="M3914" s="65">
        <f>ROUND(I3914*J3914,0)</f>
        <v>8840909</v>
      </c>
      <c r="N3914" s="66" t="s">
        <v>276</v>
      </c>
      <c r="O3914" s="66" t="s">
        <v>61</v>
      </c>
      <c r="P3914" s="82" t="str">
        <f>IF(AND('331-CT'!$E$7=TH!H3914,OR(N3914="331",O3914="331")),"x","")</f>
        <v/>
      </c>
      <c r="Q3914" s="82" t="str">
        <f>IF(AND(B3914='111'!$L$11,OR($N3914=$Q$7,$O3914=$Q$7)),"x","")</f>
        <v/>
      </c>
      <c r="R3914" s="82" t="str">
        <f>IF(AND($N3914=$Q$7,$B3914&lt;'111'!$L$11),"x","")</f>
        <v/>
      </c>
      <c r="S3914" s="82" t="str">
        <f>IF(AND($O3914=$Q$7,$B3914&lt;'111'!$L$11),"x","")</f>
        <v>x</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1" ht="15.75" customHeight="1">
      <c r="A3915" s="323" t="str">
        <f>IF(B3915&lt;&gt;"",IF(AND(B3915='IN-TC'!$S$4,OR(TH!N3861="1111",TH!O3861="1111")),TH!D3861,""),"")</f>
        <v/>
      </c>
      <c r="B3915" s="63">
        <f t="shared" si="253"/>
        <v>10</v>
      </c>
      <c r="C3915" s="64">
        <v>42656</v>
      </c>
      <c r="D3915" s="64" t="s">
        <v>875</v>
      </c>
      <c r="E3915" s="64">
        <f t="shared" si="256"/>
        <v>42656</v>
      </c>
      <c r="F3915" s="72" t="s">
        <v>1335</v>
      </c>
      <c r="G3915" s="931" t="s">
        <v>2078</v>
      </c>
      <c r="H3915" s="72" t="s">
        <v>606</v>
      </c>
      <c r="I3915" s="408"/>
      <c r="J3915" s="408"/>
      <c r="K3915" s="399"/>
      <c r="L3915" s="408"/>
      <c r="M3915" s="65">
        <v>884091</v>
      </c>
      <c r="N3915" s="66" t="s">
        <v>9</v>
      </c>
      <c r="O3915" s="66" t="s">
        <v>61</v>
      </c>
      <c r="P3915" s="82" t="str">
        <f>IF(AND('331-CT'!$E$7=TH!H3915,OR(N3915="331",O3915="331")),"x","")</f>
        <v/>
      </c>
      <c r="Q3915" s="82" t="str">
        <f>IF(AND(B3915='111'!$L$11,OR($N3915=$Q$7,$O3915=$Q$7)),"x","")</f>
        <v/>
      </c>
      <c r="R3915" s="82" t="str">
        <f>IF(AND($N3915=$Q$7,$B3915&lt;'111'!$L$11),"x","")</f>
        <v/>
      </c>
      <c r="S3915" s="82" t="str">
        <f>IF(AND($O3915=$Q$7,$B3915&lt;'111'!$L$11),"x","")</f>
        <v>x</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x</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1" ht="15.75" customHeight="1">
      <c r="A3916" s="323" t="str">
        <f>IF(B3916&lt;&gt;"",IF(AND(B3916='IN-TC'!$S$4,OR(TH!N3862="1111",TH!O3862="1111")),TH!D3862,""),"")</f>
        <v>C14</v>
      </c>
      <c r="B3916" s="63">
        <f t="shared" si="253"/>
        <v>10</v>
      </c>
      <c r="C3916" s="1092">
        <v>42657</v>
      </c>
      <c r="D3916" s="1092" t="s">
        <v>876</v>
      </c>
      <c r="E3916" s="1092">
        <f t="shared" si="256"/>
        <v>42657</v>
      </c>
      <c r="F3916" s="482" t="s">
        <v>947</v>
      </c>
      <c r="G3916" s="1094"/>
      <c r="H3916" s="1093" t="s">
        <v>3001</v>
      </c>
      <c r="I3916" s="1095"/>
      <c r="J3916" s="1095"/>
      <c r="K3916" s="1096"/>
      <c r="L3916" s="1095"/>
      <c r="M3916" s="1097">
        <v>800000000</v>
      </c>
      <c r="N3916" s="1098" t="s">
        <v>266</v>
      </c>
      <c r="O3916" s="1098" t="s">
        <v>61</v>
      </c>
      <c r="P3916" s="82" t="str">
        <f>IF(AND('331-CT'!$E$7=TH!H3916,OR(N3916="331",O3916="331")),"x","")</f>
        <v/>
      </c>
      <c r="Q3916" s="82" t="str">
        <f>IF(AND(B3916='111'!$L$11,OR($N3916=$Q$7,$O3916=$Q$7)),"x","")</f>
        <v/>
      </c>
      <c r="R3916" s="82" t="str">
        <f>IF(AND($N3916=$Q$7,$B3916&lt;'111'!$L$11),"x","")</f>
        <v/>
      </c>
      <c r="S3916" s="82" t="str">
        <f>IF(AND($O3916=$Q$7,$B3916&lt;'111'!$L$11),"x","")</f>
        <v>x</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1" ht="15.75" customHeight="1">
      <c r="A3917" s="323" t="str">
        <f>IF(B3917&lt;&gt;"",IF(AND(B3917='IN-TC'!$S$4,OR(TH!N3908="1111",TH!O3908="1111")),TH!D3908,""),"")</f>
        <v/>
      </c>
      <c r="B3917" s="63">
        <f t="shared" si="253"/>
        <v>10</v>
      </c>
      <c r="C3917" s="64">
        <v>42658</v>
      </c>
      <c r="D3917" s="64" t="s">
        <v>690</v>
      </c>
      <c r="E3917" s="64">
        <f t="shared" si="256"/>
        <v>42658</v>
      </c>
      <c r="F3917" s="72" t="s">
        <v>1767</v>
      </c>
      <c r="G3917" s="67" t="s">
        <v>901</v>
      </c>
      <c r="H3917" s="72" t="s">
        <v>1650</v>
      </c>
      <c r="I3917" s="408"/>
      <c r="J3917" s="408"/>
      <c r="K3917" s="399">
        <v>206.79</v>
      </c>
      <c r="L3917" s="408">
        <v>22335</v>
      </c>
      <c r="M3917" s="65">
        <f>ROUND(K3917*L3917,0)</f>
        <v>4618655</v>
      </c>
      <c r="N3917" s="66" t="s">
        <v>97</v>
      </c>
      <c r="O3917" s="66" t="s">
        <v>25</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1" ht="15.75" customHeight="1">
      <c r="A3918" s="323" t="str">
        <f>IF(B3918&lt;&gt;"",IF(AND(B3918='IN-TC'!$S$4,OR(TH!N3909="1111",TH!O3909="1111")),TH!D3909,""),"")</f>
        <v/>
      </c>
      <c r="B3918" s="63">
        <f t="shared" si="253"/>
        <v>10</v>
      </c>
      <c r="C3918" s="64">
        <v>42658</v>
      </c>
      <c r="D3918" s="64" t="s">
        <v>690</v>
      </c>
      <c r="E3918" s="64">
        <f t="shared" si="256"/>
        <v>42658</v>
      </c>
      <c r="F3918" s="72" t="s">
        <v>1767</v>
      </c>
      <c r="G3918" s="67" t="s">
        <v>901</v>
      </c>
      <c r="H3918" s="72" t="s">
        <v>1652</v>
      </c>
      <c r="I3918" s="408"/>
      <c r="J3918" s="408"/>
      <c r="K3918" s="399">
        <v>277.08</v>
      </c>
      <c r="L3918" s="408">
        <v>22335</v>
      </c>
      <c r="M3918" s="65">
        <f>ROUND(K3918*L3918,0)</f>
        <v>6188582</v>
      </c>
      <c r="N3918" s="66" t="s">
        <v>97</v>
      </c>
      <c r="O3918" s="66" t="s">
        <v>25</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1" ht="15.75" customHeight="1">
      <c r="A3919" s="323" t="str">
        <f>IF(B3919&lt;&gt;"",IF(AND(B3919='IN-TC'!$S$4,OR(TH!N3910="1111",TH!O3910="1111")),TH!D3910,""),"")</f>
        <v>C21</v>
      </c>
      <c r="B3919" s="63">
        <f t="shared" si="253"/>
        <v>10</v>
      </c>
      <c r="C3919" s="64">
        <v>42658</v>
      </c>
      <c r="D3919" s="64" t="s">
        <v>690</v>
      </c>
      <c r="E3919" s="64">
        <f t="shared" si="256"/>
        <v>42658</v>
      </c>
      <c r="F3919" s="72" t="s">
        <v>1767</v>
      </c>
      <c r="G3919" s="67" t="s">
        <v>901</v>
      </c>
      <c r="H3919" s="72" t="s">
        <v>1877</v>
      </c>
      <c r="I3919" s="408"/>
      <c r="J3919" s="408"/>
      <c r="K3919" s="399">
        <v>107.5</v>
      </c>
      <c r="L3919" s="408">
        <v>22335</v>
      </c>
      <c r="M3919" s="65">
        <f>ROUND(K3919*L3919,0)</f>
        <v>2401013</v>
      </c>
      <c r="N3919" s="66" t="s">
        <v>97</v>
      </c>
      <c r="O3919" s="66" t="s">
        <v>25</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1" ht="15.75" customHeight="1">
      <c r="A3920" s="323" t="str">
        <f>IF(B3920&lt;&gt;"",IF(AND(B3920='IN-TC'!$S$4,OR(TH!N3911="1111",TH!O3911="1111")),TH!D3911,""),"")</f>
        <v>C22</v>
      </c>
      <c r="B3920" s="63">
        <f t="shared" si="253"/>
        <v>10</v>
      </c>
      <c r="C3920" s="64">
        <v>42658</v>
      </c>
      <c r="D3920" s="64" t="s">
        <v>690</v>
      </c>
      <c r="E3920" s="64">
        <f t="shared" si="256"/>
        <v>42658</v>
      </c>
      <c r="F3920" s="72" t="s">
        <v>1767</v>
      </c>
      <c r="G3920" s="67" t="s">
        <v>901</v>
      </c>
      <c r="H3920" s="72" t="s">
        <v>1880</v>
      </c>
      <c r="I3920" s="408"/>
      <c r="J3920" s="408"/>
      <c r="K3920" s="399">
        <v>130.75</v>
      </c>
      <c r="L3920" s="408">
        <v>22335</v>
      </c>
      <c r="M3920" s="65">
        <f>ROUND(K3920*L3920,0)</f>
        <v>2920301</v>
      </c>
      <c r="N3920" s="66" t="s">
        <v>97</v>
      </c>
      <c r="O3920" s="66" t="s">
        <v>25</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customHeight="1">
      <c r="A3921" s="323" t="str">
        <f>IF(B3921&lt;&gt;"",IF(AND(B3921='IN-TC'!$S$4,OR(TH!N3863="1111",TH!O3863="1111")),TH!D3863,""),"")</f>
        <v>C15</v>
      </c>
      <c r="B3921" s="63">
        <f t="shared" si="253"/>
        <v>10</v>
      </c>
      <c r="C3921" s="64">
        <v>42659</v>
      </c>
      <c r="D3921" s="64" t="s">
        <v>877</v>
      </c>
      <c r="E3921" s="64">
        <f t="shared" si="256"/>
        <v>42659</v>
      </c>
      <c r="F3921" s="72" t="s">
        <v>2030</v>
      </c>
      <c r="G3921" s="931" t="s">
        <v>2079</v>
      </c>
      <c r="H3921" s="72" t="s">
        <v>792</v>
      </c>
      <c r="I3921" s="408"/>
      <c r="J3921" s="408"/>
      <c r="K3921" s="399"/>
      <c r="L3921" s="408"/>
      <c r="M3921" s="65">
        <v>3001255</v>
      </c>
      <c r="N3921" s="66" t="s">
        <v>99</v>
      </c>
      <c r="O3921" s="66" t="s">
        <v>61</v>
      </c>
      <c r="P3921" s="82" t="str">
        <f>IF(AND('331-CT'!$E$7=TH!H3921,OR(N3921="331",O3921="331")),"x","")</f>
        <v/>
      </c>
      <c r="Q3921" s="82" t="str">
        <f>IF(AND(B3921='111'!$L$11,OR($N3921=$Q$7,$O3921=$Q$7)),"x","")</f>
        <v/>
      </c>
      <c r="R3921" s="82" t="str">
        <f>IF(AND($N3921=$Q$7,$B3921&lt;'111'!$L$11),"x","")</f>
        <v/>
      </c>
      <c r="S3921" s="82" t="str">
        <f>IF(AND($O3921=$Q$7,$B3921&lt;'111'!$L$11),"x","")</f>
        <v>x</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customHeight="1">
      <c r="A3922" s="323" t="str">
        <f>IF(B3922&lt;&gt;"",IF(AND(B3922='IN-TC'!$S$4,OR(TH!N3864="1111",TH!O3864="1111")),TH!D3864,""),"")</f>
        <v>C15</v>
      </c>
      <c r="B3922" s="63">
        <f t="shared" si="253"/>
        <v>10</v>
      </c>
      <c r="C3922" s="64">
        <v>42659</v>
      </c>
      <c r="D3922" s="64" t="s">
        <v>877</v>
      </c>
      <c r="E3922" s="64">
        <f t="shared" si="256"/>
        <v>42659</v>
      </c>
      <c r="F3922" s="72" t="s">
        <v>2031</v>
      </c>
      <c r="G3922" s="931" t="s">
        <v>2079</v>
      </c>
      <c r="H3922" s="72" t="s">
        <v>792</v>
      </c>
      <c r="I3922" s="408"/>
      <c r="J3922" s="408"/>
      <c r="K3922" s="399"/>
      <c r="L3922" s="408"/>
      <c r="M3922" s="65">
        <v>300125</v>
      </c>
      <c r="N3922" s="66" t="s">
        <v>9</v>
      </c>
      <c r="O3922" s="66" t="s">
        <v>61</v>
      </c>
      <c r="P3922" s="82" t="str">
        <f>IF(AND('331-CT'!$E$7=TH!H3922,OR(N3922="331",O3922="331")),"x","")</f>
        <v/>
      </c>
      <c r="Q3922" s="82" t="str">
        <f>IF(AND(B3922='111'!$L$11,OR($N3922=$Q$7,$O3922=$Q$7)),"x","")</f>
        <v/>
      </c>
      <c r="R3922" s="82" t="str">
        <f>IF(AND($N3922=$Q$7,$B3922&lt;'111'!$L$11),"x","")</f>
        <v/>
      </c>
      <c r="S3922" s="82" t="str">
        <f>IF(AND($O3922=$Q$7,$B3922&lt;'111'!$L$11),"x","")</f>
        <v>x</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x</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customHeight="1">
      <c r="A3923" s="323" t="str">
        <f>IF(B3923&lt;&gt;"",IF(AND(B3923='IN-TC'!$S$4,OR(TH!N3865="1111",TH!O3865="1111")),TH!D3865,""),"")</f>
        <v>C16</v>
      </c>
      <c r="B3923" s="63">
        <f t="shared" si="253"/>
        <v>10</v>
      </c>
      <c r="C3923" s="1092">
        <v>42660</v>
      </c>
      <c r="D3923" s="1092" t="s">
        <v>878</v>
      </c>
      <c r="E3923" s="1092">
        <f t="shared" si="256"/>
        <v>42660</v>
      </c>
      <c r="F3923" s="482" t="s">
        <v>947</v>
      </c>
      <c r="G3923" s="1094"/>
      <c r="H3923" s="1093" t="s">
        <v>3001</v>
      </c>
      <c r="I3923" s="1095"/>
      <c r="J3923" s="1095"/>
      <c r="K3923" s="1096"/>
      <c r="L3923" s="1095"/>
      <c r="M3923" s="1097">
        <v>750000000</v>
      </c>
      <c r="N3923" s="1098" t="s">
        <v>266</v>
      </c>
      <c r="O3923" s="1098" t="s">
        <v>61</v>
      </c>
      <c r="P3923" s="82" t="str">
        <f>IF(AND('331-CT'!$E$7=TH!H3923,OR(N3923="331",O3923="331")),"x","")</f>
        <v/>
      </c>
      <c r="Q3923" s="82" t="str">
        <f>IF(AND(B3923='111'!$L$11,OR($N3923=$Q$7,$O3923=$Q$7)),"x","")</f>
        <v/>
      </c>
      <c r="R3923" s="82" t="str">
        <f>IF(AND($N3923=$Q$7,$B3923&lt;'111'!$L$11),"x","")</f>
        <v/>
      </c>
      <c r="S3923" s="82" t="str">
        <f>IF(AND($O3923=$Q$7,$B3923&lt;'111'!$L$11),"x","")</f>
        <v>x</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customHeight="1">
      <c r="A3924" s="323" t="str">
        <f>IF(B3924&lt;&gt;"",IF(AND(B3924='IN-TC'!$S$4,OR(TH!N3946="1111",TH!O3946="1111")),TH!D3946,""),"")</f>
        <v/>
      </c>
      <c r="B3924" s="63">
        <f t="shared" si="253"/>
        <v>10</v>
      </c>
      <c r="C3924" s="64">
        <v>42660</v>
      </c>
      <c r="D3924" s="64" t="s">
        <v>687</v>
      </c>
      <c r="E3924" s="64">
        <f t="shared" si="256"/>
        <v>42660</v>
      </c>
      <c r="F3924" s="72" t="s">
        <v>1436</v>
      </c>
      <c r="G3924" s="67" t="s">
        <v>1544</v>
      </c>
      <c r="H3924" s="72" t="s">
        <v>1875</v>
      </c>
      <c r="I3924" s="408"/>
      <c r="J3924" s="408"/>
      <c r="K3924" s="399">
        <v>100626</v>
      </c>
      <c r="L3924" s="408">
        <v>22270</v>
      </c>
      <c r="M3924" s="65">
        <f>ROUND(K3924*L3924,0)</f>
        <v>2240941020</v>
      </c>
      <c r="N3924" s="66" t="s">
        <v>260</v>
      </c>
      <c r="O3924" s="66" t="s">
        <v>576</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customHeight="1">
      <c r="A3925" s="323" t="str">
        <f>IF(B3925&lt;&gt;"",IF(AND(B3925='IN-TC'!$S$4,OR(TH!N4003="1111",TH!O4003="1111")),TH!D4003,""),"")</f>
        <v>C45</v>
      </c>
      <c r="B3925" s="63">
        <f t="shared" si="253"/>
        <v>10</v>
      </c>
      <c r="C3925" s="64">
        <v>42660</v>
      </c>
      <c r="D3925" s="64" t="s">
        <v>687</v>
      </c>
      <c r="E3925" s="64">
        <f t="shared" si="256"/>
        <v>42660</v>
      </c>
      <c r="F3925" s="72" t="s">
        <v>2142</v>
      </c>
      <c r="G3925" s="67" t="s">
        <v>1544</v>
      </c>
      <c r="H3925" s="72" t="s">
        <v>2170</v>
      </c>
      <c r="I3925" s="408"/>
      <c r="J3925" s="408"/>
      <c r="K3925" s="399">
        <v>96000</v>
      </c>
      <c r="L3925" s="408">
        <v>22301</v>
      </c>
      <c r="M3925" s="65">
        <v>2140896000</v>
      </c>
      <c r="N3925" s="66" t="s">
        <v>25</v>
      </c>
      <c r="O3925" s="66" t="s">
        <v>254</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x</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customHeight="1">
      <c r="A3926" s="323" t="str">
        <f>IF(B3926&lt;&gt;"",IF(AND(B3926='IN-TC'!$S$4,OR(TH!N3947="1111",TH!O3947="1111")),TH!D3947,""),"")</f>
        <v/>
      </c>
      <c r="B3926" s="63">
        <f t="shared" si="253"/>
        <v>10</v>
      </c>
      <c r="C3926" s="64">
        <v>42660</v>
      </c>
      <c r="D3926" s="64" t="s">
        <v>690</v>
      </c>
      <c r="E3926" s="64">
        <f t="shared" si="256"/>
        <v>42660</v>
      </c>
      <c r="F3926" s="72" t="s">
        <v>1425</v>
      </c>
      <c r="G3926" s="67" t="s">
        <v>1544</v>
      </c>
      <c r="H3926" s="72" t="s">
        <v>1780</v>
      </c>
      <c r="I3926" s="408"/>
      <c r="J3926" s="408"/>
      <c r="K3926" s="399">
        <v>100000</v>
      </c>
      <c r="L3926" s="408">
        <v>22300</v>
      </c>
      <c r="M3926" s="65">
        <f>ROUND(K3926*L3926,0)</f>
        <v>2230000000</v>
      </c>
      <c r="N3926" s="66" t="s">
        <v>25</v>
      </c>
      <c r="O3926" s="66" t="s">
        <v>260</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x</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customHeight="1">
      <c r="A3927" s="323" t="str">
        <f>IF(B3927&lt;&gt;"",IF(AND(B3927='IN-TC'!$S$4,OR(TH!N3948="1111",TH!O3948="1111")),TH!D3948,""),"")</f>
        <v/>
      </c>
      <c r="B3927" s="63">
        <f t="shared" si="253"/>
        <v>10</v>
      </c>
      <c r="C3927" s="64">
        <v>42660</v>
      </c>
      <c r="D3927" s="64" t="s">
        <v>690</v>
      </c>
      <c r="E3927" s="64">
        <f t="shared" si="256"/>
        <v>42660</v>
      </c>
      <c r="F3927" s="72" t="s">
        <v>1172</v>
      </c>
      <c r="G3927" s="67" t="s">
        <v>1544</v>
      </c>
      <c r="H3927" s="72" t="s">
        <v>1780</v>
      </c>
      <c r="I3927" s="408"/>
      <c r="J3927" s="408"/>
      <c r="K3927" s="399">
        <v>30.33</v>
      </c>
      <c r="L3927" s="408">
        <v>22290</v>
      </c>
      <c r="M3927" s="65">
        <f>ROUND(K3927*L3927,0)</f>
        <v>676056</v>
      </c>
      <c r="N3927" s="66" t="s">
        <v>99</v>
      </c>
      <c r="O3927" s="66" t="s">
        <v>260</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customHeight="1">
      <c r="A3928" s="323" t="str">
        <f>IF(B3928&lt;&gt;"",IF(AND(B3928='IN-TC'!$S$4,OR(TH!N3999="1111",TH!O3999="1111")),TH!D3999,""),"")</f>
        <v>C43</v>
      </c>
      <c r="B3928" s="63">
        <f t="shared" si="253"/>
        <v>10</v>
      </c>
      <c r="C3928" s="64">
        <v>42660</v>
      </c>
      <c r="D3928" s="64" t="s">
        <v>690</v>
      </c>
      <c r="E3928" s="64">
        <f t="shared" si="256"/>
        <v>42660</v>
      </c>
      <c r="F3928" s="72" t="s">
        <v>2199</v>
      </c>
      <c r="G3928" s="67" t="s">
        <v>1544</v>
      </c>
      <c r="H3928" s="72" t="s">
        <v>1780</v>
      </c>
      <c r="I3928" s="408"/>
      <c r="J3928" s="408"/>
      <c r="K3928" s="399"/>
      <c r="L3928" s="408"/>
      <c r="M3928" s="65">
        <v>1236318</v>
      </c>
      <c r="N3928" s="66" t="s">
        <v>99</v>
      </c>
      <c r="O3928" s="66" t="s">
        <v>25</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x</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customHeight="1">
      <c r="A3929" s="323" t="str">
        <f>IF(B3929&lt;&gt;"",IF(AND(B3929='IN-TC'!$S$4,OR(TH!N4000="1111",TH!O4000="1111")),TH!D4000,""),"")</f>
        <v>C44</v>
      </c>
      <c r="B3929" s="63">
        <f t="shared" si="253"/>
        <v>10</v>
      </c>
      <c r="C3929" s="64">
        <v>42660</v>
      </c>
      <c r="D3929" s="64" t="s">
        <v>690</v>
      </c>
      <c r="E3929" s="64">
        <f t="shared" si="256"/>
        <v>42660</v>
      </c>
      <c r="F3929" s="72" t="s">
        <v>1172</v>
      </c>
      <c r="G3929" s="67" t="s">
        <v>1544</v>
      </c>
      <c r="H3929" s="72" t="s">
        <v>1780</v>
      </c>
      <c r="I3929" s="408"/>
      <c r="J3929" s="408"/>
      <c r="K3929" s="399"/>
      <c r="L3929" s="408"/>
      <c r="M3929" s="65">
        <v>223400</v>
      </c>
      <c r="N3929" s="66" t="s">
        <v>99</v>
      </c>
      <c r="O3929" s="66" t="s">
        <v>25</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x</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customHeight="1">
      <c r="A3930" s="323" t="str">
        <f>IF(B3930&lt;&gt;"",IF(AND(B3930='IN-TC'!$S$4,OR(TH!N4001="1111",TH!O4001="1111")),TH!D4001,""),"")</f>
        <v>C44</v>
      </c>
      <c r="B3930" s="63">
        <f t="shared" si="253"/>
        <v>10</v>
      </c>
      <c r="C3930" s="64">
        <v>42660</v>
      </c>
      <c r="D3930" s="64" t="s">
        <v>690</v>
      </c>
      <c r="E3930" s="64">
        <f t="shared" si="256"/>
        <v>42660</v>
      </c>
      <c r="F3930" s="72" t="s">
        <v>2149</v>
      </c>
      <c r="G3930" s="67" t="s">
        <v>1544</v>
      </c>
      <c r="H3930" s="922" t="s">
        <v>1860</v>
      </c>
      <c r="I3930" s="408"/>
      <c r="J3930" s="408"/>
      <c r="K3930" s="399">
        <v>97000</v>
      </c>
      <c r="L3930" s="408">
        <v>22308</v>
      </c>
      <c r="M3930" s="65">
        <f>ROUND(K3930*L3930,0)</f>
        <v>2163876000</v>
      </c>
      <c r="N3930" s="66" t="s">
        <v>254</v>
      </c>
      <c r="O3930" s="66" t="s">
        <v>25</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x</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customHeight="1">
      <c r="A3931" s="323" t="str">
        <f>IF(B3931&lt;&gt;"",IF(AND(B3931='IN-TC'!$S$4,OR(TH!N4002="1111",TH!O4002="1111")),TH!D4002,""),"")</f>
        <v>C45</v>
      </c>
      <c r="B3931" s="63">
        <f t="shared" si="253"/>
        <v>10</v>
      </c>
      <c r="C3931" s="64">
        <v>42660</v>
      </c>
      <c r="D3931" s="64" t="s">
        <v>690</v>
      </c>
      <c r="E3931" s="64">
        <f t="shared" si="256"/>
        <v>42660</v>
      </c>
      <c r="F3931" s="72" t="s">
        <v>2168</v>
      </c>
      <c r="G3931" s="67" t="s">
        <v>1544</v>
      </c>
      <c r="H3931" s="922"/>
      <c r="I3931" s="408"/>
      <c r="J3931" s="408"/>
      <c r="K3931" s="399"/>
      <c r="L3931" s="408"/>
      <c r="M3931" s="65">
        <v>11316518</v>
      </c>
      <c r="N3931" s="66" t="s">
        <v>97</v>
      </c>
      <c r="O3931" s="66" t="s">
        <v>25</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x</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customHeight="1">
      <c r="A3932" s="323" t="str">
        <f>IF(B3932&lt;&gt;"",IF(AND(B3932='IN-TC'!$S$4,OR(TH!N3868="1111",TH!O3868="1111")),TH!D3868,""),"")</f>
        <v>C17</v>
      </c>
      <c r="B3932" s="63">
        <f t="shared" si="253"/>
        <v>10</v>
      </c>
      <c r="C3932" s="1092">
        <v>42661</v>
      </c>
      <c r="D3932" s="1092" t="s">
        <v>879</v>
      </c>
      <c r="E3932" s="1092">
        <f t="shared" si="256"/>
        <v>42661</v>
      </c>
      <c r="F3932" s="482" t="s">
        <v>947</v>
      </c>
      <c r="G3932" s="1094"/>
      <c r="H3932" s="1093" t="s">
        <v>3001</v>
      </c>
      <c r="I3932" s="1095"/>
      <c r="J3932" s="1095"/>
      <c r="K3932" s="1096"/>
      <c r="L3932" s="1095"/>
      <c r="M3932" s="1097">
        <v>800000000</v>
      </c>
      <c r="N3932" s="1098" t="s">
        <v>266</v>
      </c>
      <c r="O3932" s="1098" t="s">
        <v>61</v>
      </c>
      <c r="P3932" s="82" t="str">
        <f>IF(AND('331-CT'!$E$7=TH!H3932,OR(N3932="331",O3932="331")),"x","")</f>
        <v/>
      </c>
      <c r="Q3932" s="82" t="str">
        <f>IF(AND(B3932='111'!$L$11,OR($N3932=$Q$7,$O3932=$Q$7)),"x","")</f>
        <v/>
      </c>
      <c r="R3932" s="82" t="str">
        <f>IF(AND($N3932=$Q$7,$B3932&lt;'111'!$L$11),"x","")</f>
        <v/>
      </c>
      <c r="S3932" s="82" t="str">
        <f>IF(AND($O3932=$Q$7,$B3932&lt;'111'!$L$11),"x","")</f>
        <v>x</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customHeight="1">
      <c r="A3933" s="323" t="str">
        <f>IF(B3933&lt;&gt;"",IF(AND(B3933='IN-TC'!$S$4,OR(TH!N3870="1111",TH!O3870="1111")),TH!D3870,""),"")</f>
        <v/>
      </c>
      <c r="B3933" s="63">
        <f t="shared" si="253"/>
        <v>10</v>
      </c>
      <c r="C3933" s="64">
        <v>42661</v>
      </c>
      <c r="D3933" s="64" t="s">
        <v>880</v>
      </c>
      <c r="E3933" s="64">
        <f t="shared" si="256"/>
        <v>42661</v>
      </c>
      <c r="F3933" s="72" t="s">
        <v>1094</v>
      </c>
      <c r="G3933" s="931" t="s">
        <v>2114</v>
      </c>
      <c r="H3933" s="72" t="s">
        <v>792</v>
      </c>
      <c r="I3933" s="408"/>
      <c r="J3933" s="408"/>
      <c r="K3933" s="399"/>
      <c r="L3933" s="408"/>
      <c r="M3933" s="65">
        <v>932727</v>
      </c>
      <c r="N3933" s="66" t="s">
        <v>99</v>
      </c>
      <c r="O3933" s="66" t="s">
        <v>61</v>
      </c>
      <c r="P3933" s="82" t="str">
        <f>IF(AND('331-CT'!$E$7=TH!H3933,OR(N3933="331",O3933="331")),"x","")</f>
        <v/>
      </c>
      <c r="Q3933" s="82" t="str">
        <f>IF(AND(B3933='111'!$L$11,OR($N3933=$Q$7,$O3933=$Q$7)),"x","")</f>
        <v/>
      </c>
      <c r="R3933" s="82" t="str">
        <f>IF(AND($N3933=$Q$7,$B3933&lt;'111'!$L$11),"x","")</f>
        <v/>
      </c>
      <c r="S3933" s="82" t="str">
        <f>IF(AND($O3933=$Q$7,$B3933&lt;'111'!$L$11),"x","")</f>
        <v>x</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customHeight="1">
      <c r="A3934" s="323" t="str">
        <f>IF(B3934&lt;&gt;"",IF(AND(B3934='IN-TC'!$S$4,OR(TH!N3869="1111",TH!O3869="1111")),TH!D3869,""),"")</f>
        <v/>
      </c>
      <c r="B3934" s="63">
        <f t="shared" si="253"/>
        <v>10</v>
      </c>
      <c r="C3934" s="64">
        <v>42661</v>
      </c>
      <c r="D3934" s="64" t="s">
        <v>880</v>
      </c>
      <c r="E3934" s="64">
        <f t="shared" si="256"/>
        <v>42661</v>
      </c>
      <c r="F3934" s="72" t="s">
        <v>762</v>
      </c>
      <c r="G3934" s="931" t="s">
        <v>2114</v>
      </c>
      <c r="H3934" s="72" t="s">
        <v>792</v>
      </c>
      <c r="I3934" s="408"/>
      <c r="J3934" s="408"/>
      <c r="K3934" s="399"/>
      <c r="L3934" s="408"/>
      <c r="M3934" s="65">
        <v>93273</v>
      </c>
      <c r="N3934" s="66" t="s">
        <v>9</v>
      </c>
      <c r="O3934" s="66" t="s">
        <v>61</v>
      </c>
      <c r="P3934" s="82" t="str">
        <f>IF(AND('331-CT'!$E$7=TH!H3934,OR(N3934="331",O3934="331")),"x","")</f>
        <v/>
      </c>
      <c r="Q3934" s="82" t="str">
        <f>IF(AND(B3934='111'!$L$11,OR($N3934=$Q$7,$O3934=$Q$7)),"x","")</f>
        <v/>
      </c>
      <c r="R3934" s="82" t="str">
        <f>IF(AND($N3934=$Q$7,$B3934&lt;'111'!$L$11),"x","")</f>
        <v/>
      </c>
      <c r="S3934" s="82" t="str">
        <f>IF(AND($O3934=$Q$7,$B3934&lt;'111'!$L$11),"x","")</f>
        <v>x</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x</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customHeight="1">
      <c r="A3935" s="323" t="str">
        <f>IF(B3935&lt;&gt;"",IF(AND(B3935='IN-TC'!$S$4,OR(TH!N3871="1111",TH!O3871="1111")),TH!D3871,""),"")</f>
        <v/>
      </c>
      <c r="B3935" s="63">
        <f t="shared" si="253"/>
        <v>10</v>
      </c>
      <c r="C3935" s="64">
        <v>42661</v>
      </c>
      <c r="D3935" s="64" t="s">
        <v>881</v>
      </c>
      <c r="E3935" s="64">
        <f t="shared" si="256"/>
        <v>42661</v>
      </c>
      <c r="F3935" s="72" t="s">
        <v>1087</v>
      </c>
      <c r="G3935" s="67" t="s">
        <v>1544</v>
      </c>
      <c r="H3935" s="72" t="s">
        <v>748</v>
      </c>
      <c r="I3935" s="408"/>
      <c r="J3935" s="408"/>
      <c r="K3935" s="399"/>
      <c r="L3935" s="408"/>
      <c r="M3935" s="65">
        <v>200000000</v>
      </c>
      <c r="N3935" s="66" t="s">
        <v>25</v>
      </c>
      <c r="O3935" s="66" t="s">
        <v>61</v>
      </c>
      <c r="P3935" s="82" t="str">
        <f>IF(AND('331-CT'!$E$7=TH!H3935,OR(N3935="331",O3935="331")),"x","")</f>
        <v/>
      </c>
      <c r="Q3935" s="82" t="str">
        <f>IF(AND(B3935='111'!$L$11,OR($N3935=$Q$7,$O3935=$Q$7)),"x","")</f>
        <v/>
      </c>
      <c r="R3935" s="82" t="str">
        <f>IF(AND($N3935=$Q$7,$B3935&lt;'111'!$L$11),"x","")</f>
        <v/>
      </c>
      <c r="S3935" s="82" t="str">
        <f>IF(AND($O3935=$Q$7,$B3935&lt;'111'!$L$11),"x","")</f>
        <v>x</v>
      </c>
      <c r="T3935" s="82" t="str">
        <f>IF(ISERROR(FIND('112'!$M$9,G3935,1)),"",IF((AND(FIND('112'!$M$9,G3935,1)&gt;=1,B3935='112'!$K$9,OR($N3935='112'!$I$6,$O3935='112'!$I$6))),"x",""))</f>
        <v/>
      </c>
      <c r="U3935" s="82" t="str">
        <f>IF(ISERROR(FIND('112'!$M$9,G3935,1)),"",IF((AND(LEFT(G3935,2)=LEFT('112'!$M$9,2),B3935&lt;'112'!$K$9,$N3935='112'!$I$6)),"x",""))</f>
        <v>x</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customHeight="1">
      <c r="A3936" s="323" t="str">
        <f>IF(B3936&lt;&gt;"",IF(AND(B3936='IN-TC'!$S$4,OR(TH!N4004="1111",TH!O4004="1111")),TH!D4004,""),"")</f>
        <v>C46</v>
      </c>
      <c r="B3936" s="63">
        <f t="shared" si="253"/>
        <v>10</v>
      </c>
      <c r="C3936" s="64">
        <v>42661</v>
      </c>
      <c r="D3936" s="64" t="s">
        <v>690</v>
      </c>
      <c r="E3936" s="64">
        <f t="shared" si="256"/>
        <v>42661</v>
      </c>
      <c r="F3936" s="72" t="s">
        <v>2156</v>
      </c>
      <c r="G3936" s="67" t="s">
        <v>1544</v>
      </c>
      <c r="H3936" s="72" t="s">
        <v>1780</v>
      </c>
      <c r="I3936" s="408"/>
      <c r="J3936" s="408"/>
      <c r="K3936" s="399"/>
      <c r="L3936" s="408"/>
      <c r="M3936" s="65">
        <v>111700</v>
      </c>
      <c r="N3936" s="66" t="s">
        <v>99</v>
      </c>
      <c r="O3936" s="66" t="s">
        <v>25</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x</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1" ht="15.75" customHeight="1">
      <c r="A3937" s="323" t="str">
        <f>IF(B3937&lt;&gt;"",IF(AND(B3937='IN-TC'!$S$4,OR(TH!N3866="1111",TH!O3866="1111")),TH!D3866,""),"")</f>
        <v>C16</v>
      </c>
      <c r="B3937" s="63">
        <f t="shared" si="253"/>
        <v>10</v>
      </c>
      <c r="C3937" s="64">
        <v>42661</v>
      </c>
      <c r="D3937" s="64" t="s">
        <v>893</v>
      </c>
      <c r="E3937" s="64">
        <f t="shared" si="256"/>
        <v>42661</v>
      </c>
      <c r="F3937" s="72" t="s">
        <v>1126</v>
      </c>
      <c r="G3937" s="67" t="s">
        <v>1544</v>
      </c>
      <c r="H3937" s="72" t="s">
        <v>748</v>
      </c>
      <c r="I3937" s="408"/>
      <c r="J3937" s="408"/>
      <c r="K3937" s="399"/>
      <c r="L3937" s="408"/>
      <c r="M3937" s="65">
        <v>1000000000</v>
      </c>
      <c r="N3937" s="66" t="s">
        <v>61</v>
      </c>
      <c r="O3937" s="66" t="s">
        <v>25</v>
      </c>
      <c r="P3937" s="82" t="str">
        <f>IF(AND('331-CT'!$E$7=TH!H3937,OR(N3937="331",O3937="331")),"x","")</f>
        <v/>
      </c>
      <c r="Q3937" s="82" t="str">
        <f>IF(AND(B3937='111'!$L$11,OR($N3937=$Q$7,$O3937=$Q$7)),"x","")</f>
        <v/>
      </c>
      <c r="R3937" s="82" t="str">
        <f>IF(AND($N3937=$Q$7,$B3937&lt;'111'!$L$11),"x","")</f>
        <v>x</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x</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1" ht="15.75" customHeight="1">
      <c r="A3938" s="323" t="str">
        <f>IF(B3938&lt;&gt;"",IF(AND(B3938='IN-TC'!$S$4,OR(TH!N3867="1111",TH!O3867="1111")),TH!D3867,""),"")</f>
        <v>C17</v>
      </c>
      <c r="B3938" s="63">
        <f t="shared" si="253"/>
        <v>10</v>
      </c>
      <c r="C3938" s="64">
        <v>42661</v>
      </c>
      <c r="D3938" s="64" t="s">
        <v>900</v>
      </c>
      <c r="E3938" s="64">
        <f t="shared" si="256"/>
        <v>42661</v>
      </c>
      <c r="F3938" s="72" t="s">
        <v>1126</v>
      </c>
      <c r="G3938" s="67" t="s">
        <v>1544</v>
      </c>
      <c r="H3938" s="72" t="s">
        <v>748</v>
      </c>
      <c r="I3938" s="408"/>
      <c r="J3938" s="408"/>
      <c r="K3938" s="399"/>
      <c r="L3938" s="408"/>
      <c r="M3938" s="65">
        <v>1190000000</v>
      </c>
      <c r="N3938" s="66" t="s">
        <v>61</v>
      </c>
      <c r="O3938" s="66" t="s">
        <v>25</v>
      </c>
      <c r="P3938" s="82" t="str">
        <f>IF(AND('331-CT'!$E$7=TH!H3938,OR(N3938="331",O3938="331")),"x","")</f>
        <v/>
      </c>
      <c r="Q3938" s="82" t="str">
        <f>IF(AND(B3938='111'!$L$11,OR($N3938=$Q$7,$O3938=$Q$7)),"x","")</f>
        <v/>
      </c>
      <c r="R3938" s="82" t="str">
        <f>IF(AND($N3938=$Q$7,$B3938&lt;'111'!$L$11),"x","")</f>
        <v>x</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x</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1" ht="15.75" customHeight="1">
      <c r="A3939" s="323" t="str">
        <f>IF(B3939&lt;&gt;"",IF(AND(B3939='IN-TC'!$S$4,OR(TH!N3872="1111",TH!O3872="1111")),TH!D3872,""),"")</f>
        <v/>
      </c>
      <c r="B3939" s="63">
        <f t="shared" si="253"/>
        <v>10</v>
      </c>
      <c r="C3939" s="64">
        <v>42662</v>
      </c>
      <c r="D3939" s="64" t="s">
        <v>882</v>
      </c>
      <c r="E3939" s="64">
        <f t="shared" si="256"/>
        <v>42662</v>
      </c>
      <c r="F3939" s="72" t="s">
        <v>2080</v>
      </c>
      <c r="G3939" s="931" t="s">
        <v>2081</v>
      </c>
      <c r="H3939" s="72" t="s">
        <v>2082</v>
      </c>
      <c r="I3939" s="408"/>
      <c r="J3939" s="408"/>
      <c r="K3939" s="399"/>
      <c r="L3939" s="408"/>
      <c r="M3939" s="65">
        <v>500000</v>
      </c>
      <c r="N3939" s="66" t="s">
        <v>99</v>
      </c>
      <c r="O3939" s="66" t="s">
        <v>61</v>
      </c>
      <c r="P3939" s="82" t="str">
        <f>IF(AND('331-CT'!$E$7=TH!H3939,OR(N3939="331",O3939="331")),"x","")</f>
        <v/>
      </c>
      <c r="Q3939" s="82" t="str">
        <f>IF(AND(B3939='111'!$L$11,OR($N3939=$Q$7,$O3939=$Q$7)),"x","")</f>
        <v/>
      </c>
      <c r="R3939" s="82" t="str">
        <f>IF(AND($N3939=$Q$7,$B3939&lt;'111'!$L$11),"x","")</f>
        <v/>
      </c>
      <c r="S3939" s="82" t="str">
        <f>IF(AND($O3939=$Q$7,$B3939&lt;'111'!$L$11),"x","")</f>
        <v>x</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1" ht="15.75" customHeight="1">
      <c r="A3940" s="323" t="str">
        <f>IF(B3940&lt;&gt;"",IF(AND(B3940='IN-TC'!$S$4,OR(TH!N3873="1111",TH!O3873="1111")),TH!D3873,""),"")</f>
        <v/>
      </c>
      <c r="B3940" s="63">
        <f t="shared" si="253"/>
        <v>10</v>
      </c>
      <c r="C3940" s="64">
        <v>42662</v>
      </c>
      <c r="D3940" s="64" t="s">
        <v>883</v>
      </c>
      <c r="E3940" s="64">
        <f t="shared" si="256"/>
        <v>42662</v>
      </c>
      <c r="F3940" s="72" t="s">
        <v>1122</v>
      </c>
      <c r="G3940" s="931" t="s">
        <v>2083</v>
      </c>
      <c r="H3940" s="72" t="s">
        <v>803</v>
      </c>
      <c r="I3940" s="408"/>
      <c r="J3940" s="408"/>
      <c r="K3940" s="399"/>
      <c r="L3940" s="408"/>
      <c r="M3940" s="65">
        <v>3157140</v>
      </c>
      <c r="N3940" s="66" t="s">
        <v>99</v>
      </c>
      <c r="O3940" s="66" t="s">
        <v>61</v>
      </c>
      <c r="P3940" s="82" t="str">
        <f>IF(AND('331-CT'!$E$7=TH!H3940,OR(N3940="331",O3940="331")),"x","")</f>
        <v/>
      </c>
      <c r="Q3940" s="82" t="str">
        <f>IF(AND(B3940='111'!$L$11,OR($N3940=$Q$7,$O3940=$Q$7)),"x","")</f>
        <v/>
      </c>
      <c r="R3940" s="82" t="str">
        <f>IF(AND($N3940=$Q$7,$B3940&lt;'111'!$L$11),"x","")</f>
        <v/>
      </c>
      <c r="S3940" s="82" t="str">
        <f>IF(AND($O3940=$Q$7,$B3940&lt;'111'!$L$11),"x","")</f>
        <v>x</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1" ht="15.75" customHeight="1">
      <c r="A3941" s="323" t="str">
        <f>IF(B3941&lt;&gt;"",IF(AND(B3941='IN-TC'!$S$4,OR(TH!N3874="1111",TH!O3874="1111")),TH!D3874,""),"")</f>
        <v/>
      </c>
      <c r="B3941" s="63">
        <f t="shared" si="253"/>
        <v>10</v>
      </c>
      <c r="C3941" s="64">
        <v>42662</v>
      </c>
      <c r="D3941" s="64" t="s">
        <v>883</v>
      </c>
      <c r="E3941" s="64">
        <f t="shared" si="256"/>
        <v>42662</v>
      </c>
      <c r="F3941" s="72" t="s">
        <v>1123</v>
      </c>
      <c r="G3941" s="931" t="s">
        <v>2083</v>
      </c>
      <c r="H3941" s="72" t="s">
        <v>803</v>
      </c>
      <c r="I3941" s="408"/>
      <c r="J3941" s="408"/>
      <c r="K3941" s="399"/>
      <c r="L3941" s="408"/>
      <c r="M3941" s="65">
        <v>315714</v>
      </c>
      <c r="N3941" s="66" t="s">
        <v>9</v>
      </c>
      <c r="O3941" s="66" t="s">
        <v>61</v>
      </c>
      <c r="P3941" s="82" t="str">
        <f>IF(AND('331-CT'!$E$7=TH!H3941,OR(N3941="331",O3941="331")),"x","")</f>
        <v/>
      </c>
      <c r="Q3941" s="82" t="str">
        <f>IF(AND(B3941='111'!$L$11,OR($N3941=$Q$7,$O3941=$Q$7)),"x","")</f>
        <v/>
      </c>
      <c r="R3941" s="82" t="str">
        <f>IF(AND($N3941=$Q$7,$B3941&lt;'111'!$L$11),"x","")</f>
        <v/>
      </c>
      <c r="S3941" s="82" t="str">
        <f>IF(AND($O3941=$Q$7,$B3941&lt;'111'!$L$11),"x","")</f>
        <v>x</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x</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1" ht="15.75" customHeight="1">
      <c r="A3942" s="323" t="str">
        <f>IF(B3942&lt;&gt;"",IF(AND(B3942='IN-TC'!$S$4,OR(TH!N3875="1111",TH!O3875="1111")),TH!D3875,""),"")</f>
        <v/>
      </c>
      <c r="B3942" s="63">
        <f t="shared" si="253"/>
        <v>10</v>
      </c>
      <c r="C3942" s="64">
        <v>42662</v>
      </c>
      <c r="D3942" s="64" t="s">
        <v>884</v>
      </c>
      <c r="E3942" s="64">
        <f t="shared" si="256"/>
        <v>42662</v>
      </c>
      <c r="F3942" s="72" t="s">
        <v>2030</v>
      </c>
      <c r="G3942" s="931" t="s">
        <v>2115</v>
      </c>
      <c r="H3942" s="72" t="s">
        <v>792</v>
      </c>
      <c r="I3942" s="408"/>
      <c r="J3942" s="408"/>
      <c r="K3942" s="399"/>
      <c r="L3942" s="408"/>
      <c r="M3942" s="65">
        <v>1532455</v>
      </c>
      <c r="N3942" s="66" t="s">
        <v>99</v>
      </c>
      <c r="O3942" s="66" t="s">
        <v>61</v>
      </c>
      <c r="P3942" s="82" t="str">
        <f>IF(AND('331-CT'!$E$7=TH!H3942,OR(N3942="331",O3942="331")),"x","")</f>
        <v/>
      </c>
      <c r="Q3942" s="82" t="str">
        <f>IF(AND(B3942='111'!$L$11,OR($N3942=$Q$7,$O3942=$Q$7)),"x","")</f>
        <v/>
      </c>
      <c r="R3942" s="82" t="str">
        <f>IF(AND($N3942=$Q$7,$B3942&lt;'111'!$L$11),"x","")</f>
        <v/>
      </c>
      <c r="S3942" s="82" t="str">
        <f>IF(AND($O3942=$Q$7,$B3942&lt;'111'!$L$11),"x","")</f>
        <v>x</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1" ht="15.75" customHeight="1">
      <c r="A3943" s="323" t="str">
        <f>IF(B3943&lt;&gt;"",IF(AND(B3943='IN-TC'!$S$4,OR(TH!N3876="1111",TH!O3876="1111")),TH!D3876,""),"")</f>
        <v/>
      </c>
      <c r="B3943" s="63">
        <f t="shared" si="253"/>
        <v>10</v>
      </c>
      <c r="C3943" s="64">
        <v>42662</v>
      </c>
      <c r="D3943" s="64" t="s">
        <v>884</v>
      </c>
      <c r="E3943" s="64">
        <f t="shared" si="256"/>
        <v>42662</v>
      </c>
      <c r="F3943" s="72" t="s">
        <v>2031</v>
      </c>
      <c r="G3943" s="931" t="s">
        <v>2115</v>
      </c>
      <c r="H3943" s="72" t="s">
        <v>792</v>
      </c>
      <c r="I3943" s="408"/>
      <c r="J3943" s="408"/>
      <c r="K3943" s="399"/>
      <c r="L3943" s="408"/>
      <c r="M3943" s="65">
        <v>153245</v>
      </c>
      <c r="N3943" s="66" t="s">
        <v>9</v>
      </c>
      <c r="O3943" s="66" t="s">
        <v>61</v>
      </c>
      <c r="P3943" s="82" t="str">
        <f>IF(AND('331-CT'!$E$7=TH!H3943,OR(N3943="331",O3943="331")),"x","")</f>
        <v/>
      </c>
      <c r="Q3943" s="82" t="str">
        <f>IF(AND(B3943='111'!$L$11,OR($N3943=$Q$7,$O3943=$Q$7)),"x","")</f>
        <v/>
      </c>
      <c r="R3943" s="82" t="str">
        <f>IF(AND($N3943=$Q$7,$B3943&lt;'111'!$L$11),"x","")</f>
        <v/>
      </c>
      <c r="S3943" s="82" t="str">
        <f>IF(AND($O3943=$Q$7,$B3943&lt;'111'!$L$11),"x","")</f>
        <v>x</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x</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1" ht="15.75" customHeight="1">
      <c r="A3944" s="323" t="str">
        <f>IF(B3944&lt;&gt;"",IF(AND(B3944='IN-TC'!$S$4,OR(TH!N2133="1111",TH!O2133="1111")),TH!D2133,""),"")</f>
        <v/>
      </c>
      <c r="B3944" s="63">
        <f t="shared" si="253"/>
        <v>12</v>
      </c>
      <c r="C3944" s="78">
        <v>42705</v>
      </c>
      <c r="D3944" s="78" t="s">
        <v>570</v>
      </c>
      <c r="E3944" s="78">
        <v>42704</v>
      </c>
      <c r="F3944" s="80" t="s">
        <v>2131</v>
      </c>
      <c r="G3944" s="934" t="s">
        <v>2664</v>
      </c>
      <c r="H3944" s="80" t="s">
        <v>1365</v>
      </c>
      <c r="I3944" s="406"/>
      <c r="J3944" s="406"/>
      <c r="K3944" s="397"/>
      <c r="L3944" s="406"/>
      <c r="M3944" s="81">
        <v>500427</v>
      </c>
      <c r="N3944" s="82" t="s">
        <v>9</v>
      </c>
      <c r="O3944" s="82" t="s">
        <v>8</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x</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c r="AE3944">
        <v>1</v>
      </c>
    </row>
    <row r="3945" spans="1:31" ht="15.75" customHeight="1">
      <c r="A3945" s="323" t="str">
        <f>IF(B3945&lt;&gt;"",IF(AND(B3945='IN-TC'!$S$4,OR(TH!N4006="1111",TH!O4006="1111")),TH!D4006,""),"")</f>
        <v>C48</v>
      </c>
      <c r="B3945" s="63">
        <f t="shared" si="253"/>
        <v>10</v>
      </c>
      <c r="C3945" s="64">
        <v>42662</v>
      </c>
      <c r="D3945" s="64" t="s">
        <v>690</v>
      </c>
      <c r="E3945" s="64">
        <f>C3945</f>
        <v>42662</v>
      </c>
      <c r="F3945" s="72" t="s">
        <v>2147</v>
      </c>
      <c r="G3945" s="67" t="s">
        <v>1544</v>
      </c>
      <c r="H3945" s="72" t="s">
        <v>1780</v>
      </c>
      <c r="I3945" s="408"/>
      <c r="J3945" s="408"/>
      <c r="K3945" s="399"/>
      <c r="L3945" s="408"/>
      <c r="M3945" s="65">
        <v>20000</v>
      </c>
      <c r="N3945" s="66" t="s">
        <v>99</v>
      </c>
      <c r="O3945" s="66" t="s">
        <v>25</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x</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1" ht="15.75" customHeight="1">
      <c r="A3946" s="323" t="str">
        <f>IF(B3946&lt;&gt;"",IF(AND(B3946='IN-TC'!$S$4,OR(TH!N4007="1111",TH!O4007="1111")),TH!D4007,""),"")</f>
        <v>C48</v>
      </c>
      <c r="B3946" s="63">
        <f t="shared" si="253"/>
        <v>10</v>
      </c>
      <c r="C3946" s="64">
        <v>42662</v>
      </c>
      <c r="D3946" s="64" t="s">
        <v>690</v>
      </c>
      <c r="E3946" s="64">
        <f>C3946</f>
        <v>42662</v>
      </c>
      <c r="F3946" s="72" t="s">
        <v>2148</v>
      </c>
      <c r="G3946" s="67" t="s">
        <v>1544</v>
      </c>
      <c r="H3946" s="72" t="s">
        <v>1780</v>
      </c>
      <c r="I3946" s="408"/>
      <c r="J3946" s="408"/>
      <c r="K3946" s="399"/>
      <c r="L3946" s="408"/>
      <c r="M3946" s="65">
        <v>2000</v>
      </c>
      <c r="N3946" s="66" t="s">
        <v>9</v>
      </c>
      <c r="O3946" s="66" t="s">
        <v>25</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x</v>
      </c>
      <c r="W3946" s="82" t="str">
        <f>IF(AND('341-CT'!$H$9=H3946,OR(LEFT(N3946,3)=$W$7,LEFT(O3946,3)=$W$7)),"x","")</f>
        <v/>
      </c>
      <c r="X3946" s="82" t="str">
        <f>IF(OR(TH!N3946=TH!$X$7,O3946=TH!$X$7),"x","")</f>
        <v>x</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1" ht="15.75" customHeight="1">
      <c r="A3947" s="323" t="str">
        <f>IF(B3947&lt;&gt;"",IF(AND(B3947='IN-TC'!$S$4,OR(TH!N4491="1111",TH!O4491="1111")),TH!D4491,""),"")</f>
        <v/>
      </c>
      <c r="B3947" s="63">
        <f t="shared" si="253"/>
        <v>12</v>
      </c>
      <c r="C3947" s="64">
        <v>42725</v>
      </c>
      <c r="D3947" s="64" t="s">
        <v>690</v>
      </c>
      <c r="E3947" s="64">
        <f>C3947</f>
        <v>42725</v>
      </c>
      <c r="F3947" s="72" t="s">
        <v>1532</v>
      </c>
      <c r="G3947" s="67" t="s">
        <v>901</v>
      </c>
      <c r="H3947" s="72" t="s">
        <v>1198</v>
      </c>
      <c r="I3947" s="408"/>
      <c r="J3947" s="408"/>
      <c r="K3947" s="399"/>
      <c r="L3947" s="408"/>
      <c r="M3947" s="65">
        <v>2010000000</v>
      </c>
      <c r="N3947" s="66" t="s">
        <v>8</v>
      </c>
      <c r="O3947" s="66" t="s">
        <v>25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1" ht="15.75" customHeight="1">
      <c r="A3948" s="323" t="str">
        <f>IF(B3948&lt;&gt;"",IF(AND(B3948='IN-TC'!$S$4,OR(TH!N4009="1111",TH!O4009="1111")),TH!D4009,""),"")</f>
        <v>C48</v>
      </c>
      <c r="B3948" s="63">
        <f t="shared" si="253"/>
        <v>10</v>
      </c>
      <c r="C3948" s="64">
        <v>42662</v>
      </c>
      <c r="D3948" s="64" t="s">
        <v>690</v>
      </c>
      <c r="E3948" s="64">
        <f>C3948</f>
        <v>42662</v>
      </c>
      <c r="F3948" s="72" t="s">
        <v>2147</v>
      </c>
      <c r="G3948" s="67" t="s">
        <v>1544</v>
      </c>
      <c r="H3948" s="72" t="s">
        <v>1780</v>
      </c>
      <c r="I3948" s="408"/>
      <c r="J3948" s="408"/>
      <c r="K3948" s="399"/>
      <c r="L3948" s="408"/>
      <c r="M3948" s="65">
        <v>22879</v>
      </c>
      <c r="N3948" s="66" t="s">
        <v>99</v>
      </c>
      <c r="O3948" s="66" t="s">
        <v>25</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x</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1" ht="15.75" customHeight="1">
      <c r="A3949" s="323" t="str">
        <f>IF(B3949&lt;&gt;"",IF(AND(B3949='IN-TC'!$S$4,OR(TH!N4010="1111",TH!O4010="1111")),TH!D4010,""),"")</f>
        <v>C48</v>
      </c>
      <c r="B3949" s="63">
        <f t="shared" si="253"/>
        <v>10</v>
      </c>
      <c r="C3949" s="64">
        <v>42662</v>
      </c>
      <c r="D3949" s="64" t="s">
        <v>690</v>
      </c>
      <c r="E3949" s="64">
        <f>C3949</f>
        <v>42662</v>
      </c>
      <c r="F3949" s="72" t="s">
        <v>2148</v>
      </c>
      <c r="G3949" s="67" t="s">
        <v>1544</v>
      </c>
      <c r="H3949" s="72" t="s">
        <v>1780</v>
      </c>
      <c r="I3949" s="408"/>
      <c r="J3949" s="408"/>
      <c r="K3949" s="399"/>
      <c r="L3949" s="408"/>
      <c r="M3949" s="65">
        <v>2288</v>
      </c>
      <c r="N3949" s="66" t="s">
        <v>9</v>
      </c>
      <c r="O3949" s="66" t="s">
        <v>25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x</v>
      </c>
      <c r="W3949" s="82" t="str">
        <f>IF(AND('341-CT'!$H$9=H3949,OR(LEFT(N3949,3)=$W$7,LEFT(O3949,3)=$W$7)),"x","")</f>
        <v/>
      </c>
      <c r="X3949" s="82" t="str">
        <f>IF(OR(TH!N3949=TH!$X$7,O3949=TH!$X$7),"x","")</f>
        <v>x</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1" ht="15.75" customHeight="1">
      <c r="A3950" s="323" t="str">
        <f>IF(B3950&lt;&gt;"",IF(AND(B3950='IN-TC'!$S$4,OR(TH!N2151="1111",TH!O2151="1111")),TH!D2151,""),"")</f>
        <v/>
      </c>
      <c r="B3950" s="63">
        <f t="shared" ref="B3950:B4013" si="257">IF(C3950&lt;&gt;"",MONTH(C3950),"")</f>
        <v>12</v>
      </c>
      <c r="C3950" s="78">
        <v>42710</v>
      </c>
      <c r="D3950" s="78" t="s">
        <v>570</v>
      </c>
      <c r="E3950" s="78">
        <v>42710</v>
      </c>
      <c r="F3950" s="80" t="s">
        <v>2625</v>
      </c>
      <c r="G3950" s="934" t="s">
        <v>2705</v>
      </c>
      <c r="H3950" s="80" t="s">
        <v>617</v>
      </c>
      <c r="I3950" s="406"/>
      <c r="J3950" s="406"/>
      <c r="K3950" s="397"/>
      <c r="L3950" s="406"/>
      <c r="M3950" s="81">
        <v>2970900</v>
      </c>
      <c r="N3950" s="82" t="s">
        <v>9</v>
      </c>
      <c r="O3950" s="82" t="s">
        <v>8</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x</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c r="AE3950">
        <v>1</v>
      </c>
    </row>
    <row r="3951" spans="1:31" ht="15.75" customHeight="1">
      <c r="A3951" s="323" t="str">
        <f>IF(B3951&lt;&gt;"",IF(AND(B3951='IN-TC'!$S$4,OR(TH!N4012="1111",TH!O4012="1111")),TH!D4012,""),"")</f>
        <v/>
      </c>
      <c r="B3951" s="63">
        <f t="shared" si="257"/>
        <v>10</v>
      </c>
      <c r="C3951" s="64">
        <v>42662</v>
      </c>
      <c r="D3951" s="64" t="s">
        <v>690</v>
      </c>
      <c r="E3951" s="64">
        <f t="shared" ref="E3951:E3979" si="258">C3951</f>
        <v>42662</v>
      </c>
      <c r="F3951" s="72" t="s">
        <v>2147</v>
      </c>
      <c r="G3951" s="67" t="s">
        <v>1544</v>
      </c>
      <c r="H3951" s="72" t="s">
        <v>1780</v>
      </c>
      <c r="I3951" s="408"/>
      <c r="J3951" s="408"/>
      <c r="K3951" s="399"/>
      <c r="L3951" s="408"/>
      <c r="M3951" s="65">
        <v>20000</v>
      </c>
      <c r="N3951" s="66" t="s">
        <v>99</v>
      </c>
      <c r="O3951" s="66" t="s">
        <v>25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x</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1" ht="15.75" customHeight="1">
      <c r="A3952" s="323" t="str">
        <f>IF(B3952&lt;&gt;"",IF(AND(B3952='IN-TC'!$S$4,OR(TH!N4013="1111",TH!O4013="1111")),TH!D4013,""),"")</f>
        <v/>
      </c>
      <c r="B3952" s="63">
        <f t="shared" si="257"/>
        <v>10</v>
      </c>
      <c r="C3952" s="64">
        <v>42662</v>
      </c>
      <c r="D3952" s="64" t="s">
        <v>690</v>
      </c>
      <c r="E3952" s="64">
        <f t="shared" si="258"/>
        <v>42662</v>
      </c>
      <c r="F3952" s="72" t="s">
        <v>2148</v>
      </c>
      <c r="G3952" s="67" t="s">
        <v>1544</v>
      </c>
      <c r="H3952" s="72" t="s">
        <v>1780</v>
      </c>
      <c r="I3952" s="408"/>
      <c r="J3952" s="408"/>
      <c r="K3952" s="399"/>
      <c r="L3952" s="408"/>
      <c r="M3952" s="65">
        <v>2000</v>
      </c>
      <c r="N3952" s="66" t="s">
        <v>9</v>
      </c>
      <c r="O3952" s="66" t="s">
        <v>25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x</v>
      </c>
      <c r="W3952" s="82" t="str">
        <f>IF(AND('341-CT'!$H$9=H3952,OR(LEFT(N3952,3)=$W$7,LEFT(O3952,3)=$W$7)),"x","")</f>
        <v/>
      </c>
      <c r="X3952" s="82" t="str">
        <f>IF(OR(TH!N3952=TH!$X$7,O3952=TH!$X$7),"x","")</f>
        <v>x</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1" ht="15.75" customHeight="1">
      <c r="A3953" s="1160" t="str">
        <f>IF(B3953&lt;&gt;"",IF(AND(B3953='IN-TC'!$S$4,OR(TH!N2186="1111",TH!O2186="1111")),TH!D2186,""),"")</f>
        <v/>
      </c>
      <c r="B3953" s="948">
        <f t="shared" si="257"/>
        <v>12</v>
      </c>
      <c r="C3953" s="78">
        <v>42735</v>
      </c>
      <c r="D3953" s="78" t="s">
        <v>570</v>
      </c>
      <c r="E3953" s="78">
        <f t="shared" si="258"/>
        <v>42735</v>
      </c>
      <c r="F3953" s="80" t="s">
        <v>2827</v>
      </c>
      <c r="G3953" s="934" t="s">
        <v>2829</v>
      </c>
      <c r="H3953" s="80" t="s">
        <v>1484</v>
      </c>
      <c r="I3953" s="406"/>
      <c r="J3953" s="406"/>
      <c r="K3953" s="397"/>
      <c r="L3953" s="406"/>
      <c r="M3953" s="81">
        <v>56177350</v>
      </c>
      <c r="N3953" s="82" t="s">
        <v>579</v>
      </c>
      <c r="O3953" s="82" t="s">
        <v>8</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c r="AE3953">
        <v>1</v>
      </c>
    </row>
    <row r="3954" spans="1:31" ht="15.75" customHeight="1">
      <c r="A3954" s="323" t="str">
        <f>IF(B3954&lt;&gt;"",IF(AND(B3954='IN-TC'!$S$4,OR(TH!N4015="1111",TH!O4015="1111")),TH!D4015,""),"")</f>
        <v/>
      </c>
      <c r="B3954" s="63">
        <f t="shared" si="257"/>
        <v>10</v>
      </c>
      <c r="C3954" s="64">
        <v>42662</v>
      </c>
      <c r="D3954" s="64" t="s">
        <v>690</v>
      </c>
      <c r="E3954" s="64">
        <f t="shared" si="258"/>
        <v>42662</v>
      </c>
      <c r="F3954" s="72" t="s">
        <v>2147</v>
      </c>
      <c r="G3954" s="67" t="s">
        <v>1544</v>
      </c>
      <c r="H3954" s="72" t="s">
        <v>1780</v>
      </c>
      <c r="I3954" s="408"/>
      <c r="J3954" s="408"/>
      <c r="K3954" s="399"/>
      <c r="L3954" s="408"/>
      <c r="M3954" s="65">
        <v>40000</v>
      </c>
      <c r="N3954" s="66" t="s">
        <v>99</v>
      </c>
      <c r="O3954" s="66" t="s">
        <v>25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x</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1" ht="15.75" customHeight="1">
      <c r="A3955" s="323" t="str">
        <f>IF(B3955&lt;&gt;"",IF(AND(B3955='IN-TC'!$S$4,OR(TH!N4016="1111",TH!O4016="1111")),TH!D4016,""),"")</f>
        <v/>
      </c>
      <c r="B3955" s="63">
        <f t="shared" si="257"/>
        <v>10</v>
      </c>
      <c r="C3955" s="64">
        <v>42662</v>
      </c>
      <c r="D3955" s="64" t="s">
        <v>690</v>
      </c>
      <c r="E3955" s="64">
        <f t="shared" si="258"/>
        <v>42662</v>
      </c>
      <c r="F3955" s="72" t="s">
        <v>2148</v>
      </c>
      <c r="G3955" s="67" t="s">
        <v>1544</v>
      </c>
      <c r="H3955" s="72" t="s">
        <v>1780</v>
      </c>
      <c r="I3955" s="408"/>
      <c r="J3955" s="408"/>
      <c r="K3955" s="399"/>
      <c r="L3955" s="408"/>
      <c r="M3955" s="65">
        <v>4000</v>
      </c>
      <c r="N3955" s="66" t="s">
        <v>9</v>
      </c>
      <c r="O3955" s="66" t="s">
        <v>25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x</v>
      </c>
      <c r="W3955" s="82" t="str">
        <f>IF(AND('341-CT'!$H$9=H3955,OR(LEFT(N3955,3)=$W$7,LEFT(O3955,3)=$W$7)),"x","")</f>
        <v/>
      </c>
      <c r="X3955" s="82" t="str">
        <f>IF(OR(TH!N3955=TH!$X$7,O3955=TH!$X$7),"x","")</f>
        <v>x</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1" ht="15.75" customHeight="1">
      <c r="A3956" s="323" t="str">
        <f>IF(B3956&lt;&gt;"",IF(AND(B3956='IN-TC'!$S$4,OR(TH!N3877="1111",TH!O3877="1111")),TH!D3877,""),"")</f>
        <v/>
      </c>
      <c r="B3956" s="63">
        <f t="shared" si="257"/>
        <v>10</v>
      </c>
      <c r="C3956" s="1092">
        <v>42663</v>
      </c>
      <c r="D3956" s="1092" t="s">
        <v>885</v>
      </c>
      <c r="E3956" s="1092">
        <f t="shared" si="258"/>
        <v>42663</v>
      </c>
      <c r="F3956" s="482" t="s">
        <v>947</v>
      </c>
      <c r="G3956" s="1094"/>
      <c r="H3956" s="1093" t="s">
        <v>3001</v>
      </c>
      <c r="I3956" s="1095"/>
      <c r="J3956" s="1095"/>
      <c r="K3956" s="1096"/>
      <c r="L3956" s="1095"/>
      <c r="M3956" s="1097">
        <v>750000000</v>
      </c>
      <c r="N3956" s="1098" t="s">
        <v>266</v>
      </c>
      <c r="O3956" s="1098" t="s">
        <v>61</v>
      </c>
      <c r="P3956" s="82" t="str">
        <f>IF(AND('331-CT'!$E$7=TH!H3956,OR(N3956="331",O3956="331")),"x","")</f>
        <v/>
      </c>
      <c r="Q3956" s="82" t="str">
        <f>IF(AND(B3956='111'!$L$11,OR($N3956=$Q$7,$O3956=$Q$7)),"x","")</f>
        <v/>
      </c>
      <c r="R3956" s="82" t="str">
        <f>IF(AND($N3956=$Q$7,$B3956&lt;'111'!$L$11),"x","")</f>
        <v/>
      </c>
      <c r="S3956" s="82" t="str">
        <f>IF(AND($O3956=$Q$7,$B3956&lt;'111'!$L$11),"x","")</f>
        <v>x</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1" ht="15.75" customHeight="1">
      <c r="A3957" s="323" t="str">
        <f>IF(B3957&lt;&gt;"",IF(AND(B3957='IN-TC'!$S$4,OR(TH!N3949="1111",TH!O3949="1111")),TH!D3949,""),"")</f>
        <v/>
      </c>
      <c r="B3957" s="63">
        <f t="shared" si="257"/>
        <v>10</v>
      </c>
      <c r="C3957" s="64">
        <v>42664</v>
      </c>
      <c r="D3957" s="64" t="s">
        <v>687</v>
      </c>
      <c r="E3957" s="64">
        <f t="shared" si="258"/>
        <v>42664</v>
      </c>
      <c r="F3957" s="72" t="s">
        <v>2167</v>
      </c>
      <c r="G3957" s="67" t="s">
        <v>1544</v>
      </c>
      <c r="H3957" s="72" t="s">
        <v>2143</v>
      </c>
      <c r="I3957" s="408"/>
      <c r="J3957" s="408"/>
      <c r="K3957" s="399">
        <v>1500</v>
      </c>
      <c r="L3957" s="408">
        <v>22290</v>
      </c>
      <c r="M3957" s="65">
        <f>ROUND(K3957*L3957,0)</f>
        <v>33435000</v>
      </c>
      <c r="N3957" s="66" t="s">
        <v>260</v>
      </c>
      <c r="O3957" s="66" t="s">
        <v>254</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1" ht="15.75" customHeight="1">
      <c r="A3958" s="323" t="str">
        <f>IF(B3958&lt;&gt;"",IF(AND(B3958='IN-TC'!$S$4,OR(TH!N4017="1111",TH!O4017="1111")),TH!D4017,""),"")</f>
        <v/>
      </c>
      <c r="B3958" s="63">
        <f t="shared" si="257"/>
        <v>10</v>
      </c>
      <c r="C3958" s="64">
        <v>42664</v>
      </c>
      <c r="D3958" s="64" t="s">
        <v>687</v>
      </c>
      <c r="E3958" s="64">
        <f t="shared" si="258"/>
        <v>42664</v>
      </c>
      <c r="F3958" s="72" t="s">
        <v>2167</v>
      </c>
      <c r="G3958" s="67" t="s">
        <v>1544</v>
      </c>
      <c r="H3958" s="72" t="s">
        <v>2143</v>
      </c>
      <c r="I3958" s="408"/>
      <c r="J3958" s="408"/>
      <c r="K3958" s="399">
        <v>36080</v>
      </c>
      <c r="L3958" s="408">
        <v>22301</v>
      </c>
      <c r="M3958" s="65">
        <v>804620080</v>
      </c>
      <c r="N3958" s="66" t="s">
        <v>25</v>
      </c>
      <c r="O3958" s="66" t="s">
        <v>254</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x</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1" ht="15.75" customHeight="1">
      <c r="A3959" s="323" t="str">
        <f>IF(B3959&lt;&gt;"",IF(AND(B3959='IN-TC'!$S$4,OR(TH!N3878="1111",TH!O3878="1111")),TH!D3878,""),"")</f>
        <v/>
      </c>
      <c r="B3959" s="63">
        <f t="shared" si="257"/>
        <v>10</v>
      </c>
      <c r="C3959" s="1092">
        <v>42665</v>
      </c>
      <c r="D3959" s="1092" t="s">
        <v>887</v>
      </c>
      <c r="E3959" s="1092">
        <f t="shared" si="258"/>
        <v>42665</v>
      </c>
      <c r="F3959" s="482" t="s">
        <v>947</v>
      </c>
      <c r="G3959" s="1094"/>
      <c r="H3959" s="1093" t="s">
        <v>3001</v>
      </c>
      <c r="I3959" s="1095"/>
      <c r="J3959" s="1095"/>
      <c r="K3959" s="1096"/>
      <c r="L3959" s="1095"/>
      <c r="M3959" s="1097">
        <v>750000000</v>
      </c>
      <c r="N3959" s="1098" t="s">
        <v>266</v>
      </c>
      <c r="O3959" s="1098" t="s">
        <v>61</v>
      </c>
      <c r="P3959" s="82" t="str">
        <f>IF(AND('331-CT'!$E$7=TH!H3959,OR(N3959="331",O3959="331")),"x","")</f>
        <v/>
      </c>
      <c r="Q3959" s="82" t="str">
        <f>IF(AND(B3959='111'!$L$11,OR($N3959=$Q$7,$O3959=$Q$7)),"x","")</f>
        <v/>
      </c>
      <c r="R3959" s="82" t="str">
        <f>IF(AND($N3959=$Q$7,$B3959&lt;'111'!$L$11),"x","")</f>
        <v/>
      </c>
      <c r="S3959" s="82" t="str">
        <f>IF(AND($O3959=$Q$7,$B3959&lt;'111'!$L$11),"x","")</f>
        <v>x</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1" ht="15.75" customHeight="1">
      <c r="A3960" s="323" t="str">
        <f>IF(B3960&lt;&gt;"",IF(AND(B3960='IN-TC'!$S$4,OR(TH!N3950="1111",TH!O3950="1111")),TH!D3950,""),"")</f>
        <v/>
      </c>
      <c r="B3960" s="63">
        <f t="shared" si="257"/>
        <v>10</v>
      </c>
      <c r="C3960" s="64">
        <v>42665</v>
      </c>
      <c r="D3960" s="64" t="s">
        <v>690</v>
      </c>
      <c r="E3960" s="64">
        <f t="shared" si="258"/>
        <v>42665</v>
      </c>
      <c r="F3960" s="72" t="s">
        <v>2009</v>
      </c>
      <c r="G3960" s="67" t="s">
        <v>1544</v>
      </c>
      <c r="H3960" s="72"/>
      <c r="I3960" s="408"/>
      <c r="J3960" s="408"/>
      <c r="K3960" s="399">
        <v>0.1</v>
      </c>
      <c r="L3960" s="408">
        <v>22290</v>
      </c>
      <c r="M3960" s="65">
        <f t="shared" ref="M3960:M3972" si="259">ROUND(K3960*L3960,0)</f>
        <v>2229</v>
      </c>
      <c r="N3960" s="66" t="s">
        <v>97</v>
      </c>
      <c r="O3960" s="66" t="s">
        <v>260</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1" ht="15.75" customHeight="1">
      <c r="A3961" s="323" t="str">
        <f>IF(B3961&lt;&gt;"",IF(AND(B3961='IN-TC'!$S$4,OR(TH!N3951="1111",TH!O3951="1111")),TH!D3951,""),"")</f>
        <v/>
      </c>
      <c r="B3961" s="63">
        <f t="shared" si="257"/>
        <v>10</v>
      </c>
      <c r="C3961" s="64">
        <v>42665</v>
      </c>
      <c r="D3961" s="64" t="s">
        <v>690</v>
      </c>
      <c r="E3961" s="64">
        <f t="shared" si="258"/>
        <v>42665</v>
      </c>
      <c r="F3961" s="72" t="s">
        <v>2144</v>
      </c>
      <c r="G3961" s="67" t="s">
        <v>1544</v>
      </c>
      <c r="H3961" s="72"/>
      <c r="I3961" s="408"/>
      <c r="J3961" s="408"/>
      <c r="K3961" s="399">
        <v>375</v>
      </c>
      <c r="L3961" s="408">
        <v>22290</v>
      </c>
      <c r="M3961" s="65">
        <f t="shared" si="259"/>
        <v>8358750</v>
      </c>
      <c r="N3961" s="66" t="s">
        <v>97</v>
      </c>
      <c r="O3961" s="66" t="s">
        <v>260</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1" ht="15.75" customHeight="1">
      <c r="A3962" s="323" t="str">
        <f>IF(B3962&lt;&gt;"",IF(AND(B3962='IN-TC'!$S$4,OR(TH!N3952="1111",TH!O3952="1111")),TH!D3952,""),"")</f>
        <v/>
      </c>
      <c r="B3962" s="63">
        <f t="shared" si="257"/>
        <v>10</v>
      </c>
      <c r="C3962" s="64">
        <v>42665</v>
      </c>
      <c r="D3962" s="64" t="s">
        <v>690</v>
      </c>
      <c r="E3962" s="64">
        <f t="shared" si="258"/>
        <v>42665</v>
      </c>
      <c r="F3962" s="72" t="s">
        <v>2009</v>
      </c>
      <c r="G3962" s="67" t="s">
        <v>1544</v>
      </c>
      <c r="H3962" s="72"/>
      <c r="I3962" s="408"/>
      <c r="J3962" s="408"/>
      <c r="K3962" s="399">
        <v>0.12</v>
      </c>
      <c r="L3962" s="408">
        <v>22290</v>
      </c>
      <c r="M3962" s="65">
        <f t="shared" si="259"/>
        <v>2675</v>
      </c>
      <c r="N3962" s="66" t="s">
        <v>97</v>
      </c>
      <c r="O3962" s="66" t="s">
        <v>260</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1" ht="15.75" customHeight="1">
      <c r="A3963" s="323" t="str">
        <f>IF(B3963&lt;&gt;"",IF(AND(B3963='IN-TC'!$S$4,OR(TH!N3953="1111",TH!O3953="1111")),TH!D3953,""),"")</f>
        <v/>
      </c>
      <c r="B3963" s="63">
        <f t="shared" si="257"/>
        <v>10</v>
      </c>
      <c r="C3963" s="64">
        <v>42665</v>
      </c>
      <c r="D3963" s="64" t="s">
        <v>690</v>
      </c>
      <c r="E3963" s="64">
        <f t="shared" si="258"/>
        <v>42665</v>
      </c>
      <c r="F3963" s="72" t="s">
        <v>2144</v>
      </c>
      <c r="G3963" s="67" t="s">
        <v>1544</v>
      </c>
      <c r="H3963" s="72"/>
      <c r="I3963" s="408"/>
      <c r="J3963" s="408"/>
      <c r="K3963" s="399">
        <v>223.75</v>
      </c>
      <c r="L3963" s="408">
        <v>22290</v>
      </c>
      <c r="M3963" s="65">
        <f t="shared" si="259"/>
        <v>4987388</v>
      </c>
      <c r="N3963" s="66" t="s">
        <v>97</v>
      </c>
      <c r="O3963" s="66" t="s">
        <v>260</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1" ht="15.75" customHeight="1">
      <c r="A3964" s="323" t="str">
        <f>IF(B3964&lt;&gt;"",IF(AND(B3964='IN-TC'!$S$4,OR(TH!N3954="1111",TH!O3954="1111")),TH!D3954,""),"")</f>
        <v/>
      </c>
      <c r="B3964" s="63">
        <f t="shared" si="257"/>
        <v>10</v>
      </c>
      <c r="C3964" s="64">
        <v>42665</v>
      </c>
      <c r="D3964" s="64" t="s">
        <v>690</v>
      </c>
      <c r="E3964" s="64">
        <f t="shared" si="258"/>
        <v>42665</v>
      </c>
      <c r="F3964" s="72" t="s">
        <v>2009</v>
      </c>
      <c r="G3964" s="67" t="s">
        <v>1544</v>
      </c>
      <c r="H3964" s="72"/>
      <c r="I3964" s="408"/>
      <c r="J3964" s="408"/>
      <c r="K3964" s="399">
        <v>0.09</v>
      </c>
      <c r="L3964" s="408">
        <v>22290</v>
      </c>
      <c r="M3964" s="65">
        <f t="shared" si="259"/>
        <v>2006</v>
      </c>
      <c r="N3964" s="66" t="s">
        <v>97</v>
      </c>
      <c r="O3964" s="66" t="s">
        <v>260</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1" ht="15.75" customHeight="1">
      <c r="A3965" s="323" t="str">
        <f>IF(B3965&lt;&gt;"",IF(AND(B3965='IN-TC'!$S$4,OR(TH!N3955="1111",TH!O3955="1111")),TH!D3955,""),"")</f>
        <v/>
      </c>
      <c r="B3965" s="63">
        <f t="shared" si="257"/>
        <v>10</v>
      </c>
      <c r="C3965" s="64">
        <v>42665</v>
      </c>
      <c r="D3965" s="64" t="s">
        <v>690</v>
      </c>
      <c r="E3965" s="64">
        <f t="shared" si="258"/>
        <v>42665</v>
      </c>
      <c r="F3965" s="72" t="s">
        <v>2144</v>
      </c>
      <c r="G3965" s="67" t="s">
        <v>1544</v>
      </c>
      <c r="H3965" s="72"/>
      <c r="I3965" s="408"/>
      <c r="J3965" s="408"/>
      <c r="K3965" s="399">
        <v>222.5</v>
      </c>
      <c r="L3965" s="408">
        <v>22290</v>
      </c>
      <c r="M3965" s="65">
        <f t="shared" si="259"/>
        <v>4959525</v>
      </c>
      <c r="N3965" s="66" t="s">
        <v>97</v>
      </c>
      <c r="O3965" s="66" t="s">
        <v>260</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1" ht="15.75" customHeight="1">
      <c r="A3966" s="323" t="str">
        <f>IF(B3966&lt;&gt;"",IF(AND(B3966='IN-TC'!$S$4,OR(TH!N3956="1111",TH!O3956="1111")),TH!D3956,""),"")</f>
        <v>C34</v>
      </c>
      <c r="B3966" s="63">
        <f t="shared" si="257"/>
        <v>10</v>
      </c>
      <c r="C3966" s="64">
        <v>42665</v>
      </c>
      <c r="D3966" s="64" t="s">
        <v>690</v>
      </c>
      <c r="E3966" s="64">
        <f t="shared" si="258"/>
        <v>42665</v>
      </c>
      <c r="F3966" s="72" t="s">
        <v>2009</v>
      </c>
      <c r="G3966" s="67" t="s">
        <v>1544</v>
      </c>
      <c r="H3966" s="72"/>
      <c r="I3966" s="408"/>
      <c r="J3966" s="408"/>
      <c r="K3966" s="399">
        <v>0.13</v>
      </c>
      <c r="L3966" s="408">
        <v>22290</v>
      </c>
      <c r="M3966" s="65">
        <f t="shared" si="259"/>
        <v>2898</v>
      </c>
      <c r="N3966" s="66" t="s">
        <v>97</v>
      </c>
      <c r="O3966" s="66" t="s">
        <v>260</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1" ht="15.75" customHeight="1">
      <c r="A3967" s="323" t="str">
        <f>IF(B3967&lt;&gt;"",IF(AND(B3967='IN-TC'!$S$4,OR(TH!N3957="1111",TH!O3957="1111")),TH!D3957,""),"")</f>
        <v/>
      </c>
      <c r="B3967" s="63">
        <f t="shared" si="257"/>
        <v>10</v>
      </c>
      <c r="C3967" s="64">
        <v>42665</v>
      </c>
      <c r="D3967" s="64" t="s">
        <v>690</v>
      </c>
      <c r="E3967" s="64">
        <f t="shared" si="258"/>
        <v>42665</v>
      </c>
      <c r="F3967" s="72" t="s">
        <v>2144</v>
      </c>
      <c r="G3967" s="67" t="s">
        <v>1544</v>
      </c>
      <c r="H3967" s="72"/>
      <c r="I3967" s="408"/>
      <c r="J3967" s="408"/>
      <c r="K3967" s="399">
        <v>223.75</v>
      </c>
      <c r="L3967" s="408">
        <v>22290</v>
      </c>
      <c r="M3967" s="65">
        <f t="shared" si="259"/>
        <v>4987388</v>
      </c>
      <c r="N3967" s="66" t="s">
        <v>97</v>
      </c>
      <c r="O3967" s="66" t="s">
        <v>260</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1" ht="15.75" customHeight="1">
      <c r="A3968" s="323" t="str">
        <f>IF(B3968&lt;&gt;"",IF(AND(B3968='IN-TC'!$S$4,OR(TH!N3958="1111",TH!O3958="1111")),TH!D3958,""),"")</f>
        <v/>
      </c>
      <c r="B3968" s="63">
        <f t="shared" si="257"/>
        <v>10</v>
      </c>
      <c r="C3968" s="64">
        <v>42665</v>
      </c>
      <c r="D3968" s="64" t="s">
        <v>690</v>
      </c>
      <c r="E3968" s="64">
        <f t="shared" si="258"/>
        <v>42665</v>
      </c>
      <c r="F3968" s="72" t="s">
        <v>2144</v>
      </c>
      <c r="G3968" s="67" t="s">
        <v>1544</v>
      </c>
      <c r="H3968" s="72"/>
      <c r="I3968" s="408"/>
      <c r="J3968" s="408"/>
      <c r="K3968" s="399">
        <v>341.25</v>
      </c>
      <c r="L3968" s="408">
        <v>22290</v>
      </c>
      <c r="M3968" s="65">
        <f t="shared" si="259"/>
        <v>7606463</v>
      </c>
      <c r="N3968" s="66" t="s">
        <v>97</v>
      </c>
      <c r="O3968" s="66" t="s">
        <v>260</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1" ht="15.75" customHeight="1">
      <c r="A3969" s="323" t="str">
        <f>IF(B3969&lt;&gt;"",IF(AND(B3969='IN-TC'!$S$4,OR(TH!N3959="1111",TH!O3959="1111")),TH!D3959,""),"")</f>
        <v>C35</v>
      </c>
      <c r="B3969" s="63">
        <f t="shared" si="257"/>
        <v>10</v>
      </c>
      <c r="C3969" s="64">
        <v>42665</v>
      </c>
      <c r="D3969" s="64" t="s">
        <v>690</v>
      </c>
      <c r="E3969" s="64">
        <f t="shared" si="258"/>
        <v>42665</v>
      </c>
      <c r="F3969" s="72" t="s">
        <v>2144</v>
      </c>
      <c r="G3969" s="67" t="s">
        <v>1544</v>
      </c>
      <c r="H3969" s="72"/>
      <c r="I3969" s="408"/>
      <c r="J3969" s="408"/>
      <c r="K3969" s="399">
        <v>40</v>
      </c>
      <c r="L3969" s="408">
        <v>22290</v>
      </c>
      <c r="M3969" s="65">
        <f t="shared" si="259"/>
        <v>891600</v>
      </c>
      <c r="N3969" s="66" t="s">
        <v>97</v>
      </c>
      <c r="O3969" s="66" t="s">
        <v>260</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1" ht="15.75" customHeight="1">
      <c r="A3970" s="323" t="str">
        <f>IF(B3970&lt;&gt;"",IF(AND(B3970='IN-TC'!$S$4,OR(TH!N3960="1111",TH!O3960="1111")),TH!D3960,""),"")</f>
        <v/>
      </c>
      <c r="B3970" s="63">
        <f t="shared" si="257"/>
        <v>10</v>
      </c>
      <c r="C3970" s="64">
        <v>42665</v>
      </c>
      <c r="D3970" s="64" t="s">
        <v>690</v>
      </c>
      <c r="E3970" s="64">
        <f t="shared" si="258"/>
        <v>42665</v>
      </c>
      <c r="F3970" s="72" t="s">
        <v>2009</v>
      </c>
      <c r="G3970" s="67" t="s">
        <v>1544</v>
      </c>
      <c r="H3970" s="72"/>
      <c r="I3970" s="408"/>
      <c r="J3970" s="408"/>
      <c r="K3970" s="399">
        <v>0.05</v>
      </c>
      <c r="L3970" s="408">
        <v>22290</v>
      </c>
      <c r="M3970" s="65">
        <f t="shared" si="259"/>
        <v>1115</v>
      </c>
      <c r="N3970" s="66" t="s">
        <v>97</v>
      </c>
      <c r="O3970" s="66" t="s">
        <v>260</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1" ht="15.75" customHeight="1">
      <c r="A3971" s="323" t="str">
        <f>IF(B3971&lt;&gt;"",IF(AND(B3971='IN-TC'!$S$4,OR(TH!N3961="1111",TH!O3961="1111")),TH!D3961,""),"")</f>
        <v/>
      </c>
      <c r="B3971" s="63">
        <f t="shared" si="257"/>
        <v>10</v>
      </c>
      <c r="C3971" s="64">
        <v>42665</v>
      </c>
      <c r="D3971" s="64" t="s">
        <v>690</v>
      </c>
      <c r="E3971" s="64">
        <f t="shared" si="258"/>
        <v>42665</v>
      </c>
      <c r="F3971" s="72" t="s">
        <v>2144</v>
      </c>
      <c r="G3971" s="67" t="s">
        <v>1544</v>
      </c>
      <c r="H3971" s="72"/>
      <c r="I3971" s="408"/>
      <c r="J3971" s="408"/>
      <c r="K3971" s="399">
        <v>220</v>
      </c>
      <c r="L3971" s="408">
        <v>22290</v>
      </c>
      <c r="M3971" s="65">
        <f t="shared" si="259"/>
        <v>4903800</v>
      </c>
      <c r="N3971" s="66" t="s">
        <v>97</v>
      </c>
      <c r="O3971" s="66" t="s">
        <v>260</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1" ht="15.75" customHeight="1">
      <c r="A3972" s="323" t="str">
        <f>IF(B3972&lt;&gt;"",IF(AND(B3972='IN-TC'!$S$4,OR(TH!N3962="1111",TH!O3962="1111")),TH!D3962,""),"")</f>
        <v/>
      </c>
      <c r="B3972" s="63">
        <f t="shared" si="257"/>
        <v>10</v>
      </c>
      <c r="C3972" s="64">
        <v>42665</v>
      </c>
      <c r="D3972" s="64" t="s">
        <v>690</v>
      </c>
      <c r="E3972" s="64">
        <f t="shared" si="258"/>
        <v>42665</v>
      </c>
      <c r="F3972" s="72" t="s">
        <v>2144</v>
      </c>
      <c r="G3972" s="67" t="s">
        <v>1544</v>
      </c>
      <c r="H3972" s="72"/>
      <c r="I3972" s="408"/>
      <c r="J3972" s="408"/>
      <c r="K3972" s="399">
        <v>128</v>
      </c>
      <c r="L3972" s="408">
        <v>22290</v>
      </c>
      <c r="M3972" s="65">
        <f t="shared" si="259"/>
        <v>2853120</v>
      </c>
      <c r="N3972" s="66" t="s">
        <v>97</v>
      </c>
      <c r="O3972" s="66" t="s">
        <v>260</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1" ht="15.75" customHeight="1">
      <c r="A3973" s="323" t="str">
        <f>IF(B3973&lt;&gt;"",IF(AND(B3973='IN-TC'!$S$4,OR(TH!N4018="1111",TH!O4018="1111")),TH!D4018,""),"")</f>
        <v/>
      </c>
      <c r="B3973" s="63">
        <f t="shared" si="257"/>
        <v>10</v>
      </c>
      <c r="C3973" s="64">
        <v>42665</v>
      </c>
      <c r="D3973" s="64" t="s">
        <v>690</v>
      </c>
      <c r="E3973" s="64">
        <f t="shared" si="258"/>
        <v>42665</v>
      </c>
      <c r="F3973" s="72" t="s">
        <v>2009</v>
      </c>
      <c r="G3973" s="67" t="s">
        <v>1544</v>
      </c>
      <c r="H3973" s="72"/>
      <c r="I3973" s="408"/>
      <c r="J3973" s="408"/>
      <c r="K3973" s="399"/>
      <c r="L3973" s="408"/>
      <c r="M3973" s="65">
        <v>5104</v>
      </c>
      <c r="N3973" s="66" t="s">
        <v>97</v>
      </c>
      <c r="O3973" s="66" t="s">
        <v>25</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x</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1" ht="15.75" customHeight="1">
      <c r="A3974" s="323" t="str">
        <f>IF(B3974&lt;&gt;"",IF(AND(B3974='IN-TC'!$S$4,OR(TH!N4019="1111",TH!O4019="1111")),TH!D4019,""),"")</f>
        <v/>
      </c>
      <c r="B3974" s="63">
        <f t="shared" si="257"/>
        <v>10</v>
      </c>
      <c r="C3974" s="64">
        <v>42665</v>
      </c>
      <c r="D3974" s="64" t="s">
        <v>690</v>
      </c>
      <c r="E3974" s="64">
        <f t="shared" si="258"/>
        <v>42665</v>
      </c>
      <c r="F3974" s="72" t="s">
        <v>2144</v>
      </c>
      <c r="G3974" s="67" t="s">
        <v>1544</v>
      </c>
      <c r="H3974" s="72"/>
      <c r="I3974" s="408"/>
      <c r="J3974" s="408"/>
      <c r="K3974" s="399"/>
      <c r="L3974" s="408"/>
      <c r="M3974" s="65">
        <v>5487768</v>
      </c>
      <c r="N3974" s="66" t="s">
        <v>97</v>
      </c>
      <c r="O3974" s="66" t="s">
        <v>25</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x</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1" ht="15.75" customHeight="1">
      <c r="A3975" s="323" t="str">
        <f>IF(B3975&lt;&gt;"",IF(AND(B3975='IN-TC'!$S$4,OR(TH!N4020="1111",TH!O4020="1111")),TH!D4020,""),"")</f>
        <v/>
      </c>
      <c r="B3975" s="63">
        <f t="shared" si="257"/>
        <v>10</v>
      </c>
      <c r="C3975" s="64">
        <v>42665</v>
      </c>
      <c r="D3975" s="64" t="s">
        <v>690</v>
      </c>
      <c r="E3975" s="64">
        <f t="shared" si="258"/>
        <v>42665</v>
      </c>
      <c r="F3975" s="72" t="s">
        <v>2009</v>
      </c>
      <c r="G3975" s="67" t="s">
        <v>1544</v>
      </c>
      <c r="H3975" s="72"/>
      <c r="I3975" s="408"/>
      <c r="J3975" s="408"/>
      <c r="K3975" s="399"/>
      <c r="L3975" s="408"/>
      <c r="M3975" s="65">
        <v>5602</v>
      </c>
      <c r="N3975" s="66" t="s">
        <v>97</v>
      </c>
      <c r="O3975" s="66" t="s">
        <v>25</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x</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1" ht="15.75" customHeight="1">
      <c r="A3976" s="323" t="str">
        <f>IF(B3976&lt;&gt;"",IF(AND(B3976='IN-TC'!$S$4,OR(TH!N4021="1111",TH!O4021="1111")),TH!D4021,""),"")</f>
        <v/>
      </c>
      <c r="B3976" s="63">
        <f t="shared" si="257"/>
        <v>10</v>
      </c>
      <c r="C3976" s="64">
        <v>42665</v>
      </c>
      <c r="D3976" s="64" t="s">
        <v>690</v>
      </c>
      <c r="E3976" s="64">
        <f t="shared" si="258"/>
        <v>42665</v>
      </c>
      <c r="F3976" s="72" t="s">
        <v>2144</v>
      </c>
      <c r="G3976" s="67" t="s">
        <v>1544</v>
      </c>
      <c r="H3976" s="72"/>
      <c r="I3976" s="408"/>
      <c r="J3976" s="408"/>
      <c r="K3976" s="399"/>
      <c r="L3976" s="408"/>
      <c r="M3976" s="65">
        <v>6023160</v>
      </c>
      <c r="N3976" s="66" t="s">
        <v>97</v>
      </c>
      <c r="O3976" s="66" t="s">
        <v>25</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x</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1" ht="15.75" customHeight="1">
      <c r="A3977" s="323" t="str">
        <f>IF(B3977&lt;&gt;"",IF(AND(B3977='IN-TC'!$S$4,OR(TH!N3880="1111",TH!O3880="1111")),TH!D3880,""),"")</f>
        <v/>
      </c>
      <c r="B3977" s="63">
        <f t="shared" si="257"/>
        <v>10</v>
      </c>
      <c r="C3977" s="1092">
        <v>42667</v>
      </c>
      <c r="D3977" s="1092" t="s">
        <v>888</v>
      </c>
      <c r="E3977" s="1092">
        <f t="shared" si="258"/>
        <v>42667</v>
      </c>
      <c r="F3977" s="482" t="s">
        <v>947</v>
      </c>
      <c r="G3977" s="1094"/>
      <c r="H3977" s="1093" t="s">
        <v>3001</v>
      </c>
      <c r="I3977" s="1095"/>
      <c r="J3977" s="1095"/>
      <c r="K3977" s="1096"/>
      <c r="L3977" s="1095"/>
      <c r="M3977" s="1097">
        <v>800000000</v>
      </c>
      <c r="N3977" s="1098" t="s">
        <v>266</v>
      </c>
      <c r="O3977" s="1098" t="s">
        <v>61</v>
      </c>
      <c r="P3977" s="82" t="str">
        <f>IF(AND('331-CT'!$E$7=TH!H3977,OR(N3977="331",O3977="331")),"x","")</f>
        <v/>
      </c>
      <c r="Q3977" s="82" t="str">
        <f>IF(AND(B3977='111'!$L$11,OR($N3977=$Q$7,$O3977=$Q$7)),"x","")</f>
        <v/>
      </c>
      <c r="R3977" s="82" t="str">
        <f>IF(AND($N3977=$Q$7,$B3977&lt;'111'!$L$11),"x","")</f>
        <v/>
      </c>
      <c r="S3977" s="82" t="str">
        <f>IF(AND($O3977=$Q$7,$B3977&lt;'111'!$L$11),"x","")</f>
        <v>x</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1" ht="15.75" customHeight="1">
      <c r="A3978" s="323" t="str">
        <f>IF(B3978&lt;&gt;"",IF(AND(B3978='IN-TC'!$S$4,OR(TH!N3919="1111",TH!O3919="1111")),TH!D3919,""),"")</f>
        <v/>
      </c>
      <c r="B3978" s="63">
        <f t="shared" si="257"/>
        <v>10</v>
      </c>
      <c r="C3978" s="64">
        <v>42667</v>
      </c>
      <c r="D3978" s="64" t="s">
        <v>687</v>
      </c>
      <c r="E3978" s="64">
        <f t="shared" si="258"/>
        <v>42667</v>
      </c>
      <c r="F3978" s="72" t="s">
        <v>1632</v>
      </c>
      <c r="G3978" s="67" t="s">
        <v>901</v>
      </c>
      <c r="H3978" s="72" t="s">
        <v>2048</v>
      </c>
      <c r="I3978" s="408"/>
      <c r="J3978" s="408"/>
      <c r="K3978" s="399"/>
      <c r="L3978" s="408"/>
      <c r="M3978" s="65">
        <v>12307</v>
      </c>
      <c r="N3978" s="66" t="s">
        <v>25</v>
      </c>
      <c r="O3978" s="66" t="s">
        <v>41</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1" ht="15.75" customHeight="1">
      <c r="A3979" s="323" t="str">
        <f>IF(B3979&lt;&gt;"",IF(AND(B3979='IN-TC'!$S$4,OR(TH!N3912="1111",TH!O3912="1111")),TH!D3912,""),"")</f>
        <v>C23</v>
      </c>
      <c r="B3979" s="63">
        <f t="shared" si="257"/>
        <v>10</v>
      </c>
      <c r="C3979" s="64">
        <v>42667</v>
      </c>
      <c r="D3979" s="64" t="s">
        <v>690</v>
      </c>
      <c r="E3979" s="64">
        <f t="shared" si="258"/>
        <v>42667</v>
      </c>
      <c r="F3979" s="72" t="s">
        <v>1425</v>
      </c>
      <c r="G3979" s="67" t="s">
        <v>901</v>
      </c>
      <c r="H3979" s="72" t="s">
        <v>2048</v>
      </c>
      <c r="I3979" s="408"/>
      <c r="J3979" s="408"/>
      <c r="K3979" s="399">
        <v>2300</v>
      </c>
      <c r="L3979" s="408">
        <v>22290</v>
      </c>
      <c r="M3979" s="65">
        <f>ROUND(K3979*L3979,0)</f>
        <v>51267000</v>
      </c>
      <c r="N3979" s="66" t="s">
        <v>25</v>
      </c>
      <c r="O3979" s="66" t="s">
        <v>260</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1" ht="15.75" customHeight="1">
      <c r="A3980" s="323" t="str">
        <f>IF(B3980&lt;&gt;"",IF(AND(B3980='IN-TC'!$S$4,OR(TH!N2136="1111",TH!O2136="1111")),TH!D2136,""),"")</f>
        <v/>
      </c>
      <c r="B3980" s="63">
        <f t="shared" si="257"/>
        <v>12</v>
      </c>
      <c r="C3980" s="78">
        <v>42706</v>
      </c>
      <c r="D3980" s="78" t="s">
        <v>570</v>
      </c>
      <c r="E3980" s="78">
        <v>42706</v>
      </c>
      <c r="F3980" s="80" t="s">
        <v>2384</v>
      </c>
      <c r="G3980" s="934" t="s">
        <v>2382</v>
      </c>
      <c r="H3980" s="80" t="s">
        <v>1845</v>
      </c>
      <c r="I3980" s="406"/>
      <c r="J3980" s="406"/>
      <c r="K3980" s="397"/>
      <c r="L3980" s="406"/>
      <c r="M3980" s="81">
        <v>383467</v>
      </c>
      <c r="N3980" s="82" t="s">
        <v>9</v>
      </c>
      <c r="O3980" s="82" t="s">
        <v>8</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x</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c r="AE3980">
        <v>1</v>
      </c>
    </row>
    <row r="3981" spans="1:31" ht="15.75" customHeight="1">
      <c r="A3981" s="323" t="str">
        <f>IF(B3981&lt;&gt;"",IF(AND(B3981='IN-TC'!$S$4,OR(TH!N3914="1111",TH!O3914="1111")),TH!D3914,""),"")</f>
        <v>C24</v>
      </c>
      <c r="B3981" s="63">
        <f t="shared" si="257"/>
        <v>10</v>
      </c>
      <c r="C3981" s="64">
        <v>42667</v>
      </c>
      <c r="D3981" s="64" t="s">
        <v>690</v>
      </c>
      <c r="E3981" s="64">
        <f t="shared" ref="E3981:E3999" si="260">C3981</f>
        <v>42667</v>
      </c>
      <c r="F3981" s="72" t="s">
        <v>1156</v>
      </c>
      <c r="G3981" s="67" t="s">
        <v>901</v>
      </c>
      <c r="H3981" s="72" t="s">
        <v>2048</v>
      </c>
      <c r="I3981" s="408"/>
      <c r="J3981" s="408"/>
      <c r="K3981" s="399"/>
      <c r="L3981" s="408"/>
      <c r="M3981" s="65">
        <v>20000</v>
      </c>
      <c r="N3981" s="66" t="s">
        <v>99</v>
      </c>
      <c r="O3981" s="66" t="s">
        <v>25</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1" ht="15.75" customHeight="1">
      <c r="A3982" s="323" t="str">
        <f>IF(B3982&lt;&gt;"",IF(AND(B3982='IN-TC'!$S$4,OR(TH!N3915="1111",TH!O3915="1111")),TH!D3915,""),"")</f>
        <v>C24</v>
      </c>
      <c r="B3982" s="63">
        <f t="shared" si="257"/>
        <v>10</v>
      </c>
      <c r="C3982" s="64">
        <v>42667</v>
      </c>
      <c r="D3982" s="64" t="s">
        <v>690</v>
      </c>
      <c r="E3982" s="64">
        <f t="shared" si="260"/>
        <v>42667</v>
      </c>
      <c r="F3982" s="72" t="s">
        <v>1616</v>
      </c>
      <c r="G3982" s="67" t="s">
        <v>901</v>
      </c>
      <c r="H3982" s="72" t="s">
        <v>2048</v>
      </c>
      <c r="I3982" s="408"/>
      <c r="J3982" s="408"/>
      <c r="K3982" s="399"/>
      <c r="L3982" s="408"/>
      <c r="M3982" s="65">
        <v>2000</v>
      </c>
      <c r="N3982" s="66" t="s">
        <v>9</v>
      </c>
      <c r="O3982" s="66" t="s">
        <v>25</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x</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1" ht="15.75" customHeight="1">
      <c r="A3983" s="1160" t="str">
        <f>IF(B3983&lt;&gt;"",IF(AND(B3983='IN-TC'!$S$4,OR(TH!N1049="1111",TH!O1049="1111")),TH!D1049,""),"")</f>
        <v/>
      </c>
      <c r="B3983" s="948">
        <f t="shared" si="257"/>
        <v>12</v>
      </c>
      <c r="C3983" s="78">
        <v>42723</v>
      </c>
      <c r="D3983" s="78" t="s">
        <v>2766</v>
      </c>
      <c r="E3983" s="78">
        <f t="shared" si="260"/>
        <v>42723</v>
      </c>
      <c r="F3983" s="80" t="s">
        <v>346</v>
      </c>
      <c r="G3983" s="934" t="s">
        <v>2574</v>
      </c>
      <c r="H3983" s="310" t="s">
        <v>607</v>
      </c>
      <c r="I3983" s="406">
        <v>2000</v>
      </c>
      <c r="J3983" s="406">
        <v>3000</v>
      </c>
      <c r="K3983" s="397"/>
      <c r="L3983" s="406"/>
      <c r="M3983" s="81">
        <f>ROUND(I3983*J3983,0)</f>
        <v>6000000</v>
      </c>
      <c r="N3983" s="82" t="s">
        <v>270</v>
      </c>
      <c r="O3983" s="82" t="s">
        <v>8</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1" ht="15.75" customHeight="1">
      <c r="A3984" s="323" t="str">
        <f>IF(B3984&lt;&gt;"",IF(AND(B3984='IN-TC'!$S$4,OR(TH!N3917="1111",TH!O3917="1111")),TH!D3917,""),"")</f>
        <v/>
      </c>
      <c r="B3984" s="63">
        <f t="shared" si="257"/>
        <v>10</v>
      </c>
      <c r="C3984" s="64">
        <v>42667</v>
      </c>
      <c r="D3984" s="64" t="s">
        <v>690</v>
      </c>
      <c r="E3984" s="64">
        <f t="shared" si="260"/>
        <v>42667</v>
      </c>
      <c r="F3984" s="72" t="s">
        <v>1156</v>
      </c>
      <c r="G3984" s="67" t="s">
        <v>901</v>
      </c>
      <c r="H3984" s="72" t="s">
        <v>2048</v>
      </c>
      <c r="I3984" s="408"/>
      <c r="J3984" s="408"/>
      <c r="K3984" s="399"/>
      <c r="L3984" s="408"/>
      <c r="M3984" s="65">
        <v>20000</v>
      </c>
      <c r="N3984" s="66" t="s">
        <v>99</v>
      </c>
      <c r="O3984" s="66" t="s">
        <v>25</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customHeight="1">
      <c r="A3985" s="323" t="str">
        <f>IF(B3985&lt;&gt;"",IF(AND(B3985='IN-TC'!$S$4,OR(TH!N3918="1111",TH!O3918="1111")),TH!D3918,""),"")</f>
        <v/>
      </c>
      <c r="B3985" s="63">
        <f t="shared" si="257"/>
        <v>10</v>
      </c>
      <c r="C3985" s="64">
        <v>42667</v>
      </c>
      <c r="D3985" s="64" t="s">
        <v>690</v>
      </c>
      <c r="E3985" s="64">
        <f t="shared" si="260"/>
        <v>42667</v>
      </c>
      <c r="F3985" s="72" t="s">
        <v>1616</v>
      </c>
      <c r="G3985" s="67" t="s">
        <v>901</v>
      </c>
      <c r="H3985" s="72" t="s">
        <v>2048</v>
      </c>
      <c r="I3985" s="408"/>
      <c r="J3985" s="408"/>
      <c r="K3985" s="399"/>
      <c r="L3985" s="408"/>
      <c r="M3985" s="65">
        <v>2000</v>
      </c>
      <c r="N3985" s="66" t="s">
        <v>9</v>
      </c>
      <c r="O3985" s="66" t="s">
        <v>25</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x</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customHeight="1">
      <c r="A3986" s="323" t="str">
        <f>IF(B3986&lt;&gt;"",IF(AND(B3986='IN-TC'!$S$4,OR(TH!N3879="1111",TH!O3879="1111")),TH!D3879,""),"")</f>
        <v/>
      </c>
      <c r="B3986" s="63">
        <f t="shared" si="257"/>
        <v>10</v>
      </c>
      <c r="C3986" s="64">
        <v>42667</v>
      </c>
      <c r="D3986" s="64" t="s">
        <v>1542</v>
      </c>
      <c r="E3986" s="64">
        <f t="shared" si="260"/>
        <v>42667</v>
      </c>
      <c r="F3986" s="72" t="s">
        <v>1126</v>
      </c>
      <c r="G3986" s="67" t="s">
        <v>1544</v>
      </c>
      <c r="H3986" s="72" t="s">
        <v>748</v>
      </c>
      <c r="I3986" s="408"/>
      <c r="J3986" s="408"/>
      <c r="K3986" s="399"/>
      <c r="L3986" s="408"/>
      <c r="M3986" s="65">
        <v>820000000</v>
      </c>
      <c r="N3986" s="66" t="s">
        <v>61</v>
      </c>
      <c r="O3986" s="66" t="s">
        <v>25</v>
      </c>
      <c r="P3986" s="82" t="str">
        <f>IF(AND('331-CT'!$E$7=TH!H3986,OR(N3986="331",O3986="331")),"x","")</f>
        <v/>
      </c>
      <c r="Q3986" s="82" t="str">
        <f>IF(AND(B3986='111'!$L$11,OR($N3986=$Q$7,$O3986=$Q$7)),"x","")</f>
        <v/>
      </c>
      <c r="R3986" s="82" t="str">
        <f>IF(AND($N3986=$Q$7,$B3986&lt;'111'!$L$11),"x","")</f>
        <v>x</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x</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customHeight="1">
      <c r="A3987" s="323" t="str">
        <f>IF(B3987&lt;&gt;"",IF(AND(B3987='IN-TC'!$S$4,OR(TH!N4022="1111",TH!O4022="1111")),TH!D4022,""),"")</f>
        <v/>
      </c>
      <c r="B3987" s="63">
        <f t="shared" si="257"/>
        <v>10</v>
      </c>
      <c r="C3987" s="64">
        <v>42668</v>
      </c>
      <c r="D3987" s="64" t="s">
        <v>687</v>
      </c>
      <c r="E3987" s="64">
        <f t="shared" si="260"/>
        <v>42668</v>
      </c>
      <c r="F3987" s="72" t="s">
        <v>1632</v>
      </c>
      <c r="G3987" s="67" t="s">
        <v>1544</v>
      </c>
      <c r="H3987" s="72" t="s">
        <v>1780</v>
      </c>
      <c r="I3987" s="408"/>
      <c r="J3987" s="408"/>
      <c r="K3987" s="399"/>
      <c r="L3987" s="408"/>
      <c r="M3987" s="65">
        <v>61188</v>
      </c>
      <c r="N3987" s="66" t="s">
        <v>25</v>
      </c>
      <c r="O3987" s="66" t="s">
        <v>41</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x</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customHeight="1">
      <c r="A3988" s="323" t="str">
        <f>IF(B3988&lt;&gt;"",IF(AND(B3988='IN-TC'!$S$4,OR(TH!N4023="1111",TH!O4023="1111")),TH!D4023,""),"")</f>
        <v/>
      </c>
      <c r="B3988" s="63">
        <f t="shared" si="257"/>
        <v>10</v>
      </c>
      <c r="C3988" s="64">
        <v>42668</v>
      </c>
      <c r="D3988" s="64" t="s">
        <v>690</v>
      </c>
      <c r="E3988" s="64">
        <f t="shared" si="260"/>
        <v>42668</v>
      </c>
      <c r="F3988" s="72" t="s">
        <v>1172</v>
      </c>
      <c r="G3988" s="67" t="s">
        <v>1544</v>
      </c>
      <c r="H3988" s="72" t="s">
        <v>1780</v>
      </c>
      <c r="I3988" s="408"/>
      <c r="J3988" s="408"/>
      <c r="K3988" s="399"/>
      <c r="L3988" s="408"/>
      <c r="M3988" s="65">
        <v>223700</v>
      </c>
      <c r="N3988" s="66" t="s">
        <v>99</v>
      </c>
      <c r="O3988" s="66" t="s">
        <v>25</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x</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customHeight="1">
      <c r="A3989" s="323" t="str">
        <f>IF(B3989&lt;&gt;"",IF(AND(B3989='IN-TC'!$S$4,OR(TH!N3881="1111",TH!O3881="1111")),TH!D3881,""),"")</f>
        <v/>
      </c>
      <c r="B3989" s="63">
        <f t="shared" si="257"/>
        <v>10</v>
      </c>
      <c r="C3989" s="1092">
        <v>42669</v>
      </c>
      <c r="D3989" s="1092" t="s">
        <v>890</v>
      </c>
      <c r="E3989" s="1092">
        <f t="shared" si="260"/>
        <v>42669</v>
      </c>
      <c r="F3989" s="482" t="s">
        <v>947</v>
      </c>
      <c r="G3989" s="1094"/>
      <c r="H3989" s="1093" t="s">
        <v>3001</v>
      </c>
      <c r="I3989" s="1095"/>
      <c r="J3989" s="1095"/>
      <c r="K3989" s="1096"/>
      <c r="L3989" s="1095"/>
      <c r="M3989" s="1097">
        <v>800000000</v>
      </c>
      <c r="N3989" s="1098" t="s">
        <v>266</v>
      </c>
      <c r="O3989" s="1098" t="s">
        <v>61</v>
      </c>
      <c r="P3989" s="82" t="str">
        <f>IF(AND('331-CT'!$E$7=TH!H3989,OR(N3989="331",O3989="331")),"x","")</f>
        <v/>
      </c>
      <c r="Q3989" s="82" t="str">
        <f>IF(AND(B3989='111'!$L$11,OR($N3989=$Q$7,$O3989=$Q$7)),"x","")</f>
        <v/>
      </c>
      <c r="R3989" s="82" t="str">
        <f>IF(AND($N3989=$Q$7,$B3989&lt;'111'!$L$11),"x","")</f>
        <v/>
      </c>
      <c r="S3989" s="82" t="str">
        <f>IF(AND($O3989=$Q$7,$B3989&lt;'111'!$L$11),"x","")</f>
        <v>x</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customHeight="1">
      <c r="A3990" s="323" t="str">
        <f>IF(B3990&lt;&gt;"",IF(AND(B3990='IN-TC'!$S$4,OR(TH!N3882="1111",TH!O3882="1111")),TH!D3882,""),"")</f>
        <v/>
      </c>
      <c r="B3990" s="63">
        <f t="shared" si="257"/>
        <v>10</v>
      </c>
      <c r="C3990" s="64">
        <v>42669</v>
      </c>
      <c r="D3990" s="64" t="s">
        <v>891</v>
      </c>
      <c r="E3990" s="64">
        <f t="shared" si="260"/>
        <v>42669</v>
      </c>
      <c r="F3990" s="72" t="s">
        <v>2080</v>
      </c>
      <c r="G3990" s="931" t="s">
        <v>2084</v>
      </c>
      <c r="H3990" s="72" t="s">
        <v>1382</v>
      </c>
      <c r="I3990" s="408"/>
      <c r="J3990" s="408"/>
      <c r="K3990" s="399"/>
      <c r="L3990" s="408"/>
      <c r="M3990" s="65">
        <v>1430000</v>
      </c>
      <c r="N3990" s="66" t="s">
        <v>99</v>
      </c>
      <c r="O3990" s="66" t="s">
        <v>61</v>
      </c>
      <c r="P3990" s="82" t="str">
        <f>IF(AND('331-CT'!$E$7=TH!H3990,OR(N3990="331",O3990="331")),"x","")</f>
        <v/>
      </c>
      <c r="Q3990" s="82" t="str">
        <f>IF(AND(B3990='111'!$L$11,OR($N3990=$Q$7,$O3990=$Q$7)),"x","")</f>
        <v/>
      </c>
      <c r="R3990" s="82" t="str">
        <f>IF(AND($N3990=$Q$7,$B3990&lt;'111'!$L$11),"x","")</f>
        <v/>
      </c>
      <c r="S3990" s="82" t="str">
        <f>IF(AND($O3990=$Q$7,$B3990&lt;'111'!$L$11),"x","")</f>
        <v>x</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customHeight="1">
      <c r="A3991" s="323" t="str">
        <f>IF(B3991&lt;&gt;"",IF(AND(B3991='IN-TC'!$S$4,OR(TH!N3883="1111",TH!O3883="1111")),TH!D3883,""),"")</f>
        <v/>
      </c>
      <c r="B3991" s="63">
        <f t="shared" si="257"/>
        <v>10</v>
      </c>
      <c r="C3991" s="64">
        <v>42670</v>
      </c>
      <c r="D3991" s="64" t="s">
        <v>894</v>
      </c>
      <c r="E3991" s="64">
        <f t="shared" si="260"/>
        <v>42670</v>
      </c>
      <c r="F3991" s="72" t="s">
        <v>2085</v>
      </c>
      <c r="G3991" s="931" t="s">
        <v>2086</v>
      </c>
      <c r="H3991" s="72" t="s">
        <v>823</v>
      </c>
      <c r="I3991" s="408"/>
      <c r="J3991" s="408"/>
      <c r="K3991" s="399"/>
      <c r="L3991" s="408"/>
      <c r="M3991" s="65">
        <v>16050000</v>
      </c>
      <c r="N3991" s="66" t="s">
        <v>99</v>
      </c>
      <c r="O3991" s="66" t="s">
        <v>61</v>
      </c>
      <c r="P3991" s="82" t="str">
        <f>IF(AND('331-CT'!$E$7=TH!H3991,OR(N3991="331",O3991="331")),"x","")</f>
        <v/>
      </c>
      <c r="Q3991" s="82" t="str">
        <f>IF(AND(B3991='111'!$L$11,OR($N3991=$Q$7,$O3991=$Q$7)),"x","")</f>
        <v/>
      </c>
      <c r="R3991" s="82" t="str">
        <f>IF(AND($N3991=$Q$7,$B3991&lt;'111'!$L$11),"x","")</f>
        <v/>
      </c>
      <c r="S3991" s="82" t="str">
        <f>IF(AND($O3991=$Q$7,$B3991&lt;'111'!$L$11),"x","")</f>
        <v>x</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customHeight="1">
      <c r="A3992" s="323" t="str">
        <f>IF(B3992&lt;&gt;"",IF(AND(B3992='IN-TC'!$S$4,OR(TH!N3884="1111",TH!O3884="1111")),TH!D3884,""),"")</f>
        <v/>
      </c>
      <c r="B3992" s="63">
        <f t="shared" si="257"/>
        <v>10</v>
      </c>
      <c r="C3992" s="64">
        <v>42670</v>
      </c>
      <c r="D3992" s="64" t="s">
        <v>894</v>
      </c>
      <c r="E3992" s="64">
        <f t="shared" si="260"/>
        <v>42670</v>
      </c>
      <c r="F3992" s="72" t="s">
        <v>2087</v>
      </c>
      <c r="G3992" s="931" t="s">
        <v>2086</v>
      </c>
      <c r="H3992" s="72" t="s">
        <v>823</v>
      </c>
      <c r="I3992" s="408"/>
      <c r="J3992" s="408"/>
      <c r="K3992" s="399"/>
      <c r="L3992" s="408"/>
      <c r="M3992" s="65">
        <v>1605000</v>
      </c>
      <c r="N3992" s="66" t="s">
        <v>9</v>
      </c>
      <c r="O3992" s="66" t="s">
        <v>61</v>
      </c>
      <c r="P3992" s="82" t="str">
        <f>IF(AND('331-CT'!$E$7=TH!H3992,OR(N3992="331",O3992="331")),"x","")</f>
        <v/>
      </c>
      <c r="Q3992" s="82" t="str">
        <f>IF(AND(B3992='111'!$L$11,OR($N3992=$Q$7,$O3992=$Q$7)),"x","")</f>
        <v/>
      </c>
      <c r="R3992" s="82" t="str">
        <f>IF(AND($N3992=$Q$7,$B3992&lt;'111'!$L$11),"x","")</f>
        <v/>
      </c>
      <c r="S3992" s="82" t="str">
        <f>IF(AND($O3992=$Q$7,$B3992&lt;'111'!$L$11),"x","")</f>
        <v>x</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x</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customHeight="1">
      <c r="A3993" s="323" t="str">
        <f>IF(B3993&lt;&gt;"",IF(AND(B3993='IN-TC'!$S$4,OR(TH!N3920="1111",TH!O3920="1111")),TH!D3920,""),"")</f>
        <v/>
      </c>
      <c r="B3993" s="63">
        <f t="shared" si="257"/>
        <v>10</v>
      </c>
      <c r="C3993" s="64">
        <v>42670</v>
      </c>
      <c r="D3993" s="64" t="s">
        <v>687</v>
      </c>
      <c r="E3993" s="64">
        <f t="shared" si="260"/>
        <v>42670</v>
      </c>
      <c r="F3993" s="72" t="s">
        <v>1181</v>
      </c>
      <c r="G3993" s="67" t="s">
        <v>908</v>
      </c>
      <c r="H3993" s="72" t="s">
        <v>2048</v>
      </c>
      <c r="I3993" s="408"/>
      <c r="J3993" s="408"/>
      <c r="K3993" s="399"/>
      <c r="L3993" s="408"/>
      <c r="M3993" s="65">
        <v>9000000</v>
      </c>
      <c r="N3993" s="66" t="s">
        <v>25</v>
      </c>
      <c r="O3993" s="66" t="s">
        <v>25</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customHeight="1">
      <c r="A3994" s="1227" t="str">
        <f>IF(B3994&lt;&gt;"",IF(AND(B3994='IN-TC'!$S$4,OR(TH!N623="1111",TH!O623="1111")),TH!D623,""),"")</f>
        <v/>
      </c>
      <c r="B3994" s="1228">
        <f t="shared" si="257"/>
        <v>12</v>
      </c>
      <c r="C3994" s="1229">
        <v>42726</v>
      </c>
      <c r="D3994" s="1229" t="s">
        <v>2984</v>
      </c>
      <c r="E3994" s="1229">
        <f t="shared" si="260"/>
        <v>42726</v>
      </c>
      <c r="F3994" s="1230" t="s">
        <v>455</v>
      </c>
      <c r="G3994" s="1231" t="s">
        <v>2739</v>
      </c>
      <c r="H3994" s="1232" t="s">
        <v>1198</v>
      </c>
      <c r="I3994" s="1233">
        <v>26390</v>
      </c>
      <c r="J3994" s="1233">
        <v>61000</v>
      </c>
      <c r="K3994" s="1234"/>
      <c r="L3994" s="1233"/>
      <c r="M3994" s="1235">
        <f>ROUND(I3994*J3994,0)</f>
        <v>1609790000</v>
      </c>
      <c r="N3994" s="1236" t="s">
        <v>276</v>
      </c>
      <c r="O3994" s="1236" t="s">
        <v>278</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customHeight="1">
      <c r="A3995" s="323" t="str">
        <f>IF(B3995&lt;&gt;"",IF(AND(B3995='IN-TC'!$S$4,OR(TH!N3885="1111",TH!O3885="1111")),TH!D3885,""),"")</f>
        <v/>
      </c>
      <c r="B3995" s="63">
        <f t="shared" si="257"/>
        <v>10</v>
      </c>
      <c r="C3995" s="1092">
        <v>42671</v>
      </c>
      <c r="D3995" s="1092" t="s">
        <v>895</v>
      </c>
      <c r="E3995" s="1092">
        <f t="shared" si="260"/>
        <v>42671</v>
      </c>
      <c r="F3995" s="482" t="s">
        <v>947</v>
      </c>
      <c r="G3995" s="1094"/>
      <c r="H3995" s="1093" t="s">
        <v>946</v>
      </c>
      <c r="I3995" s="1095"/>
      <c r="J3995" s="1095"/>
      <c r="K3995" s="1096"/>
      <c r="L3995" s="1095"/>
      <c r="M3995" s="1097">
        <v>520000000</v>
      </c>
      <c r="N3995" s="1098" t="s">
        <v>266</v>
      </c>
      <c r="O3995" s="1098" t="s">
        <v>61</v>
      </c>
      <c r="P3995" s="82" t="str">
        <f>IF(AND('331-CT'!$E$7=TH!H3995,OR(N3995="331",O3995="331")),"x","")</f>
        <v/>
      </c>
      <c r="Q3995" s="82" t="str">
        <f>IF(AND(B3995='111'!$L$11,OR($N3995=$Q$7,$O3995=$Q$7)),"x","")</f>
        <v/>
      </c>
      <c r="R3995" s="82" t="str">
        <f>IF(AND($N3995=$Q$7,$B3995&lt;'111'!$L$11),"x","")</f>
        <v/>
      </c>
      <c r="S3995" s="82" t="str">
        <f>IF(AND($O3995=$Q$7,$B3995&lt;'111'!$L$11),"x","")</f>
        <v>x</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customHeight="1">
      <c r="A3996" s="323" t="str">
        <f>IF(B3996&lt;&gt;"",IF(AND(B3996='IN-TC'!$S$4,OR(TH!N3886="1111",TH!O3886="1111")),TH!D3886,""),"")</f>
        <v/>
      </c>
      <c r="B3996" s="63">
        <f t="shared" si="257"/>
        <v>10</v>
      </c>
      <c r="C3996" s="1092">
        <v>42671</v>
      </c>
      <c r="D3996" s="1092" t="s">
        <v>896</v>
      </c>
      <c r="E3996" s="1092">
        <f t="shared" si="260"/>
        <v>42671</v>
      </c>
      <c r="F3996" s="482" t="s">
        <v>947</v>
      </c>
      <c r="G3996" s="1094"/>
      <c r="H3996" s="1093" t="s">
        <v>3001</v>
      </c>
      <c r="I3996" s="1095"/>
      <c r="J3996" s="1095"/>
      <c r="K3996" s="1096"/>
      <c r="L3996" s="1095"/>
      <c r="M3996" s="1097">
        <v>800000000</v>
      </c>
      <c r="N3996" s="1098" t="s">
        <v>266</v>
      </c>
      <c r="O3996" s="1098" t="s">
        <v>61</v>
      </c>
      <c r="P3996" s="82" t="str">
        <f>IF(AND('331-CT'!$E$7=TH!H3996,OR(N3996="331",O3996="331")),"x","")</f>
        <v/>
      </c>
      <c r="Q3996" s="82" t="str">
        <f>IF(AND(B3996='111'!$L$11,OR($N3996=$Q$7,$O3996=$Q$7)),"x","")</f>
        <v/>
      </c>
      <c r="R3996" s="82" t="str">
        <f>IF(AND($N3996=$Q$7,$B3996&lt;'111'!$L$11),"x","")</f>
        <v/>
      </c>
      <c r="S3996" s="82" t="str">
        <f>IF(AND($O3996=$Q$7,$B3996&lt;'111'!$L$11),"x","")</f>
        <v>x</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customHeight="1">
      <c r="A3997" s="323" t="str">
        <f>IF(B3997&lt;&gt;"",IF(AND(B3997='IN-TC'!$S$4,OR(TH!N3887="1111",TH!O3887="1111")),TH!D3887,""),"")</f>
        <v/>
      </c>
      <c r="B3997" s="63">
        <f t="shared" si="257"/>
        <v>10</v>
      </c>
      <c r="C3997" s="64">
        <v>42672</v>
      </c>
      <c r="D3997" s="64" t="s">
        <v>897</v>
      </c>
      <c r="E3997" s="64">
        <f t="shared" si="260"/>
        <v>42672</v>
      </c>
      <c r="F3997" s="72" t="s">
        <v>996</v>
      </c>
      <c r="G3997" s="931" t="s">
        <v>2088</v>
      </c>
      <c r="H3997" s="72" t="s">
        <v>1020</v>
      </c>
      <c r="I3997" s="408"/>
      <c r="J3997" s="408"/>
      <c r="K3997" s="399"/>
      <c r="L3997" s="408"/>
      <c r="M3997" s="65">
        <v>2050000</v>
      </c>
      <c r="N3997" s="66" t="s">
        <v>99</v>
      </c>
      <c r="O3997" s="66" t="s">
        <v>61</v>
      </c>
      <c r="P3997" s="82" t="str">
        <f>IF(AND('331-CT'!$E$7=TH!H3997,OR(N3997="331",O3997="331")),"x","")</f>
        <v/>
      </c>
      <c r="Q3997" s="82" t="str">
        <f>IF(AND(B3997='111'!$L$11,OR($N3997=$Q$7,$O3997=$Q$7)),"x","")</f>
        <v/>
      </c>
      <c r="R3997" s="82" t="str">
        <f>IF(AND($N3997=$Q$7,$B3997&lt;'111'!$L$11),"x","")</f>
        <v/>
      </c>
      <c r="S3997" s="82" t="str">
        <f>IF(AND($O3997=$Q$7,$B3997&lt;'111'!$L$11),"x","")</f>
        <v>x</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customHeight="1">
      <c r="A3998" s="323" t="str">
        <f>IF(B3998&lt;&gt;"",IF(AND(B3998='IN-TC'!$S$4,OR(TH!N3888="1111",TH!O3888="1111")),TH!D3888,""),"")</f>
        <v/>
      </c>
      <c r="B3998" s="63">
        <f t="shared" si="257"/>
        <v>10</v>
      </c>
      <c r="C3998" s="64">
        <v>42673</v>
      </c>
      <c r="D3998" s="64" t="s">
        <v>898</v>
      </c>
      <c r="E3998" s="64">
        <f t="shared" si="260"/>
        <v>42673</v>
      </c>
      <c r="F3998" s="72" t="s">
        <v>2030</v>
      </c>
      <c r="G3998" s="931" t="s">
        <v>2116</v>
      </c>
      <c r="H3998" s="72" t="s">
        <v>792</v>
      </c>
      <c r="I3998" s="408"/>
      <c r="J3998" s="408"/>
      <c r="K3998" s="399"/>
      <c r="L3998" s="408"/>
      <c r="M3998" s="65">
        <v>3674436</v>
      </c>
      <c r="N3998" s="66" t="s">
        <v>99</v>
      </c>
      <c r="O3998" s="66" t="s">
        <v>61</v>
      </c>
      <c r="P3998" s="82" t="str">
        <f>IF(AND('331-CT'!$E$7=TH!H3998,OR(N3998="331",O3998="331")),"x","")</f>
        <v/>
      </c>
      <c r="Q3998" s="82" t="str">
        <f>IF(AND(B3998='111'!$L$11,OR($N3998=$Q$7,$O3998=$Q$7)),"x","")</f>
        <v/>
      </c>
      <c r="R3998" s="82" t="str">
        <f>IF(AND($N3998=$Q$7,$B3998&lt;'111'!$L$11),"x","")</f>
        <v/>
      </c>
      <c r="S3998" s="82" t="str">
        <f>IF(AND($O3998=$Q$7,$B3998&lt;'111'!$L$11),"x","")</f>
        <v>x</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customHeight="1">
      <c r="A3999" s="323" t="str">
        <f>IF(B3999&lt;&gt;"",IF(AND(B3999='IN-TC'!$S$4,OR(TH!N3889="1111",TH!O3889="1111")),TH!D3889,""),"")</f>
        <v/>
      </c>
      <c r="B3999" s="63">
        <f t="shared" si="257"/>
        <v>10</v>
      </c>
      <c r="C3999" s="64">
        <v>42673</v>
      </c>
      <c r="D3999" s="64" t="s">
        <v>898</v>
      </c>
      <c r="E3999" s="64">
        <f t="shared" si="260"/>
        <v>42673</v>
      </c>
      <c r="F3999" s="72" t="s">
        <v>2031</v>
      </c>
      <c r="G3999" s="931" t="s">
        <v>2116</v>
      </c>
      <c r="H3999" s="72" t="s">
        <v>792</v>
      </c>
      <c r="I3999" s="408"/>
      <c r="J3999" s="408"/>
      <c r="K3999" s="399"/>
      <c r="L3999" s="408"/>
      <c r="M3999" s="65">
        <v>367444</v>
      </c>
      <c r="N3999" s="66" t="s">
        <v>9</v>
      </c>
      <c r="O3999" s="66" t="s">
        <v>61</v>
      </c>
      <c r="P3999" s="82" t="str">
        <f>IF(AND('331-CT'!$E$7=TH!H3999,OR(N3999="331",O3999="331")),"x","")</f>
        <v/>
      </c>
      <c r="Q3999" s="82" t="str">
        <f>IF(AND(B3999='111'!$L$11,OR($N3999=$Q$7,$O3999=$Q$7)),"x","")</f>
        <v/>
      </c>
      <c r="R3999" s="82" t="str">
        <f>IF(AND($N3999=$Q$7,$B3999&lt;'111'!$L$11),"x","")</f>
        <v/>
      </c>
      <c r="S3999" s="82" t="str">
        <f>IF(AND($O3999=$Q$7,$B3999&lt;'111'!$L$11),"x","")</f>
        <v>x</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x</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customHeight="1">
      <c r="A4000" s="323" t="str">
        <f>IF(B4000&lt;&gt;"",IF(AND(B4000='IN-TC'!$S$4,OR(TH!N3892="1111",TH!O3892="1111")),TH!D3892,""),"")</f>
        <v>C18</v>
      </c>
      <c r="B4000" s="63">
        <f t="shared" si="257"/>
        <v>10</v>
      </c>
      <c r="C4000" s="64">
        <v>42674</v>
      </c>
      <c r="D4000" s="64" t="s">
        <v>899</v>
      </c>
      <c r="E4000" s="64">
        <v>42668</v>
      </c>
      <c r="F4000" s="72" t="s">
        <v>2134</v>
      </c>
      <c r="G4000" s="931" t="s">
        <v>2136</v>
      </c>
      <c r="H4000" s="72" t="s">
        <v>613</v>
      </c>
      <c r="I4000" s="408"/>
      <c r="J4000" s="408"/>
      <c r="K4000" s="399"/>
      <c r="L4000" s="408"/>
      <c r="M4000" s="65">
        <f>137400+161250</f>
        <v>298650</v>
      </c>
      <c r="N4000" s="66" t="s">
        <v>579</v>
      </c>
      <c r="O4000" s="66" t="s">
        <v>61</v>
      </c>
      <c r="P4000" s="82" t="str">
        <f>IF(AND('331-CT'!$E$7=TH!H4000,OR(N4000="331",O4000="331")),"x","")</f>
        <v/>
      </c>
      <c r="Q4000" s="82" t="str">
        <f>IF(AND(B4000='111'!$L$11,OR($N4000=$Q$7,$O4000=$Q$7)),"x","")</f>
        <v/>
      </c>
      <c r="R4000" s="82" t="str">
        <f>IF(AND($N4000=$Q$7,$B4000&lt;'111'!$L$11),"x","")</f>
        <v/>
      </c>
      <c r="S4000" s="82" t="str">
        <f>IF(AND($O4000=$Q$7,$B4000&lt;'111'!$L$11),"x","")</f>
        <v>x</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customHeight="1">
      <c r="A4001" s="323" t="str">
        <f>IF(B4001&lt;&gt;"",IF(AND(B4001='IN-TC'!$S$4,OR(TH!N3893="1111",TH!O3893="1111")),TH!D3893,""),"")</f>
        <v>C19</v>
      </c>
      <c r="B4001" s="63">
        <f t="shared" si="257"/>
        <v>10</v>
      </c>
      <c r="C4001" s="64">
        <v>42674</v>
      </c>
      <c r="D4001" s="64" t="s">
        <v>899</v>
      </c>
      <c r="E4001" s="64">
        <v>42668</v>
      </c>
      <c r="F4001" s="72" t="s">
        <v>2135</v>
      </c>
      <c r="G4001" s="931" t="s">
        <v>2136</v>
      </c>
      <c r="H4001" s="72" t="s">
        <v>613</v>
      </c>
      <c r="I4001" s="408"/>
      <c r="J4001" s="408"/>
      <c r="K4001" s="399"/>
      <c r="L4001" s="408"/>
      <c r="M4001" s="65">
        <f>13740+16125</f>
        <v>29865</v>
      </c>
      <c r="N4001" s="66" t="s">
        <v>9</v>
      </c>
      <c r="O4001" s="66" t="s">
        <v>61</v>
      </c>
      <c r="P4001" s="82" t="str">
        <f>IF(AND('331-CT'!$E$7=TH!H4001,OR(N4001="331",O4001="331")),"x","")</f>
        <v/>
      </c>
      <c r="Q4001" s="82" t="str">
        <f>IF(AND(B4001='111'!$L$11,OR($N4001=$Q$7,$O4001=$Q$7)),"x","")</f>
        <v/>
      </c>
      <c r="R4001" s="82" t="str">
        <f>IF(AND($N4001=$Q$7,$B4001&lt;'111'!$L$11),"x","")</f>
        <v/>
      </c>
      <c r="S4001" s="82" t="str">
        <f>IF(AND($O4001=$Q$7,$B4001&lt;'111'!$L$11),"x","")</f>
        <v>x</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x</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customHeight="1">
      <c r="A4002" s="323" t="str">
        <f>IF(B4002&lt;&gt;"",IF(AND(B4002='IN-TC'!$S$4,OR(TH!N3894="1111",TH!O3894="1111")),TH!D3894,""),"")</f>
        <v/>
      </c>
      <c r="B4002" s="63">
        <f t="shared" si="257"/>
        <v>10</v>
      </c>
      <c r="C4002" s="64">
        <v>42674</v>
      </c>
      <c r="D4002" s="64" t="s">
        <v>948</v>
      </c>
      <c r="E4002" s="64">
        <f>C4002</f>
        <v>42674</v>
      </c>
      <c r="F4002" s="72" t="s">
        <v>1341</v>
      </c>
      <c r="G4002" s="931"/>
      <c r="H4002" s="72" t="s">
        <v>1343</v>
      </c>
      <c r="I4002" s="408"/>
      <c r="J4002" s="408"/>
      <c r="K4002" s="399"/>
      <c r="L4002" s="408"/>
      <c r="M4002" s="65">
        <v>2186364</v>
      </c>
      <c r="N4002" s="66" t="s">
        <v>99</v>
      </c>
      <c r="O4002" s="66" t="s">
        <v>61</v>
      </c>
      <c r="P4002" s="82" t="str">
        <f>IF(AND('331-CT'!$E$7=TH!H4002,OR(N4002="331",O4002="331")),"x","")</f>
        <v/>
      </c>
      <c r="Q4002" s="82" t="str">
        <f>IF(AND(B4002='111'!$L$11,OR($N4002=$Q$7,$O4002=$Q$7)),"x","")</f>
        <v/>
      </c>
      <c r="R4002" s="82" t="str">
        <f>IF(AND($N4002=$Q$7,$B4002&lt;'111'!$L$11),"x","")</f>
        <v/>
      </c>
      <c r="S4002" s="82" t="str">
        <f>IF(AND($O4002=$Q$7,$B4002&lt;'111'!$L$11),"x","")</f>
        <v>x</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customHeight="1">
      <c r="A4003" s="323" t="str">
        <f>IF(B4003&lt;&gt;"",IF(AND(B4003='IN-TC'!$S$4,OR(TH!N3895="1111",TH!O3895="1111")),TH!D3895,""),"")</f>
        <v>T04</v>
      </c>
      <c r="B4003" s="63">
        <f t="shared" si="257"/>
        <v>10</v>
      </c>
      <c r="C4003" s="64">
        <v>42674</v>
      </c>
      <c r="D4003" s="64" t="s">
        <v>948</v>
      </c>
      <c r="E4003" s="64">
        <f>C4003</f>
        <v>42674</v>
      </c>
      <c r="F4003" s="72" t="s">
        <v>1342</v>
      </c>
      <c r="G4003" s="931"/>
      <c r="H4003" s="72" t="s">
        <v>1343</v>
      </c>
      <c r="I4003" s="408"/>
      <c r="J4003" s="408"/>
      <c r="K4003" s="399"/>
      <c r="L4003" s="408"/>
      <c r="M4003" s="65">
        <v>218636</v>
      </c>
      <c r="N4003" s="66" t="s">
        <v>9</v>
      </c>
      <c r="O4003" s="66" t="s">
        <v>61</v>
      </c>
      <c r="P4003" s="82" t="str">
        <f>IF(AND('331-CT'!$E$7=TH!H4003,OR(N4003="331",O4003="331")),"x","")</f>
        <v/>
      </c>
      <c r="Q4003" s="82" t="str">
        <f>IF(AND(B4003='111'!$L$11,OR($N4003=$Q$7,$O4003=$Q$7)),"x","")</f>
        <v/>
      </c>
      <c r="R4003" s="82" t="str">
        <f>IF(AND($N4003=$Q$7,$B4003&lt;'111'!$L$11),"x","")</f>
        <v/>
      </c>
      <c r="S4003" s="82" t="str">
        <f>IF(AND($O4003=$Q$7,$B4003&lt;'111'!$L$11),"x","")</f>
        <v>x</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x</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customHeight="1">
      <c r="A4004" s="323" t="str">
        <f>IF(B4004&lt;&gt;"",IF(AND(B4004='IN-TC'!$S$4,OR(TH!N3896="1111",TH!O3896="1111")),TH!D3896,""),"")</f>
        <v>C20</v>
      </c>
      <c r="B4004" s="63">
        <f t="shared" si="257"/>
        <v>10</v>
      </c>
      <c r="C4004" s="90">
        <v>42674</v>
      </c>
      <c r="D4004" s="90" t="s">
        <v>949</v>
      </c>
      <c r="E4004" s="90">
        <f>C4004</f>
        <v>42674</v>
      </c>
      <c r="F4004" s="92" t="s">
        <v>2089</v>
      </c>
      <c r="G4004" s="91"/>
      <c r="H4004" s="92" t="s">
        <v>832</v>
      </c>
      <c r="I4004" s="414"/>
      <c r="J4004" s="414"/>
      <c r="K4004" s="405"/>
      <c r="L4004" s="414"/>
      <c r="M4004" s="93">
        <v>104058212</v>
      </c>
      <c r="N4004" s="83" t="s">
        <v>580</v>
      </c>
      <c r="O4004" s="83" t="s">
        <v>61</v>
      </c>
      <c r="P4004" s="82" t="str">
        <f>IF(AND('331-CT'!$E$7=TH!H4004,OR(N4004="331",O4004="331")),"x","")</f>
        <v/>
      </c>
      <c r="Q4004" s="82" t="str">
        <f>IF(AND(B4004='111'!$L$11,OR($N4004=$Q$7,$O4004=$Q$7)),"x","")</f>
        <v/>
      </c>
      <c r="R4004" s="82" t="str">
        <f>IF(AND($N4004=$Q$7,$B4004&lt;'111'!$L$11),"x","")</f>
        <v/>
      </c>
      <c r="S4004" s="82" t="str">
        <f>IF(AND($O4004=$Q$7,$B4004&lt;'111'!$L$11),"x","")</f>
        <v>x</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customHeight="1">
      <c r="A4005" s="323" t="str">
        <f>IF(B4005&lt;&gt;"",IF(AND(B4005='IN-TC'!$S$4,OR(TH!N3897="1111",TH!O3897="1111")),TH!D3897,""),"")</f>
        <v/>
      </c>
      <c r="B4005" s="63">
        <f t="shared" si="257"/>
        <v>10</v>
      </c>
      <c r="C4005" s="1092">
        <v>42674</v>
      </c>
      <c r="D4005" s="1092" t="s">
        <v>950</v>
      </c>
      <c r="E4005" s="1092">
        <f>C4005</f>
        <v>42674</v>
      </c>
      <c r="F4005" s="482" t="s">
        <v>947</v>
      </c>
      <c r="G4005" s="1094"/>
      <c r="H4005" s="1093" t="s">
        <v>3001</v>
      </c>
      <c r="I4005" s="1095"/>
      <c r="J4005" s="1095"/>
      <c r="K4005" s="1096"/>
      <c r="L4005" s="1095"/>
      <c r="M4005" s="1097">
        <v>672771500</v>
      </c>
      <c r="N4005" s="1098" t="s">
        <v>266</v>
      </c>
      <c r="O4005" s="1098" t="s">
        <v>61</v>
      </c>
      <c r="P4005" s="82" t="str">
        <f>IF(AND('331-CT'!$E$7=TH!H4005,OR(N4005="331",O4005="331")),"x","")</f>
        <v/>
      </c>
      <c r="Q4005" s="82" t="str">
        <f>IF(AND(B4005='111'!$L$11,OR($N4005=$Q$7,$O4005=$Q$7)),"x","")</f>
        <v/>
      </c>
      <c r="R4005" s="82" t="str">
        <f>IF(AND($N4005=$Q$7,$B4005&lt;'111'!$L$11),"x","")</f>
        <v/>
      </c>
      <c r="S4005" s="82" t="str">
        <f>IF(AND($O4005=$Q$7,$B4005&lt;'111'!$L$11),"x","")</f>
        <v>x</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customHeight="1">
      <c r="A4006" s="323" t="str">
        <f>IF(B4006&lt;&gt;"",IF(AND(B4006='IN-TC'!$S$4,OR(TH!N3898="1111",TH!O3898="1111")),TH!D3898,""),"")</f>
        <v/>
      </c>
      <c r="B4006" s="63">
        <f t="shared" si="257"/>
        <v>10</v>
      </c>
      <c r="C4006" s="78">
        <v>42674</v>
      </c>
      <c r="D4006" s="78" t="s">
        <v>951</v>
      </c>
      <c r="E4006" s="78">
        <v>42643</v>
      </c>
      <c r="F4006" s="80" t="s">
        <v>754</v>
      </c>
      <c r="G4006" s="934" t="s">
        <v>2106</v>
      </c>
      <c r="H4006" s="80" t="s">
        <v>2108</v>
      </c>
      <c r="I4006" s="406"/>
      <c r="J4006" s="406"/>
      <c r="K4006" s="397"/>
      <c r="L4006" s="406"/>
      <c r="M4006" s="81">
        <v>4000000</v>
      </c>
      <c r="N4006" s="82" t="s">
        <v>579</v>
      </c>
      <c r="O4006" s="82" t="s">
        <v>61</v>
      </c>
      <c r="P4006" s="82" t="str">
        <f>IF(AND('331-CT'!$E$7=TH!H4006,OR(N4006="331",O4006="331")),"x","")</f>
        <v/>
      </c>
      <c r="Q4006" s="82" t="str">
        <f>IF(AND(B4006='111'!$L$11,OR($N4006=$Q$7,$O4006=$Q$7)),"x","")</f>
        <v/>
      </c>
      <c r="R4006" s="82" t="str">
        <f>IF(AND($N4006=$Q$7,$B4006&lt;'111'!$L$11),"x","")</f>
        <v/>
      </c>
      <c r="S4006" s="82" t="str">
        <f>IF(AND($O4006=$Q$7,$B4006&lt;'111'!$L$11),"x","")</f>
        <v>x</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customHeight="1">
      <c r="A4007" s="323" t="str">
        <f>IF(B4007&lt;&gt;"",IF(AND(B4007='IN-TC'!$S$4,OR(TH!N3899="1111",TH!O3899="1111")),TH!D3899,""),"")</f>
        <v/>
      </c>
      <c r="B4007" s="63">
        <f t="shared" si="257"/>
        <v>10</v>
      </c>
      <c r="C4007" s="78">
        <v>42674</v>
      </c>
      <c r="D4007" s="78" t="s">
        <v>951</v>
      </c>
      <c r="E4007" s="78">
        <v>42643</v>
      </c>
      <c r="F4007" s="80" t="s">
        <v>755</v>
      </c>
      <c r="G4007" s="934" t="s">
        <v>2106</v>
      </c>
      <c r="H4007" s="80" t="s">
        <v>2108</v>
      </c>
      <c r="I4007" s="406"/>
      <c r="J4007" s="406"/>
      <c r="K4007" s="397"/>
      <c r="L4007" s="406"/>
      <c r="M4007" s="81">
        <v>400000</v>
      </c>
      <c r="N4007" s="82" t="s">
        <v>9</v>
      </c>
      <c r="O4007" s="82" t="s">
        <v>61</v>
      </c>
      <c r="P4007" s="82" t="str">
        <f>IF(AND('331-CT'!$E$7=TH!H4007,OR(N4007="331",O4007="331")),"x","")</f>
        <v/>
      </c>
      <c r="Q4007" s="82" t="str">
        <f>IF(AND(B4007='111'!$L$11,OR($N4007=$Q$7,$O4007=$Q$7)),"x","")</f>
        <v/>
      </c>
      <c r="R4007" s="82" t="str">
        <f>IF(AND($N4007=$Q$7,$B4007&lt;'111'!$L$11),"x","")</f>
        <v/>
      </c>
      <c r="S4007" s="82" t="str">
        <f>IF(AND($O4007=$Q$7,$B4007&lt;'111'!$L$11),"x","")</f>
        <v>x</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x</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customHeight="1">
      <c r="A4008" s="323" t="str">
        <f>IF(B4008&lt;&gt;"",IF(AND(B4008='IN-TC'!$S$4,OR(TH!N3900="1111",TH!O3900="1111")),TH!D3900,""),"")</f>
        <v/>
      </c>
      <c r="B4008" s="63">
        <f t="shared" si="257"/>
        <v>10</v>
      </c>
      <c r="C4008" s="78">
        <v>42674</v>
      </c>
      <c r="D4008" s="78" t="s">
        <v>951</v>
      </c>
      <c r="E4008" s="78">
        <f t="shared" ref="E4008:E4027" si="261">C4008</f>
        <v>42674</v>
      </c>
      <c r="F4008" s="80" t="s">
        <v>754</v>
      </c>
      <c r="G4008" s="934" t="s">
        <v>2107</v>
      </c>
      <c r="H4008" s="80" t="s">
        <v>2108</v>
      </c>
      <c r="I4008" s="406"/>
      <c r="J4008" s="406"/>
      <c r="K4008" s="397"/>
      <c r="L4008" s="406"/>
      <c r="M4008" s="81">
        <v>4000000</v>
      </c>
      <c r="N4008" s="82" t="s">
        <v>579</v>
      </c>
      <c r="O4008" s="82" t="s">
        <v>61</v>
      </c>
      <c r="P4008" s="82" t="str">
        <f>IF(AND('331-CT'!$E$7=TH!H4008,OR(N4008="331",O4008="331")),"x","")</f>
        <v/>
      </c>
      <c r="Q4008" s="82" t="str">
        <f>IF(AND(B4008='111'!$L$11,OR($N4008=$Q$7,$O4008=$Q$7)),"x","")</f>
        <v/>
      </c>
      <c r="R4008" s="82" t="str">
        <f>IF(AND($N4008=$Q$7,$B4008&lt;'111'!$L$11),"x","")</f>
        <v/>
      </c>
      <c r="S4008" s="82" t="str">
        <f>IF(AND($O4008=$Q$7,$B4008&lt;'111'!$L$11),"x","")</f>
        <v>x</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customHeight="1">
      <c r="A4009" s="323" t="str">
        <f>IF(B4009&lt;&gt;"",IF(AND(B4009='IN-TC'!$S$4,OR(TH!N3901="1111",TH!O3901="1111")),TH!D3901,""),"")</f>
        <v/>
      </c>
      <c r="B4009" s="63">
        <f t="shared" si="257"/>
        <v>10</v>
      </c>
      <c r="C4009" s="78">
        <v>42674</v>
      </c>
      <c r="D4009" s="78" t="s">
        <v>951</v>
      </c>
      <c r="E4009" s="78">
        <f t="shared" si="261"/>
        <v>42674</v>
      </c>
      <c r="F4009" s="80" t="s">
        <v>755</v>
      </c>
      <c r="G4009" s="934" t="s">
        <v>2107</v>
      </c>
      <c r="H4009" s="80" t="s">
        <v>2108</v>
      </c>
      <c r="I4009" s="406"/>
      <c r="J4009" s="406"/>
      <c r="K4009" s="397"/>
      <c r="L4009" s="406"/>
      <c r="M4009" s="81">
        <v>400000</v>
      </c>
      <c r="N4009" s="82" t="s">
        <v>9</v>
      </c>
      <c r="O4009" s="82" t="s">
        <v>61</v>
      </c>
      <c r="P4009" s="82" t="str">
        <f>IF(AND('331-CT'!$E$7=TH!H4009,OR(N4009="331",O4009="331")),"x","")</f>
        <v/>
      </c>
      <c r="Q4009" s="82" t="str">
        <f>IF(AND(B4009='111'!$L$11,OR($N4009=$Q$7,$O4009=$Q$7)),"x","")</f>
        <v/>
      </c>
      <c r="R4009" s="82" t="str">
        <f>IF(AND($N4009=$Q$7,$B4009&lt;'111'!$L$11),"x","")</f>
        <v/>
      </c>
      <c r="S4009" s="82" t="str">
        <f>IF(AND($O4009=$Q$7,$B4009&lt;'111'!$L$11),"x","")</f>
        <v>x</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x</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customHeight="1">
      <c r="A4010" s="323" t="str">
        <f>IF(B4010&lt;&gt;"",IF(AND(B4010='IN-TC'!$S$4,OR(TH!N3902="1111",TH!O3902="1111")),TH!D3902,""),"")</f>
        <v/>
      </c>
      <c r="B4010" s="63">
        <f t="shared" si="257"/>
        <v>10</v>
      </c>
      <c r="C4010" s="78">
        <v>42674</v>
      </c>
      <c r="D4010" s="78" t="s">
        <v>951</v>
      </c>
      <c r="E4010" s="78">
        <f t="shared" si="261"/>
        <v>42674</v>
      </c>
      <c r="F4010" s="80" t="s">
        <v>754</v>
      </c>
      <c r="G4010" s="934" t="s">
        <v>2129</v>
      </c>
      <c r="H4010" s="80" t="s">
        <v>2108</v>
      </c>
      <c r="I4010" s="406"/>
      <c r="J4010" s="406"/>
      <c r="K4010" s="397"/>
      <c r="L4010" s="406"/>
      <c r="M4010" s="81">
        <v>4000000</v>
      </c>
      <c r="N4010" s="82" t="s">
        <v>579</v>
      </c>
      <c r="O4010" s="82" t="s">
        <v>61</v>
      </c>
      <c r="P4010" s="82" t="str">
        <f>IF(AND('331-CT'!$E$7=TH!H4010,OR(N4010="331",O4010="331")),"x","")</f>
        <v/>
      </c>
      <c r="Q4010" s="82" t="str">
        <f>IF(AND(B4010='111'!$L$11,OR($N4010=$Q$7,$O4010=$Q$7)),"x","")</f>
        <v/>
      </c>
      <c r="R4010" s="82" t="str">
        <f>IF(AND($N4010=$Q$7,$B4010&lt;'111'!$L$11),"x","")</f>
        <v/>
      </c>
      <c r="S4010" s="82" t="str">
        <f>IF(AND($O4010=$Q$7,$B4010&lt;'111'!$L$11),"x","")</f>
        <v>x</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customHeight="1">
      <c r="A4011" s="323" t="str">
        <f>IF(B4011&lt;&gt;"",IF(AND(B4011='IN-TC'!$S$4,OR(TH!N3903="1111",TH!O3903="1111")),TH!D3903,""),"")</f>
        <v/>
      </c>
      <c r="B4011" s="63">
        <f t="shared" si="257"/>
        <v>10</v>
      </c>
      <c r="C4011" s="78">
        <v>42674</v>
      </c>
      <c r="D4011" s="78" t="s">
        <v>951</v>
      </c>
      <c r="E4011" s="78">
        <f t="shared" si="261"/>
        <v>42674</v>
      </c>
      <c r="F4011" s="80" t="s">
        <v>755</v>
      </c>
      <c r="G4011" s="934" t="s">
        <v>2129</v>
      </c>
      <c r="H4011" s="80" t="s">
        <v>2108</v>
      </c>
      <c r="I4011" s="406"/>
      <c r="J4011" s="406"/>
      <c r="K4011" s="397"/>
      <c r="L4011" s="406"/>
      <c r="M4011" s="81">
        <v>400000</v>
      </c>
      <c r="N4011" s="82" t="s">
        <v>9</v>
      </c>
      <c r="O4011" s="82" t="s">
        <v>61</v>
      </c>
      <c r="P4011" s="82" t="str">
        <f>IF(AND('331-CT'!$E$7=TH!H4011,OR(N4011="331",O4011="331")),"x","")</f>
        <v/>
      </c>
      <c r="Q4011" s="82" t="str">
        <f>IF(AND(B4011='111'!$L$11,OR($N4011=$Q$7,$O4011=$Q$7)),"x","")</f>
        <v/>
      </c>
      <c r="R4011" s="82" t="str">
        <f>IF(AND($N4011=$Q$7,$B4011&lt;'111'!$L$11),"x","")</f>
        <v/>
      </c>
      <c r="S4011" s="82" t="str">
        <f>IF(AND($O4011=$Q$7,$B4011&lt;'111'!$L$11),"x","")</f>
        <v>x</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x</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customHeight="1">
      <c r="A4012" s="323" t="str">
        <f>IF(B4012&lt;&gt;"",IF(AND(B4012='IN-TC'!$S$4,OR(TH!N4025="1111",TH!O4025="1111")),TH!D4025,""),"")</f>
        <v/>
      </c>
      <c r="B4012" s="63">
        <f t="shared" si="257"/>
        <v>10</v>
      </c>
      <c r="C4012" s="64">
        <v>42674</v>
      </c>
      <c r="D4012" s="64" t="s">
        <v>687</v>
      </c>
      <c r="E4012" s="64">
        <f t="shared" si="261"/>
        <v>42674</v>
      </c>
      <c r="F4012" s="72" t="s">
        <v>2142</v>
      </c>
      <c r="G4012" s="67" t="s">
        <v>1544</v>
      </c>
      <c r="H4012" s="72" t="s">
        <v>2171</v>
      </c>
      <c r="I4012" s="408"/>
      <c r="J4012" s="408"/>
      <c r="K4012" s="399">
        <v>33400</v>
      </c>
      <c r="L4012" s="408">
        <v>22308</v>
      </c>
      <c r="M4012" s="65">
        <v>745087200</v>
      </c>
      <c r="N4012" s="66" t="s">
        <v>25</v>
      </c>
      <c r="O4012" s="66" t="s">
        <v>254</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x</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customHeight="1">
      <c r="A4013" s="323" t="str">
        <f>IF(B4013&lt;&gt;"",IF(AND(B4013='IN-TC'!$S$4,OR(TH!N3963="1111",TH!O3963="1111")),TH!D3963,""),"")</f>
        <v/>
      </c>
      <c r="B4013" s="63">
        <f t="shared" si="257"/>
        <v>10</v>
      </c>
      <c r="C4013" s="64">
        <v>42674</v>
      </c>
      <c r="D4013" s="64" t="s">
        <v>690</v>
      </c>
      <c r="E4013" s="64">
        <f t="shared" si="261"/>
        <v>42674</v>
      </c>
      <c r="F4013" s="72" t="s">
        <v>2461</v>
      </c>
      <c r="G4013" s="67" t="s">
        <v>1544</v>
      </c>
      <c r="H4013" s="845" t="s">
        <v>1350</v>
      </c>
      <c r="I4013" s="408"/>
      <c r="J4013" s="408"/>
      <c r="K4013" s="399">
        <v>41590</v>
      </c>
      <c r="L4013" s="408">
        <v>22290</v>
      </c>
      <c r="M4013" s="65">
        <f>ROUND(K4013*L4013,0)</f>
        <v>927041100</v>
      </c>
      <c r="N4013" s="66" t="s">
        <v>260</v>
      </c>
      <c r="O4013" s="66" t="s">
        <v>576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customHeight="1">
      <c r="A4014" s="323" t="str">
        <f>IF(B4014&lt;&gt;"",IF(AND(B4014='IN-TC'!$S$4,OR(TH!N3964="1111",TH!O3964="1111")),TH!D3964,""),"")</f>
        <v/>
      </c>
      <c r="B4014" s="63">
        <f t="shared" ref="B4014:B4077" si="262">IF(C4014&lt;&gt;"",MONTH(C4014),"")</f>
        <v>10</v>
      </c>
      <c r="C4014" s="64">
        <v>42674</v>
      </c>
      <c r="D4014" s="64" t="s">
        <v>690</v>
      </c>
      <c r="E4014" s="64">
        <f t="shared" si="261"/>
        <v>42674</v>
      </c>
      <c r="F4014" s="72" t="s">
        <v>1874</v>
      </c>
      <c r="G4014" s="67" t="s">
        <v>1544</v>
      </c>
      <c r="H4014" s="845" t="s">
        <v>1350</v>
      </c>
      <c r="I4014" s="408"/>
      <c r="J4014" s="408"/>
      <c r="K4014" s="399">
        <v>170</v>
      </c>
      <c r="L4014" s="408">
        <v>22290</v>
      </c>
      <c r="M4014" s="65">
        <f>ROUND(K4014*L4014,0)</f>
        <v>3789300</v>
      </c>
      <c r="N4014" s="66" t="s">
        <v>99</v>
      </c>
      <c r="O4014" s="66" t="s">
        <v>576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customHeight="1">
      <c r="A4015" s="323" t="str">
        <f>IF(B4015&lt;&gt;"",IF(AND(B4015='IN-TC'!$S$4,OR(TH!N3965="1111",TH!O3965="1111")),TH!D3965,""),"")</f>
        <v/>
      </c>
      <c r="B4015" s="63">
        <f t="shared" si="262"/>
        <v>10</v>
      </c>
      <c r="C4015" s="64">
        <v>42674</v>
      </c>
      <c r="D4015" s="64" t="s">
        <v>690</v>
      </c>
      <c r="E4015" s="64">
        <f t="shared" si="261"/>
        <v>42674</v>
      </c>
      <c r="F4015" s="72" t="s">
        <v>1049</v>
      </c>
      <c r="G4015" s="67" t="s">
        <v>1544</v>
      </c>
      <c r="H4015" s="845" t="s">
        <v>1350</v>
      </c>
      <c r="I4015" s="408"/>
      <c r="J4015" s="408"/>
      <c r="K4015" s="399"/>
      <c r="L4015" s="408"/>
      <c r="M4015" s="65">
        <v>835200</v>
      </c>
      <c r="N4015" s="66" t="s">
        <v>576</v>
      </c>
      <c r="O4015" s="66" t="s">
        <v>41</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customHeight="1">
      <c r="A4016" s="323" t="str">
        <f>IF(B4016&lt;&gt;"",IF(AND(B4016='IN-TC'!$S$4,OR(TH!N3966="1111",TH!O3966="1111")),TH!D3966,""),"")</f>
        <v/>
      </c>
      <c r="B4016" s="63">
        <f t="shared" si="262"/>
        <v>10</v>
      </c>
      <c r="C4016" s="64">
        <v>42674</v>
      </c>
      <c r="D4016" s="64" t="s">
        <v>690</v>
      </c>
      <c r="E4016" s="64">
        <f t="shared" si="261"/>
        <v>42674</v>
      </c>
      <c r="F4016" s="72" t="s">
        <v>1898</v>
      </c>
      <c r="G4016" s="67" t="s">
        <v>1544</v>
      </c>
      <c r="H4016" s="845"/>
      <c r="I4016" s="408"/>
      <c r="J4016" s="408"/>
      <c r="K4016" s="399">
        <v>55.12</v>
      </c>
      <c r="L4016" s="408">
        <v>22290</v>
      </c>
      <c r="M4016" s="65">
        <f>ROUND(K4016*L4016,0)</f>
        <v>1228625</v>
      </c>
      <c r="N4016" s="66" t="s">
        <v>99</v>
      </c>
      <c r="O4016" s="66" t="s">
        <v>260</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customHeight="1">
      <c r="A4017" s="323" t="str">
        <f>IF(B4017&lt;&gt;"",IF(AND(B4017='IN-TC'!$S$4,OR(TH!N3967="1111",TH!O3967="1111")),TH!D3967,""),"")</f>
        <v/>
      </c>
      <c r="B4017" s="63">
        <f t="shared" si="262"/>
        <v>10</v>
      </c>
      <c r="C4017" s="64">
        <v>42674</v>
      </c>
      <c r="D4017" s="64" t="s">
        <v>690</v>
      </c>
      <c r="E4017" s="64">
        <f t="shared" si="261"/>
        <v>42674</v>
      </c>
      <c r="F4017" s="72" t="s">
        <v>2145</v>
      </c>
      <c r="G4017" s="67" t="s">
        <v>1544</v>
      </c>
      <c r="H4017" s="845"/>
      <c r="I4017" s="408"/>
      <c r="J4017" s="408"/>
      <c r="K4017" s="399">
        <v>5.5</v>
      </c>
      <c r="L4017" s="408">
        <v>22290</v>
      </c>
      <c r="M4017" s="65">
        <f>ROUND(K4017*L4017,0)</f>
        <v>122595</v>
      </c>
      <c r="N4017" s="66" t="s">
        <v>9</v>
      </c>
      <c r="O4017" s="66" t="s">
        <v>260</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x</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customHeight="1">
      <c r="A4018" s="323" t="str">
        <f>IF(B4018&lt;&gt;"",IF(AND(B4018='IN-TC'!$S$4,OR(TH!N3968="1111",TH!O3968="1111")),TH!D3968,""),"")</f>
        <v/>
      </c>
      <c r="B4018" s="63">
        <f t="shared" si="262"/>
        <v>10</v>
      </c>
      <c r="C4018" s="64">
        <v>42674</v>
      </c>
      <c r="D4018" s="64" t="s">
        <v>690</v>
      </c>
      <c r="E4018" s="64">
        <f t="shared" si="261"/>
        <v>42674</v>
      </c>
      <c r="F4018" s="72" t="s">
        <v>1172</v>
      </c>
      <c r="G4018" s="67" t="s">
        <v>1544</v>
      </c>
      <c r="H4018" s="845"/>
      <c r="I4018" s="408"/>
      <c r="J4018" s="408"/>
      <c r="K4018" s="399">
        <v>30.33</v>
      </c>
      <c r="L4018" s="408">
        <v>22290</v>
      </c>
      <c r="M4018" s="65">
        <f>ROUND(K4018*L4018,0)</f>
        <v>676056</v>
      </c>
      <c r="N4018" s="66" t="s">
        <v>99</v>
      </c>
      <c r="O4018" s="66" t="s">
        <v>260</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customHeight="1">
      <c r="A4019" s="323" t="str">
        <f>IF(B4019&lt;&gt;"",IF(AND(B4019='IN-TC'!$S$4,OR(TH!N3969="1111",TH!O3969="1111")),TH!D3969,""),"")</f>
        <v/>
      </c>
      <c r="B4019" s="63">
        <f t="shared" si="262"/>
        <v>10</v>
      </c>
      <c r="C4019" s="64">
        <v>42674</v>
      </c>
      <c r="D4019" s="64" t="s">
        <v>690</v>
      </c>
      <c r="E4019" s="64">
        <f t="shared" si="261"/>
        <v>42674</v>
      </c>
      <c r="F4019" s="72" t="s">
        <v>2174</v>
      </c>
      <c r="G4019" s="67" t="s">
        <v>1544</v>
      </c>
      <c r="H4019" s="72" t="s">
        <v>2143</v>
      </c>
      <c r="I4019" s="408"/>
      <c r="J4019" s="408"/>
      <c r="K4019" s="399">
        <v>37611.32</v>
      </c>
      <c r="L4019" s="408">
        <v>22290</v>
      </c>
      <c r="M4019" s="65">
        <f>ROUND(K4019*L4019,0)</f>
        <v>838356323</v>
      </c>
      <c r="N4019" s="66" t="s">
        <v>254</v>
      </c>
      <c r="O4019" s="66" t="s">
        <v>260</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customHeight="1">
      <c r="A4020" s="323" t="str">
        <f>IF(B4020&lt;&gt;"",IF(AND(B4020='IN-TC'!$S$4,OR(TH!N3970="1111",TH!O3970="1111")),TH!D3970,""),"")</f>
        <v/>
      </c>
      <c r="B4020" s="63">
        <f t="shared" si="262"/>
        <v>10</v>
      </c>
      <c r="C4020" s="64">
        <v>42674</v>
      </c>
      <c r="D4020" s="64" t="s">
        <v>690</v>
      </c>
      <c r="E4020" s="64">
        <f t="shared" si="261"/>
        <v>42674</v>
      </c>
      <c r="F4020" s="72" t="s">
        <v>1172</v>
      </c>
      <c r="G4020" s="67" t="s">
        <v>1544</v>
      </c>
      <c r="H4020" s="72" t="s">
        <v>2143</v>
      </c>
      <c r="I4020" s="408"/>
      <c r="J4020" s="408"/>
      <c r="K4020" s="399">
        <v>31.32</v>
      </c>
      <c r="L4020" s="408">
        <v>22290</v>
      </c>
      <c r="M4020" s="65">
        <f>ROUND(K4020*L4020,0)</f>
        <v>698123</v>
      </c>
      <c r="N4020" s="66" t="s">
        <v>99</v>
      </c>
      <c r="O4020" s="66" t="s">
        <v>254</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customHeight="1">
      <c r="A4021" s="323" t="str">
        <f>IF(B4021&lt;&gt;"",IF(AND(B4021='IN-TC'!$S$4,OR(TH!N3971="1111",TH!O3971="1111")),TH!D3971,""),"")</f>
        <v/>
      </c>
      <c r="B4021" s="63">
        <f t="shared" si="262"/>
        <v>10</v>
      </c>
      <c r="C4021" s="64">
        <v>42674</v>
      </c>
      <c r="D4021" s="64" t="s">
        <v>690</v>
      </c>
      <c r="E4021" s="64">
        <f t="shared" si="261"/>
        <v>42674</v>
      </c>
      <c r="F4021" s="72" t="s">
        <v>1049</v>
      </c>
      <c r="G4021" s="67" t="s">
        <v>1544</v>
      </c>
      <c r="H4021" s="72" t="s">
        <v>2143</v>
      </c>
      <c r="I4021" s="408"/>
      <c r="J4021" s="408"/>
      <c r="K4021" s="399"/>
      <c r="L4021" s="408"/>
      <c r="M4021" s="65">
        <v>396880</v>
      </c>
      <c r="N4021" s="66" t="s">
        <v>254</v>
      </c>
      <c r="O4021" s="66" t="s">
        <v>41</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customHeight="1">
      <c r="A4022" s="323" t="str">
        <f>IF(B4022&lt;&gt;"",IF(AND(B4022='IN-TC'!$S$4,OR(TH!N3972="1111",TH!O3972="1111")),TH!D3972,""),"")</f>
        <v/>
      </c>
      <c r="B4022" s="63">
        <f t="shared" si="262"/>
        <v>10</v>
      </c>
      <c r="C4022" s="64">
        <v>42674</v>
      </c>
      <c r="D4022" s="64" t="s">
        <v>690</v>
      </c>
      <c r="E4022" s="64">
        <f t="shared" si="261"/>
        <v>42674</v>
      </c>
      <c r="F4022" s="72" t="s">
        <v>1425</v>
      </c>
      <c r="G4022" s="67" t="s">
        <v>1544</v>
      </c>
      <c r="H4022" s="72" t="s">
        <v>1780</v>
      </c>
      <c r="I4022" s="408"/>
      <c r="J4022" s="408"/>
      <c r="K4022" s="399">
        <v>4200</v>
      </c>
      <c r="L4022" s="408">
        <v>22290</v>
      </c>
      <c r="M4022" s="65">
        <f>ROUND(K4022*L4022,0)</f>
        <v>93618000</v>
      </c>
      <c r="N4022" s="66" t="s">
        <v>25</v>
      </c>
      <c r="O4022" s="66" t="s">
        <v>260</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x</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customHeight="1">
      <c r="A4023" s="323" t="str">
        <f>IF(B4023&lt;&gt;"",IF(AND(B4023='IN-TC'!$S$4,OR(TH!N4024="1111",TH!O4024="1111")),TH!D4024,""),"")</f>
        <v>T08</v>
      </c>
      <c r="B4023" s="63">
        <f t="shared" si="262"/>
        <v>10</v>
      </c>
      <c r="C4023" s="64">
        <v>42674</v>
      </c>
      <c r="D4023" s="64" t="s">
        <v>690</v>
      </c>
      <c r="E4023" s="64">
        <f t="shared" si="261"/>
        <v>42674</v>
      </c>
      <c r="F4023" s="72" t="s">
        <v>2156</v>
      </c>
      <c r="G4023" s="67" t="s">
        <v>1544</v>
      </c>
      <c r="H4023" s="72" t="s">
        <v>1780</v>
      </c>
      <c r="I4023" s="408"/>
      <c r="J4023" s="408"/>
      <c r="K4023" s="399"/>
      <c r="L4023" s="408"/>
      <c r="M4023" s="65">
        <v>111850</v>
      </c>
      <c r="N4023" s="66" t="s">
        <v>99</v>
      </c>
      <c r="O4023" s="66" t="s">
        <v>25</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x</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customHeight="1">
      <c r="A4024" s="323" t="str">
        <f>IF(B4024&lt;&gt;"",IF(AND(B4024='IN-TC'!$S$4,OR(TH!N3890="1111",TH!O3890="1111")),TH!D3890,""),"")</f>
        <v>T02</v>
      </c>
      <c r="B4024" s="63">
        <f t="shared" si="262"/>
        <v>10</v>
      </c>
      <c r="C4024" s="64">
        <v>42674</v>
      </c>
      <c r="D4024" s="64" t="s">
        <v>2060</v>
      </c>
      <c r="E4024" s="64">
        <f t="shared" si="261"/>
        <v>42674</v>
      </c>
      <c r="F4024" s="72" t="s">
        <v>1126</v>
      </c>
      <c r="G4024" s="67" t="s">
        <v>1544</v>
      </c>
      <c r="H4024" s="72" t="s">
        <v>748</v>
      </c>
      <c r="I4024" s="408"/>
      <c r="J4024" s="408"/>
      <c r="K4024" s="399"/>
      <c r="L4024" s="408"/>
      <c r="M4024" s="65">
        <v>800000000</v>
      </c>
      <c r="N4024" s="66" t="s">
        <v>61</v>
      </c>
      <c r="O4024" s="66" t="s">
        <v>25</v>
      </c>
      <c r="P4024" s="82" t="str">
        <f>IF(AND('331-CT'!$E$7=TH!H4024,OR(N4024="331",O4024="331")),"x","")</f>
        <v/>
      </c>
      <c r="Q4024" s="82" t="str">
        <f>IF(AND(B4024='111'!$L$11,OR($N4024=$Q$7,$O4024=$Q$7)),"x","")</f>
        <v/>
      </c>
      <c r="R4024" s="82" t="str">
        <f>IF(AND($N4024=$Q$7,$B4024&lt;'111'!$L$11),"x","")</f>
        <v>x</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x</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customHeight="1">
      <c r="A4025" s="323" t="str">
        <f>IF(B4025&lt;&gt;"",IF(AND(B4025='IN-TC'!$S$4,OR(TH!N597="1111",TH!O597="1111")),TH!D597,""),"")</f>
        <v/>
      </c>
      <c r="B4025" s="63">
        <f t="shared" si="262"/>
        <v>12</v>
      </c>
      <c r="C4025" s="78">
        <v>42726</v>
      </c>
      <c r="D4025" s="78" t="s">
        <v>2708</v>
      </c>
      <c r="E4025" s="78">
        <f t="shared" si="261"/>
        <v>42726</v>
      </c>
      <c r="F4025" s="79" t="s">
        <v>455</v>
      </c>
      <c r="G4025" s="934" t="s">
        <v>2739</v>
      </c>
      <c r="H4025" s="80" t="s">
        <v>1198</v>
      </c>
      <c r="I4025" s="406">
        <v>26390</v>
      </c>
      <c r="J4025" s="406">
        <v>61000</v>
      </c>
      <c r="K4025" s="397"/>
      <c r="L4025" s="406"/>
      <c r="M4025" s="81">
        <f>ROUND(I4025*J4025,0)</f>
        <v>1609790000</v>
      </c>
      <c r="N4025" s="82" t="s">
        <v>278</v>
      </c>
      <c r="O4025" s="82" t="s">
        <v>8</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1" ht="15.75" customHeight="1">
      <c r="A4026" s="323" t="str">
        <f>IF(B4026&lt;&gt;"",IF(AND(B4026='IN-TC'!$S$4,OR(TH!N4027="1111",TH!O4027="1111")),TH!D4027,""),"")</f>
        <v/>
      </c>
      <c r="B4026" s="63">
        <f t="shared" si="262"/>
        <v>11</v>
      </c>
      <c r="C4026" s="64">
        <v>42675</v>
      </c>
      <c r="D4026" s="64" t="s">
        <v>851</v>
      </c>
      <c r="E4026" s="64">
        <f t="shared" si="261"/>
        <v>42675</v>
      </c>
      <c r="F4026" s="72" t="s">
        <v>2033</v>
      </c>
      <c r="G4026" s="931" t="s">
        <v>2387</v>
      </c>
      <c r="H4026" s="72" t="s">
        <v>1418</v>
      </c>
      <c r="I4026" s="408"/>
      <c r="J4026" s="408"/>
      <c r="K4026" s="399"/>
      <c r="L4026" s="408"/>
      <c r="M4026" s="65">
        <v>1803000</v>
      </c>
      <c r="N4026" s="66" t="s">
        <v>99</v>
      </c>
      <c r="O4026" s="66" t="s">
        <v>61</v>
      </c>
      <c r="P4026" s="82" t="str">
        <f>IF(AND('331-CT'!$E$7=TH!H4026,OR(N4026="331",O4026="331")),"x","")</f>
        <v/>
      </c>
      <c r="Q4026" s="82" t="str">
        <f>IF(AND(B4026='111'!$L$11,OR($N4026=$Q$7,$O4026=$Q$7)),"x","")</f>
        <v/>
      </c>
      <c r="R4026" s="82" t="str">
        <f>IF(AND($N4026=$Q$7,$B4026&lt;'111'!$L$11),"x","")</f>
        <v/>
      </c>
      <c r="S4026" s="82" t="str">
        <f>IF(AND($O4026=$Q$7,$B4026&lt;'111'!$L$11),"x","")</f>
        <v>x</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c r="AE4026">
        <v>1</v>
      </c>
    </row>
    <row r="4027" spans="1:31" ht="15.75" customHeight="1">
      <c r="A4027" s="323" t="str">
        <f>IF(B4027&lt;&gt;"",IF(AND(B4027='IN-TC'!$S$4,OR(TH!N4028="1111",TH!O4028="1111")),TH!D4028,""),"")</f>
        <v/>
      </c>
      <c r="B4027" s="63">
        <f t="shared" si="262"/>
        <v>11</v>
      </c>
      <c r="C4027" s="64">
        <v>42675</v>
      </c>
      <c r="D4027" s="64" t="s">
        <v>851</v>
      </c>
      <c r="E4027" s="64">
        <f t="shared" si="261"/>
        <v>42675</v>
      </c>
      <c r="F4027" s="72" t="s">
        <v>2034</v>
      </c>
      <c r="G4027" s="931" t="s">
        <v>2387</v>
      </c>
      <c r="H4027" s="72" t="s">
        <v>1418</v>
      </c>
      <c r="I4027" s="408"/>
      <c r="J4027" s="408"/>
      <c r="K4027" s="399"/>
      <c r="L4027" s="408"/>
      <c r="M4027" s="65">
        <v>180300</v>
      </c>
      <c r="N4027" s="66" t="s">
        <v>9</v>
      </c>
      <c r="O4027" s="66" t="s">
        <v>61</v>
      </c>
      <c r="P4027" s="82" t="str">
        <f>IF(AND('331-CT'!$E$7=TH!H4027,OR(N4027="331",O4027="331")),"x","")</f>
        <v/>
      </c>
      <c r="Q4027" s="82" t="str">
        <f>IF(AND(B4027='111'!$L$11,OR($N4027=$Q$7,$O4027=$Q$7)),"x","")</f>
        <v/>
      </c>
      <c r="R4027" s="82" t="str">
        <f>IF(AND($N4027=$Q$7,$B4027&lt;'111'!$L$11),"x","")</f>
        <v/>
      </c>
      <c r="S4027" s="82" t="str">
        <f>IF(AND($O4027=$Q$7,$B4027&lt;'111'!$L$11),"x","")</f>
        <v>x</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x</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c r="AE4027">
        <v>1</v>
      </c>
    </row>
    <row r="4028" spans="1:31" ht="15.75" customHeight="1">
      <c r="A4028" s="323" t="str">
        <f>IF(B4028&lt;&gt;"",IF(AND(B4028='IN-TC'!$S$4,OR(TH!N4029="1111",TH!O4029="1111")),TH!D4029,""),"")</f>
        <v/>
      </c>
      <c r="B4028" s="63">
        <f t="shared" si="262"/>
        <v>11</v>
      </c>
      <c r="C4028" s="64">
        <v>42675</v>
      </c>
      <c r="D4028" s="64" t="s">
        <v>852</v>
      </c>
      <c r="E4028" s="64">
        <v>42665</v>
      </c>
      <c r="F4028" s="72" t="s">
        <v>1678</v>
      </c>
      <c r="G4028" s="931" t="s">
        <v>2388</v>
      </c>
      <c r="H4028" s="72" t="s">
        <v>1514</v>
      </c>
      <c r="I4028" s="408"/>
      <c r="J4028" s="408"/>
      <c r="K4028" s="399"/>
      <c r="L4028" s="408"/>
      <c r="M4028" s="65">
        <v>300000</v>
      </c>
      <c r="N4028" s="66" t="s">
        <v>99</v>
      </c>
      <c r="O4028" s="66" t="s">
        <v>61</v>
      </c>
      <c r="P4028" s="82" t="str">
        <f>IF(AND('331-CT'!$E$7=TH!H4028,OR(N4028="331",O4028="331")),"x","")</f>
        <v/>
      </c>
      <c r="Q4028" s="82" t="str">
        <f>IF(AND(B4028='111'!$L$11,OR($N4028=$Q$7,$O4028=$Q$7)),"x","")</f>
        <v/>
      </c>
      <c r="R4028" s="82" t="str">
        <f>IF(AND($N4028=$Q$7,$B4028&lt;'111'!$L$11),"x","")</f>
        <v/>
      </c>
      <c r="S4028" s="82" t="str">
        <f>IF(AND($O4028=$Q$7,$B4028&lt;'111'!$L$11),"x","")</f>
        <v>x</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c r="AE4028">
        <v>1</v>
      </c>
    </row>
    <row r="4029" spans="1:31" ht="15.75" customHeight="1">
      <c r="A4029" s="323" t="str">
        <f>IF(B4029&lt;&gt;"",IF(AND(B4029='IN-TC'!$S$4,OR(TH!N4030="1111",TH!O4030="1111")),TH!D4030,""),"")</f>
        <v/>
      </c>
      <c r="B4029" s="63">
        <f t="shared" si="262"/>
        <v>11</v>
      </c>
      <c r="C4029" s="64">
        <v>42675</v>
      </c>
      <c r="D4029" s="64" t="s">
        <v>852</v>
      </c>
      <c r="E4029" s="64">
        <v>42665</v>
      </c>
      <c r="F4029" s="72" t="s">
        <v>1783</v>
      </c>
      <c r="G4029" s="931" t="s">
        <v>2388</v>
      </c>
      <c r="H4029" s="72" t="s">
        <v>1514</v>
      </c>
      <c r="I4029" s="408"/>
      <c r="J4029" s="408"/>
      <c r="K4029" s="399"/>
      <c r="L4029" s="408"/>
      <c r="M4029" s="65">
        <v>15000</v>
      </c>
      <c r="N4029" s="66" t="s">
        <v>9</v>
      </c>
      <c r="O4029" s="66" t="s">
        <v>61</v>
      </c>
      <c r="P4029" s="82" t="str">
        <f>IF(AND('331-CT'!$E$7=TH!H4029,OR(N4029="331",O4029="331")),"x","")</f>
        <v/>
      </c>
      <c r="Q4029" s="82" t="str">
        <f>IF(AND(B4029='111'!$L$11,OR($N4029=$Q$7,$O4029=$Q$7)),"x","")</f>
        <v/>
      </c>
      <c r="R4029" s="82" t="str">
        <f>IF(AND($N4029=$Q$7,$B4029&lt;'111'!$L$11),"x","")</f>
        <v/>
      </c>
      <c r="S4029" s="82" t="str">
        <f>IF(AND($O4029=$Q$7,$B4029&lt;'111'!$L$11),"x","")</f>
        <v>x</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x</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c r="AE4029">
        <v>1</v>
      </c>
    </row>
    <row r="4030" spans="1:31" ht="15.75" customHeight="1">
      <c r="A4030" s="323" t="str">
        <f>IF(B4030&lt;&gt;"",IF(AND(B4030='IN-TC'!$S$4,OR(TH!N4031="1111",TH!O4031="1111")),TH!D4031,""),"")</f>
        <v/>
      </c>
      <c r="B4030" s="63">
        <f t="shared" si="262"/>
        <v>11</v>
      </c>
      <c r="C4030" s="64">
        <v>42675</v>
      </c>
      <c r="D4030" s="64" t="s">
        <v>853</v>
      </c>
      <c r="E4030" s="64">
        <f t="shared" ref="E4030:E4061" si="263">C4030</f>
        <v>42675</v>
      </c>
      <c r="F4030" s="72" t="s">
        <v>2389</v>
      </c>
      <c r="G4030" s="931" t="s">
        <v>2391</v>
      </c>
      <c r="H4030" s="72" t="s">
        <v>786</v>
      </c>
      <c r="I4030" s="408"/>
      <c r="J4030" s="408"/>
      <c r="K4030" s="399"/>
      <c r="L4030" s="408"/>
      <c r="M4030" s="65">
        <v>132825</v>
      </c>
      <c r="N4030" s="66" t="s">
        <v>99</v>
      </c>
      <c r="O4030" s="66" t="s">
        <v>61</v>
      </c>
      <c r="P4030" s="82" t="str">
        <f>IF(AND('331-CT'!$E$7=TH!H4030,OR(N4030="331",O4030="331")),"x","")</f>
        <v/>
      </c>
      <c r="Q4030" s="82" t="str">
        <f>IF(AND(B4030='111'!$L$11,OR($N4030=$Q$7,$O4030=$Q$7)),"x","")</f>
        <v/>
      </c>
      <c r="R4030" s="82" t="str">
        <f>IF(AND($N4030=$Q$7,$B4030&lt;'111'!$L$11),"x","")</f>
        <v/>
      </c>
      <c r="S4030" s="82" t="str">
        <f>IF(AND($O4030=$Q$7,$B4030&lt;'111'!$L$11),"x","")</f>
        <v>x</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c r="AE4030">
        <v>1</v>
      </c>
    </row>
    <row r="4031" spans="1:31" ht="15.75" customHeight="1">
      <c r="A4031" s="323" t="str">
        <f>IF(B4031&lt;&gt;"",IF(AND(B4031='IN-TC'!$S$4,OR(TH!N4032="1111",TH!O4032="1111")),TH!D4032,""),"")</f>
        <v/>
      </c>
      <c r="B4031" s="63">
        <f t="shared" si="262"/>
        <v>11</v>
      </c>
      <c r="C4031" s="64">
        <v>42675</v>
      </c>
      <c r="D4031" s="64" t="s">
        <v>853</v>
      </c>
      <c r="E4031" s="64">
        <f t="shared" si="263"/>
        <v>42675</v>
      </c>
      <c r="F4031" s="72" t="s">
        <v>2390</v>
      </c>
      <c r="G4031" s="931" t="s">
        <v>2391</v>
      </c>
      <c r="H4031" s="72" t="s">
        <v>786</v>
      </c>
      <c r="I4031" s="408"/>
      <c r="J4031" s="408"/>
      <c r="K4031" s="399"/>
      <c r="L4031" s="408"/>
      <c r="M4031" s="65">
        <v>13283</v>
      </c>
      <c r="N4031" s="66" t="s">
        <v>9</v>
      </c>
      <c r="O4031" s="66" t="s">
        <v>61</v>
      </c>
      <c r="P4031" s="82" t="str">
        <f>IF(AND('331-CT'!$E$7=TH!H4031,OR(N4031="331",O4031="331")),"x","")</f>
        <v/>
      </c>
      <c r="Q4031" s="82" t="str">
        <f>IF(AND(B4031='111'!$L$11,OR($N4031=$Q$7,$O4031=$Q$7)),"x","")</f>
        <v/>
      </c>
      <c r="R4031" s="82" t="str">
        <f>IF(AND($N4031=$Q$7,$B4031&lt;'111'!$L$11),"x","")</f>
        <v/>
      </c>
      <c r="S4031" s="82" t="str">
        <f>IF(AND($O4031=$Q$7,$B4031&lt;'111'!$L$11),"x","")</f>
        <v>x</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x</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c r="AE4031">
        <v>1</v>
      </c>
    </row>
    <row r="4032" spans="1:31" ht="15.75" customHeight="1">
      <c r="A4032" s="323" t="str">
        <f>IF(B4032&lt;&gt;"",IF(AND(B4032='IN-TC'!$S$4,OR(TH!N4033="1111",TH!O4033="1111")),TH!D4033,""),"")</f>
        <v/>
      </c>
      <c r="B4032" s="63">
        <f t="shared" si="262"/>
        <v>11</v>
      </c>
      <c r="C4032" s="64">
        <v>42675</v>
      </c>
      <c r="D4032" s="64" t="s">
        <v>854</v>
      </c>
      <c r="E4032" s="64">
        <f t="shared" si="263"/>
        <v>42675</v>
      </c>
      <c r="F4032" s="72" t="s">
        <v>770</v>
      </c>
      <c r="G4032" s="931" t="s">
        <v>2392</v>
      </c>
      <c r="H4032" s="72" t="s">
        <v>792</v>
      </c>
      <c r="I4032" s="408"/>
      <c r="J4032" s="408"/>
      <c r="K4032" s="399"/>
      <c r="L4032" s="408"/>
      <c r="M4032" s="65">
        <v>1881564</v>
      </c>
      <c r="N4032" s="66" t="s">
        <v>99</v>
      </c>
      <c r="O4032" s="66" t="s">
        <v>61</v>
      </c>
      <c r="P4032" s="82" t="str">
        <f>IF(AND('331-CT'!$E$7=TH!H4032,OR(N4032="331",O4032="331")),"x","")</f>
        <v/>
      </c>
      <c r="Q4032" s="82" t="str">
        <f>IF(AND(B4032='111'!$L$11,OR($N4032=$Q$7,$O4032=$Q$7)),"x","")</f>
        <v/>
      </c>
      <c r="R4032" s="82" t="str">
        <f>IF(AND($N4032=$Q$7,$B4032&lt;'111'!$L$11),"x","")</f>
        <v/>
      </c>
      <c r="S4032" s="82" t="str">
        <f>IF(AND($O4032=$Q$7,$B4032&lt;'111'!$L$11),"x","")</f>
        <v>x</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c r="AE4032">
        <v>1</v>
      </c>
    </row>
    <row r="4033" spans="1:31" ht="15.75" customHeight="1">
      <c r="A4033" s="323" t="str">
        <f>IF(B4033&lt;&gt;"",IF(AND(B4033='IN-TC'!$S$4,OR(TH!N4034="1111",TH!O4034="1111")),TH!D4034,""),"")</f>
        <v/>
      </c>
      <c r="B4033" s="63">
        <f t="shared" si="262"/>
        <v>11</v>
      </c>
      <c r="C4033" s="64">
        <v>42675</v>
      </c>
      <c r="D4033" s="64" t="s">
        <v>854</v>
      </c>
      <c r="E4033" s="64">
        <f t="shared" si="263"/>
        <v>42675</v>
      </c>
      <c r="F4033" s="72" t="s">
        <v>771</v>
      </c>
      <c r="G4033" s="931" t="s">
        <v>2392</v>
      </c>
      <c r="H4033" s="72" t="s">
        <v>792</v>
      </c>
      <c r="I4033" s="408"/>
      <c r="J4033" s="408"/>
      <c r="K4033" s="399"/>
      <c r="L4033" s="408"/>
      <c r="M4033" s="65">
        <v>188156</v>
      </c>
      <c r="N4033" s="66" t="s">
        <v>9</v>
      </c>
      <c r="O4033" s="66" t="s">
        <v>61</v>
      </c>
      <c r="P4033" s="82" t="str">
        <f>IF(AND('331-CT'!$E$7=TH!H4033,OR(N4033="331",O4033="331")),"x","")</f>
        <v/>
      </c>
      <c r="Q4033" s="82" t="str">
        <f>IF(AND(B4033='111'!$L$11,OR($N4033=$Q$7,$O4033=$Q$7)),"x","")</f>
        <v/>
      </c>
      <c r="R4033" s="82" t="str">
        <f>IF(AND($N4033=$Q$7,$B4033&lt;'111'!$L$11),"x","")</f>
        <v/>
      </c>
      <c r="S4033" s="82" t="str">
        <f>IF(AND($O4033=$Q$7,$B4033&lt;'111'!$L$11),"x","")</f>
        <v>x</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x</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c r="AE4033">
        <v>1</v>
      </c>
    </row>
    <row r="4034" spans="1:31" ht="15.75" customHeight="1">
      <c r="A4034" s="323" t="str">
        <f>IF(B4034&lt;&gt;"",IF(AND(B4034='IN-TC'!$S$4,OR(TH!N4035="1111",TH!O4035="1111")),TH!D4035,""),"")</f>
        <v/>
      </c>
      <c r="B4034" s="63">
        <f t="shared" si="262"/>
        <v>11</v>
      </c>
      <c r="C4034" s="64">
        <v>42675</v>
      </c>
      <c r="D4034" s="64" t="s">
        <v>855</v>
      </c>
      <c r="E4034" s="64">
        <f t="shared" si="263"/>
        <v>42675</v>
      </c>
      <c r="F4034" s="72" t="s">
        <v>2393</v>
      </c>
      <c r="G4034" s="931" t="s">
        <v>2395</v>
      </c>
      <c r="H4034" s="72" t="s">
        <v>606</v>
      </c>
      <c r="I4034" s="408">
        <v>450</v>
      </c>
      <c r="J4034" s="408">
        <v>21080.808000000001</v>
      </c>
      <c r="K4034" s="399"/>
      <c r="L4034" s="408"/>
      <c r="M4034" s="65">
        <v>9486364</v>
      </c>
      <c r="N4034" s="66" t="s">
        <v>276</v>
      </c>
      <c r="O4034" s="66" t="s">
        <v>61</v>
      </c>
      <c r="P4034" s="82" t="str">
        <f>IF(AND('331-CT'!$E$7=TH!H4034,OR(N4034="331",O4034="331")),"x","")</f>
        <v/>
      </c>
      <c r="Q4034" s="82" t="str">
        <f>IF(AND(B4034='111'!$L$11,OR($N4034=$Q$7,$O4034=$Q$7)),"x","")</f>
        <v/>
      </c>
      <c r="R4034" s="82" t="str">
        <f>IF(AND($N4034=$Q$7,$B4034&lt;'111'!$L$11),"x","")</f>
        <v/>
      </c>
      <c r="S4034" s="82" t="str">
        <f>IF(AND($O4034=$Q$7,$B4034&lt;'111'!$L$11),"x","")</f>
        <v>x</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c r="AE4034">
        <v>1</v>
      </c>
    </row>
    <row r="4035" spans="1:31" ht="15.75" customHeight="1">
      <c r="A4035" s="323" t="str">
        <f>IF(B4035&lt;&gt;"",IF(AND(B4035='IN-TC'!$S$4,OR(TH!N4036="1111",TH!O4036="1111")),TH!D4036,""),"")</f>
        <v/>
      </c>
      <c r="B4035" s="63">
        <f t="shared" si="262"/>
        <v>11</v>
      </c>
      <c r="C4035" s="64">
        <v>42675</v>
      </c>
      <c r="D4035" s="64" t="s">
        <v>855</v>
      </c>
      <c r="E4035" s="64">
        <f t="shared" si="263"/>
        <v>42675</v>
      </c>
      <c r="F4035" s="72" t="s">
        <v>2394</v>
      </c>
      <c r="G4035" s="931" t="s">
        <v>2395</v>
      </c>
      <c r="H4035" s="72" t="s">
        <v>606</v>
      </c>
      <c r="I4035" s="408"/>
      <c r="J4035" s="408"/>
      <c r="K4035" s="399"/>
      <c r="L4035" s="408"/>
      <c r="M4035" s="65">
        <v>948636</v>
      </c>
      <c r="N4035" s="66" t="s">
        <v>9</v>
      </c>
      <c r="O4035" s="66" t="s">
        <v>61</v>
      </c>
      <c r="P4035" s="82" t="str">
        <f>IF(AND('331-CT'!$E$7=TH!H4035,OR(N4035="331",O4035="331")),"x","")</f>
        <v/>
      </c>
      <c r="Q4035" s="82" t="str">
        <f>IF(AND(B4035='111'!$L$11,OR($N4035=$Q$7,$O4035=$Q$7)),"x","")</f>
        <v/>
      </c>
      <c r="R4035" s="82" t="str">
        <f>IF(AND($N4035=$Q$7,$B4035&lt;'111'!$L$11),"x","")</f>
        <v/>
      </c>
      <c r="S4035" s="82" t="str">
        <f>IF(AND($O4035=$Q$7,$B4035&lt;'111'!$L$11),"x","")</f>
        <v>x</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x</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c r="AE4035">
        <v>1</v>
      </c>
    </row>
    <row r="4036" spans="1:31" ht="15.75" customHeight="1">
      <c r="A4036" s="323" t="str">
        <f>IF(B4036&lt;&gt;"",IF(AND(B4036='IN-TC'!$S$4,OR(TH!N4037="1111",TH!O4037="1111")),TH!D4037,""),"")</f>
        <v/>
      </c>
      <c r="B4036" s="63">
        <f t="shared" si="262"/>
        <v>11</v>
      </c>
      <c r="C4036" s="1092">
        <v>42675</v>
      </c>
      <c r="D4036" s="1092" t="s">
        <v>856</v>
      </c>
      <c r="E4036" s="1092">
        <f t="shared" si="263"/>
        <v>42675</v>
      </c>
      <c r="F4036" s="482" t="s">
        <v>947</v>
      </c>
      <c r="G4036" s="1094"/>
      <c r="H4036" s="1169" t="s">
        <v>946</v>
      </c>
      <c r="I4036" s="1095"/>
      <c r="J4036" s="1095"/>
      <c r="K4036" s="1096"/>
      <c r="L4036" s="1095"/>
      <c r="M4036" s="1097">
        <v>500000000</v>
      </c>
      <c r="N4036" s="1098" t="s">
        <v>266</v>
      </c>
      <c r="O4036" s="1098" t="s">
        <v>61</v>
      </c>
      <c r="P4036" s="82" t="str">
        <f>IF(AND('331-CT'!$E$7=TH!H4036,OR(N4036="331",O4036="331")),"x","")</f>
        <v/>
      </c>
      <c r="Q4036" s="82" t="str">
        <f>IF(AND(B4036='111'!$L$11,OR($N4036=$Q$7,$O4036=$Q$7)),"x","")</f>
        <v/>
      </c>
      <c r="R4036" s="82" t="str">
        <f>IF(AND($N4036=$Q$7,$B4036&lt;'111'!$L$11),"x","")</f>
        <v/>
      </c>
      <c r="S4036" s="82" t="str">
        <f>IF(AND($O4036=$Q$7,$B4036&lt;'111'!$L$11),"x","")</f>
        <v>x</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1" ht="15.75" customHeight="1">
      <c r="A4037" s="323" t="str">
        <f>IF(B4037&lt;&gt;"",IF(AND(B4037='IN-TC'!$S$4,OR(TH!N4040="1111",TH!O4040="1111")),TH!D4040,""),"")</f>
        <v/>
      </c>
      <c r="B4037" s="63">
        <f t="shared" si="262"/>
        <v>11</v>
      </c>
      <c r="C4037" s="1092">
        <v>42675</v>
      </c>
      <c r="D4037" s="1092" t="s">
        <v>858</v>
      </c>
      <c r="E4037" s="1092">
        <f t="shared" si="263"/>
        <v>42675</v>
      </c>
      <c r="F4037" s="482" t="s">
        <v>947</v>
      </c>
      <c r="G4037" s="1094"/>
      <c r="H4037" s="937" t="s">
        <v>3001</v>
      </c>
      <c r="I4037" s="1095"/>
      <c r="J4037" s="1095"/>
      <c r="K4037" s="1096"/>
      <c r="L4037" s="1095"/>
      <c r="M4037" s="1097">
        <v>700000000</v>
      </c>
      <c r="N4037" s="1098" t="s">
        <v>266</v>
      </c>
      <c r="O4037" s="1098" t="s">
        <v>61</v>
      </c>
      <c r="P4037" s="82" t="str">
        <f>IF(AND('331-CT'!$E$7=TH!H4037,OR(N4037="331",O4037="331")),"x","")</f>
        <v/>
      </c>
      <c r="Q4037" s="82" t="str">
        <f>IF(AND(B4037='111'!$L$11,OR($N4037=$Q$7,$O4037=$Q$7)),"x","")</f>
        <v/>
      </c>
      <c r="R4037" s="82" t="str">
        <f>IF(AND($N4037=$Q$7,$B4037&lt;'111'!$L$11),"x","")</f>
        <v/>
      </c>
      <c r="S4037" s="82" t="str">
        <f>IF(AND($O4037=$Q$7,$B4037&lt;'111'!$L$11),"x","")</f>
        <v>x</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1" ht="15.75" customHeight="1">
      <c r="A4038" s="1160" t="str">
        <f>IF(B4038&lt;&gt;"",IF(AND(B4038='IN-TC'!$S$4,OR(TH!N4253="1111",TH!O4253="1111")),TH!D4253,""),"")</f>
        <v/>
      </c>
      <c r="B4038" s="63">
        <f t="shared" si="262"/>
        <v>11</v>
      </c>
      <c r="C4038" s="78">
        <v>42675</v>
      </c>
      <c r="D4038" s="78" t="s">
        <v>687</v>
      </c>
      <c r="E4038" s="78">
        <f t="shared" si="263"/>
        <v>42675</v>
      </c>
      <c r="F4038" s="80" t="s">
        <v>1436</v>
      </c>
      <c r="G4038" s="79" t="s">
        <v>1544</v>
      </c>
      <c r="H4038" s="80" t="s">
        <v>1875</v>
      </c>
      <c r="I4038" s="406"/>
      <c r="J4038" s="406"/>
      <c r="K4038" s="397">
        <v>87732</v>
      </c>
      <c r="L4038" s="406">
        <v>22270</v>
      </c>
      <c r="M4038" s="81">
        <f>ROUND(K4038*L4038,0)</f>
        <v>1953791640</v>
      </c>
      <c r="N4038" s="82" t="s">
        <v>260</v>
      </c>
      <c r="O4038" s="82" t="s">
        <v>576</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1" ht="15.75" customHeight="1">
      <c r="A4039" s="1160" t="str">
        <f>IF(B4039&lt;&gt;"",IF(AND(B4039='IN-TC'!$S$4,OR(TH!N4254="1111",TH!O4254="1111")),TH!D4254,""),"")</f>
        <v/>
      </c>
      <c r="B4039" s="63">
        <f t="shared" si="262"/>
        <v>11</v>
      </c>
      <c r="C4039" s="78">
        <v>42675</v>
      </c>
      <c r="D4039" s="78" t="s">
        <v>687</v>
      </c>
      <c r="E4039" s="78">
        <f t="shared" si="263"/>
        <v>42675</v>
      </c>
      <c r="F4039" s="80" t="s">
        <v>1968</v>
      </c>
      <c r="G4039" s="79" t="s">
        <v>1544</v>
      </c>
      <c r="H4039" s="80" t="s">
        <v>1875</v>
      </c>
      <c r="I4039" s="406"/>
      <c r="J4039" s="406"/>
      <c r="K4039" s="397">
        <v>36</v>
      </c>
      <c r="L4039" s="406">
        <v>22270</v>
      </c>
      <c r="M4039" s="81">
        <f>ROUND(K4039*L4039,0)</f>
        <v>801720</v>
      </c>
      <c r="N4039" s="82" t="s">
        <v>99</v>
      </c>
      <c r="O4039" s="82" t="s">
        <v>576</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1" ht="15.75" customHeight="1">
      <c r="A4040" s="323" t="str">
        <f>IF(B4040&lt;&gt;"",IF(AND(B4040='IN-TC'!$S$4,OR(TH!N4168="1111",TH!O4168="1111")),TH!D4168,""),"")</f>
        <v/>
      </c>
      <c r="B4040" s="63">
        <f t="shared" si="262"/>
        <v>11</v>
      </c>
      <c r="C4040" s="64">
        <v>42675</v>
      </c>
      <c r="D4040" s="64" t="s">
        <v>687</v>
      </c>
      <c r="E4040" s="64">
        <f t="shared" si="263"/>
        <v>42675</v>
      </c>
      <c r="F4040" s="72" t="s">
        <v>1425</v>
      </c>
      <c r="G4040" s="67" t="s">
        <v>902</v>
      </c>
      <c r="H4040" s="72" t="s">
        <v>1779</v>
      </c>
      <c r="I4040" s="408"/>
      <c r="J4040" s="408"/>
      <c r="K4040" s="399">
        <v>87500</v>
      </c>
      <c r="L4040" s="408">
        <v>22320</v>
      </c>
      <c r="M4040" s="65">
        <f>ROUND(K4040*L4040,0)</f>
        <v>1953000000</v>
      </c>
      <c r="N4040" s="66" t="s">
        <v>25</v>
      </c>
      <c r="O4040" s="66" t="s">
        <v>260</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row>
    <row r="4041" spans="1:31" ht="15.75" customHeight="1">
      <c r="A4041" s="323" t="str">
        <f>IF(B4041&lt;&gt;"",IF(AND(B4041='IN-TC'!$S$4,OR(TH!N4188="1111",TH!O4188="1111")),TH!D4188,""),"")</f>
        <v/>
      </c>
      <c r="B4041" s="63">
        <f t="shared" si="262"/>
        <v>11</v>
      </c>
      <c r="C4041" s="64">
        <v>42675</v>
      </c>
      <c r="D4041" s="64" t="s">
        <v>687</v>
      </c>
      <c r="E4041" s="64">
        <f t="shared" si="263"/>
        <v>42675</v>
      </c>
      <c r="F4041" s="72" t="s">
        <v>1648</v>
      </c>
      <c r="G4041" s="67" t="s">
        <v>1640</v>
      </c>
      <c r="H4041" s="72" t="s">
        <v>1779</v>
      </c>
      <c r="I4041" s="408"/>
      <c r="J4041" s="408"/>
      <c r="K4041" s="399">
        <v>87500</v>
      </c>
      <c r="L4041" s="408">
        <v>22320</v>
      </c>
      <c r="M4041" s="65">
        <f>ROUND(K4041*L4041,0)</f>
        <v>1953000000</v>
      </c>
      <c r="N4041" s="66" t="s">
        <v>260</v>
      </c>
      <c r="O4041" s="66" t="s">
        <v>260</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row>
    <row r="4042" spans="1:31" ht="15.75" customHeight="1">
      <c r="A4042" s="323" t="str">
        <f>IF(B4042&lt;&gt;"",IF(AND(B4042='IN-TC'!$S$4,OR(TH!N4192="1111",TH!O4192="1111")),TH!D4192,""),"")</f>
        <v/>
      </c>
      <c r="B4042" s="63">
        <f t="shared" si="262"/>
        <v>11</v>
      </c>
      <c r="C4042" s="64">
        <v>42675</v>
      </c>
      <c r="D4042" s="64" t="s">
        <v>690</v>
      </c>
      <c r="E4042" s="64">
        <f t="shared" si="263"/>
        <v>42675</v>
      </c>
      <c r="F4042" s="72" t="s">
        <v>2450</v>
      </c>
      <c r="G4042" s="67" t="s">
        <v>1544</v>
      </c>
      <c r="H4042" s="72" t="s">
        <v>1780</v>
      </c>
      <c r="I4042" s="408"/>
      <c r="J4042" s="408"/>
      <c r="K4042" s="399"/>
      <c r="L4042" s="408"/>
      <c r="M4042" s="65">
        <v>1079509</v>
      </c>
      <c r="N4042" s="66" t="s">
        <v>99</v>
      </c>
      <c r="O4042" s="66" t="s">
        <v>25</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x</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1" ht="15.75" customHeight="1">
      <c r="A4043" s="323" t="str">
        <f>IF(B4043&lt;&gt;"",IF(AND(B4043='IN-TC'!$S$4,OR(TH!N4461="1111",TH!O4461="1111")),TH!D4461,""),"")</f>
        <v/>
      </c>
      <c r="B4043" s="63">
        <f t="shared" si="262"/>
        <v>12</v>
      </c>
      <c r="C4043" s="64">
        <v>42713</v>
      </c>
      <c r="D4043" s="64" t="s">
        <v>690</v>
      </c>
      <c r="E4043" s="64">
        <f t="shared" si="263"/>
        <v>42713</v>
      </c>
      <c r="F4043" s="72" t="s">
        <v>2734</v>
      </c>
      <c r="G4043" s="67" t="s">
        <v>901</v>
      </c>
      <c r="H4043" s="72" t="s">
        <v>617</v>
      </c>
      <c r="I4043" s="408"/>
      <c r="J4043" s="408"/>
      <c r="K4043" s="399"/>
      <c r="L4043" s="408"/>
      <c r="M4043" s="65">
        <v>27868940</v>
      </c>
      <c r="N4043" s="66" t="s">
        <v>8</v>
      </c>
      <c r="O4043" s="66" t="s">
        <v>25</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1" ht="15.75" customHeight="1">
      <c r="A4044" s="323" t="str">
        <f>IF(B4044&lt;&gt;"",IF(AND(B4044='IN-TC'!$S$4,OR(TH!N4194="1111",TH!O4194="1111")),TH!D4194,""),"")</f>
        <v/>
      </c>
      <c r="B4044" s="63">
        <f t="shared" si="262"/>
        <v>11</v>
      </c>
      <c r="C4044" s="64">
        <v>42675</v>
      </c>
      <c r="D4044" s="64" t="s">
        <v>690</v>
      </c>
      <c r="E4044" s="64">
        <f t="shared" si="263"/>
        <v>42675</v>
      </c>
      <c r="F4044" s="72" t="s">
        <v>2147</v>
      </c>
      <c r="G4044" s="67" t="s">
        <v>1544</v>
      </c>
      <c r="H4044" s="72" t="s">
        <v>1780</v>
      </c>
      <c r="I4044" s="408"/>
      <c r="J4044" s="408"/>
      <c r="K4044" s="399"/>
      <c r="L4044" s="408"/>
      <c r="M4044" s="65">
        <v>10000</v>
      </c>
      <c r="N4044" s="66" t="s">
        <v>99</v>
      </c>
      <c r="O4044" s="66" t="s">
        <v>25</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x</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customHeight="1">
      <c r="A4045" s="323" t="str">
        <f>IF(B4045&lt;&gt;"",IF(AND(B4045='IN-TC'!$S$4,OR(TH!N4195="1111",TH!O4195="1111")),TH!D4195,""),"")</f>
        <v/>
      </c>
      <c r="B4045" s="63">
        <f t="shared" si="262"/>
        <v>11</v>
      </c>
      <c r="C4045" s="64">
        <v>42675</v>
      </c>
      <c r="D4045" s="64" t="s">
        <v>690</v>
      </c>
      <c r="E4045" s="64">
        <f t="shared" si="263"/>
        <v>42675</v>
      </c>
      <c r="F4045" s="72" t="s">
        <v>2342</v>
      </c>
      <c r="G4045" s="67" t="s">
        <v>1544</v>
      </c>
      <c r="H4045" s="72" t="s">
        <v>1780</v>
      </c>
      <c r="I4045" s="408"/>
      <c r="J4045" s="408"/>
      <c r="K4045" s="399"/>
      <c r="L4045" s="408"/>
      <c r="M4045" s="65">
        <v>1000</v>
      </c>
      <c r="N4045" s="66" t="s">
        <v>9</v>
      </c>
      <c r="O4045" s="66" t="s">
        <v>25</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x</v>
      </c>
      <c r="W4045" s="82" t="str">
        <f>IF(AND('341-CT'!$H$9=H4045,OR(LEFT(N4045,3)=$W$7,LEFT(O4045,3)=$W$7)),"x","")</f>
        <v/>
      </c>
      <c r="X4045" s="82" t="str">
        <f>IF(OR(TH!N4045=TH!$X$7,O4045=TH!$X$7),"x","")</f>
        <v>x</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E4045">
        <v>1</v>
      </c>
    </row>
    <row r="4046" spans="1:31" ht="15.75" customHeight="1">
      <c r="A4046" s="323" t="str">
        <f>IF(B4046&lt;&gt;"",IF(AND(B4046='IN-TC'!$S$4,OR(TH!N4255="1111",TH!O4255="1111")),TH!D4255,""),"")</f>
        <v/>
      </c>
      <c r="B4046" s="63">
        <f t="shared" si="262"/>
        <v>11</v>
      </c>
      <c r="C4046" s="64">
        <v>42675</v>
      </c>
      <c r="D4046" s="64" t="s">
        <v>690</v>
      </c>
      <c r="E4046" s="64">
        <f t="shared" si="263"/>
        <v>42675</v>
      </c>
      <c r="F4046" s="72" t="s">
        <v>2140</v>
      </c>
      <c r="G4046" s="67" t="s">
        <v>1544</v>
      </c>
      <c r="H4046" s="72" t="s">
        <v>1780</v>
      </c>
      <c r="I4046" s="408"/>
      <c r="J4046" s="408"/>
      <c r="K4046" s="399">
        <v>3</v>
      </c>
      <c r="L4046" s="406">
        <v>22270</v>
      </c>
      <c r="M4046" s="65">
        <f t="shared" ref="M4046:M4051" si="264">ROUND(K4046*L4046,0)</f>
        <v>66810</v>
      </c>
      <c r="N4046" s="66" t="s">
        <v>99</v>
      </c>
      <c r="O4046" s="66" t="s">
        <v>260</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c r="AE4046">
        <v>1</v>
      </c>
    </row>
    <row r="4047" spans="1:31" ht="15.75" customHeight="1">
      <c r="A4047" s="323" t="str">
        <f>IF(B4047&lt;&gt;"",IF(AND(B4047='IN-TC'!$S$4,OR(TH!N4256="1111",TH!O4256="1111")),TH!D4256,""),"")</f>
        <v/>
      </c>
      <c r="B4047" s="63">
        <f t="shared" si="262"/>
        <v>11</v>
      </c>
      <c r="C4047" s="64">
        <v>42675</v>
      </c>
      <c r="D4047" s="64" t="s">
        <v>690</v>
      </c>
      <c r="E4047" s="64">
        <f t="shared" si="263"/>
        <v>42675</v>
      </c>
      <c r="F4047" s="72" t="s">
        <v>2141</v>
      </c>
      <c r="G4047" s="67" t="s">
        <v>1544</v>
      </c>
      <c r="H4047" s="72" t="s">
        <v>1780</v>
      </c>
      <c r="I4047" s="408"/>
      <c r="J4047" s="408"/>
      <c r="K4047" s="399">
        <v>0.3</v>
      </c>
      <c r="L4047" s="406">
        <v>22270</v>
      </c>
      <c r="M4047" s="65">
        <f t="shared" si="264"/>
        <v>6681</v>
      </c>
      <c r="N4047" s="66" t="s">
        <v>9</v>
      </c>
      <c r="O4047" s="66" t="s">
        <v>260</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x</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c r="AE4047">
        <v>1</v>
      </c>
    </row>
    <row r="4048" spans="1:31" ht="15.75" customHeight="1">
      <c r="A4048" s="323" t="str">
        <f>IF(B4048&lt;&gt;"",IF(AND(B4048='IN-TC'!$S$4,OR(TH!N4154="1111",TH!O4154="1111")),TH!D4154,""),"")</f>
        <v/>
      </c>
      <c r="B4048" s="63">
        <f t="shared" si="262"/>
        <v>11</v>
      </c>
      <c r="C4048" s="64">
        <v>42676</v>
      </c>
      <c r="D4048" s="64" t="s">
        <v>690</v>
      </c>
      <c r="E4048" s="64">
        <f t="shared" si="263"/>
        <v>42676</v>
      </c>
      <c r="F4048" s="72" t="s">
        <v>1172</v>
      </c>
      <c r="G4048" s="67" t="s">
        <v>901</v>
      </c>
      <c r="H4048" s="72"/>
      <c r="I4048" s="408"/>
      <c r="J4048" s="408"/>
      <c r="K4048" s="399">
        <v>5</v>
      </c>
      <c r="L4048" s="408">
        <v>22300</v>
      </c>
      <c r="M4048" s="65">
        <f t="shared" si="264"/>
        <v>111500</v>
      </c>
      <c r="N4048" s="66" t="s">
        <v>99</v>
      </c>
      <c r="O4048" s="66" t="s">
        <v>260</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c r="AE4048">
        <v>1</v>
      </c>
    </row>
    <row r="4049" spans="1:31" ht="15.75" customHeight="1">
      <c r="A4049" s="323" t="str">
        <f>IF(B4049&lt;&gt;"",IF(AND(B4049='IN-TC'!$S$4,OR(TH!N4155="1111",TH!O4155="1111")),TH!D4155,""),"")</f>
        <v/>
      </c>
      <c r="B4049" s="63">
        <f t="shared" si="262"/>
        <v>11</v>
      </c>
      <c r="C4049" s="64">
        <v>42676</v>
      </c>
      <c r="D4049" s="64" t="s">
        <v>690</v>
      </c>
      <c r="E4049" s="64">
        <f t="shared" si="263"/>
        <v>42676</v>
      </c>
      <c r="F4049" s="72" t="s">
        <v>1173</v>
      </c>
      <c r="G4049" s="67" t="s">
        <v>901</v>
      </c>
      <c r="H4049" s="72" t="s">
        <v>2048</v>
      </c>
      <c r="I4049" s="408"/>
      <c r="J4049" s="408"/>
      <c r="K4049" s="399">
        <v>0.5</v>
      </c>
      <c r="L4049" s="408">
        <v>22300</v>
      </c>
      <c r="M4049" s="65">
        <f t="shared" si="264"/>
        <v>11150</v>
      </c>
      <c r="N4049" s="66" t="s">
        <v>9</v>
      </c>
      <c r="O4049" s="66" t="s">
        <v>260</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x</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E4049">
        <v>1</v>
      </c>
    </row>
    <row r="4050" spans="1:31" ht="15.75" customHeight="1">
      <c r="A4050" s="323" t="str">
        <f>IF(B4050&lt;&gt;"",IF(AND(B4050='IN-TC'!$S$4,OR(TH!N4156="1111",TH!O4156="1111")),TH!D4156,""),"")</f>
        <v/>
      </c>
      <c r="B4050" s="63">
        <f t="shared" si="262"/>
        <v>11</v>
      </c>
      <c r="C4050" s="64">
        <v>42676</v>
      </c>
      <c r="D4050" s="64" t="s">
        <v>690</v>
      </c>
      <c r="E4050" s="64">
        <f t="shared" si="263"/>
        <v>42676</v>
      </c>
      <c r="F4050" s="72" t="s">
        <v>601</v>
      </c>
      <c r="G4050" s="67" t="s">
        <v>901</v>
      </c>
      <c r="H4050" s="72"/>
      <c r="I4050" s="408"/>
      <c r="J4050" s="408"/>
      <c r="K4050" s="399">
        <v>5</v>
      </c>
      <c r="L4050" s="408">
        <v>22300</v>
      </c>
      <c r="M4050" s="65">
        <f t="shared" si="264"/>
        <v>111500</v>
      </c>
      <c r="N4050" s="66" t="s">
        <v>99</v>
      </c>
      <c r="O4050" s="66" t="s">
        <v>260</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customHeight="1">
      <c r="A4051" s="323" t="str">
        <f>IF(B4051&lt;&gt;"",IF(AND(B4051='IN-TC'!$S$4,OR(TH!N4157="1111",TH!O4157="1111")),TH!D4157,""),"")</f>
        <v/>
      </c>
      <c r="B4051" s="63">
        <f t="shared" si="262"/>
        <v>11</v>
      </c>
      <c r="C4051" s="64">
        <v>42676</v>
      </c>
      <c r="D4051" s="64" t="s">
        <v>690</v>
      </c>
      <c r="E4051" s="64">
        <f t="shared" si="263"/>
        <v>42676</v>
      </c>
      <c r="F4051" s="72" t="s">
        <v>1178</v>
      </c>
      <c r="G4051" s="67" t="s">
        <v>901</v>
      </c>
      <c r="H4051" s="72" t="s">
        <v>2048</v>
      </c>
      <c r="I4051" s="408"/>
      <c r="J4051" s="408"/>
      <c r="K4051" s="399">
        <v>0.5</v>
      </c>
      <c r="L4051" s="408">
        <v>22300</v>
      </c>
      <c r="M4051" s="65">
        <f t="shared" si="264"/>
        <v>11150</v>
      </c>
      <c r="N4051" s="66" t="s">
        <v>9</v>
      </c>
      <c r="O4051" s="66" t="s">
        <v>260</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x</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customHeight="1">
      <c r="A4052" s="323" t="str">
        <f>IF(B4052&lt;&gt;"",IF(AND(B4052='IN-TC'!$S$4,OR(TH!N4498="1111",TH!O4498="1111")),TH!D4498,""),"")</f>
        <v/>
      </c>
      <c r="B4052" s="63">
        <f t="shared" si="262"/>
        <v>12</v>
      </c>
      <c r="C4052" s="64">
        <v>42726</v>
      </c>
      <c r="D4052" s="64" t="s">
        <v>687</v>
      </c>
      <c r="E4052" s="64">
        <f t="shared" si="263"/>
        <v>42726</v>
      </c>
      <c r="F4052" s="72" t="s">
        <v>2045</v>
      </c>
      <c r="G4052" s="67" t="s">
        <v>901</v>
      </c>
      <c r="H4052" s="72" t="s">
        <v>1198</v>
      </c>
      <c r="I4052" s="408"/>
      <c r="J4052" s="408"/>
      <c r="K4052" s="399"/>
      <c r="L4052" s="408"/>
      <c r="M4052" s="65">
        <v>100000000</v>
      </c>
      <c r="N4052" s="66" t="s">
        <v>25</v>
      </c>
      <c r="O4052" s="66" t="s">
        <v>70</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row>
    <row r="4053" spans="1:31" ht="15.75" customHeight="1">
      <c r="A4053" s="1160" t="str">
        <f>IF(B4053&lt;&gt;"",IF(AND(B4053='IN-TC'!$S$4,OR(TH!N1089="1111",TH!O1089="1111")),TH!D1089,""),"")</f>
        <v/>
      </c>
      <c r="B4053" s="948">
        <f t="shared" si="262"/>
        <v>12</v>
      </c>
      <c r="C4053" s="78">
        <v>42728</v>
      </c>
      <c r="D4053" s="78" t="s">
        <v>2889</v>
      </c>
      <c r="E4053" s="78">
        <f t="shared" si="263"/>
        <v>42728</v>
      </c>
      <c r="F4053" s="80" t="s">
        <v>637</v>
      </c>
      <c r="G4053" s="934" t="s">
        <v>2888</v>
      </c>
      <c r="H4053" s="310" t="s">
        <v>608</v>
      </c>
      <c r="I4053" s="406"/>
      <c r="J4053" s="406"/>
      <c r="K4053" s="397"/>
      <c r="L4053" s="406"/>
      <c r="M4053" s="81">
        <v>1404000</v>
      </c>
      <c r="N4053" s="82" t="s">
        <v>9</v>
      </c>
      <c r="O4053" s="82" t="s">
        <v>8</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x</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customHeight="1">
      <c r="A4054" s="323" t="str">
        <f>IF(B4054&lt;&gt;"",IF(AND(B4054='IN-TC'!$S$4,OR(TH!N4171="1111",TH!O4171="1111")),TH!D4171,""),"")</f>
        <v/>
      </c>
      <c r="B4054" s="63">
        <f t="shared" si="262"/>
        <v>11</v>
      </c>
      <c r="C4054" s="64">
        <v>42676</v>
      </c>
      <c r="D4054" s="64" t="s">
        <v>690</v>
      </c>
      <c r="E4054" s="64">
        <f t="shared" si="263"/>
        <v>42676</v>
      </c>
      <c r="F4054" s="72" t="s">
        <v>2147</v>
      </c>
      <c r="G4054" s="67" t="s">
        <v>902</v>
      </c>
      <c r="H4054" s="72" t="s">
        <v>1779</v>
      </c>
      <c r="I4054" s="408"/>
      <c r="J4054" s="408"/>
      <c r="K4054" s="399"/>
      <c r="L4054" s="408"/>
      <c r="M4054" s="65">
        <v>30000</v>
      </c>
      <c r="N4054" s="66" t="s">
        <v>99</v>
      </c>
      <c r="O4054" s="66" t="s">
        <v>25</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customHeight="1">
      <c r="A4055" s="323" t="str">
        <f>IF(B4055&lt;&gt;"",IF(AND(B4055='IN-TC'!$S$4,OR(TH!N4172="1111",TH!O4172="1111")),TH!D4172,""),"")</f>
        <v/>
      </c>
      <c r="B4055" s="63">
        <f t="shared" si="262"/>
        <v>11</v>
      </c>
      <c r="C4055" s="64">
        <v>42676</v>
      </c>
      <c r="D4055" s="64" t="s">
        <v>690</v>
      </c>
      <c r="E4055" s="64">
        <f t="shared" si="263"/>
        <v>42676</v>
      </c>
      <c r="F4055" s="72" t="s">
        <v>2148</v>
      </c>
      <c r="G4055" s="67" t="s">
        <v>902</v>
      </c>
      <c r="H4055" s="72" t="s">
        <v>1779</v>
      </c>
      <c r="I4055" s="408"/>
      <c r="J4055" s="408"/>
      <c r="K4055" s="399"/>
      <c r="L4055" s="408"/>
      <c r="M4055" s="65">
        <v>3000</v>
      </c>
      <c r="N4055" s="66" t="s">
        <v>9</v>
      </c>
      <c r="O4055" s="66" t="s">
        <v>25</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x</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E4055">
        <v>1</v>
      </c>
    </row>
    <row r="4056" spans="1:31" ht="15.75" customHeight="1">
      <c r="A4056" s="323" t="str">
        <f>IF(B4056&lt;&gt;"",IF(AND(B4056='IN-TC'!$S$4,OR(TH!N2189="1111",TH!O2189="1111")),TH!D2189,""),"")</f>
        <v/>
      </c>
      <c r="B4056" s="63">
        <f t="shared" si="262"/>
        <v>12</v>
      </c>
      <c r="C4056" s="78">
        <v>42735</v>
      </c>
      <c r="D4056" s="78" t="s">
        <v>570</v>
      </c>
      <c r="E4056" s="78">
        <f t="shared" si="263"/>
        <v>42735</v>
      </c>
      <c r="F4056" s="80" t="s">
        <v>625</v>
      </c>
      <c r="G4056" s="934" t="s">
        <v>2746</v>
      </c>
      <c r="H4056" s="80" t="s">
        <v>615</v>
      </c>
      <c r="I4056" s="406"/>
      <c r="J4056" s="406"/>
      <c r="K4056" s="397"/>
      <c r="L4056" s="406"/>
      <c r="M4056" s="81">
        <v>200000</v>
      </c>
      <c r="N4056" s="82" t="s">
        <v>9</v>
      </c>
      <c r="O4056" s="82" t="s">
        <v>8</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x</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c r="AE4056">
        <v>1</v>
      </c>
    </row>
    <row r="4057" spans="1:31" ht="15.75" customHeight="1">
      <c r="A4057" s="323" t="str">
        <f>IF(B4057&lt;&gt;"",IF(AND(B4057='IN-TC'!$S$4,OR(TH!N4174="1111",TH!O4174="1111")),TH!D4174,""),"")</f>
        <v/>
      </c>
      <c r="B4057" s="63">
        <f t="shared" si="262"/>
        <v>11</v>
      </c>
      <c r="C4057" s="64">
        <v>42676</v>
      </c>
      <c r="D4057" s="64" t="s">
        <v>690</v>
      </c>
      <c r="E4057" s="64">
        <f t="shared" si="263"/>
        <v>42676</v>
      </c>
      <c r="F4057" s="72" t="s">
        <v>2147</v>
      </c>
      <c r="G4057" s="67" t="s">
        <v>902</v>
      </c>
      <c r="H4057" s="72" t="s">
        <v>1779</v>
      </c>
      <c r="I4057" s="408"/>
      <c r="J4057" s="408"/>
      <c r="K4057" s="399"/>
      <c r="L4057" s="408"/>
      <c r="M4057" s="65">
        <v>50000</v>
      </c>
      <c r="N4057" s="66" t="s">
        <v>99</v>
      </c>
      <c r="O4057" s="66" t="s">
        <v>25</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c r="AE4057">
        <v>1</v>
      </c>
    </row>
    <row r="4058" spans="1:31" ht="15.75" customHeight="1">
      <c r="A4058" s="323" t="str">
        <f>IF(B4058&lt;&gt;"",IF(AND(B4058='IN-TC'!$S$4,OR(TH!N4175="1111",TH!O4175="1111")),TH!D4175,""),"")</f>
        <v/>
      </c>
      <c r="B4058" s="63">
        <f t="shared" si="262"/>
        <v>11</v>
      </c>
      <c r="C4058" s="64">
        <v>42676</v>
      </c>
      <c r="D4058" s="64" t="s">
        <v>690</v>
      </c>
      <c r="E4058" s="64">
        <f t="shared" si="263"/>
        <v>42676</v>
      </c>
      <c r="F4058" s="72" t="s">
        <v>2148</v>
      </c>
      <c r="G4058" s="67" t="s">
        <v>902</v>
      </c>
      <c r="H4058" s="72" t="s">
        <v>1779</v>
      </c>
      <c r="I4058" s="408"/>
      <c r="J4058" s="408"/>
      <c r="K4058" s="399"/>
      <c r="L4058" s="408"/>
      <c r="M4058" s="65">
        <v>5000</v>
      </c>
      <c r="N4058" s="66" t="s">
        <v>9</v>
      </c>
      <c r="O4058" s="66" t="s">
        <v>25</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x</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c r="AE4058">
        <v>1</v>
      </c>
    </row>
    <row r="4059" spans="1:31" ht="15.75" customHeight="1">
      <c r="A4059" s="323" t="str">
        <f>IF(B4059&lt;&gt;"",IF(AND(B4059='IN-TC'!$S$4,OR(TH!N4177="1111",TH!O4177="1111")),TH!D4177,""),"")</f>
        <v/>
      </c>
      <c r="B4059" s="63">
        <f t="shared" si="262"/>
        <v>11</v>
      </c>
      <c r="C4059" s="64">
        <v>42676</v>
      </c>
      <c r="D4059" s="64" t="s">
        <v>690</v>
      </c>
      <c r="E4059" s="64">
        <f t="shared" si="263"/>
        <v>42676</v>
      </c>
      <c r="F4059" s="72" t="s">
        <v>1626</v>
      </c>
      <c r="G4059" s="67" t="s">
        <v>902</v>
      </c>
      <c r="H4059" s="72" t="s">
        <v>1414</v>
      </c>
      <c r="I4059" s="408"/>
      <c r="J4059" s="408"/>
      <c r="K4059" s="399"/>
      <c r="L4059" s="408"/>
      <c r="M4059" s="65">
        <v>29656000</v>
      </c>
      <c r="N4059" s="66" t="s">
        <v>8</v>
      </c>
      <c r="O4059" s="66" t="s">
        <v>25</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customHeight="1">
      <c r="A4060" s="323" t="str">
        <f>IF(B4060&lt;&gt;"",IF(AND(B4060='IN-TC'!$S$4,OR(TH!N4178="1111",TH!O4178="1111")),TH!D4178,""),"")</f>
        <v/>
      </c>
      <c r="B4060" s="63">
        <f t="shared" si="262"/>
        <v>11</v>
      </c>
      <c r="C4060" s="64">
        <v>42676</v>
      </c>
      <c r="D4060" s="64" t="s">
        <v>690</v>
      </c>
      <c r="E4060" s="64">
        <f t="shared" si="263"/>
        <v>42676</v>
      </c>
      <c r="F4060" s="72" t="s">
        <v>2147</v>
      </c>
      <c r="G4060" s="67" t="s">
        <v>902</v>
      </c>
      <c r="H4060" s="72" t="s">
        <v>1779</v>
      </c>
      <c r="I4060" s="408"/>
      <c r="J4060" s="408"/>
      <c r="K4060" s="399"/>
      <c r="L4060" s="408"/>
      <c r="M4060" s="65">
        <v>20000</v>
      </c>
      <c r="N4060" s="66" t="s">
        <v>99</v>
      </c>
      <c r="O4060" s="66" t="s">
        <v>25</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c r="AE4060">
        <v>1</v>
      </c>
    </row>
    <row r="4061" spans="1:31" ht="15.75" customHeight="1">
      <c r="A4061" s="323" t="str">
        <f>IF(B4061&lt;&gt;"",IF(AND(B4061='IN-TC'!$S$4,OR(TH!N4176="1111",TH!O4176="1111")),TH!D4176,""),"")</f>
        <v/>
      </c>
      <c r="B4061" s="63">
        <f t="shared" si="262"/>
        <v>11</v>
      </c>
      <c r="C4061" s="64">
        <v>42676</v>
      </c>
      <c r="D4061" s="64" t="s">
        <v>690</v>
      </c>
      <c r="E4061" s="64">
        <f t="shared" si="263"/>
        <v>42676</v>
      </c>
      <c r="F4061" s="72" t="s">
        <v>2148</v>
      </c>
      <c r="G4061" s="67" t="s">
        <v>902</v>
      </c>
      <c r="H4061" s="72" t="s">
        <v>1779</v>
      </c>
      <c r="I4061" s="408"/>
      <c r="J4061" s="408"/>
      <c r="K4061" s="399"/>
      <c r="L4061" s="408"/>
      <c r="M4061" s="65">
        <v>2000</v>
      </c>
      <c r="N4061" s="66" t="s">
        <v>9</v>
      </c>
      <c r="O4061" s="66" t="s">
        <v>25</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x</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customHeight="1">
      <c r="A4062" s="323" t="str">
        <f>IF(B4062&lt;&gt;"",IF(AND(B4062='IN-TC'!$S$4,OR(TH!N3954="1111",TH!O3954="1111")),TH!D3954,""),"")</f>
        <v/>
      </c>
      <c r="B4062" s="63">
        <f t="shared" si="262"/>
        <v>11</v>
      </c>
      <c r="C4062" s="64">
        <v>42676</v>
      </c>
      <c r="D4062" s="64" t="s">
        <v>690</v>
      </c>
      <c r="E4062" s="64">
        <f t="shared" ref="E4062:E4094" si="265">C4062</f>
        <v>42676</v>
      </c>
      <c r="F4062" s="72" t="s">
        <v>2353</v>
      </c>
      <c r="G4062" s="67" t="s">
        <v>902</v>
      </c>
      <c r="H4062" s="329" t="s">
        <v>613</v>
      </c>
      <c r="I4062" s="408"/>
      <c r="J4062" s="408"/>
      <c r="K4062" s="399"/>
      <c r="L4062" s="408"/>
      <c r="M4062" s="65">
        <v>102960000</v>
      </c>
      <c r="N4062" s="66" t="s">
        <v>8</v>
      </c>
      <c r="O4062" s="66" t="s">
        <v>25</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1" ht="15.75" customHeight="1">
      <c r="A4063" s="323" t="str">
        <f>IF(B4063&lt;&gt;"",IF(AND(B4063='IN-TC'!$S$4,OR(TH!N4180="1111",TH!O4180="1111")),TH!D4180,""),"")</f>
        <v/>
      </c>
      <c r="B4063" s="63">
        <f t="shared" si="262"/>
        <v>11</v>
      </c>
      <c r="C4063" s="64">
        <v>42676</v>
      </c>
      <c r="D4063" s="64" t="s">
        <v>690</v>
      </c>
      <c r="E4063" s="64">
        <f t="shared" si="265"/>
        <v>42676</v>
      </c>
      <c r="F4063" s="72" t="s">
        <v>2147</v>
      </c>
      <c r="G4063" s="67" t="s">
        <v>902</v>
      </c>
      <c r="H4063" s="72" t="s">
        <v>1779</v>
      </c>
      <c r="I4063" s="408"/>
      <c r="J4063" s="408"/>
      <c r="K4063" s="399"/>
      <c r="L4063" s="408"/>
      <c r="M4063" s="65">
        <v>30888</v>
      </c>
      <c r="N4063" s="66" t="s">
        <v>99</v>
      </c>
      <c r="O4063" s="66" t="s">
        <v>25</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customHeight="1">
      <c r="A4064" s="323" t="str">
        <f>IF(B4064&lt;&gt;"",IF(AND(B4064='IN-TC'!$S$4,OR(TH!N4181="1111",TH!O4181="1111")),TH!D4181,""),"")</f>
        <v/>
      </c>
      <c r="B4064" s="63">
        <f t="shared" si="262"/>
        <v>11</v>
      </c>
      <c r="C4064" s="64">
        <v>42676</v>
      </c>
      <c r="D4064" s="64" t="s">
        <v>690</v>
      </c>
      <c r="E4064" s="64">
        <f t="shared" si="265"/>
        <v>42676</v>
      </c>
      <c r="F4064" s="72" t="s">
        <v>2148</v>
      </c>
      <c r="G4064" s="67" t="s">
        <v>902</v>
      </c>
      <c r="H4064" s="72" t="s">
        <v>1779</v>
      </c>
      <c r="I4064" s="408"/>
      <c r="J4064" s="408"/>
      <c r="K4064" s="399"/>
      <c r="L4064" s="408"/>
      <c r="M4064" s="65">
        <v>3089</v>
      </c>
      <c r="N4064" s="66" t="s">
        <v>9</v>
      </c>
      <c r="O4064" s="66" t="s">
        <v>25</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x</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customHeight="1">
      <c r="A4065" s="323" t="str">
        <f>IF(B4065&lt;&gt;"",IF(AND(B4065='IN-TC'!$S$4,OR(TH!N4182="1111",TH!O4182="1111")),TH!D4182,""),"")</f>
        <v/>
      </c>
      <c r="B4065" s="63">
        <f t="shared" si="262"/>
        <v>11</v>
      </c>
      <c r="C4065" s="64">
        <v>42676</v>
      </c>
      <c r="D4065" s="64" t="s">
        <v>690</v>
      </c>
      <c r="E4065" s="64">
        <f t="shared" si="265"/>
        <v>42676</v>
      </c>
      <c r="F4065" s="72" t="s">
        <v>2354</v>
      </c>
      <c r="G4065" s="67" t="s">
        <v>902</v>
      </c>
      <c r="H4065" s="72" t="s">
        <v>1732</v>
      </c>
      <c r="I4065" s="408"/>
      <c r="J4065" s="408"/>
      <c r="K4065" s="399"/>
      <c r="L4065" s="408"/>
      <c r="M4065" s="65">
        <v>58750000</v>
      </c>
      <c r="N4065" s="66" t="s">
        <v>8</v>
      </c>
      <c r="O4065" s="66" t="s">
        <v>25</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1" ht="15.75" customHeight="1">
      <c r="A4066" s="323" t="str">
        <f>IF(B4066&lt;&gt;"",IF(AND(B4066='IN-TC'!$S$4,OR(TH!N4183="1111",TH!O4183="1111")),TH!D4183,""),"")</f>
        <v/>
      </c>
      <c r="B4066" s="63">
        <f t="shared" si="262"/>
        <v>11</v>
      </c>
      <c r="C4066" s="64">
        <v>42676</v>
      </c>
      <c r="D4066" s="64" t="s">
        <v>857</v>
      </c>
      <c r="E4066" s="64">
        <f t="shared" si="265"/>
        <v>42676</v>
      </c>
      <c r="F4066" s="72" t="s">
        <v>1126</v>
      </c>
      <c r="G4066" s="67" t="s">
        <v>902</v>
      </c>
      <c r="H4066" s="72" t="s">
        <v>748</v>
      </c>
      <c r="I4066" s="408"/>
      <c r="J4066" s="408"/>
      <c r="K4066" s="399"/>
      <c r="L4066" s="408"/>
      <c r="M4066" s="65">
        <v>1250000000</v>
      </c>
      <c r="N4066" s="66" t="s">
        <v>61</v>
      </c>
      <c r="O4066" s="66" t="s">
        <v>25</v>
      </c>
      <c r="P4066" s="82" t="str">
        <f>IF(AND('331-CT'!$E$7=TH!H4066,OR(N4066="331",O4066="331")),"x","")</f>
        <v/>
      </c>
      <c r="Q4066" s="82" t="str">
        <f>IF(AND(B4066='111'!$L$11,OR($N4066=$Q$7,$O4066=$Q$7)),"x","")</f>
        <v/>
      </c>
      <c r="R4066" s="82" t="str">
        <f>IF(AND($N4066=$Q$7,$B4066&lt;'111'!$L$11),"x","")</f>
        <v>x</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1" ht="15.75" customHeight="1">
      <c r="A4067" s="323" t="str">
        <f>IF(B4067&lt;&gt;"",IF(AND(B4067='IN-TC'!$S$4,OR(TH!N4411="1111",TH!O4411="1111")),TH!D4411,""),"")</f>
        <v/>
      </c>
      <c r="B4067" s="63">
        <f t="shared" si="262"/>
        <v>12</v>
      </c>
      <c r="C4067" s="64">
        <v>42726</v>
      </c>
      <c r="D4067" s="64" t="s">
        <v>2945</v>
      </c>
      <c r="E4067" s="64">
        <f t="shared" si="265"/>
        <v>42726</v>
      </c>
      <c r="F4067" s="72" t="s">
        <v>2790</v>
      </c>
      <c r="G4067" s="67"/>
      <c r="H4067" s="72" t="s">
        <v>1198</v>
      </c>
      <c r="I4067" s="408"/>
      <c r="J4067" s="408"/>
      <c r="K4067" s="399"/>
      <c r="L4067" s="408"/>
      <c r="M4067" s="65">
        <v>100000000</v>
      </c>
      <c r="N4067" s="66" t="s">
        <v>70</v>
      </c>
      <c r="O4067" s="66" t="s">
        <v>61</v>
      </c>
      <c r="P4067" s="82" t="str">
        <f>IF(AND('331-CT'!$E$7=TH!H4067,OR(N4067="331",O4067="331")),"x","")</f>
        <v/>
      </c>
      <c r="Q4067" s="82" t="str">
        <f>IF(AND(B4067='111'!$L$11,OR($N4067=$Q$7,$O4067=$Q$7)),"x","")</f>
        <v>x</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customHeight="1">
      <c r="A4068" s="323" t="str">
        <f>IF(B4068&lt;&gt;"",IF(AND(B4068='IN-TC'!$S$4,OR(TH!N4038="1111",TH!O4038="1111")),TH!D4038,""),"")</f>
        <v/>
      </c>
      <c r="B4068" s="63">
        <f t="shared" si="262"/>
        <v>11</v>
      </c>
      <c r="C4068" s="1092">
        <v>42677</v>
      </c>
      <c r="D4068" s="1092" t="s">
        <v>859</v>
      </c>
      <c r="E4068" s="1092">
        <f t="shared" si="265"/>
        <v>42677</v>
      </c>
      <c r="F4068" s="482" t="s">
        <v>947</v>
      </c>
      <c r="G4068" s="1094"/>
      <c r="H4068" s="1169" t="s">
        <v>946</v>
      </c>
      <c r="I4068" s="1095"/>
      <c r="J4068" s="1095"/>
      <c r="K4068" s="1096"/>
      <c r="L4068" s="1095"/>
      <c r="M4068" s="1097">
        <v>500000000</v>
      </c>
      <c r="N4068" s="1098" t="s">
        <v>266</v>
      </c>
      <c r="O4068" s="1098" t="s">
        <v>61</v>
      </c>
      <c r="P4068" s="82" t="str">
        <f>IF(AND('331-CT'!$E$7=TH!H4068,OR(N4068="331",O4068="331")),"x","")</f>
        <v/>
      </c>
      <c r="Q4068" s="82" t="str">
        <f>IF(AND(B4068='111'!$L$11,OR($N4068=$Q$7,$O4068=$Q$7)),"x","")</f>
        <v/>
      </c>
      <c r="R4068" s="82" t="str">
        <f>IF(AND($N4068=$Q$7,$B4068&lt;'111'!$L$11),"x","")</f>
        <v/>
      </c>
      <c r="S4068" s="82" t="str">
        <f>IF(AND($O4068=$Q$7,$B4068&lt;'111'!$L$11),"x","")</f>
        <v>x</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1" ht="15.75" customHeight="1">
      <c r="A4069" s="323" t="str">
        <f>IF(B4069&lt;&gt;"",IF(AND(B4069='IN-TC'!$S$4,OR(TH!N4039="1111",TH!O4039="1111")),TH!D4039,""),"")</f>
        <v/>
      </c>
      <c r="B4069" s="63">
        <f t="shared" si="262"/>
        <v>11</v>
      </c>
      <c r="C4069" s="1092">
        <v>42677</v>
      </c>
      <c r="D4069" s="1092" t="s">
        <v>860</v>
      </c>
      <c r="E4069" s="1092">
        <f t="shared" si="265"/>
        <v>42677</v>
      </c>
      <c r="F4069" s="482" t="s">
        <v>947</v>
      </c>
      <c r="G4069" s="1094"/>
      <c r="H4069" s="937" t="s">
        <v>3001</v>
      </c>
      <c r="I4069" s="1095"/>
      <c r="J4069" s="1095"/>
      <c r="K4069" s="1096"/>
      <c r="L4069" s="1095"/>
      <c r="M4069" s="1097">
        <v>600000000</v>
      </c>
      <c r="N4069" s="1098" t="s">
        <v>266</v>
      </c>
      <c r="O4069" s="1098" t="s">
        <v>61</v>
      </c>
      <c r="P4069" s="82" t="str">
        <f>IF(AND('331-CT'!$E$7=TH!H4069,OR(N4069="331",O4069="331")),"x","")</f>
        <v/>
      </c>
      <c r="Q4069" s="82" t="str">
        <f>IF(AND(B4069='111'!$L$11,OR($N4069=$Q$7,$O4069=$Q$7)),"x","")</f>
        <v/>
      </c>
      <c r="R4069" s="82" t="str">
        <f>IF(AND($N4069=$Q$7,$B4069&lt;'111'!$L$11),"x","")</f>
        <v/>
      </c>
      <c r="S4069" s="82" t="str">
        <f>IF(AND($O4069=$Q$7,$B4069&lt;'111'!$L$11),"x","")</f>
        <v>x</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1" ht="15.75" customHeight="1">
      <c r="A4070" s="323" t="str">
        <f>IF(B4070&lt;&gt;"",IF(AND(B4070='IN-TC'!$S$4,OR(TH!N4042="1111",TH!O4042="1111")),TH!D4042,""),"")</f>
        <v/>
      </c>
      <c r="B4070" s="63">
        <f t="shared" si="262"/>
        <v>11</v>
      </c>
      <c r="C4070" s="64">
        <v>42677</v>
      </c>
      <c r="D4070" s="64" t="s">
        <v>861</v>
      </c>
      <c r="E4070" s="64">
        <f t="shared" si="265"/>
        <v>42677</v>
      </c>
      <c r="F4070" s="72" t="s">
        <v>2074</v>
      </c>
      <c r="G4070" s="931" t="s">
        <v>2396</v>
      </c>
      <c r="H4070" s="72" t="s">
        <v>2076</v>
      </c>
      <c r="I4070" s="408"/>
      <c r="J4070" s="408"/>
      <c r="K4070" s="399"/>
      <c r="L4070" s="408"/>
      <c r="M4070" s="65">
        <v>9609156</v>
      </c>
      <c r="N4070" s="66" t="s">
        <v>579</v>
      </c>
      <c r="O4070" s="66" t="s">
        <v>61</v>
      </c>
      <c r="P4070" s="82" t="str">
        <f>IF(AND('331-CT'!$E$7=TH!H4070,OR(N4070="331",O4070="331")),"x","")</f>
        <v/>
      </c>
      <c r="Q4070" s="82" t="str">
        <f>IF(AND(B4070='111'!$L$11,OR($N4070=$Q$7,$O4070=$Q$7)),"x","")</f>
        <v/>
      </c>
      <c r="R4070" s="82" t="str">
        <f>IF(AND($N4070=$Q$7,$B4070&lt;'111'!$L$11),"x","")</f>
        <v/>
      </c>
      <c r="S4070" s="82" t="str">
        <f>IF(AND($O4070=$Q$7,$B4070&lt;'111'!$L$11),"x","")</f>
        <v>x</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E4070">
        <v>1</v>
      </c>
    </row>
    <row r="4071" spans="1:31" ht="15.75" customHeight="1">
      <c r="A4071" s="323" t="str">
        <f>IF(B4071&lt;&gt;"",IF(AND(B4071='IN-TC'!$S$4,OR(TH!N4043="1111",TH!O4043="1111")),TH!D4043,""),"")</f>
        <v/>
      </c>
      <c r="B4071" s="63">
        <f t="shared" si="262"/>
        <v>11</v>
      </c>
      <c r="C4071" s="64">
        <v>42677</v>
      </c>
      <c r="D4071" s="64" t="s">
        <v>861</v>
      </c>
      <c r="E4071" s="64">
        <f t="shared" si="265"/>
        <v>42677</v>
      </c>
      <c r="F4071" s="72" t="s">
        <v>2075</v>
      </c>
      <c r="G4071" s="931" t="s">
        <v>2396</v>
      </c>
      <c r="H4071" s="72" t="s">
        <v>2076</v>
      </c>
      <c r="I4071" s="408"/>
      <c r="J4071" s="408"/>
      <c r="K4071" s="399"/>
      <c r="L4071" s="408"/>
      <c r="M4071" s="65">
        <v>505744</v>
      </c>
      <c r="N4071" s="66" t="s">
        <v>9</v>
      </c>
      <c r="O4071" s="66" t="s">
        <v>61</v>
      </c>
      <c r="P4071" s="82" t="str">
        <f>IF(AND('331-CT'!$E$7=TH!H4071,OR(N4071="331",O4071="331")),"x","")</f>
        <v/>
      </c>
      <c r="Q4071" s="82" t="str">
        <f>IF(AND(B4071='111'!$L$11,OR($N4071=$Q$7,$O4071=$Q$7)),"x","")</f>
        <v/>
      </c>
      <c r="R4071" s="82" t="str">
        <f>IF(AND($N4071=$Q$7,$B4071&lt;'111'!$L$11),"x","")</f>
        <v/>
      </c>
      <c r="S4071" s="82" t="str">
        <f>IF(AND($O4071=$Q$7,$B4071&lt;'111'!$L$11),"x","")</f>
        <v>x</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x</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c r="AE4071">
        <v>1</v>
      </c>
    </row>
    <row r="4072" spans="1:31" ht="15.75" customHeight="1">
      <c r="A4072" s="323" t="str">
        <f>IF(B4072&lt;&gt;"",IF(AND(B4072='IN-TC'!$S$4,OR(TH!N4044="1111",TH!O4044="1111")),TH!D4044,""),"")</f>
        <v/>
      </c>
      <c r="B4072" s="63">
        <f t="shared" si="262"/>
        <v>11</v>
      </c>
      <c r="C4072" s="64">
        <v>42677</v>
      </c>
      <c r="D4072" s="64" t="s">
        <v>862</v>
      </c>
      <c r="E4072" s="64">
        <f t="shared" si="265"/>
        <v>42677</v>
      </c>
      <c r="F4072" s="72" t="s">
        <v>2397</v>
      </c>
      <c r="G4072" s="931" t="s">
        <v>2399</v>
      </c>
      <c r="H4072" s="72" t="s">
        <v>1300</v>
      </c>
      <c r="I4072" s="408"/>
      <c r="J4072" s="408"/>
      <c r="K4072" s="399"/>
      <c r="L4072" s="408"/>
      <c r="M4072" s="65">
        <v>1150000</v>
      </c>
      <c r="N4072" s="66" t="s">
        <v>99</v>
      </c>
      <c r="O4072" s="66" t="s">
        <v>61</v>
      </c>
      <c r="P4072" s="82" t="str">
        <f>IF(AND('331-CT'!$E$7=TH!H4072,OR(N4072="331",O4072="331")),"x","")</f>
        <v/>
      </c>
      <c r="Q4072" s="82" t="str">
        <f>IF(AND(B4072='111'!$L$11,OR($N4072=$Q$7,$O4072=$Q$7)),"x","")</f>
        <v/>
      </c>
      <c r="R4072" s="82" t="str">
        <f>IF(AND($N4072=$Q$7,$B4072&lt;'111'!$L$11),"x","")</f>
        <v/>
      </c>
      <c r="S4072" s="82" t="str">
        <f>IF(AND($O4072=$Q$7,$B4072&lt;'111'!$L$11),"x","")</f>
        <v>x</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c r="AE4072">
        <v>1</v>
      </c>
    </row>
    <row r="4073" spans="1:31" ht="15.75" customHeight="1">
      <c r="A4073" s="323" t="str">
        <f>IF(B4073&lt;&gt;"",IF(AND(B4073='IN-TC'!$S$4,OR(TH!N4045="1111",TH!O4045="1111")),TH!D4045,""),"")</f>
        <v/>
      </c>
      <c r="B4073" s="63">
        <f t="shared" si="262"/>
        <v>11</v>
      </c>
      <c r="C4073" s="64">
        <v>42677</v>
      </c>
      <c r="D4073" s="64" t="s">
        <v>862</v>
      </c>
      <c r="E4073" s="64">
        <f t="shared" si="265"/>
        <v>42677</v>
      </c>
      <c r="F4073" s="72" t="s">
        <v>2398</v>
      </c>
      <c r="G4073" s="931" t="s">
        <v>2399</v>
      </c>
      <c r="H4073" s="72" t="s">
        <v>1300</v>
      </c>
      <c r="I4073" s="408"/>
      <c r="J4073" s="408"/>
      <c r="K4073" s="399"/>
      <c r="L4073" s="408"/>
      <c r="M4073" s="65">
        <v>115000</v>
      </c>
      <c r="N4073" s="66" t="s">
        <v>9</v>
      </c>
      <c r="O4073" s="66" t="s">
        <v>61</v>
      </c>
      <c r="P4073" s="82" t="str">
        <f>IF(AND('331-CT'!$E$7=TH!H4073,OR(N4073="331",O4073="331")),"x","")</f>
        <v/>
      </c>
      <c r="Q4073" s="82" t="str">
        <f>IF(AND(B4073='111'!$L$11,OR($N4073=$Q$7,$O4073=$Q$7)),"x","")</f>
        <v/>
      </c>
      <c r="R4073" s="82" t="str">
        <f>IF(AND($N4073=$Q$7,$B4073&lt;'111'!$L$11),"x","")</f>
        <v/>
      </c>
      <c r="S4073" s="82" t="str">
        <f>IF(AND($O4073=$Q$7,$B4073&lt;'111'!$L$11),"x","")</f>
        <v>x</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x</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c r="AE4073">
        <v>1</v>
      </c>
    </row>
    <row r="4074" spans="1:31" ht="15.75" customHeight="1">
      <c r="A4074" s="323" t="str">
        <f>IF(B4074&lt;&gt;"",IF(AND(B4074='IN-TC'!$S$4,OR(TH!N4046="1111",TH!O4046="1111")),TH!D4046,""),"")</f>
        <v/>
      </c>
      <c r="B4074" s="63">
        <f t="shared" si="262"/>
        <v>11</v>
      </c>
      <c r="C4074" s="64">
        <v>42678</v>
      </c>
      <c r="D4074" s="64" t="s">
        <v>863</v>
      </c>
      <c r="E4074" s="64">
        <f t="shared" si="265"/>
        <v>42678</v>
      </c>
      <c r="F4074" s="72" t="s">
        <v>770</v>
      </c>
      <c r="G4074" s="931" t="s">
        <v>2400</v>
      </c>
      <c r="H4074" s="72" t="s">
        <v>792</v>
      </c>
      <c r="I4074" s="408"/>
      <c r="J4074" s="408"/>
      <c r="K4074" s="399"/>
      <c r="L4074" s="408"/>
      <c r="M4074" s="65">
        <v>797273</v>
      </c>
      <c r="N4074" s="66" t="s">
        <v>99</v>
      </c>
      <c r="O4074" s="66" t="s">
        <v>61</v>
      </c>
      <c r="P4074" s="82" t="str">
        <f>IF(AND('331-CT'!$E$7=TH!H4074,OR(N4074="331",O4074="331")),"x","")</f>
        <v/>
      </c>
      <c r="Q4074" s="82" t="str">
        <f>IF(AND(B4074='111'!$L$11,OR($N4074=$Q$7,$O4074=$Q$7)),"x","")</f>
        <v/>
      </c>
      <c r="R4074" s="82" t="str">
        <f>IF(AND($N4074=$Q$7,$B4074&lt;'111'!$L$11),"x","")</f>
        <v/>
      </c>
      <c r="S4074" s="82" t="str">
        <f>IF(AND($O4074=$Q$7,$B4074&lt;'111'!$L$11),"x","")</f>
        <v>x</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E4074">
        <v>1</v>
      </c>
    </row>
    <row r="4075" spans="1:31" ht="15.75" customHeight="1">
      <c r="A4075" s="323" t="str">
        <f>IF(B4075&lt;&gt;"",IF(AND(B4075='IN-TC'!$S$4,OR(TH!N4047="1111",TH!O4047="1111")),TH!D4047,""),"")</f>
        <v/>
      </c>
      <c r="B4075" s="63">
        <f t="shared" si="262"/>
        <v>11</v>
      </c>
      <c r="C4075" s="64">
        <v>42678</v>
      </c>
      <c r="D4075" s="64" t="s">
        <v>863</v>
      </c>
      <c r="E4075" s="64">
        <f t="shared" si="265"/>
        <v>42678</v>
      </c>
      <c r="F4075" s="72" t="s">
        <v>771</v>
      </c>
      <c r="G4075" s="931" t="s">
        <v>2400</v>
      </c>
      <c r="H4075" s="72" t="s">
        <v>792</v>
      </c>
      <c r="I4075" s="408"/>
      <c r="J4075" s="408"/>
      <c r="K4075" s="399"/>
      <c r="L4075" s="408"/>
      <c r="M4075" s="65">
        <v>79727</v>
      </c>
      <c r="N4075" s="66" t="s">
        <v>9</v>
      </c>
      <c r="O4075" s="66" t="s">
        <v>61</v>
      </c>
      <c r="P4075" s="82" t="str">
        <f>IF(AND('331-CT'!$E$7=TH!H4075,OR(N4075="331",O4075="331")),"x","")</f>
        <v/>
      </c>
      <c r="Q4075" s="82" t="str">
        <f>IF(AND(B4075='111'!$L$11,OR($N4075=$Q$7,$O4075=$Q$7)),"x","")</f>
        <v/>
      </c>
      <c r="R4075" s="82" t="str">
        <f>IF(AND($N4075=$Q$7,$B4075&lt;'111'!$L$11),"x","")</f>
        <v/>
      </c>
      <c r="S4075" s="82" t="str">
        <f>IF(AND($O4075=$Q$7,$B4075&lt;'111'!$L$11),"x","")</f>
        <v>x</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x</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customHeight="1">
      <c r="A4076" s="1160" t="str">
        <f>IF(B4076&lt;&gt;"",IF(AND(B4076='IN-TC'!$S$4,OR(TH!N938="1111",TH!O938="1111")),TH!D938,""),"")</f>
        <v/>
      </c>
      <c r="B4076" s="948">
        <f t="shared" si="262"/>
        <v>11</v>
      </c>
      <c r="C4076" s="78">
        <v>42679</v>
      </c>
      <c r="D4076" s="78" t="s">
        <v>663</v>
      </c>
      <c r="E4076" s="78">
        <f t="shared" si="265"/>
        <v>42679</v>
      </c>
      <c r="F4076" s="80" t="s">
        <v>634</v>
      </c>
      <c r="G4076" s="934" t="s">
        <v>2517</v>
      </c>
      <c r="H4076" s="310" t="s">
        <v>660</v>
      </c>
      <c r="I4076" s="406"/>
      <c r="J4076" s="406"/>
      <c r="K4076" s="397"/>
      <c r="L4076" s="406"/>
      <c r="M4076" s="81">
        <v>761905</v>
      </c>
      <c r="N4076" s="82" t="s">
        <v>9</v>
      </c>
      <c r="O4076" s="82" t="s">
        <v>8</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x</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E4076">
        <v>1</v>
      </c>
    </row>
    <row r="4077" spans="1:31" ht="15.75" customHeight="1">
      <c r="A4077" s="323" t="str">
        <f>IF(B4077&lt;&gt;"",IF(AND(B4077='IN-TC'!$S$4,OR(TH!N4050="1111",TH!O4050="1111")),TH!D4050,""),"")</f>
        <v/>
      </c>
      <c r="B4077" s="63">
        <f t="shared" si="262"/>
        <v>11</v>
      </c>
      <c r="C4077" s="64">
        <v>42679</v>
      </c>
      <c r="D4077" s="64" t="s">
        <v>865</v>
      </c>
      <c r="E4077" s="64">
        <f t="shared" si="265"/>
        <v>42679</v>
      </c>
      <c r="F4077" s="72" t="s">
        <v>996</v>
      </c>
      <c r="G4077" s="931" t="s">
        <v>2401</v>
      </c>
      <c r="H4077" s="72" t="s">
        <v>1020</v>
      </c>
      <c r="I4077" s="408"/>
      <c r="J4077" s="408"/>
      <c r="K4077" s="399"/>
      <c r="L4077" s="408"/>
      <c r="M4077" s="65">
        <v>3750000</v>
      </c>
      <c r="N4077" s="66" t="s">
        <v>99</v>
      </c>
      <c r="O4077" s="66" t="s">
        <v>61</v>
      </c>
      <c r="P4077" s="82" t="str">
        <f>IF(AND('331-CT'!$E$7=TH!H4077,OR(N4077="331",O4077="331")),"x","")</f>
        <v/>
      </c>
      <c r="Q4077" s="82" t="str">
        <f>IF(AND(B4077='111'!$L$11,OR($N4077=$Q$7,$O4077=$Q$7)),"x","")</f>
        <v/>
      </c>
      <c r="R4077" s="82" t="str">
        <f>IF(AND($N4077=$Q$7,$B4077&lt;'111'!$L$11),"x","")</f>
        <v/>
      </c>
      <c r="S4077" s="82" t="str">
        <f>IF(AND($O4077=$Q$7,$B4077&lt;'111'!$L$11),"x","")</f>
        <v>x</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customHeight="1">
      <c r="A4078" s="323" t="str">
        <f>IF(B4078&lt;&gt;"",IF(AND(B4078='IN-TC'!$S$4,OR(TH!N4051="1111",TH!O4051="1111")),TH!D4051,""),"")</f>
        <v/>
      </c>
      <c r="B4078" s="63">
        <f t="shared" ref="B4078:B4141" si="266">IF(C4078&lt;&gt;"",MONTH(C4078),"")</f>
        <v>11</v>
      </c>
      <c r="C4078" s="64">
        <v>42679</v>
      </c>
      <c r="D4078" s="64" t="s">
        <v>866</v>
      </c>
      <c r="E4078" s="64">
        <f t="shared" si="265"/>
        <v>42679</v>
      </c>
      <c r="F4078" s="72" t="s">
        <v>765</v>
      </c>
      <c r="G4078" s="931" t="s">
        <v>2517</v>
      </c>
      <c r="H4078" s="308" t="s">
        <v>660</v>
      </c>
      <c r="I4078" s="408"/>
      <c r="J4078" s="408"/>
      <c r="K4078" s="399"/>
      <c r="L4078" s="408"/>
      <c r="M4078" s="65">
        <v>16000000</v>
      </c>
      <c r="N4078" s="66" t="s">
        <v>8</v>
      </c>
      <c r="O4078" s="66" t="s">
        <v>61</v>
      </c>
      <c r="P4078" s="82" t="str">
        <f>IF(AND('331-CT'!$E$7=TH!H4078,OR(N4078="331",O4078="331")),"x","")</f>
        <v/>
      </c>
      <c r="Q4078" s="82" t="str">
        <f>IF(AND(B4078='111'!$L$11,OR($N4078=$Q$7,$O4078=$Q$7)),"x","")</f>
        <v/>
      </c>
      <c r="R4078" s="82" t="str">
        <f>IF(AND($N4078=$Q$7,$B4078&lt;'111'!$L$11),"x","")</f>
        <v/>
      </c>
      <c r="S4078" s="82" t="str">
        <f>IF(AND($O4078=$Q$7,$B4078&lt;'111'!$L$11),"x","")</f>
        <v>x</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customHeight="1">
      <c r="A4079" s="323" t="str">
        <f>IF(B4079&lt;&gt;"",IF(AND(B4079='IN-TC'!$S$4,OR(TH!N4052="1111",TH!O4052="1111")),TH!D4052,""),"")</f>
        <v/>
      </c>
      <c r="B4079" s="63">
        <f t="shared" si="266"/>
        <v>11</v>
      </c>
      <c r="C4079" s="1092">
        <v>42679</v>
      </c>
      <c r="D4079" s="1092" t="s">
        <v>867</v>
      </c>
      <c r="E4079" s="1092">
        <f t="shared" si="265"/>
        <v>42679</v>
      </c>
      <c r="F4079" s="482" t="s">
        <v>947</v>
      </c>
      <c r="G4079" s="1094"/>
      <c r="H4079" s="1169" t="s">
        <v>946</v>
      </c>
      <c r="I4079" s="1095"/>
      <c r="J4079" s="1095"/>
      <c r="K4079" s="1096"/>
      <c r="L4079" s="1095"/>
      <c r="M4079" s="1097">
        <v>500000000</v>
      </c>
      <c r="N4079" s="1098" t="s">
        <v>266</v>
      </c>
      <c r="O4079" s="1098" t="s">
        <v>61</v>
      </c>
      <c r="P4079" s="82" t="str">
        <f>IF(AND('331-CT'!$E$7=TH!H4079,OR(N4079="331",O4079="331")),"x","")</f>
        <v/>
      </c>
      <c r="Q4079" s="82" t="str">
        <f>IF(AND(B4079='111'!$L$11,OR($N4079=$Q$7,$O4079=$Q$7)),"x","")</f>
        <v/>
      </c>
      <c r="R4079" s="82" t="str">
        <f>IF(AND($N4079=$Q$7,$B4079&lt;'111'!$L$11),"x","")</f>
        <v/>
      </c>
      <c r="S4079" s="82" t="str">
        <f>IF(AND($O4079=$Q$7,$B4079&lt;'111'!$L$11),"x","")</f>
        <v>x</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1" ht="15.75" customHeight="1">
      <c r="A4080" s="323" t="str">
        <f>IF(B4080&lt;&gt;"",IF(AND(B4080='IN-TC'!$S$4,OR(TH!N4053="1111",TH!O4053="1111")),TH!D4053,""),"")</f>
        <v/>
      </c>
      <c r="B4080" s="63">
        <f t="shared" si="266"/>
        <v>11</v>
      </c>
      <c r="C4080" s="1092">
        <v>42679</v>
      </c>
      <c r="D4080" s="1092" t="s">
        <v>868</v>
      </c>
      <c r="E4080" s="1092">
        <f t="shared" si="265"/>
        <v>42679</v>
      </c>
      <c r="F4080" s="482" t="s">
        <v>947</v>
      </c>
      <c r="G4080" s="1094"/>
      <c r="H4080" s="937" t="s">
        <v>3001</v>
      </c>
      <c r="I4080" s="1095"/>
      <c r="J4080" s="1095"/>
      <c r="K4080" s="1096"/>
      <c r="L4080" s="1095"/>
      <c r="M4080" s="1097">
        <v>750000000</v>
      </c>
      <c r="N4080" s="1098" t="s">
        <v>266</v>
      </c>
      <c r="O4080" s="1098" t="s">
        <v>61</v>
      </c>
      <c r="P4080" s="82" t="str">
        <f>IF(AND('331-CT'!$E$7=TH!H4080,OR(N4080="331",O4080="331")),"x","")</f>
        <v/>
      </c>
      <c r="Q4080" s="82" t="str">
        <f>IF(AND(B4080='111'!$L$11,OR($N4080=$Q$7,$O4080=$Q$7)),"x","")</f>
        <v/>
      </c>
      <c r="R4080" s="82" t="str">
        <f>IF(AND($N4080=$Q$7,$B4080&lt;'111'!$L$11),"x","")</f>
        <v/>
      </c>
      <c r="S4080" s="82" t="str">
        <f>IF(AND($O4080=$Q$7,$B4080&lt;'111'!$L$11),"x","")</f>
        <v>x</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1" ht="15.75" customHeight="1">
      <c r="A4081" s="323" t="str">
        <f>IF(B4081&lt;&gt;"",IF(AND(B4081='IN-TC'!$S$4,OR(TH!N4049="1111",TH!O4049="1111")),TH!D4049,""),"")</f>
        <v/>
      </c>
      <c r="B4081" s="63">
        <f t="shared" si="266"/>
        <v>11</v>
      </c>
      <c r="C4081" s="64">
        <v>42679</v>
      </c>
      <c r="D4081" s="64" t="s">
        <v>889</v>
      </c>
      <c r="E4081" s="64">
        <f t="shared" si="265"/>
        <v>42679</v>
      </c>
      <c r="F4081" s="72" t="s">
        <v>1126</v>
      </c>
      <c r="G4081" s="67" t="s">
        <v>902</v>
      </c>
      <c r="H4081" s="72" t="s">
        <v>748</v>
      </c>
      <c r="I4081" s="408"/>
      <c r="J4081" s="408"/>
      <c r="K4081" s="399"/>
      <c r="L4081" s="408"/>
      <c r="M4081" s="65">
        <v>270000000</v>
      </c>
      <c r="N4081" s="66" t="s">
        <v>61</v>
      </c>
      <c r="O4081" s="66" t="s">
        <v>25</v>
      </c>
      <c r="P4081" s="82" t="str">
        <f>IF(AND('331-CT'!$E$7=TH!H4081,OR(N4081="331",O4081="331")),"x","")</f>
        <v/>
      </c>
      <c r="Q4081" s="82" t="str">
        <f>IF(AND(B4081='111'!$L$11,OR($N4081=$Q$7,$O4081=$Q$7)),"x","")</f>
        <v/>
      </c>
      <c r="R4081" s="82" t="str">
        <f>IF(AND($N4081=$Q$7,$B4081&lt;'111'!$L$11),"x","")</f>
        <v>x</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1" ht="15.75" customHeight="1">
      <c r="A4082" s="323" t="str">
        <f>IF(B4082&lt;&gt;"",IF(AND(B4082='IN-TC'!$S$4,OR(TH!N4054="1111",TH!O4054="1111")),TH!D4054,""),"")</f>
        <v/>
      </c>
      <c r="B4082" s="63">
        <f t="shared" si="266"/>
        <v>11</v>
      </c>
      <c r="C4082" s="64">
        <v>42680</v>
      </c>
      <c r="D4082" s="64" t="s">
        <v>869</v>
      </c>
      <c r="E4082" s="64">
        <f t="shared" si="265"/>
        <v>42680</v>
      </c>
      <c r="F4082" s="72" t="s">
        <v>770</v>
      </c>
      <c r="G4082" s="931" t="s">
        <v>2402</v>
      </c>
      <c r="H4082" s="72" t="s">
        <v>792</v>
      </c>
      <c r="I4082" s="408"/>
      <c r="J4082" s="408"/>
      <c r="K4082" s="399"/>
      <c r="L4082" s="408"/>
      <c r="M4082" s="65">
        <v>815536</v>
      </c>
      <c r="N4082" s="66" t="s">
        <v>99</v>
      </c>
      <c r="O4082" s="66" t="s">
        <v>61</v>
      </c>
      <c r="P4082" s="82" t="str">
        <f>IF(AND('331-CT'!$E$7=TH!H4082,OR(N4082="331",O4082="331")),"x","")</f>
        <v/>
      </c>
      <c r="Q4082" s="82" t="str">
        <f>IF(AND(B4082='111'!$L$11,OR($N4082=$Q$7,$O4082=$Q$7)),"x","")</f>
        <v/>
      </c>
      <c r="R4082" s="82" t="str">
        <f>IF(AND($N4082=$Q$7,$B4082&lt;'111'!$L$11),"x","")</f>
        <v/>
      </c>
      <c r="S4082" s="82" t="str">
        <f>IF(AND($O4082=$Q$7,$B4082&lt;'111'!$L$11),"x","")</f>
        <v>x</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customHeight="1">
      <c r="A4083" s="323" t="str">
        <f>IF(B4083&lt;&gt;"",IF(AND(B4083='IN-TC'!$S$4,OR(TH!N4055="1111",TH!O4055="1111")),TH!D4055,""),"")</f>
        <v/>
      </c>
      <c r="B4083" s="63">
        <f t="shared" si="266"/>
        <v>11</v>
      </c>
      <c r="C4083" s="64">
        <v>42680</v>
      </c>
      <c r="D4083" s="64" t="s">
        <v>869</v>
      </c>
      <c r="E4083" s="64">
        <f t="shared" si="265"/>
        <v>42680</v>
      </c>
      <c r="F4083" s="72" t="s">
        <v>771</v>
      </c>
      <c r="G4083" s="931" t="s">
        <v>2402</v>
      </c>
      <c r="H4083" s="72" t="s">
        <v>792</v>
      </c>
      <c r="I4083" s="408"/>
      <c r="J4083" s="408"/>
      <c r="K4083" s="399"/>
      <c r="L4083" s="408"/>
      <c r="M4083" s="65">
        <v>81554</v>
      </c>
      <c r="N4083" s="66" t="s">
        <v>9</v>
      </c>
      <c r="O4083" s="66" t="s">
        <v>61</v>
      </c>
      <c r="P4083" s="82" t="str">
        <f>IF(AND('331-CT'!$E$7=TH!H4083,OR(N4083="331",O4083="331")),"x","")</f>
        <v/>
      </c>
      <c r="Q4083" s="82" t="str">
        <f>IF(AND(B4083='111'!$L$11,OR($N4083=$Q$7,$O4083=$Q$7)),"x","")</f>
        <v/>
      </c>
      <c r="R4083" s="82" t="str">
        <f>IF(AND($N4083=$Q$7,$B4083&lt;'111'!$L$11),"x","")</f>
        <v/>
      </c>
      <c r="S4083" s="82" t="str">
        <f>IF(AND($O4083=$Q$7,$B4083&lt;'111'!$L$11),"x","")</f>
        <v>x</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x</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customHeight="1">
      <c r="A4084" s="323" t="str">
        <f>IF(B4084&lt;&gt;"",IF(AND(B4084='IN-TC'!$S$4,OR(TH!N4056="1111",TH!O4056="1111")),TH!D4056,""),"")</f>
        <v/>
      </c>
      <c r="B4084" s="63">
        <f t="shared" si="266"/>
        <v>11</v>
      </c>
      <c r="C4084" s="64">
        <v>42680</v>
      </c>
      <c r="D4084" s="64" t="s">
        <v>870</v>
      </c>
      <c r="E4084" s="64">
        <f t="shared" si="265"/>
        <v>42680</v>
      </c>
      <c r="F4084" s="72" t="s">
        <v>2403</v>
      </c>
      <c r="G4084" s="931" t="s">
        <v>2405</v>
      </c>
      <c r="H4084" s="72" t="s">
        <v>830</v>
      </c>
      <c r="I4084" s="408"/>
      <c r="J4084" s="408"/>
      <c r="K4084" s="399"/>
      <c r="L4084" s="408"/>
      <c r="M4084" s="65">
        <v>2002043</v>
      </c>
      <c r="N4084" s="66" t="s">
        <v>99</v>
      </c>
      <c r="O4084" s="66" t="s">
        <v>61</v>
      </c>
      <c r="P4084" s="82" t="str">
        <f>IF(AND('331-CT'!$E$7=TH!H4084,OR(N4084="331",O4084="331")),"x","")</f>
        <v/>
      </c>
      <c r="Q4084" s="82" t="str">
        <f>IF(AND(B4084='111'!$L$11,OR($N4084=$Q$7,$O4084=$Q$7)),"x","")</f>
        <v/>
      </c>
      <c r="R4084" s="82" t="str">
        <f>IF(AND($N4084=$Q$7,$B4084&lt;'111'!$L$11),"x","")</f>
        <v/>
      </c>
      <c r="S4084" s="82" t="str">
        <f>IF(AND($O4084=$Q$7,$B4084&lt;'111'!$L$11),"x","")</f>
        <v>x</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customHeight="1">
      <c r="A4085" s="323" t="str">
        <f>IF(B4085&lt;&gt;"",IF(AND(B4085='IN-TC'!$S$4,OR(TH!N4057="1111",TH!O4057="1111")),TH!D4057,""),"")</f>
        <v/>
      </c>
      <c r="B4085" s="63">
        <f t="shared" si="266"/>
        <v>11</v>
      </c>
      <c r="C4085" s="64">
        <v>42680</v>
      </c>
      <c r="D4085" s="64" t="s">
        <v>870</v>
      </c>
      <c r="E4085" s="64">
        <f t="shared" si="265"/>
        <v>42680</v>
      </c>
      <c r="F4085" s="72" t="s">
        <v>2404</v>
      </c>
      <c r="G4085" s="931" t="s">
        <v>2405</v>
      </c>
      <c r="H4085" s="72" t="s">
        <v>830</v>
      </c>
      <c r="I4085" s="408"/>
      <c r="J4085" s="408"/>
      <c r="K4085" s="399"/>
      <c r="L4085" s="408"/>
      <c r="M4085" s="65">
        <v>200204</v>
      </c>
      <c r="N4085" s="66" t="s">
        <v>9</v>
      </c>
      <c r="O4085" s="66" t="s">
        <v>61</v>
      </c>
      <c r="P4085" s="82" t="str">
        <f>IF(AND('331-CT'!$E$7=TH!H4085,OR(N4085="331",O4085="331")),"x","")</f>
        <v/>
      </c>
      <c r="Q4085" s="82" t="str">
        <f>IF(AND(B4085='111'!$L$11,OR($N4085=$Q$7,$O4085=$Q$7)),"x","")</f>
        <v/>
      </c>
      <c r="R4085" s="82" t="str">
        <f>IF(AND($N4085=$Q$7,$B4085&lt;'111'!$L$11),"x","")</f>
        <v/>
      </c>
      <c r="S4085" s="82" t="str">
        <f>IF(AND($O4085=$Q$7,$B4085&lt;'111'!$L$11),"x","")</f>
        <v>x</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x</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E4085">
        <v>1</v>
      </c>
    </row>
    <row r="4086" spans="1:31" ht="15.75" customHeight="1">
      <c r="A4086" s="323" t="str">
        <f>IF(B4086&lt;&gt;"",IF(AND(B4086='IN-TC'!$S$4,OR(TH!N4058="1111",TH!O4058="1111")),TH!D4058,""),"")</f>
        <v/>
      </c>
      <c r="B4086" s="63">
        <f t="shared" si="266"/>
        <v>11</v>
      </c>
      <c r="C4086" s="64">
        <v>42681</v>
      </c>
      <c r="D4086" s="64" t="s">
        <v>871</v>
      </c>
      <c r="E4086" s="64">
        <f t="shared" si="265"/>
        <v>42681</v>
      </c>
      <c r="F4086" s="72" t="s">
        <v>2393</v>
      </c>
      <c r="G4086" s="931" t="s">
        <v>1381</v>
      </c>
      <c r="H4086" s="72" t="s">
        <v>2406</v>
      </c>
      <c r="I4086" s="408">
        <v>384</v>
      </c>
      <c r="J4086" s="408">
        <v>20719</v>
      </c>
      <c r="K4086" s="399"/>
      <c r="L4086" s="408"/>
      <c r="M4086" s="65">
        <v>7956096</v>
      </c>
      <c r="N4086" s="66" t="s">
        <v>276</v>
      </c>
      <c r="O4086" s="66" t="s">
        <v>61</v>
      </c>
      <c r="P4086" s="82" t="str">
        <f>IF(AND('331-CT'!$E$7=TH!H4086,OR(N4086="331",O4086="331")),"x","")</f>
        <v/>
      </c>
      <c r="Q4086" s="82" t="str">
        <f>IF(AND(B4086='111'!$L$11,OR($N4086=$Q$7,$O4086=$Q$7)),"x","")</f>
        <v/>
      </c>
      <c r="R4086" s="82" t="str">
        <f>IF(AND($N4086=$Q$7,$B4086&lt;'111'!$L$11),"x","")</f>
        <v/>
      </c>
      <c r="S4086" s="82" t="str">
        <f>IF(AND($O4086=$Q$7,$B4086&lt;'111'!$L$11),"x","")</f>
        <v>x</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c r="AE4086">
        <v>1</v>
      </c>
    </row>
    <row r="4087" spans="1:31" ht="15.75" customHeight="1">
      <c r="A4087" s="323" t="str">
        <f>IF(B4087&lt;&gt;"",IF(AND(B4087='IN-TC'!$S$4,OR(TH!N4059="1111",TH!O4059="1111")),TH!D4059,""),"")</f>
        <v/>
      </c>
      <c r="B4087" s="63">
        <f t="shared" si="266"/>
        <v>11</v>
      </c>
      <c r="C4087" s="64">
        <v>42681</v>
      </c>
      <c r="D4087" s="64" t="s">
        <v>871</v>
      </c>
      <c r="E4087" s="64">
        <f t="shared" si="265"/>
        <v>42681</v>
      </c>
      <c r="F4087" s="72" t="s">
        <v>2394</v>
      </c>
      <c r="G4087" s="931" t="s">
        <v>1381</v>
      </c>
      <c r="H4087" s="72" t="s">
        <v>2406</v>
      </c>
      <c r="I4087" s="408"/>
      <c r="J4087" s="408"/>
      <c r="K4087" s="399"/>
      <c r="L4087" s="408"/>
      <c r="M4087" s="65">
        <v>795610</v>
      </c>
      <c r="N4087" s="66" t="s">
        <v>9</v>
      </c>
      <c r="O4087" s="66" t="s">
        <v>61</v>
      </c>
      <c r="P4087" s="82" t="str">
        <f>IF(AND('331-CT'!$E$7=TH!H4087,OR(N4087="331",O4087="331")),"x","")</f>
        <v/>
      </c>
      <c r="Q4087" s="82" t="str">
        <f>IF(AND(B4087='111'!$L$11,OR($N4087=$Q$7,$O4087=$Q$7)),"x","")</f>
        <v/>
      </c>
      <c r="R4087" s="82" t="str">
        <f>IF(AND($N4087=$Q$7,$B4087&lt;'111'!$L$11),"x","")</f>
        <v/>
      </c>
      <c r="S4087" s="82" t="str">
        <f>IF(AND($O4087=$Q$7,$B4087&lt;'111'!$L$11),"x","")</f>
        <v>x</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x</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c r="AE4087">
        <v>1</v>
      </c>
    </row>
    <row r="4088" spans="1:31" ht="15.75" customHeight="1">
      <c r="A4088" s="323" t="str">
        <f>IF(B4088&lt;&gt;"",IF(AND(B4088='IN-TC'!$S$4,OR(TH!N4060="1111",TH!O4060="1111")),TH!D4060,""),"")</f>
        <v/>
      </c>
      <c r="B4088" s="63">
        <f t="shared" si="266"/>
        <v>11</v>
      </c>
      <c r="C4088" s="64">
        <v>42681</v>
      </c>
      <c r="D4088" s="64" t="s">
        <v>872</v>
      </c>
      <c r="E4088" s="64">
        <f t="shared" si="265"/>
        <v>42681</v>
      </c>
      <c r="F4088" s="72" t="s">
        <v>2407</v>
      </c>
      <c r="G4088" s="931" t="s">
        <v>2408</v>
      </c>
      <c r="H4088" s="72" t="s">
        <v>2409</v>
      </c>
      <c r="I4088" s="408"/>
      <c r="J4088" s="408"/>
      <c r="K4088" s="399"/>
      <c r="L4088" s="408"/>
      <c r="M4088" s="65">
        <v>3547000</v>
      </c>
      <c r="N4088" s="66" t="s">
        <v>99</v>
      </c>
      <c r="O4088" s="66" t="s">
        <v>61</v>
      </c>
      <c r="P4088" s="82" t="str">
        <f>IF(AND('331-CT'!$E$7=TH!H4088,OR(N4088="331",O4088="331")),"x","")</f>
        <v/>
      </c>
      <c r="Q4088" s="82" t="str">
        <f>IF(AND(B4088='111'!$L$11,OR($N4088=$Q$7,$O4088=$Q$7)),"x","")</f>
        <v/>
      </c>
      <c r="R4088" s="82" t="str">
        <f>IF(AND($N4088=$Q$7,$B4088&lt;'111'!$L$11),"x","")</f>
        <v/>
      </c>
      <c r="S4088" s="82" t="str">
        <f>IF(AND($O4088=$Q$7,$B4088&lt;'111'!$L$11),"x","")</f>
        <v>x</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customHeight="1">
      <c r="A4089" s="1160" t="str">
        <f>IF(B4089&lt;&gt;"",IF(AND(B4089='IN-TC'!$S$4,OR(TH!N1052="1111",TH!O1052="1111")),TH!D1052,""),"")</f>
        <v/>
      </c>
      <c r="B4089" s="948">
        <f t="shared" si="266"/>
        <v>12</v>
      </c>
      <c r="C4089" s="78">
        <v>42724</v>
      </c>
      <c r="D4089" s="78" t="s">
        <v>2768</v>
      </c>
      <c r="E4089" s="78">
        <f t="shared" si="265"/>
        <v>42724</v>
      </c>
      <c r="F4089" s="80" t="s">
        <v>2495</v>
      </c>
      <c r="G4089" s="934" t="s">
        <v>2454</v>
      </c>
      <c r="H4089" s="310" t="s">
        <v>2511</v>
      </c>
      <c r="I4089" s="406">
        <v>2400</v>
      </c>
      <c r="J4089" s="406">
        <v>7500</v>
      </c>
      <c r="K4089" s="397"/>
      <c r="L4089" s="406"/>
      <c r="M4089" s="81">
        <f>ROUND(I4089*J4089,0)</f>
        <v>18000000</v>
      </c>
      <c r="N4089" s="82" t="s">
        <v>270</v>
      </c>
      <c r="O4089" s="82" t="s">
        <v>8</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x</v>
      </c>
      <c r="AC4089" s="82" t="str">
        <f>IF(AND(OR(LEFT(TH!N4089,2)="15",LEFT(TH!O4089,2)="15"),TK!$E$7=TH!F4089),"x","")</f>
        <v/>
      </c>
      <c r="AD4089" s="82" t="str">
        <f>IF(AND(N4089="1521",MONTH(C4089)='BK-NL'!$M$11),"x","")</f>
        <v/>
      </c>
      <c r="AE4089">
        <v>1</v>
      </c>
    </row>
    <row r="4090" spans="1:31" ht="15.75" customHeight="1">
      <c r="A4090" s="323" t="str">
        <f>IF(B4090&lt;&gt;"",IF(AND(B4090='IN-TC'!$S$4,OR(TH!N4063="1111",TH!O4063="1111")),TH!D4063,""),"")</f>
        <v/>
      </c>
      <c r="B4090" s="63">
        <f t="shared" si="266"/>
        <v>11</v>
      </c>
      <c r="C4090" s="64">
        <v>42684</v>
      </c>
      <c r="D4090" s="64" t="s">
        <v>874</v>
      </c>
      <c r="E4090" s="64">
        <f t="shared" si="265"/>
        <v>42684</v>
      </c>
      <c r="F4090" s="72" t="s">
        <v>2393</v>
      </c>
      <c r="G4090" s="931" t="s">
        <v>2410</v>
      </c>
      <c r="H4090" s="72" t="s">
        <v>606</v>
      </c>
      <c r="I4090" s="408">
        <v>450</v>
      </c>
      <c r="J4090" s="408">
        <v>21080.808000000001</v>
      </c>
      <c r="K4090" s="399"/>
      <c r="L4090" s="408"/>
      <c r="M4090" s="65">
        <v>9486364</v>
      </c>
      <c r="N4090" s="66" t="s">
        <v>276</v>
      </c>
      <c r="O4090" s="66" t="s">
        <v>61</v>
      </c>
      <c r="P4090" s="82" t="str">
        <f>IF(AND('331-CT'!$E$7=TH!H4090,OR(N4090="331",O4090="331")),"x","")</f>
        <v/>
      </c>
      <c r="Q4090" s="82" t="str">
        <f>IF(AND(B4090='111'!$L$11,OR($N4090=$Q$7,$O4090=$Q$7)),"x","")</f>
        <v/>
      </c>
      <c r="R4090" s="82" t="str">
        <f>IF(AND($N4090=$Q$7,$B4090&lt;'111'!$L$11),"x","")</f>
        <v/>
      </c>
      <c r="S4090" s="82" t="str">
        <f>IF(AND($O4090=$Q$7,$B4090&lt;'111'!$L$11),"x","")</f>
        <v>x</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c r="AE4090">
        <v>1</v>
      </c>
    </row>
    <row r="4091" spans="1:31" ht="15.75" customHeight="1">
      <c r="A4091" s="323" t="str">
        <f>IF(B4091&lt;&gt;"",IF(AND(B4091='IN-TC'!$S$4,OR(TH!N4064="1111",TH!O4064="1111")),TH!D4064,""),"")</f>
        <v/>
      </c>
      <c r="B4091" s="63">
        <f t="shared" si="266"/>
        <v>11</v>
      </c>
      <c r="C4091" s="64">
        <v>42684</v>
      </c>
      <c r="D4091" s="64" t="s">
        <v>874</v>
      </c>
      <c r="E4091" s="64">
        <f t="shared" si="265"/>
        <v>42684</v>
      </c>
      <c r="F4091" s="72" t="s">
        <v>2394</v>
      </c>
      <c r="G4091" s="931" t="s">
        <v>2410</v>
      </c>
      <c r="H4091" s="72" t="s">
        <v>606</v>
      </c>
      <c r="I4091" s="408"/>
      <c r="J4091" s="408"/>
      <c r="K4091" s="399"/>
      <c r="L4091" s="408"/>
      <c r="M4091" s="65">
        <v>948636</v>
      </c>
      <c r="N4091" s="66" t="s">
        <v>9</v>
      </c>
      <c r="O4091" s="66" t="s">
        <v>61</v>
      </c>
      <c r="P4091" s="82" t="str">
        <f>IF(AND('331-CT'!$E$7=TH!H4091,OR(N4091="331",O4091="331")),"x","")</f>
        <v/>
      </c>
      <c r="Q4091" s="82" t="str">
        <f>IF(AND(B4091='111'!$L$11,OR($N4091=$Q$7,$O4091=$Q$7)),"x","")</f>
        <v/>
      </c>
      <c r="R4091" s="82" t="str">
        <f>IF(AND($N4091=$Q$7,$B4091&lt;'111'!$L$11),"x","")</f>
        <v/>
      </c>
      <c r="S4091" s="82" t="str">
        <f>IF(AND($O4091=$Q$7,$B4091&lt;'111'!$L$11),"x","")</f>
        <v>x</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x</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c r="AE4091">
        <v>1</v>
      </c>
    </row>
    <row r="4092" spans="1:31" ht="15.75" customHeight="1">
      <c r="A4092" s="1160" t="str">
        <f>IF(B4092&lt;&gt;"",IF(AND(B4092='IN-TC'!$S$4,OR(TH!N1053="1111",TH!O1053="1111")),TH!D1053,""),"")</f>
        <v/>
      </c>
      <c r="B4092" s="948">
        <f t="shared" si="266"/>
        <v>12</v>
      </c>
      <c r="C4092" s="78">
        <v>42724</v>
      </c>
      <c r="D4092" s="78" t="s">
        <v>2768</v>
      </c>
      <c r="E4092" s="78">
        <f t="shared" si="265"/>
        <v>42724</v>
      </c>
      <c r="F4092" s="80" t="s">
        <v>637</v>
      </c>
      <c r="G4092" s="934" t="s">
        <v>2454</v>
      </c>
      <c r="H4092" s="310" t="s">
        <v>2511</v>
      </c>
      <c r="I4092" s="406"/>
      <c r="J4092" s="406"/>
      <c r="K4092" s="397"/>
      <c r="L4092" s="406"/>
      <c r="M4092" s="81">
        <v>1800000</v>
      </c>
      <c r="N4092" s="82" t="s">
        <v>9</v>
      </c>
      <c r="O4092" s="82" t="s">
        <v>8</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x</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c r="AE4092">
        <v>1</v>
      </c>
    </row>
    <row r="4093" spans="1:31" ht="15.75" customHeight="1">
      <c r="A4093" s="323" t="str">
        <f>IF(B4093&lt;&gt;"",IF(AND(B4093='IN-TC'!$S$4,OR(TH!N4066="1111",TH!O4066="1111")),TH!D4066,""),"")</f>
        <v/>
      </c>
      <c r="B4093" s="63">
        <f t="shared" si="266"/>
        <v>11</v>
      </c>
      <c r="C4093" s="1092">
        <v>42684</v>
      </c>
      <c r="D4093" s="1092" t="s">
        <v>876</v>
      </c>
      <c r="E4093" s="1092">
        <f t="shared" si="265"/>
        <v>42684</v>
      </c>
      <c r="F4093" s="482" t="s">
        <v>947</v>
      </c>
      <c r="G4093" s="1094"/>
      <c r="H4093" s="937" t="s">
        <v>3001</v>
      </c>
      <c r="I4093" s="1095"/>
      <c r="J4093" s="1095"/>
      <c r="K4093" s="1096"/>
      <c r="L4093" s="1095"/>
      <c r="M4093" s="1097">
        <v>750000000</v>
      </c>
      <c r="N4093" s="1098" t="s">
        <v>266</v>
      </c>
      <c r="O4093" s="1098" t="s">
        <v>61</v>
      </c>
      <c r="P4093" s="82" t="str">
        <f>IF(AND('331-CT'!$E$7=TH!H4093,OR(N4093="331",O4093="331")),"x","")</f>
        <v/>
      </c>
      <c r="Q4093" s="82" t="str">
        <f>IF(AND(B4093='111'!$L$11,OR($N4093=$Q$7,$O4093=$Q$7)),"x","")</f>
        <v/>
      </c>
      <c r="R4093" s="82" t="str">
        <f>IF(AND($N4093=$Q$7,$B4093&lt;'111'!$L$11),"x","")</f>
        <v/>
      </c>
      <c r="S4093" s="82" t="str">
        <f>IF(AND($O4093=$Q$7,$B4093&lt;'111'!$L$11),"x","")</f>
        <v>x</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1" ht="15.75" customHeight="1">
      <c r="A4094" s="1160" t="str">
        <f>IF(B4094&lt;&gt;"",IF(AND(B4094='IN-TC'!$S$4,OR(TH!N4289="1111",TH!O4289="1111")),TH!D4289,""),"")</f>
        <v/>
      </c>
      <c r="B4094" s="63">
        <f t="shared" si="266"/>
        <v>11</v>
      </c>
      <c r="C4094" s="78">
        <v>42703</v>
      </c>
      <c r="D4094" s="78" t="s">
        <v>570</v>
      </c>
      <c r="E4094" s="78">
        <f t="shared" si="265"/>
        <v>42703</v>
      </c>
      <c r="F4094" s="80" t="s">
        <v>1049</v>
      </c>
      <c r="G4094" s="79" t="s">
        <v>1544</v>
      </c>
      <c r="H4094" s="80" t="s">
        <v>1887</v>
      </c>
      <c r="I4094" s="406"/>
      <c r="J4094" s="406"/>
      <c r="K4094" s="397"/>
      <c r="L4094" s="408"/>
      <c r="M4094" s="81">
        <v>45864000</v>
      </c>
      <c r="N4094" s="82" t="s">
        <v>576</v>
      </c>
      <c r="O4094" s="82" t="s">
        <v>41</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1" ht="15.75" customHeight="1">
      <c r="A4095" s="1170" t="str">
        <f>IF(B4095&lt;&gt;"",IF(AND(B4095='IN-TC'!$S$4,OR(TH!N315="1111",TH!O315="1111")),TH!D315,""),"")</f>
        <v/>
      </c>
      <c r="B4095" s="63">
        <f t="shared" si="266"/>
        <v>12</v>
      </c>
      <c r="C4095" s="90">
        <v>42706</v>
      </c>
      <c r="D4095" s="1087" t="s">
        <v>585</v>
      </c>
      <c r="E4095" s="90">
        <v>42706</v>
      </c>
      <c r="F4095" s="91" t="s">
        <v>455</v>
      </c>
      <c r="G4095" s="1089" t="s">
        <v>2492</v>
      </c>
      <c r="H4095" s="937" t="s">
        <v>1887</v>
      </c>
      <c r="I4095" s="414">
        <v>26000</v>
      </c>
      <c r="J4095" s="1132">
        <v>2.8</v>
      </c>
      <c r="K4095" s="405">
        <f>I4095*J4095</f>
        <v>72800</v>
      </c>
      <c r="L4095" s="414">
        <v>22680</v>
      </c>
      <c r="M4095" s="1133">
        <f>ROUND(K4095*L4095,0)</f>
        <v>1651104000</v>
      </c>
      <c r="N4095" s="1134" t="s">
        <v>576</v>
      </c>
      <c r="O4095" s="1134" t="s">
        <v>292</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1" ht="15.75" customHeight="1">
      <c r="A4096" s="323" t="str">
        <f>IF(B4096&lt;&gt;"",IF(AND(B4096='IN-TC'!$S$4,OR(TH!N4198="1111",TH!O4198="1111")),TH!D4198,""),"")</f>
        <v/>
      </c>
      <c r="B4096" s="63">
        <f t="shared" si="266"/>
        <v>11</v>
      </c>
      <c r="C4096" s="64">
        <v>42684</v>
      </c>
      <c r="D4096" s="64" t="s">
        <v>687</v>
      </c>
      <c r="E4096" s="64">
        <f t="shared" ref="E4096:E4123" si="267">C4096</f>
        <v>42684</v>
      </c>
      <c r="F4096" s="72" t="s">
        <v>1425</v>
      </c>
      <c r="G4096" s="67" t="s">
        <v>1544</v>
      </c>
      <c r="H4096" s="72" t="s">
        <v>1780</v>
      </c>
      <c r="I4096" s="408"/>
      <c r="J4096" s="408"/>
      <c r="K4096" s="399">
        <v>145600</v>
      </c>
      <c r="L4096" s="408">
        <v>22321</v>
      </c>
      <c r="M4096" s="65">
        <f>ROUND(K4096*L4096,0)</f>
        <v>3249937600</v>
      </c>
      <c r="N4096" s="66" t="s">
        <v>25</v>
      </c>
      <c r="O4096" s="66" t="s">
        <v>260</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x</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1" ht="15.75" customHeight="1">
      <c r="A4097" s="323" t="str">
        <f>IF(B4097&lt;&gt;"",IF(AND(B4097='IN-TC'!$S$4,OR(TH!N4202="1111",TH!O4202="1111")),TH!D4202,""),"")</f>
        <v/>
      </c>
      <c r="B4097" s="63">
        <f t="shared" si="266"/>
        <v>11</v>
      </c>
      <c r="C4097" s="64">
        <v>42684</v>
      </c>
      <c r="D4097" s="64" t="s">
        <v>687</v>
      </c>
      <c r="E4097" s="64">
        <f t="shared" si="267"/>
        <v>42684</v>
      </c>
      <c r="F4097" s="72" t="s">
        <v>2358</v>
      </c>
      <c r="G4097" s="67" t="s">
        <v>1544</v>
      </c>
      <c r="H4097" s="1274" t="s">
        <v>2998</v>
      </c>
      <c r="I4097" s="408"/>
      <c r="J4097" s="408"/>
      <c r="K4097" s="399">
        <v>82000</v>
      </c>
      <c r="L4097" s="408">
        <f>M4097/K4097</f>
        <v>22313</v>
      </c>
      <c r="M4097" s="65">
        <v>1829666000</v>
      </c>
      <c r="N4097" s="66" t="s">
        <v>25</v>
      </c>
      <c r="O4097" s="66" t="s">
        <v>254</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x</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1" ht="15.75" customHeight="1">
      <c r="A4098" s="323" t="str">
        <f>IF(B4098&lt;&gt;"",IF(AND(B4098='IN-TC'!$S$4,OR(TH!N4196="1111",TH!O4196="1111")),TH!D4196,""),"")</f>
        <v/>
      </c>
      <c r="B4098" s="63">
        <f t="shared" si="266"/>
        <v>11</v>
      </c>
      <c r="C4098" s="64">
        <v>42684</v>
      </c>
      <c r="D4098" s="64" t="s">
        <v>690</v>
      </c>
      <c r="E4098" s="64">
        <f t="shared" si="267"/>
        <v>42684</v>
      </c>
      <c r="F4098" s="72" t="s">
        <v>2451</v>
      </c>
      <c r="G4098" s="67" t="s">
        <v>1544</v>
      </c>
      <c r="H4098" s="72" t="s">
        <v>1780</v>
      </c>
      <c r="I4098" s="408"/>
      <c r="J4098" s="408"/>
      <c r="K4098" s="399"/>
      <c r="L4098" s="408"/>
      <c r="M4098" s="65">
        <v>1628313</v>
      </c>
      <c r="N4098" s="66" t="s">
        <v>99</v>
      </c>
      <c r="O4098" s="66" t="s">
        <v>25</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x</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E4098">
        <v>1</v>
      </c>
    </row>
    <row r="4099" spans="1:31" ht="15.75" customHeight="1">
      <c r="A4099" s="323" t="str">
        <f>IF(B4099&lt;&gt;"",IF(AND(B4099='IN-TC'!$S$4,OR(TH!N4197="1111",TH!O4197="1111")),TH!D4197,""),"")</f>
        <v/>
      </c>
      <c r="B4099" s="63">
        <f t="shared" si="266"/>
        <v>11</v>
      </c>
      <c r="C4099" s="64">
        <v>42684</v>
      </c>
      <c r="D4099" s="64" t="s">
        <v>690</v>
      </c>
      <c r="E4099" s="64">
        <f t="shared" si="267"/>
        <v>42684</v>
      </c>
      <c r="F4099" s="72" t="s">
        <v>2477</v>
      </c>
      <c r="G4099" s="67" t="s">
        <v>1544</v>
      </c>
      <c r="H4099" s="72" t="s">
        <v>1780</v>
      </c>
      <c r="I4099" s="408"/>
      <c r="J4099" s="408"/>
      <c r="K4099" s="399"/>
      <c r="L4099" s="408"/>
      <c r="M4099" s="65">
        <v>162831</v>
      </c>
      <c r="N4099" s="66" t="s">
        <v>9</v>
      </c>
      <c r="O4099" s="66" t="s">
        <v>25</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x</v>
      </c>
      <c r="W4099" s="82" t="str">
        <f>IF(AND('341-CT'!$H$9=H4099,OR(LEFT(N4099,3)=$W$7,LEFT(O4099,3)=$W$7)),"x","")</f>
        <v/>
      </c>
      <c r="X4099" s="82" t="str">
        <f>IF(OR(TH!N4099=TH!$X$7,O4099=TH!$X$7),"x","")</f>
        <v>x</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c r="AE4099">
        <v>1</v>
      </c>
    </row>
    <row r="4100" spans="1:31" ht="15.75" customHeight="1">
      <c r="A4100" s="323" t="str">
        <f>IF(B4100&lt;&gt;"",IF(AND(B4100='IN-TC'!$S$4,OR(TH!N4200="1111",TH!O4200="1111")),TH!D4200,""),"")</f>
        <v/>
      </c>
      <c r="B4100" s="63">
        <f t="shared" si="266"/>
        <v>11</v>
      </c>
      <c r="C4100" s="64">
        <v>42684</v>
      </c>
      <c r="D4100" s="64" t="s">
        <v>690</v>
      </c>
      <c r="E4100" s="64">
        <f t="shared" si="267"/>
        <v>42684</v>
      </c>
      <c r="F4100" s="72" t="s">
        <v>1170</v>
      </c>
      <c r="G4100" s="67" t="s">
        <v>1544</v>
      </c>
      <c r="H4100" s="922" t="s">
        <v>1860</v>
      </c>
      <c r="I4100" s="408"/>
      <c r="J4100" s="408"/>
      <c r="K4100" s="399">
        <v>82000</v>
      </c>
      <c r="L4100" s="408">
        <v>22308</v>
      </c>
      <c r="M4100" s="65">
        <f>ROUND(K4100*L4100,0)</f>
        <v>1829256000</v>
      </c>
      <c r="N4100" s="66" t="s">
        <v>254</v>
      </c>
      <c r="O4100" s="66" t="s">
        <v>25</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x</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customHeight="1">
      <c r="A4101" s="323" t="str">
        <f>IF(B4101&lt;&gt;"",IF(AND(B4101='IN-TC'!$S$4,OR(TH!N4201="1111",TH!O4201="1111")),TH!D4201,""),"")</f>
        <v/>
      </c>
      <c r="B4101" s="63">
        <f t="shared" si="266"/>
        <v>11</v>
      </c>
      <c r="C4101" s="64">
        <v>42684</v>
      </c>
      <c r="D4101" s="64" t="s">
        <v>690</v>
      </c>
      <c r="E4101" s="64">
        <f t="shared" si="267"/>
        <v>42684</v>
      </c>
      <c r="F4101" s="72" t="s">
        <v>2533</v>
      </c>
      <c r="G4101" s="67" t="s">
        <v>1544</v>
      </c>
      <c r="H4101" s="922" t="s">
        <v>1860</v>
      </c>
      <c r="I4101" s="408"/>
      <c r="J4101" s="408"/>
      <c r="K4101" s="399"/>
      <c r="L4101" s="408"/>
      <c r="M4101" s="65">
        <v>10059092</v>
      </c>
      <c r="N4101" s="66" t="s">
        <v>97</v>
      </c>
      <c r="O4101" s="66" t="s">
        <v>25</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x</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1" ht="15.75" customHeight="1">
      <c r="A4102" s="323" t="str">
        <f>IF(B4102&lt;&gt;"",IF(AND(B4102='IN-TC'!$S$4,OR(TH!N4062="1111",TH!O4062="1111")),TH!D4062,""),"")</f>
        <v/>
      </c>
      <c r="B4102" s="63">
        <f t="shared" si="266"/>
        <v>11</v>
      </c>
      <c r="C4102" s="64">
        <v>42684</v>
      </c>
      <c r="D4102" s="64" t="s">
        <v>892</v>
      </c>
      <c r="E4102" s="64">
        <f t="shared" si="267"/>
        <v>42684</v>
      </c>
      <c r="F4102" s="72" t="s">
        <v>1126</v>
      </c>
      <c r="G4102" s="67" t="s">
        <v>1544</v>
      </c>
      <c r="H4102" s="72" t="s">
        <v>748</v>
      </c>
      <c r="I4102" s="408"/>
      <c r="J4102" s="408"/>
      <c r="K4102" s="399"/>
      <c r="L4102" s="408"/>
      <c r="M4102" s="65">
        <v>1400000000</v>
      </c>
      <c r="N4102" s="66" t="s">
        <v>61</v>
      </c>
      <c r="O4102" s="66" t="s">
        <v>25</v>
      </c>
      <c r="P4102" s="82" t="str">
        <f>IF(AND('331-CT'!$E$7=TH!H4102,OR(N4102="331",O4102="331")),"x","")</f>
        <v/>
      </c>
      <c r="Q4102" s="82" t="str">
        <f>IF(AND(B4102='111'!$L$11,OR($N4102=$Q$7,$O4102=$Q$7)),"x","")</f>
        <v/>
      </c>
      <c r="R4102" s="82" t="str">
        <f>IF(AND($N4102=$Q$7,$B4102&lt;'111'!$L$11),"x","")</f>
        <v>x</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x</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row>
    <row r="4103" spans="1:31" ht="15.75" customHeight="1">
      <c r="A4103" s="323" t="str">
        <f>IF(B4103&lt;&gt;"",IF(AND(B4103='IN-TC'!$S$4,OR(TH!N4068="1111",TH!O4068="1111")),TH!D4068,""),"")</f>
        <v/>
      </c>
      <c r="B4103" s="63">
        <f t="shared" si="266"/>
        <v>11</v>
      </c>
      <c r="C4103" s="64">
        <v>42685</v>
      </c>
      <c r="D4103" s="64" t="s">
        <v>877</v>
      </c>
      <c r="E4103" s="64">
        <f t="shared" si="267"/>
        <v>42685</v>
      </c>
      <c r="F4103" s="72" t="s">
        <v>2412</v>
      </c>
      <c r="G4103" s="931" t="s">
        <v>2411</v>
      </c>
      <c r="H4103" s="72" t="s">
        <v>1020</v>
      </c>
      <c r="I4103" s="408"/>
      <c r="J4103" s="408"/>
      <c r="K4103" s="399"/>
      <c r="L4103" s="408"/>
      <c r="M4103" s="65">
        <v>2600000</v>
      </c>
      <c r="N4103" s="66" t="s">
        <v>99</v>
      </c>
      <c r="O4103" s="66" t="s">
        <v>61</v>
      </c>
      <c r="P4103" s="82" t="str">
        <f>IF(AND('331-CT'!$E$7=TH!H4103,OR(N4103="331",O4103="331")),"x","")</f>
        <v/>
      </c>
      <c r="Q4103" s="82" t="str">
        <f>IF(AND(B4103='111'!$L$11,OR($N4103=$Q$7,$O4103=$Q$7)),"x","")</f>
        <v/>
      </c>
      <c r="R4103" s="82" t="str">
        <f>IF(AND($N4103=$Q$7,$B4103&lt;'111'!$L$11),"x","")</f>
        <v/>
      </c>
      <c r="S4103" s="82" t="str">
        <f>IF(AND($O4103=$Q$7,$B4103&lt;'111'!$L$11),"x","")</f>
        <v>x</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1" ht="15.75" customHeight="1">
      <c r="A4104" s="323" t="str">
        <f>IF(B4104&lt;&gt;"",IF(AND(B4104='IN-TC'!$S$4,OR(TH!N4069="1111",TH!O4069="1111")),TH!D4069,""),"")</f>
        <v/>
      </c>
      <c r="B4104" s="63">
        <f t="shared" si="266"/>
        <v>11</v>
      </c>
      <c r="C4104" s="64">
        <v>42685</v>
      </c>
      <c r="D4104" s="64" t="s">
        <v>878</v>
      </c>
      <c r="E4104" s="64">
        <f t="shared" si="267"/>
        <v>42685</v>
      </c>
      <c r="F4104" s="72" t="s">
        <v>1162</v>
      </c>
      <c r="G4104" s="931" t="s">
        <v>2189</v>
      </c>
      <c r="H4104" s="308" t="s">
        <v>604</v>
      </c>
      <c r="I4104" s="408"/>
      <c r="J4104" s="408"/>
      <c r="K4104" s="399"/>
      <c r="L4104" s="408"/>
      <c r="M4104" s="65">
        <v>5280000</v>
      </c>
      <c r="N4104" s="66" t="s">
        <v>8</v>
      </c>
      <c r="O4104" s="66" t="s">
        <v>61</v>
      </c>
      <c r="P4104" s="82" t="str">
        <f>IF(AND('331-CT'!$E$7=TH!H4104,OR(N4104="331",O4104="331")),"x","")</f>
        <v/>
      </c>
      <c r="Q4104" s="82" t="str">
        <f>IF(AND(B4104='111'!$L$11,OR($N4104=$Q$7,$O4104=$Q$7)),"x","")</f>
        <v/>
      </c>
      <c r="R4104" s="82" t="str">
        <f>IF(AND($N4104=$Q$7,$B4104&lt;'111'!$L$11),"x","")</f>
        <v/>
      </c>
      <c r="S4104" s="82" t="str">
        <f>IF(AND($O4104=$Q$7,$B4104&lt;'111'!$L$11),"x","")</f>
        <v>x</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1" ht="15.75" customHeight="1">
      <c r="A4105" s="323" t="str">
        <f>IF(B4105&lt;&gt;"",IF(AND(B4105='IN-TC'!$S$4,OR(TH!N4203="1111",TH!O4203="1111")),TH!D4203,""),"")</f>
        <v/>
      </c>
      <c r="B4105" s="63">
        <f t="shared" si="266"/>
        <v>11</v>
      </c>
      <c r="C4105" s="64">
        <v>42685</v>
      </c>
      <c r="D4105" s="64" t="s">
        <v>687</v>
      </c>
      <c r="E4105" s="64">
        <f t="shared" si="267"/>
        <v>42685</v>
      </c>
      <c r="F4105" s="72" t="s">
        <v>1171</v>
      </c>
      <c r="G4105" s="67" t="s">
        <v>1544</v>
      </c>
      <c r="H4105" s="1274" t="s">
        <v>2999</v>
      </c>
      <c r="I4105" s="408"/>
      <c r="J4105" s="408"/>
      <c r="K4105" s="399">
        <v>63000</v>
      </c>
      <c r="L4105" s="408">
        <f>M4105/K4105</f>
        <v>22322</v>
      </c>
      <c r="M4105" s="65">
        <v>1406286000</v>
      </c>
      <c r="N4105" s="66" t="s">
        <v>25</v>
      </c>
      <c r="O4105" s="66" t="s">
        <v>254</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x</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1" ht="15.75" customHeight="1">
      <c r="A4106" s="323" t="str">
        <f>IF(B4106&lt;&gt;"",IF(AND(B4106='IN-TC'!$S$4,OR(TH!N4184="1111",TH!O4184="1111")),TH!D4184,""),"")</f>
        <v/>
      </c>
      <c r="B4106" s="63">
        <f t="shared" si="266"/>
        <v>11</v>
      </c>
      <c r="C4106" s="64">
        <v>42685</v>
      </c>
      <c r="D4106" s="64" t="s">
        <v>690</v>
      </c>
      <c r="E4106" s="64">
        <f t="shared" si="267"/>
        <v>42685</v>
      </c>
      <c r="F4106" s="72" t="s">
        <v>1617</v>
      </c>
      <c r="G4106" s="67" t="s">
        <v>902</v>
      </c>
      <c r="H4106" s="72" t="s">
        <v>1779</v>
      </c>
      <c r="I4106" s="408"/>
      <c r="J4106" s="408"/>
      <c r="K4106" s="399"/>
      <c r="L4106" s="408"/>
      <c r="M4106" s="65">
        <v>111800</v>
      </c>
      <c r="N4106" s="66" t="s">
        <v>99</v>
      </c>
      <c r="O4106" s="66" t="s">
        <v>25</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c r="AE4106">
        <v>1</v>
      </c>
    </row>
    <row r="4107" spans="1:31" ht="15.75" customHeight="1">
      <c r="A4107" s="323" t="str">
        <f>IF(B4107&lt;&gt;"",IF(AND(B4107='IN-TC'!$S$4,OR(TH!N4185="1111",TH!O4185="1111")),TH!D4185,""),"")</f>
        <v/>
      </c>
      <c r="B4107" s="63">
        <f t="shared" si="266"/>
        <v>11</v>
      </c>
      <c r="C4107" s="64">
        <v>42685</v>
      </c>
      <c r="D4107" s="64" t="s">
        <v>690</v>
      </c>
      <c r="E4107" s="64">
        <f t="shared" si="267"/>
        <v>42685</v>
      </c>
      <c r="F4107" s="72" t="s">
        <v>1618</v>
      </c>
      <c r="G4107" s="67" t="s">
        <v>902</v>
      </c>
      <c r="H4107" s="72" t="s">
        <v>1779</v>
      </c>
      <c r="I4107" s="408"/>
      <c r="J4107" s="408"/>
      <c r="K4107" s="399"/>
      <c r="L4107" s="408"/>
      <c r="M4107" s="65">
        <v>11180</v>
      </c>
      <c r="N4107" s="66" t="s">
        <v>9</v>
      </c>
      <c r="O4107" s="66" t="s">
        <v>25</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x</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c r="AE4107">
        <v>1</v>
      </c>
    </row>
    <row r="4108" spans="1:31" ht="15.75" customHeight="1">
      <c r="A4108" s="323" t="str">
        <f>IF(B4108&lt;&gt;"",IF(AND(B4108='IN-TC'!$S$4,OR(TH!N4067="1111",TH!O4067="1111")),TH!D4067,""),"")</f>
        <v/>
      </c>
      <c r="B4108" s="63">
        <f t="shared" si="266"/>
        <v>11</v>
      </c>
      <c r="C4108" s="64">
        <v>42685</v>
      </c>
      <c r="D4108" s="64" t="s">
        <v>893</v>
      </c>
      <c r="E4108" s="64">
        <f t="shared" si="267"/>
        <v>42685</v>
      </c>
      <c r="F4108" s="72" t="s">
        <v>1126</v>
      </c>
      <c r="G4108" s="67" t="s">
        <v>1544</v>
      </c>
      <c r="H4108" s="72" t="s">
        <v>748</v>
      </c>
      <c r="I4108" s="408"/>
      <c r="J4108" s="408"/>
      <c r="K4108" s="399"/>
      <c r="L4108" s="408"/>
      <c r="M4108" s="65">
        <v>1850000000</v>
      </c>
      <c r="N4108" s="66" t="s">
        <v>61</v>
      </c>
      <c r="O4108" s="66" t="s">
        <v>25</v>
      </c>
      <c r="P4108" s="82" t="str">
        <f>IF(AND('331-CT'!$E$7=TH!H4108,OR(N4108="331",O4108="331")),"x","")</f>
        <v/>
      </c>
      <c r="Q4108" s="82" t="str">
        <f>IF(AND(B4108='111'!$L$11,OR($N4108=$Q$7,$O4108=$Q$7)),"x","")</f>
        <v/>
      </c>
      <c r="R4108" s="82" t="str">
        <f>IF(AND($N4108=$Q$7,$B4108&lt;'111'!$L$11),"x","")</f>
        <v>x</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x</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row>
    <row r="4109" spans="1:31" ht="15.75" customHeight="1">
      <c r="A4109" s="323" t="str">
        <f>IF(B4109&lt;&gt;"",IF(AND(B4109='IN-TC'!$S$4,OR(TH!N4071="1111",TH!O4071="1111")),TH!D4071,""),"")</f>
        <v/>
      </c>
      <c r="B4109" s="63">
        <f t="shared" si="266"/>
        <v>11</v>
      </c>
      <c r="C4109" s="64">
        <v>42686</v>
      </c>
      <c r="D4109" s="64" t="s">
        <v>879</v>
      </c>
      <c r="E4109" s="64">
        <f t="shared" si="267"/>
        <v>42686</v>
      </c>
      <c r="F4109" s="72" t="s">
        <v>2393</v>
      </c>
      <c r="G4109" s="931" t="s">
        <v>2413</v>
      </c>
      <c r="H4109" s="72" t="s">
        <v>2406</v>
      </c>
      <c r="I4109" s="408">
        <v>384</v>
      </c>
      <c r="J4109" s="408">
        <v>20719</v>
      </c>
      <c r="K4109" s="399"/>
      <c r="L4109" s="408"/>
      <c r="M4109" s="65">
        <v>7956096</v>
      </c>
      <c r="N4109" s="66" t="s">
        <v>276</v>
      </c>
      <c r="O4109" s="66" t="s">
        <v>61</v>
      </c>
      <c r="P4109" s="82" t="str">
        <f>IF(AND('331-CT'!$E$7=TH!H4109,OR(N4109="331",O4109="331")),"x","")</f>
        <v/>
      </c>
      <c r="Q4109" s="82" t="str">
        <f>IF(AND(B4109='111'!$L$11,OR($N4109=$Q$7,$O4109=$Q$7)),"x","")</f>
        <v/>
      </c>
      <c r="R4109" s="82" t="str">
        <f>IF(AND($N4109=$Q$7,$B4109&lt;'111'!$L$11),"x","")</f>
        <v/>
      </c>
      <c r="S4109" s="82" t="str">
        <f>IF(AND($O4109=$Q$7,$B4109&lt;'111'!$L$11),"x","")</f>
        <v>x</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customHeight="1">
      <c r="A4110" s="323" t="str">
        <f>IF(B4110&lt;&gt;"",IF(AND(B4110='IN-TC'!$S$4,OR(TH!N4072="1111",TH!O4072="1111")),TH!D4072,""),"")</f>
        <v/>
      </c>
      <c r="B4110" s="63">
        <f t="shared" si="266"/>
        <v>11</v>
      </c>
      <c r="C4110" s="64">
        <v>42686</v>
      </c>
      <c r="D4110" s="64" t="s">
        <v>879</v>
      </c>
      <c r="E4110" s="64">
        <f t="shared" si="267"/>
        <v>42686</v>
      </c>
      <c r="F4110" s="72" t="s">
        <v>2394</v>
      </c>
      <c r="G4110" s="931" t="s">
        <v>2413</v>
      </c>
      <c r="H4110" s="72" t="s">
        <v>2406</v>
      </c>
      <c r="I4110" s="408"/>
      <c r="J4110" s="408"/>
      <c r="K4110" s="399"/>
      <c r="L4110" s="408"/>
      <c r="M4110" s="65">
        <v>795610</v>
      </c>
      <c r="N4110" s="66" t="s">
        <v>9</v>
      </c>
      <c r="O4110" s="66" t="s">
        <v>61</v>
      </c>
      <c r="P4110" s="82" t="str">
        <f>IF(AND('331-CT'!$E$7=TH!H4110,OR(N4110="331",O4110="331")),"x","")</f>
        <v/>
      </c>
      <c r="Q4110" s="82" t="str">
        <f>IF(AND(B4110='111'!$L$11,OR($N4110=$Q$7,$O4110=$Q$7)),"x","")</f>
        <v/>
      </c>
      <c r="R4110" s="82" t="str">
        <f>IF(AND($N4110=$Q$7,$B4110&lt;'111'!$L$11),"x","")</f>
        <v/>
      </c>
      <c r="S4110" s="82" t="str">
        <f>IF(AND($O4110=$Q$7,$B4110&lt;'111'!$L$11),"x","")</f>
        <v>x</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x</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customHeight="1">
      <c r="A4111" s="323" t="str">
        <f>IF(B4111&lt;&gt;"",IF(AND(B4111='IN-TC'!$S$4,OR(TH!N4073="1111",TH!O4073="1111")),TH!D4073,""),"")</f>
        <v/>
      </c>
      <c r="B4111" s="63">
        <f t="shared" si="266"/>
        <v>11</v>
      </c>
      <c r="C4111" s="1092">
        <v>42686</v>
      </c>
      <c r="D4111" s="1092" t="s">
        <v>880</v>
      </c>
      <c r="E4111" s="1092">
        <f t="shared" si="267"/>
        <v>42686</v>
      </c>
      <c r="F4111" s="482" t="s">
        <v>947</v>
      </c>
      <c r="G4111" s="1094"/>
      <c r="H4111" s="937" t="s">
        <v>3001</v>
      </c>
      <c r="I4111" s="1095"/>
      <c r="J4111" s="1095"/>
      <c r="K4111" s="1096"/>
      <c r="L4111" s="1095"/>
      <c r="M4111" s="1097">
        <v>800000000</v>
      </c>
      <c r="N4111" s="1098" t="s">
        <v>266</v>
      </c>
      <c r="O4111" s="1098" t="s">
        <v>61</v>
      </c>
      <c r="P4111" s="82" t="str">
        <f>IF(AND('331-CT'!$E$7=TH!H4111,OR(N4111="331",O4111="331")),"x","")</f>
        <v/>
      </c>
      <c r="Q4111" s="82" t="str">
        <f>IF(AND(B4111='111'!$L$11,OR($N4111=$Q$7,$O4111=$Q$7)),"x","")</f>
        <v/>
      </c>
      <c r="R4111" s="82" t="str">
        <f>IF(AND($N4111=$Q$7,$B4111&lt;'111'!$L$11),"x","")</f>
        <v/>
      </c>
      <c r="S4111" s="82" t="str">
        <f>IF(AND($O4111=$Q$7,$B4111&lt;'111'!$L$11),"x","")</f>
        <v>x</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1" ht="15.75" customHeight="1">
      <c r="A4112" s="323" t="str">
        <f>IF(B4112&lt;&gt;"",IF(AND(B4112='IN-TC'!$S$4,OR(TH!N4074="1111",TH!O4074="1111")),TH!D4074,""),"")</f>
        <v/>
      </c>
      <c r="B4112" s="63">
        <f t="shared" si="266"/>
        <v>11</v>
      </c>
      <c r="C4112" s="1092">
        <v>42686</v>
      </c>
      <c r="D4112" s="1092" t="s">
        <v>881</v>
      </c>
      <c r="E4112" s="1092">
        <f t="shared" si="267"/>
        <v>42686</v>
      </c>
      <c r="F4112" s="482" t="s">
        <v>947</v>
      </c>
      <c r="G4112" s="1094"/>
      <c r="H4112" s="1169" t="s">
        <v>946</v>
      </c>
      <c r="I4112" s="1095"/>
      <c r="J4112" s="1095"/>
      <c r="K4112" s="1096"/>
      <c r="L4112" s="1095"/>
      <c r="M4112" s="1097">
        <v>731640000</v>
      </c>
      <c r="N4112" s="1098" t="s">
        <v>266</v>
      </c>
      <c r="O4112" s="1098" t="s">
        <v>61</v>
      </c>
      <c r="P4112" s="82" t="str">
        <f>IF(AND('331-CT'!$E$7=TH!H4112,OR(N4112="331",O4112="331")),"x","")</f>
        <v/>
      </c>
      <c r="Q4112" s="82" t="str">
        <f>IF(AND(B4112='111'!$L$11,OR($N4112=$Q$7,$O4112=$Q$7)),"x","")</f>
        <v/>
      </c>
      <c r="R4112" s="82" t="str">
        <f>IF(AND($N4112=$Q$7,$B4112&lt;'111'!$L$11),"x","")</f>
        <v/>
      </c>
      <c r="S4112" s="82" t="str">
        <f>IF(AND($O4112=$Q$7,$B4112&lt;'111'!$L$11),"x","")</f>
        <v>x</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2" ht="15.75" customHeight="1">
      <c r="A4113" s="323" t="str">
        <f>IF(B4113&lt;&gt;"",IF(AND(B4113='IN-TC'!$S$4,OR(TH!N4070="1111",TH!O4070="1111")),TH!D4070,""),"")</f>
        <v/>
      </c>
      <c r="B4113" s="63">
        <f t="shared" si="266"/>
        <v>11</v>
      </c>
      <c r="C4113" s="64">
        <v>42686</v>
      </c>
      <c r="D4113" s="64" t="s">
        <v>900</v>
      </c>
      <c r="E4113" s="64">
        <f t="shared" si="267"/>
        <v>42686</v>
      </c>
      <c r="F4113" s="72" t="s">
        <v>1126</v>
      </c>
      <c r="G4113" s="67" t="s">
        <v>1544</v>
      </c>
      <c r="H4113" s="72" t="s">
        <v>748</v>
      </c>
      <c r="I4113" s="408"/>
      <c r="J4113" s="408"/>
      <c r="K4113" s="399"/>
      <c r="L4113" s="408"/>
      <c r="M4113" s="65">
        <v>1400000000</v>
      </c>
      <c r="N4113" s="66" t="s">
        <v>61</v>
      </c>
      <c r="O4113" s="66" t="s">
        <v>25</v>
      </c>
      <c r="P4113" s="82" t="str">
        <f>IF(AND('331-CT'!$E$7=TH!H4113,OR(N4113="331",O4113="331")),"x","")</f>
        <v/>
      </c>
      <c r="Q4113" s="82" t="str">
        <f>IF(AND(B4113='111'!$L$11,OR($N4113=$Q$7,$O4113=$Q$7)),"x","")</f>
        <v/>
      </c>
      <c r="R4113" s="82" t="str">
        <f>IF(AND($N4113=$Q$7,$B4113&lt;'111'!$L$11),"x","")</f>
        <v>x</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x</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2" ht="15.75" customHeight="1">
      <c r="A4114" s="323" t="str">
        <f>IF(B4114&lt;&gt;"",IF(AND(B4114='IN-TC'!$S$4,OR(TH!N4076="1111",TH!O4076="1111")),TH!D4076,""),"")</f>
        <v/>
      </c>
      <c r="B4114" s="63">
        <f t="shared" si="266"/>
        <v>11</v>
      </c>
      <c r="C4114" s="1092">
        <v>42688</v>
      </c>
      <c r="D4114" s="1092" t="s">
        <v>882</v>
      </c>
      <c r="E4114" s="1092">
        <f t="shared" si="267"/>
        <v>42688</v>
      </c>
      <c r="F4114" s="482" t="s">
        <v>947</v>
      </c>
      <c r="G4114" s="1094"/>
      <c r="H4114" s="937" t="s">
        <v>3001</v>
      </c>
      <c r="I4114" s="1095"/>
      <c r="J4114" s="1095"/>
      <c r="K4114" s="1096"/>
      <c r="L4114" s="1095"/>
      <c r="M4114" s="1097">
        <v>800000000</v>
      </c>
      <c r="N4114" s="1098" t="s">
        <v>266</v>
      </c>
      <c r="O4114" s="1098" t="s">
        <v>61</v>
      </c>
      <c r="P4114" s="82" t="str">
        <f>IF(AND('331-CT'!$E$7=TH!H4114,OR(N4114="331",O4114="331")),"x","")</f>
        <v/>
      </c>
      <c r="Q4114" s="82" t="str">
        <f>IF(AND(B4114='111'!$L$11,OR($N4114=$Q$7,$O4114=$Q$7)),"x","")</f>
        <v/>
      </c>
      <c r="R4114" s="82" t="str">
        <f>IF(AND($N4114=$Q$7,$B4114&lt;'111'!$L$11),"x","")</f>
        <v/>
      </c>
      <c r="S4114" s="82" t="str">
        <f>IF(AND($O4114=$Q$7,$B4114&lt;'111'!$L$11),"x","")</f>
        <v>x</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row>
    <row r="4115" spans="1:32" ht="15.75" customHeight="1">
      <c r="A4115" s="323" t="str">
        <f>IF(B4115&lt;&gt;"",IF(AND(B4115='IN-TC'!$S$4,OR(TH!N4126="1111",TH!O4126="1111")),TH!D4126,""),"")</f>
        <v/>
      </c>
      <c r="B4115" s="63">
        <f t="shared" si="266"/>
        <v>11</v>
      </c>
      <c r="C4115" s="64">
        <v>42688</v>
      </c>
      <c r="D4115" s="64" t="s">
        <v>687</v>
      </c>
      <c r="E4115" s="64">
        <f t="shared" si="267"/>
        <v>42688</v>
      </c>
      <c r="F4115" s="72" t="s">
        <v>1436</v>
      </c>
      <c r="G4115" s="67" t="s">
        <v>901</v>
      </c>
      <c r="H4115" s="72" t="s">
        <v>2181</v>
      </c>
      <c r="I4115" s="408"/>
      <c r="J4115" s="408"/>
      <c r="K4115" s="399">
        <v>80000</v>
      </c>
      <c r="L4115" s="408">
        <v>22330</v>
      </c>
      <c r="M4115" s="65">
        <v>1786400000</v>
      </c>
      <c r="N4115" s="66" t="s">
        <v>25</v>
      </c>
      <c r="O4115" s="66" t="s">
        <v>576</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2" ht="15.75" customHeight="1">
      <c r="A4116" s="323" t="str">
        <f>IF(B4116&lt;&gt;"",IF(AND(B4116='IN-TC'!$S$4,OR(TH!N4075="1111",TH!O4075="1111")),TH!D4075,""),"")</f>
        <v/>
      </c>
      <c r="B4116" s="63">
        <f t="shared" si="266"/>
        <v>11</v>
      </c>
      <c r="C4116" s="64">
        <v>42688</v>
      </c>
      <c r="D4116" s="64" t="s">
        <v>1542</v>
      </c>
      <c r="E4116" s="64">
        <f t="shared" si="267"/>
        <v>42688</v>
      </c>
      <c r="F4116" s="72" t="s">
        <v>1126</v>
      </c>
      <c r="G4116" s="67" t="s">
        <v>901</v>
      </c>
      <c r="H4116" s="72" t="s">
        <v>748</v>
      </c>
      <c r="I4116" s="408"/>
      <c r="J4116" s="408"/>
      <c r="K4116" s="399"/>
      <c r="L4116" s="408"/>
      <c r="M4116" s="65">
        <v>1500000000</v>
      </c>
      <c r="N4116" s="66" t="s">
        <v>61</v>
      </c>
      <c r="O4116" s="66" t="s">
        <v>25</v>
      </c>
      <c r="P4116" s="82" t="str">
        <f>IF(AND('331-CT'!$E$7=TH!H4116,OR(N4116="331",O4116="331")),"x","")</f>
        <v/>
      </c>
      <c r="Q4116" s="82" t="str">
        <f>IF(AND(B4116='111'!$L$11,OR($N4116=$Q$7,$O4116=$Q$7)),"x","")</f>
        <v/>
      </c>
      <c r="R4116" s="82" t="str">
        <f>IF(AND($N4116=$Q$7,$B4116&lt;'111'!$L$11),"x","")</f>
        <v>x</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2" ht="15.75" customHeight="1">
      <c r="A4117" s="323" t="str">
        <f>IF(B4117&lt;&gt;"",IF(AND(B4117='IN-TC'!$S$4,OR(TH!N4077="1111",TH!O4077="1111")),TH!D4077,""),"")</f>
        <v/>
      </c>
      <c r="B4117" s="63">
        <f t="shared" si="266"/>
        <v>11</v>
      </c>
      <c r="C4117" s="64">
        <v>42689</v>
      </c>
      <c r="D4117" s="64" t="s">
        <v>883</v>
      </c>
      <c r="E4117" s="64">
        <f t="shared" si="267"/>
        <v>42689</v>
      </c>
      <c r="F4117" s="72" t="s">
        <v>1678</v>
      </c>
      <c r="G4117" s="931" t="s">
        <v>2414</v>
      </c>
      <c r="H4117" s="72" t="s">
        <v>1514</v>
      </c>
      <c r="I4117" s="408"/>
      <c r="J4117" s="408"/>
      <c r="K4117" s="399"/>
      <c r="L4117" s="408"/>
      <c r="M4117" s="65">
        <v>1600000</v>
      </c>
      <c r="N4117" s="66" t="s">
        <v>99</v>
      </c>
      <c r="O4117" s="66" t="s">
        <v>61</v>
      </c>
      <c r="P4117" s="82" t="str">
        <f>IF(AND('331-CT'!$E$7=TH!H4117,OR(N4117="331",O4117="331")),"x","")</f>
        <v/>
      </c>
      <c r="Q4117" s="82" t="str">
        <f>IF(AND(B4117='111'!$L$11,OR($N4117=$Q$7,$O4117=$Q$7)),"x","")</f>
        <v/>
      </c>
      <c r="R4117" s="82" t="str">
        <f>IF(AND($N4117=$Q$7,$B4117&lt;'111'!$L$11),"x","")</f>
        <v/>
      </c>
      <c r="S4117" s="82" t="str">
        <f>IF(AND($O4117=$Q$7,$B4117&lt;'111'!$L$11),"x","")</f>
        <v>x</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c r="AE4117">
        <v>1</v>
      </c>
    </row>
    <row r="4118" spans="1:32" ht="15.75" customHeight="1">
      <c r="A4118" s="323" t="str">
        <f>IF(B4118&lt;&gt;"",IF(AND(B4118='IN-TC'!$S$4,OR(TH!N4078="1111",TH!O4078="1111")),TH!D4078,""),"")</f>
        <v/>
      </c>
      <c r="B4118" s="63">
        <f t="shared" si="266"/>
        <v>11</v>
      </c>
      <c r="C4118" s="64">
        <v>42689</v>
      </c>
      <c r="D4118" s="64" t="s">
        <v>883</v>
      </c>
      <c r="E4118" s="64">
        <f t="shared" si="267"/>
        <v>42689</v>
      </c>
      <c r="F4118" s="72" t="s">
        <v>1783</v>
      </c>
      <c r="G4118" s="931" t="s">
        <v>2414</v>
      </c>
      <c r="H4118" s="72" t="s">
        <v>1514</v>
      </c>
      <c r="I4118" s="408"/>
      <c r="J4118" s="408"/>
      <c r="K4118" s="399"/>
      <c r="L4118" s="408"/>
      <c r="M4118" s="65">
        <v>80000</v>
      </c>
      <c r="N4118" s="66" t="s">
        <v>9</v>
      </c>
      <c r="O4118" s="66" t="s">
        <v>61</v>
      </c>
      <c r="P4118" s="82" t="str">
        <f>IF(AND('331-CT'!$E$7=TH!H4118,OR(N4118="331",O4118="331")),"x","")</f>
        <v/>
      </c>
      <c r="Q4118" s="82" t="str">
        <f>IF(AND(B4118='111'!$L$11,OR($N4118=$Q$7,$O4118=$Q$7)),"x","")</f>
        <v/>
      </c>
      <c r="R4118" s="82" t="str">
        <f>IF(AND($N4118=$Q$7,$B4118&lt;'111'!$L$11),"x","")</f>
        <v/>
      </c>
      <c r="S4118" s="82" t="str">
        <f>IF(AND($O4118=$Q$7,$B4118&lt;'111'!$L$11),"x","")</f>
        <v>x</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x</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c r="AE4118">
        <v>1</v>
      </c>
    </row>
    <row r="4119" spans="1:32" ht="15.75" customHeight="1">
      <c r="A4119" s="323" t="str">
        <f>IF(B4119&lt;&gt;"",IF(AND(B4119='IN-TC'!$S$4,OR(TH!N4079="1111",TH!O4079="1111")),TH!D4079,""),"")</f>
        <v/>
      </c>
      <c r="B4119" s="63">
        <f t="shared" si="266"/>
        <v>11</v>
      </c>
      <c r="C4119" s="64">
        <v>42689</v>
      </c>
      <c r="D4119" s="64" t="s">
        <v>884</v>
      </c>
      <c r="E4119" s="64">
        <f t="shared" si="267"/>
        <v>42689</v>
      </c>
      <c r="F4119" s="72" t="s">
        <v>2415</v>
      </c>
      <c r="G4119" s="931" t="s">
        <v>2417</v>
      </c>
      <c r="H4119" s="72" t="s">
        <v>2418</v>
      </c>
      <c r="I4119" s="408"/>
      <c r="J4119" s="408"/>
      <c r="K4119" s="399"/>
      <c r="L4119" s="408"/>
      <c r="M4119" s="65">
        <v>3855076</v>
      </c>
      <c r="N4119" s="66" t="s">
        <v>579</v>
      </c>
      <c r="O4119" s="66" t="s">
        <v>61</v>
      </c>
      <c r="P4119" s="82" t="str">
        <f>IF(AND('331-CT'!$E$7=TH!H4119,OR(N4119="331",O4119="331")),"x","")</f>
        <v/>
      </c>
      <c r="Q4119" s="82" t="str">
        <f>IF(AND(B4119='111'!$L$11,OR($N4119=$Q$7,$O4119=$Q$7)),"x","")</f>
        <v/>
      </c>
      <c r="R4119" s="82" t="str">
        <f>IF(AND($N4119=$Q$7,$B4119&lt;'111'!$L$11),"x","")</f>
        <v/>
      </c>
      <c r="S4119" s="82" t="str">
        <f>IF(AND($O4119=$Q$7,$B4119&lt;'111'!$L$11),"x","")</f>
        <v>x</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c r="AE4119">
        <v>1</v>
      </c>
    </row>
    <row r="4120" spans="1:32" ht="15.75" customHeight="1">
      <c r="A4120" s="323" t="str">
        <f>IF(B4120&lt;&gt;"",IF(AND(B4120='IN-TC'!$S$4,OR(TH!N4080="1111",TH!O4080="1111")),TH!D4080,""),"")</f>
        <v/>
      </c>
      <c r="B4120" s="63">
        <f t="shared" si="266"/>
        <v>11</v>
      </c>
      <c r="C4120" s="64">
        <v>42689</v>
      </c>
      <c r="D4120" s="64" t="s">
        <v>884</v>
      </c>
      <c r="E4120" s="64">
        <f t="shared" si="267"/>
        <v>42689</v>
      </c>
      <c r="F4120" s="72" t="s">
        <v>2416</v>
      </c>
      <c r="G4120" s="931" t="s">
        <v>2417</v>
      </c>
      <c r="H4120" s="72" t="s">
        <v>2418</v>
      </c>
      <c r="I4120" s="408"/>
      <c r="J4120" s="408"/>
      <c r="K4120" s="399"/>
      <c r="L4120" s="408"/>
      <c r="M4120" s="65">
        <v>385507</v>
      </c>
      <c r="N4120" s="66" t="s">
        <v>9</v>
      </c>
      <c r="O4120" s="66" t="s">
        <v>61</v>
      </c>
      <c r="P4120" s="82" t="str">
        <f>IF(AND('331-CT'!$E$7=TH!H4120,OR(N4120="331",O4120="331")),"x","")</f>
        <v/>
      </c>
      <c r="Q4120" s="82" t="str">
        <f>IF(AND(B4120='111'!$L$11,OR($N4120=$Q$7,$O4120=$Q$7)),"x","")</f>
        <v/>
      </c>
      <c r="R4120" s="82" t="str">
        <f>IF(AND($N4120=$Q$7,$B4120&lt;'111'!$L$11),"x","")</f>
        <v/>
      </c>
      <c r="S4120" s="82" t="str">
        <f>IF(AND($O4120=$Q$7,$B4120&lt;'111'!$L$11),"x","")</f>
        <v>x</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x</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2" ht="15.75" customHeight="1">
      <c r="A4121" s="323" t="str">
        <f>IF(B4121&lt;&gt;"",IF(AND(B4121='IN-TC'!$S$4,OR(TH!N4081="1111",TH!O4081="1111")),TH!D4081,""),"")</f>
        <v/>
      </c>
      <c r="B4121" s="63">
        <f t="shared" si="266"/>
        <v>11</v>
      </c>
      <c r="C4121" s="64">
        <v>42689</v>
      </c>
      <c r="D4121" s="64" t="s">
        <v>885</v>
      </c>
      <c r="E4121" s="64">
        <f t="shared" si="267"/>
        <v>42689</v>
      </c>
      <c r="F4121" s="72" t="s">
        <v>2419</v>
      </c>
      <c r="G4121" s="931" t="s">
        <v>2421</v>
      </c>
      <c r="H4121" s="72" t="s">
        <v>792</v>
      </c>
      <c r="I4121" s="408"/>
      <c r="J4121" s="408"/>
      <c r="K4121" s="399"/>
      <c r="L4121" s="408"/>
      <c r="M4121" s="65">
        <v>3166273</v>
      </c>
      <c r="N4121" s="66" t="s">
        <v>99</v>
      </c>
      <c r="O4121" s="66" t="s">
        <v>61</v>
      </c>
      <c r="P4121" s="82" t="str">
        <f>IF(AND('331-CT'!$E$7=TH!H4121,OR(N4121="331",O4121="331")),"x","")</f>
        <v/>
      </c>
      <c r="Q4121" s="82" t="str">
        <f>IF(AND(B4121='111'!$L$11,OR($N4121=$Q$7,$O4121=$Q$7)),"x","")</f>
        <v/>
      </c>
      <c r="R4121" s="82" t="str">
        <f>IF(AND($N4121=$Q$7,$B4121&lt;'111'!$L$11),"x","")</f>
        <v/>
      </c>
      <c r="S4121" s="82" t="str">
        <f>IF(AND($O4121=$Q$7,$B4121&lt;'111'!$L$11),"x","")</f>
        <v>x</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2" ht="15.75" customHeight="1">
      <c r="A4122" s="323" t="str">
        <f>IF(B4122&lt;&gt;"",IF(AND(B4122='IN-TC'!$S$4,OR(TH!N4082="1111",TH!O4082="1111")),TH!D4082,""),"")</f>
        <v/>
      </c>
      <c r="B4122" s="63">
        <f t="shared" si="266"/>
        <v>11</v>
      </c>
      <c r="C4122" s="64">
        <v>42689</v>
      </c>
      <c r="D4122" s="64" t="s">
        <v>885</v>
      </c>
      <c r="E4122" s="64">
        <f t="shared" si="267"/>
        <v>42689</v>
      </c>
      <c r="F4122" s="72" t="s">
        <v>2420</v>
      </c>
      <c r="G4122" s="931" t="s">
        <v>2421</v>
      </c>
      <c r="H4122" s="72" t="s">
        <v>792</v>
      </c>
      <c r="I4122" s="408"/>
      <c r="J4122" s="408"/>
      <c r="K4122" s="399"/>
      <c r="L4122" s="408"/>
      <c r="M4122" s="65">
        <v>316627</v>
      </c>
      <c r="N4122" s="66" t="s">
        <v>9</v>
      </c>
      <c r="O4122" s="66" t="s">
        <v>61</v>
      </c>
      <c r="P4122" s="82" t="str">
        <f>IF(AND('331-CT'!$E$7=TH!H4122,OR(N4122="331",O4122="331")),"x","")</f>
        <v/>
      </c>
      <c r="Q4122" s="82" t="str">
        <f>IF(AND(B4122='111'!$L$11,OR($N4122=$Q$7,$O4122=$Q$7)),"x","")</f>
        <v/>
      </c>
      <c r="R4122" s="82" t="str">
        <f>IF(AND($N4122=$Q$7,$B4122&lt;'111'!$L$11),"x","")</f>
        <v/>
      </c>
      <c r="S4122" s="82" t="str">
        <f>IF(AND($O4122=$Q$7,$B4122&lt;'111'!$L$11),"x","")</f>
        <v>x</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x</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2" s="1269" customFormat="1" ht="15.75" customHeight="1">
      <c r="A4123" s="323" t="str">
        <f>IF(B4123&lt;&gt;"",IF(AND(B4123='IN-TC'!$S$4,OR(TH!N4373="1111",TH!O4373="1111")),TH!D4373,""),"")</f>
        <v/>
      </c>
      <c r="B4123" s="63">
        <f t="shared" si="266"/>
        <v>12</v>
      </c>
      <c r="C4123" s="64">
        <v>42720</v>
      </c>
      <c r="D4123" s="64" t="s">
        <v>1368</v>
      </c>
      <c r="E4123" s="64">
        <f t="shared" si="267"/>
        <v>42720</v>
      </c>
      <c r="F4123" s="72" t="s">
        <v>2510</v>
      </c>
      <c r="G4123" s="931" t="s">
        <v>1406</v>
      </c>
      <c r="H4123" s="72" t="s">
        <v>2512</v>
      </c>
      <c r="I4123" s="408"/>
      <c r="J4123" s="408"/>
      <c r="K4123" s="399"/>
      <c r="L4123" s="408"/>
      <c r="M4123" s="65">
        <v>19800000</v>
      </c>
      <c r="N4123" s="66" t="s">
        <v>8</v>
      </c>
      <c r="O4123" s="66" t="s">
        <v>61</v>
      </c>
      <c r="P4123" s="82" t="str">
        <f>IF(AND('331-CT'!$E$7=TH!H4123,OR(N4123="331",O4123="331")),"x","")</f>
        <v/>
      </c>
      <c r="Q4123" s="82" t="str">
        <f>IF(AND(B4123='111'!$L$11,OR($N4123=$Q$7,$O4123=$Q$7)),"x","")</f>
        <v>x</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E4123"/>
      <c r="AF4123"/>
    </row>
    <row r="4124" spans="1:32" ht="15.75" customHeight="1">
      <c r="A4124" s="1160" t="s">
        <v>2483</v>
      </c>
      <c r="B4124" s="63">
        <f t="shared" si="266"/>
        <v>11</v>
      </c>
      <c r="C4124" s="78">
        <v>42689</v>
      </c>
      <c r="D4124" s="78" t="s">
        <v>570</v>
      </c>
      <c r="E4124" s="78">
        <v>42689</v>
      </c>
      <c r="F4124" s="80" t="s">
        <v>2484</v>
      </c>
      <c r="G4124" s="934"/>
      <c r="H4124" s="80"/>
      <c r="I4124" s="406"/>
      <c r="J4124" s="406"/>
      <c r="K4124" s="397"/>
      <c r="L4124" s="406"/>
      <c r="M4124" s="81">
        <v>9805400</v>
      </c>
      <c r="N4124" s="82" t="s">
        <v>9</v>
      </c>
      <c r="O4124" s="82" t="s">
        <v>1568</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x</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c r="AE4124">
        <v>1</v>
      </c>
    </row>
    <row r="4125" spans="1:32" ht="15.75" customHeight="1">
      <c r="A4125" s="1170" t="str">
        <f>IF(B4125&lt;&gt;"",IF(AND(B4125='IN-TC'!$S$4,OR(TH!N316="1111",TH!O316="1111")),TH!D316,""),"")</f>
        <v/>
      </c>
      <c r="B4125" s="63">
        <f t="shared" si="266"/>
        <v>12</v>
      </c>
      <c r="C4125" s="90">
        <v>42706</v>
      </c>
      <c r="D4125" s="1087" t="s">
        <v>585</v>
      </c>
      <c r="E4125" s="90">
        <v>42706</v>
      </c>
      <c r="F4125" s="91" t="s">
        <v>455</v>
      </c>
      <c r="G4125" s="1089" t="s">
        <v>2492</v>
      </c>
      <c r="H4125" s="937" t="s">
        <v>1887</v>
      </c>
      <c r="I4125" s="414">
        <v>78000</v>
      </c>
      <c r="J4125" s="1132">
        <v>2.68</v>
      </c>
      <c r="K4125" s="405">
        <f>I4125*J4125</f>
        <v>209040</v>
      </c>
      <c r="L4125" s="414">
        <v>22680</v>
      </c>
      <c r="M4125" s="1133">
        <f>ROUND(K4125*L4125,0)</f>
        <v>4741027200</v>
      </c>
      <c r="N4125" s="1134" t="s">
        <v>576</v>
      </c>
      <c r="O4125" s="1134" t="s">
        <v>292</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2" ht="15.75" customHeight="1">
      <c r="A4126" s="323" t="str">
        <f>IF(B4126&lt;&gt;"",IF(AND(B4126='IN-TC'!$S$4,OR(TH!N4601="1111",TH!O4601="1111")),TH!D4601,""),"")</f>
        <v/>
      </c>
      <c r="B4126" s="63">
        <f t="shared" si="266"/>
        <v>12</v>
      </c>
      <c r="C4126" s="64">
        <v>42709</v>
      </c>
      <c r="D4126" s="64" t="s">
        <v>687</v>
      </c>
      <c r="E4126" s="64">
        <f>C4126</f>
        <v>42709</v>
      </c>
      <c r="F4126" s="72" t="s">
        <v>1436</v>
      </c>
      <c r="G4126" s="67" t="s">
        <v>1544</v>
      </c>
      <c r="H4126" s="72" t="s">
        <v>1887</v>
      </c>
      <c r="I4126" s="408"/>
      <c r="J4126" s="408"/>
      <c r="K4126" s="399">
        <v>291188</v>
      </c>
      <c r="L4126" s="408">
        <v>22720</v>
      </c>
      <c r="M4126" s="65">
        <f>K4126*L4126</f>
        <v>6615791360</v>
      </c>
      <c r="N4126" s="66" t="s">
        <v>260</v>
      </c>
      <c r="O4126" s="66" t="s">
        <v>576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2" ht="15.75" customHeight="1">
      <c r="A4127" s="323" t="str">
        <f>IF(B4127&lt;&gt;"",IF(AND(B4127='IN-TC'!$S$4,OR(TH!N4189="1111",TH!O4189="1111")),TH!D4189,""),"")</f>
        <v/>
      </c>
      <c r="B4127" s="63">
        <f t="shared" si="266"/>
        <v>11</v>
      </c>
      <c r="C4127" s="64">
        <v>42689</v>
      </c>
      <c r="D4127" s="64" t="s">
        <v>687</v>
      </c>
      <c r="E4127" s="64">
        <f>C4127</f>
        <v>42689</v>
      </c>
      <c r="F4127" s="72" t="s">
        <v>1648</v>
      </c>
      <c r="G4127" s="67" t="s">
        <v>1640</v>
      </c>
      <c r="H4127" s="72" t="s">
        <v>1779</v>
      </c>
      <c r="I4127" s="408"/>
      <c r="J4127" s="408"/>
      <c r="K4127" s="399">
        <v>4400</v>
      </c>
      <c r="L4127" s="408">
        <v>22320</v>
      </c>
      <c r="M4127" s="65">
        <f>ROUND(K4127*L4127,0)</f>
        <v>98208000</v>
      </c>
      <c r="N4127" s="66" t="s">
        <v>260</v>
      </c>
      <c r="O4127" s="66" t="s">
        <v>260</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2" ht="15.75" customHeight="1">
      <c r="A4128" s="323" t="str">
        <f>IF(B4128&lt;&gt;"",IF(AND(B4128='IN-TC'!$S$4,OR(TH!N4206="1111",TH!O4206="1111")),TH!D4206,""),"")</f>
        <v/>
      </c>
      <c r="B4128" s="63">
        <f t="shared" si="266"/>
        <v>11</v>
      </c>
      <c r="C4128" s="64">
        <v>42689</v>
      </c>
      <c r="D4128" s="64" t="s">
        <v>687</v>
      </c>
      <c r="E4128" s="64">
        <f>C4128</f>
        <v>42689</v>
      </c>
      <c r="F4128" s="72" t="s">
        <v>1425</v>
      </c>
      <c r="G4128" s="67" t="s">
        <v>1544</v>
      </c>
      <c r="H4128" s="72" t="s">
        <v>1780</v>
      </c>
      <c r="I4128" s="408"/>
      <c r="J4128" s="408"/>
      <c r="K4128" s="399">
        <v>141000</v>
      </c>
      <c r="L4128" s="408">
        <v>22340</v>
      </c>
      <c r="M4128" s="65">
        <f>ROUND(K4128*L4128,0)</f>
        <v>3149940000</v>
      </c>
      <c r="N4128" s="66" t="s">
        <v>25</v>
      </c>
      <c r="O4128" s="66" t="s">
        <v>260</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x</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row>
    <row r="4129" spans="1:31" ht="15.75" customHeight="1">
      <c r="A4129" s="323" t="str">
        <f>IF(B4129&lt;&gt;"",IF(AND(B4129='IN-TC'!$S$4,OR(TH!N4199="1111",TH!O4199="1111")),TH!D4199,""),"")</f>
        <v/>
      </c>
      <c r="B4129" s="63">
        <f t="shared" si="266"/>
        <v>11</v>
      </c>
      <c r="C4129" s="64">
        <v>42689</v>
      </c>
      <c r="D4129" s="64" t="s">
        <v>687</v>
      </c>
      <c r="E4129" s="64">
        <f>C4129</f>
        <v>42689</v>
      </c>
      <c r="F4129" s="72" t="s">
        <v>2358</v>
      </c>
      <c r="G4129" s="67" t="s">
        <v>1544</v>
      </c>
      <c r="H4129" s="1274" t="s">
        <v>2997</v>
      </c>
      <c r="I4129" s="408"/>
      <c r="J4129" s="408"/>
      <c r="K4129" s="399">
        <v>89000</v>
      </c>
      <c r="L4129" s="408">
        <f>M4129/K4129</f>
        <v>22345</v>
      </c>
      <c r="M4129" s="65">
        <v>1988705000</v>
      </c>
      <c r="N4129" s="66" t="s">
        <v>25</v>
      </c>
      <c r="O4129" s="66" t="s">
        <v>254</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x</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1" ht="15.75" customHeight="1">
      <c r="A4130" s="323" t="str">
        <f>IF(B4130&lt;&gt;"",IF(AND(B4130='IN-TC'!$S$4,OR(TH!N2152="1111",TH!O2152="1111")),TH!D2152,""),"")</f>
        <v/>
      </c>
      <c r="B4130" s="63">
        <f t="shared" si="266"/>
        <v>12</v>
      </c>
      <c r="C4130" s="78">
        <v>42720</v>
      </c>
      <c r="D4130" s="78" t="s">
        <v>570</v>
      </c>
      <c r="E4130" s="78">
        <v>42720</v>
      </c>
      <c r="F4130" s="80" t="s">
        <v>2626</v>
      </c>
      <c r="G4130" s="934" t="s">
        <v>2911</v>
      </c>
      <c r="H4130" s="80" t="s">
        <v>617</v>
      </c>
      <c r="I4130" s="406"/>
      <c r="J4130" s="406"/>
      <c r="K4130" s="397"/>
      <c r="L4130" s="406"/>
      <c r="M4130" s="81">
        <v>28148500</v>
      </c>
      <c r="N4130" s="82" t="s">
        <v>276</v>
      </c>
      <c r="O4130" s="82" t="s">
        <v>8</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c r="AE4130">
        <v>1</v>
      </c>
    </row>
    <row r="4131" spans="1:31" ht="15.75" customHeight="1">
      <c r="A4131" s="323" t="str">
        <f>IF(B4131&lt;&gt;"",IF(AND(B4131='IN-TC'!$S$4,OR(TH!N4128="1111",TH!O4128="1111")),TH!D4128,""),"")</f>
        <v/>
      </c>
      <c r="B4131" s="63">
        <f t="shared" si="266"/>
        <v>11</v>
      </c>
      <c r="C4131" s="64">
        <v>42689</v>
      </c>
      <c r="D4131" s="64" t="s">
        <v>690</v>
      </c>
      <c r="E4131" s="64">
        <f t="shared" ref="E4131:E4177" si="268">C4131</f>
        <v>42689</v>
      </c>
      <c r="F4131" s="72" t="s">
        <v>2147</v>
      </c>
      <c r="G4131" s="67" t="s">
        <v>901</v>
      </c>
      <c r="H4131" s="72" t="s">
        <v>2048</v>
      </c>
      <c r="I4131" s="408"/>
      <c r="J4131" s="408"/>
      <c r="K4131" s="399"/>
      <c r="L4131" s="408"/>
      <c r="M4131" s="65">
        <v>25000</v>
      </c>
      <c r="N4131" s="66" t="s">
        <v>99</v>
      </c>
      <c r="O4131" s="66" t="s">
        <v>25</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c r="AE4131">
        <v>1</v>
      </c>
    </row>
    <row r="4132" spans="1:31" ht="15.75" customHeight="1">
      <c r="A4132" s="323" t="str">
        <f>IF(B4132&lt;&gt;"",IF(AND(B4132='IN-TC'!$S$4,OR(TH!N4129="1111",TH!O4129="1111")),TH!D4129,""),"")</f>
        <v/>
      </c>
      <c r="B4132" s="63">
        <f t="shared" si="266"/>
        <v>11</v>
      </c>
      <c r="C4132" s="64">
        <v>42689</v>
      </c>
      <c r="D4132" s="64" t="s">
        <v>690</v>
      </c>
      <c r="E4132" s="64">
        <f t="shared" si="268"/>
        <v>42689</v>
      </c>
      <c r="F4132" s="72" t="s">
        <v>2342</v>
      </c>
      <c r="G4132" s="67" t="s">
        <v>901</v>
      </c>
      <c r="H4132" s="72" t="s">
        <v>2048</v>
      </c>
      <c r="I4132" s="408"/>
      <c r="J4132" s="408"/>
      <c r="K4132" s="399"/>
      <c r="L4132" s="408"/>
      <c r="M4132" s="65">
        <v>2500</v>
      </c>
      <c r="N4132" s="66" t="s">
        <v>9</v>
      </c>
      <c r="O4132" s="66" t="s">
        <v>25</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x</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c r="AE4132">
        <v>1</v>
      </c>
    </row>
    <row r="4133" spans="1:31" ht="15.75" customHeight="1">
      <c r="A4133" s="323" t="str">
        <f>IF(B4133&lt;&gt;"",IF(AND(B4133='IN-TC'!$S$4,OR(TH!N4125="1111",TH!O4125="1111")),TH!D4125,""),"")</f>
        <v/>
      </c>
      <c r="B4133" s="63">
        <f t="shared" si="266"/>
        <v>11</v>
      </c>
      <c r="C4133" s="64">
        <v>42689</v>
      </c>
      <c r="D4133" s="64" t="s">
        <v>690</v>
      </c>
      <c r="E4133" s="64">
        <f t="shared" si="268"/>
        <v>42689</v>
      </c>
      <c r="F4133" s="72" t="s">
        <v>1767</v>
      </c>
      <c r="G4133" s="67" t="s">
        <v>901</v>
      </c>
      <c r="H4133" s="72" t="s">
        <v>1650</v>
      </c>
      <c r="I4133" s="408"/>
      <c r="J4133" s="399"/>
      <c r="K4133" s="399">
        <f>M4133/L4133</f>
        <v>213.67999106744082</v>
      </c>
      <c r="L4133" s="408">
        <v>22390</v>
      </c>
      <c r="M4133" s="65">
        <v>4784295</v>
      </c>
      <c r="N4133" s="66" t="s">
        <v>97</v>
      </c>
      <c r="O4133" s="66" t="s">
        <v>25</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1" ht="15.75" customHeight="1">
      <c r="A4134" s="323" t="str">
        <f>IF(B4134&lt;&gt;"",IF(AND(B4134='IN-TC'!$S$4,OR(TH!N4130="1111",TH!O4130="1111")),TH!D4130,""),"")</f>
        <v/>
      </c>
      <c r="B4134" s="63">
        <f t="shared" si="266"/>
        <v>11</v>
      </c>
      <c r="C4134" s="64">
        <v>42689</v>
      </c>
      <c r="D4134" s="64" t="s">
        <v>690</v>
      </c>
      <c r="E4134" s="64">
        <f t="shared" si="268"/>
        <v>42689</v>
      </c>
      <c r="F4134" s="72" t="s">
        <v>1767</v>
      </c>
      <c r="G4134" s="67" t="s">
        <v>901</v>
      </c>
      <c r="H4134" s="72" t="s">
        <v>1652</v>
      </c>
      <c r="I4134" s="408"/>
      <c r="J4134" s="399"/>
      <c r="K4134" s="399">
        <f>M4134/L4134</f>
        <v>286.32000893255918</v>
      </c>
      <c r="L4134" s="408">
        <v>22390</v>
      </c>
      <c r="M4134" s="65">
        <v>6410705</v>
      </c>
      <c r="N4134" s="66" t="s">
        <v>97</v>
      </c>
      <c r="O4134" s="66" t="s">
        <v>25</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1" ht="15.75" customHeight="1">
      <c r="A4135" s="323" t="str">
        <f>IF(B4135&lt;&gt;"",IF(AND(B4135='IN-TC'!$S$4,OR(TH!N4131="1111",TH!O4131="1111")),TH!D4131,""),"")</f>
        <v/>
      </c>
      <c r="B4135" s="63">
        <f t="shared" si="266"/>
        <v>11</v>
      </c>
      <c r="C4135" s="64">
        <v>42689</v>
      </c>
      <c r="D4135" s="64" t="s">
        <v>690</v>
      </c>
      <c r="E4135" s="64">
        <f t="shared" si="268"/>
        <v>42689</v>
      </c>
      <c r="F4135" s="72" t="s">
        <v>1767</v>
      </c>
      <c r="G4135" s="67" t="s">
        <v>901</v>
      </c>
      <c r="H4135" s="72" t="s">
        <v>1877</v>
      </c>
      <c r="I4135" s="408"/>
      <c r="J4135" s="399"/>
      <c r="K4135" s="399">
        <f>M4135/L4135</f>
        <v>111.07999106744082</v>
      </c>
      <c r="L4135" s="408">
        <v>22390</v>
      </c>
      <c r="M4135" s="65">
        <v>2487081</v>
      </c>
      <c r="N4135" s="66" t="s">
        <v>97</v>
      </c>
      <c r="O4135" s="66" t="s">
        <v>25</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1" ht="15.75" customHeight="1">
      <c r="A4136" s="323" t="str">
        <f>IF(B4136&lt;&gt;"",IF(AND(B4136='IN-TC'!$S$4,OR(TH!N4132="1111",TH!O4132="1111")),TH!D4132,""),"")</f>
        <v/>
      </c>
      <c r="B4136" s="63">
        <f t="shared" si="266"/>
        <v>11</v>
      </c>
      <c r="C4136" s="64">
        <v>42689</v>
      </c>
      <c r="D4136" s="64" t="s">
        <v>690</v>
      </c>
      <c r="E4136" s="64">
        <f t="shared" si="268"/>
        <v>42689</v>
      </c>
      <c r="F4136" s="72" t="s">
        <v>1767</v>
      </c>
      <c r="G4136" s="67" t="s">
        <v>901</v>
      </c>
      <c r="H4136" s="72" t="s">
        <v>1880</v>
      </c>
      <c r="I4136" s="408"/>
      <c r="J4136" s="399"/>
      <c r="K4136" s="399">
        <f>M4136/L4136</f>
        <v>135.11000446627958</v>
      </c>
      <c r="L4136" s="408">
        <v>22390</v>
      </c>
      <c r="M4136" s="65">
        <v>3025113</v>
      </c>
      <c r="N4136" s="66" t="s">
        <v>97</v>
      </c>
      <c r="O4136" s="66" t="s">
        <v>25</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row>
    <row r="4137" spans="1:31" ht="15.75" customHeight="1">
      <c r="A4137" s="323" t="str">
        <f>IF(B4137&lt;&gt;"",IF(AND(B4137='IN-TC'!$S$4,OR(TH!N4204="1111",TH!O4204="1111")),TH!D4204,""),"")</f>
        <v/>
      </c>
      <c r="B4137" s="63">
        <f t="shared" si="266"/>
        <v>11</v>
      </c>
      <c r="C4137" s="64">
        <v>42689</v>
      </c>
      <c r="D4137" s="64" t="s">
        <v>690</v>
      </c>
      <c r="E4137" s="64">
        <f t="shared" si="268"/>
        <v>42689</v>
      </c>
      <c r="F4137" s="72" t="s">
        <v>2452</v>
      </c>
      <c r="G4137" s="67" t="s">
        <v>1544</v>
      </c>
      <c r="H4137" s="72" t="s">
        <v>1780</v>
      </c>
      <c r="I4137" s="408"/>
      <c r="J4137" s="408"/>
      <c r="K4137" s="399"/>
      <c r="L4137" s="408"/>
      <c r="M4137" s="65">
        <v>1628313</v>
      </c>
      <c r="N4137" s="66" t="s">
        <v>99</v>
      </c>
      <c r="O4137" s="66" t="s">
        <v>25</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x</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E4137">
        <v>1</v>
      </c>
    </row>
    <row r="4138" spans="1:31" ht="15.75" customHeight="1">
      <c r="A4138" s="323" t="str">
        <f>IF(B4138&lt;&gt;"",IF(AND(B4138='IN-TC'!$S$4,OR(TH!N4205="1111",TH!O4205="1111")),TH!D4205,""),"")</f>
        <v/>
      </c>
      <c r="B4138" s="63">
        <f t="shared" si="266"/>
        <v>11</v>
      </c>
      <c r="C4138" s="64">
        <v>42689</v>
      </c>
      <c r="D4138" s="64" t="s">
        <v>690</v>
      </c>
      <c r="E4138" s="64">
        <f t="shared" si="268"/>
        <v>42689</v>
      </c>
      <c r="F4138" s="72" t="s">
        <v>2478</v>
      </c>
      <c r="G4138" s="67" t="s">
        <v>1544</v>
      </c>
      <c r="H4138" s="72" t="s">
        <v>1780</v>
      </c>
      <c r="I4138" s="408"/>
      <c r="J4138" s="408"/>
      <c r="K4138" s="399"/>
      <c r="L4138" s="408"/>
      <c r="M4138" s="65">
        <v>162831</v>
      </c>
      <c r="N4138" s="66" t="s">
        <v>9</v>
      </c>
      <c r="O4138" s="66" t="s">
        <v>25</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x</v>
      </c>
      <c r="W4138" s="82" t="str">
        <f>IF(AND('341-CT'!$H$9=H4138,OR(LEFT(N4138,3)=$W$7,LEFT(O4138,3)=$W$7)),"x","")</f>
        <v/>
      </c>
      <c r="X4138" s="82" t="str">
        <f>IF(OR(TH!N4138=TH!$X$7,O4138=TH!$X$7),"x","")</f>
        <v>x</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c r="AE4138">
        <v>1</v>
      </c>
    </row>
    <row r="4139" spans="1:31" ht="15.75" customHeight="1">
      <c r="A4139" s="323" t="str">
        <f>IF(B4139&lt;&gt;"",IF(AND(B4139='IN-TC'!$S$4,OR(TH!N4207="1111",TH!O4207="1111")),TH!D4207,""),"")</f>
        <v/>
      </c>
      <c r="B4139" s="63">
        <f t="shared" si="266"/>
        <v>11</v>
      </c>
      <c r="C4139" s="64">
        <v>42689</v>
      </c>
      <c r="D4139" s="64" t="s">
        <v>690</v>
      </c>
      <c r="E4139" s="64">
        <f t="shared" si="268"/>
        <v>42689</v>
      </c>
      <c r="F4139" s="72" t="s">
        <v>1170</v>
      </c>
      <c r="G4139" s="67" t="s">
        <v>1544</v>
      </c>
      <c r="H4139" s="922" t="s">
        <v>1860</v>
      </c>
      <c r="I4139" s="408"/>
      <c r="J4139" s="408"/>
      <c r="K4139" s="399">
        <v>90000</v>
      </c>
      <c r="L4139" s="408">
        <v>22308</v>
      </c>
      <c r="M4139" s="65">
        <f>ROUND(K4139*L4139,0)</f>
        <v>2007720000</v>
      </c>
      <c r="N4139" s="66" t="s">
        <v>254</v>
      </c>
      <c r="O4139" s="66" t="s">
        <v>25</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x</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customHeight="1">
      <c r="A4140" s="323" t="str">
        <f>IF(B4140&lt;&gt;"",IF(AND(B4140='IN-TC'!$S$4,OR(TH!N4208="1111",TH!O4208="1111")),TH!D4208,""),"")</f>
        <v/>
      </c>
      <c r="B4140" s="63">
        <f t="shared" si="266"/>
        <v>11</v>
      </c>
      <c r="C4140" s="64">
        <v>42689</v>
      </c>
      <c r="D4140" s="64" t="s">
        <v>690</v>
      </c>
      <c r="E4140" s="64">
        <f t="shared" si="268"/>
        <v>42689</v>
      </c>
      <c r="F4140" s="72" t="s">
        <v>2533</v>
      </c>
      <c r="G4140" s="67" t="s">
        <v>1544</v>
      </c>
      <c r="H4140" s="922" t="s">
        <v>1860</v>
      </c>
      <c r="I4140" s="408"/>
      <c r="J4140" s="408"/>
      <c r="K4140" s="399"/>
      <c r="L4140" s="408"/>
      <c r="M4140" s="65">
        <v>14335662</v>
      </c>
      <c r="N4140" s="66" t="s">
        <v>97</v>
      </c>
      <c r="O4140" s="66" t="s">
        <v>25</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x</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customHeight="1">
      <c r="A4141" s="323" t="str">
        <f>IF(B4141&lt;&gt;"",IF(AND(B4141='IN-TC'!$S$4,OR(TH!N4261="1111",TH!O4261="1111")),TH!D4261,""),"")</f>
        <v/>
      </c>
      <c r="B4141" s="63">
        <f t="shared" si="266"/>
        <v>11</v>
      </c>
      <c r="C4141" s="64">
        <v>42689</v>
      </c>
      <c r="D4141" s="64" t="s">
        <v>690</v>
      </c>
      <c r="E4141" s="64">
        <f t="shared" si="268"/>
        <v>42689</v>
      </c>
      <c r="F4141" s="72" t="s">
        <v>2140</v>
      </c>
      <c r="G4141" s="67" t="s">
        <v>1544</v>
      </c>
      <c r="H4141" s="72" t="s">
        <v>1780</v>
      </c>
      <c r="I4141" s="408"/>
      <c r="J4141" s="408"/>
      <c r="K4141" s="399">
        <v>3</v>
      </c>
      <c r="L4141" s="406">
        <v>22295</v>
      </c>
      <c r="M4141" s="65">
        <f>ROUND(K4141*L4141,0)</f>
        <v>66885</v>
      </c>
      <c r="N4141" s="66" t="s">
        <v>99</v>
      </c>
      <c r="O4141" s="66" t="s">
        <v>260</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E4141">
        <v>1</v>
      </c>
    </row>
    <row r="4142" spans="1:31" ht="15.75" customHeight="1">
      <c r="A4142" s="323" t="str">
        <f>IF(B4142&lt;&gt;"",IF(AND(B4142='IN-TC'!$S$4,OR(TH!N4263="1111",TH!O4263="1111")),TH!D4263,""),"")</f>
        <v/>
      </c>
      <c r="B4142" s="63">
        <f t="shared" ref="B4142:B4205" si="269">IF(C4142&lt;&gt;"",MONTH(C4142),"")</f>
        <v>11</v>
      </c>
      <c r="C4142" s="64">
        <v>42689</v>
      </c>
      <c r="D4142" s="64" t="s">
        <v>690</v>
      </c>
      <c r="E4142" s="64">
        <f t="shared" si="268"/>
        <v>42689</v>
      </c>
      <c r="F4142" s="72" t="s">
        <v>2141</v>
      </c>
      <c r="G4142" s="67" t="s">
        <v>1544</v>
      </c>
      <c r="H4142" s="72" t="s">
        <v>1780</v>
      </c>
      <c r="I4142" s="408"/>
      <c r="J4142" s="408"/>
      <c r="K4142" s="399">
        <v>0.3</v>
      </c>
      <c r="L4142" s="406">
        <v>22295</v>
      </c>
      <c r="M4142" s="65">
        <f>ROUND(K4142*L4142,0)</f>
        <v>6689</v>
      </c>
      <c r="N4142" s="66" t="s">
        <v>9</v>
      </c>
      <c r="O4142" s="66" t="s">
        <v>260</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x</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customHeight="1">
      <c r="A4143" s="323" t="str">
        <f>IF(B4143&lt;&gt;"",IF(AND(B4143='IN-TC'!$S$4,OR(TH!N4086="1111",TH!O4086="1111")),TH!D4086,""),"")</f>
        <v/>
      </c>
      <c r="B4143" s="63">
        <f t="shared" si="269"/>
        <v>11</v>
      </c>
      <c r="C4143" s="64">
        <v>42690</v>
      </c>
      <c r="D4143" s="64" t="s">
        <v>888</v>
      </c>
      <c r="E4143" s="64">
        <f t="shared" si="268"/>
        <v>42690</v>
      </c>
      <c r="F4143" s="72" t="s">
        <v>1550</v>
      </c>
      <c r="G4143" s="67" t="s">
        <v>2422</v>
      </c>
      <c r="H4143" s="72" t="s">
        <v>1014</v>
      </c>
      <c r="I4143" s="408"/>
      <c r="J4143" s="408"/>
      <c r="K4143" s="399"/>
      <c r="L4143" s="408"/>
      <c r="M4143" s="65">
        <v>155000</v>
      </c>
      <c r="N4143" s="66" t="s">
        <v>99</v>
      </c>
      <c r="O4143" s="66" t="s">
        <v>61</v>
      </c>
      <c r="P4143" s="82" t="str">
        <f>IF(AND('331-CT'!$E$7=TH!H4143,OR(N4143="331",O4143="331")),"x","")</f>
        <v/>
      </c>
      <c r="Q4143" s="82" t="str">
        <f>IF(AND(B4143='111'!$L$11,OR($N4143=$Q$7,$O4143=$Q$7)),"x","")</f>
        <v/>
      </c>
      <c r="R4143" s="82" t="str">
        <f>IF(AND($N4143=$Q$7,$B4143&lt;'111'!$L$11),"x","")</f>
        <v/>
      </c>
      <c r="S4143" s="82" t="str">
        <f>IF(AND($O4143=$Q$7,$B4143&lt;'111'!$L$11),"x","")</f>
        <v>x</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1" ht="15.75" customHeight="1">
      <c r="A4144" s="323" t="str">
        <f>IF(B4144&lt;&gt;"",IF(AND(B4144='IN-TC'!$S$4,OR(TH!N4087="1111",TH!O4087="1111")),TH!D4087,""),"")</f>
        <v/>
      </c>
      <c r="B4144" s="63">
        <f t="shared" si="269"/>
        <v>11</v>
      </c>
      <c r="C4144" s="64">
        <v>42690</v>
      </c>
      <c r="D4144" s="64" t="s">
        <v>890</v>
      </c>
      <c r="E4144" s="64">
        <f t="shared" si="268"/>
        <v>42690</v>
      </c>
      <c r="F4144" s="72" t="s">
        <v>2423</v>
      </c>
      <c r="G4144" s="931" t="s">
        <v>2424</v>
      </c>
      <c r="H4144" s="72" t="s">
        <v>749</v>
      </c>
      <c r="I4144" s="408"/>
      <c r="J4144" s="408"/>
      <c r="K4144" s="399"/>
      <c r="L4144" s="408"/>
      <c r="M4144" s="65">
        <v>9805400</v>
      </c>
      <c r="N4144" s="66" t="s">
        <v>1568</v>
      </c>
      <c r="O4144" s="66" t="s">
        <v>61</v>
      </c>
      <c r="P4144" s="82" t="str">
        <f>IF(AND('331-CT'!$E$7=TH!H4144,OR(N4144="331",O4144="331")),"x","")</f>
        <v/>
      </c>
      <c r="Q4144" s="82" t="str">
        <f>IF(AND(B4144='111'!$L$11,OR($N4144=$Q$7,$O4144=$Q$7)),"x","")</f>
        <v/>
      </c>
      <c r="R4144" s="82" t="str">
        <f>IF(AND($N4144=$Q$7,$B4144&lt;'111'!$L$11),"x","")</f>
        <v/>
      </c>
      <c r="S4144" s="82" t="str">
        <f>IF(AND($O4144=$Q$7,$B4144&lt;'111'!$L$11),"x","")</f>
        <v>x</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1" ht="15.75" customHeight="1">
      <c r="A4145" s="323" t="str">
        <f>IF(B4145&lt;&gt;"",IF(AND(B4145='IN-TC'!$S$4,OR(TH!N4088="1111",TH!O4088="1111")),TH!D4088,""),"")</f>
        <v/>
      </c>
      <c r="B4145" s="63">
        <f t="shared" si="269"/>
        <v>11</v>
      </c>
      <c r="C4145" s="64">
        <v>42690</v>
      </c>
      <c r="D4145" s="64" t="s">
        <v>890</v>
      </c>
      <c r="E4145" s="64">
        <f t="shared" si="268"/>
        <v>42690</v>
      </c>
      <c r="F4145" s="72" t="s">
        <v>2425</v>
      </c>
      <c r="G4145" s="67"/>
      <c r="H4145" s="72" t="s">
        <v>749</v>
      </c>
      <c r="I4145" s="408"/>
      <c r="J4145" s="408"/>
      <c r="K4145" s="399"/>
      <c r="L4145" s="408"/>
      <c r="M4145" s="65">
        <v>22000</v>
      </c>
      <c r="N4145" s="66" t="s">
        <v>99</v>
      </c>
      <c r="O4145" s="66" t="s">
        <v>61</v>
      </c>
      <c r="P4145" s="82" t="str">
        <f>IF(AND('331-CT'!$E$7=TH!H4145,OR(N4145="331",O4145="331")),"x","")</f>
        <v/>
      </c>
      <c r="Q4145" s="82" t="str">
        <f>IF(AND(B4145='111'!$L$11,OR($N4145=$Q$7,$O4145=$Q$7)),"x","")</f>
        <v/>
      </c>
      <c r="R4145" s="82" t="str">
        <f>IF(AND($N4145=$Q$7,$B4145&lt;'111'!$L$11),"x","")</f>
        <v/>
      </c>
      <c r="S4145" s="82" t="str">
        <f>IF(AND($O4145=$Q$7,$B4145&lt;'111'!$L$11),"x","")</f>
        <v>x</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row>
    <row r="4146" spans="1:31" ht="15.75" customHeight="1">
      <c r="A4146" s="323" t="str">
        <f>IF(B4146&lt;&gt;"",IF(AND(B4146='IN-TC'!$S$4,OR(TH!N4089="1111",TH!O4089="1111")),TH!D4089,""),"")</f>
        <v/>
      </c>
      <c r="B4146" s="63">
        <f t="shared" si="269"/>
        <v>11</v>
      </c>
      <c r="C4146" s="1092">
        <v>42690</v>
      </c>
      <c r="D4146" s="1092" t="s">
        <v>891</v>
      </c>
      <c r="E4146" s="1092">
        <f t="shared" si="268"/>
        <v>42690</v>
      </c>
      <c r="F4146" s="482" t="s">
        <v>947</v>
      </c>
      <c r="G4146" s="1094"/>
      <c r="H4146" s="937" t="s">
        <v>3001</v>
      </c>
      <c r="I4146" s="1095"/>
      <c r="J4146" s="1095"/>
      <c r="K4146" s="1096"/>
      <c r="L4146" s="1095"/>
      <c r="M4146" s="1097">
        <v>850000000</v>
      </c>
      <c r="N4146" s="1098" t="s">
        <v>266</v>
      </c>
      <c r="O4146" s="1098" t="s">
        <v>61</v>
      </c>
      <c r="P4146" s="82" t="str">
        <f>IF(AND('331-CT'!$E$7=TH!H4146,OR(N4146="331",O4146="331")),"x","")</f>
        <v/>
      </c>
      <c r="Q4146" s="82" t="str">
        <f>IF(AND(B4146='111'!$L$11,OR($N4146=$Q$7,$O4146=$Q$7)),"x","")</f>
        <v/>
      </c>
      <c r="R4146" s="82" t="str">
        <f>IF(AND($N4146=$Q$7,$B4146&lt;'111'!$L$11),"x","")</f>
        <v/>
      </c>
      <c r="S4146" s="82" t="str">
        <f>IF(AND($O4146=$Q$7,$B4146&lt;'111'!$L$11),"x","")</f>
        <v>x</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1" ht="15.75" customHeight="1">
      <c r="A4147" s="323" t="str">
        <f>IF(B4147&lt;&gt;"",IF(AND(B4147='IN-TC'!$S$4,OR(TH!N4090="1111",TH!O4090="1111")),TH!D4090,""),"")</f>
        <v/>
      </c>
      <c r="B4147" s="63">
        <f t="shared" si="269"/>
        <v>11</v>
      </c>
      <c r="C4147" s="1092">
        <v>42690</v>
      </c>
      <c r="D4147" s="1092" t="s">
        <v>894</v>
      </c>
      <c r="E4147" s="1092">
        <f t="shared" si="268"/>
        <v>42690</v>
      </c>
      <c r="F4147" s="482" t="s">
        <v>947</v>
      </c>
      <c r="G4147" s="1094"/>
      <c r="H4147" s="1169" t="s">
        <v>946</v>
      </c>
      <c r="I4147" s="1095"/>
      <c r="J4147" s="1095"/>
      <c r="K4147" s="1096"/>
      <c r="L4147" s="1095"/>
      <c r="M4147" s="1097">
        <v>600000000</v>
      </c>
      <c r="N4147" s="1098" t="s">
        <v>266</v>
      </c>
      <c r="O4147" s="1098" t="s">
        <v>61</v>
      </c>
      <c r="P4147" s="82" t="str">
        <f>IF(AND('331-CT'!$E$7=TH!H4147,OR(N4147="331",O4147="331")),"x","")</f>
        <v/>
      </c>
      <c r="Q4147" s="82" t="str">
        <f>IF(AND(B4147='111'!$L$11,OR($N4147=$Q$7,$O4147=$Q$7)),"x","")</f>
        <v/>
      </c>
      <c r="R4147" s="82" t="str">
        <f>IF(AND($N4147=$Q$7,$B4147&lt;'111'!$L$11),"x","")</f>
        <v/>
      </c>
      <c r="S4147" s="82" t="str">
        <f>IF(AND($O4147=$Q$7,$B4147&lt;'111'!$L$11),"x","")</f>
        <v>x</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1" ht="15.75" customHeight="1">
      <c r="A4148" s="323" t="str">
        <f>IF(B4148&lt;&gt;"",IF(AND(B4148='IN-TC'!$S$4,OR(TH!N4264="1111",TH!O4264="1111")),TH!D4264,""),"")</f>
        <v/>
      </c>
      <c r="B4148" s="63">
        <f t="shared" si="269"/>
        <v>11</v>
      </c>
      <c r="C4148" s="64">
        <v>42690</v>
      </c>
      <c r="D4148" s="64" t="s">
        <v>687</v>
      </c>
      <c r="E4148" s="64">
        <f t="shared" si="268"/>
        <v>42690</v>
      </c>
      <c r="F4148" s="72" t="s">
        <v>2461</v>
      </c>
      <c r="G4148" s="67" t="s">
        <v>1544</v>
      </c>
      <c r="H4148" s="72" t="s">
        <v>1538</v>
      </c>
      <c r="I4148" s="408"/>
      <c r="J4148" s="408"/>
      <c r="K4148" s="399">
        <v>69798</v>
      </c>
      <c r="L4148" s="406">
        <v>22295</v>
      </c>
      <c r="M4148" s="65">
        <f>K4148*L4148</f>
        <v>1556146410</v>
      </c>
      <c r="N4148" s="66" t="s">
        <v>260</v>
      </c>
      <c r="O4148" s="66" t="s">
        <v>576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row>
    <row r="4149" spans="1:31" ht="15.75" customHeight="1">
      <c r="A4149" s="323" t="str">
        <f>IF(B4149&lt;&gt;"",IF(AND(B4149='IN-TC'!$S$4,OR(TH!N4265="1111",TH!O4265="1111")),TH!D4265,""),"")</f>
        <v/>
      </c>
      <c r="B4149" s="63">
        <f t="shared" si="269"/>
        <v>11</v>
      </c>
      <c r="C4149" s="64">
        <v>42690</v>
      </c>
      <c r="D4149" s="64" t="s">
        <v>570</v>
      </c>
      <c r="E4149" s="64">
        <f t="shared" si="268"/>
        <v>42690</v>
      </c>
      <c r="F4149" s="72" t="s">
        <v>1765</v>
      </c>
      <c r="G4149" s="67" t="s">
        <v>1544</v>
      </c>
      <c r="H4149" s="72" t="s">
        <v>1538</v>
      </c>
      <c r="I4149" s="408"/>
      <c r="J4149" s="408"/>
      <c r="K4149" s="399">
        <v>202</v>
      </c>
      <c r="L4149" s="406">
        <v>22295</v>
      </c>
      <c r="M4149" s="65">
        <f>K4149*L4149</f>
        <v>4503590</v>
      </c>
      <c r="N4149" s="66" t="s">
        <v>99</v>
      </c>
      <c r="O4149" s="66" t="s">
        <v>576</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1" ht="15.75" customHeight="1">
      <c r="A4150" s="323" t="str">
        <f>IF(B4150&lt;&gt;"",IF(AND(B4150='IN-TC'!$S$4,OR(TH!N4262="1111",TH!O4262="1111")),TH!D4262,""),"")</f>
        <v/>
      </c>
      <c r="B4150" s="63">
        <f t="shared" si="269"/>
        <v>11</v>
      </c>
      <c r="C4150" s="64">
        <v>42690</v>
      </c>
      <c r="D4150" s="64" t="s">
        <v>570</v>
      </c>
      <c r="E4150" s="64">
        <f t="shared" si="268"/>
        <v>42690</v>
      </c>
      <c r="F4150" s="72" t="s">
        <v>1049</v>
      </c>
      <c r="G4150" s="67" t="s">
        <v>1544</v>
      </c>
      <c r="H4150" s="72" t="s">
        <v>1538</v>
      </c>
      <c r="I4150" s="408"/>
      <c r="J4150" s="408"/>
      <c r="K4150" s="399"/>
      <c r="L4150" s="406"/>
      <c r="M4150" s="65">
        <v>700000</v>
      </c>
      <c r="N4150" s="66" t="s">
        <v>576</v>
      </c>
      <c r="O4150" s="66" t="s">
        <v>41</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customHeight="1">
      <c r="A4151" s="323" t="str">
        <f>IF(B4151&lt;&gt;"",IF(AND(B4151='IN-TC'!$S$4,OR(TH!N4133="1111",TH!O4133="1111")),TH!D4133,""),"")</f>
        <v/>
      </c>
      <c r="B4151" s="63">
        <f t="shared" si="269"/>
        <v>11</v>
      </c>
      <c r="C4151" s="64">
        <v>42690</v>
      </c>
      <c r="D4151" s="64" t="s">
        <v>690</v>
      </c>
      <c r="E4151" s="64">
        <f t="shared" si="268"/>
        <v>42690</v>
      </c>
      <c r="F4151" s="72" t="s">
        <v>2343</v>
      </c>
      <c r="G4151" s="67" t="s">
        <v>901</v>
      </c>
      <c r="H4151" s="72" t="s">
        <v>2048</v>
      </c>
      <c r="I4151" s="408"/>
      <c r="J4151" s="408"/>
      <c r="K4151" s="399"/>
      <c r="L4151" s="408"/>
      <c r="M4151" s="65">
        <v>50000</v>
      </c>
      <c r="N4151" s="66" t="s">
        <v>99</v>
      </c>
      <c r="O4151" s="66" t="s">
        <v>25</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c r="AE4151">
        <v>1</v>
      </c>
    </row>
    <row r="4152" spans="1:31" ht="15.75" customHeight="1">
      <c r="A4152" s="323" t="str">
        <f>IF(B4152&lt;&gt;"",IF(AND(B4152='IN-TC'!$S$4,OR(TH!N4134="1111",TH!O4134="1111")),TH!D4134,""),"")</f>
        <v/>
      </c>
      <c r="B4152" s="63">
        <f t="shared" si="269"/>
        <v>11</v>
      </c>
      <c r="C4152" s="64">
        <v>42690</v>
      </c>
      <c r="D4152" s="64" t="s">
        <v>690</v>
      </c>
      <c r="E4152" s="64">
        <f t="shared" si="268"/>
        <v>42690</v>
      </c>
      <c r="F4152" s="72" t="s">
        <v>2344</v>
      </c>
      <c r="G4152" s="67" t="s">
        <v>901</v>
      </c>
      <c r="H4152" s="72" t="s">
        <v>2048</v>
      </c>
      <c r="I4152" s="408"/>
      <c r="J4152" s="408"/>
      <c r="K4152" s="399"/>
      <c r="L4152" s="408"/>
      <c r="M4152" s="65">
        <v>5000</v>
      </c>
      <c r="N4152" s="66" t="s">
        <v>9</v>
      </c>
      <c r="O4152" s="66" t="s">
        <v>25</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x</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c r="AE4152">
        <v>1</v>
      </c>
    </row>
    <row r="4153" spans="1:31" ht="15.75" customHeight="1">
      <c r="A4153" s="323" t="str">
        <f>IF(B4153&lt;&gt;"",IF(AND(B4153='IN-TC'!$S$4,OR(TH!N4135="1111",TH!O4135="1111")),TH!D4135,""),"")</f>
        <v/>
      </c>
      <c r="B4153" s="63">
        <f t="shared" si="269"/>
        <v>11</v>
      </c>
      <c r="C4153" s="64">
        <v>42690</v>
      </c>
      <c r="D4153" s="64" t="s">
        <v>690</v>
      </c>
      <c r="E4153" s="64">
        <f t="shared" si="268"/>
        <v>42690</v>
      </c>
      <c r="F4153" s="72" t="s">
        <v>2343</v>
      </c>
      <c r="G4153" s="67" t="s">
        <v>901</v>
      </c>
      <c r="H4153" s="72" t="s">
        <v>2048</v>
      </c>
      <c r="I4153" s="408"/>
      <c r="J4153" s="408"/>
      <c r="K4153" s="399"/>
      <c r="L4153" s="408"/>
      <c r="M4153" s="65">
        <v>50000</v>
      </c>
      <c r="N4153" s="66" t="s">
        <v>99</v>
      </c>
      <c r="O4153" s="66" t="s">
        <v>25</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customHeight="1">
      <c r="A4154" s="323" t="str">
        <f>IF(B4154&lt;&gt;"",IF(AND(B4154='IN-TC'!$S$4,OR(TH!N4136="1111",TH!O4136="1111")),TH!D4136,""),"")</f>
        <v/>
      </c>
      <c r="B4154" s="63">
        <f t="shared" si="269"/>
        <v>11</v>
      </c>
      <c r="C4154" s="64">
        <v>42690</v>
      </c>
      <c r="D4154" s="64" t="s">
        <v>690</v>
      </c>
      <c r="E4154" s="64">
        <f t="shared" si="268"/>
        <v>42690</v>
      </c>
      <c r="F4154" s="72" t="s">
        <v>2344</v>
      </c>
      <c r="G4154" s="67" t="s">
        <v>901</v>
      </c>
      <c r="H4154" s="72" t="s">
        <v>2048</v>
      </c>
      <c r="I4154" s="408"/>
      <c r="J4154" s="408"/>
      <c r="K4154" s="399"/>
      <c r="L4154" s="408"/>
      <c r="M4154" s="65">
        <v>5000</v>
      </c>
      <c r="N4154" s="66" t="s">
        <v>9</v>
      </c>
      <c r="O4154" s="66" t="s">
        <v>25</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x</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customHeight="1">
      <c r="A4155" s="323" t="str">
        <f>IF(B4155&lt;&gt;"",IF(AND(B4155='IN-TC'!$S$4,OR(TH!N4209="1111",TH!O4209="1111")),TH!D4209,""),"")</f>
        <v/>
      </c>
      <c r="B4155" s="63">
        <f t="shared" si="269"/>
        <v>11</v>
      </c>
      <c r="C4155" s="64">
        <v>42690</v>
      </c>
      <c r="D4155" s="64" t="s">
        <v>690</v>
      </c>
      <c r="E4155" s="64">
        <f t="shared" si="268"/>
        <v>42690</v>
      </c>
      <c r="F4155" s="72" t="s">
        <v>2479</v>
      </c>
      <c r="G4155" s="67" t="s">
        <v>1544</v>
      </c>
      <c r="H4155" s="72" t="s">
        <v>1780</v>
      </c>
      <c r="I4155" s="408"/>
      <c r="J4155" s="408"/>
      <c r="K4155" s="399"/>
      <c r="L4155" s="408"/>
      <c r="M4155" s="65">
        <v>1880760</v>
      </c>
      <c r="N4155" s="66" t="s">
        <v>99</v>
      </c>
      <c r="O4155" s="66" t="s">
        <v>25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x</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customHeight="1">
      <c r="A4156" s="323" t="str">
        <f>IF(B4156&lt;&gt;"",IF(AND(B4156='IN-TC'!$S$4,OR(TH!N4210="1111",TH!O4210="1111")),TH!D4210,""),"")</f>
        <v/>
      </c>
      <c r="B4156" s="63">
        <f t="shared" si="269"/>
        <v>11</v>
      </c>
      <c r="C4156" s="64">
        <v>42690</v>
      </c>
      <c r="D4156" s="64" t="s">
        <v>690</v>
      </c>
      <c r="E4156" s="64">
        <f t="shared" si="268"/>
        <v>42690</v>
      </c>
      <c r="F4156" s="72" t="s">
        <v>2480</v>
      </c>
      <c r="G4156" s="67" t="s">
        <v>1544</v>
      </c>
      <c r="H4156" s="72" t="s">
        <v>1780</v>
      </c>
      <c r="I4156" s="408"/>
      <c r="J4156" s="408"/>
      <c r="K4156" s="399"/>
      <c r="L4156" s="408"/>
      <c r="M4156" s="65">
        <v>188076</v>
      </c>
      <c r="N4156" s="66" t="s">
        <v>9</v>
      </c>
      <c r="O4156" s="66" t="s">
        <v>25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x</v>
      </c>
      <c r="W4156" s="82" t="str">
        <f>IF(AND('341-CT'!$H$9=H4156,OR(LEFT(N4156,3)=$W$7,LEFT(O4156,3)=$W$7)),"x","")</f>
        <v/>
      </c>
      <c r="X4156" s="82" t="str">
        <f>IF(OR(TH!N4156=TH!$X$7,O4156=TH!$X$7),"x","")</f>
        <v>x</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customHeight="1">
      <c r="A4157" s="323" t="str">
        <f>IF(B4157&lt;&gt;"",IF(AND(B4157='IN-TC'!$S$4,OR(TH!N4211="1111",TH!O4211="1111")),TH!D4211,""),"")</f>
        <v/>
      </c>
      <c r="B4157" s="63">
        <f t="shared" si="269"/>
        <v>11</v>
      </c>
      <c r="C4157" s="64">
        <v>42690</v>
      </c>
      <c r="D4157" s="64" t="s">
        <v>690</v>
      </c>
      <c r="E4157" s="64">
        <f t="shared" si="268"/>
        <v>42690</v>
      </c>
      <c r="F4157" s="72" t="s">
        <v>2479</v>
      </c>
      <c r="G4157" s="67" t="s">
        <v>1544</v>
      </c>
      <c r="H4157" s="72" t="s">
        <v>1780</v>
      </c>
      <c r="I4157" s="408"/>
      <c r="J4157" s="408"/>
      <c r="K4157" s="399"/>
      <c r="L4157" s="408"/>
      <c r="M4157" s="65">
        <v>111950</v>
      </c>
      <c r="N4157" s="66" t="s">
        <v>99</v>
      </c>
      <c r="O4157" s="66" t="s">
        <v>25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x</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customHeight="1">
      <c r="A4158" s="323" t="str">
        <f>IF(B4158&lt;&gt;"",IF(AND(B4158='IN-TC'!$S$4,OR(TH!N4212="1111",TH!O4212="1111")),TH!D4212,""),"")</f>
        <v/>
      </c>
      <c r="B4158" s="63">
        <f t="shared" si="269"/>
        <v>11</v>
      </c>
      <c r="C4158" s="64">
        <v>42690</v>
      </c>
      <c r="D4158" s="64" t="s">
        <v>690</v>
      </c>
      <c r="E4158" s="64">
        <f t="shared" si="268"/>
        <v>42690</v>
      </c>
      <c r="F4158" s="72" t="s">
        <v>2480</v>
      </c>
      <c r="G4158" s="67" t="s">
        <v>1544</v>
      </c>
      <c r="H4158" s="72" t="s">
        <v>1780</v>
      </c>
      <c r="I4158" s="408"/>
      <c r="J4158" s="408"/>
      <c r="K4158" s="399"/>
      <c r="L4158" s="408"/>
      <c r="M4158" s="65">
        <v>11195</v>
      </c>
      <c r="N4158" s="66" t="s">
        <v>9</v>
      </c>
      <c r="O4158" s="66" t="s">
        <v>25</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x</v>
      </c>
      <c r="W4158" s="82" t="str">
        <f>IF(AND('341-CT'!$H$9=H4158,OR(LEFT(N4158,3)=$W$7,LEFT(O4158,3)=$W$7)),"x","")</f>
        <v/>
      </c>
      <c r="X4158" s="82" t="str">
        <f>IF(OR(TH!N4158=TH!$X$7,O4158=TH!$X$7),"x","")</f>
        <v>x</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E4158">
        <v>1</v>
      </c>
    </row>
    <row r="4159" spans="1:31" ht="15.75" customHeight="1">
      <c r="A4159" s="323" t="str">
        <f>IF(B4159&lt;&gt;"",IF(AND(B4159='IN-TC'!$S$4,OR(TH!N4213="1111",TH!O4213="1111")),TH!D4213,""),"")</f>
        <v/>
      </c>
      <c r="B4159" s="63">
        <f t="shared" si="269"/>
        <v>11</v>
      </c>
      <c r="C4159" s="64">
        <v>42690</v>
      </c>
      <c r="D4159" s="64" t="s">
        <v>690</v>
      </c>
      <c r="E4159" s="64">
        <f t="shared" si="268"/>
        <v>42690</v>
      </c>
      <c r="F4159" s="72" t="s">
        <v>2456</v>
      </c>
      <c r="G4159" s="67" t="s">
        <v>1544</v>
      </c>
      <c r="H4159" s="72" t="s">
        <v>1780</v>
      </c>
      <c r="I4159" s="408"/>
      <c r="J4159" s="408"/>
      <c r="K4159" s="399"/>
      <c r="L4159" s="408"/>
      <c r="M4159" s="65">
        <v>224500</v>
      </c>
      <c r="N4159" s="66" t="s">
        <v>99</v>
      </c>
      <c r="O4159" s="66" t="s">
        <v>25</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x</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1" ht="15.75" customHeight="1">
      <c r="A4160" s="323" t="str">
        <f>IF(B4160&lt;&gt;"",IF(AND(B4160='IN-TC'!$S$4,OR(TH!N4266="1111",TH!O4266="1111")),TH!D4266,""),"")</f>
        <v/>
      </c>
      <c r="B4160" s="63">
        <f t="shared" si="269"/>
        <v>11</v>
      </c>
      <c r="C4160" s="64">
        <v>42690</v>
      </c>
      <c r="D4160" s="64" t="s">
        <v>690</v>
      </c>
      <c r="E4160" s="64">
        <f t="shared" si="268"/>
        <v>42690</v>
      </c>
      <c r="F4160" s="72" t="s">
        <v>2357</v>
      </c>
      <c r="G4160" s="67" t="s">
        <v>1544</v>
      </c>
      <c r="H4160" s="1274" t="s">
        <v>2999</v>
      </c>
      <c r="I4160" s="408"/>
      <c r="J4160" s="408"/>
      <c r="K4160" s="399">
        <v>63000</v>
      </c>
      <c r="L4160" s="408">
        <v>22322</v>
      </c>
      <c r="M4160" s="65">
        <f>K4160*L4160</f>
        <v>1406286000</v>
      </c>
      <c r="N4160" s="66" t="s">
        <v>254</v>
      </c>
      <c r="O4160" s="66" t="s">
        <v>260</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1" ht="15.75" customHeight="1">
      <c r="A4161" s="323" t="str">
        <f>IF(B4161&lt;&gt;"",IF(AND(B4161='IN-TC'!$S$4,OR(TH!N4267="1111",TH!O4267="1111")),TH!D4267,""),"")</f>
        <v/>
      </c>
      <c r="B4161" s="63">
        <f t="shared" si="269"/>
        <v>11</v>
      </c>
      <c r="C4161" s="64">
        <v>42690</v>
      </c>
      <c r="D4161" s="64" t="s">
        <v>690</v>
      </c>
      <c r="E4161" s="64">
        <f t="shared" si="268"/>
        <v>42690</v>
      </c>
      <c r="F4161" s="72" t="s">
        <v>2533</v>
      </c>
      <c r="G4161" s="67" t="s">
        <v>1544</v>
      </c>
      <c r="H4161" s="1274" t="s">
        <v>2999</v>
      </c>
      <c r="I4161" s="408"/>
      <c r="J4161" s="408"/>
      <c r="K4161" s="399">
        <v>26.25</v>
      </c>
      <c r="L4161" s="408">
        <v>22322</v>
      </c>
      <c r="M4161" s="65">
        <f>K4161*L4161</f>
        <v>585952.5</v>
      </c>
      <c r="N4161" s="66" t="s">
        <v>97</v>
      </c>
      <c r="O4161" s="66" t="s">
        <v>260</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row>
    <row r="4162" spans="1:31" ht="15.75" customHeight="1">
      <c r="A4162" s="323" t="str">
        <f>IF(B4162&lt;&gt;"",IF(AND(B4162='IN-TC'!$S$4,OR(TH!N4084="1111",TH!O4084="1111")),TH!D4084,""),"")</f>
        <v/>
      </c>
      <c r="B4162" s="63">
        <f t="shared" si="269"/>
        <v>11</v>
      </c>
      <c r="C4162" s="64">
        <v>42690</v>
      </c>
      <c r="D4162" s="64" t="s">
        <v>2060</v>
      </c>
      <c r="E4162" s="64">
        <f t="shared" si="268"/>
        <v>42690</v>
      </c>
      <c r="F4162" s="72" t="s">
        <v>1126</v>
      </c>
      <c r="G4162" s="67" t="s">
        <v>901</v>
      </c>
      <c r="H4162" s="72" t="s">
        <v>748</v>
      </c>
      <c r="I4162" s="408"/>
      <c r="J4162" s="408"/>
      <c r="K4162" s="399"/>
      <c r="L4162" s="408"/>
      <c r="M4162" s="65">
        <v>250000000</v>
      </c>
      <c r="N4162" s="66" t="s">
        <v>61</v>
      </c>
      <c r="O4162" s="66" t="s">
        <v>25</v>
      </c>
      <c r="P4162" s="82" t="str">
        <f>IF(AND('331-CT'!$E$7=TH!H4162,OR(N4162="331",O4162="331")),"x","")</f>
        <v/>
      </c>
      <c r="Q4162" s="82" t="str">
        <f>IF(AND(B4162='111'!$L$11,OR($N4162=$Q$7,$O4162=$Q$7)),"x","")</f>
        <v/>
      </c>
      <c r="R4162" s="82" t="str">
        <f>IF(AND($N4162=$Q$7,$B4162&lt;'111'!$L$11),"x","")</f>
        <v>x</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row>
    <row r="4163" spans="1:31" ht="15.75" customHeight="1">
      <c r="A4163" s="323" t="str">
        <f>IF(B4163&lt;&gt;"",IF(AND(B4163='IN-TC'!$S$4,OR(TH!N4085="1111",TH!O4085="1111")),TH!D4085,""),"")</f>
        <v/>
      </c>
      <c r="B4163" s="63">
        <f t="shared" si="269"/>
        <v>11</v>
      </c>
      <c r="C4163" s="64">
        <v>42690</v>
      </c>
      <c r="D4163" s="64" t="s">
        <v>1543</v>
      </c>
      <c r="E4163" s="64">
        <f t="shared" si="268"/>
        <v>42690</v>
      </c>
      <c r="F4163" s="72" t="s">
        <v>1126</v>
      </c>
      <c r="G4163" s="67" t="s">
        <v>1544</v>
      </c>
      <c r="H4163" s="72" t="s">
        <v>748</v>
      </c>
      <c r="I4163" s="408"/>
      <c r="J4163" s="408"/>
      <c r="K4163" s="399"/>
      <c r="L4163" s="408"/>
      <c r="M4163" s="65">
        <v>3120000000</v>
      </c>
      <c r="N4163" s="66" t="s">
        <v>61</v>
      </c>
      <c r="O4163" s="66" t="s">
        <v>25</v>
      </c>
      <c r="P4163" s="82" t="str">
        <f>IF(AND('331-CT'!$E$7=TH!H4163,OR(N4163="331",O4163="331")),"x","")</f>
        <v/>
      </c>
      <c r="Q4163" s="82" t="str">
        <f>IF(AND(B4163='111'!$L$11,OR($N4163=$Q$7,$O4163=$Q$7)),"x","")</f>
        <v/>
      </c>
      <c r="R4163" s="82" t="str">
        <f>IF(AND($N4163=$Q$7,$B4163&lt;'111'!$L$11),"x","")</f>
        <v>x</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x</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1" ht="15.75" customHeight="1">
      <c r="A4164" s="323" t="str">
        <f>IF(B4164&lt;&gt;"",IF(AND(B4164='IN-TC'!$S$4,OR(TH!N4091="1111",TH!O4091="1111")),TH!D4091,""),"")</f>
        <v/>
      </c>
      <c r="B4164" s="63">
        <f t="shared" si="269"/>
        <v>11</v>
      </c>
      <c r="C4164" s="1092">
        <v>42691</v>
      </c>
      <c r="D4164" s="1092" t="s">
        <v>895</v>
      </c>
      <c r="E4164" s="1092">
        <f t="shared" si="268"/>
        <v>42691</v>
      </c>
      <c r="F4164" s="482" t="s">
        <v>947</v>
      </c>
      <c r="G4164" s="1094"/>
      <c r="H4164" s="937" t="s">
        <v>3001</v>
      </c>
      <c r="I4164" s="1095"/>
      <c r="J4164" s="1095"/>
      <c r="K4164" s="1096"/>
      <c r="L4164" s="1095"/>
      <c r="M4164" s="1097">
        <v>600000000</v>
      </c>
      <c r="N4164" s="1098" t="s">
        <v>266</v>
      </c>
      <c r="O4164" s="1098" t="s">
        <v>61</v>
      </c>
      <c r="P4164" s="82" t="str">
        <f>IF(AND('331-CT'!$E$7=TH!H4164,OR(N4164="331",O4164="331")),"x","")</f>
        <v/>
      </c>
      <c r="Q4164" s="82" t="str">
        <f>IF(AND(B4164='111'!$L$11,OR($N4164=$Q$7,$O4164=$Q$7)),"x","")</f>
        <v/>
      </c>
      <c r="R4164" s="82" t="str">
        <f>IF(AND($N4164=$Q$7,$B4164&lt;'111'!$L$11),"x","")</f>
        <v/>
      </c>
      <c r="S4164" s="82" t="str">
        <f>IF(AND($O4164=$Q$7,$B4164&lt;'111'!$L$11),"x","")</f>
        <v>x</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1" ht="15.75" customHeight="1">
      <c r="A4165" s="1161" t="str">
        <f>IF(B4165&lt;&gt;"",IF(AND(B4165='IN-TC'!$S$4,OR(TH!N4190="1111",TH!O4190="1111")),TH!D4190,""),"")</f>
        <v/>
      </c>
      <c r="B4165" s="63">
        <f t="shared" si="269"/>
        <v>11</v>
      </c>
      <c r="C4165" s="1162">
        <v>42691</v>
      </c>
      <c r="D4165" s="1162" t="s">
        <v>690</v>
      </c>
      <c r="E4165" s="1162">
        <f t="shared" si="268"/>
        <v>42691</v>
      </c>
      <c r="F4165" s="1163" t="s">
        <v>2355</v>
      </c>
      <c r="G4165" s="1164" t="s">
        <v>902</v>
      </c>
      <c r="H4165" s="1186" t="s">
        <v>1959</v>
      </c>
      <c r="I4165" s="1165"/>
      <c r="J4165" s="1165"/>
      <c r="K4165" s="1166">
        <v>4400</v>
      </c>
      <c r="L4165" s="1165">
        <v>22350</v>
      </c>
      <c r="M4165" s="1167">
        <f>ROUND(K4165*L4165,0)</f>
        <v>98340000</v>
      </c>
      <c r="N4165" s="1168" t="s">
        <v>8</v>
      </c>
      <c r="O4165" s="1168" t="s">
        <v>260</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row>
    <row r="4166" spans="1:31" ht="15.75" customHeight="1">
      <c r="A4166" s="323" t="str">
        <f>IF(B4166&lt;&gt;"",IF(AND(B4166='IN-TC'!$S$4,OR(TH!N4186="1111",TH!O4186="1111")),TH!D4186,""),"")</f>
        <v/>
      </c>
      <c r="B4166" s="63">
        <f t="shared" si="269"/>
        <v>11</v>
      </c>
      <c r="C4166" s="64">
        <v>42691</v>
      </c>
      <c r="D4166" s="64" t="s">
        <v>690</v>
      </c>
      <c r="E4166" s="64">
        <f t="shared" si="268"/>
        <v>42691</v>
      </c>
      <c r="F4166" s="72" t="s">
        <v>1627</v>
      </c>
      <c r="G4166" s="67" t="s">
        <v>902</v>
      </c>
      <c r="H4166" s="72" t="s">
        <v>1779</v>
      </c>
      <c r="I4166" s="408"/>
      <c r="J4166" s="408"/>
      <c r="K4166" s="399"/>
      <c r="L4166" s="408"/>
      <c r="M4166" s="65">
        <v>493900</v>
      </c>
      <c r="N4166" s="66" t="s">
        <v>99</v>
      </c>
      <c r="O4166" s="66" t="s">
        <v>25</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1" ht="15.75" customHeight="1">
      <c r="A4167" s="1161" t="str">
        <f>IF(B4167&lt;&gt;"",IF(AND(B4167='IN-TC'!$S$4,OR(TH!N4191="1111",TH!O4191="1111")),TH!D4191,""),"")</f>
        <v/>
      </c>
      <c r="B4167" s="63">
        <f t="shared" si="269"/>
        <v>11</v>
      </c>
      <c r="C4167" s="1162">
        <v>42691</v>
      </c>
      <c r="D4167" s="1162" t="s">
        <v>570</v>
      </c>
      <c r="E4167" s="1162">
        <f t="shared" si="268"/>
        <v>42691</v>
      </c>
      <c r="F4167" s="1163" t="s">
        <v>1049</v>
      </c>
      <c r="G4167" s="1164"/>
      <c r="H4167" s="1186" t="s">
        <v>1959</v>
      </c>
      <c r="I4167" s="1165"/>
      <c r="J4167" s="1165"/>
      <c r="K4167" s="1166"/>
      <c r="L4167" s="1165"/>
      <c r="M4167" s="1167">
        <v>286000</v>
      </c>
      <c r="N4167" s="1168" t="s">
        <v>97</v>
      </c>
      <c r="O4167" s="1168" t="s">
        <v>8</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customHeight="1">
      <c r="A4168" s="323" t="str">
        <f>IF(B4168&lt;&gt;"",IF(AND(B4168='IN-TC'!$S$4,OR(TH!N4093="1111",TH!O4093="1111")),TH!D4093,""),"")</f>
        <v/>
      </c>
      <c r="B4168" s="63">
        <f t="shared" si="269"/>
        <v>11</v>
      </c>
      <c r="C4168" s="64">
        <v>42692</v>
      </c>
      <c r="D4168" s="64" t="s">
        <v>897</v>
      </c>
      <c r="E4168" s="64">
        <f t="shared" si="268"/>
        <v>42692</v>
      </c>
      <c r="F4168" s="72" t="s">
        <v>2427</v>
      </c>
      <c r="G4168" s="931" t="s">
        <v>2429</v>
      </c>
      <c r="H4168" s="72" t="s">
        <v>1410</v>
      </c>
      <c r="I4168" s="408"/>
      <c r="J4168" s="408"/>
      <c r="K4168" s="399"/>
      <c r="L4168" s="408"/>
      <c r="M4168" s="65">
        <v>909091</v>
      </c>
      <c r="N4168" s="66" t="s">
        <v>99</v>
      </c>
      <c r="O4168" s="66" t="s">
        <v>61</v>
      </c>
      <c r="P4168" s="82" t="str">
        <f>IF(AND('331-CT'!$E$7=TH!H4168,OR(N4168="331",O4168="331")),"x","")</f>
        <v/>
      </c>
      <c r="Q4168" s="82" t="str">
        <f>IF(AND(B4168='111'!$L$11,OR($N4168=$Q$7,$O4168=$Q$7)),"x","")</f>
        <v/>
      </c>
      <c r="R4168" s="82" t="str">
        <f>IF(AND($N4168=$Q$7,$B4168&lt;'111'!$L$11),"x","")</f>
        <v/>
      </c>
      <c r="S4168" s="82" t="str">
        <f>IF(AND($O4168=$Q$7,$B4168&lt;'111'!$L$11),"x","")</f>
        <v>x</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c r="AE4168">
        <v>1</v>
      </c>
    </row>
    <row r="4169" spans="1:31" ht="15.75" customHeight="1">
      <c r="A4169" s="323" t="str">
        <f>IF(B4169&lt;&gt;"",IF(AND(B4169='IN-TC'!$S$4,OR(TH!N4095="1111",TH!O4095="1111")),TH!D4095,""),"")</f>
        <v/>
      </c>
      <c r="B4169" s="63">
        <f t="shared" si="269"/>
        <v>11</v>
      </c>
      <c r="C4169" s="64">
        <v>42692</v>
      </c>
      <c r="D4169" s="64" t="s">
        <v>897</v>
      </c>
      <c r="E4169" s="64">
        <f t="shared" si="268"/>
        <v>42692</v>
      </c>
      <c r="F4169" s="72" t="s">
        <v>2428</v>
      </c>
      <c r="G4169" s="931" t="s">
        <v>2429</v>
      </c>
      <c r="H4169" s="72" t="s">
        <v>1410</v>
      </c>
      <c r="I4169" s="408"/>
      <c r="J4169" s="408"/>
      <c r="K4169" s="399"/>
      <c r="L4169" s="408"/>
      <c r="M4169" s="65">
        <v>90909</v>
      </c>
      <c r="N4169" s="66" t="s">
        <v>9</v>
      </c>
      <c r="O4169" s="66" t="s">
        <v>61</v>
      </c>
      <c r="P4169" s="82" t="str">
        <f>IF(AND('331-CT'!$E$7=TH!H4169,OR(N4169="331",O4169="331")),"x","")</f>
        <v/>
      </c>
      <c r="Q4169" s="82" t="str">
        <f>IF(AND(B4169='111'!$L$11,OR($N4169=$Q$7,$O4169=$Q$7)),"x","")</f>
        <v/>
      </c>
      <c r="R4169" s="82" t="str">
        <f>IF(AND($N4169=$Q$7,$B4169&lt;'111'!$L$11),"x","")</f>
        <v/>
      </c>
      <c r="S4169" s="82" t="str">
        <f>IF(AND($O4169=$Q$7,$B4169&lt;'111'!$L$11),"x","")</f>
        <v>x</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x</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c r="AE4169">
        <v>1</v>
      </c>
    </row>
    <row r="4170" spans="1:31" ht="15.75" customHeight="1">
      <c r="A4170" s="323" t="str">
        <f>IF(B4170&lt;&gt;"",IF(AND(B4170='IN-TC'!$S$4,OR(TH!N4092="1111",TH!O4092="1111")),TH!D4092,""),"")</f>
        <v/>
      </c>
      <c r="B4170" s="63">
        <f t="shared" si="269"/>
        <v>11</v>
      </c>
      <c r="C4170" s="64">
        <v>42692</v>
      </c>
      <c r="D4170" s="64" t="s">
        <v>896</v>
      </c>
      <c r="E4170" s="64">
        <f t="shared" si="268"/>
        <v>42692</v>
      </c>
      <c r="F4170" s="72" t="s">
        <v>1550</v>
      </c>
      <c r="G4170" s="67" t="s">
        <v>2426</v>
      </c>
      <c r="H4170" s="72" t="s">
        <v>1410</v>
      </c>
      <c r="I4170" s="408"/>
      <c r="J4170" s="408"/>
      <c r="K4170" s="399"/>
      <c r="L4170" s="408"/>
      <c r="M4170" s="65">
        <v>150000</v>
      </c>
      <c r="N4170" s="66" t="s">
        <v>99</v>
      </c>
      <c r="O4170" s="66" t="s">
        <v>61</v>
      </c>
      <c r="P4170" s="82" t="str">
        <f>IF(AND('331-CT'!$E$7=TH!H4170,OR(N4170="331",O4170="331")),"x","")</f>
        <v/>
      </c>
      <c r="Q4170" s="82" t="str">
        <f>IF(AND(B4170='111'!$L$11,OR($N4170=$Q$7,$O4170=$Q$7)),"x","")</f>
        <v/>
      </c>
      <c r="R4170" s="82" t="str">
        <f>IF(AND($N4170=$Q$7,$B4170&lt;'111'!$L$11),"x","")</f>
        <v/>
      </c>
      <c r="S4170" s="82" t="str">
        <f>IF(AND($O4170=$Q$7,$B4170&lt;'111'!$L$11),"x","")</f>
        <v>x</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customHeight="1">
      <c r="A4171" s="323" t="str">
        <f>IF(B4171&lt;&gt;"",IF(AND(B4171='IN-TC'!$S$4,OR(TH!N4096="1111",TH!O4096="1111")),TH!D4096,""),"")</f>
        <v/>
      </c>
      <c r="B4171" s="63">
        <f t="shared" si="269"/>
        <v>11</v>
      </c>
      <c r="C4171" s="1092">
        <v>42692</v>
      </c>
      <c r="D4171" s="1092" t="s">
        <v>898</v>
      </c>
      <c r="E4171" s="1092">
        <f t="shared" si="268"/>
        <v>42692</v>
      </c>
      <c r="F4171" s="482" t="s">
        <v>947</v>
      </c>
      <c r="G4171" s="1094"/>
      <c r="H4171" s="937" t="s">
        <v>3001</v>
      </c>
      <c r="I4171" s="1095"/>
      <c r="J4171" s="1095"/>
      <c r="K4171" s="1096"/>
      <c r="L4171" s="1095"/>
      <c r="M4171" s="1097">
        <v>750000000</v>
      </c>
      <c r="N4171" s="1098" t="s">
        <v>266</v>
      </c>
      <c r="O4171" s="1098" t="s">
        <v>61</v>
      </c>
      <c r="P4171" s="82" t="str">
        <f>IF(AND('331-CT'!$E$7=TH!H4171,OR(N4171="331",O4171="331")),"x","")</f>
        <v/>
      </c>
      <c r="Q4171" s="82" t="str">
        <f>IF(AND(B4171='111'!$L$11,OR($N4171=$Q$7,$O4171=$Q$7)),"x","")</f>
        <v/>
      </c>
      <c r="R4171" s="82" t="str">
        <f>IF(AND($N4171=$Q$7,$B4171&lt;'111'!$L$11),"x","")</f>
        <v/>
      </c>
      <c r="S4171" s="82" t="str">
        <f>IF(AND($O4171=$Q$7,$B4171&lt;'111'!$L$11),"x","")</f>
        <v>x</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1" ht="15.75" customHeight="1">
      <c r="A4172" s="323" t="str">
        <f>IF(B4172&lt;&gt;"",IF(AND(B4172='IN-TC'!$S$4,OR(TH!N4097="1111",TH!O4097="1111")),TH!D4097,""),"")</f>
        <v/>
      </c>
      <c r="B4172" s="63">
        <f t="shared" si="269"/>
        <v>11</v>
      </c>
      <c r="C4172" s="64">
        <v>42693</v>
      </c>
      <c r="D4172" s="64" t="s">
        <v>899</v>
      </c>
      <c r="E4172" s="64">
        <f t="shared" si="268"/>
        <v>42693</v>
      </c>
      <c r="F4172" s="72" t="s">
        <v>770</v>
      </c>
      <c r="G4172" s="931" t="s">
        <v>2430</v>
      </c>
      <c r="H4172" s="72" t="s">
        <v>792</v>
      </c>
      <c r="I4172" s="408"/>
      <c r="J4172" s="408"/>
      <c r="K4172" s="399"/>
      <c r="L4172" s="408"/>
      <c r="M4172" s="65">
        <v>927473</v>
      </c>
      <c r="N4172" s="66" t="s">
        <v>99</v>
      </c>
      <c r="O4172" s="66" t="s">
        <v>61</v>
      </c>
      <c r="P4172" s="82" t="str">
        <f>IF(AND('331-CT'!$E$7=TH!H4172,OR(N4172="331",O4172="331")),"x","")</f>
        <v/>
      </c>
      <c r="Q4172" s="82" t="str">
        <f>IF(AND(B4172='111'!$L$11,OR($N4172=$Q$7,$O4172=$Q$7)),"x","")</f>
        <v/>
      </c>
      <c r="R4172" s="82" t="str">
        <f>IF(AND($N4172=$Q$7,$B4172&lt;'111'!$L$11),"x","")</f>
        <v/>
      </c>
      <c r="S4172" s="82" t="str">
        <f>IF(AND($O4172=$Q$7,$B4172&lt;'111'!$L$11),"x","")</f>
        <v>x</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customHeight="1">
      <c r="A4173" s="323" t="str">
        <f>IF(B4173&lt;&gt;"",IF(AND(B4173='IN-TC'!$S$4,OR(TH!N4094="1111",TH!O4094="1111")),TH!D4094,""),"")</f>
        <v/>
      </c>
      <c r="B4173" s="63">
        <f t="shared" si="269"/>
        <v>11</v>
      </c>
      <c r="C4173" s="64">
        <v>42693</v>
      </c>
      <c r="D4173" s="64" t="s">
        <v>899</v>
      </c>
      <c r="E4173" s="64">
        <f t="shared" si="268"/>
        <v>42693</v>
      </c>
      <c r="F4173" s="72" t="s">
        <v>771</v>
      </c>
      <c r="G4173" s="931" t="s">
        <v>2430</v>
      </c>
      <c r="H4173" s="72" t="s">
        <v>792</v>
      </c>
      <c r="I4173" s="408"/>
      <c r="J4173" s="408"/>
      <c r="K4173" s="399"/>
      <c r="L4173" s="408"/>
      <c r="M4173" s="65">
        <v>92747</v>
      </c>
      <c r="N4173" s="66" t="s">
        <v>9</v>
      </c>
      <c r="O4173" s="66" t="s">
        <v>61</v>
      </c>
      <c r="P4173" s="82" t="str">
        <f>IF(AND('331-CT'!$E$7=TH!H4173,OR(N4173="331",O4173="331")),"x","")</f>
        <v/>
      </c>
      <c r="Q4173" s="82" t="str">
        <f>IF(AND(B4173='111'!$L$11,OR($N4173=$Q$7,$O4173=$Q$7)),"x","")</f>
        <v/>
      </c>
      <c r="R4173" s="82" t="str">
        <f>IF(AND($N4173=$Q$7,$B4173&lt;'111'!$L$11),"x","")</f>
        <v/>
      </c>
      <c r="S4173" s="82" t="str">
        <f>IF(AND($O4173=$Q$7,$B4173&lt;'111'!$L$11),"x","")</f>
        <v>x</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x</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c r="AE4173">
        <v>1</v>
      </c>
    </row>
    <row r="4174" spans="1:31" ht="15.75" customHeight="1">
      <c r="A4174" s="323" t="str">
        <f>IF(B4174&lt;&gt;"",IF(AND(B4174='IN-TC'!$S$4,OR(TH!N4395="1111",TH!O4395="1111")),TH!D4395,""),"")</f>
        <v/>
      </c>
      <c r="B4174" s="63">
        <f t="shared" si="269"/>
        <v>12</v>
      </c>
      <c r="C4174" s="64">
        <v>42724</v>
      </c>
      <c r="D4174" s="64" t="s">
        <v>2932</v>
      </c>
      <c r="E4174" s="64">
        <f t="shared" si="268"/>
        <v>42724</v>
      </c>
      <c r="F4174" s="72" t="s">
        <v>2510</v>
      </c>
      <c r="G4174" s="931" t="s">
        <v>2454</v>
      </c>
      <c r="H4174" s="72" t="s">
        <v>2511</v>
      </c>
      <c r="I4174" s="408"/>
      <c r="J4174" s="408"/>
      <c r="K4174" s="399"/>
      <c r="L4174" s="408"/>
      <c r="M4174" s="65">
        <v>19800000</v>
      </c>
      <c r="N4174" s="66" t="s">
        <v>8</v>
      </c>
      <c r="O4174" s="66" t="s">
        <v>61</v>
      </c>
      <c r="P4174" s="82" t="str">
        <f>IF(AND('331-CT'!$E$7=TH!H4174,OR(N4174="331",O4174="331")),"x","")</f>
        <v/>
      </c>
      <c r="Q4174" s="82" t="str">
        <f>IF(AND(B4174='111'!$L$11,OR($N4174=$Q$7,$O4174=$Q$7)),"x","")</f>
        <v>x</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1" ht="15.75" customHeight="1">
      <c r="A4175" s="323" t="str">
        <f>IF(B4175&lt;&gt;"",IF(AND(B4175='IN-TC'!$S$4,OR(TH!N4099="1111",TH!O4099="1111")),TH!D4099,""),"")</f>
        <v/>
      </c>
      <c r="B4175" s="63">
        <f t="shared" si="269"/>
        <v>11</v>
      </c>
      <c r="C4175" s="1092">
        <v>42695</v>
      </c>
      <c r="D4175" s="1092" t="s">
        <v>949</v>
      </c>
      <c r="E4175" s="1092">
        <f t="shared" si="268"/>
        <v>42695</v>
      </c>
      <c r="F4175" s="482" t="s">
        <v>947</v>
      </c>
      <c r="G4175" s="1094"/>
      <c r="H4175" s="937" t="s">
        <v>3001</v>
      </c>
      <c r="I4175" s="1095"/>
      <c r="J4175" s="1095"/>
      <c r="K4175" s="1096"/>
      <c r="L4175" s="1095"/>
      <c r="M4175" s="1097">
        <v>800000000</v>
      </c>
      <c r="N4175" s="1098" t="s">
        <v>266</v>
      </c>
      <c r="O4175" s="1098" t="s">
        <v>61</v>
      </c>
      <c r="P4175" s="82" t="str">
        <f>IF(AND('331-CT'!$E$7=TH!H4175,OR(N4175="331",O4175="331")),"x","")</f>
        <v/>
      </c>
      <c r="Q4175" s="82" t="str">
        <f>IF(AND(B4175='111'!$L$11,OR($N4175=$Q$7,$O4175=$Q$7)),"x","")</f>
        <v/>
      </c>
      <c r="R4175" s="82" t="str">
        <f>IF(AND($N4175=$Q$7,$B4175&lt;'111'!$L$11),"x","")</f>
        <v/>
      </c>
      <c r="S4175" s="82" t="str">
        <f>IF(AND($O4175=$Q$7,$B4175&lt;'111'!$L$11),"x","")</f>
        <v>x</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1" ht="15.75" customHeight="1">
      <c r="A4176" s="323" t="str">
        <f>IF(B4176&lt;&gt;"",IF(AND(B4176='IN-TC'!$S$4,OR(TH!N4606="1111",TH!O4606="1111")),TH!D4606,""),"")</f>
        <v/>
      </c>
      <c r="B4176" s="63">
        <f t="shared" si="269"/>
        <v>12</v>
      </c>
      <c r="C4176" s="64">
        <v>42709</v>
      </c>
      <c r="D4176" s="64" t="s">
        <v>570</v>
      </c>
      <c r="E4176" s="64">
        <f t="shared" si="268"/>
        <v>42709</v>
      </c>
      <c r="F4176" s="72" t="s">
        <v>1968</v>
      </c>
      <c r="G4176" s="67" t="s">
        <v>1544</v>
      </c>
      <c r="H4176" s="72" t="s">
        <v>1887</v>
      </c>
      <c r="I4176" s="408"/>
      <c r="J4176" s="408"/>
      <c r="K4176" s="399">
        <v>12</v>
      </c>
      <c r="L4176" s="408">
        <v>22720</v>
      </c>
      <c r="M4176" s="65">
        <f>K4176*L4176</f>
        <v>272640</v>
      </c>
      <c r="N4176" s="66" t="s">
        <v>99</v>
      </c>
      <c r="O4176" s="66" t="s">
        <v>576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1" ht="15.75" customHeight="1">
      <c r="A4177" s="1160" t="str">
        <f>IF(B4177&lt;&gt;"",IF(AND(B4177='IN-TC'!$S$4,OR(TH!N4607="1111",TH!O4607="1111")),TH!D4607,""),"")</f>
        <v/>
      </c>
      <c r="B4177" s="948">
        <f t="shared" si="269"/>
        <v>12</v>
      </c>
      <c r="C4177" s="78">
        <v>42709</v>
      </c>
      <c r="D4177" s="78" t="s">
        <v>570</v>
      </c>
      <c r="E4177" s="78">
        <f t="shared" si="268"/>
        <v>42709</v>
      </c>
      <c r="F4177" s="80" t="s">
        <v>1049</v>
      </c>
      <c r="G4177" s="79" t="s">
        <v>1544</v>
      </c>
      <c r="H4177" s="80" t="s">
        <v>1887</v>
      </c>
      <c r="I4177" s="406"/>
      <c r="J4177" s="406"/>
      <c r="K4177" s="397"/>
      <c r="L4177" s="406"/>
      <c r="M4177" s="81">
        <v>94640000</v>
      </c>
      <c r="N4177" s="82" t="s">
        <v>576</v>
      </c>
      <c r="O4177" s="82" t="s">
        <v>41</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1" ht="15.75" customHeight="1">
      <c r="A4178" s="1170" t="str">
        <f>IF(B4178&lt;&gt;"",IF(AND(B4178='IN-TC'!$S$4,OR(TH!N360="1111",TH!O360="1111")),TH!D360,""),"")</f>
        <v/>
      </c>
      <c r="B4178" s="63">
        <f t="shared" si="269"/>
        <v>12</v>
      </c>
      <c r="C4178" s="90">
        <v>42711</v>
      </c>
      <c r="D4178" s="1087" t="s">
        <v>2314</v>
      </c>
      <c r="E4178" s="90">
        <v>42711</v>
      </c>
      <c r="F4178" s="91" t="s">
        <v>455</v>
      </c>
      <c r="G4178" s="1089" t="s">
        <v>2463</v>
      </c>
      <c r="H4178" s="937" t="s">
        <v>1887</v>
      </c>
      <c r="I4178" s="414">
        <v>105404</v>
      </c>
      <c r="J4178" s="1132">
        <v>2.68</v>
      </c>
      <c r="K4178" s="405">
        <f>I4178*J4178</f>
        <v>282482.72000000003</v>
      </c>
      <c r="L4178" s="414">
        <v>22650</v>
      </c>
      <c r="M4178" s="1133">
        <f>ROUND(K4178*L4178,0)</f>
        <v>6398233608</v>
      </c>
      <c r="N4178" s="1134" t="s">
        <v>576</v>
      </c>
      <c r="O4178" s="1134" t="s">
        <v>292</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row>
    <row r="4179" spans="1:31" ht="15.75" customHeight="1">
      <c r="A4179" s="323" t="str">
        <f>IF(B4179&lt;&gt;"",IF(AND(B4179='IN-TC'!$S$4,OR(TH!N4271="1111",TH!O4271="1111")),TH!D4271,""),"")</f>
        <v/>
      </c>
      <c r="B4179" s="63">
        <f t="shared" si="269"/>
        <v>11</v>
      </c>
      <c r="C4179" s="64">
        <v>42696</v>
      </c>
      <c r="D4179" s="64" t="s">
        <v>690</v>
      </c>
      <c r="E4179" s="64">
        <f t="shared" ref="E4179:E4215" si="270">C4179</f>
        <v>42696</v>
      </c>
      <c r="F4179" s="72" t="s">
        <v>2462</v>
      </c>
      <c r="G4179" s="67" t="s">
        <v>1544</v>
      </c>
      <c r="H4179" s="72" t="s">
        <v>1780</v>
      </c>
      <c r="I4179" s="408"/>
      <c r="J4179" s="408"/>
      <c r="K4179" s="399">
        <v>100</v>
      </c>
      <c r="L4179" s="408">
        <v>22600</v>
      </c>
      <c r="M4179" s="65">
        <f>ROUND(K4179*L4179,0)</f>
        <v>2260000</v>
      </c>
      <c r="N4179" s="66" t="s">
        <v>99</v>
      </c>
      <c r="O4179" s="66" t="s">
        <v>260</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v>1</v>
      </c>
    </row>
    <row r="4180" spans="1:31" ht="15.75" customHeight="1">
      <c r="A4180" s="323" t="str">
        <f>IF(B4180&lt;&gt;"",IF(AND(B4180='IN-TC'!$S$4,OR(TH!N4272="1111",TH!O4272="1111")),TH!D4272,""),"")</f>
        <v/>
      </c>
      <c r="B4180" s="63">
        <f t="shared" si="269"/>
        <v>11</v>
      </c>
      <c r="C4180" s="64">
        <v>42696</v>
      </c>
      <c r="D4180" s="64" t="s">
        <v>690</v>
      </c>
      <c r="E4180" s="64">
        <f t="shared" si="270"/>
        <v>42696</v>
      </c>
      <c r="F4180" s="72" t="s">
        <v>2476</v>
      </c>
      <c r="G4180" s="67" t="s">
        <v>1544</v>
      </c>
      <c r="H4180" s="72" t="s">
        <v>1780</v>
      </c>
      <c r="I4180" s="408"/>
      <c r="J4180" s="408"/>
      <c r="K4180" s="399">
        <v>10</v>
      </c>
      <c r="L4180" s="408">
        <v>22600</v>
      </c>
      <c r="M4180" s="65">
        <f>ROUND(K4180*L4180,0)</f>
        <v>226000</v>
      </c>
      <c r="N4180" s="66" t="s">
        <v>9</v>
      </c>
      <c r="O4180" s="66" t="s">
        <v>260</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x</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E4180">
        <v>1</v>
      </c>
    </row>
    <row r="4181" spans="1:31" ht="15.75" customHeight="1">
      <c r="A4181" s="323" t="str">
        <f>IF(B4181&lt;&gt;"",IF(AND(B4181='IN-TC'!$S$4,OR(TH!N4273="1111",TH!O4273="1111")),TH!D4273,""),"")</f>
        <v/>
      </c>
      <c r="B4181" s="63">
        <f t="shared" si="269"/>
        <v>11</v>
      </c>
      <c r="C4181" s="64">
        <v>42696</v>
      </c>
      <c r="D4181" s="64" t="s">
        <v>690</v>
      </c>
      <c r="E4181" s="64">
        <f t="shared" si="270"/>
        <v>42696</v>
      </c>
      <c r="F4181" s="72" t="s">
        <v>1767</v>
      </c>
      <c r="G4181" s="67" t="s">
        <v>1544</v>
      </c>
      <c r="H4181" s="72" t="s">
        <v>1780</v>
      </c>
      <c r="I4181" s="408"/>
      <c r="J4181" s="408"/>
      <c r="K4181" s="399">
        <v>387.5</v>
      </c>
      <c r="L4181" s="408">
        <v>22600</v>
      </c>
      <c r="M4181" s="65">
        <f t="shared" ref="M4181:M4191" si="271">K4181*L4181</f>
        <v>8757500</v>
      </c>
      <c r="N4181" s="66" t="s">
        <v>97</v>
      </c>
      <c r="O4181" s="66" t="s">
        <v>260</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row>
    <row r="4182" spans="1:31" ht="15.75" customHeight="1">
      <c r="A4182" s="323" t="str">
        <f>IF(B4182&lt;&gt;"",IF(AND(B4182='IN-TC'!$S$4,OR(TH!N4274="1111",TH!O4274="1111")),TH!D4274,""),"")</f>
        <v/>
      </c>
      <c r="B4182" s="63">
        <f t="shared" si="269"/>
        <v>11</v>
      </c>
      <c r="C4182" s="64">
        <v>42696</v>
      </c>
      <c r="D4182" s="64" t="s">
        <v>690</v>
      </c>
      <c r="E4182" s="64">
        <f t="shared" si="270"/>
        <v>42696</v>
      </c>
      <c r="F4182" s="72" t="s">
        <v>1767</v>
      </c>
      <c r="G4182" s="67" t="s">
        <v>1544</v>
      </c>
      <c r="H4182" s="72" t="s">
        <v>1780</v>
      </c>
      <c r="I4182" s="408"/>
      <c r="J4182" s="408"/>
      <c r="K4182" s="399">
        <v>231.21</v>
      </c>
      <c r="L4182" s="408">
        <v>22600</v>
      </c>
      <c r="M4182" s="65">
        <f t="shared" si="271"/>
        <v>5225346</v>
      </c>
      <c r="N4182" s="66" t="s">
        <v>97</v>
      </c>
      <c r="O4182" s="66" t="s">
        <v>260</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1" ht="15.75" customHeight="1">
      <c r="A4183" s="323" t="str">
        <f>IF(B4183&lt;&gt;"",IF(AND(B4183='IN-TC'!$S$4,OR(TH!N4275="1111",TH!O4275="1111")),TH!D4275,""),"")</f>
        <v/>
      </c>
      <c r="B4183" s="63">
        <f t="shared" si="269"/>
        <v>11</v>
      </c>
      <c r="C4183" s="64">
        <v>42696</v>
      </c>
      <c r="D4183" s="64" t="s">
        <v>690</v>
      </c>
      <c r="E4183" s="64">
        <f t="shared" si="270"/>
        <v>42696</v>
      </c>
      <c r="F4183" s="72" t="s">
        <v>1767</v>
      </c>
      <c r="G4183" s="67" t="s">
        <v>1544</v>
      </c>
      <c r="H4183" s="72" t="s">
        <v>1780</v>
      </c>
      <c r="I4183" s="408"/>
      <c r="J4183" s="408"/>
      <c r="K4183" s="399">
        <v>229.91</v>
      </c>
      <c r="L4183" s="408">
        <v>22600</v>
      </c>
      <c r="M4183" s="65">
        <f t="shared" si="271"/>
        <v>5195966</v>
      </c>
      <c r="N4183" s="66" t="s">
        <v>97</v>
      </c>
      <c r="O4183" s="66" t="s">
        <v>260</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1" ht="15.75" customHeight="1">
      <c r="A4184" s="323" t="str">
        <f>IF(B4184&lt;&gt;"",IF(AND(B4184='IN-TC'!$S$4,OR(TH!N4276="1111",TH!O4276="1111")),TH!D4276,""),"")</f>
        <v/>
      </c>
      <c r="B4184" s="63">
        <f t="shared" si="269"/>
        <v>11</v>
      </c>
      <c r="C4184" s="64">
        <v>42696</v>
      </c>
      <c r="D4184" s="64" t="s">
        <v>690</v>
      </c>
      <c r="E4184" s="64">
        <f t="shared" si="270"/>
        <v>42696</v>
      </c>
      <c r="F4184" s="72" t="s">
        <v>1767</v>
      </c>
      <c r="G4184" s="67" t="s">
        <v>1544</v>
      </c>
      <c r="H4184" s="72" t="s">
        <v>1780</v>
      </c>
      <c r="I4184" s="408"/>
      <c r="J4184" s="408"/>
      <c r="K4184" s="399">
        <v>231.21</v>
      </c>
      <c r="L4184" s="408">
        <v>22600</v>
      </c>
      <c r="M4184" s="65">
        <f t="shared" si="271"/>
        <v>5225346</v>
      </c>
      <c r="N4184" s="66" t="s">
        <v>97</v>
      </c>
      <c r="O4184" s="66" t="s">
        <v>260</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row>
    <row r="4185" spans="1:31" ht="15.75" customHeight="1">
      <c r="A4185" s="323" t="str">
        <f>IF(B4185&lt;&gt;"",IF(AND(B4185='IN-TC'!$S$4,OR(TH!N4277="1111",TH!O4277="1111")),TH!D4277,""),"")</f>
        <v/>
      </c>
      <c r="B4185" s="63">
        <f t="shared" si="269"/>
        <v>11</v>
      </c>
      <c r="C4185" s="64">
        <v>42696</v>
      </c>
      <c r="D4185" s="64" t="s">
        <v>690</v>
      </c>
      <c r="E4185" s="64">
        <f t="shared" si="270"/>
        <v>42696</v>
      </c>
      <c r="F4185" s="72" t="s">
        <v>1767</v>
      </c>
      <c r="G4185" s="67" t="s">
        <v>1544</v>
      </c>
      <c r="H4185" s="72" t="s">
        <v>1780</v>
      </c>
      <c r="I4185" s="408"/>
      <c r="J4185" s="408"/>
      <c r="K4185" s="399">
        <v>162.75</v>
      </c>
      <c r="L4185" s="408">
        <v>22600</v>
      </c>
      <c r="M4185" s="65">
        <f t="shared" si="271"/>
        <v>3678150</v>
      </c>
      <c r="N4185" s="66" t="s">
        <v>97</v>
      </c>
      <c r="O4185" s="66" t="s">
        <v>260</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1" ht="15.75" customHeight="1">
      <c r="A4186" s="323" t="str">
        <f>IF(B4186&lt;&gt;"",IF(AND(B4186='IN-TC'!$S$4,OR(TH!N4278="1111",TH!O4278="1111")),TH!D4278,""),"")</f>
        <v/>
      </c>
      <c r="B4186" s="63">
        <f t="shared" si="269"/>
        <v>11</v>
      </c>
      <c r="C4186" s="64">
        <v>42696</v>
      </c>
      <c r="D4186" s="64" t="s">
        <v>690</v>
      </c>
      <c r="E4186" s="64">
        <f t="shared" si="270"/>
        <v>42696</v>
      </c>
      <c r="F4186" s="72" t="s">
        <v>1767</v>
      </c>
      <c r="G4186" s="67" t="s">
        <v>1544</v>
      </c>
      <c r="H4186" s="72" t="s">
        <v>1780</v>
      </c>
      <c r="I4186" s="408"/>
      <c r="J4186" s="408"/>
      <c r="K4186" s="399">
        <v>61.23</v>
      </c>
      <c r="L4186" s="408">
        <v>22600</v>
      </c>
      <c r="M4186" s="65">
        <f t="shared" si="271"/>
        <v>1383798</v>
      </c>
      <c r="N4186" s="66" t="s">
        <v>97</v>
      </c>
      <c r="O4186" s="66" t="s">
        <v>260</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customHeight="1">
      <c r="A4187" s="323" t="str">
        <f>IF(B4187&lt;&gt;"",IF(AND(B4187='IN-TC'!$S$4,OR(TH!N4279="1111",TH!O4279="1111")),TH!D4279,""),"")</f>
        <v/>
      </c>
      <c r="B4187" s="63">
        <f t="shared" si="269"/>
        <v>11</v>
      </c>
      <c r="C4187" s="64">
        <v>42696</v>
      </c>
      <c r="D4187" s="64" t="s">
        <v>690</v>
      </c>
      <c r="E4187" s="64">
        <f t="shared" si="270"/>
        <v>42696</v>
      </c>
      <c r="F4187" s="72" t="s">
        <v>1767</v>
      </c>
      <c r="G4187" s="67" t="s">
        <v>1544</v>
      </c>
      <c r="H4187" s="72" t="s">
        <v>1780</v>
      </c>
      <c r="I4187" s="408"/>
      <c r="J4187" s="408"/>
      <c r="K4187" s="399">
        <v>51.92</v>
      </c>
      <c r="L4187" s="408">
        <v>22600</v>
      </c>
      <c r="M4187" s="65">
        <f t="shared" si="271"/>
        <v>1173392</v>
      </c>
      <c r="N4187" s="66" t="s">
        <v>97</v>
      </c>
      <c r="O4187" s="66" t="s">
        <v>260</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customHeight="1">
      <c r="A4188" s="323" t="str">
        <f>IF(B4188&lt;&gt;"",IF(AND(B4188='IN-TC'!$S$4,OR(TH!N4280="1111",TH!O4280="1111")),TH!D4280,""),"")</f>
        <v/>
      </c>
      <c r="B4188" s="63">
        <f t="shared" si="269"/>
        <v>11</v>
      </c>
      <c r="C4188" s="64">
        <v>42696</v>
      </c>
      <c r="D4188" s="64" t="s">
        <v>690</v>
      </c>
      <c r="E4188" s="64">
        <f t="shared" si="270"/>
        <v>42696</v>
      </c>
      <c r="F4188" s="72" t="s">
        <v>1767</v>
      </c>
      <c r="G4188" s="67" t="s">
        <v>1544</v>
      </c>
      <c r="H4188" s="72" t="s">
        <v>1780</v>
      </c>
      <c r="I4188" s="408"/>
      <c r="J4188" s="408"/>
      <c r="K4188" s="399">
        <v>82</v>
      </c>
      <c r="L4188" s="408">
        <v>22600</v>
      </c>
      <c r="M4188" s="65">
        <f t="shared" si="271"/>
        <v>1853200</v>
      </c>
      <c r="N4188" s="66" t="s">
        <v>97</v>
      </c>
      <c r="O4188" s="66" t="s">
        <v>260</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customHeight="1">
      <c r="A4189" s="323" t="str">
        <f>IF(B4189&lt;&gt;"",IF(AND(B4189='IN-TC'!$S$4,OR(TH!N4281="1111",TH!O4281="1111")),TH!D4281,""),"")</f>
        <v/>
      </c>
      <c r="B4189" s="63">
        <f t="shared" si="269"/>
        <v>11</v>
      </c>
      <c r="C4189" s="64">
        <v>42696</v>
      </c>
      <c r="D4189" s="64" t="s">
        <v>690</v>
      </c>
      <c r="E4189" s="64">
        <f t="shared" si="270"/>
        <v>42696</v>
      </c>
      <c r="F4189" s="72" t="s">
        <v>1767</v>
      </c>
      <c r="G4189" s="67" t="s">
        <v>1544</v>
      </c>
      <c r="H4189" s="72" t="s">
        <v>1780</v>
      </c>
      <c r="I4189" s="408"/>
      <c r="J4189" s="408"/>
      <c r="K4189" s="399">
        <v>248</v>
      </c>
      <c r="L4189" s="408">
        <v>22600</v>
      </c>
      <c r="M4189" s="65">
        <f t="shared" si="271"/>
        <v>5604800</v>
      </c>
      <c r="N4189" s="66" t="s">
        <v>97</v>
      </c>
      <c r="O4189" s="66" t="s">
        <v>260</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customHeight="1">
      <c r="A4190" s="323" t="str">
        <f>IF(B4190&lt;&gt;"",IF(AND(B4190='IN-TC'!$S$4,OR(TH!N4282="1111",TH!O4282="1111")),TH!D4282,""),"")</f>
        <v/>
      </c>
      <c r="B4190" s="63">
        <f t="shared" si="269"/>
        <v>11</v>
      </c>
      <c r="C4190" s="64">
        <v>42696</v>
      </c>
      <c r="D4190" s="64" t="s">
        <v>690</v>
      </c>
      <c r="E4190" s="64">
        <f t="shared" si="270"/>
        <v>42696</v>
      </c>
      <c r="F4190" s="72" t="s">
        <v>1767</v>
      </c>
      <c r="G4190" s="67" t="s">
        <v>1544</v>
      </c>
      <c r="H4190" s="72" t="s">
        <v>1780</v>
      </c>
      <c r="I4190" s="408"/>
      <c r="J4190" s="408"/>
      <c r="K4190" s="399">
        <v>227.33</v>
      </c>
      <c r="L4190" s="408">
        <v>22600</v>
      </c>
      <c r="M4190" s="65">
        <f t="shared" si="271"/>
        <v>5137658</v>
      </c>
      <c r="N4190" s="66" t="s">
        <v>97</v>
      </c>
      <c r="O4190" s="66" t="s">
        <v>260</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customHeight="1">
      <c r="A4191" s="323" t="str">
        <f>IF(B4191&lt;&gt;"",IF(AND(B4191='IN-TC'!$S$4,OR(TH!N4283="1111",TH!O4283="1111")),TH!D4283,""),"")</f>
        <v/>
      </c>
      <c r="B4191" s="63">
        <f t="shared" si="269"/>
        <v>11</v>
      </c>
      <c r="C4191" s="64">
        <v>42696</v>
      </c>
      <c r="D4191" s="64" t="s">
        <v>690</v>
      </c>
      <c r="E4191" s="64">
        <f t="shared" si="270"/>
        <v>42696</v>
      </c>
      <c r="F4191" s="72" t="s">
        <v>1767</v>
      </c>
      <c r="G4191" s="67" t="s">
        <v>1544</v>
      </c>
      <c r="H4191" s="72" t="s">
        <v>1780</v>
      </c>
      <c r="I4191" s="408"/>
      <c r="J4191" s="408"/>
      <c r="K4191" s="399">
        <v>248</v>
      </c>
      <c r="L4191" s="408">
        <v>22600</v>
      </c>
      <c r="M4191" s="65">
        <f t="shared" si="271"/>
        <v>5604800</v>
      </c>
      <c r="N4191" s="66" t="s">
        <v>97</v>
      </c>
      <c r="O4191" s="66" t="s">
        <v>260</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customHeight="1">
      <c r="A4192" s="323" t="str">
        <f>IF(B4192&lt;&gt;"",IF(AND(B4192='IN-TC'!$S$4,OR(TH!N4100="1111",TH!O4100="1111")),TH!D4100,""),"")</f>
        <v/>
      </c>
      <c r="B4192" s="63">
        <f t="shared" si="269"/>
        <v>11</v>
      </c>
      <c r="C4192" s="64">
        <v>42697</v>
      </c>
      <c r="D4192" s="64" t="s">
        <v>950</v>
      </c>
      <c r="E4192" s="64">
        <f t="shared" si="270"/>
        <v>42697</v>
      </c>
      <c r="F4192" s="72" t="s">
        <v>2431</v>
      </c>
      <c r="G4192" s="931" t="s">
        <v>2432</v>
      </c>
      <c r="H4192" s="72" t="s">
        <v>2076</v>
      </c>
      <c r="I4192" s="408"/>
      <c r="J4192" s="408"/>
      <c r="K4192" s="399"/>
      <c r="L4192" s="408"/>
      <c r="M4192" s="65">
        <v>2269000</v>
      </c>
      <c r="N4192" s="66" t="s">
        <v>579</v>
      </c>
      <c r="O4192" s="66" t="s">
        <v>61</v>
      </c>
      <c r="P4192" s="82" t="str">
        <f>IF(AND('331-CT'!$E$7=TH!H4192,OR(N4192="331",O4192="331")),"x","")</f>
        <v/>
      </c>
      <c r="Q4192" s="82" t="str">
        <f>IF(AND(B4192='111'!$L$11,OR($N4192=$Q$7,$O4192=$Q$7)),"x","")</f>
        <v/>
      </c>
      <c r="R4192" s="82" t="str">
        <f>IF(AND($N4192=$Q$7,$B4192&lt;'111'!$L$11),"x","")</f>
        <v/>
      </c>
      <c r="S4192" s="82" t="str">
        <f>IF(AND($O4192=$Q$7,$B4192&lt;'111'!$L$11),"x","")</f>
        <v>x</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customHeight="1">
      <c r="A4193" s="323" t="str">
        <f>IF(B4193&lt;&gt;"",IF(AND(B4193='IN-TC'!$S$4,OR(TH!N4101="1111",TH!O4101="1111")),TH!D4101,""),"")</f>
        <v/>
      </c>
      <c r="B4193" s="63">
        <f t="shared" si="269"/>
        <v>11</v>
      </c>
      <c r="C4193" s="64">
        <v>42697</v>
      </c>
      <c r="D4193" s="64" t="s">
        <v>951</v>
      </c>
      <c r="E4193" s="64">
        <f t="shared" si="270"/>
        <v>42697</v>
      </c>
      <c r="F4193" s="72" t="s">
        <v>1584</v>
      </c>
      <c r="G4193" s="931" t="s">
        <v>2433</v>
      </c>
      <c r="H4193" s="72" t="s">
        <v>1571</v>
      </c>
      <c r="I4193" s="408"/>
      <c r="J4193" s="408"/>
      <c r="K4193" s="399"/>
      <c r="L4193" s="408"/>
      <c r="M4193" s="65">
        <v>59236</v>
      </c>
      <c r="N4193" s="66" t="s">
        <v>579</v>
      </c>
      <c r="O4193" s="66" t="s">
        <v>61</v>
      </c>
      <c r="P4193" s="82" t="str">
        <f>IF(AND('331-CT'!$E$7=TH!H4193,OR(N4193="331",O4193="331")),"x","")</f>
        <v/>
      </c>
      <c r="Q4193" s="82" t="str">
        <f>IF(AND(B4193='111'!$L$11,OR($N4193=$Q$7,$O4193=$Q$7)),"x","")</f>
        <v/>
      </c>
      <c r="R4193" s="82" t="str">
        <f>IF(AND($N4193=$Q$7,$B4193&lt;'111'!$L$11),"x","")</f>
        <v/>
      </c>
      <c r="S4193" s="82" t="str">
        <f>IF(AND($O4193=$Q$7,$B4193&lt;'111'!$L$11),"x","")</f>
        <v>x</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E4193">
        <v>1</v>
      </c>
    </row>
    <row r="4194" spans="1:31" ht="15.75" customHeight="1">
      <c r="A4194" s="323" t="str">
        <f>IF(B4194&lt;&gt;"",IF(AND(B4194='IN-TC'!$S$4,OR(TH!N4102="1111",TH!O4102="1111")),TH!D4102,""),"")</f>
        <v/>
      </c>
      <c r="B4194" s="63">
        <f t="shared" si="269"/>
        <v>11</v>
      </c>
      <c r="C4194" s="64">
        <v>42697</v>
      </c>
      <c r="D4194" s="64" t="s">
        <v>951</v>
      </c>
      <c r="E4194" s="64">
        <f t="shared" si="270"/>
        <v>42697</v>
      </c>
      <c r="F4194" s="72" t="s">
        <v>1585</v>
      </c>
      <c r="G4194" s="931" t="s">
        <v>2433</v>
      </c>
      <c r="H4194" s="72" t="s">
        <v>1571</v>
      </c>
      <c r="I4194" s="408"/>
      <c r="J4194" s="408"/>
      <c r="K4194" s="399"/>
      <c r="L4194" s="408"/>
      <c r="M4194" s="65">
        <v>5924</v>
      </c>
      <c r="N4194" s="66" t="s">
        <v>9</v>
      </c>
      <c r="O4194" s="66" t="s">
        <v>61</v>
      </c>
      <c r="P4194" s="82" t="str">
        <f>IF(AND('331-CT'!$E$7=TH!H4194,OR(N4194="331",O4194="331")),"x","")</f>
        <v/>
      </c>
      <c r="Q4194" s="82" t="str">
        <f>IF(AND(B4194='111'!$L$11,OR($N4194=$Q$7,$O4194=$Q$7)),"x","")</f>
        <v/>
      </c>
      <c r="R4194" s="82" t="str">
        <f>IF(AND($N4194=$Q$7,$B4194&lt;'111'!$L$11),"x","")</f>
        <v/>
      </c>
      <c r="S4194" s="82" t="str">
        <f>IF(AND($O4194=$Q$7,$B4194&lt;'111'!$L$11),"x","")</f>
        <v>x</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x</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customHeight="1">
      <c r="A4195" s="323" t="str">
        <f>IF(B4195&lt;&gt;"",IF(AND(B4195='IN-TC'!$S$4,OR(TH!N4103="1111",TH!O4103="1111")),TH!D4103,""),"")</f>
        <v/>
      </c>
      <c r="B4195" s="63">
        <f t="shared" si="269"/>
        <v>11</v>
      </c>
      <c r="C4195" s="64">
        <v>42697</v>
      </c>
      <c r="D4195" s="64" t="s">
        <v>952</v>
      </c>
      <c r="E4195" s="64">
        <f t="shared" si="270"/>
        <v>42697</v>
      </c>
      <c r="F4195" s="72" t="s">
        <v>2434</v>
      </c>
      <c r="G4195" s="931" t="s">
        <v>2436</v>
      </c>
      <c r="H4195" s="72" t="s">
        <v>1590</v>
      </c>
      <c r="I4195" s="408"/>
      <c r="J4195" s="408"/>
      <c r="K4195" s="399"/>
      <c r="L4195" s="408"/>
      <c r="M4195" s="65">
        <v>800000</v>
      </c>
      <c r="N4195" s="66" t="s">
        <v>579</v>
      </c>
      <c r="O4195" s="66" t="s">
        <v>61</v>
      </c>
      <c r="P4195" s="82" t="str">
        <f>IF(AND('331-CT'!$E$7=TH!H4195,OR(N4195="331",O4195="331")),"x","")</f>
        <v/>
      </c>
      <c r="Q4195" s="82" t="str">
        <f>IF(AND(B4195='111'!$L$11,OR($N4195=$Q$7,$O4195=$Q$7)),"x","")</f>
        <v/>
      </c>
      <c r="R4195" s="82" t="str">
        <f>IF(AND($N4195=$Q$7,$B4195&lt;'111'!$L$11),"x","")</f>
        <v/>
      </c>
      <c r="S4195" s="82" t="str">
        <f>IF(AND($O4195=$Q$7,$B4195&lt;'111'!$L$11),"x","")</f>
        <v>x</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customHeight="1">
      <c r="A4196" s="323" t="str">
        <f>IF(B4196&lt;&gt;"",IF(AND(B4196='IN-TC'!$S$4,OR(TH!N4104="1111",TH!O4104="1111")),TH!D4104,""),"")</f>
        <v/>
      </c>
      <c r="B4196" s="63">
        <f t="shared" si="269"/>
        <v>11</v>
      </c>
      <c r="C4196" s="64">
        <v>42697</v>
      </c>
      <c r="D4196" s="64" t="s">
        <v>952</v>
      </c>
      <c r="E4196" s="64">
        <f t="shared" si="270"/>
        <v>42697</v>
      </c>
      <c r="F4196" s="72" t="s">
        <v>2435</v>
      </c>
      <c r="G4196" s="931" t="s">
        <v>2436</v>
      </c>
      <c r="H4196" s="72" t="s">
        <v>1590</v>
      </c>
      <c r="I4196" s="408"/>
      <c r="J4196" s="408"/>
      <c r="K4196" s="399"/>
      <c r="L4196" s="408"/>
      <c r="M4196" s="65">
        <v>80000</v>
      </c>
      <c r="N4196" s="66" t="s">
        <v>9</v>
      </c>
      <c r="O4196" s="66" t="s">
        <v>61</v>
      </c>
      <c r="P4196" s="82" t="str">
        <f>IF(AND('331-CT'!$E$7=TH!H4196,OR(N4196="331",O4196="331")),"x","")</f>
        <v/>
      </c>
      <c r="Q4196" s="82" t="str">
        <f>IF(AND(B4196='111'!$L$11,OR($N4196=$Q$7,$O4196=$Q$7)),"x","")</f>
        <v/>
      </c>
      <c r="R4196" s="82" t="str">
        <f>IF(AND($N4196=$Q$7,$B4196&lt;'111'!$L$11),"x","")</f>
        <v/>
      </c>
      <c r="S4196" s="82" t="str">
        <f>IF(AND($O4196=$Q$7,$B4196&lt;'111'!$L$11),"x","")</f>
        <v>x</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x</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customHeight="1">
      <c r="A4197" s="1160" t="str">
        <f>IF(B4197&lt;&gt;"",IF(AND(B4197='IN-TC'!$S$4,OR(TH!N1056="1111",TH!O1056="1111")),TH!D1056,""),"")</f>
        <v/>
      </c>
      <c r="B4197" s="948">
        <f t="shared" si="269"/>
        <v>12</v>
      </c>
      <c r="C4197" s="78">
        <v>42725</v>
      </c>
      <c r="D4197" s="78" t="s">
        <v>2770</v>
      </c>
      <c r="E4197" s="78">
        <f t="shared" si="270"/>
        <v>42725</v>
      </c>
      <c r="F4197" s="80" t="s">
        <v>2495</v>
      </c>
      <c r="G4197" s="934" t="s">
        <v>2455</v>
      </c>
      <c r="H4197" s="310" t="s">
        <v>2511</v>
      </c>
      <c r="I4197" s="406">
        <v>2400</v>
      </c>
      <c r="J4197" s="406">
        <v>7500</v>
      </c>
      <c r="K4197" s="397"/>
      <c r="L4197" s="406"/>
      <c r="M4197" s="81">
        <f>ROUND(I4197*J4197,0)</f>
        <v>18000000</v>
      </c>
      <c r="N4197" s="82" t="s">
        <v>270</v>
      </c>
      <c r="O4197" s="82" t="s">
        <v>8</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x</v>
      </c>
      <c r="AC4197" s="82" t="str">
        <f>IF(AND(OR(LEFT(TH!N4197,2)="15",LEFT(TH!O4197,2)="15"),TK!$E$7=TH!F4197),"x","")</f>
        <v/>
      </c>
      <c r="AD4197" s="82" t="str">
        <f>IF(AND(N4197="1521",MONTH(C4197)='BK-NL'!$M$11),"x","")</f>
        <v/>
      </c>
      <c r="AE4197">
        <v>1</v>
      </c>
    </row>
    <row r="4198" spans="1:31" ht="15.75" customHeight="1">
      <c r="A4198" s="323" t="str">
        <f>IF(B4198&lt;&gt;"",IF(AND(B4198='IN-TC'!$S$4,OR(TH!N4106="1111",TH!O4106="1111")),TH!D4106,""),"")</f>
        <v/>
      </c>
      <c r="B4198" s="63">
        <f t="shared" si="269"/>
        <v>11</v>
      </c>
      <c r="C4198" s="1092">
        <v>42697</v>
      </c>
      <c r="D4198" s="1092" t="s">
        <v>1368</v>
      </c>
      <c r="E4198" s="1092">
        <f t="shared" si="270"/>
        <v>42697</v>
      </c>
      <c r="F4198" s="482" t="s">
        <v>947</v>
      </c>
      <c r="G4198" s="1094"/>
      <c r="H4198" s="937" t="s">
        <v>3001</v>
      </c>
      <c r="I4198" s="1095"/>
      <c r="J4198" s="1095"/>
      <c r="K4198" s="1096"/>
      <c r="L4198" s="1095"/>
      <c r="M4198" s="1097">
        <v>850000000</v>
      </c>
      <c r="N4198" s="1098" t="s">
        <v>266</v>
      </c>
      <c r="O4198" s="1098" t="s">
        <v>61</v>
      </c>
      <c r="P4198" s="82" t="str">
        <f>IF(AND('331-CT'!$E$7=TH!H4198,OR(N4198="331",O4198="331")),"x","")</f>
        <v/>
      </c>
      <c r="Q4198" s="82" t="str">
        <f>IF(AND(B4198='111'!$L$11,OR($N4198=$Q$7,$O4198=$Q$7)),"x","")</f>
        <v/>
      </c>
      <c r="R4198" s="82" t="str">
        <f>IF(AND($N4198=$Q$7,$B4198&lt;'111'!$L$11),"x","")</f>
        <v/>
      </c>
      <c r="S4198" s="82" t="str">
        <f>IF(AND($O4198=$Q$7,$B4198&lt;'111'!$L$11),"x","")</f>
        <v>x</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customHeight="1">
      <c r="A4199" s="323" t="str">
        <f>IF(B4199&lt;&gt;"",IF(AND(B4199='IN-TC'!$S$4,OR(TH!N4158="1111",TH!O4158="1111")),TH!D4158,""),"")</f>
        <v/>
      </c>
      <c r="B4199" s="63">
        <f t="shared" si="269"/>
        <v>11</v>
      </c>
      <c r="C4199" s="64">
        <v>42697</v>
      </c>
      <c r="D4199" s="64" t="s">
        <v>687</v>
      </c>
      <c r="E4199" s="64">
        <f t="shared" si="270"/>
        <v>42697</v>
      </c>
      <c r="F4199" s="72" t="s">
        <v>1436</v>
      </c>
      <c r="G4199" s="67" t="s">
        <v>901</v>
      </c>
      <c r="H4199" s="72" t="s">
        <v>2181</v>
      </c>
      <c r="I4199" s="408"/>
      <c r="J4199" s="408"/>
      <c r="K4199" s="399">
        <v>4568.6099999999997</v>
      </c>
      <c r="L4199" s="408">
        <v>22610</v>
      </c>
      <c r="M4199" s="65">
        <f t="shared" ref="M4199:M4207" si="272">ROUND(K4199*L4199,0)</f>
        <v>103296272</v>
      </c>
      <c r="N4199" s="66" t="s">
        <v>260</v>
      </c>
      <c r="O4199" s="66" t="s">
        <v>576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customHeight="1">
      <c r="A4200" s="323" t="str">
        <f>IF(B4200&lt;&gt;"",IF(AND(B4200='IN-TC'!$S$4,OR(TH!N4159="1111",TH!O4159="1111")),TH!D4159,""),"")</f>
        <v/>
      </c>
      <c r="B4200" s="63">
        <f t="shared" si="269"/>
        <v>11</v>
      </c>
      <c r="C4200" s="64">
        <v>42697</v>
      </c>
      <c r="D4200" s="64" t="s">
        <v>570</v>
      </c>
      <c r="E4200" s="64">
        <f t="shared" si="270"/>
        <v>42697</v>
      </c>
      <c r="F4200" s="72" t="s">
        <v>1045</v>
      </c>
      <c r="G4200" s="67" t="s">
        <v>901</v>
      </c>
      <c r="H4200" s="72" t="s">
        <v>2181</v>
      </c>
      <c r="I4200" s="408"/>
      <c r="J4200" s="408"/>
      <c r="K4200" s="399">
        <v>127.5</v>
      </c>
      <c r="L4200" s="408">
        <v>22610</v>
      </c>
      <c r="M4200" s="65">
        <f t="shared" si="272"/>
        <v>2882775</v>
      </c>
      <c r="N4200" s="66" t="s">
        <v>99</v>
      </c>
      <c r="O4200" s="66" t="s">
        <v>576</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c r="AE4200">
        <v>1</v>
      </c>
    </row>
    <row r="4201" spans="1:31" ht="15.75" customHeight="1">
      <c r="A4201" s="323" t="str">
        <f>IF(B4201&lt;&gt;"",IF(AND(B4201='IN-TC'!$S$4,OR(TH!N4160="1111",TH!O4160="1111")),TH!D4160,""),"")</f>
        <v/>
      </c>
      <c r="B4201" s="63">
        <f t="shared" si="269"/>
        <v>11</v>
      </c>
      <c r="C4201" s="64">
        <v>42697</v>
      </c>
      <c r="D4201" s="64" t="s">
        <v>570</v>
      </c>
      <c r="E4201" s="64">
        <f t="shared" si="270"/>
        <v>42697</v>
      </c>
      <c r="F4201" s="72" t="s">
        <v>1046</v>
      </c>
      <c r="G4201" s="67" t="s">
        <v>901</v>
      </c>
      <c r="H4201" s="72" t="s">
        <v>2181</v>
      </c>
      <c r="I4201" s="408"/>
      <c r="J4201" s="408"/>
      <c r="K4201" s="399">
        <v>12.75</v>
      </c>
      <c r="L4201" s="408">
        <v>22610</v>
      </c>
      <c r="M4201" s="65">
        <f t="shared" si="272"/>
        <v>288278</v>
      </c>
      <c r="N4201" s="66" t="s">
        <v>9</v>
      </c>
      <c r="O4201" s="66" t="s">
        <v>576</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x</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c r="AE4201">
        <v>1</v>
      </c>
    </row>
    <row r="4202" spans="1:31" ht="15.75" customHeight="1">
      <c r="A4202" s="323" t="str">
        <f>IF(B4202&lt;&gt;"",IF(AND(B4202='IN-TC'!$S$4,OR(TH!N4161="1111",TH!O4161="1111")),TH!D4161,""),"")</f>
        <v/>
      </c>
      <c r="B4202" s="63">
        <f t="shared" si="269"/>
        <v>11</v>
      </c>
      <c r="C4202" s="64">
        <v>42697</v>
      </c>
      <c r="D4202" s="64" t="s">
        <v>570</v>
      </c>
      <c r="E4202" s="64">
        <f t="shared" si="270"/>
        <v>42697</v>
      </c>
      <c r="F4202" s="72" t="s">
        <v>599</v>
      </c>
      <c r="G4202" s="67" t="s">
        <v>901</v>
      </c>
      <c r="H4202" s="72" t="s">
        <v>2181</v>
      </c>
      <c r="I4202" s="408"/>
      <c r="J4202" s="408"/>
      <c r="K4202" s="399">
        <v>10</v>
      </c>
      <c r="L4202" s="408">
        <v>22610</v>
      </c>
      <c r="M4202" s="65">
        <f t="shared" si="272"/>
        <v>226100</v>
      </c>
      <c r="N4202" s="66" t="s">
        <v>99</v>
      </c>
      <c r="O4202" s="66" t="s">
        <v>576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E4202">
        <v>1</v>
      </c>
    </row>
    <row r="4203" spans="1:31" ht="15.75" customHeight="1">
      <c r="A4203" s="323" t="str">
        <f>IF(B4203&lt;&gt;"",IF(AND(B4203='IN-TC'!$S$4,OR(TH!N4162="1111",TH!O4162="1111")),TH!D4162,""),"")</f>
        <v/>
      </c>
      <c r="B4203" s="63">
        <f t="shared" si="269"/>
        <v>11</v>
      </c>
      <c r="C4203" s="64">
        <v>42697</v>
      </c>
      <c r="D4203" s="64" t="s">
        <v>570</v>
      </c>
      <c r="E4203" s="64">
        <f t="shared" si="270"/>
        <v>42697</v>
      </c>
      <c r="F4203" s="72" t="s">
        <v>1174</v>
      </c>
      <c r="G4203" s="67" t="s">
        <v>901</v>
      </c>
      <c r="H4203" s="72" t="s">
        <v>2181</v>
      </c>
      <c r="I4203" s="408"/>
      <c r="J4203" s="408"/>
      <c r="K4203" s="399">
        <v>1</v>
      </c>
      <c r="L4203" s="408">
        <v>22610</v>
      </c>
      <c r="M4203" s="65">
        <f t="shared" si="272"/>
        <v>22610</v>
      </c>
      <c r="N4203" s="66" t="s">
        <v>9</v>
      </c>
      <c r="O4203" s="66" t="s">
        <v>576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x</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customHeight="1">
      <c r="A4204" s="323" t="str">
        <f>IF(B4204&lt;&gt;"",IF(AND(B4204='IN-TC'!$S$4,OR(TH!N4163="1111",TH!O4163="1111")),TH!D4163,""),"")</f>
        <v/>
      </c>
      <c r="B4204" s="63">
        <f t="shared" si="269"/>
        <v>11</v>
      </c>
      <c r="C4204" s="64">
        <v>42697</v>
      </c>
      <c r="D4204" s="64" t="s">
        <v>570</v>
      </c>
      <c r="E4204" s="64">
        <f t="shared" si="270"/>
        <v>42697</v>
      </c>
      <c r="F4204" s="72" t="s">
        <v>1047</v>
      </c>
      <c r="G4204" s="67" t="s">
        <v>901</v>
      </c>
      <c r="H4204" s="72" t="s">
        <v>2181</v>
      </c>
      <c r="I4204" s="408"/>
      <c r="J4204" s="408"/>
      <c r="K4204" s="399">
        <v>80</v>
      </c>
      <c r="L4204" s="408">
        <v>22610</v>
      </c>
      <c r="M4204" s="65">
        <f t="shared" si="272"/>
        <v>1808800</v>
      </c>
      <c r="N4204" s="66" t="s">
        <v>99</v>
      </c>
      <c r="O4204" s="66" t="s">
        <v>576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1" ht="15.75" customHeight="1">
      <c r="A4205" s="323" t="str">
        <f>IF(B4205&lt;&gt;"",IF(AND(B4205='IN-TC'!$S$4,OR(TH!N4164="1111",TH!O4164="1111")),TH!D4164,""),"")</f>
        <v/>
      </c>
      <c r="B4205" s="63">
        <f t="shared" si="269"/>
        <v>11</v>
      </c>
      <c r="C4205" s="64">
        <v>42697</v>
      </c>
      <c r="D4205" s="64" t="s">
        <v>570</v>
      </c>
      <c r="E4205" s="64">
        <f t="shared" si="270"/>
        <v>42697</v>
      </c>
      <c r="F4205" s="72" t="s">
        <v>1175</v>
      </c>
      <c r="G4205" s="67" t="s">
        <v>901</v>
      </c>
      <c r="H4205" s="72" t="s">
        <v>2181</v>
      </c>
      <c r="I4205" s="408"/>
      <c r="J4205" s="408"/>
      <c r="K4205" s="399">
        <v>29.22</v>
      </c>
      <c r="L4205" s="408">
        <v>22610</v>
      </c>
      <c r="M4205" s="65">
        <f t="shared" si="272"/>
        <v>660664</v>
      </c>
      <c r="N4205" s="66" t="s">
        <v>99</v>
      </c>
      <c r="O4205" s="66" t="s">
        <v>576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c r="AE4205">
        <v>1</v>
      </c>
    </row>
    <row r="4206" spans="1:31" ht="15.75" customHeight="1">
      <c r="A4206" s="323" t="str">
        <f>IF(B4206&lt;&gt;"",IF(AND(B4206='IN-TC'!$S$4,OR(TH!N4165="1111",TH!O4165="1111")),TH!D4165,""),"")</f>
        <v/>
      </c>
      <c r="B4206" s="63">
        <f t="shared" ref="B4206:B4269" si="273">IF(C4206&lt;&gt;"",MONTH(C4206),"")</f>
        <v>11</v>
      </c>
      <c r="C4206" s="64">
        <v>42697</v>
      </c>
      <c r="D4206" s="64" t="s">
        <v>570</v>
      </c>
      <c r="E4206" s="64">
        <f t="shared" si="270"/>
        <v>42697</v>
      </c>
      <c r="F4206" s="72" t="s">
        <v>1176</v>
      </c>
      <c r="G4206" s="67" t="s">
        <v>901</v>
      </c>
      <c r="H4206" s="72" t="s">
        <v>2181</v>
      </c>
      <c r="I4206" s="408"/>
      <c r="J4206" s="408"/>
      <c r="K4206" s="399">
        <v>2.92</v>
      </c>
      <c r="L4206" s="408">
        <v>22610</v>
      </c>
      <c r="M4206" s="65">
        <f t="shared" si="272"/>
        <v>66021</v>
      </c>
      <c r="N4206" s="66" t="s">
        <v>9</v>
      </c>
      <c r="O4206" s="66" t="s">
        <v>576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x</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c r="AE4206">
        <v>1</v>
      </c>
    </row>
    <row r="4207" spans="1:31" ht="15.75" customHeight="1">
      <c r="A4207" s="323" t="str">
        <f>IF(B4207&lt;&gt;"",IF(AND(B4207='IN-TC'!$S$4,OR(TH!N4166="1111",TH!O4166="1111")),TH!D4166,""),"")</f>
        <v/>
      </c>
      <c r="B4207" s="63">
        <f t="shared" si="273"/>
        <v>11</v>
      </c>
      <c r="C4207" s="64">
        <v>42697</v>
      </c>
      <c r="D4207" s="64" t="s">
        <v>570</v>
      </c>
      <c r="E4207" s="64">
        <f t="shared" si="270"/>
        <v>42697</v>
      </c>
      <c r="F4207" s="72" t="s">
        <v>1968</v>
      </c>
      <c r="G4207" s="67" t="s">
        <v>901</v>
      </c>
      <c r="H4207" s="72" t="s">
        <v>2181</v>
      </c>
      <c r="I4207" s="408"/>
      <c r="J4207" s="408"/>
      <c r="K4207" s="399">
        <v>168</v>
      </c>
      <c r="L4207" s="408">
        <v>22610</v>
      </c>
      <c r="M4207" s="65">
        <f t="shared" si="272"/>
        <v>3798480</v>
      </c>
      <c r="N4207" s="66" t="s">
        <v>99</v>
      </c>
      <c r="O4207" s="66" t="s">
        <v>576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customHeight="1">
      <c r="A4208" s="1160" t="str">
        <f>IF(B4208&lt;&gt;"",IF(AND(B4208='IN-TC'!$S$4,OR(TH!N4167="1111",TH!O4167="1111")),TH!D4167,""),"")</f>
        <v/>
      </c>
      <c r="B4208" s="63">
        <f t="shared" si="273"/>
        <v>11</v>
      </c>
      <c r="C4208" s="78">
        <v>42697</v>
      </c>
      <c r="D4208" s="78" t="s">
        <v>570</v>
      </c>
      <c r="E4208" s="78">
        <f t="shared" si="270"/>
        <v>42697</v>
      </c>
      <c r="F4208" s="80" t="s">
        <v>1049</v>
      </c>
      <c r="G4208" s="79" t="s">
        <v>901</v>
      </c>
      <c r="H4208" s="80" t="s">
        <v>2181</v>
      </c>
      <c r="I4208" s="406"/>
      <c r="J4208" s="406"/>
      <c r="K4208" s="397"/>
      <c r="L4208" s="406"/>
      <c r="M4208" s="81">
        <v>5225000</v>
      </c>
      <c r="N4208" s="82" t="s">
        <v>576</v>
      </c>
      <c r="O4208" s="82" t="s">
        <v>41</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1" ht="15.75" customHeight="1">
      <c r="A4209" s="323" t="str">
        <f>IF(B4209&lt;&gt;"",IF(AND(B4209='IN-TC'!$S$4,OR(TH!N4214="1111",TH!O4214="1111")),TH!D4214,""),"")</f>
        <v/>
      </c>
      <c r="B4209" s="63">
        <f t="shared" si="273"/>
        <v>11</v>
      </c>
      <c r="C4209" s="64">
        <v>42697</v>
      </c>
      <c r="D4209" s="64" t="s">
        <v>687</v>
      </c>
      <c r="E4209" s="64">
        <f t="shared" si="270"/>
        <v>42697</v>
      </c>
      <c r="F4209" s="72" t="s">
        <v>1425</v>
      </c>
      <c r="G4209" s="67" t="s">
        <v>1544</v>
      </c>
      <c r="H4209" s="72" t="s">
        <v>1780</v>
      </c>
      <c r="I4209" s="408"/>
      <c r="J4209" s="408"/>
      <c r="K4209" s="399">
        <v>296100</v>
      </c>
      <c r="L4209" s="408">
        <v>22569</v>
      </c>
      <c r="M4209" s="65">
        <f>K4209*L4209</f>
        <v>6682680900</v>
      </c>
      <c r="N4209" s="66" t="s">
        <v>25</v>
      </c>
      <c r="O4209" s="66" t="s">
        <v>260</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x</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1" ht="15.75" customHeight="1">
      <c r="A4210" s="1227" t="str">
        <f>IF(B4210&lt;&gt;"",IF(AND(B4210='IN-TC'!$S$4,OR(TH!N625="1111",TH!O625="1111")),TH!D625,""),"")</f>
        <v/>
      </c>
      <c r="B4210" s="1228">
        <f t="shared" si="273"/>
        <v>12</v>
      </c>
      <c r="C4210" s="1229">
        <v>42728</v>
      </c>
      <c r="D4210" s="1229" t="s">
        <v>2986</v>
      </c>
      <c r="E4210" s="1229">
        <f t="shared" si="270"/>
        <v>42728</v>
      </c>
      <c r="F4210" s="1230" t="s">
        <v>455</v>
      </c>
      <c r="G4210" s="1231" t="s">
        <v>2740</v>
      </c>
      <c r="H4210" s="1232" t="s">
        <v>1198</v>
      </c>
      <c r="I4210" s="1233">
        <v>26390</v>
      </c>
      <c r="J4210" s="1233">
        <v>61000</v>
      </c>
      <c r="K4210" s="1234"/>
      <c r="L4210" s="1233"/>
      <c r="M4210" s="1235">
        <f>ROUND(I4210*J4210,0)</f>
        <v>1609790000</v>
      </c>
      <c r="N4210" s="1236" t="s">
        <v>276</v>
      </c>
      <c r="O4210" s="1236" t="s">
        <v>278</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1" ht="15.75" customHeight="1">
      <c r="A4211" s="323" t="str">
        <f>IF(B4211&lt;&gt;"",IF(AND(B4211='IN-TC'!$S$4,OR(TH!N4216="1111",TH!O4216="1111")),TH!D4216,""),"")</f>
        <v/>
      </c>
      <c r="B4211" s="63">
        <f t="shared" si="273"/>
        <v>11</v>
      </c>
      <c r="C4211" s="64">
        <v>42697</v>
      </c>
      <c r="D4211" s="64" t="s">
        <v>690</v>
      </c>
      <c r="E4211" s="64">
        <f t="shared" si="270"/>
        <v>42697</v>
      </c>
      <c r="F4211" s="72" t="s">
        <v>1156</v>
      </c>
      <c r="G4211" s="67" t="s">
        <v>1544</v>
      </c>
      <c r="H4211" s="72" t="s">
        <v>1780</v>
      </c>
      <c r="I4211" s="408"/>
      <c r="J4211" s="408"/>
      <c r="K4211" s="399"/>
      <c r="L4211" s="408"/>
      <c r="M4211" s="65">
        <v>675000</v>
      </c>
      <c r="N4211" s="66" t="s">
        <v>99</v>
      </c>
      <c r="O4211" s="66" t="s">
        <v>25</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x</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customHeight="1">
      <c r="A4212" s="323" t="str">
        <f>IF(B4212&lt;&gt;"",IF(AND(B4212='IN-TC'!$S$4,OR(TH!N4217="1111",TH!O4217="1111")),TH!D4217,""),"")</f>
        <v/>
      </c>
      <c r="B4212" s="63">
        <f t="shared" si="273"/>
        <v>11</v>
      </c>
      <c r="C4212" s="64">
        <v>42697</v>
      </c>
      <c r="D4212" s="64" t="s">
        <v>690</v>
      </c>
      <c r="E4212" s="64">
        <f t="shared" si="270"/>
        <v>42697</v>
      </c>
      <c r="F4212" s="72" t="s">
        <v>1616</v>
      </c>
      <c r="G4212" s="67" t="s">
        <v>1544</v>
      </c>
      <c r="H4212" s="72" t="s">
        <v>1780</v>
      </c>
      <c r="I4212" s="408"/>
      <c r="J4212" s="408"/>
      <c r="K4212" s="399"/>
      <c r="L4212" s="408"/>
      <c r="M4212" s="65">
        <v>67500</v>
      </c>
      <c r="N4212" s="66" t="s">
        <v>9</v>
      </c>
      <c r="O4212" s="66" t="s">
        <v>25</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x</v>
      </c>
      <c r="W4212" s="82" t="str">
        <f>IF(AND('341-CT'!$H$9=H4212,OR(LEFT(N4212,3)=$W$7,LEFT(O4212,3)=$W$7)),"x","")</f>
        <v/>
      </c>
      <c r="X4212" s="82" t="str">
        <f>IF(OR(TH!N4212=TH!$X$7,O4212=TH!$X$7),"x","")</f>
        <v>x</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E4212">
        <v>1</v>
      </c>
    </row>
    <row r="4213" spans="1:31" ht="15.75" customHeight="1">
      <c r="A4213" s="323" t="str">
        <f>IF(B4213&lt;&gt;"",IF(AND(B4213='IN-TC'!$S$4,OR(TH!N596="1111",TH!O596="1111")),TH!D596,""),"")</f>
        <v/>
      </c>
      <c r="B4213" s="63">
        <f t="shared" si="273"/>
        <v>12</v>
      </c>
      <c r="C4213" s="78">
        <v>42725</v>
      </c>
      <c r="D4213" s="78" t="s">
        <v>2659</v>
      </c>
      <c r="E4213" s="78">
        <f t="shared" si="270"/>
        <v>42725</v>
      </c>
      <c r="F4213" s="79" t="s">
        <v>455</v>
      </c>
      <c r="G4213" s="934" t="s">
        <v>2632</v>
      </c>
      <c r="H4213" s="80" t="s">
        <v>2224</v>
      </c>
      <c r="I4213" s="406">
        <v>26390</v>
      </c>
      <c r="J4213" s="406">
        <v>56000</v>
      </c>
      <c r="K4213" s="397"/>
      <c r="L4213" s="406"/>
      <c r="M4213" s="81">
        <f>ROUND(I4213*J4213,0)</f>
        <v>1477840000</v>
      </c>
      <c r="N4213" s="82" t="s">
        <v>278</v>
      </c>
      <c r="O4213" s="82" t="s">
        <v>8</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customHeight="1">
      <c r="A4214" s="323" t="str">
        <f>IF(B4214&lt;&gt;"",IF(AND(B4214='IN-TC'!$S$4,OR(TH!N4219="1111",TH!O4219="1111")),TH!D4219,""),"")</f>
        <v/>
      </c>
      <c r="B4214" s="63">
        <f t="shared" si="273"/>
        <v>11</v>
      </c>
      <c r="C4214" s="64">
        <v>42697</v>
      </c>
      <c r="D4214" s="64" t="s">
        <v>690</v>
      </c>
      <c r="E4214" s="64">
        <f t="shared" si="270"/>
        <v>42697</v>
      </c>
      <c r="F4214" s="72" t="s">
        <v>1156</v>
      </c>
      <c r="G4214" s="67" t="s">
        <v>1544</v>
      </c>
      <c r="H4214" s="72" t="s">
        <v>1780</v>
      </c>
      <c r="I4214" s="408"/>
      <c r="J4214" s="408"/>
      <c r="K4214" s="399"/>
      <c r="L4214" s="408"/>
      <c r="M4214" s="65">
        <v>1000000</v>
      </c>
      <c r="N4214" s="66" t="s">
        <v>99</v>
      </c>
      <c r="O4214" s="66" t="s">
        <v>25</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x</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c r="AE4214">
        <v>1</v>
      </c>
    </row>
    <row r="4215" spans="1:31" ht="15.75" customHeight="1">
      <c r="A4215" s="323" t="str">
        <f>IF(B4215&lt;&gt;"",IF(AND(B4215='IN-TC'!$S$4,OR(TH!N4220="1111",TH!O4220="1111")),TH!D4220,""),"")</f>
        <v/>
      </c>
      <c r="B4215" s="63">
        <f t="shared" si="273"/>
        <v>11</v>
      </c>
      <c r="C4215" s="64">
        <v>42697</v>
      </c>
      <c r="D4215" s="64" t="s">
        <v>690</v>
      </c>
      <c r="E4215" s="64">
        <f t="shared" si="270"/>
        <v>42697</v>
      </c>
      <c r="F4215" s="72" t="s">
        <v>1616</v>
      </c>
      <c r="G4215" s="67" t="s">
        <v>1544</v>
      </c>
      <c r="H4215" s="72" t="s">
        <v>1780</v>
      </c>
      <c r="I4215" s="408"/>
      <c r="J4215" s="408"/>
      <c r="K4215" s="399"/>
      <c r="L4215" s="408"/>
      <c r="M4215" s="65">
        <v>100000</v>
      </c>
      <c r="N4215" s="66" t="s">
        <v>9</v>
      </c>
      <c r="O4215" s="66" t="s">
        <v>25</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x</v>
      </c>
      <c r="W4215" s="82" t="str">
        <f>IF(AND('341-CT'!$H$9=H4215,OR(LEFT(N4215,3)=$W$7,LEFT(O4215,3)=$W$7)),"x","")</f>
        <v/>
      </c>
      <c r="X4215" s="82" t="str">
        <f>IF(OR(TH!N4215=TH!$X$7,O4215=TH!$X$7),"x","")</f>
        <v>x</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c r="AE4215">
        <v>1</v>
      </c>
    </row>
    <row r="4216" spans="1:31" ht="15.75" customHeight="1">
      <c r="A4216" s="323" t="str">
        <f>IF(B4216&lt;&gt;"",IF(AND(B4216='IN-TC'!$S$4,OR(TH!N2153="1111",TH!O2153="1111")),TH!D2153,""),"")</f>
        <v/>
      </c>
      <c r="B4216" s="63">
        <f t="shared" si="273"/>
        <v>12</v>
      </c>
      <c r="C4216" s="78">
        <v>42720</v>
      </c>
      <c r="D4216" s="78" t="s">
        <v>570</v>
      </c>
      <c r="E4216" s="78">
        <v>42720</v>
      </c>
      <c r="F4216" s="80" t="s">
        <v>2629</v>
      </c>
      <c r="G4216" s="934" t="s">
        <v>2911</v>
      </c>
      <c r="H4216" s="80" t="s">
        <v>617</v>
      </c>
      <c r="I4216" s="406"/>
      <c r="J4216" s="406"/>
      <c r="K4216" s="397"/>
      <c r="L4216" s="406"/>
      <c r="M4216" s="81">
        <v>2814850</v>
      </c>
      <c r="N4216" s="82" t="s">
        <v>9</v>
      </c>
      <c r="O4216" s="82" t="s">
        <v>8</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x</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customHeight="1">
      <c r="A4217" s="323" t="str">
        <f>IF(B4217&lt;&gt;"",IF(AND(B4217='IN-TC'!$S$4,OR(TH!N4223="1111",TH!O4223="1111")),TH!D4223,""),"")</f>
        <v/>
      </c>
      <c r="B4217" s="63">
        <f t="shared" si="273"/>
        <v>11</v>
      </c>
      <c r="C4217" s="64">
        <v>42697</v>
      </c>
      <c r="D4217" s="64" t="s">
        <v>690</v>
      </c>
      <c r="E4217" s="64">
        <f>C4217</f>
        <v>42697</v>
      </c>
      <c r="F4217" s="72" t="s">
        <v>1156</v>
      </c>
      <c r="G4217" s="67" t="s">
        <v>1544</v>
      </c>
      <c r="H4217" s="72" t="s">
        <v>1780</v>
      </c>
      <c r="I4217" s="408"/>
      <c r="J4217" s="408"/>
      <c r="K4217" s="399"/>
      <c r="L4217" s="408"/>
      <c r="M4217" s="65">
        <v>10000</v>
      </c>
      <c r="N4217" s="66" t="s">
        <v>99</v>
      </c>
      <c r="O4217" s="66" t="s">
        <v>25</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x</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E4217">
        <v>1</v>
      </c>
    </row>
    <row r="4218" spans="1:31" ht="15.75" customHeight="1">
      <c r="A4218" s="323" t="str">
        <f>IF(B4218&lt;&gt;"",IF(AND(B4218='IN-TC'!$S$4,OR(TH!N4224="1111",TH!O4224="1111")),TH!D4224,""),"")</f>
        <v/>
      </c>
      <c r="B4218" s="63">
        <f t="shared" si="273"/>
        <v>11</v>
      </c>
      <c r="C4218" s="64">
        <v>42697</v>
      </c>
      <c r="D4218" s="64" t="s">
        <v>690</v>
      </c>
      <c r="E4218" s="64">
        <f>C4218</f>
        <v>42697</v>
      </c>
      <c r="F4218" s="72" t="s">
        <v>1616</v>
      </c>
      <c r="G4218" s="67" t="s">
        <v>1544</v>
      </c>
      <c r="H4218" s="72" t="s">
        <v>1780</v>
      </c>
      <c r="I4218" s="408"/>
      <c r="J4218" s="408"/>
      <c r="K4218" s="399"/>
      <c r="L4218" s="408"/>
      <c r="M4218" s="65">
        <v>1000</v>
      </c>
      <c r="N4218" s="66" t="s">
        <v>9</v>
      </c>
      <c r="O4218" s="66" t="s">
        <v>25</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x</v>
      </c>
      <c r="W4218" s="82" t="str">
        <f>IF(AND('341-CT'!$H$9=H4218,OR(LEFT(N4218,3)=$W$7,LEFT(O4218,3)=$W$7)),"x","")</f>
        <v/>
      </c>
      <c r="X4218" s="82" t="str">
        <f>IF(OR(TH!N4218=TH!$X$7,O4218=TH!$X$7),"x","")</f>
        <v>x</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c r="AE4218">
        <v>1</v>
      </c>
    </row>
    <row r="4219" spans="1:31" ht="15.75" customHeight="1">
      <c r="A4219" s="323" t="str">
        <f>IF(B4219&lt;&gt;"",IF(AND(B4219='IN-TC'!$S$4,OR(TH!N4107="1111",TH!O4107="1111")),TH!D4107,""),"")</f>
        <v/>
      </c>
      <c r="B4219" s="63">
        <f t="shared" si="273"/>
        <v>11</v>
      </c>
      <c r="C4219" s="64">
        <v>42698</v>
      </c>
      <c r="D4219" s="64" t="s">
        <v>2217</v>
      </c>
      <c r="E4219" s="64">
        <f>C4219</f>
        <v>42698</v>
      </c>
      <c r="F4219" s="72" t="s">
        <v>2439</v>
      </c>
      <c r="G4219" s="931" t="s">
        <v>2441</v>
      </c>
      <c r="H4219" s="72" t="s">
        <v>2442</v>
      </c>
      <c r="I4219" s="408"/>
      <c r="J4219" s="408"/>
      <c r="K4219" s="399"/>
      <c r="L4219" s="408"/>
      <c r="M4219" s="65">
        <v>5760000</v>
      </c>
      <c r="N4219" s="66" t="s">
        <v>99</v>
      </c>
      <c r="O4219" s="66" t="s">
        <v>61</v>
      </c>
      <c r="P4219" s="82" t="str">
        <f>IF(AND('331-CT'!$E$7=TH!H4219,OR(N4219="331",O4219="331")),"x","")</f>
        <v/>
      </c>
      <c r="Q4219" s="82" t="str">
        <f>IF(AND(B4219='111'!$L$11,OR($N4219=$Q$7,$O4219=$Q$7)),"x","")</f>
        <v/>
      </c>
      <c r="R4219" s="82" t="str">
        <f>IF(AND($N4219=$Q$7,$B4219&lt;'111'!$L$11),"x","")</f>
        <v/>
      </c>
      <c r="S4219" s="82" t="str">
        <f>IF(AND($O4219=$Q$7,$B4219&lt;'111'!$L$11),"x","")</f>
        <v>x</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customHeight="1">
      <c r="A4220" s="323" t="str">
        <f>IF(B4220&lt;&gt;"",IF(AND(B4220='IN-TC'!$S$4,OR(TH!N4108="1111",TH!O4108="1111")),TH!D4108,""),"")</f>
        <v/>
      </c>
      <c r="B4220" s="63">
        <f t="shared" si="273"/>
        <v>11</v>
      </c>
      <c r="C4220" s="64">
        <v>42698</v>
      </c>
      <c r="D4220" s="64" t="s">
        <v>2217</v>
      </c>
      <c r="E4220" s="64">
        <f>C4220</f>
        <v>42698</v>
      </c>
      <c r="F4220" s="72" t="s">
        <v>2440</v>
      </c>
      <c r="G4220" s="931" t="s">
        <v>2441</v>
      </c>
      <c r="H4220" s="72" t="s">
        <v>2442</v>
      </c>
      <c r="I4220" s="408"/>
      <c r="J4220" s="408"/>
      <c r="K4220" s="399"/>
      <c r="L4220" s="408"/>
      <c r="M4220" s="65">
        <v>576000</v>
      </c>
      <c r="N4220" s="66" t="s">
        <v>9</v>
      </c>
      <c r="O4220" s="66" t="s">
        <v>61</v>
      </c>
      <c r="P4220" s="82" t="str">
        <f>IF(AND('331-CT'!$E$7=TH!H4220,OR(N4220="331",O4220="331")),"x","")</f>
        <v/>
      </c>
      <c r="Q4220" s="82" t="str">
        <f>IF(AND(B4220='111'!$L$11,OR($N4220=$Q$7,$O4220=$Q$7)),"x","")</f>
        <v/>
      </c>
      <c r="R4220" s="82" t="str">
        <f>IF(AND($N4220=$Q$7,$B4220&lt;'111'!$L$11),"x","")</f>
        <v/>
      </c>
      <c r="S4220" s="82" t="str">
        <f>IF(AND($O4220=$Q$7,$B4220&lt;'111'!$L$11),"x","")</f>
        <v>x</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x</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E4220">
        <v>1</v>
      </c>
    </row>
    <row r="4221" spans="1:31" ht="15.75" customHeight="1">
      <c r="A4221" s="1170" t="str">
        <f>IF(B4221&lt;&gt;"",IF(AND(B4221='IN-TC'!$S$4,OR(TH!N369="1111",TH!O369="1111")),TH!D369,""),"")</f>
        <v/>
      </c>
      <c r="B4221" s="63">
        <f t="shared" si="273"/>
        <v>12</v>
      </c>
      <c r="C4221" s="90">
        <v>42713</v>
      </c>
      <c r="D4221" s="1087" t="s">
        <v>2328</v>
      </c>
      <c r="E4221" s="90">
        <v>42713</v>
      </c>
      <c r="F4221" s="91" t="s">
        <v>455</v>
      </c>
      <c r="G4221" s="1089" t="s">
        <v>2493</v>
      </c>
      <c r="H4221" s="937" t="s">
        <v>1887</v>
      </c>
      <c r="I4221" s="414">
        <v>26351</v>
      </c>
      <c r="J4221" s="1132">
        <v>2.68</v>
      </c>
      <c r="K4221" s="405">
        <f>I4221*J4221</f>
        <v>70620.680000000008</v>
      </c>
      <c r="L4221" s="414">
        <v>22650</v>
      </c>
      <c r="M4221" s="1133">
        <f>ROUND(K4221*L4221,0)</f>
        <v>1599558402</v>
      </c>
      <c r="N4221" s="1134" t="s">
        <v>576</v>
      </c>
      <c r="O4221" s="1134" t="s">
        <v>292</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1" ht="15.75" customHeight="1">
      <c r="A4222" s="1170" t="str">
        <f>IF(B4222&lt;&gt;"",IF(AND(B4222='IN-TC'!$S$4,OR(TH!N370="1111",TH!O370="1111")),TH!D370,""),"")</f>
        <v/>
      </c>
      <c r="B4222" s="63">
        <f t="shared" si="273"/>
        <v>12</v>
      </c>
      <c r="C4222" s="90">
        <v>42713</v>
      </c>
      <c r="D4222" s="1087" t="s">
        <v>2328</v>
      </c>
      <c r="E4222" s="90">
        <v>42713</v>
      </c>
      <c r="F4222" s="91" t="s">
        <v>455</v>
      </c>
      <c r="G4222" s="1089" t="s">
        <v>2493</v>
      </c>
      <c r="H4222" s="937" t="s">
        <v>1887</v>
      </c>
      <c r="I4222" s="414">
        <v>130000</v>
      </c>
      <c r="J4222" s="1132">
        <v>2.83</v>
      </c>
      <c r="K4222" s="405">
        <f>I4222*J4222</f>
        <v>367900</v>
      </c>
      <c r="L4222" s="414">
        <v>22650</v>
      </c>
      <c r="M4222" s="1133">
        <f>ROUND(K4222*L4222,0)</f>
        <v>8332935000</v>
      </c>
      <c r="N4222" s="1134" t="s">
        <v>576</v>
      </c>
      <c r="O4222" s="1134" t="s">
        <v>292</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row>
    <row r="4223" spans="1:31" ht="15.75" customHeight="1">
      <c r="A4223" s="1170" t="str">
        <f>IF(B4223&lt;&gt;"",IF(AND(B4223='IN-TC'!$S$4,OR(TH!N371="1111",TH!O371="1111")),TH!D371,""),"")</f>
        <v/>
      </c>
      <c r="B4223" s="63">
        <f t="shared" si="273"/>
        <v>12</v>
      </c>
      <c r="C4223" s="90">
        <v>42716</v>
      </c>
      <c r="D4223" s="1087" t="s">
        <v>2363</v>
      </c>
      <c r="E4223" s="90">
        <v>42716</v>
      </c>
      <c r="F4223" s="91" t="s">
        <v>455</v>
      </c>
      <c r="G4223" s="1089" t="s">
        <v>2525</v>
      </c>
      <c r="H4223" s="937" t="s">
        <v>1887</v>
      </c>
      <c r="I4223" s="414">
        <v>104000</v>
      </c>
      <c r="J4223" s="1132">
        <v>2.83</v>
      </c>
      <c r="K4223" s="405">
        <f>I4223*J4223</f>
        <v>294320</v>
      </c>
      <c r="L4223" s="414">
        <v>22595</v>
      </c>
      <c r="M4223" s="1133">
        <f>ROUND(K4223*L4223,0)</f>
        <v>6650160400</v>
      </c>
      <c r="N4223" s="1134" t="s">
        <v>576</v>
      </c>
      <c r="O4223" s="1134" t="s">
        <v>292</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1" ht="15.75" customHeight="1">
      <c r="A4224" s="323" t="str">
        <f>IF(B4224&lt;&gt;"",IF(AND(B4224='IN-TC'!$S$4,OR(TH!N4137="1111",TH!O4137="1111")),TH!D4137,""),"")</f>
        <v/>
      </c>
      <c r="B4224" s="63">
        <f t="shared" si="273"/>
        <v>11</v>
      </c>
      <c r="C4224" s="64">
        <v>42698</v>
      </c>
      <c r="D4224" s="64" t="s">
        <v>687</v>
      </c>
      <c r="E4224" s="64">
        <f t="shared" ref="E4224:E4234" si="274">C4224</f>
        <v>42698</v>
      </c>
      <c r="F4224" s="72" t="s">
        <v>1425</v>
      </c>
      <c r="G4224" s="67" t="s">
        <v>901</v>
      </c>
      <c r="H4224" s="72" t="s">
        <v>2048</v>
      </c>
      <c r="I4224" s="408"/>
      <c r="J4224" s="408"/>
      <c r="K4224" s="399">
        <f>M4224/L4224</f>
        <v>4600</v>
      </c>
      <c r="L4224" s="408">
        <v>22720</v>
      </c>
      <c r="M4224" s="65">
        <v>104512000</v>
      </c>
      <c r="N4224" s="66" t="s">
        <v>25</v>
      </c>
      <c r="O4224" s="66" t="s">
        <v>260</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customHeight="1">
      <c r="A4225" s="323" t="str">
        <f>IF(B4225&lt;&gt;"",IF(AND(B4225='IN-TC'!$S$4,OR(TH!N4149="1111",TH!O4149="1111")),TH!D4149,""),"")</f>
        <v/>
      </c>
      <c r="B4225" s="63">
        <f t="shared" si="273"/>
        <v>11</v>
      </c>
      <c r="C4225" s="64">
        <v>42698</v>
      </c>
      <c r="D4225" s="64" t="s">
        <v>687</v>
      </c>
      <c r="E4225" s="64">
        <f t="shared" si="274"/>
        <v>42698</v>
      </c>
      <c r="F4225" s="72" t="s">
        <v>1632</v>
      </c>
      <c r="G4225" s="67" t="s">
        <v>901</v>
      </c>
      <c r="H4225" s="72" t="s">
        <v>2048</v>
      </c>
      <c r="I4225" s="408"/>
      <c r="J4225" s="408"/>
      <c r="K4225" s="399"/>
      <c r="L4225" s="408"/>
      <c r="M4225" s="65">
        <v>6045</v>
      </c>
      <c r="N4225" s="66" t="s">
        <v>25</v>
      </c>
      <c r="O4225" s="66" t="s">
        <v>41</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customHeight="1">
      <c r="A4226" s="323" t="str">
        <f>IF(B4226&lt;&gt;"",IF(AND(B4226='IN-TC'!$S$4,OR(TH!N4187="1111",TH!O4187="1111")),TH!D4187,""),"")</f>
        <v/>
      </c>
      <c r="B4226" s="63">
        <f t="shared" si="273"/>
        <v>11</v>
      </c>
      <c r="C4226" s="64">
        <v>42698</v>
      </c>
      <c r="D4226" s="64" t="s">
        <v>687</v>
      </c>
      <c r="E4226" s="64">
        <f t="shared" si="274"/>
        <v>42698</v>
      </c>
      <c r="F4226" s="72" t="s">
        <v>1632</v>
      </c>
      <c r="G4226" s="67" t="s">
        <v>902</v>
      </c>
      <c r="H4226" s="72" t="s">
        <v>1779</v>
      </c>
      <c r="I4226" s="408"/>
      <c r="J4226" s="408"/>
      <c r="K4226" s="399"/>
      <c r="L4226" s="408"/>
      <c r="M4226" s="65">
        <v>23833</v>
      </c>
      <c r="N4226" s="66" t="s">
        <v>25</v>
      </c>
      <c r="O4226" s="66" t="s">
        <v>41</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customHeight="1">
      <c r="A4227" s="323" t="str">
        <f>IF(B4227&lt;&gt;"",IF(AND(B4227='IN-TC'!$S$4,OR(TH!N4138="1111",TH!O4138="1111")),TH!D4138,""),"")</f>
        <v/>
      </c>
      <c r="B4227" s="63">
        <f t="shared" si="273"/>
        <v>11</v>
      </c>
      <c r="C4227" s="64">
        <v>42698</v>
      </c>
      <c r="D4227" s="64" t="s">
        <v>690</v>
      </c>
      <c r="E4227" s="64">
        <f t="shared" si="274"/>
        <v>42698</v>
      </c>
      <c r="F4227" s="72" t="s">
        <v>1193</v>
      </c>
      <c r="G4227" s="67" t="s">
        <v>901</v>
      </c>
      <c r="H4227" s="72" t="s">
        <v>2048</v>
      </c>
      <c r="I4227" s="408"/>
      <c r="J4227" s="408"/>
      <c r="K4227" s="399"/>
      <c r="L4227" s="408"/>
      <c r="M4227" s="65">
        <v>50490600</v>
      </c>
      <c r="N4227" s="66" t="s">
        <v>581</v>
      </c>
      <c r="O4227" s="66" t="s">
        <v>25</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1" ht="15.75" customHeight="1">
      <c r="A4228" s="323" t="str">
        <f>IF(B4228&lt;&gt;"",IF(AND(B4228='IN-TC'!$S$4,OR(TH!N4139="1111",TH!O4139="1111")),TH!D4139,""),"")</f>
        <v/>
      </c>
      <c r="B4228" s="63">
        <f t="shared" si="273"/>
        <v>11</v>
      </c>
      <c r="C4228" s="64">
        <v>42698</v>
      </c>
      <c r="D4228" s="64" t="s">
        <v>690</v>
      </c>
      <c r="E4228" s="64">
        <f t="shared" si="274"/>
        <v>42698</v>
      </c>
      <c r="F4228" s="72" t="s">
        <v>1194</v>
      </c>
      <c r="G4228" s="67" t="s">
        <v>901</v>
      </c>
      <c r="H4228" s="72" t="s">
        <v>2048</v>
      </c>
      <c r="I4228" s="408"/>
      <c r="J4228" s="408"/>
      <c r="K4228" s="399"/>
      <c r="L4228" s="408"/>
      <c r="M4228" s="65">
        <v>21490560</v>
      </c>
      <c r="N4228" s="66" t="s">
        <v>582</v>
      </c>
      <c r="O4228" s="66" t="s">
        <v>25</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1" ht="15.75" customHeight="1">
      <c r="A4229" s="323" t="str">
        <f>IF(B4229&lt;&gt;"",IF(AND(B4229='IN-TC'!$S$4,OR(TH!N4140="1111",TH!O4140="1111")),TH!D4140,""),"")</f>
        <v/>
      </c>
      <c r="B4229" s="63">
        <f t="shared" si="273"/>
        <v>11</v>
      </c>
      <c r="C4229" s="64">
        <v>42698</v>
      </c>
      <c r="D4229" s="64" t="s">
        <v>690</v>
      </c>
      <c r="E4229" s="64">
        <f t="shared" si="274"/>
        <v>42698</v>
      </c>
      <c r="F4229" s="72" t="s">
        <v>1195</v>
      </c>
      <c r="G4229" s="67" t="s">
        <v>901</v>
      </c>
      <c r="H4229" s="72" t="s">
        <v>2048</v>
      </c>
      <c r="I4229" s="408"/>
      <c r="J4229" s="408"/>
      <c r="K4229" s="399"/>
      <c r="L4229" s="408"/>
      <c r="M4229" s="65">
        <v>8018840</v>
      </c>
      <c r="N4229" s="66" t="s">
        <v>583</v>
      </c>
      <c r="O4229" s="66" t="s">
        <v>25</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1" ht="15.75" customHeight="1">
      <c r="A4230" s="323" t="str">
        <f>IF(B4230&lt;&gt;"",IF(AND(B4230='IN-TC'!$S$4,OR(TH!N4141="1111",TH!O4141="1111")),TH!D4141,""),"")</f>
        <v/>
      </c>
      <c r="B4230" s="63">
        <f t="shared" si="273"/>
        <v>11</v>
      </c>
      <c r="C4230" s="64">
        <v>42698</v>
      </c>
      <c r="D4230" s="64" t="s">
        <v>690</v>
      </c>
      <c r="E4230" s="64">
        <f t="shared" si="274"/>
        <v>42698</v>
      </c>
      <c r="F4230" s="72" t="s">
        <v>1156</v>
      </c>
      <c r="G4230" s="67" t="s">
        <v>901</v>
      </c>
      <c r="H4230" s="72" t="s">
        <v>2048</v>
      </c>
      <c r="I4230" s="408"/>
      <c r="J4230" s="408"/>
      <c r="K4230" s="399"/>
      <c r="L4230" s="408"/>
      <c r="M4230" s="65">
        <v>40000</v>
      </c>
      <c r="N4230" s="66" t="s">
        <v>99</v>
      </c>
      <c r="O4230" s="66" t="s">
        <v>25</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c r="AE4230">
        <v>1</v>
      </c>
    </row>
    <row r="4231" spans="1:31" ht="15.75" customHeight="1">
      <c r="A4231" s="323" t="str">
        <f>IF(B4231&lt;&gt;"",IF(AND(B4231='IN-TC'!$S$4,OR(TH!N4142="1111",TH!O4142="1111")),TH!D4142,""),"")</f>
        <v/>
      </c>
      <c r="B4231" s="63">
        <f t="shared" si="273"/>
        <v>11</v>
      </c>
      <c r="C4231" s="64">
        <v>42698</v>
      </c>
      <c r="D4231" s="64" t="s">
        <v>690</v>
      </c>
      <c r="E4231" s="64">
        <f t="shared" si="274"/>
        <v>42698</v>
      </c>
      <c r="F4231" s="72" t="s">
        <v>1616</v>
      </c>
      <c r="G4231" s="67" t="s">
        <v>901</v>
      </c>
      <c r="H4231" s="72" t="s">
        <v>2048</v>
      </c>
      <c r="I4231" s="408"/>
      <c r="J4231" s="408"/>
      <c r="K4231" s="399"/>
      <c r="L4231" s="408"/>
      <c r="M4231" s="65">
        <v>4000</v>
      </c>
      <c r="N4231" s="66" t="s">
        <v>9</v>
      </c>
      <c r="O4231" s="66" t="s">
        <v>25</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x</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customHeight="1">
      <c r="A4232" s="323" t="str">
        <f>IF(B4232&lt;&gt;"",IF(AND(B4232='IN-TC'!$S$4,OR(TH!N4239="1111",TH!O4239="1111")),TH!D4239,""),"")</f>
        <v/>
      </c>
      <c r="B4232" s="63">
        <f t="shared" si="273"/>
        <v>11</v>
      </c>
      <c r="C4232" s="64">
        <v>42703</v>
      </c>
      <c r="D4232" s="64" t="s">
        <v>690</v>
      </c>
      <c r="E4232" s="64">
        <f t="shared" si="274"/>
        <v>42703</v>
      </c>
      <c r="F4232" s="72" t="s">
        <v>2460</v>
      </c>
      <c r="G4232" s="67" t="s">
        <v>1544</v>
      </c>
      <c r="H4232" s="72" t="s">
        <v>614</v>
      </c>
      <c r="I4232" s="408"/>
      <c r="J4232" s="408"/>
      <c r="K4232" s="399"/>
      <c r="L4232" s="408"/>
      <c r="M4232" s="65">
        <v>3555000</v>
      </c>
      <c r="N4232" s="66" t="s">
        <v>8</v>
      </c>
      <c r="O4232" s="66" t="s">
        <v>25</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x</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1" ht="15.75" customHeight="1">
      <c r="A4233" s="323" t="str">
        <f>IF(B4233&lt;&gt;"",IF(AND(B4233='IN-TC'!$S$4,OR(TH!N4144="1111",TH!O4144="1111")),TH!D4144,""),"")</f>
        <v/>
      </c>
      <c r="B4233" s="63">
        <f t="shared" si="273"/>
        <v>11</v>
      </c>
      <c r="C4233" s="64">
        <v>42698</v>
      </c>
      <c r="D4233" s="64" t="s">
        <v>690</v>
      </c>
      <c r="E4233" s="64">
        <f t="shared" si="274"/>
        <v>42698</v>
      </c>
      <c r="F4233" s="72" t="s">
        <v>2147</v>
      </c>
      <c r="G4233" s="67" t="s">
        <v>901</v>
      </c>
      <c r="H4233" s="72" t="s">
        <v>2048</v>
      </c>
      <c r="I4233" s="408"/>
      <c r="J4233" s="408"/>
      <c r="K4233" s="399"/>
      <c r="L4233" s="408"/>
      <c r="M4233" s="65">
        <v>20000</v>
      </c>
      <c r="N4233" s="66" t="s">
        <v>99</v>
      </c>
      <c r="O4233" s="66" t="s">
        <v>25</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c r="AE4233">
        <v>1</v>
      </c>
    </row>
    <row r="4234" spans="1:31" ht="15.75" customHeight="1">
      <c r="A4234" s="323" t="str">
        <f>IF(B4234&lt;&gt;"",IF(AND(B4234='IN-TC'!$S$4,OR(TH!N4145="1111",TH!O4145="1111")),TH!D4145,""),"")</f>
        <v/>
      </c>
      <c r="B4234" s="63">
        <f t="shared" si="273"/>
        <v>11</v>
      </c>
      <c r="C4234" s="64">
        <v>42698</v>
      </c>
      <c r="D4234" s="64" t="s">
        <v>690</v>
      </c>
      <c r="E4234" s="64">
        <f t="shared" si="274"/>
        <v>42698</v>
      </c>
      <c r="F4234" s="72" t="s">
        <v>2342</v>
      </c>
      <c r="G4234" s="67" t="s">
        <v>901</v>
      </c>
      <c r="H4234" s="72" t="s">
        <v>2048</v>
      </c>
      <c r="I4234" s="408"/>
      <c r="J4234" s="408"/>
      <c r="K4234" s="399"/>
      <c r="L4234" s="408"/>
      <c r="M4234" s="65">
        <v>2000</v>
      </c>
      <c r="N4234" s="66" t="s">
        <v>9</v>
      </c>
      <c r="O4234" s="66" t="s">
        <v>25</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x</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customHeight="1">
      <c r="A4235" s="323" t="str">
        <f>IF(B4235&lt;&gt;"",IF(AND(B4235='IN-TC'!$S$4,OR(TH!N2119="1111",TH!O2119="1111")),TH!D2119,""),"")</f>
        <v/>
      </c>
      <c r="B4235" s="63">
        <f t="shared" si="273"/>
        <v>11</v>
      </c>
      <c r="C4235" s="78">
        <v>42703</v>
      </c>
      <c r="D4235" s="78" t="s">
        <v>570</v>
      </c>
      <c r="E4235" s="78">
        <v>42703</v>
      </c>
      <c r="F4235" s="80" t="s">
        <v>1156</v>
      </c>
      <c r="G4235" s="934" t="s">
        <v>2438</v>
      </c>
      <c r="H4235" s="80" t="s">
        <v>614</v>
      </c>
      <c r="I4235" s="406"/>
      <c r="J4235" s="406"/>
      <c r="K4235" s="397"/>
      <c r="L4235" s="406"/>
      <c r="M4235" s="81">
        <v>1420000</v>
      </c>
      <c r="N4235" s="82" t="s">
        <v>579</v>
      </c>
      <c r="O4235" s="82" t="s">
        <v>8</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row>
    <row r="4236" spans="1:31" ht="15.75" customHeight="1">
      <c r="A4236" s="323" t="str">
        <f>IF(B4236&lt;&gt;"",IF(AND(B4236='IN-TC'!$S$4,OR(TH!N4147="1111",TH!O4147="1111")),TH!D4147,""),"")</f>
        <v/>
      </c>
      <c r="B4236" s="63">
        <f t="shared" si="273"/>
        <v>11</v>
      </c>
      <c r="C4236" s="64">
        <v>42698</v>
      </c>
      <c r="D4236" s="64" t="s">
        <v>690</v>
      </c>
      <c r="E4236" s="64">
        <f t="shared" ref="E4236:E4265" si="275">C4236</f>
        <v>42698</v>
      </c>
      <c r="F4236" s="72" t="s">
        <v>2147</v>
      </c>
      <c r="G4236" s="67" t="s">
        <v>901</v>
      </c>
      <c r="H4236" s="72" t="s">
        <v>2048</v>
      </c>
      <c r="I4236" s="408"/>
      <c r="J4236" s="408"/>
      <c r="K4236" s="399"/>
      <c r="L4236" s="408"/>
      <c r="M4236" s="65">
        <v>20000</v>
      </c>
      <c r="N4236" s="66" t="s">
        <v>99</v>
      </c>
      <c r="O4236" s="66" t="s">
        <v>25</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customHeight="1">
      <c r="A4237" s="323" t="str">
        <f>IF(B4237&lt;&gt;"",IF(AND(B4237='IN-TC'!$S$4,OR(TH!N4148="1111",TH!O4148="1111")),TH!D4148,""),"")</f>
        <v/>
      </c>
      <c r="B4237" s="63">
        <f t="shared" si="273"/>
        <v>11</v>
      </c>
      <c r="C4237" s="64">
        <v>42698</v>
      </c>
      <c r="D4237" s="64" t="s">
        <v>690</v>
      </c>
      <c r="E4237" s="64">
        <f t="shared" si="275"/>
        <v>42698</v>
      </c>
      <c r="F4237" s="72" t="s">
        <v>2342</v>
      </c>
      <c r="G4237" s="67" t="s">
        <v>901</v>
      </c>
      <c r="H4237" s="72" t="s">
        <v>2048</v>
      </c>
      <c r="I4237" s="408"/>
      <c r="J4237" s="408"/>
      <c r="K4237" s="399"/>
      <c r="L4237" s="408"/>
      <c r="M4237" s="65">
        <v>2000</v>
      </c>
      <c r="N4237" s="66" t="s">
        <v>9</v>
      </c>
      <c r="O4237" s="66" t="s">
        <v>25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x</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E4237">
        <v>1</v>
      </c>
    </row>
    <row r="4238" spans="1:31" ht="15.75" customHeight="1">
      <c r="A4238" s="323" t="str">
        <f>IF(B4238&lt;&gt;"",IF(AND(B4238='IN-TC'!$S$4,OR(TH!N4225="1111",TH!O4225="1111")),TH!D4225,""),"")</f>
        <v/>
      </c>
      <c r="B4238" s="63">
        <f t="shared" si="273"/>
        <v>11</v>
      </c>
      <c r="C4238" s="64">
        <v>42698</v>
      </c>
      <c r="D4238" s="64" t="s">
        <v>690</v>
      </c>
      <c r="E4238" s="64">
        <f t="shared" si="275"/>
        <v>42698</v>
      </c>
      <c r="F4238" s="72" t="s">
        <v>2458</v>
      </c>
      <c r="G4238" s="67" t="s">
        <v>1544</v>
      </c>
      <c r="H4238" s="72" t="s">
        <v>1780</v>
      </c>
      <c r="I4238" s="408"/>
      <c r="J4238" s="408"/>
      <c r="K4238" s="399"/>
      <c r="L4238" s="408"/>
      <c r="M4238" s="65">
        <v>1819968</v>
      </c>
      <c r="N4238" s="66" t="s">
        <v>99</v>
      </c>
      <c r="O4238" s="66" t="s">
        <v>25</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x</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customHeight="1">
      <c r="A4239" s="323" t="str">
        <f>IF(B4239&lt;&gt;"",IF(AND(B4239='IN-TC'!$S$4,OR(TH!N4131="1111",TH!O4131="1111")),TH!D4131,""),"")</f>
        <v/>
      </c>
      <c r="B4239" s="63">
        <f t="shared" si="273"/>
        <v>11</v>
      </c>
      <c r="C4239" s="64">
        <v>42699</v>
      </c>
      <c r="D4239" s="64" t="s">
        <v>2218</v>
      </c>
      <c r="E4239" s="64">
        <f t="shared" si="275"/>
        <v>42699</v>
      </c>
      <c r="F4239" s="72" t="s">
        <v>2485</v>
      </c>
      <c r="G4239" s="931" t="s">
        <v>2487</v>
      </c>
      <c r="H4239" s="72" t="s">
        <v>613</v>
      </c>
      <c r="I4239" s="408"/>
      <c r="J4239" s="408"/>
      <c r="K4239" s="399"/>
      <c r="L4239" s="408"/>
      <c r="M4239" s="65">
        <v>100500</v>
      </c>
      <c r="N4239" s="66" t="s">
        <v>99</v>
      </c>
      <c r="O4239" s="66" t="s">
        <v>61</v>
      </c>
      <c r="P4239" s="82" t="str">
        <f>IF(AND('331-CT'!$E$7=TH!H4239,OR(N4239="331",O4239="331")),"x","")</f>
        <v/>
      </c>
      <c r="Q4239" s="82" t="str">
        <f>IF(AND(B4239='111'!$L$11,OR($N4239=$Q$7,$O4239=$Q$7)),"x","")</f>
        <v/>
      </c>
      <c r="R4239" s="82" t="str">
        <f>IF(AND($N4239=$Q$7,$B4239&lt;'111'!$L$11),"x","")</f>
        <v/>
      </c>
      <c r="S4239" s="82" t="str">
        <f>IF(AND($O4239=$Q$7,$B4239&lt;'111'!$L$11),"x","")</f>
        <v>x</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E4239">
        <v>1</v>
      </c>
    </row>
    <row r="4240" spans="1:31" ht="15.75" customHeight="1">
      <c r="A4240" s="323" t="str">
        <f>IF(B4240&lt;&gt;"",IF(AND(B4240='IN-TC'!$S$4,OR(TH!N4132="1111",TH!O4132="1111")),TH!D4132,""),"")</f>
        <v/>
      </c>
      <c r="B4240" s="63">
        <f t="shared" si="273"/>
        <v>11</v>
      </c>
      <c r="C4240" s="64">
        <v>42699</v>
      </c>
      <c r="D4240" s="64" t="s">
        <v>2218</v>
      </c>
      <c r="E4240" s="64">
        <f t="shared" si="275"/>
        <v>42699</v>
      </c>
      <c r="F4240" s="72" t="s">
        <v>2486</v>
      </c>
      <c r="G4240" s="931" t="s">
        <v>2487</v>
      </c>
      <c r="H4240" s="72" t="s">
        <v>613</v>
      </c>
      <c r="I4240" s="408"/>
      <c r="J4240" s="408"/>
      <c r="K4240" s="399"/>
      <c r="L4240" s="408"/>
      <c r="M4240" s="65">
        <v>10050</v>
      </c>
      <c r="N4240" s="66" t="s">
        <v>9</v>
      </c>
      <c r="O4240" s="66" t="s">
        <v>61</v>
      </c>
      <c r="P4240" s="82" t="str">
        <f>IF(AND('331-CT'!$E$7=TH!H4240,OR(N4240="331",O4240="331")),"x","")</f>
        <v/>
      </c>
      <c r="Q4240" s="82" t="str">
        <f>IF(AND(B4240='111'!$L$11,OR($N4240=$Q$7,$O4240=$Q$7)),"x","")</f>
        <v/>
      </c>
      <c r="R4240" s="82" t="str">
        <f>IF(AND($N4240=$Q$7,$B4240&lt;'111'!$L$11),"x","")</f>
        <v/>
      </c>
      <c r="S4240" s="82" t="str">
        <f>IF(AND($O4240=$Q$7,$B4240&lt;'111'!$L$11),"x","")</f>
        <v>x</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x</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customHeight="1">
      <c r="A4241" s="323" t="str">
        <f>IF(B4241&lt;&gt;"",IF(AND(B4241='IN-TC'!$S$4,OR(TH!N4111="1111",TH!O4111="1111")),TH!D4111,""),"")</f>
        <v/>
      </c>
      <c r="B4241" s="63">
        <f t="shared" si="273"/>
        <v>11</v>
      </c>
      <c r="C4241" s="1092">
        <v>42699</v>
      </c>
      <c r="D4241" s="1092" t="s">
        <v>2219</v>
      </c>
      <c r="E4241" s="1092">
        <f t="shared" si="275"/>
        <v>42699</v>
      </c>
      <c r="F4241" s="482" t="s">
        <v>947</v>
      </c>
      <c r="G4241" s="1094"/>
      <c r="H4241" s="937" t="s">
        <v>3001</v>
      </c>
      <c r="I4241" s="1095"/>
      <c r="J4241" s="1095"/>
      <c r="K4241" s="1096"/>
      <c r="L4241" s="1095"/>
      <c r="M4241" s="1097">
        <v>800000000</v>
      </c>
      <c r="N4241" s="1098" t="s">
        <v>266</v>
      </c>
      <c r="O4241" s="1098" t="s">
        <v>61</v>
      </c>
      <c r="P4241" s="82" t="str">
        <f>IF(AND('331-CT'!$E$7=TH!H4241,OR(N4241="331",O4241="331")),"x","")</f>
        <v/>
      </c>
      <c r="Q4241" s="82" t="str">
        <f>IF(AND(B4241='111'!$L$11,OR($N4241=$Q$7,$O4241=$Q$7)),"x","")</f>
        <v/>
      </c>
      <c r="R4241" s="82" t="str">
        <f>IF(AND($N4241=$Q$7,$B4241&lt;'111'!$L$11),"x","")</f>
        <v/>
      </c>
      <c r="S4241" s="82" t="str">
        <f>IF(AND($O4241=$Q$7,$B4241&lt;'111'!$L$11),"x","")</f>
        <v>x</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1" ht="15.75" customHeight="1">
      <c r="A4242" s="323" t="str">
        <f>IF(B4242&lt;&gt;"",IF(AND(B4242='IN-TC'!$S$4,OR(TH!N4226="1111",TH!O4226="1111")),TH!D4226,""),"")</f>
        <v/>
      </c>
      <c r="B4242" s="63">
        <f t="shared" si="273"/>
        <v>11</v>
      </c>
      <c r="C4242" s="64">
        <v>42699</v>
      </c>
      <c r="D4242" s="64" t="s">
        <v>687</v>
      </c>
      <c r="E4242" s="64">
        <f t="shared" si="275"/>
        <v>42699</v>
      </c>
      <c r="F4242" s="72" t="s">
        <v>1632</v>
      </c>
      <c r="G4242" s="67" t="s">
        <v>1544</v>
      </c>
      <c r="H4242" s="72" t="s">
        <v>1780</v>
      </c>
      <c r="I4242" s="408"/>
      <c r="J4242" s="408"/>
      <c r="K4242" s="399"/>
      <c r="L4242" s="408"/>
      <c r="M4242" s="65">
        <v>55200</v>
      </c>
      <c r="N4242" s="66" t="s">
        <v>25</v>
      </c>
      <c r="O4242" s="66" t="s">
        <v>41</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x</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1" ht="15.75" customHeight="1">
      <c r="A4243" s="323" t="str">
        <f>IF(B4243&lt;&gt;"",IF(AND(B4243='IN-TC'!$S$4,OR(TH!N4221="1111",TH!O4221="1111")),TH!D4221,""),"")</f>
        <v/>
      </c>
      <c r="B4243" s="63">
        <f t="shared" si="273"/>
        <v>11</v>
      </c>
      <c r="C4243" s="64">
        <v>42699</v>
      </c>
      <c r="D4243" s="64" t="s">
        <v>687</v>
      </c>
      <c r="E4243" s="64">
        <f t="shared" si="275"/>
        <v>42699</v>
      </c>
      <c r="F4243" s="72" t="s">
        <v>1425</v>
      </c>
      <c r="G4243" s="67" t="s">
        <v>1544</v>
      </c>
      <c r="H4243" s="72" t="s">
        <v>1780</v>
      </c>
      <c r="I4243" s="408"/>
      <c r="J4243" s="408"/>
      <c r="K4243" s="399">
        <v>145500</v>
      </c>
      <c r="L4243" s="408">
        <v>22718</v>
      </c>
      <c r="M4243" s="65">
        <f>K4243*L4243</f>
        <v>3305469000</v>
      </c>
      <c r="N4243" s="66" t="s">
        <v>25</v>
      </c>
      <c r="O4243" s="66" t="s">
        <v>260</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x</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1" ht="15.75" customHeight="1">
      <c r="A4244" s="323" t="str">
        <f>IF(B4244&lt;&gt;"",IF(AND(B4244='IN-TC'!$S$4,OR(TH!N601="1111",TH!O601="1111")),TH!D601,""),"")</f>
        <v/>
      </c>
      <c r="B4244" s="63">
        <f t="shared" si="273"/>
        <v>12</v>
      </c>
      <c r="C4244" s="78">
        <v>42728</v>
      </c>
      <c r="D4244" s="78" t="s">
        <v>2712</v>
      </c>
      <c r="E4244" s="78">
        <f t="shared" si="275"/>
        <v>42728</v>
      </c>
      <c r="F4244" s="79" t="s">
        <v>455</v>
      </c>
      <c r="G4244" s="934" t="s">
        <v>2740</v>
      </c>
      <c r="H4244" s="80" t="s">
        <v>1198</v>
      </c>
      <c r="I4244" s="406">
        <v>26390</v>
      </c>
      <c r="J4244" s="406">
        <v>61000</v>
      </c>
      <c r="K4244" s="397"/>
      <c r="L4244" s="406"/>
      <c r="M4244" s="81">
        <f>ROUND(I4244*J4244,0)</f>
        <v>1609790000</v>
      </c>
      <c r="N4244" s="82" t="s">
        <v>278</v>
      </c>
      <c r="O4244" s="82" t="s">
        <v>8</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1" ht="15.75" customHeight="1">
      <c r="A4245" s="323" t="str">
        <f>IF(B4245&lt;&gt;"",IF(AND(B4245='IN-TC'!$S$4,OR(TH!N4228="1111",TH!O4228="1111")),TH!D4228,""),"")</f>
        <v/>
      </c>
      <c r="B4245" s="63">
        <f t="shared" si="273"/>
        <v>11</v>
      </c>
      <c r="C4245" s="64">
        <v>42699</v>
      </c>
      <c r="D4245" s="64" t="s">
        <v>690</v>
      </c>
      <c r="E4245" s="64">
        <f t="shared" si="275"/>
        <v>42699</v>
      </c>
      <c r="F4245" s="72" t="s">
        <v>1156</v>
      </c>
      <c r="G4245" s="67" t="s">
        <v>1544</v>
      </c>
      <c r="H4245" s="72" t="s">
        <v>1780</v>
      </c>
      <c r="I4245" s="408"/>
      <c r="J4245" s="408"/>
      <c r="K4245" s="399"/>
      <c r="L4245" s="408"/>
      <c r="M4245" s="65">
        <v>395700</v>
      </c>
      <c r="N4245" s="66" t="s">
        <v>99</v>
      </c>
      <c r="O4245" s="66" t="s">
        <v>25</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x</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E4245">
        <v>1</v>
      </c>
    </row>
    <row r="4246" spans="1:31" ht="15.75" customHeight="1">
      <c r="A4246" s="323" t="str">
        <f>IF(B4246&lt;&gt;"",IF(AND(B4246='IN-TC'!$S$4,OR(TH!N4229="1111",TH!O4229="1111")),TH!D4229,""),"")</f>
        <v/>
      </c>
      <c r="B4246" s="63">
        <f t="shared" si="273"/>
        <v>11</v>
      </c>
      <c r="C4246" s="64">
        <v>42699</v>
      </c>
      <c r="D4246" s="64" t="s">
        <v>690</v>
      </c>
      <c r="E4246" s="64">
        <f t="shared" si="275"/>
        <v>42699</v>
      </c>
      <c r="F4246" s="72" t="s">
        <v>1616</v>
      </c>
      <c r="G4246" s="67" t="s">
        <v>1544</v>
      </c>
      <c r="H4246" s="72" t="s">
        <v>1780</v>
      </c>
      <c r="I4246" s="408"/>
      <c r="J4246" s="408"/>
      <c r="K4246" s="399"/>
      <c r="L4246" s="408"/>
      <c r="M4246" s="65">
        <v>39570</v>
      </c>
      <c r="N4246" s="66" t="s">
        <v>9</v>
      </c>
      <c r="O4246" s="66" t="s">
        <v>25</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x</v>
      </c>
      <c r="W4246" s="82" t="str">
        <f>IF(AND('341-CT'!$H$9=H4246,OR(LEFT(N4246,3)=$W$7,LEFT(O4246,3)=$W$7)),"x","")</f>
        <v/>
      </c>
      <c r="X4246" s="82" t="str">
        <f>IF(OR(TH!N4246=TH!$X$7,O4246=TH!$X$7),"x","")</f>
        <v>x</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customHeight="1">
      <c r="A4247" s="323" t="str">
        <f>IF(B4247&lt;&gt;"",IF(AND(B4247='IN-TC'!$S$4,OR(TH!N585="1111",TH!O585="1111")),TH!D585,""),"")</f>
        <v/>
      </c>
      <c r="B4247" s="63">
        <f t="shared" si="273"/>
        <v>12</v>
      </c>
      <c r="C4247" s="78">
        <v>42720</v>
      </c>
      <c r="D4247" s="78" t="s">
        <v>2372</v>
      </c>
      <c r="E4247" s="78">
        <f t="shared" si="275"/>
        <v>42720</v>
      </c>
      <c r="F4247" s="79" t="s">
        <v>455</v>
      </c>
      <c r="G4247" s="934" t="s">
        <v>2660</v>
      </c>
      <c r="H4247" s="80" t="s">
        <v>2323</v>
      </c>
      <c r="I4247" s="397">
        <v>2.5</v>
      </c>
      <c r="J4247" s="406">
        <v>61200</v>
      </c>
      <c r="K4247" s="397"/>
      <c r="L4247" s="406"/>
      <c r="M4247" s="81">
        <f>ROUND(I4247*J4247,0)</f>
        <v>153000</v>
      </c>
      <c r="N4247" s="82" t="s">
        <v>278</v>
      </c>
      <c r="O4247" s="82" t="s">
        <v>8</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1" ht="15.75" customHeight="1">
      <c r="A4248" s="323" t="str">
        <f>IF(B4248&lt;&gt;"",IF(AND(B4248='IN-TC'!$S$4,OR(TH!N4231="1111",TH!O4231="1111")),TH!D4231,""),"")</f>
        <v/>
      </c>
      <c r="B4248" s="63">
        <f t="shared" si="273"/>
        <v>11</v>
      </c>
      <c r="C4248" s="64">
        <v>42699</v>
      </c>
      <c r="D4248" s="64" t="s">
        <v>690</v>
      </c>
      <c r="E4248" s="64">
        <f t="shared" si="275"/>
        <v>42699</v>
      </c>
      <c r="F4248" s="72" t="s">
        <v>1156</v>
      </c>
      <c r="G4248" s="67" t="s">
        <v>1544</v>
      </c>
      <c r="H4248" s="72" t="s">
        <v>1780</v>
      </c>
      <c r="I4248" s="408"/>
      <c r="J4248" s="408"/>
      <c r="K4248" s="399"/>
      <c r="L4248" s="408"/>
      <c r="M4248" s="65">
        <v>432350</v>
      </c>
      <c r="N4248" s="66" t="s">
        <v>99</v>
      </c>
      <c r="O4248" s="66" t="s">
        <v>25</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x</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c r="AE4248">
        <v>1</v>
      </c>
    </row>
    <row r="4249" spans="1:31" ht="15.75" customHeight="1">
      <c r="A4249" s="323" t="str">
        <f>IF(B4249&lt;&gt;"",IF(AND(B4249='IN-TC'!$S$4,OR(TH!N4232="1111",TH!O4232="1111")),TH!D4232,""),"")</f>
        <v/>
      </c>
      <c r="B4249" s="63">
        <f t="shared" si="273"/>
        <v>11</v>
      </c>
      <c r="C4249" s="64">
        <v>42699</v>
      </c>
      <c r="D4249" s="64" t="s">
        <v>690</v>
      </c>
      <c r="E4249" s="64">
        <f t="shared" si="275"/>
        <v>42699</v>
      </c>
      <c r="F4249" s="72" t="s">
        <v>1616</v>
      </c>
      <c r="G4249" s="67" t="s">
        <v>1544</v>
      </c>
      <c r="H4249" s="72" t="s">
        <v>1780</v>
      </c>
      <c r="I4249" s="408"/>
      <c r="J4249" s="408"/>
      <c r="K4249" s="399"/>
      <c r="L4249" s="408"/>
      <c r="M4249" s="65">
        <v>43235</v>
      </c>
      <c r="N4249" s="66" t="s">
        <v>9</v>
      </c>
      <c r="O4249" s="66" t="s">
        <v>25</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x</v>
      </c>
      <c r="W4249" s="82" t="str">
        <f>IF(AND('341-CT'!$H$9=H4249,OR(LEFT(N4249,3)=$W$7,LEFT(O4249,3)=$W$7)),"x","")</f>
        <v/>
      </c>
      <c r="X4249" s="82" t="str">
        <f>IF(OR(TH!N4249=TH!$X$7,O4249=TH!$X$7),"x","")</f>
        <v>x</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customHeight="1">
      <c r="A4250" s="323" t="str">
        <f>IF(B4250&lt;&gt;"",IF(AND(B4250='IN-TC'!$S$4,OR(TH!N571="1111",TH!O571="1111")),TH!D571,""),"")</f>
        <v/>
      </c>
      <c r="B4250" s="63">
        <f t="shared" si="273"/>
        <v>12</v>
      </c>
      <c r="C4250" s="78">
        <v>42710</v>
      </c>
      <c r="D4250" s="78" t="s">
        <v>1927</v>
      </c>
      <c r="E4250" s="78">
        <f t="shared" si="275"/>
        <v>42710</v>
      </c>
      <c r="F4250" s="79" t="s">
        <v>455</v>
      </c>
      <c r="G4250" s="934" t="s">
        <v>2522</v>
      </c>
      <c r="H4250" s="80" t="s">
        <v>2374</v>
      </c>
      <c r="I4250" s="406">
        <v>12</v>
      </c>
      <c r="J4250" s="406">
        <v>55750</v>
      </c>
      <c r="K4250" s="397"/>
      <c r="L4250" s="406"/>
      <c r="M4250" s="81">
        <f>ROUND(I4250*J4250,0)</f>
        <v>669000</v>
      </c>
      <c r="N4250" s="82" t="s">
        <v>278</v>
      </c>
      <c r="O4250" s="82" t="s">
        <v>8</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1" ht="15.75" customHeight="1">
      <c r="A4251" s="323" t="str">
        <f>IF(B4251&lt;&gt;"",IF(AND(B4251='IN-TC'!$S$4,OR(TH!N4234="1111",TH!O4234="1111")),TH!D4234,""),"")</f>
        <v/>
      </c>
      <c r="B4251" s="63">
        <f t="shared" si="273"/>
        <v>11</v>
      </c>
      <c r="C4251" s="64">
        <v>42699</v>
      </c>
      <c r="D4251" s="64" t="s">
        <v>690</v>
      </c>
      <c r="E4251" s="64">
        <f t="shared" si="275"/>
        <v>42699</v>
      </c>
      <c r="F4251" s="72" t="s">
        <v>1156</v>
      </c>
      <c r="G4251" s="67" t="s">
        <v>1544</v>
      </c>
      <c r="H4251" s="72" t="s">
        <v>1780</v>
      </c>
      <c r="I4251" s="408"/>
      <c r="J4251" s="408"/>
      <c r="K4251" s="399"/>
      <c r="L4251" s="408"/>
      <c r="M4251" s="65">
        <v>162435</v>
      </c>
      <c r="N4251" s="66" t="s">
        <v>99</v>
      </c>
      <c r="O4251" s="66" t="s">
        <v>25</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x</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customHeight="1">
      <c r="A4252" s="323" t="str">
        <f>IF(B4252&lt;&gt;"",IF(AND(B4252='IN-TC'!$S$4,OR(TH!N4235="1111",TH!O4235="1111")),TH!D4235,""),"")</f>
        <v/>
      </c>
      <c r="B4252" s="63">
        <f t="shared" si="273"/>
        <v>11</v>
      </c>
      <c r="C4252" s="64">
        <v>42699</v>
      </c>
      <c r="D4252" s="64" t="s">
        <v>690</v>
      </c>
      <c r="E4252" s="64">
        <f t="shared" si="275"/>
        <v>42699</v>
      </c>
      <c r="F4252" s="72" t="s">
        <v>1616</v>
      </c>
      <c r="G4252" s="67" t="s">
        <v>1544</v>
      </c>
      <c r="H4252" s="72" t="s">
        <v>1780</v>
      </c>
      <c r="I4252" s="408"/>
      <c r="J4252" s="408"/>
      <c r="K4252" s="399"/>
      <c r="L4252" s="408"/>
      <c r="M4252" s="65">
        <v>16244</v>
      </c>
      <c r="N4252" s="66" t="s">
        <v>9</v>
      </c>
      <c r="O4252" s="66" t="s">
        <v>25</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x</v>
      </c>
      <c r="W4252" s="82" t="str">
        <f>IF(AND('341-CT'!$H$9=H4252,OR(LEFT(N4252,3)=$W$7,LEFT(O4252,3)=$W$7)),"x","")</f>
        <v/>
      </c>
      <c r="X4252" s="82" t="str">
        <f>IF(OR(TH!N4252=TH!$X$7,O4252=TH!$X$7),"x","")</f>
        <v>x</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E4252">
        <v>1</v>
      </c>
    </row>
    <row r="4253" spans="1:31" ht="15.75" customHeight="1">
      <c r="A4253" s="1160" t="str">
        <f>IF(B4253&lt;&gt;"",IF(AND(B4253='IN-TC'!$S$4,OR(TH!N1043="1111",TH!O1043="1111")),TH!D1043,""),"")</f>
        <v/>
      </c>
      <c r="B4253" s="948">
        <f t="shared" si="273"/>
        <v>12</v>
      </c>
      <c r="C4253" s="78">
        <v>42721</v>
      </c>
      <c r="D4253" s="78" t="s">
        <v>2692</v>
      </c>
      <c r="E4253" s="78">
        <f t="shared" si="275"/>
        <v>42721</v>
      </c>
      <c r="F4253" s="80" t="s">
        <v>2495</v>
      </c>
      <c r="G4253" s="934" t="s">
        <v>2753</v>
      </c>
      <c r="H4253" s="310" t="s">
        <v>2512</v>
      </c>
      <c r="I4253" s="406">
        <v>180</v>
      </c>
      <c r="J4253" s="406">
        <v>7500</v>
      </c>
      <c r="K4253" s="397"/>
      <c r="L4253" s="406"/>
      <c r="M4253" s="81">
        <f>ROUND(I4253*J4253,0)</f>
        <v>1350000</v>
      </c>
      <c r="N4253" s="82" t="s">
        <v>270</v>
      </c>
      <c r="O4253" s="82" t="s">
        <v>8</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x</v>
      </c>
      <c r="AC4253" s="82" t="str">
        <f>IF(AND(OR(LEFT(TH!N4253,2)="15",LEFT(TH!O4253,2)="15"),TK!$E$7=TH!F4253),"x","")</f>
        <v/>
      </c>
      <c r="AD4253" s="82" t="str">
        <f>IF(AND(N4253="1521",MONTH(C4253)='BK-NL'!$M$11),"x","")</f>
        <v/>
      </c>
      <c r="AE4253">
        <v>1</v>
      </c>
    </row>
    <row r="4254" spans="1:31" ht="15.75" customHeight="1">
      <c r="A4254" s="323" t="str">
        <f>IF(B4254&lt;&gt;"",IF(AND(B4254='IN-TC'!$S$4,OR(TH!N4113="1111",TH!O4113="1111")),TH!D4113,""),"")</f>
        <v/>
      </c>
      <c r="B4254" s="63">
        <f t="shared" si="273"/>
        <v>11</v>
      </c>
      <c r="C4254" s="64">
        <v>42702</v>
      </c>
      <c r="D4254" s="64" t="s">
        <v>2221</v>
      </c>
      <c r="E4254" s="64">
        <f t="shared" si="275"/>
        <v>42702</v>
      </c>
      <c r="F4254" s="72" t="s">
        <v>2443</v>
      </c>
      <c r="G4254" s="931" t="s">
        <v>2445</v>
      </c>
      <c r="H4254" s="72" t="s">
        <v>823</v>
      </c>
      <c r="I4254" s="408"/>
      <c r="J4254" s="408"/>
      <c r="K4254" s="399"/>
      <c r="L4254" s="408"/>
      <c r="M4254" s="65">
        <v>16050000</v>
      </c>
      <c r="N4254" s="66" t="s">
        <v>99</v>
      </c>
      <c r="O4254" s="66" t="s">
        <v>61</v>
      </c>
      <c r="P4254" s="82" t="str">
        <f>IF(AND('331-CT'!$E$7=TH!H4254,OR(N4254="331",O4254="331")),"x","")</f>
        <v/>
      </c>
      <c r="Q4254" s="82" t="str">
        <f>IF(AND(B4254='111'!$L$11,OR($N4254=$Q$7,$O4254=$Q$7)),"x","")</f>
        <v/>
      </c>
      <c r="R4254" s="82" t="str">
        <f>IF(AND($N4254=$Q$7,$B4254&lt;'111'!$L$11),"x","")</f>
        <v/>
      </c>
      <c r="S4254" s="82" t="str">
        <f>IF(AND($O4254=$Q$7,$B4254&lt;'111'!$L$11),"x","")</f>
        <v>x</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c r="AE4254">
        <v>1</v>
      </c>
    </row>
    <row r="4255" spans="1:31" ht="15.75" customHeight="1">
      <c r="A4255" s="323" t="str">
        <f>IF(B4255&lt;&gt;"",IF(AND(B4255='IN-TC'!$S$4,OR(TH!N4114="1111",TH!O4114="1111")),TH!D4114,""),"")</f>
        <v/>
      </c>
      <c r="B4255" s="63">
        <f t="shared" si="273"/>
        <v>11</v>
      </c>
      <c r="C4255" s="64">
        <v>42702</v>
      </c>
      <c r="D4255" s="64" t="s">
        <v>2221</v>
      </c>
      <c r="E4255" s="64">
        <f t="shared" si="275"/>
        <v>42702</v>
      </c>
      <c r="F4255" s="72" t="s">
        <v>2444</v>
      </c>
      <c r="G4255" s="931" t="s">
        <v>2445</v>
      </c>
      <c r="H4255" s="72" t="s">
        <v>823</v>
      </c>
      <c r="I4255" s="408"/>
      <c r="J4255" s="408"/>
      <c r="K4255" s="399"/>
      <c r="L4255" s="408"/>
      <c r="M4255" s="65">
        <v>1605000</v>
      </c>
      <c r="N4255" s="66" t="s">
        <v>9</v>
      </c>
      <c r="O4255" s="66" t="s">
        <v>61</v>
      </c>
      <c r="P4255" s="82" t="str">
        <f>IF(AND('331-CT'!$E$7=TH!H4255,OR(N4255="331",O4255="331")),"x","")</f>
        <v/>
      </c>
      <c r="Q4255" s="82" t="str">
        <f>IF(AND(B4255='111'!$L$11,OR($N4255=$Q$7,$O4255=$Q$7)),"x","")</f>
        <v/>
      </c>
      <c r="R4255" s="82" t="str">
        <f>IF(AND($N4255=$Q$7,$B4255&lt;'111'!$L$11),"x","")</f>
        <v/>
      </c>
      <c r="S4255" s="82" t="str">
        <f>IF(AND($O4255=$Q$7,$B4255&lt;'111'!$L$11),"x","")</f>
        <v>x</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x</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customHeight="1">
      <c r="A4256" s="1160" t="str">
        <f>IF(B4256&lt;&gt;"",IF(AND(B4256='IN-TC'!$S$4,OR(TH!N1044="1111",TH!O1044="1111")),TH!D1044,""),"")</f>
        <v/>
      </c>
      <c r="B4256" s="948">
        <f t="shared" si="273"/>
        <v>12</v>
      </c>
      <c r="C4256" s="78">
        <v>42721</v>
      </c>
      <c r="D4256" s="78" t="s">
        <v>2692</v>
      </c>
      <c r="E4256" s="78">
        <f t="shared" si="275"/>
        <v>42721</v>
      </c>
      <c r="F4256" s="80" t="s">
        <v>637</v>
      </c>
      <c r="G4256" s="934" t="s">
        <v>2753</v>
      </c>
      <c r="H4256" s="310" t="s">
        <v>2512</v>
      </c>
      <c r="I4256" s="406"/>
      <c r="J4256" s="406"/>
      <c r="K4256" s="397"/>
      <c r="L4256" s="406"/>
      <c r="M4256" s="81">
        <v>135000</v>
      </c>
      <c r="N4256" s="82" t="s">
        <v>9</v>
      </c>
      <c r="O4256" s="82" t="s">
        <v>8</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x</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c r="AE4256">
        <v>1</v>
      </c>
    </row>
    <row r="4257" spans="1:31" ht="15.75" customHeight="1">
      <c r="A4257" s="323" t="str">
        <f>IF(B4257&lt;&gt;"",IF(AND(B4257='IN-TC'!$S$4,OR(TH!N4116="1111",TH!O4116="1111")),TH!D4116,""),"")</f>
        <v/>
      </c>
      <c r="B4257" s="63">
        <f t="shared" si="273"/>
        <v>11</v>
      </c>
      <c r="C4257" s="1092">
        <v>42702</v>
      </c>
      <c r="D4257" s="1092" t="s">
        <v>2924</v>
      </c>
      <c r="E4257" s="1092">
        <f t="shared" si="275"/>
        <v>42702</v>
      </c>
      <c r="F4257" s="482" t="s">
        <v>947</v>
      </c>
      <c r="G4257" s="1094"/>
      <c r="H4257" s="937" t="s">
        <v>3001</v>
      </c>
      <c r="I4257" s="1095"/>
      <c r="J4257" s="1095"/>
      <c r="K4257" s="1096"/>
      <c r="L4257" s="1095"/>
      <c r="M4257" s="1097">
        <v>850000000</v>
      </c>
      <c r="N4257" s="1098" t="s">
        <v>266</v>
      </c>
      <c r="O4257" s="1098" t="s">
        <v>61</v>
      </c>
      <c r="P4257" s="82" t="str">
        <f>IF(AND('331-CT'!$E$7=TH!H4257,OR(N4257="331",O4257="331")),"x","")</f>
        <v/>
      </c>
      <c r="Q4257" s="82" t="str">
        <f>IF(AND(B4257='111'!$L$11,OR($N4257=$Q$7,$O4257=$Q$7)),"x","")</f>
        <v/>
      </c>
      <c r="R4257" s="82" t="str">
        <f>IF(AND($N4257=$Q$7,$B4257&lt;'111'!$L$11),"x","")</f>
        <v/>
      </c>
      <c r="S4257" s="82" t="str">
        <f>IF(AND($O4257=$Q$7,$B4257&lt;'111'!$L$11),"x","")</f>
        <v>x</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customHeight="1">
      <c r="A4258" s="323" t="str">
        <f>IF(B4258&lt;&gt;"",IF(AND(B4258='IN-TC'!$S$4,OR(TH!N4236="1111",TH!O4236="1111")),TH!D4236,""),"")</f>
        <v/>
      </c>
      <c r="B4258" s="63">
        <f t="shared" si="273"/>
        <v>11</v>
      </c>
      <c r="C4258" s="64">
        <v>42702</v>
      </c>
      <c r="D4258" s="64" t="s">
        <v>690</v>
      </c>
      <c r="E4258" s="64">
        <f t="shared" si="275"/>
        <v>42702</v>
      </c>
      <c r="F4258" s="72" t="s">
        <v>2459</v>
      </c>
      <c r="G4258" s="67" t="s">
        <v>1544</v>
      </c>
      <c r="H4258" s="72" t="s">
        <v>1780</v>
      </c>
      <c r="I4258" s="408"/>
      <c r="J4258" s="408"/>
      <c r="K4258" s="399"/>
      <c r="L4258" s="408"/>
      <c r="M4258" s="65">
        <v>1659612</v>
      </c>
      <c r="N4258" s="66" t="s">
        <v>99</v>
      </c>
      <c r="O4258" s="66" t="s">
        <v>25</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x</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c r="AE4258">
        <v>1</v>
      </c>
    </row>
    <row r="4259" spans="1:31" ht="15.75" customHeight="1">
      <c r="A4259" s="323" t="str">
        <f>IF(B4259&lt;&gt;"",IF(AND(B4259='IN-TC'!$S$4,OR(TH!N4237="1111",TH!O4237="1111")),TH!D4237,""),"")</f>
        <v/>
      </c>
      <c r="B4259" s="63">
        <f t="shared" si="273"/>
        <v>11</v>
      </c>
      <c r="C4259" s="64">
        <v>42702</v>
      </c>
      <c r="D4259" s="64" t="s">
        <v>690</v>
      </c>
      <c r="E4259" s="64">
        <f t="shared" si="275"/>
        <v>42702</v>
      </c>
      <c r="F4259" s="72" t="s">
        <v>2481</v>
      </c>
      <c r="G4259" s="67" t="s">
        <v>1544</v>
      </c>
      <c r="H4259" s="72" t="s">
        <v>1780</v>
      </c>
      <c r="I4259" s="408"/>
      <c r="J4259" s="408"/>
      <c r="K4259" s="399"/>
      <c r="L4259" s="408"/>
      <c r="M4259" s="65">
        <v>165961</v>
      </c>
      <c r="N4259" s="66" t="s">
        <v>9</v>
      </c>
      <c r="O4259" s="66" t="s">
        <v>25</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x</v>
      </c>
      <c r="W4259" s="82" t="str">
        <f>IF(AND('341-CT'!$H$9=H4259,OR(LEFT(N4259,3)=$W$7,LEFT(O4259,3)=$W$7)),"x","")</f>
        <v/>
      </c>
      <c r="X4259" s="82" t="str">
        <f>IF(OR(TH!N4259=TH!$X$7,O4259=TH!$X$7),"x","")</f>
        <v>x</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c r="AE4259">
        <v>1</v>
      </c>
    </row>
    <row r="4260" spans="1:31" ht="15.75" customHeight="1">
      <c r="A4260" s="323" t="str">
        <f>IF(B4260&lt;&gt;"",IF(AND(B4260='IN-TC'!$S$4,OR(TH!N4117="1111",TH!O4117="1111")),TH!D4117,""),"")</f>
        <v/>
      </c>
      <c r="B4260" s="63">
        <f t="shared" si="273"/>
        <v>11</v>
      </c>
      <c r="C4260" s="64">
        <v>42703</v>
      </c>
      <c r="D4260" s="64" t="s">
        <v>2925</v>
      </c>
      <c r="E4260" s="64">
        <f t="shared" si="275"/>
        <v>42703</v>
      </c>
      <c r="F4260" s="72" t="s">
        <v>2407</v>
      </c>
      <c r="G4260" s="931" t="s">
        <v>2446</v>
      </c>
      <c r="H4260" s="72" t="s">
        <v>1020</v>
      </c>
      <c r="I4260" s="408"/>
      <c r="J4260" s="408"/>
      <c r="K4260" s="399"/>
      <c r="L4260" s="408"/>
      <c r="M4260" s="65">
        <v>1620000</v>
      </c>
      <c r="N4260" s="66" t="s">
        <v>99</v>
      </c>
      <c r="O4260" s="66" t="s">
        <v>61</v>
      </c>
      <c r="P4260" s="82" t="str">
        <f>IF(AND('331-CT'!$E$7=TH!H4260,OR(N4260="331",O4260="331")),"x","")</f>
        <v/>
      </c>
      <c r="Q4260" s="82" t="str">
        <f>IF(AND(B4260='111'!$L$11,OR($N4260=$Q$7,$O4260=$Q$7)),"x","")</f>
        <v/>
      </c>
      <c r="R4260" s="82" t="str">
        <f>IF(AND($N4260=$Q$7,$B4260&lt;'111'!$L$11),"x","")</f>
        <v/>
      </c>
      <c r="S4260" s="82" t="str">
        <f>IF(AND($O4260=$Q$7,$B4260&lt;'111'!$L$11),"x","")</f>
        <v>x</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1" ht="15.75" customHeight="1">
      <c r="A4261" s="323" t="str">
        <f>IF(B4261&lt;&gt;"",IF(AND(B4261='IN-TC'!$S$4,OR(TH!N4378="1111",TH!O4378="1111")),TH!D4378,""),"")</f>
        <v/>
      </c>
      <c r="B4261" s="63">
        <f t="shared" si="273"/>
        <v>12</v>
      </c>
      <c r="C4261" s="64">
        <v>42721</v>
      </c>
      <c r="D4261" s="64" t="s">
        <v>2220</v>
      </c>
      <c r="E4261" s="64">
        <f t="shared" si="275"/>
        <v>42721</v>
      </c>
      <c r="F4261" s="72" t="s">
        <v>2510</v>
      </c>
      <c r="G4261" s="931" t="s">
        <v>2753</v>
      </c>
      <c r="H4261" s="72" t="s">
        <v>2512</v>
      </c>
      <c r="I4261" s="408"/>
      <c r="J4261" s="408"/>
      <c r="K4261" s="399"/>
      <c r="L4261" s="408"/>
      <c r="M4261" s="65">
        <v>1485000</v>
      </c>
      <c r="N4261" s="66" t="s">
        <v>8</v>
      </c>
      <c r="O4261" s="66" t="s">
        <v>61</v>
      </c>
      <c r="P4261" s="82" t="str">
        <f>IF(AND('331-CT'!$E$7=TH!H4261,OR(N4261="331",O4261="331")),"x","")</f>
        <v/>
      </c>
      <c r="Q4261" s="82" t="str">
        <f>IF(AND(B4261='111'!$L$11,OR($N4261=$Q$7,$O4261=$Q$7)),"x","")</f>
        <v>x</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1" ht="15.75" customHeight="1">
      <c r="A4262" s="323" t="str">
        <f>IF(B4262&lt;&gt;"",IF(AND(B4262='IN-TC'!$S$4,OR(TH!N4608="1111",TH!O4608="1111")),TH!D4608,""),"")</f>
        <v/>
      </c>
      <c r="B4262" s="63">
        <f t="shared" si="273"/>
        <v>12</v>
      </c>
      <c r="C4262" s="64">
        <v>42717</v>
      </c>
      <c r="D4262" s="64" t="s">
        <v>687</v>
      </c>
      <c r="E4262" s="64">
        <f t="shared" si="275"/>
        <v>42717</v>
      </c>
      <c r="F4262" s="72" t="s">
        <v>1436</v>
      </c>
      <c r="G4262" s="67" t="s">
        <v>1544</v>
      </c>
      <c r="H4262" s="72" t="s">
        <v>1887</v>
      </c>
      <c r="I4262" s="408"/>
      <c r="J4262" s="408"/>
      <c r="K4262" s="399">
        <v>291188</v>
      </c>
      <c r="L4262" s="408">
        <v>22720</v>
      </c>
      <c r="M4262" s="65">
        <f>K4262*L4262</f>
        <v>6615791360</v>
      </c>
      <c r="N4262" s="66" t="s">
        <v>260</v>
      </c>
      <c r="O4262" s="66" t="s">
        <v>576</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1" ht="15.75" customHeight="1">
      <c r="A4263" s="323" t="str">
        <f>IF(B4263&lt;&gt;"",IF(AND(B4263='IN-TC'!$S$4,OR(TH!N4611="1111",TH!O4611="1111")),TH!D4611,""),"")</f>
        <v/>
      </c>
      <c r="B4263" s="63">
        <f t="shared" si="273"/>
        <v>12</v>
      </c>
      <c r="C4263" s="64">
        <v>42717</v>
      </c>
      <c r="D4263" s="64" t="s">
        <v>570</v>
      </c>
      <c r="E4263" s="64">
        <f t="shared" si="275"/>
        <v>42717</v>
      </c>
      <c r="F4263" s="72" t="s">
        <v>1968</v>
      </c>
      <c r="G4263" s="67" t="s">
        <v>1544</v>
      </c>
      <c r="H4263" s="72" t="s">
        <v>1887</v>
      </c>
      <c r="I4263" s="408"/>
      <c r="J4263" s="408"/>
      <c r="K4263" s="399">
        <v>12</v>
      </c>
      <c r="L4263" s="408">
        <v>22720</v>
      </c>
      <c r="M4263" s="65">
        <f>K4263*L4263</f>
        <v>272640</v>
      </c>
      <c r="N4263" s="66" t="s">
        <v>99</v>
      </c>
      <c r="O4263" s="66" t="s">
        <v>576</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c r="AE4263">
        <v>1</v>
      </c>
    </row>
    <row r="4264" spans="1:31" ht="15.75" customHeight="1">
      <c r="A4264" s="1160" t="str">
        <f>IF(B4264&lt;&gt;"",IF(AND(B4264='IN-TC'!$S$4,OR(TH!N4612="1111",TH!O4612="1111")),TH!D4612,""),"")</f>
        <v/>
      </c>
      <c r="B4264" s="948">
        <f t="shared" si="273"/>
        <v>12</v>
      </c>
      <c r="C4264" s="78">
        <v>42717</v>
      </c>
      <c r="D4264" s="78" t="s">
        <v>570</v>
      </c>
      <c r="E4264" s="78">
        <f t="shared" si="275"/>
        <v>42717</v>
      </c>
      <c r="F4264" s="80" t="s">
        <v>1049</v>
      </c>
      <c r="G4264" s="79" t="s">
        <v>1544</v>
      </c>
      <c r="H4264" s="80" t="s">
        <v>1887</v>
      </c>
      <c r="I4264" s="406"/>
      <c r="J4264" s="406"/>
      <c r="K4264" s="397"/>
      <c r="L4264" s="406"/>
      <c r="M4264" s="81">
        <v>11648000</v>
      </c>
      <c r="N4264" s="82" t="s">
        <v>576</v>
      </c>
      <c r="O4264" s="82" t="s">
        <v>41</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customHeight="1">
      <c r="A4265" s="323" t="str">
        <f>IF(B4265&lt;&gt;"",IF(AND(B4265='IN-TC'!$S$4,OR(TH!N4238="1111",TH!O4238="1111")),TH!D4238,""),"")</f>
        <v/>
      </c>
      <c r="B4265" s="63">
        <f t="shared" si="273"/>
        <v>11</v>
      </c>
      <c r="C4265" s="64">
        <v>42703</v>
      </c>
      <c r="D4265" s="64" t="s">
        <v>687</v>
      </c>
      <c r="E4265" s="64">
        <f t="shared" si="275"/>
        <v>42703</v>
      </c>
      <c r="F4265" s="72" t="s">
        <v>1425</v>
      </c>
      <c r="G4265" s="67" t="s">
        <v>1544</v>
      </c>
      <c r="H4265" s="72" t="s">
        <v>1780</v>
      </c>
      <c r="I4265" s="408"/>
      <c r="J4265" s="408"/>
      <c r="K4265" s="399">
        <v>145500</v>
      </c>
      <c r="L4265" s="408">
        <v>22701</v>
      </c>
      <c r="M4265" s="65">
        <f>K4265*L4265</f>
        <v>3302995500</v>
      </c>
      <c r="N4265" s="66" t="s">
        <v>25</v>
      </c>
      <c r="O4265" s="66" t="s">
        <v>260</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x</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customHeight="1">
      <c r="A4266" s="323" t="str">
        <f>IF(B4266&lt;&gt;"",IF(AND(B4266='IN-TC'!$S$4,OR(TH!N2129="1111",TH!O2129="1111")),TH!D2129,""),"")</f>
        <v/>
      </c>
      <c r="B4266" s="63">
        <f t="shared" si="273"/>
        <v>11</v>
      </c>
      <c r="C4266" s="78">
        <v>42703</v>
      </c>
      <c r="D4266" s="78" t="s">
        <v>570</v>
      </c>
      <c r="E4266" s="78">
        <v>42703</v>
      </c>
      <c r="F4266" s="80" t="s">
        <v>2488</v>
      </c>
      <c r="G4266" s="934" t="s">
        <v>2489</v>
      </c>
      <c r="H4266" s="80" t="s">
        <v>614</v>
      </c>
      <c r="I4266" s="406"/>
      <c r="J4266" s="406"/>
      <c r="K4266" s="397"/>
      <c r="L4266" s="406"/>
      <c r="M4266" s="81">
        <v>3555000</v>
      </c>
      <c r="N4266" s="82" t="s">
        <v>579</v>
      </c>
      <c r="O4266" s="82" t="s">
        <v>8</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customHeight="1">
      <c r="A4267" s="323" t="str">
        <f>IF(B4267&lt;&gt;"",IF(AND(B4267='IN-TC'!$S$4,OR(TH!N4240="1111",TH!O4240="1111")),TH!D4240,""),"")</f>
        <v/>
      </c>
      <c r="B4267" s="63">
        <f t="shared" si="273"/>
        <v>11</v>
      </c>
      <c r="C4267" s="64">
        <v>42703</v>
      </c>
      <c r="D4267" s="64" t="s">
        <v>690</v>
      </c>
      <c r="E4267" s="64">
        <f t="shared" ref="E4267:E4305" si="276">C4267</f>
        <v>42703</v>
      </c>
      <c r="F4267" s="72" t="s">
        <v>1156</v>
      </c>
      <c r="G4267" s="67" t="s">
        <v>1544</v>
      </c>
      <c r="H4267" s="72" t="s">
        <v>1780</v>
      </c>
      <c r="I4267" s="408"/>
      <c r="J4267" s="408"/>
      <c r="K4267" s="399"/>
      <c r="L4267" s="408"/>
      <c r="M4267" s="65">
        <v>10000</v>
      </c>
      <c r="N4267" s="66" t="s">
        <v>99</v>
      </c>
      <c r="O4267" s="66" t="s">
        <v>25</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x</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c r="AE4267">
        <v>1</v>
      </c>
    </row>
    <row r="4268" spans="1:31" ht="15.75" customHeight="1">
      <c r="A4268" s="323" t="str">
        <f>IF(B4268&lt;&gt;"",IF(AND(B4268='IN-TC'!$S$4,OR(TH!N4241="1111",TH!O4241="1111")),TH!D4241,""),"")</f>
        <v/>
      </c>
      <c r="B4268" s="63">
        <f t="shared" si="273"/>
        <v>11</v>
      </c>
      <c r="C4268" s="64">
        <v>42703</v>
      </c>
      <c r="D4268" s="64" t="s">
        <v>690</v>
      </c>
      <c r="E4268" s="64">
        <f t="shared" si="276"/>
        <v>42703</v>
      </c>
      <c r="F4268" s="72" t="s">
        <v>1616</v>
      </c>
      <c r="G4268" s="67" t="s">
        <v>1544</v>
      </c>
      <c r="H4268" s="72" t="s">
        <v>1780</v>
      </c>
      <c r="I4268" s="408"/>
      <c r="J4268" s="408"/>
      <c r="K4268" s="399"/>
      <c r="L4268" s="408"/>
      <c r="M4268" s="65">
        <v>1000</v>
      </c>
      <c r="N4268" s="66" t="s">
        <v>9</v>
      </c>
      <c r="O4268" s="66" t="s">
        <v>25</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x</v>
      </c>
      <c r="W4268" s="82" t="str">
        <f>IF(AND('341-CT'!$H$9=H4268,OR(LEFT(N4268,3)=$W$7,LEFT(O4268,3)=$W$7)),"x","")</f>
        <v/>
      </c>
      <c r="X4268" s="82" t="str">
        <f>IF(OR(TH!N4268=TH!$X$7,O4268=TH!$X$7),"x","")</f>
        <v>x</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c r="AE4268">
        <v>1</v>
      </c>
    </row>
    <row r="4269" spans="1:31" ht="15.75" customHeight="1">
      <c r="A4269" s="1227" t="str">
        <f>IF(B4269&lt;&gt;"",IF(AND(B4269='IN-TC'!$S$4,OR(TH!N626="1111",TH!O626="1111")),TH!D626,""),"")</f>
        <v/>
      </c>
      <c r="B4269" s="1228">
        <f t="shared" si="273"/>
        <v>12</v>
      </c>
      <c r="C4269" s="1229">
        <v>42730</v>
      </c>
      <c r="D4269" s="1229" t="s">
        <v>2987</v>
      </c>
      <c r="E4269" s="1229">
        <f t="shared" si="276"/>
        <v>42730</v>
      </c>
      <c r="F4269" s="1230" t="s">
        <v>455</v>
      </c>
      <c r="G4269" s="1231" t="s">
        <v>2796</v>
      </c>
      <c r="H4269" s="1232" t="s">
        <v>1198</v>
      </c>
      <c r="I4269" s="1233">
        <f>26390*2</f>
        <v>52780</v>
      </c>
      <c r="J4269" s="1233">
        <v>61000</v>
      </c>
      <c r="K4269" s="1234"/>
      <c r="L4269" s="1233"/>
      <c r="M4269" s="1235">
        <f>ROUND(I4269*J4269,0)</f>
        <v>3219580000</v>
      </c>
      <c r="N4269" s="1236" t="s">
        <v>276</v>
      </c>
      <c r="O4269" s="1236" t="s">
        <v>278</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customHeight="1">
      <c r="A4270" s="323" t="str">
        <f>IF(B4270&lt;&gt;"",IF(AND(B4270='IN-TC'!$S$4,OR(TH!N4243="1111",TH!O4243="1111")),TH!D4243,""),"")</f>
        <v/>
      </c>
      <c r="B4270" s="63">
        <f t="shared" ref="B4270:B4333" si="277">IF(C4270&lt;&gt;"",MONTH(C4270),"")</f>
        <v>11</v>
      </c>
      <c r="C4270" s="64">
        <v>42703</v>
      </c>
      <c r="D4270" s="64" t="s">
        <v>690</v>
      </c>
      <c r="E4270" s="64">
        <f t="shared" si="276"/>
        <v>42703</v>
      </c>
      <c r="F4270" s="72" t="s">
        <v>1156</v>
      </c>
      <c r="G4270" s="67" t="s">
        <v>1544</v>
      </c>
      <c r="H4270" s="72" t="s">
        <v>1780</v>
      </c>
      <c r="I4270" s="408"/>
      <c r="J4270" s="408"/>
      <c r="K4270" s="399"/>
      <c r="L4270" s="408"/>
      <c r="M4270" s="65">
        <v>10000</v>
      </c>
      <c r="N4270" s="66" t="s">
        <v>99</v>
      </c>
      <c r="O4270" s="66" t="s">
        <v>25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x</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c r="AE4270">
        <v>1</v>
      </c>
    </row>
    <row r="4271" spans="1:31" ht="15.75" customHeight="1">
      <c r="A4271" s="323" t="str">
        <f>IF(B4271&lt;&gt;"",IF(AND(B4271='IN-TC'!$S$4,OR(TH!N4244="1111",TH!O4244="1111")),TH!D4244,""),"")</f>
        <v/>
      </c>
      <c r="B4271" s="63">
        <f t="shared" si="277"/>
        <v>11</v>
      </c>
      <c r="C4271" s="64">
        <v>42703</v>
      </c>
      <c r="D4271" s="64" t="s">
        <v>690</v>
      </c>
      <c r="E4271" s="64">
        <f t="shared" si="276"/>
        <v>42703</v>
      </c>
      <c r="F4271" s="72" t="s">
        <v>1616</v>
      </c>
      <c r="G4271" s="67" t="s">
        <v>1544</v>
      </c>
      <c r="H4271" s="72" t="s">
        <v>1780</v>
      </c>
      <c r="I4271" s="408"/>
      <c r="J4271" s="408"/>
      <c r="K4271" s="399"/>
      <c r="L4271" s="408"/>
      <c r="M4271" s="65">
        <v>1000</v>
      </c>
      <c r="N4271" s="66" t="s">
        <v>9</v>
      </c>
      <c r="O4271" s="66" t="s">
        <v>25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x</v>
      </c>
      <c r="W4271" s="82" t="str">
        <f>IF(AND('341-CT'!$H$9=H4271,OR(LEFT(N4271,3)=$W$7,LEFT(O4271,3)=$W$7)),"x","")</f>
        <v/>
      </c>
      <c r="X4271" s="82" t="str">
        <f>IF(OR(TH!N4271=TH!$X$7,O4271=TH!$X$7),"x","")</f>
        <v>x</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customHeight="1">
      <c r="A4272" s="323" t="str">
        <f>IF(B4272&lt;&gt;"",IF(AND(B4272='IN-TC'!$S$4,OR(TH!N4495="1111",TH!O4495="1111")),TH!D4495,""),"")</f>
        <v/>
      </c>
      <c r="B4272" s="63">
        <f t="shared" si="277"/>
        <v>12</v>
      </c>
      <c r="C4272" s="64">
        <v>42726</v>
      </c>
      <c r="D4272" s="64" t="s">
        <v>690</v>
      </c>
      <c r="E4272" s="64">
        <f t="shared" si="276"/>
        <v>42726</v>
      </c>
      <c r="F4272" s="72" t="s">
        <v>1532</v>
      </c>
      <c r="G4272" s="67" t="s">
        <v>901</v>
      </c>
      <c r="H4272" s="72" t="s">
        <v>2224</v>
      </c>
      <c r="I4272" s="408"/>
      <c r="J4272" s="408"/>
      <c r="K4272" s="399"/>
      <c r="L4272" s="408"/>
      <c r="M4272" s="65">
        <v>1477840000</v>
      </c>
      <c r="N4272" s="66" t="s">
        <v>8</v>
      </c>
      <c r="O4272" s="66" t="s">
        <v>25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2" ht="15.75" customHeight="1">
      <c r="A4273" s="323" t="str">
        <f>IF(B4273&lt;&gt;"",IF(AND(B4273='IN-TC'!$S$4,OR(TH!N4246="1111",TH!O4246="1111")),TH!D4246,""),"")</f>
        <v/>
      </c>
      <c r="B4273" s="63">
        <f t="shared" si="277"/>
        <v>11</v>
      </c>
      <c r="C4273" s="64">
        <v>42703</v>
      </c>
      <c r="D4273" s="64" t="s">
        <v>690</v>
      </c>
      <c r="E4273" s="64">
        <f t="shared" si="276"/>
        <v>42703</v>
      </c>
      <c r="F4273" s="72" t="s">
        <v>1156</v>
      </c>
      <c r="G4273" s="67" t="s">
        <v>1544</v>
      </c>
      <c r="H4273" s="72" t="s">
        <v>1780</v>
      </c>
      <c r="I4273" s="408"/>
      <c r="J4273" s="408"/>
      <c r="K4273" s="399"/>
      <c r="L4273" s="408"/>
      <c r="M4273" s="65">
        <v>502230</v>
      </c>
      <c r="N4273" s="66" t="s">
        <v>99</v>
      </c>
      <c r="O4273" s="66" t="s">
        <v>25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x</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c r="AE4273">
        <v>1</v>
      </c>
    </row>
    <row r="4274" spans="1:32" ht="15.75" customHeight="1">
      <c r="A4274" s="323" t="str">
        <f>IF(B4274&lt;&gt;"",IF(AND(B4274='IN-TC'!$S$4,OR(TH!N4247="1111",TH!O4247="1111")),TH!D4247,""),"")</f>
        <v/>
      </c>
      <c r="B4274" s="63">
        <f t="shared" si="277"/>
        <v>11</v>
      </c>
      <c r="C4274" s="64">
        <v>42703</v>
      </c>
      <c r="D4274" s="64" t="s">
        <v>690</v>
      </c>
      <c r="E4274" s="64">
        <f t="shared" si="276"/>
        <v>42703</v>
      </c>
      <c r="F4274" s="72" t="s">
        <v>1616</v>
      </c>
      <c r="G4274" s="67" t="s">
        <v>1544</v>
      </c>
      <c r="H4274" s="72" t="s">
        <v>1780</v>
      </c>
      <c r="I4274" s="408"/>
      <c r="J4274" s="408"/>
      <c r="K4274" s="399"/>
      <c r="L4274" s="408"/>
      <c r="M4274" s="65">
        <v>50223</v>
      </c>
      <c r="N4274" s="66" t="s">
        <v>9</v>
      </c>
      <c r="O4274" s="66" t="s">
        <v>25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x</v>
      </c>
      <c r="W4274" s="82" t="str">
        <f>IF(AND('341-CT'!$H$9=H4274,OR(LEFT(N4274,3)=$W$7,LEFT(O4274,3)=$W$7)),"x","")</f>
        <v/>
      </c>
      <c r="X4274" s="82" t="str">
        <f>IF(OR(TH!N4274=TH!$X$7,O4274=TH!$X$7),"x","")</f>
        <v>x</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c r="AE4274">
        <v>1</v>
      </c>
    </row>
    <row r="4275" spans="1:32" ht="15.75" customHeight="1">
      <c r="A4275" s="323" t="str">
        <f>IF(B4275&lt;&gt;"",IF(AND(B4275='IN-TC'!$S$4,OR(TH!N584="1111",TH!O584="1111")),TH!D584,""),"")</f>
        <v/>
      </c>
      <c r="B4275" s="63">
        <f t="shared" si="277"/>
        <v>12</v>
      </c>
      <c r="C4275" s="78">
        <v>42720</v>
      </c>
      <c r="D4275" s="78" t="s">
        <v>2378</v>
      </c>
      <c r="E4275" s="78">
        <f t="shared" si="276"/>
        <v>42720</v>
      </c>
      <c r="F4275" s="79" t="s">
        <v>455</v>
      </c>
      <c r="G4275" s="934" t="s">
        <v>2660</v>
      </c>
      <c r="H4275" s="80" t="s">
        <v>2323</v>
      </c>
      <c r="I4275" s="406">
        <v>21400</v>
      </c>
      <c r="J4275" s="406">
        <v>60000</v>
      </c>
      <c r="K4275" s="397"/>
      <c r="L4275" s="406"/>
      <c r="M4275" s="81">
        <f>ROUND(I4275*J4275,0)</f>
        <v>1284000000</v>
      </c>
      <c r="N4275" s="82" t="s">
        <v>278</v>
      </c>
      <c r="O4275" s="82" t="s">
        <v>8</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2" ht="15.75" customHeight="1">
      <c r="A4276" s="323" t="str">
        <f>IF(B4276&lt;&gt;"",IF(AND(B4276='IN-TC'!$S$4,OR(TH!N4249="1111",TH!O4249="1111")),TH!D4249,""),"")</f>
        <v/>
      </c>
      <c r="B4276" s="63">
        <f t="shared" si="277"/>
        <v>11</v>
      </c>
      <c r="C4276" s="64">
        <v>42703</v>
      </c>
      <c r="D4276" s="64" t="s">
        <v>690</v>
      </c>
      <c r="E4276" s="64">
        <f t="shared" si="276"/>
        <v>42703</v>
      </c>
      <c r="F4276" s="72" t="s">
        <v>1156</v>
      </c>
      <c r="G4276" s="67" t="s">
        <v>1544</v>
      </c>
      <c r="H4276" s="72" t="s">
        <v>1780</v>
      </c>
      <c r="I4276" s="408"/>
      <c r="J4276" s="408"/>
      <c r="K4276" s="399"/>
      <c r="L4276" s="408"/>
      <c r="M4276" s="65">
        <v>452400</v>
      </c>
      <c r="N4276" s="66" t="s">
        <v>99</v>
      </c>
      <c r="O4276" s="66" t="s">
        <v>25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x</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c r="AE4276">
        <v>1</v>
      </c>
    </row>
    <row r="4277" spans="1:32" ht="15.75" customHeight="1">
      <c r="A4277" s="323" t="str">
        <f>IF(B4277&lt;&gt;"",IF(AND(B4277='IN-TC'!$S$4,OR(TH!N4250="1111",TH!O4250="1111")),TH!D4250,""),"")</f>
        <v/>
      </c>
      <c r="B4277" s="63">
        <f t="shared" si="277"/>
        <v>11</v>
      </c>
      <c r="C4277" s="64">
        <v>42703</v>
      </c>
      <c r="D4277" s="64" t="s">
        <v>690</v>
      </c>
      <c r="E4277" s="64">
        <f t="shared" si="276"/>
        <v>42703</v>
      </c>
      <c r="F4277" s="72" t="s">
        <v>1616</v>
      </c>
      <c r="G4277" s="67" t="s">
        <v>1544</v>
      </c>
      <c r="H4277" s="72" t="s">
        <v>1780</v>
      </c>
      <c r="I4277" s="408"/>
      <c r="J4277" s="408"/>
      <c r="K4277" s="399"/>
      <c r="L4277" s="408"/>
      <c r="M4277" s="65">
        <v>45240</v>
      </c>
      <c r="N4277" s="66" t="s">
        <v>9</v>
      </c>
      <c r="O4277" s="66" t="s">
        <v>25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x</v>
      </c>
      <c r="W4277" s="82" t="str">
        <f>IF(AND('341-CT'!$H$9=H4277,OR(LEFT(N4277,3)=$W$7,LEFT(O4277,3)=$W$7)),"x","")</f>
        <v/>
      </c>
      <c r="X4277" s="82" t="str">
        <f>IF(OR(TH!N4277=TH!$X$7,O4277=TH!$X$7),"x","")</f>
        <v>x</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c r="AE4277">
        <v>1</v>
      </c>
    </row>
    <row r="4278" spans="1:32" ht="15.75" customHeight="1">
      <c r="A4278" s="323" t="str">
        <f>IF(B4278&lt;&gt;"",IF(AND(B4278='IN-TC'!$S$4,OR(TH!N4251="1111",TH!O4251="1111")),TH!D4251,""),"")</f>
        <v/>
      </c>
      <c r="B4278" s="63">
        <f t="shared" si="277"/>
        <v>11</v>
      </c>
      <c r="C4278" s="64">
        <v>42703</v>
      </c>
      <c r="D4278" s="64" t="s">
        <v>690</v>
      </c>
      <c r="E4278" s="64">
        <f t="shared" si="276"/>
        <v>42703</v>
      </c>
      <c r="F4278" s="72" t="s">
        <v>1156</v>
      </c>
      <c r="G4278" s="67" t="s">
        <v>1544</v>
      </c>
      <c r="H4278" s="72" t="s">
        <v>1780</v>
      </c>
      <c r="I4278" s="408"/>
      <c r="J4278" s="408"/>
      <c r="K4278" s="399"/>
      <c r="L4278" s="408"/>
      <c r="M4278" s="65">
        <v>10000</v>
      </c>
      <c r="N4278" s="66" t="s">
        <v>99</v>
      </c>
      <c r="O4278" s="66" t="s">
        <v>25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x</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c r="AE4278">
        <v>1</v>
      </c>
    </row>
    <row r="4279" spans="1:32" ht="15.75" customHeight="1">
      <c r="A4279" s="323" t="str">
        <f>IF(B4279&lt;&gt;"",IF(AND(B4279='IN-TC'!$S$4,OR(TH!N4252="1111",TH!O4252="1111")),TH!D4252,""),"")</f>
        <v/>
      </c>
      <c r="B4279" s="63">
        <f t="shared" si="277"/>
        <v>11</v>
      </c>
      <c r="C4279" s="64">
        <v>42703</v>
      </c>
      <c r="D4279" s="64" t="s">
        <v>690</v>
      </c>
      <c r="E4279" s="64">
        <f t="shared" si="276"/>
        <v>42703</v>
      </c>
      <c r="F4279" s="72" t="s">
        <v>1616</v>
      </c>
      <c r="G4279" s="67" t="s">
        <v>1544</v>
      </c>
      <c r="H4279" s="72" t="s">
        <v>1780</v>
      </c>
      <c r="I4279" s="408"/>
      <c r="J4279" s="408"/>
      <c r="K4279" s="399"/>
      <c r="L4279" s="408"/>
      <c r="M4279" s="65">
        <v>1000</v>
      </c>
      <c r="N4279" s="66" t="s">
        <v>9</v>
      </c>
      <c r="O4279" s="66" t="s">
        <v>25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x</v>
      </c>
      <c r="W4279" s="82" t="str">
        <f>IF(AND('341-CT'!$H$9=H4279,OR(LEFT(N4279,3)=$W$7,LEFT(O4279,3)=$W$7)),"x","")</f>
        <v/>
      </c>
      <c r="X4279" s="82" t="str">
        <f>IF(OR(TH!N4279=TH!$X$7,O4279=TH!$X$7),"x","")</f>
        <v>x</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c r="AE4279">
        <v>1</v>
      </c>
    </row>
    <row r="4280" spans="1:32" ht="15.75" customHeight="1">
      <c r="A4280" s="323" t="str">
        <f>IF(B4280&lt;&gt;"",IF(AND(B4280='IN-TC'!$S$4,OR(TH!N4119="1111",TH!O4119="1111")),TH!D4119,""),"")</f>
        <v/>
      </c>
      <c r="B4280" s="63">
        <f t="shared" si="277"/>
        <v>11</v>
      </c>
      <c r="C4280" s="64">
        <v>42704</v>
      </c>
      <c r="D4280" s="64" t="s">
        <v>2927</v>
      </c>
      <c r="E4280" s="64">
        <f t="shared" si="276"/>
        <v>42704</v>
      </c>
      <c r="F4280" s="72" t="s">
        <v>2419</v>
      </c>
      <c r="G4280" s="931" t="s">
        <v>2447</v>
      </c>
      <c r="H4280" s="72" t="s">
        <v>792</v>
      </c>
      <c r="I4280" s="408"/>
      <c r="J4280" s="408"/>
      <c r="K4280" s="399"/>
      <c r="L4280" s="408"/>
      <c r="M4280" s="65">
        <v>2943191</v>
      </c>
      <c r="N4280" s="66" t="s">
        <v>99</v>
      </c>
      <c r="O4280" s="66" t="s">
        <v>61</v>
      </c>
      <c r="P4280" s="82" t="str">
        <f>IF(AND('331-CT'!$E$7=TH!H4280,OR(N4280="331",O4280="331")),"x","")</f>
        <v/>
      </c>
      <c r="Q4280" s="82" t="str">
        <f>IF(AND(B4280='111'!$L$11,OR($N4280=$Q$7,$O4280=$Q$7)),"x","")</f>
        <v/>
      </c>
      <c r="R4280" s="82" t="str">
        <f>IF(AND($N4280=$Q$7,$B4280&lt;'111'!$L$11),"x","")</f>
        <v/>
      </c>
      <c r="S4280" s="82" t="str">
        <f>IF(AND($O4280=$Q$7,$B4280&lt;'111'!$L$11),"x","")</f>
        <v>x</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c r="AE4280">
        <v>1</v>
      </c>
    </row>
    <row r="4281" spans="1:32" ht="15.75" customHeight="1">
      <c r="A4281" s="323" t="str">
        <f>IF(B4281&lt;&gt;"",IF(AND(B4281='IN-TC'!$S$4,OR(TH!N4120="1111",TH!O4120="1111")),TH!D4120,""),"")</f>
        <v/>
      </c>
      <c r="B4281" s="63">
        <f t="shared" si="277"/>
        <v>11</v>
      </c>
      <c r="C4281" s="64">
        <v>42704</v>
      </c>
      <c r="D4281" s="64" t="s">
        <v>2927</v>
      </c>
      <c r="E4281" s="64">
        <f t="shared" si="276"/>
        <v>42704</v>
      </c>
      <c r="F4281" s="72" t="s">
        <v>2420</v>
      </c>
      <c r="G4281" s="931" t="s">
        <v>2447</v>
      </c>
      <c r="H4281" s="72" t="s">
        <v>792</v>
      </c>
      <c r="I4281" s="408"/>
      <c r="J4281" s="408"/>
      <c r="K4281" s="399"/>
      <c r="L4281" s="408"/>
      <c r="M4281" s="65">
        <v>294319</v>
      </c>
      <c r="N4281" s="66" t="s">
        <v>9</v>
      </c>
      <c r="O4281" s="66" t="s">
        <v>61</v>
      </c>
      <c r="P4281" s="82" t="str">
        <f>IF(AND('331-CT'!$E$7=TH!H4281,OR(N4281="331",O4281="331")),"x","")</f>
        <v/>
      </c>
      <c r="Q4281" s="82" t="str">
        <f>IF(AND(B4281='111'!$L$11,OR($N4281=$Q$7,$O4281=$Q$7)),"x","")</f>
        <v/>
      </c>
      <c r="R4281" s="82" t="str">
        <f>IF(AND($N4281=$Q$7,$B4281&lt;'111'!$L$11),"x","")</f>
        <v/>
      </c>
      <c r="S4281" s="82" t="str">
        <f>IF(AND($O4281=$Q$7,$B4281&lt;'111'!$L$11),"x","")</f>
        <v>x</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x</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c r="AE4281">
        <v>1</v>
      </c>
    </row>
    <row r="4282" spans="1:32" ht="15.75" customHeight="1">
      <c r="A4282" s="323" t="str">
        <f>IF(B4282&lt;&gt;"",IF(AND(B4282='IN-TC'!$S$4,OR(TH!N4121="1111",TH!O4121="1111")),TH!D4121,""),"")</f>
        <v/>
      </c>
      <c r="B4282" s="63">
        <f t="shared" si="277"/>
        <v>11</v>
      </c>
      <c r="C4282" s="64">
        <v>42704</v>
      </c>
      <c r="D4282" s="64" t="s">
        <v>2928</v>
      </c>
      <c r="E4282" s="64">
        <f t="shared" si="276"/>
        <v>42704</v>
      </c>
      <c r="F4282" s="72" t="s">
        <v>1341</v>
      </c>
      <c r="G4282" s="931"/>
      <c r="H4282" s="72" t="s">
        <v>1343</v>
      </c>
      <c r="I4282" s="408"/>
      <c r="J4282" s="408"/>
      <c r="K4282" s="399"/>
      <c r="L4282" s="408"/>
      <c r="M4282" s="65">
        <v>1945455</v>
      </c>
      <c r="N4282" s="66" t="s">
        <v>99</v>
      </c>
      <c r="O4282" s="66" t="s">
        <v>61</v>
      </c>
      <c r="P4282" s="82" t="str">
        <f>IF(AND('331-CT'!$E$7=TH!H4282,OR(N4282="331",O4282="331")),"x","")</f>
        <v/>
      </c>
      <c r="Q4282" s="82" t="str">
        <f>IF(AND(B4282='111'!$L$11,OR($N4282=$Q$7,$O4282=$Q$7)),"x","")</f>
        <v/>
      </c>
      <c r="R4282" s="82" t="str">
        <f>IF(AND($N4282=$Q$7,$B4282&lt;'111'!$L$11),"x","")</f>
        <v/>
      </c>
      <c r="S4282" s="82" t="str">
        <f>IF(AND($O4282=$Q$7,$B4282&lt;'111'!$L$11),"x","")</f>
        <v>x</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c r="AE4282">
        <v>1</v>
      </c>
    </row>
    <row r="4283" spans="1:32" ht="15.75" customHeight="1">
      <c r="A4283" s="323" t="str">
        <f>IF(B4283&lt;&gt;"",IF(AND(B4283='IN-TC'!$S$4,OR(TH!N4122="1111",TH!O4122="1111")),TH!D4122,""),"")</f>
        <v/>
      </c>
      <c r="B4283" s="63">
        <f t="shared" si="277"/>
        <v>11</v>
      </c>
      <c r="C4283" s="64">
        <v>42704</v>
      </c>
      <c r="D4283" s="64" t="s">
        <v>2928</v>
      </c>
      <c r="E4283" s="64">
        <f t="shared" si="276"/>
        <v>42704</v>
      </c>
      <c r="F4283" s="72" t="s">
        <v>1342</v>
      </c>
      <c r="G4283" s="931"/>
      <c r="H4283" s="72" t="s">
        <v>1343</v>
      </c>
      <c r="I4283" s="408"/>
      <c r="J4283" s="408"/>
      <c r="K4283" s="399"/>
      <c r="L4283" s="408"/>
      <c r="M4283" s="65">
        <v>194545</v>
      </c>
      <c r="N4283" s="66" t="s">
        <v>9</v>
      </c>
      <c r="O4283" s="66" t="s">
        <v>61</v>
      </c>
      <c r="P4283" s="82" t="str">
        <f>IF(AND('331-CT'!$E$7=TH!H4283,OR(N4283="331",O4283="331")),"x","")</f>
        <v/>
      </c>
      <c r="Q4283" s="82" t="str">
        <f>IF(AND(B4283='111'!$L$11,OR($N4283=$Q$7,$O4283=$Q$7)),"x","")</f>
        <v/>
      </c>
      <c r="R4283" s="82" t="str">
        <f>IF(AND($N4283=$Q$7,$B4283&lt;'111'!$L$11),"x","")</f>
        <v/>
      </c>
      <c r="S4283" s="82" t="str">
        <f>IF(AND($O4283=$Q$7,$B4283&lt;'111'!$L$11),"x","")</f>
        <v>x</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x</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c r="AE4283">
        <v>1</v>
      </c>
    </row>
    <row r="4284" spans="1:32" ht="15.75" customHeight="1">
      <c r="A4284" s="1160" t="str">
        <f>IF(B4284&lt;&gt;"",IF(AND(B4284='IN-TC'!$S$4,OR(TH!N4123="1111",TH!O4123="1111")),TH!D4123,""),"")</f>
        <v/>
      </c>
      <c r="B4284" s="948">
        <f t="shared" si="277"/>
        <v>11</v>
      </c>
      <c r="C4284" s="78">
        <v>42704</v>
      </c>
      <c r="D4284" s="78" t="s">
        <v>2929</v>
      </c>
      <c r="E4284" s="78">
        <f t="shared" si="276"/>
        <v>42704</v>
      </c>
      <c r="F4284" s="80" t="s">
        <v>2448</v>
      </c>
      <c r="G4284" s="79"/>
      <c r="H4284" s="80" t="s">
        <v>832</v>
      </c>
      <c r="I4284" s="406"/>
      <c r="J4284" s="406"/>
      <c r="K4284" s="397"/>
      <c r="L4284" s="406"/>
      <c r="M4284" s="81">
        <v>96078628</v>
      </c>
      <c r="N4284" s="82" t="s">
        <v>580</v>
      </c>
      <c r="O4284" s="82" t="s">
        <v>61</v>
      </c>
      <c r="P4284" s="82" t="str">
        <f>IF(AND('331-CT'!$E$7=TH!H4284,OR(N4284="331",O4284="331")),"x","")</f>
        <v/>
      </c>
      <c r="Q4284" s="82" t="str">
        <f>IF(AND(B4284='111'!$L$11,OR($N4284=$Q$7,$O4284=$Q$7)),"x","")</f>
        <v/>
      </c>
      <c r="R4284" s="82" t="str">
        <f>IF(AND($N4284=$Q$7,$B4284&lt;'111'!$L$11),"x","")</f>
        <v/>
      </c>
      <c r="S4284" s="82" t="str">
        <f>IF(AND($O4284=$Q$7,$B4284&lt;'111'!$L$11),"x","")</f>
        <v>x</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c r="AE4284" s="1269"/>
      <c r="AF4284" s="1269"/>
    </row>
    <row r="4285" spans="1:32" ht="15.75" customHeight="1">
      <c r="A4285" s="323" t="str">
        <f>IF(B4285&lt;&gt;"",IF(AND(B4285='IN-TC'!$S$4,OR(TH!N4124="1111",TH!O4124="1111")),TH!D4124,""),"")</f>
        <v/>
      </c>
      <c r="B4285" s="63">
        <f t="shared" si="277"/>
        <v>11</v>
      </c>
      <c r="C4285" s="1092">
        <v>42704</v>
      </c>
      <c r="D4285" s="1092" t="s">
        <v>2930</v>
      </c>
      <c r="E4285" s="1092">
        <f t="shared" si="276"/>
        <v>42704</v>
      </c>
      <c r="F4285" s="482" t="s">
        <v>947</v>
      </c>
      <c r="G4285" s="1094"/>
      <c r="H4285" s="937" t="s">
        <v>3001</v>
      </c>
      <c r="I4285" s="1095"/>
      <c r="J4285" s="1095"/>
      <c r="K4285" s="1096"/>
      <c r="L4285" s="1095"/>
      <c r="M4285" s="1097">
        <v>715736500</v>
      </c>
      <c r="N4285" s="1098" t="s">
        <v>266</v>
      </c>
      <c r="O4285" s="1098" t="s">
        <v>61</v>
      </c>
      <c r="P4285" s="82" t="str">
        <f>IF(AND('331-CT'!$E$7=TH!H4285,OR(N4285="331",O4285="331")),"x","")</f>
        <v/>
      </c>
      <c r="Q4285" s="82" t="str">
        <f>IF(AND(B4285='111'!$L$11,OR($N4285=$Q$7,$O4285=$Q$7)),"x","")</f>
        <v/>
      </c>
      <c r="R4285" s="82" t="str">
        <f>IF(AND($N4285=$Q$7,$B4285&lt;'111'!$L$11),"x","")</f>
        <v/>
      </c>
      <c r="S4285" s="82" t="str">
        <f>IF(AND($O4285=$Q$7,$B4285&lt;'111'!$L$11),"x","")</f>
        <v>x</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2" ht="15.75" customHeight="1">
      <c r="A4286" s="323" t="str">
        <f>IF(B4286&lt;&gt;"",IF(AND(B4286='IN-TC'!$S$4,OR(TH!N4150="1111",TH!O4150="1111")),TH!D4150,""),"")</f>
        <v/>
      </c>
      <c r="B4286" s="63">
        <f t="shared" si="277"/>
        <v>11</v>
      </c>
      <c r="C4286" s="64">
        <v>42704</v>
      </c>
      <c r="D4286" s="64" t="s">
        <v>687</v>
      </c>
      <c r="E4286" s="64">
        <f t="shared" si="276"/>
        <v>42704</v>
      </c>
      <c r="F4286" s="72" t="s">
        <v>1181</v>
      </c>
      <c r="G4286" s="67" t="s">
        <v>1900</v>
      </c>
      <c r="H4286" s="72" t="s">
        <v>2048</v>
      </c>
      <c r="I4286" s="408"/>
      <c r="J4286" s="408"/>
      <c r="K4286" s="399"/>
      <c r="L4286" s="408"/>
      <c r="M4286" s="65">
        <v>20000000</v>
      </c>
      <c r="N4286" s="66" t="s">
        <v>25</v>
      </c>
      <c r="O4286" s="66" t="s">
        <v>25</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x</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2" ht="15.75" customHeight="1">
      <c r="A4287" s="323" t="str">
        <f>IF(B4287&lt;&gt;"",IF(AND(B4287='IN-TC'!$S$4,OR(TH!N4487="1111",TH!O4487="1111")),TH!D4487,""),"")</f>
        <v/>
      </c>
      <c r="B4287" s="63">
        <f t="shared" si="277"/>
        <v>12</v>
      </c>
      <c r="C4287" s="64">
        <v>42724</v>
      </c>
      <c r="D4287" s="64" t="s">
        <v>690</v>
      </c>
      <c r="E4287" s="64">
        <f t="shared" si="276"/>
        <v>42724</v>
      </c>
      <c r="F4287" s="72" t="s">
        <v>2737</v>
      </c>
      <c r="G4287" s="67" t="s">
        <v>901</v>
      </c>
      <c r="H4287" s="72" t="s">
        <v>617</v>
      </c>
      <c r="I4287" s="408"/>
      <c r="J4287" s="408"/>
      <c r="K4287" s="399"/>
      <c r="L4287" s="408"/>
      <c r="M4287" s="65">
        <v>32679900</v>
      </c>
      <c r="N4287" s="66" t="s">
        <v>8</v>
      </c>
      <c r="O4287" s="66" t="s">
        <v>25</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2" ht="15.75" customHeight="1">
      <c r="A4288" s="323" t="str">
        <f>IF(B4288&lt;&gt;"",IF(AND(B4288='IN-TC'!$S$4,OR(TH!N4152="1111",TH!O4152="1111")),TH!D4152,""),"")</f>
        <v/>
      </c>
      <c r="B4288" s="63">
        <f t="shared" si="277"/>
        <v>11</v>
      </c>
      <c r="C4288" s="64">
        <v>42704</v>
      </c>
      <c r="D4288" s="64" t="s">
        <v>690</v>
      </c>
      <c r="E4288" s="64">
        <f t="shared" si="276"/>
        <v>42704</v>
      </c>
      <c r="F4288" s="72" t="s">
        <v>2147</v>
      </c>
      <c r="G4288" s="67" t="s">
        <v>901</v>
      </c>
      <c r="H4288" s="72" t="s">
        <v>2048</v>
      </c>
      <c r="I4288" s="408"/>
      <c r="J4288" s="408"/>
      <c r="K4288" s="399"/>
      <c r="L4288" s="408"/>
      <c r="M4288" s="65">
        <v>25000</v>
      </c>
      <c r="N4288" s="66" t="s">
        <v>99</v>
      </c>
      <c r="O4288" s="66" t="s">
        <v>25</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c r="AE4288">
        <v>1</v>
      </c>
    </row>
    <row r="4289" spans="1:31" ht="15.75" customHeight="1">
      <c r="A4289" s="323" t="str">
        <f>IF(B4289&lt;&gt;"",IF(AND(B4289='IN-TC'!$S$4,OR(TH!N4153="1111",TH!O4153="1111")),TH!D4153,""),"")</f>
        <v/>
      </c>
      <c r="B4289" s="63">
        <f t="shared" si="277"/>
        <v>11</v>
      </c>
      <c r="C4289" s="64">
        <v>42704</v>
      </c>
      <c r="D4289" s="64" t="s">
        <v>690</v>
      </c>
      <c r="E4289" s="64">
        <f t="shared" si="276"/>
        <v>42704</v>
      </c>
      <c r="F4289" s="72" t="s">
        <v>2342</v>
      </c>
      <c r="G4289" s="67" t="s">
        <v>901</v>
      </c>
      <c r="H4289" s="72" t="s">
        <v>2048</v>
      </c>
      <c r="I4289" s="408"/>
      <c r="J4289" s="408"/>
      <c r="K4289" s="399"/>
      <c r="L4289" s="408"/>
      <c r="M4289" s="65">
        <v>2500</v>
      </c>
      <c r="N4289" s="66" t="s">
        <v>9</v>
      </c>
      <c r="O4289" s="66" t="s">
        <v>25</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x</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c r="AE4289">
        <v>1</v>
      </c>
    </row>
    <row r="4290" spans="1:31" ht="15.75" customHeight="1">
      <c r="A4290" s="1160" t="str">
        <f>IF(B4290&lt;&gt;"",IF(AND(B4290='IN-TC'!$S$4,OR(TH!N1057="1111",TH!O1057="1111")),TH!D1057,""),"")</f>
        <v/>
      </c>
      <c r="B4290" s="948">
        <f t="shared" si="277"/>
        <v>12</v>
      </c>
      <c r="C4290" s="78">
        <v>42725</v>
      </c>
      <c r="D4290" s="78" t="s">
        <v>2770</v>
      </c>
      <c r="E4290" s="78">
        <f t="shared" si="276"/>
        <v>42725</v>
      </c>
      <c r="F4290" s="80" t="s">
        <v>637</v>
      </c>
      <c r="G4290" s="934" t="s">
        <v>2455</v>
      </c>
      <c r="H4290" s="310" t="s">
        <v>2511</v>
      </c>
      <c r="I4290" s="406"/>
      <c r="J4290" s="406"/>
      <c r="K4290" s="397"/>
      <c r="L4290" s="406"/>
      <c r="M4290" s="81">
        <v>1800000</v>
      </c>
      <c r="N4290" s="82" t="s">
        <v>9</v>
      </c>
      <c r="O4290" s="82" t="s">
        <v>8</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x</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c r="AE4290">
        <v>1</v>
      </c>
    </row>
    <row r="4291" spans="1:31" ht="15.75" customHeight="1">
      <c r="A4291" s="323" t="str">
        <f>IF(B4291&lt;&gt;"",IF(AND(B4291='IN-TC'!$S$4,OR(TH!N4291="1111",TH!O4291="1111")),TH!D4291,""),"")</f>
        <v/>
      </c>
      <c r="B4291" s="63">
        <f t="shared" si="277"/>
        <v>12</v>
      </c>
      <c r="C4291" s="64">
        <v>42705</v>
      </c>
      <c r="D4291" s="64" t="s">
        <v>852</v>
      </c>
      <c r="E4291" s="64">
        <f t="shared" si="276"/>
        <v>42705</v>
      </c>
      <c r="F4291" s="72" t="s">
        <v>1356</v>
      </c>
      <c r="G4291" s="931" t="s">
        <v>2805</v>
      </c>
      <c r="H4291" s="72" t="s">
        <v>2806</v>
      </c>
      <c r="I4291" s="408"/>
      <c r="J4291" s="408"/>
      <c r="K4291" s="399"/>
      <c r="L4291" s="408"/>
      <c r="M4291" s="65">
        <v>372727</v>
      </c>
      <c r="N4291" s="66" t="s">
        <v>99</v>
      </c>
      <c r="O4291" s="66" t="s">
        <v>61</v>
      </c>
      <c r="P4291" s="82" t="str">
        <f>IF(AND('331-CT'!$E$7=TH!H4291,OR(N4291="331",O4291="331")),"x","")</f>
        <v/>
      </c>
      <c r="Q4291" s="82" t="str">
        <f>IF(AND(B4291='111'!$L$11,OR($N4291=$Q$7,$O4291=$Q$7)),"x","")</f>
        <v>x</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c r="AE4291">
        <v>1</v>
      </c>
    </row>
    <row r="4292" spans="1:31" ht="15.75" customHeight="1">
      <c r="A4292" s="323" t="str">
        <f>IF(B4292&lt;&gt;"",IF(AND(B4292='IN-TC'!$S$4,OR(TH!N4292="1111",TH!O4292="1111")),TH!D4292,""),"")</f>
        <v/>
      </c>
      <c r="B4292" s="63">
        <f t="shared" si="277"/>
        <v>12</v>
      </c>
      <c r="C4292" s="64">
        <v>42705</v>
      </c>
      <c r="D4292" s="64" t="s">
        <v>852</v>
      </c>
      <c r="E4292" s="64">
        <f t="shared" si="276"/>
        <v>42705</v>
      </c>
      <c r="F4292" s="72" t="s">
        <v>1357</v>
      </c>
      <c r="G4292" s="931" t="s">
        <v>2805</v>
      </c>
      <c r="H4292" s="72" t="s">
        <v>2806</v>
      </c>
      <c r="I4292" s="408"/>
      <c r="J4292" s="408"/>
      <c r="K4292" s="399"/>
      <c r="L4292" s="408"/>
      <c r="M4292" s="65">
        <v>37273</v>
      </c>
      <c r="N4292" s="66" t="s">
        <v>9</v>
      </c>
      <c r="O4292" s="66" t="s">
        <v>61</v>
      </c>
      <c r="P4292" s="82" t="str">
        <f>IF(AND('331-CT'!$E$7=TH!H4292,OR(N4292="331",O4292="331")),"x","")</f>
        <v/>
      </c>
      <c r="Q4292" s="82" t="str">
        <f>IF(AND(B4292='111'!$L$11,OR($N4292=$Q$7,$O4292=$Q$7)),"x","")</f>
        <v>x</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x</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c r="AE4292">
        <v>1</v>
      </c>
    </row>
    <row r="4293" spans="1:31" ht="15.75" customHeight="1">
      <c r="A4293" s="323" t="str">
        <f>IF(B4293&lt;&gt;"",IF(AND(B4293='IN-TC'!$S$4,OR(TH!N4293="1111",TH!O4293="1111")),TH!D4293,""),"")</f>
        <v/>
      </c>
      <c r="B4293" s="63">
        <f t="shared" si="277"/>
        <v>12</v>
      </c>
      <c r="C4293" s="64">
        <v>42705</v>
      </c>
      <c r="D4293" s="64" t="s">
        <v>853</v>
      </c>
      <c r="E4293" s="64">
        <f t="shared" si="276"/>
        <v>42705</v>
      </c>
      <c r="F4293" s="72" t="s">
        <v>2813</v>
      </c>
      <c r="G4293" s="931" t="s">
        <v>2817</v>
      </c>
      <c r="H4293" s="72" t="s">
        <v>790</v>
      </c>
      <c r="I4293" s="408"/>
      <c r="J4293" s="408"/>
      <c r="K4293" s="399"/>
      <c r="L4293" s="408"/>
      <c r="M4293" s="65">
        <v>463636</v>
      </c>
      <c r="N4293" s="66" t="s">
        <v>99</v>
      </c>
      <c r="O4293" s="66" t="s">
        <v>61</v>
      </c>
      <c r="P4293" s="82" t="str">
        <f>IF(AND('331-CT'!$E$7=TH!H4293,OR(N4293="331",O4293="331")),"x","")</f>
        <v/>
      </c>
      <c r="Q4293" s="82" t="str">
        <f>IF(AND(B4293='111'!$L$11,OR($N4293=$Q$7,$O4293=$Q$7)),"x","")</f>
        <v>x</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c r="AE4293">
        <v>1</v>
      </c>
    </row>
    <row r="4294" spans="1:31" ht="15.75" customHeight="1">
      <c r="A4294" s="323" t="str">
        <f>IF(B4294&lt;&gt;"",IF(AND(B4294='IN-TC'!$S$4,OR(TH!N4294="1111",TH!O4294="1111")),TH!D4294,""),"")</f>
        <v/>
      </c>
      <c r="B4294" s="63">
        <f t="shared" si="277"/>
        <v>12</v>
      </c>
      <c r="C4294" s="64">
        <v>42705</v>
      </c>
      <c r="D4294" s="64" t="s">
        <v>853</v>
      </c>
      <c r="E4294" s="64">
        <f t="shared" si="276"/>
        <v>42705</v>
      </c>
      <c r="F4294" s="72" t="s">
        <v>2814</v>
      </c>
      <c r="G4294" s="931" t="s">
        <v>2817</v>
      </c>
      <c r="H4294" s="72" t="s">
        <v>790</v>
      </c>
      <c r="I4294" s="408"/>
      <c r="J4294" s="408"/>
      <c r="K4294" s="399"/>
      <c r="L4294" s="408"/>
      <c r="M4294" s="65">
        <v>46364</v>
      </c>
      <c r="N4294" s="66" t="s">
        <v>9</v>
      </c>
      <c r="O4294" s="66" t="s">
        <v>61</v>
      </c>
      <c r="P4294" s="82" t="str">
        <f>IF(AND('331-CT'!$E$7=TH!H4294,OR(N4294="331",O4294="331")),"x","")</f>
        <v/>
      </c>
      <c r="Q4294" s="82" t="str">
        <f>IF(AND(B4294='111'!$L$11,OR($N4294=$Q$7,$O4294=$Q$7)),"x","")</f>
        <v>x</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x</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c r="AE4294">
        <v>1</v>
      </c>
    </row>
    <row r="4295" spans="1:31" ht="15.75" customHeight="1">
      <c r="A4295" s="323" t="str">
        <f>IF(B4295&lt;&gt;"",IF(AND(B4295='IN-TC'!$S$4,OR(TH!N4295="1111",TH!O4295="1111")),TH!D4295,""),"")</f>
        <v/>
      </c>
      <c r="B4295" s="63">
        <f t="shared" si="277"/>
        <v>12</v>
      </c>
      <c r="C4295" s="64">
        <v>42705</v>
      </c>
      <c r="D4295" s="64" t="s">
        <v>854</v>
      </c>
      <c r="E4295" s="64">
        <f t="shared" si="276"/>
        <v>42705</v>
      </c>
      <c r="F4295" s="72" t="s">
        <v>2813</v>
      </c>
      <c r="G4295" s="931" t="s">
        <v>2815</v>
      </c>
      <c r="H4295" s="72" t="s">
        <v>784</v>
      </c>
      <c r="I4295" s="408"/>
      <c r="J4295" s="408"/>
      <c r="K4295" s="399"/>
      <c r="L4295" s="408"/>
      <c r="M4295" s="65">
        <v>11636364</v>
      </c>
      <c r="N4295" s="66" t="s">
        <v>99</v>
      </c>
      <c r="O4295" s="66" t="s">
        <v>61</v>
      </c>
      <c r="P4295" s="82" t="str">
        <f>IF(AND('331-CT'!$E$7=TH!H4295,OR(N4295="331",O4295="331")),"x","")</f>
        <v/>
      </c>
      <c r="Q4295" s="82" t="str">
        <f>IF(AND(B4295='111'!$L$11,OR($N4295=$Q$7,$O4295=$Q$7)),"x","")</f>
        <v>x</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c r="AE4295">
        <v>1</v>
      </c>
    </row>
    <row r="4296" spans="1:31" ht="15.75" customHeight="1">
      <c r="A4296" s="323" t="str">
        <f>IF(B4296&lt;&gt;"",IF(AND(B4296='IN-TC'!$S$4,OR(TH!N4296="1111",TH!O4296="1111")),TH!D4296,""),"")</f>
        <v/>
      </c>
      <c r="B4296" s="63">
        <f t="shared" si="277"/>
        <v>12</v>
      </c>
      <c r="C4296" s="64">
        <v>42705</v>
      </c>
      <c r="D4296" s="64" t="s">
        <v>854</v>
      </c>
      <c r="E4296" s="64">
        <f t="shared" si="276"/>
        <v>42705</v>
      </c>
      <c r="F4296" s="72" t="s">
        <v>2814</v>
      </c>
      <c r="G4296" s="931" t="s">
        <v>2815</v>
      </c>
      <c r="H4296" s="72" t="s">
        <v>784</v>
      </c>
      <c r="I4296" s="408"/>
      <c r="J4296" s="408"/>
      <c r="K4296" s="399"/>
      <c r="L4296" s="408"/>
      <c r="M4296" s="65">
        <v>1163636</v>
      </c>
      <c r="N4296" s="66" t="s">
        <v>9</v>
      </c>
      <c r="O4296" s="66" t="s">
        <v>61</v>
      </c>
      <c r="P4296" s="82" t="str">
        <f>IF(AND('331-CT'!$E$7=TH!H4296,OR(N4296="331",O4296="331")),"x","")</f>
        <v/>
      </c>
      <c r="Q4296" s="82" t="str">
        <f>IF(AND(B4296='111'!$L$11,OR($N4296=$Q$7,$O4296=$Q$7)),"x","")</f>
        <v>x</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x</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c r="AE4296">
        <v>1</v>
      </c>
    </row>
    <row r="4297" spans="1:31" ht="15.75" customHeight="1">
      <c r="A4297" s="1160" t="str">
        <f>IF(B4297&lt;&gt;"",IF(AND(B4297='IN-TC'!$S$4,OR(TH!N1054="1111",TH!O1054="1111")),TH!D1054,""),"")</f>
        <v/>
      </c>
      <c r="B4297" s="948">
        <f t="shared" si="277"/>
        <v>12</v>
      </c>
      <c r="C4297" s="78">
        <v>42724</v>
      </c>
      <c r="D4297" s="78" t="s">
        <v>2769</v>
      </c>
      <c r="E4297" s="78">
        <f t="shared" si="276"/>
        <v>42724</v>
      </c>
      <c r="F4297" s="80" t="s">
        <v>2495</v>
      </c>
      <c r="G4297" s="934" t="s">
        <v>2754</v>
      </c>
      <c r="H4297" s="310" t="s">
        <v>2512</v>
      </c>
      <c r="I4297" s="406">
        <v>2400</v>
      </c>
      <c r="J4297" s="406">
        <v>7500</v>
      </c>
      <c r="K4297" s="397"/>
      <c r="L4297" s="406"/>
      <c r="M4297" s="81">
        <f>ROUND(I4297*J4297,0)</f>
        <v>18000000</v>
      </c>
      <c r="N4297" s="82" t="s">
        <v>270</v>
      </c>
      <c r="O4297" s="82" t="s">
        <v>8</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x</v>
      </c>
      <c r="AC4297" s="82" t="str">
        <f>IF(AND(OR(LEFT(TH!N4297,2)="15",LEFT(TH!O4297,2)="15"),TK!$E$7=TH!F4297),"x","")</f>
        <v/>
      </c>
      <c r="AD4297" s="82" t="str">
        <f>IF(AND(N4297="1521",MONTH(C4297)='BK-NL'!$M$11),"x","")</f>
        <v/>
      </c>
      <c r="AE4297">
        <v>1</v>
      </c>
    </row>
    <row r="4298" spans="1:31" ht="15.75" customHeight="1">
      <c r="A4298" s="323" t="str">
        <f>IF(B4298&lt;&gt;"",IF(AND(B4298='IN-TC'!$S$4,OR(TH!N4299="1111",TH!O4299="1111")),TH!D4299,""),"")</f>
        <v/>
      </c>
      <c r="B4298" s="63">
        <f t="shared" si="277"/>
        <v>12</v>
      </c>
      <c r="C4298" s="64">
        <v>42706</v>
      </c>
      <c r="D4298" s="64" t="s">
        <v>856</v>
      </c>
      <c r="E4298" s="64">
        <f t="shared" si="276"/>
        <v>42706</v>
      </c>
      <c r="F4298" s="72" t="s">
        <v>218</v>
      </c>
      <c r="G4298" s="931" t="s">
        <v>2602</v>
      </c>
      <c r="H4298" s="72" t="s">
        <v>606</v>
      </c>
      <c r="I4298" s="408">
        <v>450</v>
      </c>
      <c r="J4298" s="408">
        <v>20898.990000000002</v>
      </c>
      <c r="K4298" s="399"/>
      <c r="L4298" s="408"/>
      <c r="M4298" s="65">
        <f>I4298*J4298</f>
        <v>9404545.5</v>
      </c>
      <c r="N4298" s="66" t="s">
        <v>276</v>
      </c>
      <c r="O4298" s="66" t="s">
        <v>61</v>
      </c>
      <c r="P4298" s="82" t="str">
        <f>IF(AND('331-CT'!$E$7=TH!H4298,OR(N4298="331",O4298="331")),"x","")</f>
        <v/>
      </c>
      <c r="Q4298" s="82" t="str">
        <f>IF(AND(B4298='111'!$L$11,OR($N4298=$Q$7,$O4298=$Q$7)),"x","")</f>
        <v>x</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c r="AE4298">
        <v>1</v>
      </c>
    </row>
    <row r="4299" spans="1:31" ht="15.75" customHeight="1">
      <c r="A4299" s="323" t="str">
        <f>IF(B4299&lt;&gt;"",IF(AND(B4299='IN-TC'!$S$4,OR(TH!N4300="1111",TH!O4300="1111")),TH!D4300,""),"")</f>
        <v/>
      </c>
      <c r="B4299" s="63">
        <f t="shared" si="277"/>
        <v>12</v>
      </c>
      <c r="C4299" s="64">
        <v>42706</v>
      </c>
      <c r="D4299" s="64" t="s">
        <v>856</v>
      </c>
      <c r="E4299" s="64">
        <f t="shared" si="276"/>
        <v>42706</v>
      </c>
      <c r="F4299" s="72" t="s">
        <v>1335</v>
      </c>
      <c r="G4299" s="931" t="s">
        <v>2602</v>
      </c>
      <c r="H4299" s="72" t="s">
        <v>606</v>
      </c>
      <c r="I4299" s="408"/>
      <c r="J4299" s="408"/>
      <c r="K4299" s="399"/>
      <c r="L4299" s="408"/>
      <c r="M4299" s="65">
        <v>940455</v>
      </c>
      <c r="N4299" s="66" t="s">
        <v>9</v>
      </c>
      <c r="O4299" s="66" t="s">
        <v>61</v>
      </c>
      <c r="P4299" s="82" t="str">
        <f>IF(AND('331-CT'!$E$7=TH!H4299,OR(N4299="331",O4299="331")),"x","")</f>
        <v/>
      </c>
      <c r="Q4299" s="82" t="str">
        <f>IF(AND(B4299='111'!$L$11,OR($N4299=$Q$7,$O4299=$Q$7)),"x","")</f>
        <v>x</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x</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c r="AE4299">
        <v>1</v>
      </c>
    </row>
    <row r="4300" spans="1:31" ht="15.75" customHeight="1">
      <c r="A4300" s="323" t="str">
        <f>IF(B4300&lt;&gt;"",IF(AND(B4300='IN-TC'!$S$4,OR(TH!N4400="1111",TH!O4400="1111")),TH!D4400,""),"")</f>
        <v/>
      </c>
      <c r="B4300" s="63">
        <f t="shared" si="277"/>
        <v>12</v>
      </c>
      <c r="C4300" s="64">
        <v>42725</v>
      </c>
      <c r="D4300" s="64" t="s">
        <v>2937</v>
      </c>
      <c r="E4300" s="64">
        <f t="shared" si="276"/>
        <v>42725</v>
      </c>
      <c r="F4300" s="72" t="s">
        <v>2510</v>
      </c>
      <c r="G4300" s="931" t="s">
        <v>2455</v>
      </c>
      <c r="H4300" s="72" t="s">
        <v>2511</v>
      </c>
      <c r="I4300" s="408"/>
      <c r="J4300" s="408"/>
      <c r="K4300" s="399"/>
      <c r="L4300" s="408"/>
      <c r="M4300" s="65">
        <v>19800000</v>
      </c>
      <c r="N4300" s="66" t="s">
        <v>8</v>
      </c>
      <c r="O4300" s="66" t="s">
        <v>61</v>
      </c>
      <c r="P4300" s="82" t="str">
        <f>IF(AND('331-CT'!$E$7=TH!H4300,OR(N4300="331",O4300="331")),"x","")</f>
        <v/>
      </c>
      <c r="Q4300" s="82" t="str">
        <f>IF(AND(B4300='111'!$L$11,OR($N4300=$Q$7,$O4300=$Q$7)),"x","")</f>
        <v>x</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1" ht="15.75" customHeight="1">
      <c r="A4301" s="323" t="str">
        <f>IF(B4301&lt;&gt;"",IF(AND(B4301='IN-TC'!$S$4,OR(TH!N4302="1111",TH!O4302="1111")),TH!D4302,""),"")</f>
        <v/>
      </c>
      <c r="B4301" s="63">
        <f t="shared" si="277"/>
        <v>12</v>
      </c>
      <c r="C4301" s="64">
        <v>42706</v>
      </c>
      <c r="D4301" s="64" t="s">
        <v>859</v>
      </c>
      <c r="E4301" s="64">
        <f t="shared" si="276"/>
        <v>42706</v>
      </c>
      <c r="F4301" s="72" t="s">
        <v>2603</v>
      </c>
      <c r="G4301" s="931" t="s">
        <v>2605</v>
      </c>
      <c r="H4301" s="72" t="s">
        <v>2606</v>
      </c>
      <c r="I4301" s="408"/>
      <c r="J4301" s="408"/>
      <c r="K4301" s="399"/>
      <c r="L4301" s="408"/>
      <c r="M4301" s="65">
        <v>170000</v>
      </c>
      <c r="N4301" s="66" t="s">
        <v>579</v>
      </c>
      <c r="O4301" s="66" t="s">
        <v>61</v>
      </c>
      <c r="P4301" s="82" t="str">
        <f>IF(AND('331-CT'!$E$7=TH!H4301,OR(N4301="331",O4301="331")),"x","")</f>
        <v/>
      </c>
      <c r="Q4301" s="82" t="str">
        <f>IF(AND(B4301='111'!$L$11,OR($N4301=$Q$7,$O4301=$Q$7)),"x","")</f>
        <v>x</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c r="AE4301">
        <v>1</v>
      </c>
    </row>
    <row r="4302" spans="1:31" ht="15.75" customHeight="1">
      <c r="A4302" s="323" t="str">
        <f>IF(B4302&lt;&gt;"",IF(AND(B4302='IN-TC'!$S$4,OR(TH!N4303="1111",TH!O4303="1111")),TH!D4303,""),"")</f>
        <v/>
      </c>
      <c r="B4302" s="63">
        <f t="shared" si="277"/>
        <v>12</v>
      </c>
      <c r="C4302" s="64">
        <v>42706</v>
      </c>
      <c r="D4302" s="64" t="s">
        <v>859</v>
      </c>
      <c r="E4302" s="64">
        <f t="shared" si="276"/>
        <v>42706</v>
      </c>
      <c r="F4302" s="72" t="s">
        <v>2604</v>
      </c>
      <c r="G4302" s="931" t="s">
        <v>2605</v>
      </c>
      <c r="H4302" s="72" t="s">
        <v>2606</v>
      </c>
      <c r="I4302" s="408"/>
      <c r="J4302" s="408"/>
      <c r="K4302" s="399"/>
      <c r="L4302" s="408"/>
      <c r="M4302" s="65">
        <v>8947</v>
      </c>
      <c r="N4302" s="66" t="s">
        <v>9</v>
      </c>
      <c r="O4302" s="66" t="s">
        <v>61</v>
      </c>
      <c r="P4302" s="82" t="str">
        <f>IF(AND('331-CT'!$E$7=TH!H4302,OR(N4302="331",O4302="331")),"x","")</f>
        <v/>
      </c>
      <c r="Q4302" s="82" t="str">
        <f>IF(AND(B4302='111'!$L$11,OR($N4302=$Q$7,$O4302=$Q$7)),"x","")</f>
        <v>x</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x</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c r="AE4302">
        <v>1</v>
      </c>
    </row>
    <row r="4303" spans="1:31" ht="15.75" customHeight="1">
      <c r="A4303" s="323" t="str">
        <f>IF(B4303&lt;&gt;"",IF(AND(B4303='IN-TC'!$S$4,OR(TH!N4304="1111",TH!O4304="1111")),TH!D4304,""),"")</f>
        <v/>
      </c>
      <c r="B4303" s="63">
        <f t="shared" si="277"/>
        <v>12</v>
      </c>
      <c r="C4303" s="64">
        <v>42706</v>
      </c>
      <c r="D4303" s="64" t="s">
        <v>860</v>
      </c>
      <c r="E4303" s="64">
        <f t="shared" si="276"/>
        <v>42706</v>
      </c>
      <c r="F4303" s="72" t="s">
        <v>2813</v>
      </c>
      <c r="G4303" s="931" t="s">
        <v>2816</v>
      </c>
      <c r="H4303" s="72" t="s">
        <v>784</v>
      </c>
      <c r="I4303" s="408"/>
      <c r="J4303" s="408"/>
      <c r="K4303" s="399"/>
      <c r="L4303" s="408"/>
      <c r="M4303" s="65">
        <v>8754545</v>
      </c>
      <c r="N4303" s="66" t="s">
        <v>99</v>
      </c>
      <c r="O4303" s="66" t="s">
        <v>61</v>
      </c>
      <c r="P4303" s="82" t="str">
        <f>IF(AND('331-CT'!$E$7=TH!H4303,OR(N4303="331",O4303="331")),"x","")</f>
        <v/>
      </c>
      <c r="Q4303" s="82" t="str">
        <f>IF(AND(B4303='111'!$L$11,OR($N4303=$Q$7,$O4303=$Q$7)),"x","")</f>
        <v>x</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c r="AE4303">
        <v>1</v>
      </c>
    </row>
    <row r="4304" spans="1:31" ht="15.75" customHeight="1">
      <c r="A4304" s="323" t="str">
        <f>IF(B4304&lt;&gt;"",IF(AND(B4304='IN-TC'!$S$4,OR(TH!N4305="1111",TH!O4305="1111")),TH!D4305,""),"")</f>
        <v/>
      </c>
      <c r="B4304" s="63">
        <f t="shared" si="277"/>
        <v>12</v>
      </c>
      <c r="C4304" s="64">
        <v>42706</v>
      </c>
      <c r="D4304" s="64" t="s">
        <v>860</v>
      </c>
      <c r="E4304" s="64">
        <f t="shared" si="276"/>
        <v>42706</v>
      </c>
      <c r="F4304" s="72" t="s">
        <v>2814</v>
      </c>
      <c r="G4304" s="931" t="s">
        <v>2816</v>
      </c>
      <c r="H4304" s="72" t="s">
        <v>784</v>
      </c>
      <c r="I4304" s="408"/>
      <c r="J4304" s="408"/>
      <c r="K4304" s="399"/>
      <c r="L4304" s="408"/>
      <c r="M4304" s="65">
        <v>875455</v>
      </c>
      <c r="N4304" s="66" t="s">
        <v>9</v>
      </c>
      <c r="O4304" s="66" t="s">
        <v>61</v>
      </c>
      <c r="P4304" s="82" t="str">
        <f>IF(AND('331-CT'!$E$7=TH!H4304,OR(N4304="331",O4304="331")),"x","")</f>
        <v/>
      </c>
      <c r="Q4304" s="82" t="str">
        <f>IF(AND(B4304='111'!$L$11,OR($N4304=$Q$7,$O4304=$Q$7)),"x","")</f>
        <v>x</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x</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c r="AE4304">
        <v>1</v>
      </c>
    </row>
    <row r="4305" spans="1:31" ht="15.75" customHeight="1">
      <c r="A4305" s="323" t="str">
        <f>IF(B4305&lt;&gt;"",IF(AND(B4305='IN-TC'!$S$4,OR(TH!N4453="1111",TH!O4453="1111")),TH!D4453,""),"")</f>
        <v/>
      </c>
      <c r="B4305" s="63">
        <f t="shared" si="277"/>
        <v>12</v>
      </c>
      <c r="C4305" s="64">
        <v>42706</v>
      </c>
      <c r="D4305" s="64" t="s">
        <v>687</v>
      </c>
      <c r="E4305" s="64">
        <f t="shared" si="276"/>
        <v>42706</v>
      </c>
      <c r="F4305" s="72" t="s">
        <v>1436</v>
      </c>
      <c r="G4305" s="67" t="s">
        <v>901</v>
      </c>
      <c r="H4305" s="937" t="s">
        <v>2366</v>
      </c>
      <c r="I4305" s="408"/>
      <c r="J4305" s="408"/>
      <c r="K4305" s="399"/>
      <c r="L4305" s="408"/>
      <c r="M4305" s="65">
        <v>756459000</v>
      </c>
      <c r="N4305" s="66" t="s">
        <v>25</v>
      </c>
      <c r="O4305" s="66" t="s">
        <v>576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customHeight="1">
      <c r="A4306" s="1160" t="str">
        <f>IF(B4306&lt;&gt;"",IF(AND(B4306='IN-TC'!$S$4,OR(TH!N379="1111",TH!O379="1111")),TH!D379,""),"")</f>
        <v/>
      </c>
      <c r="B4306" s="63">
        <f t="shared" si="277"/>
        <v>12</v>
      </c>
      <c r="C4306" s="78">
        <v>42727</v>
      </c>
      <c r="D4306" s="1077" t="s">
        <v>2706</v>
      </c>
      <c r="E4306" s="78">
        <v>42727</v>
      </c>
      <c r="F4306" s="79" t="s">
        <v>2534</v>
      </c>
      <c r="G4306" s="79" t="s">
        <v>2906</v>
      </c>
      <c r="H4306" s="918" t="s">
        <v>2543</v>
      </c>
      <c r="I4306" s="406">
        <v>30</v>
      </c>
      <c r="J4306" s="1194">
        <v>220000</v>
      </c>
      <c r="K4306" s="397"/>
      <c r="L4306" s="406"/>
      <c r="M4306" s="1195">
        <f>ROUND(I4306*J4306,0)</f>
        <v>6600000</v>
      </c>
      <c r="N4306" s="1073" t="s">
        <v>576</v>
      </c>
      <c r="O4306" s="1073" t="s">
        <v>290</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customHeight="1">
      <c r="A4307" s="1160" t="str">
        <f>IF(B4307&lt;&gt;"",IF(AND(B4307='IN-TC'!$S$4,OR(TH!N1064="1111",TH!O1064="1111")),TH!D1064,""),"")</f>
        <v/>
      </c>
      <c r="B4307" s="948">
        <f t="shared" si="277"/>
        <v>12</v>
      </c>
      <c r="C4307" s="78">
        <v>42726</v>
      </c>
      <c r="D4307" s="78" t="s">
        <v>2774</v>
      </c>
      <c r="E4307" s="78">
        <f>C4307</f>
        <v>42726</v>
      </c>
      <c r="F4307" s="80" t="s">
        <v>2495</v>
      </c>
      <c r="G4307" s="934" t="s">
        <v>2756</v>
      </c>
      <c r="H4307" s="310" t="s">
        <v>2511</v>
      </c>
      <c r="I4307" s="406">
        <v>550</v>
      </c>
      <c r="J4307" s="406">
        <v>7500</v>
      </c>
      <c r="K4307" s="397"/>
      <c r="L4307" s="406"/>
      <c r="M4307" s="81">
        <f>ROUND(I4307*J4307,0)</f>
        <v>4125000</v>
      </c>
      <c r="N4307" s="82" t="s">
        <v>270</v>
      </c>
      <c r="O4307" s="82" t="s">
        <v>8</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x</v>
      </c>
      <c r="AC4307" s="82" t="str">
        <f>IF(AND(OR(LEFT(TH!N4307,2)="15",LEFT(TH!O4307,2)="15"),TK!$E$7=TH!F4307),"x","")</f>
        <v/>
      </c>
      <c r="AD4307" s="82" t="str">
        <f>IF(AND(N4307="1521",MONTH(C4307)='BK-NL'!$M$11),"x","")</f>
        <v/>
      </c>
      <c r="AE4307">
        <v>1</v>
      </c>
    </row>
    <row r="4308" spans="1:31" ht="15.75" customHeight="1">
      <c r="A4308" s="323" t="str">
        <f>IF(B4308&lt;&gt;"",IF(AND(B4308='IN-TC'!$S$4,OR(TH!N4306="1111",TH!O4306="1111")),TH!D4306,""),"")</f>
        <v/>
      </c>
      <c r="B4308" s="63">
        <f t="shared" si="277"/>
        <v>12</v>
      </c>
      <c r="C4308" s="64">
        <v>42707</v>
      </c>
      <c r="D4308" s="64" t="s">
        <v>886</v>
      </c>
      <c r="E4308" s="64">
        <f>C4308</f>
        <v>42707</v>
      </c>
      <c r="F4308" s="72" t="s">
        <v>1126</v>
      </c>
      <c r="G4308" s="67" t="s">
        <v>901</v>
      </c>
      <c r="H4308" s="72" t="s">
        <v>748</v>
      </c>
      <c r="I4308" s="408"/>
      <c r="J4308" s="408"/>
      <c r="K4308" s="399"/>
      <c r="L4308" s="408"/>
      <c r="M4308" s="65">
        <v>760000000</v>
      </c>
      <c r="N4308" s="66" t="s">
        <v>61</v>
      </c>
      <c r="O4308" s="66" t="s">
        <v>25</v>
      </c>
      <c r="P4308" s="82" t="str">
        <f>IF(AND('331-CT'!$E$7=TH!H4308,OR(N4308="331",O4308="331")),"x","")</f>
        <v/>
      </c>
      <c r="Q4308" s="82" t="str">
        <f>IF(AND(B4308='111'!$L$11,OR($N4308=$Q$7,$O4308=$Q$7)),"x","")</f>
        <v>x</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customHeight="1">
      <c r="A4309" s="1160" t="str">
        <f>IF(B4309&lt;&gt;"",IF(AND(B4309='IN-TC'!$S$4,OR(TH!N380="1111",TH!O380="1111")),TH!D380,""),"")</f>
        <v/>
      </c>
      <c r="B4309" s="63">
        <f t="shared" si="277"/>
        <v>12</v>
      </c>
      <c r="C4309" s="78">
        <v>42727</v>
      </c>
      <c r="D4309" s="1077" t="s">
        <v>2706</v>
      </c>
      <c r="E4309" s="78">
        <v>42727</v>
      </c>
      <c r="F4309" s="79" t="s">
        <v>2538</v>
      </c>
      <c r="G4309" s="79" t="s">
        <v>2906</v>
      </c>
      <c r="H4309" s="918" t="s">
        <v>2543</v>
      </c>
      <c r="I4309" s="406">
        <v>10</v>
      </c>
      <c r="J4309" s="1194">
        <v>100000</v>
      </c>
      <c r="K4309" s="397"/>
      <c r="L4309" s="406"/>
      <c r="M4309" s="1195">
        <f>ROUND(I4309*J4309,0)</f>
        <v>1000000</v>
      </c>
      <c r="N4309" s="1073" t="s">
        <v>576</v>
      </c>
      <c r="O4309" s="1073" t="s">
        <v>290</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customHeight="1">
      <c r="A4310" s="323" t="str">
        <f>IF(B4310&lt;&gt;"",IF(AND(B4310='IN-TC'!$S$4,OR(TH!N4310="1111",TH!O4310="1111")),TH!D4310,""),"")</f>
        <v/>
      </c>
      <c r="B4310" s="63">
        <f t="shared" si="277"/>
        <v>12</v>
      </c>
      <c r="C4310" s="64">
        <v>42709</v>
      </c>
      <c r="D4310" s="64" t="s">
        <v>862</v>
      </c>
      <c r="E4310" s="64">
        <f t="shared" ref="E4310:E4318" si="278">C4310</f>
        <v>42709</v>
      </c>
      <c r="F4310" s="72" t="s">
        <v>2030</v>
      </c>
      <c r="G4310" s="931" t="s">
        <v>2607</v>
      </c>
      <c r="H4310" s="72" t="s">
        <v>792</v>
      </c>
      <c r="I4310" s="408"/>
      <c r="J4310" s="408"/>
      <c r="K4310" s="399"/>
      <c r="L4310" s="408"/>
      <c r="M4310" s="65">
        <v>1199536</v>
      </c>
      <c r="N4310" s="66" t="s">
        <v>99</v>
      </c>
      <c r="O4310" s="66" t="s">
        <v>61</v>
      </c>
      <c r="P4310" s="82" t="str">
        <f>IF(AND('331-CT'!$E$7=TH!H4310,OR(N4310="331",O4310="331")),"x","")</f>
        <v/>
      </c>
      <c r="Q4310" s="82" t="str">
        <f>IF(AND(B4310='111'!$L$11,OR($N4310=$Q$7,$O4310=$Q$7)),"x","")</f>
        <v>x</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c r="AE4310">
        <v>1</v>
      </c>
    </row>
    <row r="4311" spans="1:31" ht="15.75" customHeight="1">
      <c r="A4311" s="323" t="str">
        <f>IF(B4311&lt;&gt;"",IF(AND(B4311='IN-TC'!$S$4,OR(TH!N4311="1111",TH!O4311="1111")),TH!D4311,""),"")</f>
        <v/>
      </c>
      <c r="B4311" s="63">
        <f t="shared" si="277"/>
        <v>12</v>
      </c>
      <c r="C4311" s="64">
        <v>42709</v>
      </c>
      <c r="D4311" s="64" t="s">
        <v>862</v>
      </c>
      <c r="E4311" s="64">
        <f t="shared" si="278"/>
        <v>42709</v>
      </c>
      <c r="F4311" s="72" t="s">
        <v>2031</v>
      </c>
      <c r="G4311" s="931" t="s">
        <v>2607</v>
      </c>
      <c r="H4311" s="72" t="s">
        <v>792</v>
      </c>
      <c r="I4311" s="408"/>
      <c r="J4311" s="408"/>
      <c r="K4311" s="399"/>
      <c r="L4311" s="408"/>
      <c r="M4311" s="65">
        <v>119954</v>
      </c>
      <c r="N4311" s="66" t="s">
        <v>9</v>
      </c>
      <c r="O4311" s="66" t="s">
        <v>61</v>
      </c>
      <c r="P4311" s="82" t="str">
        <f>IF(AND('331-CT'!$E$7=TH!H4311,OR(N4311="331",O4311="331")),"x","")</f>
        <v/>
      </c>
      <c r="Q4311" s="82" t="str">
        <f>IF(AND(B4311='111'!$L$11,OR($N4311=$Q$7,$O4311=$Q$7)),"x","")</f>
        <v>x</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x</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c r="AE4311">
        <v>1</v>
      </c>
    </row>
    <row r="4312" spans="1:31" ht="15.75" customHeight="1">
      <c r="A4312" s="323" t="str">
        <f>IF(B4312&lt;&gt;"",IF(AND(B4312='IN-TC'!$S$4,OR(TH!N4312="1111",TH!O4312="1111")),TH!D4312,""),"")</f>
        <v/>
      </c>
      <c r="B4312" s="63">
        <f t="shared" si="277"/>
        <v>12</v>
      </c>
      <c r="C4312" s="64">
        <v>42709</v>
      </c>
      <c r="D4312" s="64" t="s">
        <v>863</v>
      </c>
      <c r="E4312" s="64">
        <f t="shared" si="278"/>
        <v>42709</v>
      </c>
      <c r="F4312" s="72" t="s">
        <v>765</v>
      </c>
      <c r="G4312" s="931" t="s">
        <v>2558</v>
      </c>
      <c r="H4312" s="72" t="s">
        <v>2560</v>
      </c>
      <c r="I4312" s="408"/>
      <c r="J4312" s="408"/>
      <c r="K4312" s="399"/>
      <c r="L4312" s="408"/>
      <c r="M4312" s="65">
        <v>18920000</v>
      </c>
      <c r="N4312" s="66" t="s">
        <v>8</v>
      </c>
      <c r="O4312" s="66" t="s">
        <v>61</v>
      </c>
      <c r="P4312" s="82" t="str">
        <f>IF(AND('331-CT'!$E$7=TH!H4312,OR(N4312="331",O4312="331")),"x","")</f>
        <v/>
      </c>
      <c r="Q4312" s="82" t="str">
        <f>IF(AND(B4312='111'!$L$11,OR($N4312=$Q$7,$O4312=$Q$7)),"x","")</f>
        <v>x</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1" ht="15.75" customHeight="1">
      <c r="A4313" s="323" t="str">
        <f>IF(B4313&lt;&gt;"",IF(AND(B4313='IN-TC'!$S$4,OR(TH!N4313="1111",TH!O4313="1111")),TH!D4313,""),"")</f>
        <v/>
      </c>
      <c r="B4313" s="63">
        <f t="shared" si="277"/>
        <v>12</v>
      </c>
      <c r="C4313" s="64">
        <v>42709</v>
      </c>
      <c r="D4313" s="64" t="s">
        <v>864</v>
      </c>
      <c r="E4313" s="64">
        <f t="shared" si="278"/>
        <v>42709</v>
      </c>
      <c r="F4313" s="72" t="s">
        <v>2608</v>
      </c>
      <c r="G4313" s="931" t="s">
        <v>2556</v>
      </c>
      <c r="H4313" s="308" t="s">
        <v>2559</v>
      </c>
      <c r="I4313" s="408"/>
      <c r="J4313" s="408"/>
      <c r="K4313" s="399"/>
      <c r="L4313" s="408"/>
      <c r="M4313" s="65">
        <v>19487270</v>
      </c>
      <c r="N4313" s="66" t="s">
        <v>8</v>
      </c>
      <c r="O4313" s="66" t="s">
        <v>61</v>
      </c>
      <c r="P4313" s="82" t="str">
        <f>IF(AND('331-CT'!$E$7=TH!H4313,OR(N4313="331",O4313="331")),"x","")</f>
        <v/>
      </c>
      <c r="Q4313" s="82" t="str">
        <f>IF(AND(B4313='111'!$L$11,OR($N4313=$Q$7,$O4313=$Q$7)),"x","")</f>
        <v>x</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1" ht="15.75" customHeight="1">
      <c r="A4314" s="1160" t="str">
        <f>IF(B4314&lt;&gt;"",IF(AND(B4314='IN-TC'!$S$4,OR(TH!N1065="1111",TH!O1065="1111")),TH!D1065,""),"")</f>
        <v/>
      </c>
      <c r="B4314" s="948">
        <f t="shared" si="277"/>
        <v>12</v>
      </c>
      <c r="C4314" s="78">
        <v>42726</v>
      </c>
      <c r="D4314" s="78" t="s">
        <v>2774</v>
      </c>
      <c r="E4314" s="78">
        <f t="shared" si="278"/>
        <v>42726</v>
      </c>
      <c r="F4314" s="80" t="s">
        <v>637</v>
      </c>
      <c r="G4314" s="934" t="s">
        <v>2756</v>
      </c>
      <c r="H4314" s="310" t="s">
        <v>2511</v>
      </c>
      <c r="I4314" s="406"/>
      <c r="J4314" s="406"/>
      <c r="K4314" s="397"/>
      <c r="L4314" s="406"/>
      <c r="M4314" s="81">
        <v>412500</v>
      </c>
      <c r="N4314" s="82" t="s">
        <v>9</v>
      </c>
      <c r="O4314" s="82" t="s">
        <v>8</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x</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customHeight="1">
      <c r="A4315" s="323" t="str">
        <f>IF(B4315&lt;&gt;"",IF(AND(B4315='IN-TC'!$S$4,OR(TH!N4315="1111",TH!O4315="1111")),TH!D4315,""),"")</f>
        <v/>
      </c>
      <c r="B4315" s="63">
        <f t="shared" si="277"/>
        <v>12</v>
      </c>
      <c r="C4315" s="64">
        <v>42709</v>
      </c>
      <c r="D4315" s="64" t="s">
        <v>866</v>
      </c>
      <c r="E4315" s="64">
        <f t="shared" si="278"/>
        <v>42709</v>
      </c>
      <c r="F4315" s="72" t="s">
        <v>2719</v>
      </c>
      <c r="G4315" s="931" t="s">
        <v>2721</v>
      </c>
      <c r="H4315" s="72" t="s">
        <v>830</v>
      </c>
      <c r="I4315" s="408"/>
      <c r="J4315" s="408"/>
      <c r="K4315" s="399"/>
      <c r="L4315" s="408"/>
      <c r="M4315" s="65">
        <v>2126012</v>
      </c>
      <c r="N4315" s="66" t="s">
        <v>99</v>
      </c>
      <c r="O4315" s="66" t="s">
        <v>61</v>
      </c>
      <c r="P4315" s="82" t="str">
        <f>IF(AND('331-CT'!$E$7=TH!H4315,OR(N4315="331",O4315="331")),"x","")</f>
        <v/>
      </c>
      <c r="Q4315" s="82" t="str">
        <f>IF(AND(B4315='111'!$L$11,OR($N4315=$Q$7,$O4315=$Q$7)),"x","")</f>
        <v>x</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customHeight="1">
      <c r="A4316" s="323" t="str">
        <f>IF(B4316&lt;&gt;"",IF(AND(B4316='IN-TC'!$S$4,OR(TH!N4316="1111",TH!O4316="1111")),TH!D4316,""),"")</f>
        <v/>
      </c>
      <c r="B4316" s="63">
        <f t="shared" si="277"/>
        <v>12</v>
      </c>
      <c r="C4316" s="64">
        <v>42709</v>
      </c>
      <c r="D4316" s="64" t="s">
        <v>866</v>
      </c>
      <c r="E4316" s="64">
        <f t="shared" si="278"/>
        <v>42709</v>
      </c>
      <c r="F4316" s="72" t="s">
        <v>2720</v>
      </c>
      <c r="G4316" s="931" t="s">
        <v>2721</v>
      </c>
      <c r="H4316" s="72" t="s">
        <v>830</v>
      </c>
      <c r="I4316" s="408"/>
      <c r="J4316" s="408"/>
      <c r="K4316" s="399"/>
      <c r="L4316" s="408"/>
      <c r="M4316" s="65">
        <v>212601</v>
      </c>
      <c r="N4316" s="66" t="s">
        <v>9</v>
      </c>
      <c r="O4316" s="66" t="s">
        <v>61</v>
      </c>
      <c r="P4316" s="82" t="str">
        <f>IF(AND('331-CT'!$E$7=TH!H4316,OR(N4316="331",O4316="331")),"x","")</f>
        <v/>
      </c>
      <c r="Q4316" s="82" t="str">
        <f>IF(AND(B4316='111'!$L$11,OR($N4316=$Q$7,$O4316=$Q$7)),"x","")</f>
        <v>x</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x</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customHeight="1">
      <c r="A4317" s="323" t="str">
        <f>IF(B4317&lt;&gt;"",IF(AND(B4317='IN-TC'!$S$4,OR(TH!N4317="1111",TH!O4317="1111")),TH!D4317,""),"")</f>
        <v/>
      </c>
      <c r="B4317" s="63">
        <f t="shared" si="277"/>
        <v>12</v>
      </c>
      <c r="C4317" s="1092">
        <v>42709</v>
      </c>
      <c r="D4317" s="1092" t="s">
        <v>867</v>
      </c>
      <c r="E4317" s="1092">
        <f t="shared" si="278"/>
        <v>42709</v>
      </c>
      <c r="F4317" s="482" t="s">
        <v>947</v>
      </c>
      <c r="G4317" s="1094"/>
      <c r="H4317" s="937" t="s">
        <v>3001</v>
      </c>
      <c r="I4317" s="1095"/>
      <c r="J4317" s="1095"/>
      <c r="K4317" s="1096"/>
      <c r="L4317" s="1095"/>
      <c r="M4317" s="1097">
        <v>700000000</v>
      </c>
      <c r="N4317" s="1098" t="s">
        <v>266</v>
      </c>
      <c r="O4317" s="1098" t="s">
        <v>61</v>
      </c>
      <c r="P4317" s="82" t="str">
        <f>IF(AND('331-CT'!$E$7=TH!H4317,OR(N4317="331",O4317="331")),"x","")</f>
        <v/>
      </c>
      <c r="Q4317" s="82" t="str">
        <f>IF(AND(B4317='111'!$L$11,OR($N4317=$Q$7,$O4317=$Q$7)),"x","")</f>
        <v>x</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1" ht="15.75" customHeight="1">
      <c r="A4318" s="323" t="str">
        <f>IF(B4318&lt;&gt;"",IF(AND(B4318='IN-TC'!$S$4,OR(TH!N4525="1111",TH!O4525="1111")),TH!D4525,""),"")</f>
        <v/>
      </c>
      <c r="B4318" s="63">
        <f t="shared" si="277"/>
        <v>12</v>
      </c>
      <c r="C4318" s="64">
        <v>42709</v>
      </c>
      <c r="D4318" s="64" t="s">
        <v>570</v>
      </c>
      <c r="E4318" s="64">
        <f t="shared" si="278"/>
        <v>42709</v>
      </c>
      <c r="F4318" s="72" t="s">
        <v>1049</v>
      </c>
      <c r="G4318" s="67" t="s">
        <v>901</v>
      </c>
      <c r="H4318" s="72" t="s">
        <v>1652</v>
      </c>
      <c r="I4318" s="408"/>
      <c r="J4318" s="408"/>
      <c r="K4318" s="399"/>
      <c r="L4318" s="408"/>
      <c r="M4318" s="65">
        <v>37525000</v>
      </c>
      <c r="N4318" s="66" t="s">
        <v>97</v>
      </c>
      <c r="O4318" s="66" t="s">
        <v>254</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1" ht="15.75" customHeight="1">
      <c r="A4319" s="1170" t="str">
        <f>IF(B4319&lt;&gt;"",IF(AND(B4319='IN-TC'!$S$4,OR(TH!N372="1111",TH!O372="1111")),TH!D372,""),"")</f>
        <v/>
      </c>
      <c r="B4319" s="63">
        <f t="shared" si="277"/>
        <v>12</v>
      </c>
      <c r="C4319" s="90">
        <v>42720</v>
      </c>
      <c r="D4319" s="1087" t="s">
        <v>2367</v>
      </c>
      <c r="E4319" s="90">
        <v>42720</v>
      </c>
      <c r="F4319" s="91" t="s">
        <v>455</v>
      </c>
      <c r="G4319" s="1089" t="s">
        <v>2526</v>
      </c>
      <c r="H4319" s="937" t="s">
        <v>1887</v>
      </c>
      <c r="I4319" s="414">
        <v>156000</v>
      </c>
      <c r="J4319" s="1132">
        <v>2.83</v>
      </c>
      <c r="K4319" s="405">
        <f>I4319*J4319</f>
        <v>441480</v>
      </c>
      <c r="L4319" s="414">
        <v>22595</v>
      </c>
      <c r="M4319" s="1133">
        <f>ROUND(K4319*L4319,0)</f>
        <v>9975240600</v>
      </c>
      <c r="N4319" s="1134" t="s">
        <v>576</v>
      </c>
      <c r="O4319" s="1134" t="s">
        <v>292</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1" ht="15.75" customHeight="1">
      <c r="A4320" s="323" t="str">
        <f>IF(B4320&lt;&gt;"",IF(AND(B4320='IN-TC'!$S$4,OR(TH!N4531="1111",TH!O4531="1111")),TH!D4531,""),"")</f>
        <v/>
      </c>
      <c r="B4320" s="63">
        <f t="shared" si="277"/>
        <v>12</v>
      </c>
      <c r="C4320" s="64">
        <v>42721</v>
      </c>
      <c r="D4320" s="64" t="s">
        <v>690</v>
      </c>
      <c r="E4320" s="64">
        <f t="shared" ref="E4320:E4328" si="279">C4320</f>
        <v>42721</v>
      </c>
      <c r="F4320" s="72" t="s">
        <v>2897</v>
      </c>
      <c r="G4320" s="67" t="s">
        <v>901</v>
      </c>
      <c r="H4320" s="72" t="s">
        <v>1887</v>
      </c>
      <c r="I4320" s="408"/>
      <c r="J4320" s="408"/>
      <c r="K4320" s="399">
        <v>100</v>
      </c>
      <c r="L4320" s="408">
        <v>22710</v>
      </c>
      <c r="M4320" s="65">
        <f t="shared" ref="M4320:M4328" si="280">K4320*L4320</f>
        <v>2271000</v>
      </c>
      <c r="N4320" s="66" t="s">
        <v>99</v>
      </c>
      <c r="O4320" s="66" t="s">
        <v>576</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customHeight="1">
      <c r="A4321" s="323" t="str">
        <f>IF(B4321&lt;&gt;"",IF(AND(B4321='IN-TC'!$S$4,OR(TH!N4522="1111",TH!O4522="1111")),TH!D4522,""),"")</f>
        <v/>
      </c>
      <c r="B4321" s="63">
        <f t="shared" si="277"/>
        <v>12</v>
      </c>
      <c r="C4321" s="64">
        <v>42709</v>
      </c>
      <c r="D4321" s="64" t="s">
        <v>687</v>
      </c>
      <c r="E4321" s="64">
        <f t="shared" si="279"/>
        <v>42709</v>
      </c>
      <c r="F4321" s="72" t="s">
        <v>1648</v>
      </c>
      <c r="G4321" s="67" t="s">
        <v>1900</v>
      </c>
      <c r="H4321" s="72" t="s">
        <v>2048</v>
      </c>
      <c r="I4321" s="408"/>
      <c r="J4321" s="408"/>
      <c r="K4321" s="399">
        <v>95500</v>
      </c>
      <c r="L4321" s="408">
        <v>22750</v>
      </c>
      <c r="M4321" s="65">
        <f t="shared" si="280"/>
        <v>2172625000</v>
      </c>
      <c r="N4321" s="66" t="s">
        <v>260</v>
      </c>
      <c r="O4321" s="66" t="s">
        <v>260</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1" ht="15.75" customHeight="1">
      <c r="A4322" s="323" t="str">
        <f>IF(B4322&lt;&gt;"",IF(AND(B4322='IN-TC'!$S$4,OR(TH!N4530="1111",TH!O4530="1111")),TH!D4530,""),"")</f>
        <v/>
      </c>
      <c r="B4322" s="63">
        <f t="shared" si="277"/>
        <v>12</v>
      </c>
      <c r="C4322" s="64">
        <v>42721</v>
      </c>
      <c r="D4322" s="64" t="s">
        <v>687</v>
      </c>
      <c r="E4322" s="64">
        <f t="shared" si="279"/>
        <v>42721</v>
      </c>
      <c r="F4322" s="72" t="s">
        <v>1436</v>
      </c>
      <c r="G4322" s="67" t="s">
        <v>901</v>
      </c>
      <c r="H4322" s="72" t="s">
        <v>1887</v>
      </c>
      <c r="I4322" s="408"/>
      <c r="J4322" s="408"/>
      <c r="K4322" s="399">
        <v>291083</v>
      </c>
      <c r="L4322" s="408">
        <v>22710</v>
      </c>
      <c r="M4322" s="65">
        <f t="shared" si="280"/>
        <v>6610494930</v>
      </c>
      <c r="N4322" s="66" t="s">
        <v>260</v>
      </c>
      <c r="O4322" s="66" t="s">
        <v>576</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1" ht="15.75" customHeight="1">
      <c r="A4323" s="323" t="str">
        <f>IF(B4323&lt;&gt;"",IF(AND(B4323='IN-TC'!$S$4,OR(TH!N4523="1111",TH!O4523="1111")),TH!D4523,""),"")</f>
        <v/>
      </c>
      <c r="B4323" s="63">
        <f t="shared" si="277"/>
        <v>12</v>
      </c>
      <c r="C4323" s="64">
        <v>42709</v>
      </c>
      <c r="D4323" s="64" t="s">
        <v>690</v>
      </c>
      <c r="E4323" s="64">
        <f t="shared" si="279"/>
        <v>42709</v>
      </c>
      <c r="F4323" s="72" t="s">
        <v>2357</v>
      </c>
      <c r="G4323" s="67" t="s">
        <v>901</v>
      </c>
      <c r="H4323" s="72" t="s">
        <v>1652</v>
      </c>
      <c r="I4323" s="408"/>
      <c r="J4323" s="408"/>
      <c r="K4323" s="399">
        <v>95000</v>
      </c>
      <c r="L4323" s="408">
        <v>22750</v>
      </c>
      <c r="M4323" s="65">
        <f t="shared" si="280"/>
        <v>2161250000</v>
      </c>
      <c r="N4323" s="66" t="s">
        <v>254</v>
      </c>
      <c r="O4323" s="66" t="s">
        <v>260</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1" ht="15.75" customHeight="1">
      <c r="A4324" s="323" t="str">
        <f>IF(B4324&lt;&gt;"",IF(AND(B4324='IN-TC'!$S$4,OR(TH!N4524="1111",TH!O4524="1111")),TH!D4524,""),"")</f>
        <v/>
      </c>
      <c r="B4324" s="63">
        <f t="shared" si="277"/>
        <v>12</v>
      </c>
      <c r="C4324" s="64">
        <v>42709</v>
      </c>
      <c r="D4324" s="64" t="s">
        <v>690</v>
      </c>
      <c r="E4324" s="64">
        <f t="shared" si="279"/>
        <v>42709</v>
      </c>
      <c r="F4324" s="72" t="s">
        <v>2752</v>
      </c>
      <c r="G4324" s="67" t="s">
        <v>901</v>
      </c>
      <c r="H4324" s="72" t="s">
        <v>1652</v>
      </c>
      <c r="I4324" s="408"/>
      <c r="J4324" s="408"/>
      <c r="K4324" s="399">
        <v>184.72</v>
      </c>
      <c r="L4324" s="408">
        <v>22750</v>
      </c>
      <c r="M4324" s="65">
        <f t="shared" si="280"/>
        <v>4202380</v>
      </c>
      <c r="N4324" s="66" t="s">
        <v>97</v>
      </c>
      <c r="O4324" s="66" t="s">
        <v>260</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1" ht="15.75" customHeight="1">
      <c r="A4325" s="323" t="str">
        <f>IF(B4325&lt;&gt;"",IF(AND(B4325='IN-TC'!$S$4,OR(TH!N4602="1111",TH!O4602="1111")),TH!D4602,""),"")</f>
        <v/>
      </c>
      <c r="B4325" s="63">
        <f t="shared" si="277"/>
        <v>12</v>
      </c>
      <c r="C4325" s="64">
        <v>42709</v>
      </c>
      <c r="D4325" s="64" t="s">
        <v>690</v>
      </c>
      <c r="E4325" s="64">
        <f t="shared" si="279"/>
        <v>42709</v>
      </c>
      <c r="F4325" s="72" t="s">
        <v>2786</v>
      </c>
      <c r="G4325" s="67" t="s">
        <v>1544</v>
      </c>
      <c r="H4325" s="72" t="s">
        <v>1780</v>
      </c>
      <c r="I4325" s="408"/>
      <c r="J4325" s="408"/>
      <c r="K4325" s="399">
        <v>100</v>
      </c>
      <c r="L4325" s="408">
        <v>22720</v>
      </c>
      <c r="M4325" s="65">
        <f t="shared" si="280"/>
        <v>2272000</v>
      </c>
      <c r="N4325" s="66" t="s">
        <v>99</v>
      </c>
      <c r="O4325" s="66" t="s">
        <v>260</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customHeight="1">
      <c r="A4326" s="323" t="str">
        <f>IF(B4326&lt;&gt;"",IF(AND(B4326='IN-TC'!$S$4,OR(TH!N4603="1111",TH!O4603="1111")),TH!D4603,""),"")</f>
        <v/>
      </c>
      <c r="B4326" s="63">
        <f t="shared" si="277"/>
        <v>12</v>
      </c>
      <c r="C4326" s="64">
        <v>42709</v>
      </c>
      <c r="D4326" s="64" t="s">
        <v>690</v>
      </c>
      <c r="E4326" s="64">
        <f t="shared" si="279"/>
        <v>42709</v>
      </c>
      <c r="F4326" s="72" t="s">
        <v>2787</v>
      </c>
      <c r="G4326" s="67" t="s">
        <v>1544</v>
      </c>
      <c r="H4326" s="72" t="s">
        <v>1780</v>
      </c>
      <c r="I4326" s="408"/>
      <c r="J4326" s="408"/>
      <c r="K4326" s="399">
        <v>10</v>
      </c>
      <c r="L4326" s="408">
        <v>22720</v>
      </c>
      <c r="M4326" s="65">
        <f t="shared" si="280"/>
        <v>227200</v>
      </c>
      <c r="N4326" s="66" t="s">
        <v>9</v>
      </c>
      <c r="O4326" s="66" t="s">
        <v>260</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x</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c r="AE4326">
        <v>1</v>
      </c>
    </row>
    <row r="4327" spans="1:31" ht="15.75" customHeight="1">
      <c r="A4327" s="323" t="str">
        <f>IF(B4327&lt;&gt;"",IF(AND(B4327='IN-TC'!$S$4,OR(TH!N4604="1111",TH!O4604="1111")),TH!D4604,""),"")</f>
        <v/>
      </c>
      <c r="B4327" s="63">
        <f t="shared" si="277"/>
        <v>12</v>
      </c>
      <c r="C4327" s="64">
        <v>42709</v>
      </c>
      <c r="D4327" s="64" t="s">
        <v>690</v>
      </c>
      <c r="E4327" s="64">
        <f t="shared" si="279"/>
        <v>42709</v>
      </c>
      <c r="F4327" s="72" t="s">
        <v>1778</v>
      </c>
      <c r="G4327" s="67" t="s">
        <v>1544</v>
      </c>
      <c r="H4327" s="72" t="s">
        <v>1780</v>
      </c>
      <c r="I4327" s="408"/>
      <c r="J4327" s="408"/>
      <c r="K4327" s="399">
        <v>3</v>
      </c>
      <c r="L4327" s="408">
        <v>22720</v>
      </c>
      <c r="M4327" s="65">
        <f t="shared" si="280"/>
        <v>68160</v>
      </c>
      <c r="N4327" s="66" t="s">
        <v>99</v>
      </c>
      <c r="O4327" s="66" t="s">
        <v>260</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c r="AE4327">
        <v>1</v>
      </c>
    </row>
    <row r="4328" spans="1:31" ht="15.75" customHeight="1">
      <c r="A4328" s="323" t="str">
        <f>IF(B4328&lt;&gt;"",IF(AND(B4328='IN-TC'!$S$4,OR(TH!N4605="1111",TH!O4605="1111")),TH!D4605,""),"")</f>
        <v/>
      </c>
      <c r="B4328" s="63">
        <f t="shared" si="277"/>
        <v>12</v>
      </c>
      <c r="C4328" s="64">
        <v>42709</v>
      </c>
      <c r="D4328" s="64" t="s">
        <v>690</v>
      </c>
      <c r="E4328" s="64">
        <f t="shared" si="279"/>
        <v>42709</v>
      </c>
      <c r="F4328" s="72" t="s">
        <v>2010</v>
      </c>
      <c r="G4328" s="67" t="s">
        <v>1544</v>
      </c>
      <c r="H4328" s="72" t="s">
        <v>1780</v>
      </c>
      <c r="I4328" s="408"/>
      <c r="J4328" s="408"/>
      <c r="K4328" s="399">
        <v>0.3</v>
      </c>
      <c r="L4328" s="408">
        <v>22720</v>
      </c>
      <c r="M4328" s="65">
        <f t="shared" si="280"/>
        <v>6816</v>
      </c>
      <c r="N4328" s="66" t="s">
        <v>9</v>
      </c>
      <c r="O4328" s="66" t="s">
        <v>260</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x</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customHeight="1">
      <c r="A4329" s="1160" t="str">
        <f>IF(B4329&lt;&gt;"",IF(AND(B4329='IN-TC'!$S$4,OR(TH!N381="1111",TH!O381="1111")),TH!D381,""),"")</f>
        <v/>
      </c>
      <c r="B4329" s="63">
        <f t="shared" si="277"/>
        <v>12</v>
      </c>
      <c r="C4329" s="78">
        <v>42727</v>
      </c>
      <c r="D4329" s="1077" t="s">
        <v>2706</v>
      </c>
      <c r="E4329" s="78">
        <v>42727</v>
      </c>
      <c r="F4329" s="79" t="s">
        <v>2905</v>
      </c>
      <c r="G4329" s="79" t="s">
        <v>2906</v>
      </c>
      <c r="H4329" s="918" t="s">
        <v>2543</v>
      </c>
      <c r="I4329" s="406">
        <v>55</v>
      </c>
      <c r="J4329" s="1194">
        <v>147000</v>
      </c>
      <c r="K4329" s="397"/>
      <c r="L4329" s="406"/>
      <c r="M4329" s="1195">
        <f>ROUND(I4329*J4329,0)</f>
        <v>8085000</v>
      </c>
      <c r="N4329" s="1073" t="s">
        <v>576</v>
      </c>
      <c r="O4329" s="1073" t="s">
        <v>290</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1" ht="15.75" customHeight="1">
      <c r="A4330" s="323" t="str">
        <f>IF(B4330&lt;&gt;"",IF(AND(B4330='IN-TC'!$S$4,OR(TH!N4320="1111",TH!O4320="1111")),TH!D4320,""),"")</f>
        <v/>
      </c>
      <c r="B4330" s="63">
        <f t="shared" si="277"/>
        <v>12</v>
      </c>
      <c r="C4330" s="64">
        <v>42710</v>
      </c>
      <c r="D4330" s="64" t="s">
        <v>868</v>
      </c>
      <c r="E4330" s="64">
        <f t="shared" ref="E4330:E4337" si="281">C4330</f>
        <v>42710</v>
      </c>
      <c r="F4330" s="72" t="s">
        <v>1087</v>
      </c>
      <c r="G4330" s="67" t="s">
        <v>1544</v>
      </c>
      <c r="H4330" s="72" t="s">
        <v>748</v>
      </c>
      <c r="I4330" s="408"/>
      <c r="J4330" s="408"/>
      <c r="K4330" s="399"/>
      <c r="L4330" s="408"/>
      <c r="M4330" s="65">
        <v>900000000</v>
      </c>
      <c r="N4330" s="66" t="s">
        <v>25</v>
      </c>
      <c r="O4330" s="66" t="s">
        <v>61</v>
      </c>
      <c r="P4330" s="82" t="str">
        <f>IF(AND('331-CT'!$E$7=TH!H4330,OR(N4330="331",O4330="331")),"x","")</f>
        <v/>
      </c>
      <c r="Q4330" s="82" t="str">
        <f>IF(AND(B4330='111'!$L$11,OR($N4330=$Q$7,$O4330=$Q$7)),"x","")</f>
        <v>x</v>
      </c>
      <c r="R4330" s="82" t="str">
        <f>IF(AND($N4330=$Q$7,$B4330&lt;'111'!$L$11),"x","")</f>
        <v/>
      </c>
      <c r="S4330" s="82" t="str">
        <f>IF(AND($O4330=$Q$7,$B4330&lt;'111'!$L$11),"x","")</f>
        <v/>
      </c>
      <c r="T4330" s="82" t="str">
        <f>IF(ISERROR(FIND('112'!$M$9,G4330,1)),"",IF((AND(FIND('112'!$M$9,G4330,1)&gt;=1,B4330='112'!$K$9,OR($N4330='112'!$I$6,$O4330='112'!$I$6))),"x",""))</f>
        <v>x</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customHeight="1">
      <c r="A4331" s="323" t="str">
        <f>IF(B4331&lt;&gt;"",IF(AND(B4331='IN-TC'!$S$4,OR(TH!N4409="1111",TH!O4409="1111")),TH!D4409,""),"")</f>
        <v/>
      </c>
      <c r="B4331" s="63">
        <f t="shared" si="277"/>
        <v>12</v>
      </c>
      <c r="C4331" s="64">
        <v>42726</v>
      </c>
      <c r="D4331" s="64" t="s">
        <v>2943</v>
      </c>
      <c r="E4331" s="64">
        <f t="shared" si="281"/>
        <v>42726</v>
      </c>
      <c r="F4331" s="72" t="s">
        <v>2510</v>
      </c>
      <c r="G4331" s="931" t="s">
        <v>2756</v>
      </c>
      <c r="H4331" s="72" t="s">
        <v>2511</v>
      </c>
      <c r="I4331" s="408"/>
      <c r="J4331" s="408"/>
      <c r="K4331" s="399"/>
      <c r="L4331" s="408"/>
      <c r="M4331" s="65">
        <v>4537500</v>
      </c>
      <c r="N4331" s="66" t="s">
        <v>8</v>
      </c>
      <c r="O4331" s="66" t="s">
        <v>61</v>
      </c>
      <c r="P4331" s="82" t="str">
        <f>IF(AND('331-CT'!$E$7=TH!H4331,OR(N4331="331",O4331="331")),"x","")</f>
        <v/>
      </c>
      <c r="Q4331" s="82" t="str">
        <f>IF(AND(B4331='111'!$L$11,OR($N4331=$Q$7,$O4331=$Q$7)),"x","")</f>
        <v>x</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customHeight="1">
      <c r="A4332" s="323" t="str">
        <f>IF(B4332&lt;&gt;"",IF(AND(B4332='IN-TC'!$S$4,OR(TH!N4322="1111",TH!O4322="1111")),TH!D4322,""),"")</f>
        <v/>
      </c>
      <c r="B4332" s="63">
        <f t="shared" si="277"/>
        <v>12</v>
      </c>
      <c r="C4332" s="64">
        <v>42710</v>
      </c>
      <c r="D4332" s="64" t="s">
        <v>870</v>
      </c>
      <c r="E4332" s="64">
        <f t="shared" si="281"/>
        <v>42710</v>
      </c>
      <c r="F4332" s="72" t="s">
        <v>2609</v>
      </c>
      <c r="G4332" s="931" t="s">
        <v>2565</v>
      </c>
      <c r="H4332" s="72" t="s">
        <v>2566</v>
      </c>
      <c r="I4332" s="408"/>
      <c r="J4332" s="408"/>
      <c r="K4332" s="399"/>
      <c r="L4332" s="408"/>
      <c r="M4332" s="65">
        <v>19610000</v>
      </c>
      <c r="N4332" s="66" t="s">
        <v>8</v>
      </c>
      <c r="O4332" s="66" t="s">
        <v>61</v>
      </c>
      <c r="P4332" s="82" t="str">
        <f>IF(AND('331-CT'!$E$7=TH!H4332,OR(N4332="331",O4332="331")),"x","")</f>
        <v/>
      </c>
      <c r="Q4332" s="82" t="str">
        <f>IF(AND(B4332='111'!$L$11,OR($N4332=$Q$7,$O4332=$Q$7)),"x","")</f>
        <v>x</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1" ht="15.75" customHeight="1">
      <c r="A4333" s="1160" t="str">
        <f>IF(B4333&lt;&gt;"",IF(AND(B4333='IN-TC'!$S$4,OR(TH!N1055="1111",TH!O1055="1111")),TH!D1055,""),"")</f>
        <v/>
      </c>
      <c r="B4333" s="948">
        <f t="shared" si="277"/>
        <v>12</v>
      </c>
      <c r="C4333" s="78">
        <v>42724</v>
      </c>
      <c r="D4333" s="78" t="s">
        <v>2769</v>
      </c>
      <c r="E4333" s="78">
        <f t="shared" si="281"/>
        <v>42724</v>
      </c>
      <c r="F4333" s="80" t="s">
        <v>637</v>
      </c>
      <c r="G4333" s="934" t="s">
        <v>2754</v>
      </c>
      <c r="H4333" s="310" t="s">
        <v>2512</v>
      </c>
      <c r="I4333" s="406"/>
      <c r="J4333" s="406"/>
      <c r="K4333" s="397"/>
      <c r="L4333" s="406"/>
      <c r="M4333" s="81">
        <v>1800000</v>
      </c>
      <c r="N4333" s="82" t="s">
        <v>9</v>
      </c>
      <c r="O4333" s="82" t="s">
        <v>8</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x</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customHeight="1">
      <c r="A4334" s="323" t="str">
        <f>IF(B4334&lt;&gt;"",IF(AND(B4334='IN-TC'!$S$4,OR(TH!N4324="1111",TH!O4324="1111")),TH!D4324,""),"")</f>
        <v/>
      </c>
      <c r="B4334" s="63">
        <f t="shared" ref="B4334:B4397" si="282">IF(C4334&lt;&gt;"",MONTH(C4334),"")</f>
        <v>12</v>
      </c>
      <c r="C4334" s="64">
        <v>42710</v>
      </c>
      <c r="D4334" s="64" t="s">
        <v>872</v>
      </c>
      <c r="E4334" s="64">
        <f t="shared" si="281"/>
        <v>42710</v>
      </c>
      <c r="F4334" s="72" t="s">
        <v>2608</v>
      </c>
      <c r="G4334" s="931" t="s">
        <v>2561</v>
      </c>
      <c r="H4334" s="72" t="s">
        <v>2562</v>
      </c>
      <c r="I4334" s="408"/>
      <c r="J4334" s="408"/>
      <c r="K4334" s="399"/>
      <c r="L4334" s="408"/>
      <c r="M4334" s="65">
        <v>17710000</v>
      </c>
      <c r="N4334" s="66" t="s">
        <v>8</v>
      </c>
      <c r="O4334" s="66" t="s">
        <v>61</v>
      </c>
      <c r="P4334" s="82" t="str">
        <f>IF(AND('331-CT'!$E$7=TH!H4334,OR(N4334="331",O4334="331")),"x","")</f>
        <v/>
      </c>
      <c r="Q4334" s="82" t="str">
        <f>IF(AND(B4334='111'!$L$11,OR($N4334=$Q$7,$O4334=$Q$7)),"x","")</f>
        <v>x</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1" ht="15.75" customHeight="1">
      <c r="A4335" s="323" t="str">
        <f>IF(B4335&lt;&gt;"",IF(AND(B4335='IN-TC'!$S$4,OR(TH!N4454="1111",TH!O4454="1111")),TH!D4454,""),"")</f>
        <v/>
      </c>
      <c r="B4335" s="63">
        <f t="shared" si="282"/>
        <v>12</v>
      </c>
      <c r="C4335" s="64">
        <v>42710</v>
      </c>
      <c r="D4335" s="64" t="s">
        <v>687</v>
      </c>
      <c r="E4335" s="64">
        <f t="shared" si="281"/>
        <v>42710</v>
      </c>
      <c r="F4335" s="72" t="s">
        <v>2727</v>
      </c>
      <c r="G4335" s="67" t="s">
        <v>901</v>
      </c>
      <c r="H4335" s="72" t="s">
        <v>2728</v>
      </c>
      <c r="I4335" s="408"/>
      <c r="J4335" s="408"/>
      <c r="K4335" s="399">
        <v>93000</v>
      </c>
      <c r="L4335" s="408">
        <f>M4335/K4335</f>
        <v>22725</v>
      </c>
      <c r="M4335" s="65">
        <v>2113425000</v>
      </c>
      <c r="N4335" s="66" t="s">
        <v>25</v>
      </c>
      <c r="O4335" s="66" t="s">
        <v>254</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customHeight="1">
      <c r="A4336" s="323" t="str">
        <f>IF(B4336&lt;&gt;"",IF(AND(B4336='IN-TC'!$S$4,OR(TH!N4560="1111",TH!O4560="1111")),TH!D4560,""),"")</f>
        <v/>
      </c>
      <c r="B4336" s="63">
        <f t="shared" si="282"/>
        <v>12</v>
      </c>
      <c r="C4336" s="64">
        <v>42710</v>
      </c>
      <c r="D4336" s="64" t="s">
        <v>687</v>
      </c>
      <c r="E4336" s="64">
        <f t="shared" si="281"/>
        <v>42710</v>
      </c>
      <c r="F4336" s="72" t="s">
        <v>1425</v>
      </c>
      <c r="G4336" s="67" t="s">
        <v>1544</v>
      </c>
      <c r="H4336" s="72" t="s">
        <v>1780</v>
      </c>
      <c r="I4336" s="408"/>
      <c r="J4336" s="408"/>
      <c r="K4336" s="399">
        <v>195500</v>
      </c>
      <c r="L4336" s="408">
        <v>22720</v>
      </c>
      <c r="M4336" s="65">
        <f>K4336*L4336</f>
        <v>4441760000</v>
      </c>
      <c r="N4336" s="66" t="s">
        <v>25</v>
      </c>
      <c r="O4336" s="66" t="s">
        <v>260</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x</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customHeight="1">
      <c r="A4337" s="323" t="str">
        <f>IF(B4337&lt;&gt;"",IF(AND(B4337='IN-TC'!$S$4,OR(TH!N4318="1111",TH!O4318="1111")),TH!D4318,""),"")</f>
        <v/>
      </c>
      <c r="B4337" s="63">
        <f t="shared" si="282"/>
        <v>12</v>
      </c>
      <c r="C4337" s="64">
        <v>42710</v>
      </c>
      <c r="D4337" s="64" t="s">
        <v>893</v>
      </c>
      <c r="E4337" s="64">
        <f t="shared" si="281"/>
        <v>42710</v>
      </c>
      <c r="F4337" s="72" t="s">
        <v>1126</v>
      </c>
      <c r="G4337" s="67" t="s">
        <v>901</v>
      </c>
      <c r="H4337" s="72" t="s">
        <v>748</v>
      </c>
      <c r="I4337" s="408"/>
      <c r="J4337" s="408"/>
      <c r="K4337" s="399"/>
      <c r="L4337" s="408"/>
      <c r="M4337" s="65">
        <v>2100000000</v>
      </c>
      <c r="N4337" s="66" t="s">
        <v>61</v>
      </c>
      <c r="O4337" s="66" t="s">
        <v>25</v>
      </c>
      <c r="P4337" s="82" t="str">
        <f>IF(AND('331-CT'!$E$7=TH!H4337,OR(N4337="331",O4337="331")),"x","")</f>
        <v/>
      </c>
      <c r="Q4337" s="82" t="str">
        <f>IF(AND(B4337='111'!$L$11,OR($N4337=$Q$7,$O4337=$Q$7)),"x","")</f>
        <v>x</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customHeight="1">
      <c r="A4338" s="1160" t="str">
        <f>IF(B4338&lt;&gt;"",IF(AND(B4338='IN-TC'!$S$4,OR(TH!N382="1111",TH!O382="1111")),TH!D382,""),"")</f>
        <v/>
      </c>
      <c r="B4338" s="63">
        <f t="shared" si="282"/>
        <v>12</v>
      </c>
      <c r="C4338" s="78">
        <v>42727</v>
      </c>
      <c r="D4338" s="1077" t="s">
        <v>2706</v>
      </c>
      <c r="E4338" s="78">
        <v>42727</v>
      </c>
      <c r="F4338" s="79" t="s">
        <v>2905</v>
      </c>
      <c r="G4338" s="79" t="s">
        <v>2906</v>
      </c>
      <c r="H4338" s="918" t="s">
        <v>2543</v>
      </c>
      <c r="I4338" s="406">
        <v>58</v>
      </c>
      <c r="J4338" s="1194">
        <v>147000</v>
      </c>
      <c r="K4338" s="397"/>
      <c r="L4338" s="406"/>
      <c r="M4338" s="1195">
        <f>ROUND(I4338*J4338,0)</f>
        <v>8526000</v>
      </c>
      <c r="N4338" s="1073" t="s">
        <v>576</v>
      </c>
      <c r="O4338" s="1073" t="s">
        <v>290</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customHeight="1">
      <c r="A4339" s="323" t="str">
        <f>IF(B4339&lt;&gt;"",IF(AND(B4339='IN-TC'!$S$4,OR(TH!N4398="1111",TH!O4398="1111")),TH!D4398,""),"")</f>
        <v/>
      </c>
      <c r="B4339" s="63">
        <f t="shared" si="282"/>
        <v>12</v>
      </c>
      <c r="C4339" s="64">
        <v>42724</v>
      </c>
      <c r="D4339" s="64" t="s">
        <v>2934</v>
      </c>
      <c r="E4339" s="64">
        <f t="shared" ref="E4339:E4354" si="283">C4339</f>
        <v>42724</v>
      </c>
      <c r="F4339" s="72" t="s">
        <v>2510</v>
      </c>
      <c r="G4339" s="931" t="s">
        <v>2754</v>
      </c>
      <c r="H4339" s="72" t="s">
        <v>2512</v>
      </c>
      <c r="I4339" s="408"/>
      <c r="J4339" s="408"/>
      <c r="K4339" s="399"/>
      <c r="L4339" s="408"/>
      <c r="M4339" s="65">
        <v>19800000</v>
      </c>
      <c r="N4339" s="66" t="s">
        <v>8</v>
      </c>
      <c r="O4339" s="66" t="s">
        <v>61</v>
      </c>
      <c r="P4339" s="82" t="str">
        <f>IF(AND('331-CT'!$E$7=TH!H4339,OR(N4339="331",O4339="331")),"x","")</f>
        <v/>
      </c>
      <c r="Q4339" s="82" t="str">
        <f>IF(AND(B4339='111'!$L$11,OR($N4339=$Q$7,$O4339=$Q$7)),"x","")</f>
        <v>x</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customHeight="1">
      <c r="A4340" s="323" t="str">
        <f>IF(B4340&lt;&gt;"",IF(AND(B4340='IN-TC'!$S$4,OR(TH!N4327="1111",TH!O4327="1111")),TH!D4327,""),"")</f>
        <v/>
      </c>
      <c r="B4340" s="63">
        <f t="shared" si="282"/>
        <v>12</v>
      </c>
      <c r="C4340" s="64">
        <v>42711</v>
      </c>
      <c r="D4340" s="64" t="s">
        <v>874</v>
      </c>
      <c r="E4340" s="64">
        <f t="shared" si="283"/>
        <v>42711</v>
      </c>
      <c r="F4340" s="72" t="s">
        <v>2609</v>
      </c>
      <c r="G4340" s="931" t="s">
        <v>2568</v>
      </c>
      <c r="H4340" s="72" t="s">
        <v>2569</v>
      </c>
      <c r="I4340" s="408"/>
      <c r="J4340" s="408"/>
      <c r="K4340" s="399"/>
      <c r="L4340" s="408"/>
      <c r="M4340" s="65">
        <v>19610000</v>
      </c>
      <c r="N4340" s="66" t="s">
        <v>8</v>
      </c>
      <c r="O4340" s="66" t="s">
        <v>61</v>
      </c>
      <c r="P4340" s="82" t="str">
        <f>IF(AND('331-CT'!$E$7=TH!H4340,OR(N4340="331",O4340="331")),"x","")</f>
        <v/>
      </c>
      <c r="Q4340" s="82" t="str">
        <f>IF(AND(B4340='111'!$L$11,OR($N4340=$Q$7,$O4340=$Q$7)),"x","")</f>
        <v>x</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customHeight="1">
      <c r="A4341" s="323" t="str">
        <f>IF(B4341&lt;&gt;"",IF(AND(B4341='IN-TC'!$S$4,OR(TH!N4328="1111",TH!O4328="1111")),TH!D4328,""),"")</f>
        <v/>
      </c>
      <c r="B4341" s="63">
        <f t="shared" si="282"/>
        <v>12</v>
      </c>
      <c r="C4341" s="64">
        <v>42711</v>
      </c>
      <c r="D4341" s="64" t="s">
        <v>875</v>
      </c>
      <c r="E4341" s="64">
        <f t="shared" si="283"/>
        <v>42711</v>
      </c>
      <c r="F4341" s="72" t="s">
        <v>2397</v>
      </c>
      <c r="G4341" s="931" t="s">
        <v>2696</v>
      </c>
      <c r="H4341" s="72" t="s">
        <v>1300</v>
      </c>
      <c r="I4341" s="408"/>
      <c r="J4341" s="408"/>
      <c r="K4341" s="399"/>
      <c r="L4341" s="408"/>
      <c r="M4341" s="65">
        <v>900000</v>
      </c>
      <c r="N4341" s="66" t="s">
        <v>99</v>
      </c>
      <c r="O4341" s="66" t="s">
        <v>61</v>
      </c>
      <c r="P4341" s="82" t="str">
        <f>IF(AND('331-CT'!$E$7=TH!H4341,OR(N4341="331",O4341="331")),"x","")</f>
        <v/>
      </c>
      <c r="Q4341" s="82" t="str">
        <f>IF(AND(B4341='111'!$L$11,OR($N4341=$Q$7,$O4341=$Q$7)),"x","")</f>
        <v>x</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c r="AE4341">
        <v>1</v>
      </c>
    </row>
    <row r="4342" spans="1:31" ht="15.75" customHeight="1">
      <c r="A4342" s="323" t="str">
        <f>IF(B4342&lt;&gt;"",IF(AND(B4342='IN-TC'!$S$4,OR(TH!N4329="1111",TH!O4329="1111")),TH!D4329,""),"")</f>
        <v/>
      </c>
      <c r="B4342" s="63">
        <f t="shared" si="282"/>
        <v>12</v>
      </c>
      <c r="C4342" s="64">
        <v>42711</v>
      </c>
      <c r="D4342" s="64" t="s">
        <v>875</v>
      </c>
      <c r="E4342" s="64">
        <f t="shared" si="283"/>
        <v>42711</v>
      </c>
      <c r="F4342" s="72" t="s">
        <v>2398</v>
      </c>
      <c r="G4342" s="931" t="s">
        <v>2696</v>
      </c>
      <c r="H4342" s="72" t="s">
        <v>1300</v>
      </c>
      <c r="I4342" s="408"/>
      <c r="J4342" s="408"/>
      <c r="K4342" s="399"/>
      <c r="L4342" s="408"/>
      <c r="M4342" s="65">
        <v>90000</v>
      </c>
      <c r="N4342" s="66" t="s">
        <v>9</v>
      </c>
      <c r="O4342" s="66" t="s">
        <v>61</v>
      </c>
      <c r="P4342" s="82" t="str">
        <f>IF(AND('331-CT'!$E$7=TH!H4342,OR(N4342="331",O4342="331")),"x","")</f>
        <v/>
      </c>
      <c r="Q4342" s="82" t="str">
        <f>IF(AND(B4342='111'!$L$11,OR($N4342=$Q$7,$O4342=$Q$7)),"x","")</f>
        <v>x</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x</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c r="AE4342">
        <v>1</v>
      </c>
    </row>
    <row r="4343" spans="1:31" ht="15.75" customHeight="1">
      <c r="A4343" s="323" t="str">
        <f>IF(B4343&lt;&gt;"",IF(AND(B4343='IN-TC'!$S$4,OR(TH!N4330="1111",TH!O4330="1111")),TH!D4330,""),"")</f>
        <v/>
      </c>
      <c r="B4343" s="63">
        <f t="shared" si="282"/>
        <v>12</v>
      </c>
      <c r="C4343" s="64">
        <v>42711</v>
      </c>
      <c r="D4343" s="64" t="s">
        <v>876</v>
      </c>
      <c r="E4343" s="64">
        <f t="shared" si="283"/>
        <v>42711</v>
      </c>
      <c r="F4343" s="72" t="s">
        <v>2697</v>
      </c>
      <c r="G4343" s="931" t="s">
        <v>2699</v>
      </c>
      <c r="H4343" s="72" t="s">
        <v>2700</v>
      </c>
      <c r="I4343" s="408"/>
      <c r="J4343" s="408"/>
      <c r="K4343" s="399"/>
      <c r="L4343" s="408"/>
      <c r="M4343" s="65">
        <v>261818</v>
      </c>
      <c r="N4343" s="66" t="s">
        <v>99</v>
      </c>
      <c r="O4343" s="66" t="s">
        <v>61</v>
      </c>
      <c r="P4343" s="82" t="str">
        <f>IF(AND('331-CT'!$E$7=TH!H4343,OR(N4343="331",O4343="331")),"x","")</f>
        <v/>
      </c>
      <c r="Q4343" s="82" t="str">
        <f>IF(AND(B4343='111'!$L$11,OR($N4343=$Q$7,$O4343=$Q$7)),"x","")</f>
        <v>x</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customHeight="1">
      <c r="A4344" s="323" t="str">
        <f>IF(B4344&lt;&gt;"",IF(AND(B4344='IN-TC'!$S$4,OR(TH!N4331="1111",TH!O4331="1111")),TH!D4331,""),"")</f>
        <v/>
      </c>
      <c r="B4344" s="63">
        <f t="shared" si="282"/>
        <v>12</v>
      </c>
      <c r="C4344" s="64">
        <v>42711</v>
      </c>
      <c r="D4344" s="64" t="s">
        <v>876</v>
      </c>
      <c r="E4344" s="64">
        <f t="shared" si="283"/>
        <v>42711</v>
      </c>
      <c r="F4344" s="72" t="s">
        <v>2698</v>
      </c>
      <c r="G4344" s="931" t="s">
        <v>2699</v>
      </c>
      <c r="H4344" s="72" t="s">
        <v>2700</v>
      </c>
      <c r="I4344" s="408"/>
      <c r="J4344" s="408"/>
      <c r="K4344" s="399"/>
      <c r="L4344" s="408"/>
      <c r="M4344" s="65">
        <v>26182</v>
      </c>
      <c r="N4344" s="66" t="s">
        <v>9</v>
      </c>
      <c r="O4344" s="66" t="s">
        <v>61</v>
      </c>
      <c r="P4344" s="82" t="str">
        <f>IF(AND('331-CT'!$E$7=TH!H4344,OR(N4344="331",O4344="331")),"x","")</f>
        <v/>
      </c>
      <c r="Q4344" s="82" t="str">
        <f>IF(AND(B4344='111'!$L$11,OR($N4344=$Q$7,$O4344=$Q$7)),"x","")</f>
        <v>x</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x</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customHeight="1">
      <c r="A4345" s="323" t="str">
        <f>IF(B4345&lt;&gt;"",IF(AND(B4345='IN-TC'!$S$4,OR(TH!N4332="1111",TH!O4332="1111")),TH!D4332,""),"")</f>
        <v/>
      </c>
      <c r="B4345" s="63">
        <f t="shared" si="282"/>
        <v>12</v>
      </c>
      <c r="C4345" s="1092">
        <v>42711</v>
      </c>
      <c r="D4345" s="1092" t="s">
        <v>877</v>
      </c>
      <c r="E4345" s="1092">
        <f t="shared" si="283"/>
        <v>42711</v>
      </c>
      <c r="F4345" s="482" t="s">
        <v>947</v>
      </c>
      <c r="G4345" s="1094"/>
      <c r="H4345" s="937" t="s">
        <v>3001</v>
      </c>
      <c r="I4345" s="1095"/>
      <c r="J4345" s="1095"/>
      <c r="K4345" s="1096"/>
      <c r="L4345" s="1095"/>
      <c r="M4345" s="1097">
        <v>850000000</v>
      </c>
      <c r="N4345" s="1098" t="s">
        <v>266</v>
      </c>
      <c r="O4345" s="1098" t="s">
        <v>61</v>
      </c>
      <c r="P4345" s="82" t="str">
        <f>IF(AND('331-CT'!$E$7=TH!H4345,OR(N4345="331",O4345="331")),"x","")</f>
        <v/>
      </c>
      <c r="Q4345" s="82" t="str">
        <f>IF(AND(B4345='111'!$L$11,OR($N4345=$Q$7,$O4345=$Q$7)),"x","")</f>
        <v>x</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1" ht="15.75" customHeight="1">
      <c r="A4346" s="323" t="str">
        <f>IF(B4346&lt;&gt;"",IF(AND(B4346='IN-TC'!$S$4,OR(TH!N4561="1111",TH!O4561="1111")),TH!D4561,""),"")</f>
        <v/>
      </c>
      <c r="B4346" s="63">
        <f t="shared" si="282"/>
        <v>12</v>
      </c>
      <c r="C4346" s="64">
        <v>42711</v>
      </c>
      <c r="D4346" s="64" t="s">
        <v>690</v>
      </c>
      <c r="E4346" s="64">
        <f t="shared" si="283"/>
        <v>42711</v>
      </c>
      <c r="F4346" s="72" t="s">
        <v>1532</v>
      </c>
      <c r="G4346" s="67" t="s">
        <v>1544</v>
      </c>
      <c r="H4346" s="72" t="s">
        <v>2374</v>
      </c>
      <c r="I4346" s="408"/>
      <c r="J4346" s="408"/>
      <c r="K4346" s="399"/>
      <c r="L4346" s="408"/>
      <c r="M4346" s="65">
        <v>552669000</v>
      </c>
      <c r="N4346" s="66" t="s">
        <v>8</v>
      </c>
      <c r="O4346" s="66" t="s">
        <v>25</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x</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1" ht="15.75" customHeight="1">
      <c r="A4347" s="323" t="str">
        <f>IF(B4347&lt;&gt;"",IF(AND(B4347='IN-TC'!$S$4,OR(TH!N4562="1111",TH!O4562="1111")),TH!D4562,""),"")</f>
        <v/>
      </c>
      <c r="B4347" s="63">
        <f t="shared" si="282"/>
        <v>12</v>
      </c>
      <c r="C4347" s="64">
        <v>42711</v>
      </c>
      <c r="D4347" s="64" t="s">
        <v>690</v>
      </c>
      <c r="E4347" s="64">
        <f t="shared" si="283"/>
        <v>42711</v>
      </c>
      <c r="F4347" s="72" t="s">
        <v>2147</v>
      </c>
      <c r="G4347" s="67" t="s">
        <v>1544</v>
      </c>
      <c r="H4347" s="72" t="s">
        <v>1780</v>
      </c>
      <c r="I4347" s="408"/>
      <c r="J4347" s="408"/>
      <c r="K4347" s="399"/>
      <c r="L4347" s="408"/>
      <c r="M4347" s="65">
        <v>165801</v>
      </c>
      <c r="N4347" s="66" t="s">
        <v>99</v>
      </c>
      <c r="O4347" s="66" t="s">
        <v>25</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x</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c r="AE4347">
        <v>1</v>
      </c>
    </row>
    <row r="4348" spans="1:31" ht="15.75" customHeight="1">
      <c r="A4348" s="323" t="str">
        <f>IF(B4348&lt;&gt;"",IF(AND(B4348='IN-TC'!$S$4,OR(TH!N4563="1111",TH!O4563="1111")),TH!D4563,""),"")</f>
        <v/>
      </c>
      <c r="B4348" s="63">
        <f t="shared" si="282"/>
        <v>12</v>
      </c>
      <c r="C4348" s="64">
        <v>42711</v>
      </c>
      <c r="D4348" s="64" t="s">
        <v>690</v>
      </c>
      <c r="E4348" s="64">
        <f t="shared" si="283"/>
        <v>42711</v>
      </c>
      <c r="F4348" s="72" t="s">
        <v>2148</v>
      </c>
      <c r="G4348" s="67" t="s">
        <v>1544</v>
      </c>
      <c r="H4348" s="72" t="s">
        <v>1780</v>
      </c>
      <c r="I4348" s="408"/>
      <c r="J4348" s="408"/>
      <c r="K4348" s="399"/>
      <c r="L4348" s="408"/>
      <c r="M4348" s="65">
        <v>16580</v>
      </c>
      <c r="N4348" s="66" t="s">
        <v>9</v>
      </c>
      <c r="O4348" s="66" t="s">
        <v>25</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x</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x</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customHeight="1">
      <c r="A4349" s="1227" t="str">
        <f>IF(B4349&lt;&gt;"",IF(AND(B4349='IN-TC'!$S$4,OR(TH!N621="1111",TH!O621="1111")),TH!D621,""),"")</f>
        <v/>
      </c>
      <c r="B4349" s="1228">
        <f t="shared" si="282"/>
        <v>12</v>
      </c>
      <c r="C4349" s="1229">
        <v>42725</v>
      </c>
      <c r="D4349" s="1229" t="s">
        <v>2983</v>
      </c>
      <c r="E4349" s="1229">
        <f t="shared" si="283"/>
        <v>42725</v>
      </c>
      <c r="F4349" s="1230" t="s">
        <v>455</v>
      </c>
      <c r="G4349" s="1231" t="s">
        <v>2631</v>
      </c>
      <c r="H4349" s="1232" t="s">
        <v>2323</v>
      </c>
      <c r="I4349" s="1233">
        <v>15522</v>
      </c>
      <c r="J4349" s="1233">
        <v>56500</v>
      </c>
      <c r="K4349" s="1234"/>
      <c r="L4349" s="1233"/>
      <c r="M4349" s="1235">
        <f>ROUND(I4349*J4349,0)</f>
        <v>876993000</v>
      </c>
      <c r="N4349" s="1236" t="s">
        <v>276</v>
      </c>
      <c r="O4349" s="1236" t="s">
        <v>278</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1" ht="15.75" customHeight="1">
      <c r="A4350" s="323" t="str">
        <f>IF(B4350&lt;&gt;"",IF(AND(B4350='IN-TC'!$S$4,OR(TH!N4565="1111",TH!O4565="1111")),TH!D4565,""),"")</f>
        <v/>
      </c>
      <c r="B4350" s="63">
        <f t="shared" si="282"/>
        <v>12</v>
      </c>
      <c r="C4350" s="64">
        <v>42711</v>
      </c>
      <c r="D4350" s="64" t="s">
        <v>690</v>
      </c>
      <c r="E4350" s="64">
        <f t="shared" si="283"/>
        <v>42711</v>
      </c>
      <c r="F4350" s="72" t="s">
        <v>2147</v>
      </c>
      <c r="G4350" s="67" t="s">
        <v>1544</v>
      </c>
      <c r="H4350" s="72" t="s">
        <v>1780</v>
      </c>
      <c r="I4350" s="408"/>
      <c r="J4350" s="408"/>
      <c r="K4350" s="399"/>
      <c r="L4350" s="408"/>
      <c r="M4350" s="65">
        <v>547476</v>
      </c>
      <c r="N4350" s="66" t="s">
        <v>99</v>
      </c>
      <c r="O4350" s="66" t="s">
        <v>25</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x</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customHeight="1">
      <c r="A4351" s="323" t="str">
        <f>IF(B4351&lt;&gt;"",IF(AND(B4351='IN-TC'!$S$4,OR(TH!N4566="1111",TH!O4566="1111")),TH!D4566,""),"")</f>
        <v/>
      </c>
      <c r="B4351" s="63">
        <f t="shared" si="282"/>
        <v>12</v>
      </c>
      <c r="C4351" s="64">
        <v>42711</v>
      </c>
      <c r="D4351" s="64" t="s">
        <v>690</v>
      </c>
      <c r="E4351" s="64">
        <f t="shared" si="283"/>
        <v>42711</v>
      </c>
      <c r="F4351" s="72" t="s">
        <v>2148</v>
      </c>
      <c r="G4351" s="67" t="s">
        <v>1544</v>
      </c>
      <c r="H4351" s="72" t="s">
        <v>1780</v>
      </c>
      <c r="I4351" s="408"/>
      <c r="J4351" s="408"/>
      <c r="K4351" s="399"/>
      <c r="L4351" s="408"/>
      <c r="M4351" s="65">
        <v>54748</v>
      </c>
      <c r="N4351" s="66" t="s">
        <v>9</v>
      </c>
      <c r="O4351" s="66" t="s">
        <v>25</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x</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x</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c r="AE4351">
        <v>1</v>
      </c>
    </row>
    <row r="4352" spans="1:31" ht="15.75" customHeight="1">
      <c r="A4352" s="1227" t="str">
        <f>IF(B4352&lt;&gt;"",IF(AND(B4352='IN-TC'!$S$4,OR(TH!N624="1111",TH!O624="1111")),TH!D624,""),"")</f>
        <v/>
      </c>
      <c r="B4352" s="1228">
        <f t="shared" si="282"/>
        <v>12</v>
      </c>
      <c r="C4352" s="1229">
        <v>42727</v>
      </c>
      <c r="D4352" s="1229" t="s">
        <v>2985</v>
      </c>
      <c r="E4352" s="1229">
        <f t="shared" si="283"/>
        <v>42727</v>
      </c>
      <c r="F4352" s="1230" t="s">
        <v>455</v>
      </c>
      <c r="G4352" s="1231" t="s">
        <v>2713</v>
      </c>
      <c r="H4352" s="1232" t="s">
        <v>2224</v>
      </c>
      <c r="I4352" s="1233">
        <v>3900</v>
      </c>
      <c r="J4352" s="1233">
        <v>56000</v>
      </c>
      <c r="K4352" s="1234"/>
      <c r="L4352" s="1233"/>
      <c r="M4352" s="1235">
        <f>ROUND(I4352*J4352,0)</f>
        <v>218400000</v>
      </c>
      <c r="N4352" s="1236" t="s">
        <v>276</v>
      </c>
      <c r="O4352" s="1236" t="s">
        <v>278</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customHeight="1">
      <c r="A4353" s="323" t="str">
        <f>IF(B4353&lt;&gt;"",IF(AND(B4353='IN-TC'!$S$4,OR(TH!N4568="1111",TH!O4568="1111")),TH!D4568,""),"")</f>
        <v/>
      </c>
      <c r="B4353" s="63">
        <f t="shared" si="282"/>
        <v>12</v>
      </c>
      <c r="C4353" s="64">
        <v>42711</v>
      </c>
      <c r="D4353" s="64" t="s">
        <v>690</v>
      </c>
      <c r="E4353" s="64">
        <f t="shared" si="283"/>
        <v>42711</v>
      </c>
      <c r="F4353" s="72" t="s">
        <v>2147</v>
      </c>
      <c r="G4353" s="67" t="s">
        <v>1544</v>
      </c>
      <c r="H4353" s="72" t="s">
        <v>1780</v>
      </c>
      <c r="I4353" s="408"/>
      <c r="J4353" s="408"/>
      <c r="K4353" s="399"/>
      <c r="L4353" s="408"/>
      <c r="M4353" s="65">
        <v>875634</v>
      </c>
      <c r="N4353" s="66" t="s">
        <v>99</v>
      </c>
      <c r="O4353" s="66" t="s">
        <v>25</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x</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c r="AE4353">
        <v>1</v>
      </c>
    </row>
    <row r="4354" spans="1:31" ht="15.75" customHeight="1">
      <c r="A4354" s="323" t="str">
        <f>IF(B4354&lt;&gt;"",IF(AND(B4354='IN-TC'!$S$4,OR(TH!N4569="1111",TH!O4569="1111")),TH!D4569,""),"")</f>
        <v/>
      </c>
      <c r="B4354" s="63">
        <f t="shared" si="282"/>
        <v>12</v>
      </c>
      <c r="C4354" s="64">
        <v>42711</v>
      </c>
      <c r="D4354" s="64" t="s">
        <v>690</v>
      </c>
      <c r="E4354" s="64">
        <f t="shared" si="283"/>
        <v>42711</v>
      </c>
      <c r="F4354" s="72" t="s">
        <v>2148</v>
      </c>
      <c r="G4354" s="67" t="s">
        <v>1544</v>
      </c>
      <c r="H4354" s="72" t="s">
        <v>1780</v>
      </c>
      <c r="I4354" s="408"/>
      <c r="J4354" s="408"/>
      <c r="K4354" s="399"/>
      <c r="L4354" s="408"/>
      <c r="M4354" s="65">
        <v>87563</v>
      </c>
      <c r="N4354" s="66" t="s">
        <v>9</v>
      </c>
      <c r="O4354" s="66" t="s">
        <v>25</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x</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x</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c r="AE4354">
        <v>1</v>
      </c>
    </row>
    <row r="4355" spans="1:31" ht="15.75" customHeight="1">
      <c r="A4355" s="1160" t="str">
        <f>IF(B4355&lt;&gt;"",IF(AND(B4355='IN-TC'!$S$4,OR(TH!N383="1111",TH!O383="1111")),TH!D383,""),"")</f>
        <v/>
      </c>
      <c r="B4355" s="63">
        <f t="shared" si="282"/>
        <v>12</v>
      </c>
      <c r="C4355" s="78">
        <v>42727</v>
      </c>
      <c r="D4355" s="1077" t="s">
        <v>2706</v>
      </c>
      <c r="E4355" s="78">
        <v>42727</v>
      </c>
      <c r="F4355" s="79" t="s">
        <v>2541</v>
      </c>
      <c r="G4355" s="79" t="s">
        <v>2906</v>
      </c>
      <c r="H4355" s="918" t="s">
        <v>2543</v>
      </c>
      <c r="I4355" s="397">
        <v>162.30000000000001</v>
      </c>
      <c r="J4355" s="1194">
        <v>160000</v>
      </c>
      <c r="K4355" s="397"/>
      <c r="L4355" s="406"/>
      <c r="M4355" s="1195">
        <f>ROUND(I4355*J4355,0)</f>
        <v>25968000</v>
      </c>
      <c r="N4355" s="1073" t="s">
        <v>576</v>
      </c>
      <c r="O4355" s="1073" t="s">
        <v>290</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customHeight="1">
      <c r="A4356" s="323" t="str">
        <f>IF(B4356&lt;&gt;"",IF(AND(B4356='IN-TC'!$S$4,OR(TH!N4335="1111",TH!O4335="1111")),TH!D4335,""),"")</f>
        <v/>
      </c>
      <c r="B4356" s="63">
        <f t="shared" si="282"/>
        <v>12</v>
      </c>
      <c r="C4356" s="64">
        <v>42712</v>
      </c>
      <c r="D4356" s="64" t="s">
        <v>878</v>
      </c>
      <c r="E4356" s="64">
        <f t="shared" ref="E4356:E4363" si="284">C4356</f>
        <v>42712</v>
      </c>
      <c r="F4356" s="72" t="s">
        <v>2802</v>
      </c>
      <c r="G4356" s="931" t="s">
        <v>2803</v>
      </c>
      <c r="H4356" s="72" t="s">
        <v>1355</v>
      </c>
      <c r="I4356" s="408"/>
      <c r="J4356" s="408"/>
      <c r="K4356" s="399"/>
      <c r="L4356" s="408"/>
      <c r="M4356" s="65">
        <v>1677273</v>
      </c>
      <c r="N4356" s="66" t="s">
        <v>99</v>
      </c>
      <c r="O4356" s="66" t="s">
        <v>61</v>
      </c>
      <c r="P4356" s="82" t="str">
        <f>IF(AND('331-CT'!$E$7=TH!H4356,OR(N4356="331",O4356="331")),"x","")</f>
        <v/>
      </c>
      <c r="Q4356" s="82" t="str">
        <f>IF(AND(B4356='111'!$L$11,OR($N4356=$Q$7,$O4356=$Q$7)),"x","")</f>
        <v>x</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c r="AE4356">
        <v>1</v>
      </c>
    </row>
    <row r="4357" spans="1:31" ht="15.75" customHeight="1">
      <c r="A4357" s="323" t="str">
        <f>IF(B4357&lt;&gt;"",IF(AND(B4357='IN-TC'!$S$4,OR(TH!N4336="1111",TH!O4336="1111")),TH!D4336,""),"")</f>
        <v/>
      </c>
      <c r="B4357" s="63">
        <f t="shared" si="282"/>
        <v>12</v>
      </c>
      <c r="C4357" s="64">
        <v>42712</v>
      </c>
      <c r="D4357" s="64" t="s">
        <v>878</v>
      </c>
      <c r="E4357" s="64">
        <f t="shared" si="284"/>
        <v>42712</v>
      </c>
      <c r="F4357" s="72" t="s">
        <v>2804</v>
      </c>
      <c r="G4357" s="931" t="s">
        <v>2803</v>
      </c>
      <c r="H4357" s="72" t="s">
        <v>1355</v>
      </c>
      <c r="I4357" s="408"/>
      <c r="J4357" s="408"/>
      <c r="K4357" s="399"/>
      <c r="L4357" s="408"/>
      <c r="M4357" s="65">
        <v>167727</v>
      </c>
      <c r="N4357" s="66" t="s">
        <v>9</v>
      </c>
      <c r="O4357" s="66" t="s">
        <v>61</v>
      </c>
      <c r="P4357" s="82" t="str">
        <f>IF(AND('331-CT'!$E$7=TH!H4357,OR(N4357="331",O4357="331")),"x","")</f>
        <v/>
      </c>
      <c r="Q4357" s="82" t="str">
        <f>IF(AND(B4357='111'!$L$11,OR($N4357=$Q$7,$O4357=$Q$7)),"x","")</f>
        <v>x</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x</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c r="AE4357">
        <v>1</v>
      </c>
    </row>
    <row r="4358" spans="1:31" ht="15.75" customHeight="1">
      <c r="A4358" s="323" t="str">
        <f>IF(B4358&lt;&gt;"",IF(AND(B4358='IN-TC'!$S$4,OR(TH!N4337="1111",TH!O4337="1111")),TH!D4337,""),"")</f>
        <v/>
      </c>
      <c r="B4358" s="63">
        <f t="shared" si="282"/>
        <v>12</v>
      </c>
      <c r="C4358" s="64">
        <v>42712</v>
      </c>
      <c r="D4358" s="64" t="s">
        <v>879</v>
      </c>
      <c r="E4358" s="64">
        <f t="shared" si="284"/>
        <v>42712</v>
      </c>
      <c r="F4358" s="72" t="s">
        <v>2810</v>
      </c>
      <c r="G4358" s="931"/>
      <c r="H4358" s="72" t="s">
        <v>2812</v>
      </c>
      <c r="I4358" s="408"/>
      <c r="J4358" s="408"/>
      <c r="K4358" s="399"/>
      <c r="L4358" s="408"/>
      <c r="M4358" s="65">
        <v>4909091</v>
      </c>
      <c r="N4358" s="66" t="s">
        <v>99</v>
      </c>
      <c r="O4358" s="66" t="s">
        <v>61</v>
      </c>
      <c r="P4358" s="82" t="str">
        <f>IF(AND('331-CT'!$E$7=TH!H4358,OR(N4358="331",O4358="331")),"x","")</f>
        <v/>
      </c>
      <c r="Q4358" s="82" t="str">
        <f>IF(AND(B4358='111'!$L$11,OR($N4358=$Q$7,$O4358=$Q$7)),"x","")</f>
        <v>x</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customHeight="1">
      <c r="A4359" s="323" t="str">
        <f>IF(B4359&lt;&gt;"",IF(AND(B4359='IN-TC'!$S$4,OR(TH!N4338="1111",TH!O4338="1111")),TH!D4338,""),"")</f>
        <v/>
      </c>
      <c r="B4359" s="63">
        <f t="shared" si="282"/>
        <v>12</v>
      </c>
      <c r="C4359" s="64">
        <v>42712</v>
      </c>
      <c r="D4359" s="64" t="s">
        <v>879</v>
      </c>
      <c r="E4359" s="64">
        <f t="shared" si="284"/>
        <v>42712</v>
      </c>
      <c r="F4359" s="72" t="s">
        <v>2811</v>
      </c>
      <c r="G4359" s="931"/>
      <c r="H4359" s="72" t="s">
        <v>2812</v>
      </c>
      <c r="I4359" s="408"/>
      <c r="J4359" s="408"/>
      <c r="K4359" s="399"/>
      <c r="L4359" s="408"/>
      <c r="M4359" s="65">
        <v>490909</v>
      </c>
      <c r="N4359" s="66" t="s">
        <v>9</v>
      </c>
      <c r="O4359" s="66" t="s">
        <v>61</v>
      </c>
      <c r="P4359" s="82" t="str">
        <f>IF(AND('331-CT'!$E$7=TH!H4359,OR(N4359="331",O4359="331")),"x","")</f>
        <v/>
      </c>
      <c r="Q4359" s="82" t="str">
        <f>IF(AND(B4359='111'!$L$11,OR($N4359=$Q$7,$O4359=$Q$7)),"x","")</f>
        <v>x</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x</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c r="AE4359">
        <v>1</v>
      </c>
    </row>
    <row r="4360" spans="1:31" ht="15.75" customHeight="1">
      <c r="A4360" s="323" t="str">
        <f>IF(B4360&lt;&gt;"",IF(AND(B4360='IN-TC'!$S$4,OR(TH!N4457="1111",TH!O4457="1111")),TH!D4457,""),"")</f>
        <v/>
      </c>
      <c r="B4360" s="63">
        <f t="shared" si="282"/>
        <v>12</v>
      </c>
      <c r="C4360" s="64">
        <v>42712</v>
      </c>
      <c r="D4360" s="64" t="s">
        <v>687</v>
      </c>
      <c r="E4360" s="64">
        <f t="shared" si="284"/>
        <v>42712</v>
      </c>
      <c r="F4360" s="72" t="s">
        <v>2732</v>
      </c>
      <c r="G4360" s="67" t="s">
        <v>901</v>
      </c>
      <c r="H4360" s="72" t="s">
        <v>2048</v>
      </c>
      <c r="I4360" s="408"/>
      <c r="J4360" s="408"/>
      <c r="K4360" s="399"/>
      <c r="L4360" s="408"/>
      <c r="M4360" s="65">
        <v>7560500</v>
      </c>
      <c r="N4360" s="66" t="s">
        <v>25</v>
      </c>
      <c r="O4360" s="66" t="s">
        <v>18</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customHeight="1">
      <c r="A4361" s="323" t="str">
        <f>IF(B4361&lt;&gt;"",IF(AND(B4361='IN-TC'!$S$4,OR(TH!N4458="1111",TH!O4458="1111")),TH!D4458,""),"")</f>
        <v/>
      </c>
      <c r="B4361" s="63">
        <f t="shared" si="282"/>
        <v>12</v>
      </c>
      <c r="C4361" s="64">
        <v>42712</v>
      </c>
      <c r="D4361" s="64" t="s">
        <v>687</v>
      </c>
      <c r="E4361" s="64">
        <f t="shared" si="284"/>
        <v>42712</v>
      </c>
      <c r="F4361" s="72" t="s">
        <v>1436</v>
      </c>
      <c r="G4361" s="67" t="s">
        <v>901</v>
      </c>
      <c r="H4361" s="937" t="s">
        <v>2366</v>
      </c>
      <c r="I4361" s="408"/>
      <c r="J4361" s="408"/>
      <c r="K4361" s="399"/>
      <c r="L4361" s="408"/>
      <c r="M4361" s="65">
        <v>700018600</v>
      </c>
      <c r="N4361" s="66" t="s">
        <v>25</v>
      </c>
      <c r="O4361" s="66" t="s">
        <v>576</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customHeight="1">
      <c r="A4362" s="323" t="str">
        <f>IF(B4362&lt;&gt;"",IF(AND(B4362='IN-TC'!$S$4,OR(TH!N603="1111",TH!O603="1111")),TH!D603,""),"")</f>
        <v/>
      </c>
      <c r="B4362" s="63">
        <f t="shared" si="282"/>
        <v>12</v>
      </c>
      <c r="C4362" s="78">
        <v>42730</v>
      </c>
      <c r="D4362" s="78" t="s">
        <v>2791</v>
      </c>
      <c r="E4362" s="78">
        <f t="shared" si="284"/>
        <v>42730</v>
      </c>
      <c r="F4362" s="79" t="s">
        <v>455</v>
      </c>
      <c r="G4362" s="934" t="s">
        <v>2796</v>
      </c>
      <c r="H4362" s="80" t="s">
        <v>1198</v>
      </c>
      <c r="I4362" s="406">
        <f>26390*2</f>
        <v>52780</v>
      </c>
      <c r="J4362" s="406">
        <v>61000</v>
      </c>
      <c r="K4362" s="397"/>
      <c r="L4362" s="406"/>
      <c r="M4362" s="81">
        <f>ROUND(I4362*J4362,0)</f>
        <v>3219580000</v>
      </c>
      <c r="N4362" s="82" t="s">
        <v>278</v>
      </c>
      <c r="O4362" s="82" t="s">
        <v>8</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1" ht="15.75" customHeight="1">
      <c r="A4363" s="323" t="str">
        <f>IF(B4363&lt;&gt;"",IF(AND(B4363='IN-TC'!$S$4,OR(TH!N4456="1111",TH!O4456="1111")),TH!D4456,""),"")</f>
        <v/>
      </c>
      <c r="B4363" s="63">
        <f t="shared" si="282"/>
        <v>12</v>
      </c>
      <c r="C4363" s="64">
        <v>42712</v>
      </c>
      <c r="D4363" s="64" t="s">
        <v>690</v>
      </c>
      <c r="E4363" s="64">
        <f t="shared" si="284"/>
        <v>42712</v>
      </c>
      <c r="F4363" s="72" t="s">
        <v>2731</v>
      </c>
      <c r="G4363" s="67" t="s">
        <v>901</v>
      </c>
      <c r="H4363" s="72" t="s">
        <v>2048</v>
      </c>
      <c r="I4363" s="408"/>
      <c r="J4363" s="408"/>
      <c r="K4363" s="399"/>
      <c r="L4363" s="408"/>
      <c r="M4363" s="65">
        <v>7560500</v>
      </c>
      <c r="N4363" s="66" t="s">
        <v>18</v>
      </c>
      <c r="O4363" s="66" t="s">
        <v>25</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row>
    <row r="4364" spans="1:31" ht="15.75" customHeight="1">
      <c r="A4364" s="1160" t="str">
        <f>IF(B4364&lt;&gt;"",IF(AND(B4364='IN-TC'!$S$4,OR(TH!N384="1111",TH!O384="1111")),TH!D384,""),"")</f>
        <v/>
      </c>
      <c r="B4364" s="63">
        <f t="shared" si="282"/>
        <v>12</v>
      </c>
      <c r="C4364" s="78">
        <v>42727</v>
      </c>
      <c r="D4364" s="1077" t="s">
        <v>2706</v>
      </c>
      <c r="E4364" s="78">
        <v>42727</v>
      </c>
      <c r="F4364" s="79" t="s">
        <v>2544</v>
      </c>
      <c r="G4364" s="79" t="s">
        <v>2906</v>
      </c>
      <c r="H4364" s="918" t="s">
        <v>2543</v>
      </c>
      <c r="I4364" s="406"/>
      <c r="J4364" s="1194"/>
      <c r="K4364" s="397"/>
      <c r="L4364" s="406"/>
      <c r="M4364" s="1195">
        <v>5017900</v>
      </c>
      <c r="N4364" s="1073" t="s">
        <v>576</v>
      </c>
      <c r="O4364" s="1073" t="s">
        <v>915</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1" ht="15.75" customHeight="1">
      <c r="A4365" s="323" t="str">
        <f>IF(B4365&lt;&gt;"",IF(AND(B4365='IN-TC'!$S$4,OR(TH!N4503="1111",TH!O4503="1111")),TH!D4503,""),"")</f>
        <v/>
      </c>
      <c r="B4365" s="63">
        <f t="shared" si="282"/>
        <v>12</v>
      </c>
      <c r="C4365" s="64">
        <v>42730</v>
      </c>
      <c r="D4365" s="64" t="s">
        <v>690</v>
      </c>
      <c r="E4365" s="64">
        <f>C4365</f>
        <v>42730</v>
      </c>
      <c r="F4365" s="72" t="s">
        <v>1532</v>
      </c>
      <c r="G4365" s="67" t="s">
        <v>901</v>
      </c>
      <c r="H4365" s="72" t="s">
        <v>1198</v>
      </c>
      <c r="I4365" s="408"/>
      <c r="J4365" s="408"/>
      <c r="K4365" s="399"/>
      <c r="L4365" s="408"/>
      <c r="M4365" s="65">
        <v>2010000000</v>
      </c>
      <c r="N4365" s="66" t="s">
        <v>8</v>
      </c>
      <c r="O4365" s="66" t="s">
        <v>25</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1" ht="15.75" customHeight="1">
      <c r="A4366" s="1160" t="str">
        <f>IF(B4366&lt;&gt;"",IF(AND(B4366='IN-TC'!$S$4,OR(TH!N1068="1111",TH!O1068="1111")),TH!D1068,""),"")</f>
        <v/>
      </c>
      <c r="B4366" s="948">
        <f t="shared" si="282"/>
        <v>12</v>
      </c>
      <c r="C4366" s="78">
        <v>42727</v>
      </c>
      <c r="D4366" s="78" t="s">
        <v>2776</v>
      </c>
      <c r="E4366" s="78">
        <f>C4366</f>
        <v>42727</v>
      </c>
      <c r="F4366" s="80" t="s">
        <v>2495</v>
      </c>
      <c r="G4366" s="934" t="s">
        <v>2129</v>
      </c>
      <c r="H4366" s="310" t="s">
        <v>2511</v>
      </c>
      <c r="I4366" s="406">
        <v>2400</v>
      </c>
      <c r="J4366" s="406">
        <v>7500</v>
      </c>
      <c r="K4366" s="397"/>
      <c r="L4366" s="406"/>
      <c r="M4366" s="81">
        <f>ROUND(I4366*J4366,0)</f>
        <v>18000000</v>
      </c>
      <c r="N4366" s="82" t="s">
        <v>270</v>
      </c>
      <c r="O4366" s="82" t="s">
        <v>8</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x</v>
      </c>
      <c r="AC4366" s="82" t="str">
        <f>IF(AND(OR(LEFT(TH!N4366,2)="15",LEFT(TH!O4366,2)="15"),TK!$E$7=TH!F4366),"x","")</f>
        <v/>
      </c>
      <c r="AD4366" s="82" t="str">
        <f>IF(AND(N4366="1521",MONTH(C4366)='BK-NL'!$M$11),"x","")</f>
        <v/>
      </c>
      <c r="AE4366">
        <v>1</v>
      </c>
    </row>
    <row r="4367" spans="1:31" ht="15.75" customHeight="1">
      <c r="A4367" s="323" t="str">
        <f>IF(B4367&lt;&gt;"",IF(AND(B4367='IN-TC'!$S$4,OR(TH!N4340="1111",TH!O4340="1111")),TH!D4340,""),"")</f>
        <v/>
      </c>
      <c r="B4367" s="63">
        <f t="shared" si="282"/>
        <v>12</v>
      </c>
      <c r="C4367" s="64">
        <v>42713</v>
      </c>
      <c r="D4367" s="64" t="s">
        <v>881</v>
      </c>
      <c r="E4367" s="64">
        <f>C4367</f>
        <v>42713</v>
      </c>
      <c r="F4367" s="72" t="s">
        <v>2407</v>
      </c>
      <c r="G4367" s="931" t="s">
        <v>2610</v>
      </c>
      <c r="H4367" s="72" t="s">
        <v>2409</v>
      </c>
      <c r="I4367" s="408"/>
      <c r="J4367" s="408"/>
      <c r="K4367" s="399"/>
      <c r="L4367" s="408"/>
      <c r="M4367" s="65">
        <v>3650000</v>
      </c>
      <c r="N4367" s="66" t="s">
        <v>99</v>
      </c>
      <c r="O4367" s="66" t="s">
        <v>61</v>
      </c>
      <c r="P4367" s="82" t="str">
        <f>IF(AND('331-CT'!$E$7=TH!H4367,OR(N4367="331",O4367="331")),"x","")</f>
        <v/>
      </c>
      <c r="Q4367" s="82" t="str">
        <f>IF(AND(B4367='111'!$L$11,OR($N4367=$Q$7,$O4367=$Q$7)),"x","")</f>
        <v>x</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row>
    <row r="4368" spans="1:31" ht="15.75" customHeight="1">
      <c r="A4368" s="323" t="str">
        <f>IF(B4368&lt;&gt;"",IF(AND(B4368='IN-TC'!$S$4,OR(TH!N4459="1111",TH!O4459="1111")),TH!D4459,""),"")</f>
        <v/>
      </c>
      <c r="B4368" s="63">
        <f t="shared" si="282"/>
        <v>12</v>
      </c>
      <c r="C4368" s="64">
        <v>42713</v>
      </c>
      <c r="D4368" s="64" t="s">
        <v>690</v>
      </c>
      <c r="E4368" s="64">
        <f>C4368</f>
        <v>42713</v>
      </c>
      <c r="F4368" s="72" t="s">
        <v>2733</v>
      </c>
      <c r="G4368" s="67" t="s">
        <v>901</v>
      </c>
      <c r="H4368" s="72" t="s">
        <v>1365</v>
      </c>
      <c r="I4368" s="408"/>
      <c r="J4368" s="408"/>
      <c r="K4368" s="399"/>
      <c r="L4368" s="408"/>
      <c r="M4368" s="65">
        <v>15972638</v>
      </c>
      <c r="N4368" s="66" t="s">
        <v>8</v>
      </c>
      <c r="O4368" s="66" t="s">
        <v>25</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1" ht="15.75" customHeight="1">
      <c r="A4369" s="323" t="str">
        <f>IF(B4369&lt;&gt;"",IF(AND(B4369='IN-TC'!$S$4,OR(TH!N4460="1111",TH!O4460="1111")),TH!D4460,""),"")</f>
        <v/>
      </c>
      <c r="B4369" s="63">
        <f t="shared" si="282"/>
        <v>12</v>
      </c>
      <c r="C4369" s="64">
        <v>42713</v>
      </c>
      <c r="D4369" s="64" t="s">
        <v>570</v>
      </c>
      <c r="E4369" s="64">
        <f>C4369</f>
        <v>42713</v>
      </c>
      <c r="F4369" s="72" t="s">
        <v>2919</v>
      </c>
      <c r="G4369" s="67"/>
      <c r="H4369" s="72" t="s">
        <v>1365</v>
      </c>
      <c r="I4369" s="408"/>
      <c r="J4369" s="408"/>
      <c r="K4369" s="399"/>
      <c r="L4369" s="408"/>
      <c r="M4369" s="65">
        <v>1</v>
      </c>
      <c r="N4369" s="66" t="s">
        <v>8</v>
      </c>
      <c r="O4369" s="66" t="s">
        <v>101</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customHeight="1">
      <c r="A4370" s="323" t="str">
        <f>IF(B4370&lt;&gt;"",IF(AND(B4370='IN-TC'!$S$4,OR(TH!N2154="1111",TH!O2154="1111")),TH!D2154,""),"")</f>
        <v/>
      </c>
      <c r="B4370" s="63">
        <f t="shared" si="282"/>
        <v>12</v>
      </c>
      <c r="C4370" s="78">
        <v>42730</v>
      </c>
      <c r="D4370" s="78" t="s">
        <v>570</v>
      </c>
      <c r="E4370" s="78">
        <v>42730</v>
      </c>
      <c r="F4370" s="80" t="s">
        <v>2627</v>
      </c>
      <c r="G4370" s="934" t="s">
        <v>2912</v>
      </c>
      <c r="H4370" s="80" t="s">
        <v>617</v>
      </c>
      <c r="I4370" s="406"/>
      <c r="J4370" s="406"/>
      <c r="K4370" s="397"/>
      <c r="L4370" s="406"/>
      <c r="M4370" s="81">
        <v>28419600</v>
      </c>
      <c r="N4370" s="82" t="s">
        <v>276</v>
      </c>
      <c r="O4370" s="82" t="s">
        <v>8</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c r="AE4370">
        <v>1</v>
      </c>
    </row>
    <row r="4371" spans="1:31" ht="15.75" customHeight="1">
      <c r="A4371" s="323" t="str">
        <f>IF(B4371&lt;&gt;"",IF(AND(B4371='IN-TC'!$S$4,OR(TH!N4462="1111",TH!O4462="1111")),TH!D4462,""),"")</f>
        <v/>
      </c>
      <c r="B4371" s="63">
        <f t="shared" si="282"/>
        <v>12</v>
      </c>
      <c r="C4371" s="64">
        <v>42713</v>
      </c>
      <c r="D4371" s="64" t="s">
        <v>690</v>
      </c>
      <c r="E4371" s="64">
        <f t="shared" ref="E4371:E4395" si="285">C4371</f>
        <v>42713</v>
      </c>
      <c r="F4371" s="72" t="s">
        <v>2147</v>
      </c>
      <c r="G4371" s="67" t="s">
        <v>901</v>
      </c>
      <c r="H4371" s="72" t="s">
        <v>2048</v>
      </c>
      <c r="I4371" s="408"/>
      <c r="J4371" s="408"/>
      <c r="K4371" s="399"/>
      <c r="L4371" s="408"/>
      <c r="M4371" s="65">
        <v>25000</v>
      </c>
      <c r="N4371" s="66" t="s">
        <v>99</v>
      </c>
      <c r="O4371" s="66" t="s">
        <v>25</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c r="AE4371">
        <v>1</v>
      </c>
    </row>
    <row r="4372" spans="1:31" ht="15.75" customHeight="1">
      <c r="A4372" s="323" t="str">
        <f>IF(B4372&lt;&gt;"",IF(AND(B4372='IN-TC'!$S$4,OR(TH!N4463="1111",TH!O4463="1111")),TH!D4463,""),"")</f>
        <v/>
      </c>
      <c r="B4372" s="63">
        <f t="shared" si="282"/>
        <v>12</v>
      </c>
      <c r="C4372" s="64">
        <v>42713</v>
      </c>
      <c r="D4372" s="64" t="s">
        <v>690</v>
      </c>
      <c r="E4372" s="64">
        <f t="shared" si="285"/>
        <v>42713</v>
      </c>
      <c r="F4372" s="72" t="s">
        <v>2148</v>
      </c>
      <c r="G4372" s="67" t="s">
        <v>901</v>
      </c>
      <c r="H4372" s="72" t="s">
        <v>2048</v>
      </c>
      <c r="I4372" s="408"/>
      <c r="J4372" s="408"/>
      <c r="K4372" s="399"/>
      <c r="L4372" s="408"/>
      <c r="M4372" s="65">
        <v>2500</v>
      </c>
      <c r="N4372" s="66" t="s">
        <v>9</v>
      </c>
      <c r="O4372" s="66" t="s">
        <v>25</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x</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customHeight="1">
      <c r="A4373" s="1160" t="str">
        <f>IF(B4373&lt;&gt;"",IF(AND(B4373='IN-TC'!$S$4,OR(TH!N2187="1111",TH!O2187="1111")),TH!D2187,""),"")</f>
        <v/>
      </c>
      <c r="B4373" s="948">
        <f t="shared" si="282"/>
        <v>12</v>
      </c>
      <c r="C4373" s="78">
        <v>42735</v>
      </c>
      <c r="D4373" s="78" t="s">
        <v>570</v>
      </c>
      <c r="E4373" s="78">
        <f t="shared" si="285"/>
        <v>42735</v>
      </c>
      <c r="F4373" s="80" t="s">
        <v>2828</v>
      </c>
      <c r="G4373" s="934" t="s">
        <v>2829</v>
      </c>
      <c r="H4373" s="80" t="s">
        <v>1484</v>
      </c>
      <c r="I4373" s="406"/>
      <c r="J4373" s="406"/>
      <c r="K4373" s="397"/>
      <c r="L4373" s="406"/>
      <c r="M4373" s="81">
        <v>5617735</v>
      </c>
      <c r="N4373" s="82" t="s">
        <v>9</v>
      </c>
      <c r="O4373" s="82" t="s">
        <v>8</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x</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customHeight="1">
      <c r="A4374" s="323" t="str">
        <f>IF(B4374&lt;&gt;"",IF(AND(B4374='IN-TC'!$S$4,OR(TH!N4465="1111",TH!O4465="1111")),TH!D4465,""),"")</f>
        <v/>
      </c>
      <c r="B4374" s="63">
        <f t="shared" si="282"/>
        <v>12</v>
      </c>
      <c r="C4374" s="64">
        <v>42713</v>
      </c>
      <c r="D4374" s="64" t="s">
        <v>690</v>
      </c>
      <c r="E4374" s="64">
        <f t="shared" si="285"/>
        <v>42713</v>
      </c>
      <c r="F4374" s="72" t="s">
        <v>2147</v>
      </c>
      <c r="G4374" s="67" t="s">
        <v>901</v>
      </c>
      <c r="H4374" s="72" t="s">
        <v>2048</v>
      </c>
      <c r="I4374" s="408"/>
      <c r="J4374" s="408"/>
      <c r="K4374" s="399"/>
      <c r="L4374" s="408"/>
      <c r="M4374" s="65">
        <v>60000</v>
      </c>
      <c r="N4374" s="66" t="s">
        <v>99</v>
      </c>
      <c r="O4374" s="66" t="s">
        <v>25</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customHeight="1">
      <c r="A4375" s="323" t="str">
        <f>IF(B4375&lt;&gt;"",IF(AND(B4375='IN-TC'!$S$4,OR(TH!N4466="1111",TH!O4466="1111")),TH!D4466,""),"")</f>
        <v/>
      </c>
      <c r="B4375" s="63">
        <f t="shared" si="282"/>
        <v>12</v>
      </c>
      <c r="C4375" s="64">
        <v>42713</v>
      </c>
      <c r="D4375" s="64" t="s">
        <v>690</v>
      </c>
      <c r="E4375" s="64">
        <f t="shared" si="285"/>
        <v>42713</v>
      </c>
      <c r="F4375" s="72" t="s">
        <v>2148</v>
      </c>
      <c r="G4375" s="67" t="s">
        <v>901</v>
      </c>
      <c r="H4375" s="72" t="s">
        <v>2048</v>
      </c>
      <c r="I4375" s="408"/>
      <c r="J4375" s="408"/>
      <c r="K4375" s="399"/>
      <c r="L4375" s="408"/>
      <c r="M4375" s="65">
        <v>6000</v>
      </c>
      <c r="N4375" s="66" t="s">
        <v>9</v>
      </c>
      <c r="O4375" s="66" t="s">
        <v>25</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x</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customHeight="1">
      <c r="A4376" s="1170" t="str">
        <f>IF(B4376&lt;&gt;"",IF(AND(B4376='IN-TC'!$S$4,OR(TH!N1073="1111",TH!O1073="1111")),TH!D1073,""),"")</f>
        <v/>
      </c>
      <c r="B4376" s="1199">
        <f t="shared" si="282"/>
        <v>12</v>
      </c>
      <c r="C4376" s="90">
        <v>42727</v>
      </c>
      <c r="D4376" s="90" t="s">
        <v>570</v>
      </c>
      <c r="E4376" s="90">
        <f t="shared" si="285"/>
        <v>42727</v>
      </c>
      <c r="F4376" s="92" t="s">
        <v>2896</v>
      </c>
      <c r="G4376" s="1089" t="s">
        <v>2694</v>
      </c>
      <c r="H4376" s="92" t="s">
        <v>611</v>
      </c>
      <c r="I4376" s="414"/>
      <c r="J4376" s="414"/>
      <c r="K4376" s="405"/>
      <c r="L4376" s="414"/>
      <c r="M4376" s="93">
        <v>350000</v>
      </c>
      <c r="N4376" s="83" t="s">
        <v>9</v>
      </c>
      <c r="O4376" s="83" t="s">
        <v>8</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x</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E4376">
        <v>1</v>
      </c>
    </row>
    <row r="4377" spans="1:31" ht="15.75" customHeight="1">
      <c r="A4377" s="323" t="str">
        <f>IF(B4377&lt;&gt;"",IF(AND(B4377='IN-TC'!$S$4,OR(TH!N4468="1111",TH!O4468="1111")),TH!D4468,""),"")</f>
        <v/>
      </c>
      <c r="B4377" s="63">
        <f t="shared" si="282"/>
        <v>12</v>
      </c>
      <c r="C4377" s="64">
        <v>42713</v>
      </c>
      <c r="D4377" s="64" t="s">
        <v>690</v>
      </c>
      <c r="E4377" s="64">
        <f t="shared" si="285"/>
        <v>42713</v>
      </c>
      <c r="F4377" s="72" t="s">
        <v>2147</v>
      </c>
      <c r="G4377" s="67" t="s">
        <v>901</v>
      </c>
      <c r="H4377" s="72" t="s">
        <v>2048</v>
      </c>
      <c r="I4377" s="408"/>
      <c r="J4377" s="408"/>
      <c r="K4377" s="399"/>
      <c r="L4377" s="408"/>
      <c r="M4377" s="65">
        <v>20000</v>
      </c>
      <c r="N4377" s="66" t="s">
        <v>99</v>
      </c>
      <c r="O4377" s="66" t="s">
        <v>25</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c r="AE4377">
        <v>1</v>
      </c>
    </row>
    <row r="4378" spans="1:31" ht="15.75" customHeight="1">
      <c r="A4378" s="323" t="str">
        <f>IF(B4378&lt;&gt;"",IF(AND(B4378='IN-TC'!$S$4,OR(TH!N4469="1111",TH!O4469="1111")),TH!D4469,""),"")</f>
        <v/>
      </c>
      <c r="B4378" s="63">
        <f t="shared" si="282"/>
        <v>12</v>
      </c>
      <c r="C4378" s="64">
        <v>42713</v>
      </c>
      <c r="D4378" s="64" t="s">
        <v>690</v>
      </c>
      <c r="E4378" s="64">
        <f t="shared" si="285"/>
        <v>42713</v>
      </c>
      <c r="F4378" s="72" t="s">
        <v>2148</v>
      </c>
      <c r="G4378" s="67" t="s">
        <v>901</v>
      </c>
      <c r="H4378" s="72" t="s">
        <v>2048</v>
      </c>
      <c r="I4378" s="408"/>
      <c r="J4378" s="408"/>
      <c r="K4378" s="399"/>
      <c r="L4378" s="408"/>
      <c r="M4378" s="65">
        <v>2000</v>
      </c>
      <c r="N4378" s="66" t="s">
        <v>9</v>
      </c>
      <c r="O4378" s="66" t="s">
        <v>25</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x</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c r="AE4378">
        <v>1</v>
      </c>
    </row>
    <row r="4379" spans="1:31" ht="15.75" customHeight="1">
      <c r="A4379" s="1160" t="str">
        <f>IF(B4379&lt;&gt;"",IF(AND(B4379='IN-TC'!$S$4,OR(TH!N1069="1111",TH!O1069="1111")),TH!D1069,""),"")</f>
        <v/>
      </c>
      <c r="B4379" s="948">
        <f t="shared" si="282"/>
        <v>12</v>
      </c>
      <c r="C4379" s="78">
        <v>42727</v>
      </c>
      <c r="D4379" s="78" t="s">
        <v>2776</v>
      </c>
      <c r="E4379" s="78">
        <f t="shared" si="285"/>
        <v>42727</v>
      </c>
      <c r="F4379" s="80" t="s">
        <v>637</v>
      </c>
      <c r="G4379" s="934" t="s">
        <v>2129</v>
      </c>
      <c r="H4379" s="310" t="s">
        <v>2511</v>
      </c>
      <c r="I4379" s="406"/>
      <c r="J4379" s="406"/>
      <c r="K4379" s="397"/>
      <c r="L4379" s="406"/>
      <c r="M4379" s="81">
        <v>1800000</v>
      </c>
      <c r="N4379" s="82" t="s">
        <v>9</v>
      </c>
      <c r="O4379" s="82" t="s">
        <v>8</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x</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c r="AE4379">
        <v>1</v>
      </c>
    </row>
    <row r="4380" spans="1:31" ht="15.75" customHeight="1">
      <c r="A4380" s="1160" t="str">
        <f>IF(B4380&lt;&gt;"",IF(AND(B4380='IN-TC'!$S$4,OR(TH!N1058="1111",TH!O1058="1111")),TH!D1058,""),"")</f>
        <v/>
      </c>
      <c r="B4380" s="948">
        <f t="shared" si="282"/>
        <v>12</v>
      </c>
      <c r="C4380" s="78">
        <v>42725</v>
      </c>
      <c r="D4380" s="78" t="s">
        <v>2771</v>
      </c>
      <c r="E4380" s="78">
        <f t="shared" si="285"/>
        <v>42725</v>
      </c>
      <c r="F4380" s="80" t="s">
        <v>2495</v>
      </c>
      <c r="G4380" s="934" t="s">
        <v>2755</v>
      </c>
      <c r="H4380" s="310" t="s">
        <v>2512</v>
      </c>
      <c r="I4380" s="406">
        <v>2400</v>
      </c>
      <c r="J4380" s="406">
        <v>7500</v>
      </c>
      <c r="K4380" s="397"/>
      <c r="L4380" s="406"/>
      <c r="M4380" s="81">
        <f>ROUND(I4380*J4380,0)</f>
        <v>18000000</v>
      </c>
      <c r="N4380" s="82" t="s">
        <v>270</v>
      </c>
      <c r="O4380" s="82" t="s">
        <v>8</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x</v>
      </c>
      <c r="AC4380" s="82" t="str">
        <f>IF(AND(OR(LEFT(TH!N4380,2)="15",LEFT(TH!O4380,2)="15"),TK!$E$7=TH!F4380),"x","")</f>
        <v/>
      </c>
      <c r="AD4380" s="82" t="str">
        <f>IF(AND(N4380="1521",MONTH(C4380)='BK-NL'!$M$11),"x","")</f>
        <v/>
      </c>
      <c r="AE4380">
        <v>1</v>
      </c>
    </row>
    <row r="4381" spans="1:31" ht="15.75" customHeight="1">
      <c r="A4381" s="323" t="str">
        <f>IF(B4381&lt;&gt;"",IF(AND(B4381='IN-TC'!$S$4,OR(TH!N4344="1111",TH!O4344="1111")),TH!D4344,""),"")</f>
        <v/>
      </c>
      <c r="B4381" s="63">
        <f t="shared" si="282"/>
        <v>12</v>
      </c>
      <c r="C4381" s="1092">
        <v>42714</v>
      </c>
      <c r="D4381" s="1092" t="s">
        <v>884</v>
      </c>
      <c r="E4381" s="1092">
        <f t="shared" si="285"/>
        <v>42714</v>
      </c>
      <c r="F4381" s="482" t="s">
        <v>947</v>
      </c>
      <c r="G4381" s="1094"/>
      <c r="H4381" s="937" t="s">
        <v>3001</v>
      </c>
      <c r="I4381" s="1095"/>
      <c r="J4381" s="1095"/>
      <c r="K4381" s="1096"/>
      <c r="L4381" s="1095"/>
      <c r="M4381" s="1097">
        <v>600000000</v>
      </c>
      <c r="N4381" s="1098" t="s">
        <v>266</v>
      </c>
      <c r="O4381" s="1098" t="s">
        <v>61</v>
      </c>
      <c r="P4381" s="82" t="str">
        <f>IF(AND('331-CT'!$E$7=TH!H4381,OR(N4381="331",O4381="331")),"x","")</f>
        <v/>
      </c>
      <c r="Q4381" s="82" t="str">
        <f>IF(AND(B4381='111'!$L$11,OR($N4381=$Q$7,$O4381=$Q$7)),"x","")</f>
        <v>x</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1" ht="15.75" customHeight="1">
      <c r="A4382" s="323" t="str">
        <f>IF(B4382&lt;&gt;"",IF(AND(B4382='IN-TC'!$S$4,OR(TH!N4341="1111",TH!O4341="1111")),TH!D4341,""),"")</f>
        <v/>
      </c>
      <c r="B4382" s="63">
        <f t="shared" si="282"/>
        <v>12</v>
      </c>
      <c r="C4382" s="64">
        <v>42714</v>
      </c>
      <c r="D4382" s="64" t="s">
        <v>2586</v>
      </c>
      <c r="E4382" s="64">
        <f t="shared" si="285"/>
        <v>42714</v>
      </c>
      <c r="F4382" s="72" t="s">
        <v>1126</v>
      </c>
      <c r="G4382" s="67" t="s">
        <v>901</v>
      </c>
      <c r="H4382" s="72" t="s">
        <v>748</v>
      </c>
      <c r="I4382" s="408"/>
      <c r="J4382" s="408"/>
      <c r="K4382" s="399"/>
      <c r="L4382" s="408"/>
      <c r="M4382" s="65">
        <v>410000000</v>
      </c>
      <c r="N4382" s="66" t="s">
        <v>61</v>
      </c>
      <c r="O4382" s="66" t="s">
        <v>25</v>
      </c>
      <c r="P4382" s="82" t="str">
        <f>IF(AND('331-CT'!$E$7=TH!H4382,OR(N4382="331",O4382="331")),"x","")</f>
        <v/>
      </c>
      <c r="Q4382" s="82" t="str">
        <f>IF(AND(B4382='111'!$L$11,OR($N4382=$Q$7,$O4382=$Q$7)),"x","")</f>
        <v>x</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1" ht="15.75" customHeight="1">
      <c r="A4383" s="323" t="str">
        <f>IF(B4383&lt;&gt;"",IF(AND(B4383='IN-TC'!$S$4,OR(TH!N4413="1111",TH!O4413="1111")),TH!D4413,""),"")</f>
        <v/>
      </c>
      <c r="B4383" s="63">
        <f t="shared" si="282"/>
        <v>12</v>
      </c>
      <c r="C4383" s="64">
        <v>42727</v>
      </c>
      <c r="D4383" s="64" t="s">
        <v>2947</v>
      </c>
      <c r="E4383" s="64">
        <f t="shared" si="285"/>
        <v>42727</v>
      </c>
      <c r="F4383" s="72" t="s">
        <v>2510</v>
      </c>
      <c r="G4383" s="931" t="s">
        <v>2129</v>
      </c>
      <c r="H4383" s="72" t="s">
        <v>2511</v>
      </c>
      <c r="I4383" s="408"/>
      <c r="J4383" s="408"/>
      <c r="K4383" s="399"/>
      <c r="L4383" s="408"/>
      <c r="M4383" s="65">
        <v>19800000</v>
      </c>
      <c r="N4383" s="66" t="s">
        <v>8</v>
      </c>
      <c r="O4383" s="66" t="s">
        <v>61</v>
      </c>
      <c r="P4383" s="82" t="str">
        <f>IF(AND('331-CT'!$E$7=TH!H4383,OR(N4383="331",O4383="331")),"x","")</f>
        <v/>
      </c>
      <c r="Q4383" s="82" t="str">
        <f>IF(AND(B4383='111'!$L$11,OR($N4383=$Q$7,$O4383=$Q$7)),"x","")</f>
        <v>x</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1" ht="15.75" customHeight="1">
      <c r="A4384" s="323" t="str">
        <f>IF(B4384&lt;&gt;"",IF(AND(B4384='IN-TC'!$S$4,OR(TH!N4346="1111",TH!O4346="1111")),TH!D4346,""),"")</f>
        <v/>
      </c>
      <c r="B4384" s="63">
        <f t="shared" si="282"/>
        <v>12</v>
      </c>
      <c r="C4384" s="64">
        <v>42715</v>
      </c>
      <c r="D4384" s="64" t="s">
        <v>887</v>
      </c>
      <c r="E4384" s="64">
        <f t="shared" si="285"/>
        <v>42715</v>
      </c>
      <c r="F4384" s="72" t="s">
        <v>2030</v>
      </c>
      <c r="G4384" s="931" t="s">
        <v>2611</v>
      </c>
      <c r="H4384" s="72" t="s">
        <v>792</v>
      </c>
      <c r="I4384" s="408"/>
      <c r="J4384" s="408"/>
      <c r="K4384" s="399"/>
      <c r="L4384" s="408"/>
      <c r="M4384" s="65">
        <v>2507418</v>
      </c>
      <c r="N4384" s="66" t="s">
        <v>99</v>
      </c>
      <c r="O4384" s="66" t="s">
        <v>61</v>
      </c>
      <c r="P4384" s="82" t="str">
        <f>IF(AND('331-CT'!$E$7=TH!H4384,OR(N4384="331",O4384="331")),"x","")</f>
        <v/>
      </c>
      <c r="Q4384" s="82" t="str">
        <f>IF(AND(B4384='111'!$L$11,OR($N4384=$Q$7,$O4384=$Q$7)),"x","")</f>
        <v>x</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c r="AE4384">
        <v>1</v>
      </c>
    </row>
    <row r="4385" spans="1:31" ht="15.75" customHeight="1">
      <c r="A4385" s="323" t="str">
        <f>IF(B4385&lt;&gt;"",IF(AND(B4385='IN-TC'!$S$4,OR(TH!N4347="1111",TH!O4347="1111")),TH!D4347,""),"")</f>
        <v/>
      </c>
      <c r="B4385" s="63">
        <f t="shared" si="282"/>
        <v>12</v>
      </c>
      <c r="C4385" s="64">
        <v>42715</v>
      </c>
      <c r="D4385" s="64" t="s">
        <v>887</v>
      </c>
      <c r="E4385" s="64">
        <f t="shared" si="285"/>
        <v>42715</v>
      </c>
      <c r="F4385" s="72" t="s">
        <v>2031</v>
      </c>
      <c r="G4385" s="931" t="s">
        <v>2611</v>
      </c>
      <c r="H4385" s="72" t="s">
        <v>792</v>
      </c>
      <c r="I4385" s="408"/>
      <c r="J4385" s="408"/>
      <c r="K4385" s="399"/>
      <c r="L4385" s="408"/>
      <c r="M4385" s="65">
        <v>250742</v>
      </c>
      <c r="N4385" s="66" t="s">
        <v>9</v>
      </c>
      <c r="O4385" s="66" t="s">
        <v>61</v>
      </c>
      <c r="P4385" s="82" t="str">
        <f>IF(AND('331-CT'!$E$7=TH!H4385,OR(N4385="331",O4385="331")),"x","")</f>
        <v/>
      </c>
      <c r="Q4385" s="82" t="str">
        <f>IF(AND(B4385='111'!$L$11,OR($N4385=$Q$7,$O4385=$Q$7)),"x","")</f>
        <v>x</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x</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c r="AE4385">
        <v>1</v>
      </c>
    </row>
    <row r="4386" spans="1:31" ht="15.75" customHeight="1">
      <c r="A4386" s="1160" t="str">
        <f>IF(B4386&lt;&gt;"",IF(AND(B4386='IN-TC'!$S$4,OR(TH!N1074="1111",TH!O1074="1111")),TH!D1074,""),"")</f>
        <v/>
      </c>
      <c r="B4386" s="948">
        <f t="shared" si="282"/>
        <v>12</v>
      </c>
      <c r="C4386" s="78">
        <v>42728</v>
      </c>
      <c r="D4386" s="78" t="s">
        <v>2778</v>
      </c>
      <c r="E4386" s="78">
        <f t="shared" si="285"/>
        <v>42728</v>
      </c>
      <c r="F4386" s="80" t="s">
        <v>2495</v>
      </c>
      <c r="G4386" s="934" t="s">
        <v>2758</v>
      </c>
      <c r="H4386" s="310" t="s">
        <v>2511</v>
      </c>
      <c r="I4386" s="406">
        <v>2400</v>
      </c>
      <c r="J4386" s="406">
        <v>7500</v>
      </c>
      <c r="K4386" s="397"/>
      <c r="L4386" s="406"/>
      <c r="M4386" s="81">
        <f>ROUND(I4386*J4386,0)</f>
        <v>18000000</v>
      </c>
      <c r="N4386" s="82" t="s">
        <v>270</v>
      </c>
      <c r="O4386" s="82" t="s">
        <v>8</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x</v>
      </c>
      <c r="AC4386" s="82" t="str">
        <f>IF(AND(OR(LEFT(TH!N4386,2)="15",LEFT(TH!O4386,2)="15"),TK!$E$7=TH!F4386),"x","")</f>
        <v/>
      </c>
      <c r="AD4386" s="82" t="str">
        <f>IF(AND(N4386="1521",MONTH(C4386)='BK-NL'!$M$11),"x","")</f>
        <v/>
      </c>
      <c r="AE4386">
        <v>1</v>
      </c>
    </row>
    <row r="4387" spans="1:31" ht="15.75" customHeight="1">
      <c r="A4387" s="1160" t="str">
        <f>IF(B4387&lt;&gt;"",IF(AND(B4387='IN-TC'!$S$4,OR(TH!N1059="1111",TH!O1059="1111")),TH!D1059,""),"")</f>
        <v/>
      </c>
      <c r="B4387" s="948">
        <f t="shared" si="282"/>
        <v>12</v>
      </c>
      <c r="C4387" s="78">
        <v>42725</v>
      </c>
      <c r="D4387" s="78" t="s">
        <v>2771</v>
      </c>
      <c r="E4387" s="78">
        <f t="shared" si="285"/>
        <v>42725</v>
      </c>
      <c r="F4387" s="80" t="s">
        <v>637</v>
      </c>
      <c r="G4387" s="934" t="s">
        <v>2755</v>
      </c>
      <c r="H4387" s="310" t="s">
        <v>2512</v>
      </c>
      <c r="I4387" s="406"/>
      <c r="J4387" s="406"/>
      <c r="K4387" s="397"/>
      <c r="L4387" s="406"/>
      <c r="M4387" s="81">
        <v>1800000</v>
      </c>
      <c r="N4387" s="82" t="s">
        <v>9</v>
      </c>
      <c r="O4387" s="82" t="s">
        <v>8</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x</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c r="AE4387">
        <v>1</v>
      </c>
    </row>
    <row r="4388" spans="1:31" ht="15.75" customHeight="1">
      <c r="A4388" s="323" t="str">
        <f>IF(B4388&lt;&gt;"",IF(AND(B4388='IN-TC'!$S$4,OR(TH!N4401="1111",TH!O4401="1111")),TH!D4401,""),"")</f>
        <v/>
      </c>
      <c r="B4388" s="63">
        <f t="shared" si="282"/>
        <v>12</v>
      </c>
      <c r="C4388" s="64">
        <v>42725</v>
      </c>
      <c r="D4388" s="64" t="s">
        <v>2938</v>
      </c>
      <c r="E4388" s="64">
        <f t="shared" si="285"/>
        <v>42725</v>
      </c>
      <c r="F4388" s="72" t="s">
        <v>2510</v>
      </c>
      <c r="G4388" s="931" t="s">
        <v>2755</v>
      </c>
      <c r="H4388" s="72" t="s">
        <v>2512</v>
      </c>
      <c r="I4388" s="408"/>
      <c r="J4388" s="408"/>
      <c r="K4388" s="399"/>
      <c r="L4388" s="408"/>
      <c r="M4388" s="65">
        <v>19800000</v>
      </c>
      <c r="N4388" s="66" t="s">
        <v>8</v>
      </c>
      <c r="O4388" s="66" t="s">
        <v>61</v>
      </c>
      <c r="P4388" s="82" t="str">
        <f>IF(AND('331-CT'!$E$7=TH!H4388,OR(N4388="331",O4388="331")),"x","")</f>
        <v/>
      </c>
      <c r="Q4388" s="82" t="str">
        <f>IF(AND(B4388='111'!$L$11,OR($N4388=$Q$7,$O4388=$Q$7)),"x","")</f>
        <v>x</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row>
    <row r="4389" spans="1:31" ht="15.75" customHeight="1">
      <c r="A4389" s="323" t="str">
        <f>IF(B4389&lt;&gt;"",IF(AND(B4389='IN-TC'!$S$4,OR(TH!N4352="1111",TH!O4352="1111")),TH!D4352,""),"")</f>
        <v/>
      </c>
      <c r="B4389" s="63">
        <f t="shared" si="282"/>
        <v>12</v>
      </c>
      <c r="C4389" s="64">
        <v>42717</v>
      </c>
      <c r="D4389" s="64" t="s">
        <v>894</v>
      </c>
      <c r="E4389" s="64">
        <f t="shared" si="285"/>
        <v>42717</v>
      </c>
      <c r="F4389" s="72" t="s">
        <v>2614</v>
      </c>
      <c r="G4389" s="931" t="s">
        <v>2612</v>
      </c>
      <c r="H4389" s="72" t="s">
        <v>2613</v>
      </c>
      <c r="I4389" s="408"/>
      <c r="J4389" s="408"/>
      <c r="K4389" s="399"/>
      <c r="L4389" s="408"/>
      <c r="M4389" s="65">
        <v>15450000</v>
      </c>
      <c r="N4389" s="66" t="s">
        <v>274</v>
      </c>
      <c r="O4389" s="66" t="s">
        <v>61</v>
      </c>
      <c r="P4389" s="82" t="str">
        <f>IF(AND('331-CT'!$E$7=TH!H4389,OR(N4389="331",O4389="331")),"x","")</f>
        <v/>
      </c>
      <c r="Q4389" s="82" t="str">
        <f>IF(AND(B4389='111'!$L$11,OR($N4389=$Q$7,$O4389=$Q$7)),"x","")</f>
        <v>x</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c r="AE4389">
        <v>1</v>
      </c>
    </row>
    <row r="4390" spans="1:31" ht="15.75" customHeight="1">
      <c r="A4390" s="323" t="str">
        <f>IF(B4390&lt;&gt;"",IF(AND(B4390='IN-TC'!$S$4,OR(TH!N4353="1111",TH!O4353="1111")),TH!D4353,""),"")</f>
        <v/>
      </c>
      <c r="B4390" s="63">
        <f t="shared" si="282"/>
        <v>12</v>
      </c>
      <c r="C4390" s="64">
        <v>42717</v>
      </c>
      <c r="D4390" s="64" t="s">
        <v>894</v>
      </c>
      <c r="E4390" s="64">
        <f t="shared" si="285"/>
        <v>42717</v>
      </c>
      <c r="F4390" s="72" t="s">
        <v>1156</v>
      </c>
      <c r="G4390" s="931" t="s">
        <v>2612</v>
      </c>
      <c r="H4390" s="72" t="s">
        <v>2613</v>
      </c>
      <c r="I4390" s="408"/>
      <c r="J4390" s="408"/>
      <c r="K4390" s="399"/>
      <c r="L4390" s="408"/>
      <c r="M4390" s="65">
        <v>150000</v>
      </c>
      <c r="N4390" s="66" t="s">
        <v>99</v>
      </c>
      <c r="O4390" s="66" t="s">
        <v>61</v>
      </c>
      <c r="P4390" s="82" t="str">
        <f>IF(AND('331-CT'!$E$7=TH!H4390,OR(N4390="331",O4390="331")),"x","")</f>
        <v/>
      </c>
      <c r="Q4390" s="82" t="str">
        <f>IF(AND(B4390='111'!$L$11,OR($N4390=$Q$7,$O4390=$Q$7)),"x","")</f>
        <v>x</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c r="AE4390">
        <v>1</v>
      </c>
    </row>
    <row r="4391" spans="1:31" ht="15.75" customHeight="1">
      <c r="A4391" s="323" t="str">
        <f>IF(B4391&lt;&gt;"",IF(AND(B4391='IN-TC'!$S$4,OR(TH!N4354="1111",TH!O4354="1111")),TH!D4354,""),"")</f>
        <v/>
      </c>
      <c r="B4391" s="63">
        <f t="shared" si="282"/>
        <v>12</v>
      </c>
      <c r="C4391" s="64">
        <v>42717</v>
      </c>
      <c r="D4391" s="64" t="s">
        <v>894</v>
      </c>
      <c r="E4391" s="64">
        <f t="shared" si="285"/>
        <v>42717</v>
      </c>
      <c r="F4391" s="72" t="s">
        <v>2615</v>
      </c>
      <c r="G4391" s="931" t="s">
        <v>2612</v>
      </c>
      <c r="H4391" s="72" t="s">
        <v>2613</v>
      </c>
      <c r="I4391" s="408"/>
      <c r="J4391" s="408"/>
      <c r="K4391" s="399"/>
      <c r="L4391" s="408"/>
      <c r="M4391" s="65">
        <v>1560000</v>
      </c>
      <c r="N4391" s="66" t="s">
        <v>9</v>
      </c>
      <c r="O4391" s="66" t="s">
        <v>61</v>
      </c>
      <c r="P4391" s="82" t="str">
        <f>IF(AND('331-CT'!$E$7=TH!H4391,OR(N4391="331",O4391="331")),"x","")</f>
        <v/>
      </c>
      <c r="Q4391" s="82" t="str">
        <f>IF(AND(B4391='111'!$L$11,OR($N4391=$Q$7,$O4391=$Q$7)),"x","")</f>
        <v>x</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x</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c r="AE4391">
        <v>1</v>
      </c>
    </row>
    <row r="4392" spans="1:31" ht="15.75" customHeight="1">
      <c r="A4392" s="323" t="str">
        <f>IF(B4392&lt;&gt;"",IF(AND(B4392='IN-TC'!$S$4,OR(TH!N4355="1111",TH!O4355="1111")),TH!D4355,""),"")</f>
        <v/>
      </c>
      <c r="B4392" s="63">
        <f t="shared" si="282"/>
        <v>12</v>
      </c>
      <c r="C4392" s="1092">
        <v>42717</v>
      </c>
      <c r="D4392" s="1092" t="s">
        <v>895</v>
      </c>
      <c r="E4392" s="1092">
        <f t="shared" si="285"/>
        <v>42717</v>
      </c>
      <c r="F4392" s="482" t="s">
        <v>947</v>
      </c>
      <c r="G4392" s="1094"/>
      <c r="H4392" s="937" t="s">
        <v>3001</v>
      </c>
      <c r="I4392" s="1095"/>
      <c r="J4392" s="1095"/>
      <c r="K4392" s="1096"/>
      <c r="L4392" s="1095"/>
      <c r="M4392" s="1097">
        <v>850000000</v>
      </c>
      <c r="N4392" s="1098" t="s">
        <v>266</v>
      </c>
      <c r="O4392" s="1098" t="s">
        <v>61</v>
      </c>
      <c r="P4392" s="82" t="str">
        <f>IF(AND('331-CT'!$E$7=TH!H4392,OR(N4392="331",O4392="331")),"x","")</f>
        <v/>
      </c>
      <c r="Q4392" s="82" t="str">
        <f>IF(AND(B4392='111'!$L$11,OR($N4392=$Q$7,$O4392=$Q$7)),"x","")</f>
        <v>x</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row>
    <row r="4393" spans="1:31" ht="15.75" customHeight="1">
      <c r="A4393" s="323" t="str">
        <f>IF(B4393&lt;&gt;"",IF(AND(B4393='IN-TC'!$S$4,OR(TH!N4529="1111",TH!O4529="1111")),TH!D4529,""),"")</f>
        <v/>
      </c>
      <c r="B4393" s="63">
        <f t="shared" si="282"/>
        <v>12</v>
      </c>
      <c r="C4393" s="64">
        <v>42717</v>
      </c>
      <c r="D4393" s="64" t="s">
        <v>570</v>
      </c>
      <c r="E4393" s="64">
        <f t="shared" si="285"/>
        <v>42717</v>
      </c>
      <c r="F4393" s="72" t="s">
        <v>1049</v>
      </c>
      <c r="G4393" s="67" t="s">
        <v>901</v>
      </c>
      <c r="H4393" s="72" t="s">
        <v>1650</v>
      </c>
      <c r="I4393" s="408"/>
      <c r="J4393" s="408"/>
      <c r="K4393" s="399"/>
      <c r="L4393" s="408"/>
      <c r="M4393" s="65">
        <v>28360000</v>
      </c>
      <c r="N4393" s="66" t="s">
        <v>97</v>
      </c>
      <c r="O4393" s="66" t="s">
        <v>254</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1" ht="15.75" customHeight="1">
      <c r="A4394" s="323" t="str">
        <f>IF(B4394&lt;&gt;"",IF(AND(B4394='IN-TC'!$S$4,OR(TH!N4533="1111",TH!O4533="1111")),TH!D4533,""),"")</f>
        <v/>
      </c>
      <c r="B4394" s="63">
        <f t="shared" si="282"/>
        <v>12</v>
      </c>
      <c r="C4394" s="64">
        <v>42721</v>
      </c>
      <c r="D4394" s="64" t="s">
        <v>570</v>
      </c>
      <c r="E4394" s="64">
        <f t="shared" si="285"/>
        <v>42721</v>
      </c>
      <c r="F4394" s="72" t="s">
        <v>1968</v>
      </c>
      <c r="G4394" s="67" t="s">
        <v>901</v>
      </c>
      <c r="H4394" s="72" t="s">
        <v>1887</v>
      </c>
      <c r="I4394" s="408"/>
      <c r="J4394" s="408"/>
      <c r="K4394" s="399">
        <v>7</v>
      </c>
      <c r="L4394" s="408">
        <v>22710</v>
      </c>
      <c r="M4394" s="65">
        <f>K4394*L4394</f>
        <v>158970</v>
      </c>
      <c r="N4394" s="66" t="s">
        <v>99</v>
      </c>
      <c r="O4394" s="66" t="s">
        <v>576</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customHeight="1">
      <c r="A4395" s="1160" t="str">
        <f>IF(B4395&lt;&gt;"",IF(AND(B4395='IN-TC'!$S$4,OR(TH!N4534="1111",TH!O4534="1111")),TH!D4534,""),"")</f>
        <v/>
      </c>
      <c r="B4395" s="948">
        <f t="shared" si="282"/>
        <v>12</v>
      </c>
      <c r="C4395" s="78">
        <v>42721</v>
      </c>
      <c r="D4395" s="64" t="s">
        <v>570</v>
      </c>
      <c r="E4395" s="78">
        <f t="shared" si="285"/>
        <v>42721</v>
      </c>
      <c r="F4395" s="80" t="s">
        <v>1049</v>
      </c>
      <c r="G4395" s="79" t="s">
        <v>901</v>
      </c>
      <c r="H4395" s="80" t="s">
        <v>1887</v>
      </c>
      <c r="I4395" s="406"/>
      <c r="J4395" s="406"/>
      <c r="K4395" s="397"/>
      <c r="L4395" s="406"/>
      <c r="M4395" s="81">
        <v>123760000</v>
      </c>
      <c r="N4395" s="82" t="s">
        <v>576</v>
      </c>
      <c r="O4395" s="82" t="s">
        <v>41</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customHeight="1">
      <c r="A4396" s="1170" t="str">
        <f>IF(B4396&lt;&gt;"",IF(AND(B4396='IN-TC'!$S$4,OR(TH!N373="1111",TH!O373="1111")),TH!D373,""),"")</f>
        <v/>
      </c>
      <c r="B4396" s="63">
        <f t="shared" si="282"/>
        <v>12</v>
      </c>
      <c r="C4396" s="90">
        <v>42723</v>
      </c>
      <c r="D4396" s="1087" t="s">
        <v>2550</v>
      </c>
      <c r="E4396" s="90">
        <v>42723</v>
      </c>
      <c r="F4396" s="91" t="s">
        <v>455</v>
      </c>
      <c r="G4396" s="1089" t="s">
        <v>2532</v>
      </c>
      <c r="H4396" s="937" t="s">
        <v>1887</v>
      </c>
      <c r="I4396" s="414">
        <v>158340</v>
      </c>
      <c r="J4396" s="1132">
        <v>2.83</v>
      </c>
      <c r="K4396" s="405">
        <f>I4396*J4396</f>
        <v>448102.2</v>
      </c>
      <c r="L4396" s="414">
        <v>22700</v>
      </c>
      <c r="M4396" s="1133">
        <f>ROUND(K4396*L4396,0)</f>
        <v>10171919940</v>
      </c>
      <c r="N4396" s="1134" t="s">
        <v>576</v>
      </c>
      <c r="O4396" s="1134" t="s">
        <v>292</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1" ht="15.75" customHeight="1">
      <c r="A4397" s="323" t="str">
        <f>IF(B4397&lt;&gt;"",IF(AND(B4397='IN-TC'!$S$4,OR(TH!N4615="1111",TH!O4615="1111")),TH!D4615,""),"")</f>
        <v/>
      </c>
      <c r="B4397" s="63">
        <f t="shared" si="282"/>
        <v>12</v>
      </c>
      <c r="C4397" s="64">
        <v>42717</v>
      </c>
      <c r="D4397" s="64" t="s">
        <v>570</v>
      </c>
      <c r="E4397" s="64">
        <f t="shared" ref="E4397:E4428" si="286">C4397</f>
        <v>42717</v>
      </c>
      <c r="F4397" s="72" t="s">
        <v>1049</v>
      </c>
      <c r="G4397" s="67" t="s">
        <v>1544</v>
      </c>
      <c r="H4397" s="1093" t="s">
        <v>1864</v>
      </c>
      <c r="I4397" s="408"/>
      <c r="J4397" s="408"/>
      <c r="K4397" s="399"/>
      <c r="L4397" s="408"/>
      <c r="M4397" s="65">
        <v>59250000</v>
      </c>
      <c r="N4397" s="66" t="s">
        <v>97</v>
      </c>
      <c r="O4397" s="66" t="s">
        <v>254</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1" ht="15.75" customHeight="1">
      <c r="A4398" s="323" t="str">
        <f>IF(B4398&lt;&gt;"",IF(AND(B4398='IN-TC'!$S$4,OR(TH!N4526="1111",TH!O4526="1111")),TH!D4526,""),"")</f>
        <v/>
      </c>
      <c r="B4398" s="63">
        <f t="shared" ref="B4398:B4461" si="287">IF(C4398&lt;&gt;"",MONTH(C4398),"")</f>
        <v>12</v>
      </c>
      <c r="C4398" s="64">
        <v>42717</v>
      </c>
      <c r="D4398" s="64" t="s">
        <v>687</v>
      </c>
      <c r="E4398" s="64">
        <f t="shared" si="286"/>
        <v>42717</v>
      </c>
      <c r="F4398" s="72" t="s">
        <v>1648</v>
      </c>
      <c r="G4398" s="67" t="s">
        <v>1900</v>
      </c>
      <c r="H4398" s="72" t="s">
        <v>2048</v>
      </c>
      <c r="I4398" s="408"/>
      <c r="J4398" s="408"/>
      <c r="K4398" s="399">
        <v>71000</v>
      </c>
      <c r="L4398" s="408">
        <v>22750</v>
      </c>
      <c r="M4398" s="65">
        <f>K4398*L4398</f>
        <v>1615250000</v>
      </c>
      <c r="N4398" s="66" t="s">
        <v>260</v>
      </c>
      <c r="O4398" s="66" t="s">
        <v>260</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1" ht="15.75" customHeight="1">
      <c r="A4399" s="323" t="str">
        <f>IF(B4399&lt;&gt;"",IF(AND(B4399='IN-TC'!$S$4,OR(TH!N4572="1111",TH!O4572="1111")),TH!D4572,""),"")</f>
        <v/>
      </c>
      <c r="B4399" s="63">
        <f t="shared" si="287"/>
        <v>12</v>
      </c>
      <c r="C4399" s="64">
        <v>42717</v>
      </c>
      <c r="D4399" s="64" t="s">
        <v>687</v>
      </c>
      <c r="E4399" s="64">
        <f t="shared" si="286"/>
        <v>42717</v>
      </c>
      <c r="F4399" s="72" t="s">
        <v>1918</v>
      </c>
      <c r="G4399" s="67" t="s">
        <v>1544</v>
      </c>
      <c r="H4399" s="1274" t="s">
        <v>2996</v>
      </c>
      <c r="I4399" s="408"/>
      <c r="J4399" s="408"/>
      <c r="K4399" s="399">
        <v>50400</v>
      </c>
      <c r="L4399" s="408">
        <f>M4399/K4399</f>
        <v>22612</v>
      </c>
      <c r="M4399" s="65">
        <v>1139644800</v>
      </c>
      <c r="N4399" s="66" t="s">
        <v>25</v>
      </c>
      <c r="O4399" s="66" t="s">
        <v>254</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x</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customHeight="1">
      <c r="A4400" s="323" t="str">
        <f>IF(B4400&lt;&gt;"",IF(AND(B4400='IN-TC'!$S$4,OR(TH!N4527="1111",TH!O4527="1111")),TH!D4527,""),"")</f>
        <v/>
      </c>
      <c r="B4400" s="63">
        <f t="shared" si="287"/>
        <v>12</v>
      </c>
      <c r="C4400" s="64">
        <v>42717</v>
      </c>
      <c r="D4400" s="64" t="s">
        <v>690</v>
      </c>
      <c r="E4400" s="64">
        <f t="shared" si="286"/>
        <v>42717</v>
      </c>
      <c r="F4400" s="72" t="s">
        <v>2357</v>
      </c>
      <c r="G4400" s="67" t="s">
        <v>901</v>
      </c>
      <c r="H4400" s="72" t="s">
        <v>1650</v>
      </c>
      <c r="I4400" s="408"/>
      <c r="J4400" s="408"/>
      <c r="K4400" s="399">
        <v>70900</v>
      </c>
      <c r="L4400" s="408">
        <v>22750</v>
      </c>
      <c r="M4400" s="65">
        <f>K4400*L4400</f>
        <v>1612975000</v>
      </c>
      <c r="N4400" s="66" t="s">
        <v>254</v>
      </c>
      <c r="O4400" s="66" t="s">
        <v>260</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1" ht="15.75" customHeight="1">
      <c r="A4401" s="323" t="str">
        <f>IF(B4401&lt;&gt;"",IF(AND(B4401='IN-TC'!$S$4,OR(TH!N4528="1111",TH!O4528="1111")),TH!D4528,""),"")</f>
        <v/>
      </c>
      <c r="B4401" s="63">
        <f t="shared" si="287"/>
        <v>12</v>
      </c>
      <c r="C4401" s="64">
        <v>42717</v>
      </c>
      <c r="D4401" s="64" t="s">
        <v>690</v>
      </c>
      <c r="E4401" s="64">
        <f t="shared" si="286"/>
        <v>42717</v>
      </c>
      <c r="F4401" s="72" t="s">
        <v>2752</v>
      </c>
      <c r="G4401" s="67" t="s">
        <v>901</v>
      </c>
      <c r="H4401" s="72" t="s">
        <v>1650</v>
      </c>
      <c r="I4401" s="408"/>
      <c r="J4401" s="408"/>
      <c r="K4401" s="399">
        <v>206.8</v>
      </c>
      <c r="L4401" s="408">
        <v>22750</v>
      </c>
      <c r="M4401" s="65">
        <f>K4401*L4401</f>
        <v>4704700</v>
      </c>
      <c r="N4401" s="66" t="s">
        <v>97</v>
      </c>
      <c r="O4401" s="66" t="s">
        <v>260</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1" ht="15.75" customHeight="1">
      <c r="A4402" s="323" t="str">
        <f>IF(B4402&lt;&gt;"",IF(AND(B4402='IN-TC'!$S$4,OR(TH!N4570="1111",TH!O4570="1111")),TH!D4570,""),"")</f>
        <v/>
      </c>
      <c r="B4402" s="63">
        <f t="shared" si="287"/>
        <v>12</v>
      </c>
      <c r="C4402" s="64">
        <v>42717</v>
      </c>
      <c r="D4402" s="64" t="s">
        <v>690</v>
      </c>
      <c r="E4402" s="64">
        <f t="shared" si="286"/>
        <v>42717</v>
      </c>
      <c r="F4402" s="72" t="s">
        <v>2783</v>
      </c>
      <c r="G4402" s="67" t="s">
        <v>1544</v>
      </c>
      <c r="H4402" s="72" t="s">
        <v>1780</v>
      </c>
      <c r="I4402" s="408"/>
      <c r="J4402" s="408"/>
      <c r="K4402" s="399"/>
      <c r="L4402" s="408"/>
      <c r="M4402" s="65">
        <v>2265000</v>
      </c>
      <c r="N4402" s="66" t="s">
        <v>99</v>
      </c>
      <c r="O4402" s="66" t="s">
        <v>25</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x</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c r="AE4402">
        <v>1</v>
      </c>
    </row>
    <row r="4403" spans="1:31" ht="15.75" customHeight="1">
      <c r="A4403" s="323" t="str">
        <f>IF(B4403&lt;&gt;"",IF(AND(B4403='IN-TC'!$S$4,OR(TH!N4571="1111",TH!O4571="1111")),TH!D4571,""),"")</f>
        <v/>
      </c>
      <c r="B4403" s="63">
        <f t="shared" si="287"/>
        <v>12</v>
      </c>
      <c r="C4403" s="64">
        <v>42717</v>
      </c>
      <c r="D4403" s="64" t="s">
        <v>690</v>
      </c>
      <c r="E4403" s="64">
        <f t="shared" si="286"/>
        <v>42717</v>
      </c>
      <c r="F4403" s="72" t="s">
        <v>2901</v>
      </c>
      <c r="G4403" s="67" t="s">
        <v>1544</v>
      </c>
      <c r="H4403" s="72" t="s">
        <v>1780</v>
      </c>
      <c r="I4403" s="408"/>
      <c r="J4403" s="408"/>
      <c r="K4403" s="399"/>
      <c r="L4403" s="408"/>
      <c r="M4403" s="65">
        <v>226500</v>
      </c>
      <c r="N4403" s="66" t="s">
        <v>9</v>
      </c>
      <c r="O4403" s="66" t="s">
        <v>25</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x</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x</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c r="AE4403">
        <v>1</v>
      </c>
    </row>
    <row r="4404" spans="1:31" ht="15.75" customHeight="1">
      <c r="A4404" s="323" t="str">
        <f>IF(B4404&lt;&gt;"",IF(AND(B4404='IN-TC'!$S$4,OR(TH!N4609="1111",TH!O4609="1111")),TH!D4609,""),"")</f>
        <v/>
      </c>
      <c r="B4404" s="63">
        <f t="shared" si="287"/>
        <v>12</v>
      </c>
      <c r="C4404" s="64">
        <v>42717</v>
      </c>
      <c r="D4404" s="64" t="s">
        <v>690</v>
      </c>
      <c r="E4404" s="64">
        <f t="shared" si="286"/>
        <v>42717</v>
      </c>
      <c r="F4404" s="72" t="s">
        <v>1778</v>
      </c>
      <c r="G4404" s="67" t="s">
        <v>1544</v>
      </c>
      <c r="H4404" s="72" t="s">
        <v>1780</v>
      </c>
      <c r="I4404" s="408"/>
      <c r="J4404" s="408"/>
      <c r="K4404" s="399">
        <v>3</v>
      </c>
      <c r="L4404" s="408">
        <v>22720</v>
      </c>
      <c r="M4404" s="65">
        <f>K4404*L4404</f>
        <v>68160</v>
      </c>
      <c r="N4404" s="66" t="s">
        <v>99</v>
      </c>
      <c r="O4404" s="66" t="s">
        <v>260</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c r="AE4404">
        <v>1</v>
      </c>
    </row>
    <row r="4405" spans="1:31" ht="15.75" customHeight="1">
      <c r="A4405" s="323" t="str">
        <f>IF(B4405&lt;&gt;"",IF(AND(B4405='IN-TC'!$S$4,OR(TH!N4610="1111",TH!O4610="1111")),TH!D4610,""),"")</f>
        <v/>
      </c>
      <c r="B4405" s="63">
        <f t="shared" si="287"/>
        <v>12</v>
      </c>
      <c r="C4405" s="64">
        <v>42717</v>
      </c>
      <c r="D4405" s="64" t="s">
        <v>690</v>
      </c>
      <c r="E4405" s="64">
        <f t="shared" si="286"/>
        <v>42717</v>
      </c>
      <c r="F4405" s="72" t="s">
        <v>2010</v>
      </c>
      <c r="G4405" s="67" t="s">
        <v>1544</v>
      </c>
      <c r="H4405" s="72" t="s">
        <v>1780</v>
      </c>
      <c r="I4405" s="408"/>
      <c r="J4405" s="408"/>
      <c r="K4405" s="399">
        <v>0.3</v>
      </c>
      <c r="L4405" s="408">
        <v>22720</v>
      </c>
      <c r="M4405" s="65">
        <f>K4405*L4405</f>
        <v>6816</v>
      </c>
      <c r="N4405" s="66" t="s">
        <v>9</v>
      </c>
      <c r="O4405" s="66" t="s">
        <v>260</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x</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c r="AE4405">
        <v>1</v>
      </c>
    </row>
    <row r="4406" spans="1:31" ht="15.75" customHeight="1">
      <c r="A4406" s="323" t="str">
        <f>IF(B4406&lt;&gt;"",IF(AND(B4406='IN-TC'!$S$4,OR(TH!N4613="1111",TH!O4613="1111")),TH!D4613,""),"")</f>
        <v/>
      </c>
      <c r="B4406" s="63">
        <f t="shared" si="287"/>
        <v>12</v>
      </c>
      <c r="C4406" s="64">
        <v>42717</v>
      </c>
      <c r="D4406" s="64" t="s">
        <v>690</v>
      </c>
      <c r="E4406" s="64">
        <f t="shared" si="286"/>
        <v>42717</v>
      </c>
      <c r="F4406" s="72" t="s">
        <v>2357</v>
      </c>
      <c r="G4406" s="67" t="s">
        <v>1544</v>
      </c>
      <c r="H4406" s="1093" t="s">
        <v>1864</v>
      </c>
      <c r="I4406" s="408"/>
      <c r="J4406" s="408"/>
      <c r="K4406" s="399">
        <v>150000</v>
      </c>
      <c r="L4406" s="408">
        <v>22720</v>
      </c>
      <c r="M4406" s="65">
        <f>K4406*L4406</f>
        <v>3408000000</v>
      </c>
      <c r="N4406" s="66" t="s">
        <v>254</v>
      </c>
      <c r="O4406" s="66" t="s">
        <v>260</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customHeight="1">
      <c r="A4407" s="323" t="str">
        <f>IF(B4407&lt;&gt;"",IF(AND(B4407='IN-TC'!$S$4,OR(TH!N4614="1111",TH!O4614="1111")),TH!D4614,""),"")</f>
        <v/>
      </c>
      <c r="B4407" s="63">
        <f t="shared" si="287"/>
        <v>12</v>
      </c>
      <c r="C4407" s="64">
        <v>42717</v>
      </c>
      <c r="D4407" s="64" t="s">
        <v>690</v>
      </c>
      <c r="E4407" s="64">
        <f t="shared" si="286"/>
        <v>42717</v>
      </c>
      <c r="F4407" s="72" t="s">
        <v>2533</v>
      </c>
      <c r="G4407" s="67" t="s">
        <v>1544</v>
      </c>
      <c r="H4407" s="1093" t="s">
        <v>1864</v>
      </c>
      <c r="I4407" s="408"/>
      <c r="J4407" s="408"/>
      <c r="K4407" s="399">
        <v>262.5</v>
      </c>
      <c r="L4407" s="408">
        <v>22720</v>
      </c>
      <c r="M4407" s="65">
        <f>K4407*L4407</f>
        <v>5964000</v>
      </c>
      <c r="N4407" s="66" t="s">
        <v>97</v>
      </c>
      <c r="O4407" s="66" t="s">
        <v>260</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1" ht="15.75" customHeight="1">
      <c r="A4408" s="323" t="str">
        <f>IF(B4408&lt;&gt;"",IF(AND(B4408='IN-TC'!$S$4,OR(TH!N4350="1111",TH!O4350="1111")),TH!D4350,""),"")</f>
        <v/>
      </c>
      <c r="B4408" s="63">
        <f t="shared" si="287"/>
        <v>12</v>
      </c>
      <c r="C4408" s="64">
        <v>42717</v>
      </c>
      <c r="D4408" s="64" t="s">
        <v>2587</v>
      </c>
      <c r="E4408" s="64">
        <f t="shared" si="286"/>
        <v>42717</v>
      </c>
      <c r="F4408" s="72" t="s">
        <v>1126</v>
      </c>
      <c r="G4408" s="67" t="s">
        <v>1544</v>
      </c>
      <c r="H4408" s="72" t="s">
        <v>748</v>
      </c>
      <c r="I4408" s="408"/>
      <c r="J4408" s="408"/>
      <c r="K4408" s="399"/>
      <c r="L4408" s="408"/>
      <c r="M4408" s="65">
        <v>1150000000</v>
      </c>
      <c r="N4408" s="66" t="s">
        <v>61</v>
      </c>
      <c r="O4408" s="66" t="s">
        <v>25</v>
      </c>
      <c r="P4408" s="82" t="str">
        <f>IF(AND('331-CT'!$E$7=TH!H4408,OR(N4408="331",O4408="331")),"x","")</f>
        <v/>
      </c>
      <c r="Q4408" s="82" t="str">
        <f>IF(AND(B4408='111'!$L$11,OR($N4408=$Q$7,$O4408=$Q$7)),"x","")</f>
        <v>x</v>
      </c>
      <c r="R4408" s="82" t="str">
        <f>IF(AND($N4408=$Q$7,$B4408&lt;'111'!$L$11),"x","")</f>
        <v/>
      </c>
      <c r="S4408" s="82" t="str">
        <f>IF(AND($O4408=$Q$7,$B4408&lt;'111'!$L$11),"x","")</f>
        <v/>
      </c>
      <c r="T4408" s="82" t="str">
        <f>IF(ISERROR(FIND('112'!$M$9,G4408,1)),"",IF((AND(FIND('112'!$M$9,G4408,1)&gt;=1,B4408='112'!$K$9,OR($N4408='112'!$I$6,$O4408='112'!$I$6))),"x",""))</f>
        <v>x</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1" ht="15.75" customHeight="1">
      <c r="A4409" s="323" t="str">
        <f>IF(B4409&lt;&gt;"",IF(AND(B4409='IN-TC'!$S$4,OR(TH!N4358="1111",TH!O4358="1111")),TH!D4358,""),"")</f>
        <v/>
      </c>
      <c r="B4409" s="63">
        <f t="shared" si="287"/>
        <v>12</v>
      </c>
      <c r="C4409" s="64">
        <v>42718</v>
      </c>
      <c r="D4409" s="64" t="s">
        <v>896</v>
      </c>
      <c r="E4409" s="64">
        <f t="shared" si="286"/>
        <v>42718</v>
      </c>
      <c r="F4409" s="72" t="s">
        <v>2616</v>
      </c>
      <c r="G4409" s="931" t="s">
        <v>2617</v>
      </c>
      <c r="H4409" s="72" t="s">
        <v>1418</v>
      </c>
      <c r="I4409" s="408"/>
      <c r="J4409" s="408"/>
      <c r="K4409" s="399"/>
      <c r="L4409" s="408"/>
      <c r="M4409" s="65">
        <v>1983000</v>
      </c>
      <c r="N4409" s="66" t="s">
        <v>99</v>
      </c>
      <c r="O4409" s="66" t="s">
        <v>61</v>
      </c>
      <c r="P4409" s="82" t="str">
        <f>IF(AND('331-CT'!$E$7=TH!H4409,OR(N4409="331",O4409="331")),"x","")</f>
        <v/>
      </c>
      <c r="Q4409" s="82" t="str">
        <f>IF(AND(B4409='111'!$L$11,OR($N4409=$Q$7,$O4409=$Q$7)),"x","")</f>
        <v>x</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c r="AE4409">
        <v>1</v>
      </c>
    </row>
    <row r="4410" spans="1:31" ht="15.75" customHeight="1">
      <c r="A4410" s="323" t="str">
        <f>IF(B4410&lt;&gt;"",IF(AND(B4410='IN-TC'!$S$4,OR(TH!N4359="1111",TH!O4359="1111")),TH!D4359,""),"")</f>
        <v/>
      </c>
      <c r="B4410" s="63">
        <f t="shared" si="287"/>
        <v>12</v>
      </c>
      <c r="C4410" s="64">
        <v>42718</v>
      </c>
      <c r="D4410" s="64" t="s">
        <v>896</v>
      </c>
      <c r="E4410" s="64">
        <f t="shared" si="286"/>
        <v>42718</v>
      </c>
      <c r="F4410" s="72" t="s">
        <v>2618</v>
      </c>
      <c r="G4410" s="931" t="s">
        <v>2617</v>
      </c>
      <c r="H4410" s="72" t="s">
        <v>1418</v>
      </c>
      <c r="I4410" s="408"/>
      <c r="J4410" s="408"/>
      <c r="K4410" s="399"/>
      <c r="L4410" s="408"/>
      <c r="M4410" s="65">
        <v>198300</v>
      </c>
      <c r="N4410" s="66" t="s">
        <v>9</v>
      </c>
      <c r="O4410" s="66" t="s">
        <v>61</v>
      </c>
      <c r="P4410" s="82" t="str">
        <f>IF(AND('331-CT'!$E$7=TH!H4410,OR(N4410="331",O4410="331")),"x","")</f>
        <v/>
      </c>
      <c r="Q4410" s="82" t="str">
        <f>IF(AND(B4410='111'!$L$11,OR($N4410=$Q$7,$O4410=$Q$7)),"x","")</f>
        <v>x</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x</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c r="AE4410">
        <v>1</v>
      </c>
    </row>
    <row r="4411" spans="1:31" ht="15.75" customHeight="1">
      <c r="A4411" s="323" t="str">
        <f>IF(B4411&lt;&gt;"",IF(AND(B4411='IN-TC'!$S$4,OR(TH!N4360="1111",TH!O4360="1111")),TH!D4360,""),"")</f>
        <v/>
      </c>
      <c r="B4411" s="63">
        <f t="shared" si="287"/>
        <v>12</v>
      </c>
      <c r="C4411" s="64">
        <v>42718</v>
      </c>
      <c r="D4411" s="64" t="s">
        <v>897</v>
      </c>
      <c r="E4411" s="64">
        <f t="shared" si="286"/>
        <v>42718</v>
      </c>
      <c r="F4411" s="72" t="s">
        <v>1087</v>
      </c>
      <c r="G4411" s="67" t="s">
        <v>1544</v>
      </c>
      <c r="H4411" s="72" t="s">
        <v>748</v>
      </c>
      <c r="I4411" s="408"/>
      <c r="J4411" s="408"/>
      <c r="K4411" s="399"/>
      <c r="L4411" s="408"/>
      <c r="M4411" s="65">
        <v>900000000</v>
      </c>
      <c r="N4411" s="66" t="s">
        <v>25</v>
      </c>
      <c r="O4411" s="66" t="s">
        <v>61</v>
      </c>
      <c r="P4411" s="82" t="str">
        <f>IF(AND('331-CT'!$E$7=TH!H4411,OR(N4411="331",O4411="331")),"x","")</f>
        <v/>
      </c>
      <c r="Q4411" s="82" t="str">
        <f>IF(AND(B4411='111'!$L$11,OR($N4411=$Q$7,$O4411=$Q$7)),"x","")</f>
        <v>x</v>
      </c>
      <c r="R4411" s="82" t="str">
        <f>IF(AND($N4411=$Q$7,$B4411&lt;'111'!$L$11),"x","")</f>
        <v/>
      </c>
      <c r="S4411" s="82" t="str">
        <f>IF(AND($O4411=$Q$7,$B4411&lt;'111'!$L$11),"x","")</f>
        <v/>
      </c>
      <c r="T4411" s="82" t="str">
        <f>IF(ISERROR(FIND('112'!$M$9,G4411,1)),"",IF((AND(FIND('112'!$M$9,G4411,1)&gt;=1,B4411='112'!$K$9,OR($N4411='112'!$I$6,$O4411='112'!$I$6))),"x",""))</f>
        <v>x</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customHeight="1">
      <c r="A4412" s="1160" t="str">
        <f>IF(B4412&lt;&gt;"",IF(AND(B4412='IN-TC'!$S$4,OR(TH!N1066="1111",TH!O1066="1111")),TH!D1066,""),"")</f>
        <v/>
      </c>
      <c r="B4412" s="948">
        <f t="shared" si="287"/>
        <v>12</v>
      </c>
      <c r="C4412" s="78">
        <v>42726</v>
      </c>
      <c r="D4412" s="78" t="s">
        <v>2775</v>
      </c>
      <c r="E4412" s="78">
        <f t="shared" si="286"/>
        <v>42726</v>
      </c>
      <c r="F4412" s="80" t="s">
        <v>2495</v>
      </c>
      <c r="G4412" s="934" t="s">
        <v>2757</v>
      </c>
      <c r="H4412" s="310" t="s">
        <v>2512</v>
      </c>
      <c r="I4412" s="406">
        <v>1939</v>
      </c>
      <c r="J4412" s="406">
        <v>7500</v>
      </c>
      <c r="K4412" s="397"/>
      <c r="L4412" s="406"/>
      <c r="M4412" s="81">
        <f>ROUND(I4412*J4412,0)</f>
        <v>14542500</v>
      </c>
      <c r="N4412" s="82" t="s">
        <v>270</v>
      </c>
      <c r="O4412" s="82" t="s">
        <v>8</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x</v>
      </c>
      <c r="AC4412" s="82" t="str">
        <f>IF(AND(OR(LEFT(TH!N4412,2)="15",LEFT(TH!O4412,2)="15"),TK!$E$7=TH!F4412),"x","")</f>
        <v/>
      </c>
      <c r="AD4412" s="82" t="str">
        <f>IF(AND(N4412="1521",MONTH(C4412)='BK-NL'!$M$11),"x","")</f>
        <v/>
      </c>
      <c r="AE4412">
        <v>1</v>
      </c>
    </row>
    <row r="4413" spans="1:31" ht="15.75" customHeight="1">
      <c r="A4413" s="323" t="str">
        <f>IF(B4413&lt;&gt;"",IF(AND(B4413='IN-TC'!$S$4,OR(TH!N4362="1111",TH!O4362="1111")),TH!D4362,""),"")</f>
        <v/>
      </c>
      <c r="B4413" s="63">
        <f t="shared" si="287"/>
        <v>12</v>
      </c>
      <c r="C4413" s="1092">
        <v>42718</v>
      </c>
      <c r="D4413" s="1092" t="s">
        <v>899</v>
      </c>
      <c r="E4413" s="1092">
        <f t="shared" si="286"/>
        <v>42718</v>
      </c>
      <c r="F4413" s="482" t="s">
        <v>947</v>
      </c>
      <c r="G4413" s="1094"/>
      <c r="H4413" s="937" t="s">
        <v>3001</v>
      </c>
      <c r="I4413" s="1095"/>
      <c r="J4413" s="1095"/>
      <c r="K4413" s="1096"/>
      <c r="L4413" s="1095"/>
      <c r="M4413" s="1097">
        <v>1000000000</v>
      </c>
      <c r="N4413" s="1098" t="s">
        <v>266</v>
      </c>
      <c r="O4413" s="1098" t="s">
        <v>61</v>
      </c>
      <c r="P4413" s="82" t="str">
        <f>IF(AND('331-CT'!$E$7=TH!H4413,OR(N4413="331",O4413="331")),"x","")</f>
        <v/>
      </c>
      <c r="Q4413" s="82" t="str">
        <f>IF(AND(B4413='111'!$L$11,OR($N4413=$Q$7,$O4413=$Q$7)),"x","")</f>
        <v>x</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customHeight="1">
      <c r="A4414" s="323" t="str">
        <f>IF(B4414&lt;&gt;"",IF(AND(B4414='IN-TC'!$S$4,OR(TH!N4470="1111",TH!O4470="1111")),TH!D4470,""),"")</f>
        <v/>
      </c>
      <c r="B4414" s="63">
        <f t="shared" si="287"/>
        <v>12</v>
      </c>
      <c r="C4414" s="64">
        <v>42718</v>
      </c>
      <c r="D4414" s="64" t="s">
        <v>687</v>
      </c>
      <c r="E4414" s="64">
        <f t="shared" si="286"/>
        <v>42718</v>
      </c>
      <c r="F4414" s="72" t="s">
        <v>2735</v>
      </c>
      <c r="G4414" s="67" t="s">
        <v>901</v>
      </c>
      <c r="H4414" s="72" t="s">
        <v>2736</v>
      </c>
      <c r="I4414" s="408"/>
      <c r="J4414" s="408"/>
      <c r="K4414" s="399">
        <v>70500</v>
      </c>
      <c r="L4414" s="408">
        <f>M4414/K4414</f>
        <v>22705</v>
      </c>
      <c r="M4414" s="65">
        <v>1600702500</v>
      </c>
      <c r="N4414" s="66" t="s">
        <v>25</v>
      </c>
      <c r="O4414" s="66" t="s">
        <v>254</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customHeight="1">
      <c r="A4415" s="323" t="str">
        <f>IF(B4415&lt;&gt;"",IF(AND(B4415='IN-TC'!$S$4,OR(TH!N4575="1111",TH!O4575="1111")),TH!D4575,""),"")</f>
        <v/>
      </c>
      <c r="B4415" s="63">
        <f t="shared" si="287"/>
        <v>12</v>
      </c>
      <c r="C4415" s="64">
        <v>42718</v>
      </c>
      <c r="D4415" s="64" t="s">
        <v>687</v>
      </c>
      <c r="E4415" s="64">
        <f t="shared" si="286"/>
        <v>42718</v>
      </c>
      <c r="F4415" s="72" t="s">
        <v>1425</v>
      </c>
      <c r="G4415" s="67" t="s">
        <v>1544</v>
      </c>
      <c r="H4415" s="72" t="s">
        <v>1780</v>
      </c>
      <c r="I4415" s="408"/>
      <c r="J4415" s="408"/>
      <c r="K4415" s="399">
        <v>70000</v>
      </c>
      <c r="L4415" s="408">
        <v>22710</v>
      </c>
      <c r="M4415" s="65">
        <f>K4415*L4415</f>
        <v>1589700000</v>
      </c>
      <c r="N4415" s="66" t="s">
        <v>25</v>
      </c>
      <c r="O4415" s="66" t="s">
        <v>260</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x</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customHeight="1">
      <c r="A4416" s="323" t="str">
        <f>IF(B4416&lt;&gt;"",IF(AND(B4416='IN-TC'!$S$4,OR(TH!N4576="1111",TH!O4576="1111")),TH!D4576,""),"")</f>
        <v/>
      </c>
      <c r="B4416" s="63">
        <f t="shared" si="287"/>
        <v>12</v>
      </c>
      <c r="C4416" s="64">
        <v>42718</v>
      </c>
      <c r="D4416" s="64" t="s">
        <v>687</v>
      </c>
      <c r="E4416" s="64">
        <f t="shared" si="286"/>
        <v>42718</v>
      </c>
      <c r="F4416" s="72" t="s">
        <v>2358</v>
      </c>
      <c r="G4416" s="67" t="s">
        <v>1544</v>
      </c>
      <c r="H4416" s="1274" t="s">
        <v>3000</v>
      </c>
      <c r="I4416" s="408"/>
      <c r="J4416" s="408"/>
      <c r="K4416" s="399">
        <v>137000</v>
      </c>
      <c r="L4416" s="408">
        <f>M4416/K4416</f>
        <v>22710</v>
      </c>
      <c r="M4416" s="65">
        <v>3111270000</v>
      </c>
      <c r="N4416" s="66" t="s">
        <v>25</v>
      </c>
      <c r="O4416" s="66" t="s">
        <v>254</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x</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customHeight="1">
      <c r="A4417" s="323" t="str">
        <f>IF(B4417&lt;&gt;"",IF(AND(B4417='IN-TC'!$S$4,OR(TH!N4573="1111",TH!O4573="1111")),TH!D4573,""),"")</f>
        <v/>
      </c>
      <c r="B4417" s="63">
        <f t="shared" si="287"/>
        <v>12</v>
      </c>
      <c r="C4417" s="64">
        <v>42718</v>
      </c>
      <c r="D4417" s="64" t="s">
        <v>690</v>
      </c>
      <c r="E4417" s="64">
        <f t="shared" si="286"/>
        <v>42718</v>
      </c>
      <c r="F4417" s="72" t="s">
        <v>1778</v>
      </c>
      <c r="G4417" s="67" t="s">
        <v>1544</v>
      </c>
      <c r="H4417" s="72" t="s">
        <v>1780</v>
      </c>
      <c r="I4417" s="408"/>
      <c r="J4417" s="408"/>
      <c r="K4417" s="399"/>
      <c r="L4417" s="408"/>
      <c r="M4417" s="65">
        <v>3006277</v>
      </c>
      <c r="N4417" s="66" t="s">
        <v>99</v>
      </c>
      <c r="O4417" s="66" t="s">
        <v>25</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x</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c r="AE4417">
        <v>1</v>
      </c>
    </row>
    <row r="4418" spans="1:31" ht="15.75" customHeight="1">
      <c r="A4418" s="323" t="str">
        <f>IF(B4418&lt;&gt;"",IF(AND(B4418='IN-TC'!$S$4,OR(TH!N4574="1111",TH!O4574="1111")),TH!D4574,""),"")</f>
        <v/>
      </c>
      <c r="B4418" s="63">
        <f t="shared" si="287"/>
        <v>12</v>
      </c>
      <c r="C4418" s="64">
        <v>42718</v>
      </c>
      <c r="D4418" s="64" t="s">
        <v>690</v>
      </c>
      <c r="E4418" s="64">
        <f t="shared" si="286"/>
        <v>42718</v>
      </c>
      <c r="F4418" s="72" t="s">
        <v>2010</v>
      </c>
      <c r="G4418" s="67" t="s">
        <v>1544</v>
      </c>
      <c r="H4418" s="72" t="s">
        <v>1780</v>
      </c>
      <c r="I4418" s="408"/>
      <c r="J4418" s="408"/>
      <c r="K4418" s="399"/>
      <c r="L4418" s="408"/>
      <c r="M4418" s="65">
        <v>300628</v>
      </c>
      <c r="N4418" s="66" t="s">
        <v>9</v>
      </c>
      <c r="O4418" s="66" t="s">
        <v>25</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x</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x</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c r="AE4418">
        <v>1</v>
      </c>
    </row>
    <row r="4419" spans="1:31" ht="15.75" customHeight="1">
      <c r="A4419" s="323" t="str">
        <f>IF(B4419&lt;&gt;"",IF(AND(B4419='IN-TC'!$S$4,OR(TH!N4577="1111",TH!O4577="1111")),TH!D4577,""),"")</f>
        <v/>
      </c>
      <c r="B4419" s="63">
        <f t="shared" si="287"/>
        <v>12</v>
      </c>
      <c r="C4419" s="64">
        <v>42718</v>
      </c>
      <c r="D4419" s="64" t="s">
        <v>690</v>
      </c>
      <c r="E4419" s="64">
        <f t="shared" si="286"/>
        <v>42718</v>
      </c>
      <c r="F4419" s="72" t="s">
        <v>1623</v>
      </c>
      <c r="G4419" s="67" t="s">
        <v>1544</v>
      </c>
      <c r="H4419" s="72" t="s">
        <v>1916</v>
      </c>
      <c r="I4419" s="408"/>
      <c r="J4419" s="408"/>
      <c r="K4419" s="399"/>
      <c r="L4419" s="408"/>
      <c r="M4419" s="65">
        <v>24884526</v>
      </c>
      <c r="N4419" s="66" t="s">
        <v>8</v>
      </c>
      <c r="O4419" s="66" t="s">
        <v>25</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x</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row>
    <row r="4420" spans="1:31" ht="15.75" customHeight="1">
      <c r="A4420" s="323" t="str">
        <f>IF(B4420&lt;&gt;"",IF(AND(B4420='IN-TC'!$S$4,OR(TH!N4578="1111",TH!O4578="1111")),TH!D4578,""),"")</f>
        <v/>
      </c>
      <c r="B4420" s="63">
        <f t="shared" si="287"/>
        <v>12</v>
      </c>
      <c r="C4420" s="64">
        <v>42718</v>
      </c>
      <c r="D4420" s="64" t="s">
        <v>690</v>
      </c>
      <c r="E4420" s="64">
        <f t="shared" si="286"/>
        <v>42718</v>
      </c>
      <c r="F4420" s="72" t="s">
        <v>2147</v>
      </c>
      <c r="G4420" s="67" t="s">
        <v>1544</v>
      </c>
      <c r="H4420" s="72" t="s">
        <v>1780</v>
      </c>
      <c r="I4420" s="408"/>
      <c r="J4420" s="408"/>
      <c r="K4420" s="399"/>
      <c r="L4420" s="408"/>
      <c r="M4420" s="65">
        <v>10000</v>
      </c>
      <c r="N4420" s="66" t="s">
        <v>99</v>
      </c>
      <c r="O4420" s="66" t="s">
        <v>25</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x</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E4420">
        <v>1</v>
      </c>
    </row>
    <row r="4421" spans="1:31" ht="15.75" customHeight="1">
      <c r="A4421" s="323" t="str">
        <f>IF(B4421&lt;&gt;"",IF(AND(B4421='IN-TC'!$S$4,OR(TH!N4579="1111",TH!O4579="1111")),TH!D4579,""),"")</f>
        <v/>
      </c>
      <c r="B4421" s="63">
        <f t="shared" si="287"/>
        <v>12</v>
      </c>
      <c r="C4421" s="64">
        <v>42718</v>
      </c>
      <c r="D4421" s="64" t="s">
        <v>690</v>
      </c>
      <c r="E4421" s="64">
        <f t="shared" si="286"/>
        <v>42718</v>
      </c>
      <c r="F4421" s="72" t="s">
        <v>2148</v>
      </c>
      <c r="G4421" s="67" t="s">
        <v>1544</v>
      </c>
      <c r="H4421" s="72" t="s">
        <v>1780</v>
      </c>
      <c r="I4421" s="408"/>
      <c r="J4421" s="408"/>
      <c r="K4421" s="399"/>
      <c r="L4421" s="408"/>
      <c r="M4421" s="65">
        <v>1000</v>
      </c>
      <c r="N4421" s="66" t="s">
        <v>9</v>
      </c>
      <c r="O4421" s="66" t="s">
        <v>25</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x</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x</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c r="AE4421">
        <v>1</v>
      </c>
    </row>
    <row r="4422" spans="1:31" ht="15.75" customHeight="1">
      <c r="A4422" s="323" t="str">
        <f>IF(B4422&lt;&gt;"",IF(AND(B4422='IN-TC'!$S$4,OR(TH!N598="1111",TH!O598="1111")),TH!D598,""),"")</f>
        <v/>
      </c>
      <c r="B4422" s="63">
        <f t="shared" si="287"/>
        <v>12</v>
      </c>
      <c r="C4422" s="78">
        <v>42727</v>
      </c>
      <c r="D4422" s="78" t="s">
        <v>2709</v>
      </c>
      <c r="E4422" s="78">
        <f t="shared" si="286"/>
        <v>42727</v>
      </c>
      <c r="F4422" s="79" t="s">
        <v>455</v>
      </c>
      <c r="G4422" s="934" t="s">
        <v>2713</v>
      </c>
      <c r="H4422" s="80" t="s">
        <v>2224</v>
      </c>
      <c r="I4422" s="406">
        <v>3900</v>
      </c>
      <c r="J4422" s="406">
        <v>56000</v>
      </c>
      <c r="K4422" s="397"/>
      <c r="L4422" s="406"/>
      <c r="M4422" s="81">
        <f>ROUND(I4422*J4422,0)</f>
        <v>218400000</v>
      </c>
      <c r="N4422" s="82" t="s">
        <v>278</v>
      </c>
      <c r="O4422" s="82" t="s">
        <v>8</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customHeight="1">
      <c r="A4423" s="323" t="str">
        <f>IF(B4423&lt;&gt;"",IF(AND(B4423='IN-TC'!$S$4,OR(TH!N4581="1111",TH!O4581="1111")),TH!D4581,""),"")</f>
        <v/>
      </c>
      <c r="B4423" s="63">
        <f t="shared" si="287"/>
        <v>12</v>
      </c>
      <c r="C4423" s="64">
        <v>42718</v>
      </c>
      <c r="D4423" s="64" t="s">
        <v>690</v>
      </c>
      <c r="E4423" s="64">
        <f t="shared" si="286"/>
        <v>42718</v>
      </c>
      <c r="F4423" s="72" t="s">
        <v>2147</v>
      </c>
      <c r="G4423" s="67" t="s">
        <v>1544</v>
      </c>
      <c r="H4423" s="72" t="s">
        <v>1780</v>
      </c>
      <c r="I4423" s="408"/>
      <c r="J4423" s="408"/>
      <c r="K4423" s="399"/>
      <c r="L4423" s="408"/>
      <c r="M4423" s="65">
        <v>432900</v>
      </c>
      <c r="N4423" s="66" t="s">
        <v>99</v>
      </c>
      <c r="O4423" s="66" t="s">
        <v>25</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x</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c r="AE4423">
        <v>1</v>
      </c>
    </row>
    <row r="4424" spans="1:31" ht="15.75" customHeight="1">
      <c r="A4424" s="323" t="str">
        <f>IF(B4424&lt;&gt;"",IF(AND(B4424='IN-TC'!$S$4,OR(TH!N4582="1111",TH!O4582="1111")),TH!D4582,""),"")</f>
        <v/>
      </c>
      <c r="B4424" s="63">
        <f t="shared" si="287"/>
        <v>12</v>
      </c>
      <c r="C4424" s="64">
        <v>42718</v>
      </c>
      <c r="D4424" s="64" t="s">
        <v>690</v>
      </c>
      <c r="E4424" s="64">
        <f t="shared" si="286"/>
        <v>42718</v>
      </c>
      <c r="F4424" s="72" t="s">
        <v>2148</v>
      </c>
      <c r="G4424" s="67" t="s">
        <v>1544</v>
      </c>
      <c r="H4424" s="72" t="s">
        <v>1780</v>
      </c>
      <c r="I4424" s="408"/>
      <c r="J4424" s="408"/>
      <c r="K4424" s="399"/>
      <c r="L4424" s="408"/>
      <c r="M4424" s="65">
        <v>43290</v>
      </c>
      <c r="N4424" s="66" t="s">
        <v>9</v>
      </c>
      <c r="O4424" s="66" t="s">
        <v>25</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x</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x</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c r="AE4424">
        <v>1</v>
      </c>
    </row>
    <row r="4425" spans="1:31" ht="15.75" customHeight="1">
      <c r="A4425" s="323" t="str">
        <f>IF(B4425&lt;&gt;"",IF(AND(B4425='IN-TC'!$S$4,OR(TH!N4583="1111",TH!O4583="1111")),TH!D4583,""),"")</f>
        <v/>
      </c>
      <c r="B4425" s="63">
        <f t="shared" si="287"/>
        <v>12</v>
      </c>
      <c r="C4425" s="64">
        <v>42718</v>
      </c>
      <c r="D4425" s="64" t="s">
        <v>690</v>
      </c>
      <c r="E4425" s="64">
        <f t="shared" si="286"/>
        <v>42718</v>
      </c>
      <c r="F4425" s="72" t="s">
        <v>1623</v>
      </c>
      <c r="G4425" s="67" t="s">
        <v>1544</v>
      </c>
      <c r="H4425" s="72" t="s">
        <v>1845</v>
      </c>
      <c r="I4425" s="408"/>
      <c r="J4425" s="408"/>
      <c r="K4425" s="399"/>
      <c r="L4425" s="408"/>
      <c r="M4425" s="65">
        <v>26948372</v>
      </c>
      <c r="N4425" s="66" t="s">
        <v>8</v>
      </c>
      <c r="O4425" s="66" t="s">
        <v>25</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x</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customHeight="1">
      <c r="A4426" s="323" t="str">
        <f>IF(B4426&lt;&gt;"",IF(AND(B4426='IN-TC'!$S$4,OR(TH!N4584="1111",TH!O4584="1111")),TH!D4584,""),"")</f>
        <v/>
      </c>
      <c r="B4426" s="63">
        <f t="shared" si="287"/>
        <v>12</v>
      </c>
      <c r="C4426" s="64">
        <v>42718</v>
      </c>
      <c r="D4426" s="64" t="s">
        <v>690</v>
      </c>
      <c r="E4426" s="64">
        <f t="shared" si="286"/>
        <v>42718</v>
      </c>
      <c r="F4426" s="72" t="s">
        <v>2147</v>
      </c>
      <c r="G4426" s="67" t="s">
        <v>1544</v>
      </c>
      <c r="H4426" s="72" t="s">
        <v>1780</v>
      </c>
      <c r="I4426" s="408"/>
      <c r="J4426" s="408"/>
      <c r="K4426" s="399"/>
      <c r="L4426" s="408"/>
      <c r="M4426" s="65">
        <v>10000</v>
      </c>
      <c r="N4426" s="66" t="s">
        <v>99</v>
      </c>
      <c r="O4426" s="66" t="s">
        <v>25</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x</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c r="AE4426">
        <v>1</v>
      </c>
    </row>
    <row r="4427" spans="1:31" ht="15.75" customHeight="1">
      <c r="A4427" s="323" t="str">
        <f>IF(B4427&lt;&gt;"",IF(AND(B4427='IN-TC'!$S$4,OR(TH!N4585="1111",TH!O4585="1111")),TH!D4585,""),"")</f>
        <v/>
      </c>
      <c r="B4427" s="63">
        <f t="shared" si="287"/>
        <v>12</v>
      </c>
      <c r="C4427" s="64">
        <v>42718</v>
      </c>
      <c r="D4427" s="64" t="s">
        <v>690</v>
      </c>
      <c r="E4427" s="64">
        <f t="shared" si="286"/>
        <v>42718</v>
      </c>
      <c r="F4427" s="72" t="s">
        <v>2148</v>
      </c>
      <c r="G4427" s="67" t="s">
        <v>1544</v>
      </c>
      <c r="H4427" s="72" t="s">
        <v>1780</v>
      </c>
      <c r="I4427" s="408"/>
      <c r="J4427" s="408"/>
      <c r="K4427" s="399"/>
      <c r="L4427" s="408"/>
      <c r="M4427" s="65">
        <v>1000</v>
      </c>
      <c r="N4427" s="66" t="s">
        <v>9</v>
      </c>
      <c r="O4427" s="66" t="s">
        <v>25</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x</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x</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customHeight="1">
      <c r="A4428" s="323" t="str">
        <f>IF(B4428&lt;&gt;"",IF(AND(B4428='IN-TC'!$S$4,OR(TH!N595="1111",TH!O595="1111")),TH!D595,""),"")</f>
        <v/>
      </c>
      <c r="B4428" s="63">
        <f t="shared" si="287"/>
        <v>12</v>
      </c>
      <c r="C4428" s="78">
        <v>42725</v>
      </c>
      <c r="D4428" s="78" t="s">
        <v>2658</v>
      </c>
      <c r="E4428" s="78">
        <f t="shared" si="286"/>
        <v>42725</v>
      </c>
      <c r="F4428" s="79" t="s">
        <v>455</v>
      </c>
      <c r="G4428" s="934" t="s">
        <v>2631</v>
      </c>
      <c r="H4428" s="80" t="s">
        <v>2323</v>
      </c>
      <c r="I4428" s="406">
        <v>15522</v>
      </c>
      <c r="J4428" s="406">
        <v>56500</v>
      </c>
      <c r="K4428" s="397"/>
      <c r="L4428" s="406"/>
      <c r="M4428" s="81">
        <f>ROUND(I4428*J4428,0)</f>
        <v>876993000</v>
      </c>
      <c r="N4428" s="82" t="s">
        <v>278</v>
      </c>
      <c r="O4428" s="82" t="s">
        <v>8</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1" ht="15.75" customHeight="1">
      <c r="A4429" s="323" t="str">
        <f>IF(B4429&lt;&gt;"",IF(AND(B4429='IN-TC'!$S$4,OR(TH!N4587="1111",TH!O4587="1111")),TH!D4587,""),"")</f>
        <v/>
      </c>
      <c r="B4429" s="63">
        <f t="shared" si="287"/>
        <v>12</v>
      </c>
      <c r="C4429" s="64">
        <v>42718</v>
      </c>
      <c r="D4429" s="64" t="s">
        <v>690</v>
      </c>
      <c r="E4429" s="64">
        <f t="shared" ref="E4429:E4460" si="288">C4429</f>
        <v>42718</v>
      </c>
      <c r="F4429" s="72" t="s">
        <v>2147</v>
      </c>
      <c r="G4429" s="67" t="s">
        <v>1544</v>
      </c>
      <c r="H4429" s="72" t="s">
        <v>1780</v>
      </c>
      <c r="I4429" s="408"/>
      <c r="J4429" s="408"/>
      <c r="K4429" s="399"/>
      <c r="L4429" s="408"/>
      <c r="M4429" s="65">
        <v>292325</v>
      </c>
      <c r="N4429" s="66" t="s">
        <v>99</v>
      </c>
      <c r="O4429" s="66" t="s">
        <v>25</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x</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c r="AE4429">
        <v>1</v>
      </c>
    </row>
    <row r="4430" spans="1:31" ht="15.75" customHeight="1">
      <c r="A4430" s="323" t="str">
        <f>IF(B4430&lt;&gt;"",IF(AND(B4430='IN-TC'!$S$4,OR(TH!N4588="1111",TH!O4588="1111")),TH!D4588,""),"")</f>
        <v/>
      </c>
      <c r="B4430" s="63">
        <f t="shared" si="287"/>
        <v>12</v>
      </c>
      <c r="C4430" s="64">
        <v>42718</v>
      </c>
      <c r="D4430" s="64" t="s">
        <v>690</v>
      </c>
      <c r="E4430" s="64">
        <f t="shared" si="288"/>
        <v>42718</v>
      </c>
      <c r="F4430" s="72" t="s">
        <v>2148</v>
      </c>
      <c r="G4430" s="67" t="s">
        <v>1544</v>
      </c>
      <c r="H4430" s="72" t="s">
        <v>1780</v>
      </c>
      <c r="I4430" s="408"/>
      <c r="J4430" s="408"/>
      <c r="K4430" s="399"/>
      <c r="L4430" s="408"/>
      <c r="M4430" s="65">
        <v>29233</v>
      </c>
      <c r="N4430" s="66" t="s">
        <v>9</v>
      </c>
      <c r="O4430" s="66" t="s">
        <v>25</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x</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x</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customHeight="1">
      <c r="A4431" s="323" t="str">
        <f>IF(B4431&lt;&gt;"",IF(AND(B4431='IN-TC'!$S$4,OR(TH!N4589="1111",TH!O4589="1111")),TH!D4589,""),"")</f>
        <v/>
      </c>
      <c r="B4431" s="63">
        <f t="shared" si="287"/>
        <v>12</v>
      </c>
      <c r="C4431" s="64">
        <v>42718</v>
      </c>
      <c r="D4431" s="64" t="s">
        <v>690</v>
      </c>
      <c r="E4431" s="64">
        <f t="shared" si="288"/>
        <v>42718</v>
      </c>
      <c r="F4431" s="72" t="s">
        <v>1156</v>
      </c>
      <c r="G4431" s="67" t="s">
        <v>1544</v>
      </c>
      <c r="H4431" s="72" t="s">
        <v>1780</v>
      </c>
      <c r="I4431" s="408"/>
      <c r="J4431" s="408"/>
      <c r="K4431" s="399"/>
      <c r="L4431" s="408"/>
      <c r="M4431" s="65">
        <v>251610</v>
      </c>
      <c r="N4431" s="66" t="s">
        <v>99</v>
      </c>
      <c r="O4431" s="66" t="s">
        <v>25</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x</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c r="AE4431">
        <v>1</v>
      </c>
    </row>
    <row r="4432" spans="1:31" ht="15.75" customHeight="1">
      <c r="A4432" s="323" t="str">
        <f>IF(B4432&lt;&gt;"",IF(AND(B4432='IN-TC'!$S$4,OR(TH!N4590="1111",TH!O4590="1111")),TH!D4590,""),"")</f>
        <v/>
      </c>
      <c r="B4432" s="63">
        <f t="shared" si="287"/>
        <v>12</v>
      </c>
      <c r="C4432" s="64">
        <v>42718</v>
      </c>
      <c r="D4432" s="64" t="s">
        <v>690</v>
      </c>
      <c r="E4432" s="64">
        <f t="shared" si="288"/>
        <v>42718</v>
      </c>
      <c r="F4432" s="72" t="s">
        <v>1616</v>
      </c>
      <c r="G4432" s="67" t="s">
        <v>1544</v>
      </c>
      <c r="H4432" s="72" t="s">
        <v>1780</v>
      </c>
      <c r="I4432" s="408"/>
      <c r="J4432" s="408"/>
      <c r="K4432" s="399"/>
      <c r="L4432" s="408"/>
      <c r="M4432" s="65">
        <v>25161</v>
      </c>
      <c r="N4432" s="66" t="s">
        <v>9</v>
      </c>
      <c r="O4432" s="66" t="s">
        <v>25</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x</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x</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c r="AE4432">
        <v>1</v>
      </c>
    </row>
    <row r="4433" spans="1:31" ht="15.75" customHeight="1">
      <c r="A4433" s="323" t="str">
        <f>IF(B4433&lt;&gt;"",IF(AND(B4433='IN-TC'!$S$4,OR(TH!N4356="1111",TH!O4356="1111")),TH!D4356,""),"")</f>
        <v/>
      </c>
      <c r="B4433" s="63">
        <f t="shared" si="287"/>
        <v>12</v>
      </c>
      <c r="C4433" s="64">
        <v>42718</v>
      </c>
      <c r="D4433" s="64" t="s">
        <v>2588</v>
      </c>
      <c r="E4433" s="64">
        <f t="shared" si="288"/>
        <v>42718</v>
      </c>
      <c r="F4433" s="72" t="s">
        <v>1126</v>
      </c>
      <c r="G4433" s="67" t="s">
        <v>1544</v>
      </c>
      <c r="H4433" s="72" t="s">
        <v>748</v>
      </c>
      <c r="I4433" s="408"/>
      <c r="J4433" s="408"/>
      <c r="K4433" s="399"/>
      <c r="L4433" s="408"/>
      <c r="M4433" s="65">
        <v>3100000000</v>
      </c>
      <c r="N4433" s="66" t="s">
        <v>61</v>
      </c>
      <c r="O4433" s="66" t="s">
        <v>25</v>
      </c>
      <c r="P4433" s="82" t="str">
        <f>IF(AND('331-CT'!$E$7=TH!H4433,OR(N4433="331",O4433="331")),"x","")</f>
        <v/>
      </c>
      <c r="Q4433" s="82" t="str">
        <f>IF(AND(B4433='111'!$L$11,OR($N4433=$Q$7,$O4433=$Q$7)),"x","")</f>
        <v>x</v>
      </c>
      <c r="R4433" s="82" t="str">
        <f>IF(AND($N4433=$Q$7,$B4433&lt;'111'!$L$11),"x","")</f>
        <v/>
      </c>
      <c r="S4433" s="82" t="str">
        <f>IF(AND($O4433=$Q$7,$B4433&lt;'111'!$L$11),"x","")</f>
        <v/>
      </c>
      <c r="T4433" s="82" t="str">
        <f>IF(ISERROR(FIND('112'!$M$9,G4433,1)),"",IF((AND(FIND('112'!$M$9,G4433,1)&gt;=1,B4433='112'!$K$9,OR($N4433='112'!$I$6,$O4433='112'!$I$6))),"x",""))</f>
        <v>x</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1" ht="15.75" customHeight="1">
      <c r="A4434" s="323" t="str">
        <f>IF(B4434&lt;&gt;"",IF(AND(B4434='IN-TC'!$S$4,OR(TH!N4357="1111",TH!O4357="1111")),TH!D4357,""),"")</f>
        <v/>
      </c>
      <c r="B4434" s="63">
        <f t="shared" si="287"/>
        <v>12</v>
      </c>
      <c r="C4434" s="64">
        <v>42718</v>
      </c>
      <c r="D4434" s="64" t="s">
        <v>2589</v>
      </c>
      <c r="E4434" s="64">
        <f t="shared" si="288"/>
        <v>42718</v>
      </c>
      <c r="F4434" s="72" t="s">
        <v>1126</v>
      </c>
      <c r="G4434" s="67" t="s">
        <v>901</v>
      </c>
      <c r="H4434" s="72" t="s">
        <v>748</v>
      </c>
      <c r="I4434" s="408"/>
      <c r="J4434" s="408"/>
      <c r="K4434" s="399"/>
      <c r="L4434" s="408"/>
      <c r="M4434" s="65">
        <v>1600000000</v>
      </c>
      <c r="N4434" s="66" t="s">
        <v>61</v>
      </c>
      <c r="O4434" s="66" t="s">
        <v>25</v>
      </c>
      <c r="P4434" s="82" t="str">
        <f>IF(AND('331-CT'!$E$7=TH!H4434,OR(N4434="331",O4434="331")),"x","")</f>
        <v/>
      </c>
      <c r="Q4434" s="82" t="str">
        <f>IF(AND(B4434='111'!$L$11,OR($N4434=$Q$7,$O4434=$Q$7)),"x","")</f>
        <v>x</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1" ht="15.75" customHeight="1">
      <c r="A4435" s="323" t="str">
        <f>IF(B4435&lt;&gt;"",IF(AND(B4435='IN-TC'!$S$4,OR(TH!N4363="1111",TH!O4363="1111")),TH!D4363,""),"")</f>
        <v/>
      </c>
      <c r="B4435" s="63">
        <f t="shared" si="287"/>
        <v>12</v>
      </c>
      <c r="C4435" s="64">
        <v>42719</v>
      </c>
      <c r="D4435" s="64" t="s">
        <v>948</v>
      </c>
      <c r="E4435" s="64">
        <f t="shared" si="288"/>
        <v>42719</v>
      </c>
      <c r="F4435" s="72" t="s">
        <v>2614</v>
      </c>
      <c r="G4435" s="931" t="s">
        <v>2619</v>
      </c>
      <c r="H4435" s="72" t="s">
        <v>2613</v>
      </c>
      <c r="I4435" s="408"/>
      <c r="J4435" s="408"/>
      <c r="K4435" s="399"/>
      <c r="L4435" s="408"/>
      <c r="M4435" s="65">
        <v>15450000</v>
      </c>
      <c r="N4435" s="66" t="s">
        <v>274</v>
      </c>
      <c r="O4435" s="66" t="s">
        <v>61</v>
      </c>
      <c r="P4435" s="82" t="str">
        <f>IF(AND('331-CT'!$E$7=TH!H4435,OR(N4435="331",O4435="331")),"x","")</f>
        <v/>
      </c>
      <c r="Q4435" s="82" t="str">
        <f>IF(AND(B4435='111'!$L$11,OR($N4435=$Q$7,$O4435=$Q$7)),"x","")</f>
        <v>x</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c r="AE4435">
        <v>1</v>
      </c>
    </row>
    <row r="4436" spans="1:31" ht="15.75" customHeight="1">
      <c r="A4436" s="323" t="str">
        <f>IF(B4436&lt;&gt;"",IF(AND(B4436='IN-TC'!$S$4,OR(TH!N4364="1111",TH!O4364="1111")),TH!D4364,""),"")</f>
        <v/>
      </c>
      <c r="B4436" s="63">
        <f t="shared" si="287"/>
        <v>12</v>
      </c>
      <c r="C4436" s="64">
        <v>42719</v>
      </c>
      <c r="D4436" s="64" t="s">
        <v>948</v>
      </c>
      <c r="E4436" s="64">
        <f t="shared" si="288"/>
        <v>42719</v>
      </c>
      <c r="F4436" s="72" t="s">
        <v>1156</v>
      </c>
      <c r="G4436" s="931" t="s">
        <v>2619</v>
      </c>
      <c r="H4436" s="72" t="s">
        <v>2613</v>
      </c>
      <c r="I4436" s="408"/>
      <c r="J4436" s="408"/>
      <c r="K4436" s="399"/>
      <c r="L4436" s="408"/>
      <c r="M4436" s="65">
        <v>150000</v>
      </c>
      <c r="N4436" s="66" t="s">
        <v>99</v>
      </c>
      <c r="O4436" s="66" t="s">
        <v>61</v>
      </c>
      <c r="P4436" s="82" t="str">
        <f>IF(AND('331-CT'!$E$7=TH!H4436,OR(N4436="331",O4436="331")),"x","")</f>
        <v/>
      </c>
      <c r="Q4436" s="82" t="str">
        <f>IF(AND(B4436='111'!$L$11,OR($N4436=$Q$7,$O4436=$Q$7)),"x","")</f>
        <v>x</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c r="AE4436">
        <v>1</v>
      </c>
    </row>
    <row r="4437" spans="1:31" ht="15.75" customHeight="1">
      <c r="A4437" s="323" t="str">
        <f>IF(B4437&lt;&gt;"",IF(AND(B4437='IN-TC'!$S$4,OR(TH!N4365="1111",TH!O4365="1111")),TH!D4365,""),"")</f>
        <v/>
      </c>
      <c r="B4437" s="63">
        <f t="shared" si="287"/>
        <v>12</v>
      </c>
      <c r="C4437" s="64">
        <v>42719</v>
      </c>
      <c r="D4437" s="64" t="s">
        <v>948</v>
      </c>
      <c r="E4437" s="64">
        <f t="shared" si="288"/>
        <v>42719</v>
      </c>
      <c r="F4437" s="72" t="s">
        <v>2615</v>
      </c>
      <c r="G4437" s="931" t="s">
        <v>2619</v>
      </c>
      <c r="H4437" s="72" t="s">
        <v>2613</v>
      </c>
      <c r="I4437" s="408"/>
      <c r="J4437" s="408"/>
      <c r="K4437" s="399"/>
      <c r="L4437" s="408"/>
      <c r="M4437" s="65">
        <v>1560000</v>
      </c>
      <c r="N4437" s="66" t="s">
        <v>9</v>
      </c>
      <c r="O4437" s="66" t="s">
        <v>61</v>
      </c>
      <c r="P4437" s="82" t="str">
        <f>IF(AND('331-CT'!$E$7=TH!H4437,OR(N4437="331",O4437="331")),"x","")</f>
        <v/>
      </c>
      <c r="Q4437" s="82" t="str">
        <f>IF(AND(B4437='111'!$L$11,OR($N4437=$Q$7,$O4437=$Q$7)),"x","")</f>
        <v>x</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x</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c r="AE4437">
        <v>1</v>
      </c>
    </row>
    <row r="4438" spans="1:31" ht="15.75" customHeight="1">
      <c r="A4438" s="323" t="str">
        <f>IF(B4438&lt;&gt;"",IF(AND(B4438='IN-TC'!$S$4,OR(TH!N4366="1111",TH!O4366="1111")),TH!D4366,""),"")</f>
        <v/>
      </c>
      <c r="B4438" s="63">
        <f t="shared" si="287"/>
        <v>12</v>
      </c>
      <c r="C4438" s="64">
        <v>42719</v>
      </c>
      <c r="D4438" s="64" t="s">
        <v>949</v>
      </c>
      <c r="E4438" s="64">
        <f t="shared" si="288"/>
        <v>42719</v>
      </c>
      <c r="F4438" s="72" t="s">
        <v>2030</v>
      </c>
      <c r="G4438" s="931" t="s">
        <v>2620</v>
      </c>
      <c r="H4438" s="72" t="s">
        <v>792</v>
      </c>
      <c r="I4438" s="408"/>
      <c r="J4438" s="408"/>
      <c r="K4438" s="399"/>
      <c r="L4438" s="408"/>
      <c r="M4438" s="65">
        <v>1451654</v>
      </c>
      <c r="N4438" s="66" t="s">
        <v>99</v>
      </c>
      <c r="O4438" s="66" t="s">
        <v>61</v>
      </c>
      <c r="P4438" s="82" t="str">
        <f>IF(AND('331-CT'!$E$7=TH!H4438,OR(N4438="331",O4438="331")),"x","")</f>
        <v/>
      </c>
      <c r="Q4438" s="82" t="str">
        <f>IF(AND(B4438='111'!$L$11,OR($N4438=$Q$7,$O4438=$Q$7)),"x","")</f>
        <v>x</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c r="AE4438">
        <v>1</v>
      </c>
    </row>
    <row r="4439" spans="1:31" ht="15.75" customHeight="1">
      <c r="A4439" s="323" t="str">
        <f>IF(B4439&lt;&gt;"",IF(AND(B4439='IN-TC'!$S$4,OR(TH!N4367="1111",TH!O4367="1111")),TH!D4367,""),"")</f>
        <v/>
      </c>
      <c r="B4439" s="63">
        <f t="shared" si="287"/>
        <v>12</v>
      </c>
      <c r="C4439" s="64">
        <v>42719</v>
      </c>
      <c r="D4439" s="64" t="s">
        <v>949</v>
      </c>
      <c r="E4439" s="64">
        <f t="shared" si="288"/>
        <v>42719</v>
      </c>
      <c r="F4439" s="72" t="s">
        <v>2031</v>
      </c>
      <c r="G4439" s="931" t="s">
        <v>2620</v>
      </c>
      <c r="H4439" s="72" t="s">
        <v>792</v>
      </c>
      <c r="I4439" s="408"/>
      <c r="J4439" s="408"/>
      <c r="K4439" s="399"/>
      <c r="L4439" s="408"/>
      <c r="M4439" s="65">
        <v>145166</v>
      </c>
      <c r="N4439" s="66" t="s">
        <v>9</v>
      </c>
      <c r="O4439" s="66" t="s">
        <v>61</v>
      </c>
      <c r="P4439" s="82" t="str">
        <f>IF(AND('331-CT'!$E$7=TH!H4439,OR(N4439="331",O4439="331")),"x","")</f>
        <v/>
      </c>
      <c r="Q4439" s="82" t="str">
        <f>IF(AND(B4439='111'!$L$11,OR($N4439=$Q$7,$O4439=$Q$7)),"x","")</f>
        <v>x</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x</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c r="AE4439">
        <v>1</v>
      </c>
    </row>
    <row r="4440" spans="1:31" ht="15.75" customHeight="1">
      <c r="A4440" s="1160" t="str">
        <f>IF(B4440&lt;&gt;"",IF(AND(B4440='IN-TC'!$S$4,OR(TH!N1075="1111",TH!O1075="1111")),TH!D1075,""),"")</f>
        <v/>
      </c>
      <c r="B4440" s="948">
        <f t="shared" si="287"/>
        <v>12</v>
      </c>
      <c r="C4440" s="78">
        <v>42728</v>
      </c>
      <c r="D4440" s="78" t="s">
        <v>2778</v>
      </c>
      <c r="E4440" s="78">
        <f t="shared" si="288"/>
        <v>42728</v>
      </c>
      <c r="F4440" s="80" t="s">
        <v>637</v>
      </c>
      <c r="G4440" s="934" t="s">
        <v>2758</v>
      </c>
      <c r="H4440" s="310" t="s">
        <v>2511</v>
      </c>
      <c r="I4440" s="406"/>
      <c r="J4440" s="406"/>
      <c r="K4440" s="397"/>
      <c r="L4440" s="406"/>
      <c r="M4440" s="81">
        <v>1800000</v>
      </c>
      <c r="N4440" s="82" t="s">
        <v>9</v>
      </c>
      <c r="O4440" s="82" t="s">
        <v>8</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x</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c r="AE4440">
        <v>1</v>
      </c>
    </row>
    <row r="4441" spans="1:31" ht="15.75" customHeight="1">
      <c r="A4441" s="1160" t="str">
        <f>IF(B4441&lt;&gt;"",IF(AND(B4441='IN-TC'!$S$4,OR(TH!N1067="1111",TH!O1067="1111")),TH!D1067,""),"")</f>
        <v/>
      </c>
      <c r="B4441" s="948">
        <f t="shared" si="287"/>
        <v>12</v>
      </c>
      <c r="C4441" s="78">
        <v>42726</v>
      </c>
      <c r="D4441" s="78" t="s">
        <v>2775</v>
      </c>
      <c r="E4441" s="78">
        <f t="shared" si="288"/>
        <v>42726</v>
      </c>
      <c r="F4441" s="80" t="s">
        <v>637</v>
      </c>
      <c r="G4441" s="934" t="s">
        <v>2757</v>
      </c>
      <c r="H4441" s="310" t="s">
        <v>2512</v>
      </c>
      <c r="I4441" s="406"/>
      <c r="J4441" s="406"/>
      <c r="K4441" s="397"/>
      <c r="L4441" s="406"/>
      <c r="M4441" s="81">
        <v>1454250</v>
      </c>
      <c r="N4441" s="82" t="s">
        <v>9</v>
      </c>
      <c r="O4441" s="82" t="s">
        <v>8</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x</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c r="AE4441">
        <v>1</v>
      </c>
    </row>
    <row r="4442" spans="1:31" ht="15.75" customHeight="1">
      <c r="A4442" s="323" t="str">
        <f>IF(B4442&lt;&gt;"",IF(AND(B4442='IN-TC'!$S$4,OR(TH!N4370="1111",TH!O4370="1111")),TH!D4370,""),"")</f>
        <v/>
      </c>
      <c r="B4442" s="63">
        <f t="shared" si="287"/>
        <v>12</v>
      </c>
      <c r="C4442" s="1092">
        <v>42719</v>
      </c>
      <c r="D4442" s="1092" t="s">
        <v>952</v>
      </c>
      <c r="E4442" s="1092">
        <f t="shared" si="288"/>
        <v>42719</v>
      </c>
      <c r="F4442" s="482" t="s">
        <v>947</v>
      </c>
      <c r="G4442" s="1094"/>
      <c r="H4442" s="937" t="s">
        <v>3001</v>
      </c>
      <c r="I4442" s="1095"/>
      <c r="J4442" s="1095"/>
      <c r="K4442" s="1096"/>
      <c r="L4442" s="1095"/>
      <c r="M4442" s="1097">
        <v>1200000000</v>
      </c>
      <c r="N4442" s="1098" t="s">
        <v>266</v>
      </c>
      <c r="O4442" s="1098" t="s">
        <v>61</v>
      </c>
      <c r="P4442" s="82" t="str">
        <f>IF(AND('331-CT'!$E$7=TH!H4442,OR(N4442="331",O4442="331")),"x","")</f>
        <v/>
      </c>
      <c r="Q4442" s="82" t="str">
        <f>IF(AND(B4442='111'!$L$11,OR($N4442=$Q$7,$O4442=$Q$7)),"x","")</f>
        <v>x</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1" ht="15.75" customHeight="1">
      <c r="A4443" s="323" t="str">
        <f>IF(B4443&lt;&gt;"",IF(AND(B4443='IN-TC'!$S$4,OR(TH!N4418="1111",TH!O4418="1111")),TH!D4418,""),"")</f>
        <v/>
      </c>
      <c r="B4443" s="63">
        <f t="shared" si="287"/>
        <v>12</v>
      </c>
      <c r="C4443" s="64">
        <v>42728</v>
      </c>
      <c r="D4443" s="64" t="s">
        <v>2951</v>
      </c>
      <c r="E4443" s="64">
        <f t="shared" si="288"/>
        <v>42728</v>
      </c>
      <c r="F4443" s="72" t="s">
        <v>2510</v>
      </c>
      <c r="G4443" s="931" t="s">
        <v>2758</v>
      </c>
      <c r="H4443" s="72" t="s">
        <v>2511</v>
      </c>
      <c r="I4443" s="408"/>
      <c r="J4443" s="408"/>
      <c r="K4443" s="399"/>
      <c r="L4443" s="408"/>
      <c r="M4443" s="65">
        <v>19800000</v>
      </c>
      <c r="N4443" s="66" t="s">
        <v>8</v>
      </c>
      <c r="O4443" s="66" t="s">
        <v>61</v>
      </c>
      <c r="P4443" s="82" t="str">
        <f>IF(AND('331-CT'!$E$7=TH!H4443,OR(N4443="331",O4443="331")),"x","")</f>
        <v/>
      </c>
      <c r="Q4443" s="82" t="str">
        <f>IF(AND(B4443='111'!$L$11,OR($N4443=$Q$7,$O4443=$Q$7)),"x","")</f>
        <v>x</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1" ht="15.75" customHeight="1">
      <c r="A4444" s="323" t="str">
        <f>IF(B4444&lt;&gt;"",IF(AND(B4444='IN-TC'!$S$4,OR(TH!N4410="1111",TH!O4410="1111")),TH!D4410,""),"")</f>
        <v/>
      </c>
      <c r="B4444" s="63">
        <f t="shared" si="287"/>
        <v>12</v>
      </c>
      <c r="C4444" s="64">
        <v>42726</v>
      </c>
      <c r="D4444" s="64" t="s">
        <v>2944</v>
      </c>
      <c r="E4444" s="64">
        <f t="shared" si="288"/>
        <v>42726</v>
      </c>
      <c r="F4444" s="72" t="s">
        <v>2510</v>
      </c>
      <c r="G4444" s="931" t="s">
        <v>2757</v>
      </c>
      <c r="H4444" s="72" t="s">
        <v>2512</v>
      </c>
      <c r="I4444" s="408"/>
      <c r="J4444" s="408"/>
      <c r="K4444" s="399"/>
      <c r="L4444" s="408"/>
      <c r="M4444" s="65">
        <v>15996750</v>
      </c>
      <c r="N4444" s="66" t="s">
        <v>8</v>
      </c>
      <c r="O4444" s="66" t="s">
        <v>61</v>
      </c>
      <c r="P4444" s="82" t="str">
        <f>IF(AND('331-CT'!$E$7=TH!H4444,OR(N4444="331",O4444="331")),"x","")</f>
        <v/>
      </c>
      <c r="Q4444" s="82" t="str">
        <f>IF(AND(B4444='111'!$L$11,OR($N4444=$Q$7,$O4444=$Q$7)),"x","")</f>
        <v>x</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1" ht="15.75" customHeight="1">
      <c r="A4445" s="323" t="str">
        <f>IF(B4445&lt;&gt;"",IF(AND(B4445='IN-TC'!$S$4,OR(TH!N4374="1111",TH!O4374="1111")),TH!D4374,""),"")</f>
        <v/>
      </c>
      <c r="B4445" s="63">
        <f t="shared" si="287"/>
        <v>12</v>
      </c>
      <c r="C4445" s="64">
        <v>42720</v>
      </c>
      <c r="D4445" s="64" t="s">
        <v>2217</v>
      </c>
      <c r="E4445" s="64">
        <f t="shared" si="288"/>
        <v>42720</v>
      </c>
      <c r="F4445" s="72" t="s">
        <v>2807</v>
      </c>
      <c r="G4445" s="931"/>
      <c r="H4445" s="72" t="s">
        <v>2809</v>
      </c>
      <c r="I4445" s="408"/>
      <c r="J4445" s="408"/>
      <c r="K4445" s="399"/>
      <c r="L4445" s="408"/>
      <c r="M4445" s="65">
        <v>11090909</v>
      </c>
      <c r="N4445" s="66" t="s">
        <v>99</v>
      </c>
      <c r="O4445" s="66" t="s">
        <v>61</v>
      </c>
      <c r="P4445" s="82" t="str">
        <f>IF(AND('331-CT'!$E$7=TH!H4445,OR(N4445="331",O4445="331")),"x","")</f>
        <v/>
      </c>
      <c r="Q4445" s="82" t="str">
        <f>IF(AND(B4445='111'!$L$11,OR($N4445=$Q$7,$O4445=$Q$7)),"x","")</f>
        <v>x</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customHeight="1">
      <c r="A4446" s="323" t="str">
        <f>IF(B4446&lt;&gt;"",IF(AND(B4446='IN-TC'!$S$4,OR(TH!N4375="1111",TH!O4375="1111")),TH!D4375,""),"")</f>
        <v/>
      </c>
      <c r="B4446" s="63">
        <f t="shared" si="287"/>
        <v>12</v>
      </c>
      <c r="C4446" s="64">
        <v>42720</v>
      </c>
      <c r="D4446" s="64" t="s">
        <v>2217</v>
      </c>
      <c r="E4446" s="64">
        <f t="shared" si="288"/>
        <v>42720</v>
      </c>
      <c r="F4446" s="72" t="s">
        <v>2808</v>
      </c>
      <c r="G4446" s="931"/>
      <c r="H4446" s="72" t="s">
        <v>2809</v>
      </c>
      <c r="I4446" s="408"/>
      <c r="J4446" s="408"/>
      <c r="K4446" s="399"/>
      <c r="L4446" s="408"/>
      <c r="M4446" s="65">
        <v>1109091</v>
      </c>
      <c r="N4446" s="66" t="s">
        <v>9</v>
      </c>
      <c r="O4446" s="66" t="s">
        <v>61</v>
      </c>
      <c r="P4446" s="82" t="str">
        <f>IF(AND('331-CT'!$E$7=TH!H4446,OR(N4446="331",O4446="331")),"x","")</f>
        <v/>
      </c>
      <c r="Q4446" s="82" t="str">
        <f>IF(AND(B4446='111'!$L$11,OR($N4446=$Q$7,$O4446=$Q$7)),"x","")</f>
        <v>x</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x</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customHeight="1">
      <c r="A4447" s="323" t="str">
        <f>IF(B4447&lt;&gt;"",IF(AND(B4447='IN-TC'!$S$4,OR(TH!N4376="1111",TH!O4376="1111")),TH!D4376,""),"")</f>
        <v/>
      </c>
      <c r="B4447" s="63">
        <f t="shared" si="287"/>
        <v>12</v>
      </c>
      <c r="C4447" s="1092">
        <v>42720</v>
      </c>
      <c r="D4447" s="1092" t="s">
        <v>2218</v>
      </c>
      <c r="E4447" s="1092">
        <f t="shared" si="288"/>
        <v>42720</v>
      </c>
      <c r="F4447" s="482" t="s">
        <v>947</v>
      </c>
      <c r="G4447" s="1094"/>
      <c r="H4447" s="937" t="s">
        <v>3001</v>
      </c>
      <c r="I4447" s="1095"/>
      <c r="J4447" s="1095"/>
      <c r="K4447" s="1096"/>
      <c r="L4447" s="1095"/>
      <c r="M4447" s="1097">
        <v>1000000000</v>
      </c>
      <c r="N4447" s="1098" t="s">
        <v>266</v>
      </c>
      <c r="O4447" s="1098" t="s">
        <v>61</v>
      </c>
      <c r="P4447" s="82" t="str">
        <f>IF(AND('331-CT'!$E$7=TH!H4447,OR(N4447="331",O4447="331")),"x","")</f>
        <v/>
      </c>
      <c r="Q4447" s="82" t="str">
        <f>IF(AND(B4447='111'!$L$11,OR($N4447=$Q$7,$O4447=$Q$7)),"x","")</f>
        <v>x</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1" ht="15.75" customHeight="1">
      <c r="A4448" s="323" t="str">
        <f>IF(B4448&lt;&gt;"",IF(AND(B4448='IN-TC'!$S$4,OR(TH!N4616="1111",TH!O4616="1111")),TH!D4616,""),"")</f>
        <v/>
      </c>
      <c r="B4448" s="63">
        <f t="shared" si="287"/>
        <v>12</v>
      </c>
      <c r="C4448" s="64">
        <v>42720</v>
      </c>
      <c r="D4448" s="64" t="s">
        <v>687</v>
      </c>
      <c r="E4448" s="64">
        <f t="shared" si="288"/>
        <v>42720</v>
      </c>
      <c r="F4448" s="72" t="s">
        <v>2788</v>
      </c>
      <c r="G4448" s="67" t="s">
        <v>1544</v>
      </c>
      <c r="H4448" s="845" t="s">
        <v>586</v>
      </c>
      <c r="I4448" s="408"/>
      <c r="J4448" s="408"/>
      <c r="K4448" s="399">
        <v>41600</v>
      </c>
      <c r="L4448" s="408">
        <v>22720</v>
      </c>
      <c r="M4448" s="65">
        <f>K4448*L4448</f>
        <v>945152000</v>
      </c>
      <c r="N4448" s="66" t="s">
        <v>260</v>
      </c>
      <c r="O4448" s="66" t="s">
        <v>576</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1" ht="15.75" customHeight="1">
      <c r="A4449" s="323" t="str">
        <f>IF(B4449&lt;&gt;"",IF(AND(B4449='IN-TC'!$S$4,OR(TH!N4617="1111",TH!O4617="1111")),TH!D4617,""),"")</f>
        <v/>
      </c>
      <c r="B4449" s="63">
        <f t="shared" si="287"/>
        <v>12</v>
      </c>
      <c r="C4449" s="64">
        <v>42720</v>
      </c>
      <c r="D4449" s="64" t="s">
        <v>570</v>
      </c>
      <c r="E4449" s="64">
        <f t="shared" si="288"/>
        <v>42720</v>
      </c>
      <c r="F4449" s="72" t="s">
        <v>1968</v>
      </c>
      <c r="G4449" s="67" t="s">
        <v>1544</v>
      </c>
      <c r="H4449" s="845" t="s">
        <v>586</v>
      </c>
      <c r="I4449" s="408"/>
      <c r="J4449" s="408"/>
      <c r="K4449" s="399">
        <v>160</v>
      </c>
      <c r="L4449" s="408">
        <v>22720</v>
      </c>
      <c r="M4449" s="65">
        <f>K4449*L4449</f>
        <v>3635200</v>
      </c>
      <c r="N4449" s="66" t="s">
        <v>99</v>
      </c>
      <c r="O4449" s="66" t="s">
        <v>576</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c r="AE4449">
        <v>1</v>
      </c>
    </row>
    <row r="4450" spans="1:31" ht="15.75" customHeight="1">
      <c r="A4450" s="323" t="str">
        <f>IF(B4450&lt;&gt;"",IF(AND(B4450='IN-TC'!$S$4,OR(TH!N4618="1111",TH!O4618="1111")),TH!D4618,""),"")</f>
        <v/>
      </c>
      <c r="B4450" s="63">
        <f t="shared" si="287"/>
        <v>12</v>
      </c>
      <c r="C4450" s="64">
        <v>42720</v>
      </c>
      <c r="D4450" s="64" t="s">
        <v>570</v>
      </c>
      <c r="E4450" s="64">
        <f t="shared" si="288"/>
        <v>42720</v>
      </c>
      <c r="F4450" s="72" t="s">
        <v>1049</v>
      </c>
      <c r="G4450" s="67" t="s">
        <v>1544</v>
      </c>
      <c r="H4450" s="845" t="s">
        <v>586</v>
      </c>
      <c r="I4450" s="408"/>
      <c r="J4450" s="408"/>
      <c r="K4450" s="399"/>
      <c r="L4450" s="408"/>
      <c r="M4450" s="65">
        <v>1670400</v>
      </c>
      <c r="N4450" s="66" t="s">
        <v>576</v>
      </c>
      <c r="O4450" s="66" t="s">
        <v>41</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customHeight="1">
      <c r="A4451" s="323" t="str">
        <f>IF(B4451&lt;&gt;"",IF(AND(B4451='IN-TC'!$S$4,OR(TH!N4621="1111",TH!O4621="1111")),TH!D4621,""),"")</f>
        <v/>
      </c>
      <c r="B4451" s="63">
        <f t="shared" si="287"/>
        <v>12</v>
      </c>
      <c r="C4451" s="64">
        <v>42720</v>
      </c>
      <c r="D4451" s="64" t="s">
        <v>570</v>
      </c>
      <c r="E4451" s="64">
        <f t="shared" si="288"/>
        <v>42720</v>
      </c>
      <c r="F4451" s="72" t="s">
        <v>1049</v>
      </c>
      <c r="G4451" s="67" t="s">
        <v>1544</v>
      </c>
      <c r="H4451" s="72" t="s">
        <v>2171</v>
      </c>
      <c r="I4451" s="408"/>
      <c r="J4451" s="408"/>
      <c r="K4451" s="399"/>
      <c r="L4451" s="408"/>
      <c r="M4451" s="65">
        <v>13760800</v>
      </c>
      <c r="N4451" s="66" t="s">
        <v>97</v>
      </c>
      <c r="O4451" s="66" t="s">
        <v>254</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customHeight="1">
      <c r="A4452" s="323" t="str">
        <f>IF(B4452&lt;&gt;"",IF(AND(B4452='IN-TC'!$S$4,OR(TH!N4593="1111",TH!O4593="1111")),TH!D4593,""),"")</f>
        <v/>
      </c>
      <c r="B4452" s="63">
        <f t="shared" si="287"/>
        <v>12</v>
      </c>
      <c r="C4452" s="64">
        <v>42720</v>
      </c>
      <c r="D4452" s="64" t="s">
        <v>687</v>
      </c>
      <c r="E4452" s="64">
        <f t="shared" si="288"/>
        <v>42720</v>
      </c>
      <c r="F4452" s="72" t="s">
        <v>1425</v>
      </c>
      <c r="G4452" s="67" t="s">
        <v>1544</v>
      </c>
      <c r="H4452" s="72" t="s">
        <v>1780</v>
      </c>
      <c r="I4452" s="408"/>
      <c r="J4452" s="408"/>
      <c r="K4452" s="399">
        <v>8300</v>
      </c>
      <c r="L4452" s="408">
        <v>22690</v>
      </c>
      <c r="M4452" s="65">
        <f>K4452*L4452</f>
        <v>188327000</v>
      </c>
      <c r="N4452" s="66" t="s">
        <v>25</v>
      </c>
      <c r="O4452" s="66" t="s">
        <v>260</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x</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customHeight="1">
      <c r="A4453" s="323" t="str">
        <f>IF(B4453&lt;&gt;"",IF(AND(B4453='IN-TC'!$S$4,OR(TH!N4591="1111",TH!O4591="1111")),TH!D4591,""),"")</f>
        <v/>
      </c>
      <c r="B4453" s="63">
        <f t="shared" si="287"/>
        <v>12</v>
      </c>
      <c r="C4453" s="64">
        <v>42720</v>
      </c>
      <c r="D4453" s="64" t="s">
        <v>690</v>
      </c>
      <c r="E4453" s="64">
        <f t="shared" si="288"/>
        <v>42720</v>
      </c>
      <c r="F4453" s="72" t="s">
        <v>2902</v>
      </c>
      <c r="G4453" s="67" t="s">
        <v>1544</v>
      </c>
      <c r="H4453" s="72" t="s">
        <v>1780</v>
      </c>
      <c r="I4453" s="408"/>
      <c r="J4453" s="408"/>
      <c r="K4453" s="399"/>
      <c r="L4453" s="408"/>
      <c r="M4453" s="65">
        <v>1255957</v>
      </c>
      <c r="N4453" s="66" t="s">
        <v>99</v>
      </c>
      <c r="O4453" s="66" t="s">
        <v>25</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x</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c r="AE4453">
        <v>1</v>
      </c>
    </row>
    <row r="4454" spans="1:31" ht="15.75" customHeight="1">
      <c r="A4454" s="323" t="str">
        <f>IF(B4454&lt;&gt;"",IF(AND(B4454='IN-TC'!$S$4,OR(TH!N4592="1111",TH!O4592="1111")),TH!D4592,""),"")</f>
        <v/>
      </c>
      <c r="B4454" s="63">
        <f t="shared" si="287"/>
        <v>12</v>
      </c>
      <c r="C4454" s="64">
        <v>42720</v>
      </c>
      <c r="D4454" s="64" t="s">
        <v>690</v>
      </c>
      <c r="E4454" s="64">
        <f t="shared" si="288"/>
        <v>42720</v>
      </c>
      <c r="F4454" s="72" t="s">
        <v>2903</v>
      </c>
      <c r="G4454" s="67" t="s">
        <v>1544</v>
      </c>
      <c r="H4454" s="72" t="s">
        <v>1780</v>
      </c>
      <c r="I4454" s="408"/>
      <c r="J4454" s="408"/>
      <c r="K4454" s="399"/>
      <c r="L4454" s="408"/>
      <c r="M4454" s="65">
        <v>125596</v>
      </c>
      <c r="N4454" s="66" t="s">
        <v>9</v>
      </c>
      <c r="O4454" s="66" t="s">
        <v>25</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x</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x</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c r="AE4454">
        <v>1</v>
      </c>
    </row>
    <row r="4455" spans="1:31" ht="15.75" customHeight="1">
      <c r="A4455" s="323" t="str">
        <f>IF(B4455&lt;&gt;"",IF(AND(B4455='IN-TC'!$S$4,OR(TH!N4619="1111",TH!O4619="1111")),TH!D4619,""),"")</f>
        <v/>
      </c>
      <c r="B4455" s="63">
        <f t="shared" si="287"/>
        <v>12</v>
      </c>
      <c r="C4455" s="64">
        <v>42720</v>
      </c>
      <c r="D4455" s="64" t="s">
        <v>690</v>
      </c>
      <c r="E4455" s="64">
        <f t="shared" si="288"/>
        <v>42720</v>
      </c>
      <c r="F4455" s="72" t="s">
        <v>2994</v>
      </c>
      <c r="G4455" s="67" t="s">
        <v>1544</v>
      </c>
      <c r="H4455" s="72" t="s">
        <v>2171</v>
      </c>
      <c r="I4455" s="408"/>
      <c r="J4455" s="408"/>
      <c r="K4455" s="399">
        <v>33400</v>
      </c>
      <c r="L4455" s="408">
        <v>22720</v>
      </c>
      <c r="M4455" s="65">
        <f>K4455*L4455</f>
        <v>758848000</v>
      </c>
      <c r="N4455" s="66" t="s">
        <v>254</v>
      </c>
      <c r="O4455" s="66" t="s">
        <v>260</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customHeight="1">
      <c r="A4456" s="323" t="str">
        <f>IF(B4456&lt;&gt;"",IF(AND(B4456='IN-TC'!$S$4,OR(TH!N4620="1111",TH!O4620="1111")),TH!D4620,""),"")</f>
        <v/>
      </c>
      <c r="B4456" s="63">
        <f t="shared" si="287"/>
        <v>12</v>
      </c>
      <c r="C4456" s="64">
        <v>42720</v>
      </c>
      <c r="D4456" s="64" t="s">
        <v>690</v>
      </c>
      <c r="E4456" s="64">
        <f t="shared" si="288"/>
        <v>42720</v>
      </c>
      <c r="F4456" s="72" t="s">
        <v>2533</v>
      </c>
      <c r="G4456" s="67" t="s">
        <v>1544</v>
      </c>
      <c r="H4456" s="72" t="s">
        <v>2171</v>
      </c>
      <c r="I4456" s="408"/>
      <c r="J4456" s="408"/>
      <c r="K4456" s="399">
        <v>66.8</v>
      </c>
      <c r="L4456" s="408">
        <v>22720</v>
      </c>
      <c r="M4456" s="65">
        <f>K4456*L4456</f>
        <v>1517696</v>
      </c>
      <c r="N4456" s="66" t="s">
        <v>97</v>
      </c>
      <c r="O4456" s="66" t="s">
        <v>260</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customHeight="1">
      <c r="A4457" s="323" t="str">
        <f>IF(B4457&lt;&gt;"",IF(AND(B4457='IN-TC'!$S$4,OR(TH!N4371="1111",TH!O4371="1111")),TH!D4371,""),"")</f>
        <v/>
      </c>
      <c r="B4457" s="63">
        <f t="shared" si="287"/>
        <v>12</v>
      </c>
      <c r="C4457" s="64">
        <v>42720</v>
      </c>
      <c r="D4457" s="64" t="s">
        <v>2590</v>
      </c>
      <c r="E4457" s="64">
        <f t="shared" si="288"/>
        <v>42720</v>
      </c>
      <c r="F4457" s="72" t="s">
        <v>1126</v>
      </c>
      <c r="G4457" s="67" t="s">
        <v>1544</v>
      </c>
      <c r="H4457" s="72" t="s">
        <v>1399</v>
      </c>
      <c r="I4457" s="408"/>
      <c r="J4457" s="408"/>
      <c r="K4457" s="399"/>
      <c r="L4457" s="408"/>
      <c r="M4457" s="65">
        <v>240000000</v>
      </c>
      <c r="N4457" s="66" t="s">
        <v>61</v>
      </c>
      <c r="O4457" s="66" t="s">
        <v>25</v>
      </c>
      <c r="P4457" s="82" t="str">
        <f>IF(AND('331-CT'!$E$7=TH!H4457,OR(N4457="331",O4457="331")),"x","")</f>
        <v/>
      </c>
      <c r="Q4457" s="82" t="str">
        <f>IF(AND(B4457='111'!$L$11,OR($N4457=$Q$7,$O4457=$Q$7)),"x","")</f>
        <v>x</v>
      </c>
      <c r="R4457" s="82" t="str">
        <f>IF(AND($N4457=$Q$7,$B4457&lt;'111'!$L$11),"x","")</f>
        <v/>
      </c>
      <c r="S4457" s="82" t="str">
        <f>IF(AND($O4457=$Q$7,$B4457&lt;'111'!$L$11),"x","")</f>
        <v/>
      </c>
      <c r="T4457" s="82" t="str">
        <f>IF(ISERROR(FIND('112'!$M$9,G4457,1)),"",IF((AND(FIND('112'!$M$9,G4457,1)&gt;=1,B4457='112'!$K$9,OR($N4457='112'!$I$6,$O4457='112'!$I$6))),"x",""))</f>
        <v>x</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customHeight="1">
      <c r="A4458" s="1160" t="str">
        <f>IF(B4458&lt;&gt;"",IF(AND(B4458='IN-TC'!$S$4,OR(TH!N1090="1111",TH!O1090="1111")),TH!D1090,""),"")</f>
        <v/>
      </c>
      <c r="B4458" s="948">
        <f t="shared" si="287"/>
        <v>12</v>
      </c>
      <c r="C4458" s="78">
        <v>42729</v>
      </c>
      <c r="D4458" s="78" t="s">
        <v>2890</v>
      </c>
      <c r="E4458" s="78">
        <f t="shared" si="288"/>
        <v>42729</v>
      </c>
      <c r="F4458" s="80" t="s">
        <v>2495</v>
      </c>
      <c r="G4458" s="934" t="s">
        <v>2760</v>
      </c>
      <c r="H4458" s="310" t="s">
        <v>2511</v>
      </c>
      <c r="I4458" s="406">
        <v>2400</v>
      </c>
      <c r="J4458" s="406">
        <v>7500</v>
      </c>
      <c r="K4458" s="397"/>
      <c r="L4458" s="406"/>
      <c r="M4458" s="81">
        <f>ROUND(I4458*J4458,0)</f>
        <v>18000000</v>
      </c>
      <c r="N4458" s="82" t="s">
        <v>270</v>
      </c>
      <c r="O4458" s="82" t="s">
        <v>8</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x</v>
      </c>
      <c r="AC4458" s="82" t="str">
        <f>IF(AND(OR(LEFT(TH!N4458,2)="15",LEFT(TH!O4458,2)="15"),TK!$E$7=TH!F4458),"x","")</f>
        <v/>
      </c>
      <c r="AD4458" s="82" t="str">
        <f>IF(AND(N4458="1521",MONTH(C4458)='BK-NL'!$M$11),"x","")</f>
        <v/>
      </c>
      <c r="AE4458">
        <v>1</v>
      </c>
    </row>
    <row r="4459" spans="1:31" ht="15.75" customHeight="1">
      <c r="A4459" s="1160" t="str">
        <f>IF(B4459&lt;&gt;"",IF(AND(B4459='IN-TC'!$S$4,OR(TH!N1076="1111",TH!O1076="1111")),TH!D1076,""),"")</f>
        <v/>
      </c>
      <c r="B4459" s="948">
        <f t="shared" si="287"/>
        <v>12</v>
      </c>
      <c r="C4459" s="78">
        <v>42728</v>
      </c>
      <c r="D4459" s="78" t="s">
        <v>2779</v>
      </c>
      <c r="E4459" s="78">
        <f t="shared" si="288"/>
        <v>42728</v>
      </c>
      <c r="F4459" s="80" t="s">
        <v>2495</v>
      </c>
      <c r="G4459" s="934" t="s">
        <v>2759</v>
      </c>
      <c r="H4459" s="310" t="s">
        <v>2512</v>
      </c>
      <c r="I4459" s="406">
        <v>2400</v>
      </c>
      <c r="J4459" s="406">
        <v>7500</v>
      </c>
      <c r="K4459" s="397"/>
      <c r="L4459" s="406"/>
      <c r="M4459" s="81">
        <f>ROUND(I4459*J4459,0)</f>
        <v>18000000</v>
      </c>
      <c r="N4459" s="82" t="s">
        <v>270</v>
      </c>
      <c r="O4459" s="82" t="s">
        <v>8</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x</v>
      </c>
      <c r="AC4459" s="82" t="str">
        <f>IF(AND(OR(LEFT(TH!N4459,2)="15",LEFT(TH!O4459,2)="15"),TK!$E$7=TH!F4459),"x","")</f>
        <v/>
      </c>
      <c r="AD4459" s="82" t="str">
        <f>IF(AND(N4459="1521",MONTH(C4459)='BK-NL'!$M$11),"x","")</f>
        <v/>
      </c>
      <c r="AE4459">
        <v>1</v>
      </c>
    </row>
    <row r="4460" spans="1:31" ht="15.75" customHeight="1">
      <c r="A4460" s="323" t="str">
        <f>IF(B4460&lt;&gt;"",IF(AND(B4460='IN-TC'!$S$4,OR(TH!N4379="1111",TH!O4379="1111")),TH!D4379,""),"")</f>
        <v/>
      </c>
      <c r="B4460" s="63">
        <f t="shared" si="287"/>
        <v>12</v>
      </c>
      <c r="C4460" s="1092">
        <v>42721</v>
      </c>
      <c r="D4460" s="1092" t="s">
        <v>2221</v>
      </c>
      <c r="E4460" s="1092">
        <f t="shared" si="288"/>
        <v>42721</v>
      </c>
      <c r="F4460" s="482" t="s">
        <v>947</v>
      </c>
      <c r="G4460" s="1094"/>
      <c r="H4460" s="937" t="s">
        <v>3001</v>
      </c>
      <c r="I4460" s="1095"/>
      <c r="J4460" s="1095"/>
      <c r="K4460" s="1096"/>
      <c r="L4460" s="1095"/>
      <c r="M4460" s="1097">
        <v>800000000</v>
      </c>
      <c r="N4460" s="1098" t="s">
        <v>266</v>
      </c>
      <c r="O4460" s="1098" t="s">
        <v>61</v>
      </c>
      <c r="P4460" s="82" t="str">
        <f>IF(AND('331-CT'!$E$7=TH!H4460,OR(N4460="331",O4460="331")),"x","")</f>
        <v/>
      </c>
      <c r="Q4460" s="82" t="str">
        <f>IF(AND(B4460='111'!$L$11,OR($N4460=$Q$7,$O4460=$Q$7)),"x","")</f>
        <v>x</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customHeight="1">
      <c r="A4461" s="323" t="str">
        <f>IF(B4461&lt;&gt;"",IF(AND(B4461='IN-TC'!$S$4,OR(TH!N4536="1111",TH!O4536="1111")),TH!D4536,""),"")</f>
        <v/>
      </c>
      <c r="B4461" s="63">
        <f t="shared" si="287"/>
        <v>12</v>
      </c>
      <c r="C4461" s="64">
        <v>42723</v>
      </c>
      <c r="D4461" s="64" t="s">
        <v>690</v>
      </c>
      <c r="E4461" s="64">
        <f t="shared" ref="E4461:E4477" si="289">C4461</f>
        <v>42723</v>
      </c>
      <c r="F4461" s="72" t="s">
        <v>2897</v>
      </c>
      <c r="G4461" s="67" t="s">
        <v>901</v>
      </c>
      <c r="H4461" s="72" t="s">
        <v>1887</v>
      </c>
      <c r="I4461" s="408"/>
      <c r="J4461" s="408"/>
      <c r="K4461" s="399">
        <v>100</v>
      </c>
      <c r="L4461" s="408">
        <v>22720</v>
      </c>
      <c r="M4461" s="65">
        <f>K4461*L4461</f>
        <v>2272000</v>
      </c>
      <c r="N4461" s="66" t="s">
        <v>99</v>
      </c>
      <c r="O4461" s="66" t="s">
        <v>576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c r="AE4461">
        <v>1</v>
      </c>
    </row>
    <row r="4462" spans="1:31" ht="15.75" customHeight="1">
      <c r="A4462" s="323" t="str">
        <f>IF(B4462&lt;&gt;"",IF(AND(B4462='IN-TC'!$S$4,OR(TH!N4535="1111",TH!O4535="1111")),TH!D4535,""),"")</f>
        <v/>
      </c>
      <c r="B4462" s="63">
        <f t="shared" ref="B4462:B4525" si="290">IF(C4462&lt;&gt;"",MONTH(C4462),"")</f>
        <v>12</v>
      </c>
      <c r="C4462" s="64">
        <v>42723</v>
      </c>
      <c r="D4462" s="64" t="s">
        <v>687</v>
      </c>
      <c r="E4462" s="64">
        <f t="shared" si="289"/>
        <v>42723</v>
      </c>
      <c r="F4462" s="72" t="s">
        <v>1436</v>
      </c>
      <c r="G4462" s="67" t="s">
        <v>901</v>
      </c>
      <c r="H4462" s="72" t="s">
        <v>1887</v>
      </c>
      <c r="I4462" s="408"/>
      <c r="J4462" s="408"/>
      <c r="K4462" s="399">
        <v>281723</v>
      </c>
      <c r="L4462" s="408">
        <v>22720</v>
      </c>
      <c r="M4462" s="65">
        <f>K4462*L4462</f>
        <v>6400746560</v>
      </c>
      <c r="N4462" s="66" t="s">
        <v>260</v>
      </c>
      <c r="O4462" s="66" t="s">
        <v>576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1" ht="15.75" customHeight="1">
      <c r="A4463" s="323" t="str">
        <f>IF(B4463&lt;&gt;"",IF(AND(B4463='IN-TC'!$S$4,OR(TH!N4538="1111",TH!O4538="1111")),TH!D4538,""),"")</f>
        <v/>
      </c>
      <c r="B4463" s="63">
        <f t="shared" si="290"/>
        <v>12</v>
      </c>
      <c r="C4463" s="64">
        <v>42723</v>
      </c>
      <c r="D4463" s="64" t="s">
        <v>570</v>
      </c>
      <c r="E4463" s="64">
        <f t="shared" si="289"/>
        <v>42723</v>
      </c>
      <c r="F4463" s="72" t="s">
        <v>1968</v>
      </c>
      <c r="G4463" s="67" t="s">
        <v>901</v>
      </c>
      <c r="H4463" s="72" t="s">
        <v>1887</v>
      </c>
      <c r="I4463" s="408"/>
      <c r="J4463" s="408"/>
      <c r="K4463" s="399">
        <v>7</v>
      </c>
      <c r="L4463" s="408">
        <v>22720</v>
      </c>
      <c r="M4463" s="65">
        <f>K4463*L4463</f>
        <v>159040</v>
      </c>
      <c r="N4463" s="66" t="s">
        <v>99</v>
      </c>
      <c r="O4463" s="66" t="s">
        <v>576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1" ht="15.75" customHeight="1">
      <c r="A4464" s="323" t="str">
        <f>IF(B4464&lt;&gt;"",IF(AND(B4464='IN-TC'!$S$4,OR(TH!N4471="1111",TH!O4471="1111")),TH!D4471,""),"")</f>
        <v/>
      </c>
      <c r="B4464" s="63">
        <f t="shared" si="290"/>
        <v>12</v>
      </c>
      <c r="C4464" s="64">
        <v>42721</v>
      </c>
      <c r="D4464" s="64" t="s">
        <v>690</v>
      </c>
      <c r="E4464" s="64">
        <f t="shared" si="289"/>
        <v>42721</v>
      </c>
      <c r="F4464" s="72" t="s">
        <v>1633</v>
      </c>
      <c r="G4464" s="67" t="s">
        <v>901</v>
      </c>
      <c r="H4464" s="72" t="s">
        <v>2048</v>
      </c>
      <c r="I4464" s="408"/>
      <c r="J4464" s="408"/>
      <c r="K4464" s="399"/>
      <c r="L4464" s="408"/>
      <c r="M4464" s="65">
        <v>50000</v>
      </c>
      <c r="N4464" s="66" t="s">
        <v>99</v>
      </c>
      <c r="O4464" s="66" t="s">
        <v>25</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c r="AE4464">
        <v>1</v>
      </c>
    </row>
    <row r="4465" spans="1:31" ht="15.75" customHeight="1">
      <c r="A4465" s="323" t="str">
        <f>IF(B4465&lt;&gt;"",IF(AND(B4465='IN-TC'!$S$4,OR(TH!N4472="1111",TH!O4472="1111")),TH!D4472,""),"")</f>
        <v/>
      </c>
      <c r="B4465" s="63">
        <f t="shared" si="290"/>
        <v>12</v>
      </c>
      <c r="C4465" s="64">
        <v>42721</v>
      </c>
      <c r="D4465" s="64" t="s">
        <v>690</v>
      </c>
      <c r="E4465" s="64">
        <f t="shared" si="289"/>
        <v>42721</v>
      </c>
      <c r="F4465" s="72" t="s">
        <v>1634</v>
      </c>
      <c r="G4465" s="67" t="s">
        <v>901</v>
      </c>
      <c r="H4465" s="72" t="s">
        <v>2048</v>
      </c>
      <c r="I4465" s="408"/>
      <c r="J4465" s="408"/>
      <c r="K4465" s="399"/>
      <c r="L4465" s="408"/>
      <c r="M4465" s="65">
        <v>5000</v>
      </c>
      <c r="N4465" s="66" t="s">
        <v>9</v>
      </c>
      <c r="O4465" s="66" t="s">
        <v>25</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x</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customHeight="1">
      <c r="A4466" s="323" t="str">
        <f>IF(B4466&lt;&gt;"",IF(AND(B4466='IN-TC'!$S$4,OR(TH!N4473="1111",TH!O4473="1111")),TH!D4473,""),"")</f>
        <v/>
      </c>
      <c r="B4466" s="63">
        <f t="shared" si="290"/>
        <v>12</v>
      </c>
      <c r="C4466" s="64">
        <v>42721</v>
      </c>
      <c r="D4466" s="64" t="s">
        <v>690</v>
      </c>
      <c r="E4466" s="64">
        <f t="shared" si="289"/>
        <v>42721</v>
      </c>
      <c r="F4466" s="72" t="s">
        <v>1633</v>
      </c>
      <c r="G4466" s="67" t="s">
        <v>901</v>
      </c>
      <c r="H4466" s="72" t="s">
        <v>2048</v>
      </c>
      <c r="I4466" s="408"/>
      <c r="J4466" s="408"/>
      <c r="K4466" s="399"/>
      <c r="L4466" s="408"/>
      <c r="M4466" s="65">
        <v>50000</v>
      </c>
      <c r="N4466" s="66" t="s">
        <v>99</v>
      </c>
      <c r="O4466" s="66" t="s">
        <v>25</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c r="AE4466">
        <v>1</v>
      </c>
    </row>
    <row r="4467" spans="1:31" ht="15.75" customHeight="1">
      <c r="A4467" s="323" t="str">
        <f>IF(B4467&lt;&gt;"",IF(AND(B4467='IN-TC'!$S$4,OR(TH!N4474="1111",TH!O4474="1111")),TH!D4474,""),"")</f>
        <v/>
      </c>
      <c r="B4467" s="63">
        <f t="shared" si="290"/>
        <v>12</v>
      </c>
      <c r="C4467" s="64">
        <v>42721</v>
      </c>
      <c r="D4467" s="64" t="s">
        <v>690</v>
      </c>
      <c r="E4467" s="64">
        <f t="shared" si="289"/>
        <v>42721</v>
      </c>
      <c r="F4467" s="72" t="s">
        <v>1634</v>
      </c>
      <c r="G4467" s="67" t="s">
        <v>901</v>
      </c>
      <c r="H4467" s="72" t="s">
        <v>2048</v>
      </c>
      <c r="I4467" s="408"/>
      <c r="J4467" s="408"/>
      <c r="K4467" s="399"/>
      <c r="L4467" s="408"/>
      <c r="M4467" s="65">
        <v>5000</v>
      </c>
      <c r="N4467" s="66" t="s">
        <v>9</v>
      </c>
      <c r="O4467" s="66" t="s">
        <v>25</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x</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c r="AE4467">
        <v>1</v>
      </c>
    </row>
    <row r="4468" spans="1:31" ht="15.75" customHeight="1">
      <c r="A4468" s="1160" t="str">
        <f>IF(B4468&lt;&gt;"",IF(AND(B4468='IN-TC'!$S$4,OR(TH!N4539="1111",TH!O4539="1111")),TH!D4539,""),"")</f>
        <v/>
      </c>
      <c r="B4468" s="948">
        <f t="shared" si="290"/>
        <v>12</v>
      </c>
      <c r="C4468" s="64">
        <v>42723</v>
      </c>
      <c r="D4468" s="64" t="s">
        <v>570</v>
      </c>
      <c r="E4468" s="78">
        <f t="shared" si="289"/>
        <v>42723</v>
      </c>
      <c r="F4468" s="80" t="s">
        <v>1049</v>
      </c>
      <c r="G4468" s="79" t="s">
        <v>901</v>
      </c>
      <c r="H4468" s="80" t="s">
        <v>1887</v>
      </c>
      <c r="I4468" s="406"/>
      <c r="J4468" s="406"/>
      <c r="K4468" s="397"/>
      <c r="L4468" s="406"/>
      <c r="M4468" s="81">
        <v>11273600</v>
      </c>
      <c r="N4468" s="82" t="s">
        <v>576</v>
      </c>
      <c r="O4468" s="82" t="s">
        <v>41</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1" ht="15.75" customHeight="1">
      <c r="A4469" s="323" t="str">
        <f>IF(B4469&lt;&gt;"",IF(AND(B4469='IN-TC'!$S$4,OR(TH!N4532="1111",TH!O4532="1111")),TH!D4532,""),"")</f>
        <v/>
      </c>
      <c r="B4469" s="63">
        <f t="shared" si="290"/>
        <v>12</v>
      </c>
      <c r="C4469" s="64">
        <v>42721</v>
      </c>
      <c r="D4469" s="64" t="s">
        <v>690</v>
      </c>
      <c r="E4469" s="64">
        <f t="shared" si="289"/>
        <v>42721</v>
      </c>
      <c r="F4469" s="72" t="s">
        <v>2898</v>
      </c>
      <c r="G4469" s="67" t="s">
        <v>901</v>
      </c>
      <c r="H4469" s="72" t="s">
        <v>1887</v>
      </c>
      <c r="I4469" s="408"/>
      <c r="J4469" s="408"/>
      <c r="K4469" s="399">
        <v>10</v>
      </c>
      <c r="L4469" s="408">
        <v>22710</v>
      </c>
      <c r="M4469" s="65">
        <f>K4469*L4469</f>
        <v>227100</v>
      </c>
      <c r="N4469" s="66" t="s">
        <v>9</v>
      </c>
      <c r="O4469" s="66" t="s">
        <v>576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x</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c r="AE4469">
        <v>1</v>
      </c>
    </row>
    <row r="4470" spans="1:31" ht="15.75" customHeight="1">
      <c r="A4470" s="323" t="str">
        <f>IF(B4470&lt;&gt;"",IF(AND(B4470='IN-TC'!$S$4,OR(TH!N4380="1111",TH!O4380="1111")),TH!D4380,""),"")</f>
        <v/>
      </c>
      <c r="B4470" s="63">
        <f t="shared" si="290"/>
        <v>12</v>
      </c>
      <c r="C4470" s="64">
        <v>42722</v>
      </c>
      <c r="D4470" s="64" t="s">
        <v>2923</v>
      </c>
      <c r="E4470" s="64">
        <f t="shared" si="289"/>
        <v>42722</v>
      </c>
      <c r="F4470" s="72" t="s">
        <v>2030</v>
      </c>
      <c r="G4470" s="931" t="s">
        <v>2797</v>
      </c>
      <c r="H4470" s="72" t="s">
        <v>792</v>
      </c>
      <c r="I4470" s="408"/>
      <c r="J4470" s="408"/>
      <c r="K4470" s="399"/>
      <c r="L4470" s="408"/>
      <c r="M4470" s="65">
        <v>2384618</v>
      </c>
      <c r="N4470" s="66" t="s">
        <v>99</v>
      </c>
      <c r="O4470" s="66" t="s">
        <v>61</v>
      </c>
      <c r="P4470" s="82" t="str">
        <f>IF(AND('331-CT'!$E$7=TH!H4470,OR(N4470="331",O4470="331")),"x","")</f>
        <v/>
      </c>
      <c r="Q4470" s="82" t="str">
        <f>IF(AND(B4470='111'!$L$11,OR($N4470=$Q$7,$O4470=$Q$7)),"x","")</f>
        <v>x</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c r="AE4470">
        <v>1</v>
      </c>
    </row>
    <row r="4471" spans="1:31" ht="15.75" customHeight="1">
      <c r="A4471" s="323" t="str">
        <f>IF(B4471&lt;&gt;"",IF(AND(B4471='IN-TC'!$S$4,OR(TH!N4381="1111",TH!O4381="1111")),TH!D4381,""),"")</f>
        <v/>
      </c>
      <c r="B4471" s="63">
        <f t="shared" si="290"/>
        <v>12</v>
      </c>
      <c r="C4471" s="64">
        <v>42722</v>
      </c>
      <c r="D4471" s="64" t="s">
        <v>2923</v>
      </c>
      <c r="E4471" s="64">
        <f t="shared" si="289"/>
        <v>42722</v>
      </c>
      <c r="F4471" s="72" t="s">
        <v>2031</v>
      </c>
      <c r="G4471" s="931" t="s">
        <v>2797</v>
      </c>
      <c r="H4471" s="72" t="s">
        <v>792</v>
      </c>
      <c r="I4471" s="408"/>
      <c r="J4471" s="408"/>
      <c r="K4471" s="399"/>
      <c r="L4471" s="408"/>
      <c r="M4471" s="65">
        <v>238462</v>
      </c>
      <c r="N4471" s="66" t="s">
        <v>9</v>
      </c>
      <c r="O4471" s="66" t="s">
        <v>61</v>
      </c>
      <c r="P4471" s="82" t="str">
        <f>IF(AND('331-CT'!$E$7=TH!H4471,OR(N4471="331",O4471="331")),"x","")</f>
        <v/>
      </c>
      <c r="Q4471" s="82" t="str">
        <f>IF(AND(B4471='111'!$L$11,OR($N4471=$Q$7,$O4471=$Q$7)),"x","")</f>
        <v>x</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x</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customHeight="1">
      <c r="A4472" s="1160" t="str">
        <f>IF(B4472&lt;&gt;"",IF(AND(B4472='IN-TC'!$S$4,OR(TH!N1091="1111",TH!O1091="1111")),TH!D1091,""),"")</f>
        <v/>
      </c>
      <c r="B4472" s="948">
        <f t="shared" si="290"/>
        <v>12</v>
      </c>
      <c r="C4472" s="78">
        <v>42729</v>
      </c>
      <c r="D4472" s="78" t="s">
        <v>2890</v>
      </c>
      <c r="E4472" s="78">
        <f t="shared" si="289"/>
        <v>42729</v>
      </c>
      <c r="F4472" s="80" t="s">
        <v>637</v>
      </c>
      <c r="G4472" s="934" t="s">
        <v>2760</v>
      </c>
      <c r="H4472" s="310" t="s">
        <v>2511</v>
      </c>
      <c r="I4472" s="406"/>
      <c r="J4472" s="406"/>
      <c r="K4472" s="397"/>
      <c r="L4472" s="406"/>
      <c r="M4472" s="81">
        <v>1800000</v>
      </c>
      <c r="N4472" s="82" t="s">
        <v>9</v>
      </c>
      <c r="O4472" s="82" t="s">
        <v>8</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x</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customHeight="1">
      <c r="A4473" s="323" t="str">
        <f>IF(B4473&lt;&gt;"",IF(AND(B4473='IN-TC'!$S$4,OR(TH!N4422="1111",TH!O4422="1111")),TH!D4422,""),"")</f>
        <v/>
      </c>
      <c r="B4473" s="63">
        <f t="shared" si="290"/>
        <v>12</v>
      </c>
      <c r="C4473" s="64">
        <v>42729</v>
      </c>
      <c r="D4473" s="64" t="s">
        <v>2955</v>
      </c>
      <c r="E4473" s="64">
        <f t="shared" si="289"/>
        <v>42729</v>
      </c>
      <c r="F4473" s="72" t="s">
        <v>2510</v>
      </c>
      <c r="G4473" s="931" t="s">
        <v>2760</v>
      </c>
      <c r="H4473" s="72" t="s">
        <v>2511</v>
      </c>
      <c r="I4473" s="408"/>
      <c r="J4473" s="408"/>
      <c r="K4473" s="399"/>
      <c r="L4473" s="408"/>
      <c r="M4473" s="65">
        <v>19800000</v>
      </c>
      <c r="N4473" s="66" t="s">
        <v>8</v>
      </c>
      <c r="O4473" s="66" t="s">
        <v>61</v>
      </c>
      <c r="P4473" s="82" t="str">
        <f>IF(AND('331-CT'!$E$7=TH!H4473,OR(N4473="331",O4473="331")),"x","")</f>
        <v/>
      </c>
      <c r="Q4473" s="82" t="str">
        <f>IF(AND(B4473='111'!$L$11,OR($N4473=$Q$7,$O4473=$Q$7)),"x","")</f>
        <v>x</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1" ht="15.75" customHeight="1">
      <c r="A4474" s="323" t="str">
        <f>IF(B4474&lt;&gt;"",IF(AND(B4474='IN-TC'!$S$4,OR(TH!N4385="1111",TH!O4385="1111")),TH!D4385,""),"")</f>
        <v/>
      </c>
      <c r="B4474" s="63">
        <f t="shared" si="290"/>
        <v>12</v>
      </c>
      <c r="C4474" s="64">
        <v>42723</v>
      </c>
      <c r="D4474" s="64" t="s">
        <v>2926</v>
      </c>
      <c r="E4474" s="64">
        <f t="shared" si="289"/>
        <v>42723</v>
      </c>
      <c r="F4474" s="72" t="s">
        <v>2030</v>
      </c>
      <c r="G4474" s="931" t="s">
        <v>2798</v>
      </c>
      <c r="H4474" s="72" t="s">
        <v>792</v>
      </c>
      <c r="I4474" s="408"/>
      <c r="J4474" s="408"/>
      <c r="K4474" s="399"/>
      <c r="L4474" s="408"/>
      <c r="M4474" s="65">
        <v>552873</v>
      </c>
      <c r="N4474" s="66" t="s">
        <v>99</v>
      </c>
      <c r="O4474" s="66" t="s">
        <v>61</v>
      </c>
      <c r="P4474" s="82" t="str">
        <f>IF(AND('331-CT'!$E$7=TH!H4474,OR(N4474="331",O4474="331")),"x","")</f>
        <v/>
      </c>
      <c r="Q4474" s="82" t="str">
        <f>IF(AND(B4474='111'!$L$11,OR($N4474=$Q$7,$O4474=$Q$7)),"x","")</f>
        <v>x</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c r="AE4474">
        <v>1</v>
      </c>
    </row>
    <row r="4475" spans="1:31" ht="15.75" customHeight="1">
      <c r="A4475" s="323" t="str">
        <f>IF(B4475&lt;&gt;"",IF(AND(B4475='IN-TC'!$S$4,OR(TH!N4386="1111",TH!O4386="1111")),TH!D4386,""),"")</f>
        <v/>
      </c>
      <c r="B4475" s="63">
        <f t="shared" si="290"/>
        <v>12</v>
      </c>
      <c r="C4475" s="64">
        <v>42723</v>
      </c>
      <c r="D4475" s="64" t="s">
        <v>2926</v>
      </c>
      <c r="E4475" s="64">
        <f t="shared" si="289"/>
        <v>42723</v>
      </c>
      <c r="F4475" s="72" t="s">
        <v>2031</v>
      </c>
      <c r="G4475" s="931" t="s">
        <v>2798</v>
      </c>
      <c r="H4475" s="72" t="s">
        <v>792</v>
      </c>
      <c r="I4475" s="408"/>
      <c r="J4475" s="408"/>
      <c r="K4475" s="399"/>
      <c r="L4475" s="408"/>
      <c r="M4475" s="65">
        <v>55287</v>
      </c>
      <c r="N4475" s="66" t="s">
        <v>9</v>
      </c>
      <c r="O4475" s="66" t="s">
        <v>61</v>
      </c>
      <c r="P4475" s="82" t="str">
        <f>IF(AND('331-CT'!$E$7=TH!H4475,OR(N4475="331",O4475="331")),"x","")</f>
        <v/>
      </c>
      <c r="Q4475" s="82" t="str">
        <f>IF(AND(B4475='111'!$L$11,OR($N4475=$Q$7,$O4475=$Q$7)),"x","")</f>
        <v>x</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x</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c r="AE4475">
        <v>1</v>
      </c>
    </row>
    <row r="4476" spans="1:31" ht="15.75" customHeight="1">
      <c r="A4476" s="323" t="str">
        <f>IF(B4476&lt;&gt;"",IF(AND(B4476='IN-TC'!$S$4,OR(TH!N4387="1111",TH!O4387="1111")),TH!D4387,""),"")</f>
        <v/>
      </c>
      <c r="B4476" s="63">
        <f t="shared" si="290"/>
        <v>12</v>
      </c>
      <c r="C4476" s="64">
        <v>42723</v>
      </c>
      <c r="D4476" s="64" t="s">
        <v>2927</v>
      </c>
      <c r="E4476" s="64">
        <f t="shared" si="289"/>
        <v>42723</v>
      </c>
      <c r="F4476" s="72" t="s">
        <v>1625</v>
      </c>
      <c r="G4476" s="931" t="s">
        <v>2574</v>
      </c>
      <c r="H4476" s="7" t="s">
        <v>607</v>
      </c>
      <c r="I4476" s="408"/>
      <c r="J4476" s="408"/>
      <c r="K4476" s="399"/>
      <c r="L4476" s="408"/>
      <c r="M4476" s="65">
        <v>6000000</v>
      </c>
      <c r="N4476" s="66" t="s">
        <v>8</v>
      </c>
      <c r="O4476" s="66" t="s">
        <v>61</v>
      </c>
      <c r="P4476" s="82" t="str">
        <f>IF(AND('331-CT'!$E$7=TH!H4476,OR(N4476="331",O4476="331")),"x","")</f>
        <v/>
      </c>
      <c r="Q4476" s="82" t="str">
        <f>IF(AND(B4476='111'!$L$11,OR($N4476=$Q$7,$O4476=$Q$7)),"x","")</f>
        <v>x</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customHeight="1">
      <c r="A4477" s="323" t="str">
        <f>IF(B4477&lt;&gt;"",IF(AND(B4477='IN-TC'!$S$4,OR(TH!N4388="1111",TH!O4388="1111")),TH!D4388,""),"")</f>
        <v/>
      </c>
      <c r="B4477" s="63">
        <f t="shared" si="290"/>
        <v>12</v>
      </c>
      <c r="C4477" s="1092">
        <v>42723</v>
      </c>
      <c r="D4477" s="1092" t="s">
        <v>2928</v>
      </c>
      <c r="E4477" s="1092">
        <f t="shared" si="289"/>
        <v>42723</v>
      </c>
      <c r="F4477" s="482" t="s">
        <v>947</v>
      </c>
      <c r="G4477" s="1094"/>
      <c r="H4477" s="937" t="s">
        <v>3001</v>
      </c>
      <c r="I4477" s="1095"/>
      <c r="J4477" s="1095"/>
      <c r="K4477" s="1096"/>
      <c r="L4477" s="1095"/>
      <c r="M4477" s="1097">
        <v>1000000000</v>
      </c>
      <c r="N4477" s="1098" t="s">
        <v>266</v>
      </c>
      <c r="O4477" s="1098" t="s">
        <v>61</v>
      </c>
      <c r="P4477" s="82" t="str">
        <f>IF(AND('331-CT'!$E$7=TH!H4477,OR(N4477="331",O4477="331")),"x","")</f>
        <v/>
      </c>
      <c r="Q4477" s="82" t="str">
        <f>IF(AND(B4477='111'!$L$11,OR($N4477=$Q$7,$O4477=$Q$7)),"x","")</f>
        <v>x</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1" ht="15.75" customHeight="1">
      <c r="A4478" s="1170" t="str">
        <f>IF(B4478&lt;&gt;"",IF(AND(B4478='IN-TC'!$S$4,OR(TH!N377="1111",TH!O377="1111")),TH!D377,""),"")</f>
        <v/>
      </c>
      <c r="B4478" s="63">
        <f t="shared" si="290"/>
        <v>12</v>
      </c>
      <c r="C4478" s="90">
        <v>42727</v>
      </c>
      <c r="D4478" s="1087" t="s">
        <v>2676</v>
      </c>
      <c r="E4478" s="90">
        <v>42727</v>
      </c>
      <c r="F4478" s="91" t="s">
        <v>455</v>
      </c>
      <c r="G4478" s="1089" t="s">
        <v>2675</v>
      </c>
      <c r="H4478" s="937" t="s">
        <v>1887</v>
      </c>
      <c r="I4478" s="414">
        <v>131950</v>
      </c>
      <c r="J4478" s="1132">
        <v>2.83</v>
      </c>
      <c r="K4478" s="405">
        <f>I4478*J4478</f>
        <v>373418.5</v>
      </c>
      <c r="L4478" s="414">
        <v>22700</v>
      </c>
      <c r="M4478" s="1133">
        <f>ROUND(K4478*L4478,0)</f>
        <v>8476599950</v>
      </c>
      <c r="N4478" s="1134" t="s">
        <v>576</v>
      </c>
      <c r="O4478" s="1134" t="s">
        <v>292</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1" ht="15.75" customHeight="1">
      <c r="A4479" s="1170" t="str">
        <f>IF(B4479&lt;&gt;"",IF(AND(B4479='IN-TC'!$S$4,OR(TH!N378="1111",TH!O378="1111")),TH!D378,""),"")</f>
        <v/>
      </c>
      <c r="B4479" s="63">
        <f t="shared" si="290"/>
        <v>12</v>
      </c>
      <c r="C4479" s="90">
        <v>42727</v>
      </c>
      <c r="D4479" s="1087" t="s">
        <v>2676</v>
      </c>
      <c r="E4479" s="90">
        <v>42727</v>
      </c>
      <c r="F4479" s="91" t="s">
        <v>455</v>
      </c>
      <c r="G4479" s="1089" t="s">
        <v>2675</v>
      </c>
      <c r="H4479" s="937" t="s">
        <v>1887</v>
      </c>
      <c r="I4479" s="414">
        <v>27146</v>
      </c>
      <c r="J4479" s="1132">
        <v>2.83</v>
      </c>
      <c r="K4479" s="405">
        <f>I4479*J4479</f>
        <v>76823.180000000008</v>
      </c>
      <c r="L4479" s="414">
        <v>22700</v>
      </c>
      <c r="M4479" s="1133">
        <f>ROUND(K4479*L4479,0)</f>
        <v>1743886186</v>
      </c>
      <c r="N4479" s="1134" t="s">
        <v>576</v>
      </c>
      <c r="O4479" s="1134" t="s">
        <v>292</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1" ht="15.75" customHeight="1">
      <c r="A4480" s="323" t="str">
        <f>IF(B4480&lt;&gt;"",IF(AND(B4480='IN-TC'!$S$4,OR(TH!N4475="1111",TH!O4475="1111")),TH!D4475,""),"")</f>
        <v/>
      </c>
      <c r="B4480" s="63">
        <f t="shared" si="290"/>
        <v>12</v>
      </c>
      <c r="C4480" s="64">
        <v>42723</v>
      </c>
      <c r="D4480" s="64" t="s">
        <v>687</v>
      </c>
      <c r="E4480" s="64">
        <f t="shared" ref="E4480:E4504" si="291">C4480</f>
        <v>42723</v>
      </c>
      <c r="F4480" s="72" t="s">
        <v>1425</v>
      </c>
      <c r="G4480" s="67" t="s">
        <v>901</v>
      </c>
      <c r="H4480" s="72" t="s">
        <v>2048</v>
      </c>
      <c r="I4480" s="408"/>
      <c r="J4480" s="408"/>
      <c r="K4480" s="399">
        <v>291000</v>
      </c>
      <c r="L4480" s="408">
        <v>22740</v>
      </c>
      <c r="M4480" s="65">
        <f>K4480*L4480</f>
        <v>6617340000</v>
      </c>
      <c r="N4480" s="66" t="s">
        <v>25</v>
      </c>
      <c r="O4480" s="66" t="s">
        <v>260</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customHeight="1">
      <c r="A4481" s="323" t="str">
        <f>IF(B4481&lt;&gt;"",IF(AND(B4481='IN-TC'!$S$4,OR(TH!N4544="1111",TH!O4544="1111")),TH!D4544,""),"")</f>
        <v/>
      </c>
      <c r="B4481" s="63">
        <f t="shared" si="290"/>
        <v>12</v>
      </c>
      <c r="C4481" s="64">
        <v>42728</v>
      </c>
      <c r="D4481" s="64" t="s">
        <v>690</v>
      </c>
      <c r="E4481" s="64">
        <f t="shared" si="291"/>
        <v>42728</v>
      </c>
      <c r="F4481" s="72" t="s">
        <v>2897</v>
      </c>
      <c r="G4481" s="67" t="s">
        <v>901</v>
      </c>
      <c r="H4481" s="72" t="s">
        <v>1887</v>
      </c>
      <c r="I4481" s="408"/>
      <c r="J4481" s="408"/>
      <c r="K4481" s="399">
        <v>100</v>
      </c>
      <c r="L4481" s="408">
        <v>22720</v>
      </c>
      <c r="M4481" s="65">
        <f>K4481*L4481</f>
        <v>2272000</v>
      </c>
      <c r="N4481" s="66" t="s">
        <v>99</v>
      </c>
      <c r="O4481" s="66" t="s">
        <v>576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c r="AE4481">
        <v>1</v>
      </c>
    </row>
    <row r="4482" spans="1:31" ht="15.75" customHeight="1">
      <c r="A4482" s="1170"/>
      <c r="B4482" s="1199">
        <f t="shared" si="290"/>
        <v>12</v>
      </c>
      <c r="C4482" s="1087">
        <v>42731</v>
      </c>
      <c r="D4482" s="1087" t="s">
        <v>2855</v>
      </c>
      <c r="E4482" s="90">
        <f t="shared" si="291"/>
        <v>42731</v>
      </c>
      <c r="F4482" s="1153" t="s">
        <v>1952</v>
      </c>
      <c r="G4482" s="1155" t="s">
        <v>2311</v>
      </c>
      <c r="H4482" s="1153" t="s">
        <v>1198</v>
      </c>
      <c r="I4482" s="414">
        <v>42187</v>
      </c>
      <c r="J4482" s="1108">
        <v>17000</v>
      </c>
      <c r="K4482" s="1110"/>
      <c r="L4482" s="1109"/>
      <c r="M4482" s="93">
        <f>ROUND(I4482*J4482,0)</f>
        <v>717179000</v>
      </c>
      <c r="N4482" s="83" t="s">
        <v>276</v>
      </c>
      <c r="O4482" s="83" t="s">
        <v>268</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1" ht="15.75" customHeight="1">
      <c r="A4483" s="323" t="str">
        <f>IF(B4483&lt;&gt;"",IF(AND(B4483='IN-TC'!$S$4,OR(TH!N4504="1111",TH!O4504="1111")),TH!D4504,""),"")</f>
        <v/>
      </c>
      <c r="B4483" s="63">
        <f t="shared" si="290"/>
        <v>12</v>
      </c>
      <c r="C4483" s="64">
        <v>42730</v>
      </c>
      <c r="D4483" s="64" t="s">
        <v>690</v>
      </c>
      <c r="E4483" s="64">
        <f t="shared" si="291"/>
        <v>42730</v>
      </c>
      <c r="F4483" s="72" t="s">
        <v>1532</v>
      </c>
      <c r="G4483" s="67" t="s">
        <v>901</v>
      </c>
      <c r="H4483" s="72" t="s">
        <v>2224</v>
      </c>
      <c r="I4483" s="408"/>
      <c r="J4483" s="408"/>
      <c r="K4483" s="399"/>
      <c r="L4483" s="408"/>
      <c r="M4483" s="65">
        <v>218400000</v>
      </c>
      <c r="N4483" s="66" t="s">
        <v>8</v>
      </c>
      <c r="O4483" s="66" t="s">
        <v>25</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1" ht="15.75" customHeight="1">
      <c r="A4484" s="323" t="str">
        <f>IF(B4484&lt;&gt;"",IF(AND(B4484='IN-TC'!$S$4,OR(TH!N4478="1111",TH!O4478="1111")),TH!D4478,""),"")</f>
        <v/>
      </c>
      <c r="B4484" s="63">
        <f t="shared" si="290"/>
        <v>12</v>
      </c>
      <c r="C4484" s="64">
        <v>42723</v>
      </c>
      <c r="D4484" s="64" t="s">
        <v>690</v>
      </c>
      <c r="E4484" s="64">
        <f t="shared" si="291"/>
        <v>42723</v>
      </c>
      <c r="F4484" s="72" t="s">
        <v>2147</v>
      </c>
      <c r="G4484" s="67" t="s">
        <v>901</v>
      </c>
      <c r="H4484" s="72" t="s">
        <v>2048</v>
      </c>
      <c r="I4484" s="408"/>
      <c r="J4484" s="408"/>
      <c r="K4484" s="399"/>
      <c r="L4484" s="408"/>
      <c r="M4484" s="65">
        <v>525252</v>
      </c>
      <c r="N4484" s="66" t="s">
        <v>99</v>
      </c>
      <c r="O4484" s="66" t="s">
        <v>25</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c r="AE4484">
        <v>1</v>
      </c>
    </row>
    <row r="4485" spans="1:31" ht="15.75" customHeight="1">
      <c r="A4485" s="323" t="str">
        <f>IF(B4485&lt;&gt;"",IF(AND(B4485='IN-TC'!$S$4,OR(TH!N4479="1111",TH!O4479="1111")),TH!D4479,""),"")</f>
        <v/>
      </c>
      <c r="B4485" s="63">
        <f t="shared" si="290"/>
        <v>12</v>
      </c>
      <c r="C4485" s="64">
        <v>42723</v>
      </c>
      <c r="D4485" s="64" t="s">
        <v>690</v>
      </c>
      <c r="E4485" s="64">
        <f t="shared" si="291"/>
        <v>42723</v>
      </c>
      <c r="F4485" s="72" t="s">
        <v>2148</v>
      </c>
      <c r="G4485" s="67" t="s">
        <v>901</v>
      </c>
      <c r="H4485" s="72" t="s">
        <v>2048</v>
      </c>
      <c r="I4485" s="408"/>
      <c r="J4485" s="408"/>
      <c r="K4485" s="399"/>
      <c r="L4485" s="408"/>
      <c r="M4485" s="65">
        <v>52525</v>
      </c>
      <c r="N4485" s="66" t="s">
        <v>9</v>
      </c>
      <c r="O4485" s="66" t="s">
        <v>25</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x</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c r="AE4485">
        <v>1</v>
      </c>
    </row>
    <row r="4486" spans="1:31" ht="15.75" customHeight="1">
      <c r="A4486" s="323" t="str">
        <f>IF(B4486&lt;&gt;"",IF(AND(B4486='IN-TC'!$S$4,OR(TH!N4480="1111",TH!O4480="1111")),TH!D4480,""),"")</f>
        <v/>
      </c>
      <c r="B4486" s="63">
        <f t="shared" si="290"/>
        <v>12</v>
      </c>
      <c r="C4486" s="64">
        <v>42723</v>
      </c>
      <c r="D4486" s="64" t="s">
        <v>690</v>
      </c>
      <c r="E4486" s="64">
        <f t="shared" si="291"/>
        <v>42723</v>
      </c>
      <c r="F4486" s="72" t="s">
        <v>1193</v>
      </c>
      <c r="G4486" s="67" t="s">
        <v>901</v>
      </c>
      <c r="H4486" s="72" t="s">
        <v>2782</v>
      </c>
      <c r="I4486" s="408"/>
      <c r="J4486" s="408"/>
      <c r="K4486" s="399"/>
      <c r="L4486" s="408"/>
      <c r="M4486" s="1204">
        <v>72947400</v>
      </c>
      <c r="N4486" s="1205" t="s">
        <v>581</v>
      </c>
      <c r="O4486" s="1205" t="s">
        <v>25</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customHeight="1">
      <c r="A4487" s="323" t="str">
        <f>IF(B4487&lt;&gt;"",IF(AND(B4487='IN-TC'!$S$4,OR(TH!N4481="1111",TH!O4481="1111")),TH!D4481,""),"")</f>
        <v/>
      </c>
      <c r="B4487" s="63">
        <f t="shared" si="290"/>
        <v>12</v>
      </c>
      <c r="C4487" s="64">
        <v>42723</v>
      </c>
      <c r="D4487" s="64" t="s">
        <v>690</v>
      </c>
      <c r="E4487" s="64">
        <f t="shared" si="291"/>
        <v>42723</v>
      </c>
      <c r="F4487" s="72" t="s">
        <v>1194</v>
      </c>
      <c r="G4487" s="67" t="s">
        <v>901</v>
      </c>
      <c r="H4487" s="72" t="s">
        <v>2782</v>
      </c>
      <c r="I4487" s="408"/>
      <c r="J4487" s="408"/>
      <c r="K4487" s="399"/>
      <c r="L4487" s="408"/>
      <c r="M4487" s="1204">
        <v>5066280</v>
      </c>
      <c r="N4487" s="1205" t="s">
        <v>582</v>
      </c>
      <c r="O4487" s="1205" t="s">
        <v>25</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1" ht="15.75" customHeight="1">
      <c r="A4488" s="323" t="str">
        <f>IF(B4488&lt;&gt;"",IF(AND(B4488='IN-TC'!$S$4,OR(TH!N4482="1111",TH!O4482="1111")),TH!D4482,""),"")</f>
        <v/>
      </c>
      <c r="B4488" s="63">
        <f t="shared" si="290"/>
        <v>12</v>
      </c>
      <c r="C4488" s="64">
        <v>42723</v>
      </c>
      <c r="D4488" s="64" t="s">
        <v>690</v>
      </c>
      <c r="E4488" s="64">
        <f t="shared" si="291"/>
        <v>42723</v>
      </c>
      <c r="F4488" s="72" t="s">
        <v>1195</v>
      </c>
      <c r="G4488" s="67" t="s">
        <v>901</v>
      </c>
      <c r="H4488" s="72" t="s">
        <v>2782</v>
      </c>
      <c r="I4488" s="408"/>
      <c r="J4488" s="408"/>
      <c r="K4488" s="399"/>
      <c r="L4488" s="408"/>
      <c r="M4488" s="1204">
        <v>1986320</v>
      </c>
      <c r="N4488" s="1205" t="s">
        <v>583</v>
      </c>
      <c r="O4488" s="1205" t="s">
        <v>25</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1" ht="15.75" customHeight="1">
      <c r="A4489" s="323" t="str">
        <f>IF(B4489&lt;&gt;"",IF(AND(B4489='IN-TC'!$S$4,OR(TH!N4483="1111",TH!O4483="1111")),TH!D4483,""),"")</f>
        <v/>
      </c>
      <c r="B4489" s="63">
        <f t="shared" si="290"/>
        <v>12</v>
      </c>
      <c r="C4489" s="64">
        <v>42723</v>
      </c>
      <c r="D4489" s="64" t="s">
        <v>690</v>
      </c>
      <c r="E4489" s="64">
        <f t="shared" si="291"/>
        <v>42723</v>
      </c>
      <c r="F4489" s="72" t="s">
        <v>2147</v>
      </c>
      <c r="G4489" s="67" t="s">
        <v>901</v>
      </c>
      <c r="H4489" s="72" t="s">
        <v>2048</v>
      </c>
      <c r="I4489" s="408"/>
      <c r="J4489" s="408"/>
      <c r="K4489" s="399"/>
      <c r="L4489" s="408"/>
      <c r="M4489" s="65">
        <v>40000</v>
      </c>
      <c r="N4489" s="66" t="s">
        <v>99</v>
      </c>
      <c r="O4489" s="66" t="s">
        <v>25</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c r="AE4489">
        <v>1</v>
      </c>
    </row>
    <row r="4490" spans="1:31" ht="15.75" customHeight="1">
      <c r="A4490" s="323" t="str">
        <f>IF(B4490&lt;&gt;"",IF(AND(B4490='IN-TC'!$S$4,OR(TH!N4484="1111",TH!O4484="1111")),TH!D4484,""),"")</f>
        <v/>
      </c>
      <c r="B4490" s="63">
        <f t="shared" si="290"/>
        <v>12</v>
      </c>
      <c r="C4490" s="64">
        <v>42723</v>
      </c>
      <c r="D4490" s="64" t="s">
        <v>690</v>
      </c>
      <c r="E4490" s="64">
        <f t="shared" si="291"/>
        <v>42723</v>
      </c>
      <c r="F4490" s="72" t="s">
        <v>2148</v>
      </c>
      <c r="G4490" s="67" t="s">
        <v>901</v>
      </c>
      <c r="H4490" s="72" t="s">
        <v>2048</v>
      </c>
      <c r="I4490" s="408"/>
      <c r="J4490" s="408"/>
      <c r="K4490" s="399"/>
      <c r="L4490" s="408"/>
      <c r="M4490" s="65">
        <v>4000</v>
      </c>
      <c r="N4490" s="66" t="s">
        <v>9</v>
      </c>
      <c r="O4490" s="66" t="s">
        <v>25</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x</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c r="AE4490">
        <v>1</v>
      </c>
    </row>
    <row r="4491" spans="1:31" ht="15.75" customHeight="1">
      <c r="A4491" s="323" t="str">
        <f>IF(B4491&lt;&gt;"",IF(AND(B4491='IN-TC'!$S$4,OR(TH!N4485="1111",TH!O4485="1111")),TH!D4485,""),"")</f>
        <v/>
      </c>
      <c r="B4491" s="63">
        <f t="shared" si="290"/>
        <v>12</v>
      </c>
      <c r="C4491" s="64">
        <v>42723</v>
      </c>
      <c r="D4491" s="64" t="s">
        <v>690</v>
      </c>
      <c r="E4491" s="64">
        <f t="shared" si="291"/>
        <v>42723</v>
      </c>
      <c r="F4491" s="72" t="s">
        <v>2144</v>
      </c>
      <c r="G4491" s="67" t="s">
        <v>901</v>
      </c>
      <c r="H4491" s="72" t="s">
        <v>1877</v>
      </c>
      <c r="I4491" s="408"/>
      <c r="J4491" s="408"/>
      <c r="K4491" s="399"/>
      <c r="L4491" s="408"/>
      <c r="M4491" s="65">
        <v>2452140</v>
      </c>
      <c r="N4491" s="66" t="s">
        <v>97</v>
      </c>
      <c r="O4491" s="66" t="s">
        <v>25</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customHeight="1">
      <c r="A4492" s="323" t="str">
        <f>IF(B4492&lt;&gt;"",IF(AND(B4492='IN-TC'!$S$4,OR(TH!N4486="1111",TH!O4486="1111")),TH!D4486,""),"")</f>
        <v/>
      </c>
      <c r="B4492" s="63">
        <f t="shared" si="290"/>
        <v>12</v>
      </c>
      <c r="C4492" s="64">
        <v>42723</v>
      </c>
      <c r="D4492" s="64" t="s">
        <v>690</v>
      </c>
      <c r="E4492" s="64">
        <f t="shared" si="291"/>
        <v>42723</v>
      </c>
      <c r="F4492" s="72" t="s">
        <v>2144</v>
      </c>
      <c r="G4492" s="67" t="s">
        <v>901</v>
      </c>
      <c r="H4492" s="72" t="s">
        <v>1880</v>
      </c>
      <c r="I4492" s="408"/>
      <c r="J4492" s="408"/>
      <c r="K4492" s="399"/>
      <c r="L4492" s="408"/>
      <c r="M4492" s="65">
        <v>2982696</v>
      </c>
      <c r="N4492" s="66" t="s">
        <v>97</v>
      </c>
      <c r="O4492" s="66" t="s">
        <v>25</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1" ht="15.75" customHeight="1">
      <c r="A4493" s="323" t="str">
        <f>IF(B4493&lt;&gt;"",IF(AND(B4493='IN-TC'!$S$4,OR(TH!N4543="1111",TH!O4543="1111")),TH!D4543,""),"")</f>
        <v/>
      </c>
      <c r="B4493" s="63">
        <f t="shared" si="290"/>
        <v>12</v>
      </c>
      <c r="C4493" s="64">
        <v>42728</v>
      </c>
      <c r="D4493" s="64" t="s">
        <v>687</v>
      </c>
      <c r="E4493" s="64">
        <f t="shared" si="291"/>
        <v>42728</v>
      </c>
      <c r="F4493" s="72" t="s">
        <v>1436</v>
      </c>
      <c r="G4493" s="67" t="s">
        <v>901</v>
      </c>
      <c r="H4493" s="72" t="s">
        <v>1887</v>
      </c>
      <c r="I4493" s="408"/>
      <c r="J4493" s="408"/>
      <c r="K4493" s="399">
        <v>282365.71999999997</v>
      </c>
      <c r="L4493" s="408">
        <v>22720</v>
      </c>
      <c r="M4493" s="65">
        <f>K4493*L4493</f>
        <v>6415349158.3999996</v>
      </c>
      <c r="N4493" s="66" t="s">
        <v>260</v>
      </c>
      <c r="O4493" s="66" t="s">
        <v>576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1" ht="15.75" customHeight="1">
      <c r="A4494" s="323" t="str">
        <f>IF(B4494&lt;&gt;"",IF(AND(B4494='IN-TC'!$S$4,OR(TH!N4537="1111",TH!O4537="1111")),TH!D4537,""),"")</f>
        <v/>
      </c>
      <c r="B4494" s="63">
        <f t="shared" si="290"/>
        <v>12</v>
      </c>
      <c r="C4494" s="64">
        <v>42723</v>
      </c>
      <c r="D4494" s="64" t="s">
        <v>690</v>
      </c>
      <c r="E4494" s="64">
        <f t="shared" si="291"/>
        <v>42723</v>
      </c>
      <c r="F4494" s="72" t="s">
        <v>2898</v>
      </c>
      <c r="G4494" s="67" t="s">
        <v>901</v>
      </c>
      <c r="H4494" s="72" t="s">
        <v>1887</v>
      </c>
      <c r="I4494" s="408"/>
      <c r="J4494" s="408"/>
      <c r="K4494" s="399">
        <v>10</v>
      </c>
      <c r="L4494" s="408">
        <v>22720</v>
      </c>
      <c r="M4494" s="65">
        <f>K4494*L4494</f>
        <v>227200</v>
      </c>
      <c r="N4494" s="66" t="s">
        <v>9</v>
      </c>
      <c r="O4494" s="66" t="s">
        <v>576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x</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c r="AE4494">
        <v>1</v>
      </c>
    </row>
    <row r="4495" spans="1:31" ht="15.75" customHeight="1">
      <c r="A4495" s="323" t="str">
        <f>IF(B4495&lt;&gt;"",IF(AND(B4495='IN-TC'!$S$4,OR(TH!N4383="1111",TH!O4383="1111")),TH!D4383,""),"")</f>
        <v/>
      </c>
      <c r="B4495" s="63">
        <f t="shared" si="290"/>
        <v>12</v>
      </c>
      <c r="C4495" s="64">
        <v>42723</v>
      </c>
      <c r="D4495" s="64" t="s">
        <v>2591</v>
      </c>
      <c r="E4495" s="64">
        <f t="shared" si="291"/>
        <v>42723</v>
      </c>
      <c r="F4495" s="72" t="s">
        <v>1126</v>
      </c>
      <c r="G4495" s="67" t="s">
        <v>901</v>
      </c>
      <c r="H4495" s="72" t="s">
        <v>748</v>
      </c>
      <c r="I4495" s="408"/>
      <c r="J4495" s="408"/>
      <c r="K4495" s="399"/>
      <c r="L4495" s="408"/>
      <c r="M4495" s="65">
        <v>3100000000</v>
      </c>
      <c r="N4495" s="66" t="s">
        <v>61</v>
      </c>
      <c r="O4495" s="66" t="s">
        <v>25</v>
      </c>
      <c r="P4495" s="82" t="str">
        <f>IF(AND('331-CT'!$E$7=TH!H4495,OR(N4495="331",O4495="331")),"x","")</f>
        <v/>
      </c>
      <c r="Q4495" s="82" t="str">
        <f>IF(AND(B4495='111'!$L$11,OR($N4495=$Q$7,$O4495=$Q$7)),"x","")</f>
        <v>x</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1" ht="15.75" customHeight="1">
      <c r="A4496" s="323" t="str">
        <f>IF(B4496&lt;&gt;"",IF(AND(B4496='IN-TC'!$S$4,OR(TH!N4390="1111",TH!O4390="1111")),TH!D4390,""),"")</f>
        <v/>
      </c>
      <c r="B4496" s="63">
        <f t="shared" si="290"/>
        <v>12</v>
      </c>
      <c r="C4496" s="64">
        <v>42724</v>
      </c>
      <c r="D4496" s="64" t="s">
        <v>2929</v>
      </c>
      <c r="E4496" s="64">
        <f t="shared" si="291"/>
        <v>42724</v>
      </c>
      <c r="F4496" s="72" t="s">
        <v>1087</v>
      </c>
      <c r="G4496" s="67" t="s">
        <v>901</v>
      </c>
      <c r="H4496" s="72" t="s">
        <v>748</v>
      </c>
      <c r="I4496" s="408"/>
      <c r="J4496" s="408"/>
      <c r="K4496" s="399"/>
      <c r="L4496" s="408"/>
      <c r="M4496" s="65">
        <v>30000000</v>
      </c>
      <c r="N4496" s="66" t="s">
        <v>25</v>
      </c>
      <c r="O4496" s="66" t="s">
        <v>61</v>
      </c>
      <c r="P4496" s="82" t="str">
        <f>IF(AND('331-CT'!$E$7=TH!H4496,OR(N4496="331",O4496="331")),"x","")</f>
        <v/>
      </c>
      <c r="Q4496" s="82" t="str">
        <f>IF(AND(B4496='111'!$L$11,OR($N4496=$Q$7,$O4496=$Q$7)),"x","")</f>
        <v>x</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1" ht="15.75" customHeight="1">
      <c r="A4497" s="323" t="str">
        <f>IF(B4497&lt;&gt;"",IF(AND(B4497='IN-TC'!$S$4,OR(TH!N4391="1111",TH!O4391="1111")),TH!D4391,""),"")</f>
        <v/>
      </c>
      <c r="B4497" s="63">
        <f t="shared" si="290"/>
        <v>12</v>
      </c>
      <c r="C4497" s="64">
        <v>42724</v>
      </c>
      <c r="D4497" s="64" t="s">
        <v>2930</v>
      </c>
      <c r="E4497" s="64">
        <f t="shared" si="291"/>
        <v>42724</v>
      </c>
      <c r="F4497" s="72" t="s">
        <v>218</v>
      </c>
      <c r="G4497" s="931" t="s">
        <v>2621</v>
      </c>
      <c r="H4497" s="72" t="s">
        <v>2406</v>
      </c>
      <c r="I4497" s="408"/>
      <c r="J4497" s="408"/>
      <c r="K4497" s="399"/>
      <c r="L4497" s="408"/>
      <c r="M4497" s="65">
        <v>7883520</v>
      </c>
      <c r="N4497" s="66" t="s">
        <v>276</v>
      </c>
      <c r="O4497" s="66" t="s">
        <v>61</v>
      </c>
      <c r="P4497" s="82" t="str">
        <f>IF(AND('331-CT'!$E$7=TH!H4497,OR(N4497="331",O4497="331")),"x","")</f>
        <v/>
      </c>
      <c r="Q4497" s="82" t="str">
        <f>IF(AND(B4497='111'!$L$11,OR($N4497=$Q$7,$O4497=$Q$7)),"x","")</f>
        <v>x</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c r="AE4497">
        <v>1</v>
      </c>
    </row>
    <row r="4498" spans="1:31" ht="15.75" customHeight="1">
      <c r="A4498" s="323" t="str">
        <f>IF(B4498&lt;&gt;"",IF(AND(B4498='IN-TC'!$S$4,OR(TH!N4392="1111",TH!O4392="1111")),TH!D4392,""),"")</f>
        <v/>
      </c>
      <c r="B4498" s="63">
        <f t="shared" si="290"/>
        <v>12</v>
      </c>
      <c r="C4498" s="64">
        <v>42724</v>
      </c>
      <c r="D4498" s="64" t="s">
        <v>2930</v>
      </c>
      <c r="E4498" s="64">
        <f t="shared" si="291"/>
        <v>42724</v>
      </c>
      <c r="F4498" s="72" t="s">
        <v>2623</v>
      </c>
      <c r="G4498" s="931" t="s">
        <v>2621</v>
      </c>
      <c r="H4498" s="72" t="s">
        <v>2406</v>
      </c>
      <c r="I4498" s="408"/>
      <c r="J4498" s="408"/>
      <c r="K4498" s="399"/>
      <c r="L4498" s="408"/>
      <c r="M4498" s="65">
        <v>788352</v>
      </c>
      <c r="N4498" s="66" t="s">
        <v>9</v>
      </c>
      <c r="O4498" s="66" t="s">
        <v>61</v>
      </c>
      <c r="P4498" s="82" t="str">
        <f>IF(AND('331-CT'!$E$7=TH!H4498,OR(N4498="331",O4498="331")),"x","")</f>
        <v/>
      </c>
      <c r="Q4498" s="82" t="str">
        <f>IF(AND(B4498='111'!$L$11,OR($N4498=$Q$7,$O4498=$Q$7)),"x","")</f>
        <v>x</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x</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c r="AE4498">
        <v>1</v>
      </c>
    </row>
    <row r="4499" spans="1:31" ht="15.75" customHeight="1">
      <c r="A4499" s="1160" t="str">
        <f>IF(B4499&lt;&gt;"",IF(AND(B4499='IN-TC'!$S$4,OR(TH!N1062="1111",TH!O1062="1111")),TH!D1062,""),"")</f>
        <v/>
      </c>
      <c r="B4499" s="948">
        <f t="shared" si="290"/>
        <v>12</v>
      </c>
      <c r="C4499" s="78">
        <v>42726</v>
      </c>
      <c r="D4499" s="78" t="s">
        <v>2773</v>
      </c>
      <c r="E4499" s="78">
        <f t="shared" si="291"/>
        <v>42726</v>
      </c>
      <c r="F4499" s="80" t="s">
        <v>2593</v>
      </c>
      <c r="G4499" s="934" t="s">
        <v>2187</v>
      </c>
      <c r="H4499" s="310" t="s">
        <v>2596</v>
      </c>
      <c r="I4499" s="406">
        <v>40000</v>
      </c>
      <c r="J4499" s="406">
        <v>300</v>
      </c>
      <c r="K4499" s="397"/>
      <c r="L4499" s="406"/>
      <c r="M4499" s="81">
        <f>ROUND(I4499*J4499,0)</f>
        <v>12000000</v>
      </c>
      <c r="N4499" s="82" t="s">
        <v>270</v>
      </c>
      <c r="O4499" s="82" t="s">
        <v>8</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customHeight="1">
      <c r="A4500" s="1160" t="str">
        <f>IF(B4500&lt;&gt;"",IF(AND(B4500='IN-TC'!$S$4,OR(TH!N1092="1111",TH!O1092="1111")),TH!D1092,""),"")</f>
        <v/>
      </c>
      <c r="B4500" s="948">
        <f t="shared" si="290"/>
        <v>12</v>
      </c>
      <c r="C4500" s="78">
        <v>42730</v>
      </c>
      <c r="D4500" s="78" t="s">
        <v>2891</v>
      </c>
      <c r="E4500" s="78">
        <f t="shared" si="291"/>
        <v>42730</v>
      </c>
      <c r="F4500" s="80" t="s">
        <v>2495</v>
      </c>
      <c r="G4500" s="934" t="s">
        <v>2761</v>
      </c>
      <c r="H4500" s="310" t="s">
        <v>2511</v>
      </c>
      <c r="I4500" s="406">
        <v>1200</v>
      </c>
      <c r="J4500" s="406">
        <v>7500</v>
      </c>
      <c r="K4500" s="397"/>
      <c r="L4500" s="406"/>
      <c r="M4500" s="81">
        <f>ROUND(I4500*J4500,0)</f>
        <v>9000000</v>
      </c>
      <c r="N4500" s="82" t="s">
        <v>270</v>
      </c>
      <c r="O4500" s="82" t="s">
        <v>8</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x</v>
      </c>
      <c r="AC4500" s="82" t="str">
        <f>IF(AND(OR(LEFT(TH!N4500,2)="15",LEFT(TH!O4500,2)="15"),TK!$E$7=TH!F4500),"x","")</f>
        <v/>
      </c>
      <c r="AD4500" s="82" t="str">
        <f>IF(AND(N4500="1521",MONTH(C4500)='BK-NL'!$M$11),"x","")</f>
        <v/>
      </c>
      <c r="AE4500">
        <v>1</v>
      </c>
    </row>
    <row r="4501" spans="1:31" ht="15.75" customHeight="1">
      <c r="A4501" s="323" t="str">
        <f>IF(B4501&lt;&gt;"",IF(AND(B4501='IN-TC'!$S$4,OR(TH!N4396="1111",TH!O4396="1111")),TH!D4396,""),"")</f>
        <v/>
      </c>
      <c r="B4501" s="63">
        <f t="shared" si="290"/>
        <v>12</v>
      </c>
      <c r="C4501" s="64">
        <v>42724</v>
      </c>
      <c r="D4501" s="64" t="s">
        <v>2933</v>
      </c>
      <c r="E4501" s="64">
        <f t="shared" si="291"/>
        <v>42724</v>
      </c>
      <c r="F4501" s="72" t="s">
        <v>218</v>
      </c>
      <c r="G4501" s="931" t="s">
        <v>2678</v>
      </c>
      <c r="H4501" s="72" t="s">
        <v>606</v>
      </c>
      <c r="I4501" s="408"/>
      <c r="J4501" s="408"/>
      <c r="K4501" s="399"/>
      <c r="L4501" s="408"/>
      <c r="M4501" s="65">
        <v>9404546</v>
      </c>
      <c r="N4501" s="66" t="s">
        <v>276</v>
      </c>
      <c r="O4501" s="66" t="s">
        <v>61</v>
      </c>
      <c r="P4501" s="82" t="str">
        <f>IF(AND('331-CT'!$E$7=TH!H4501,OR(N4501="331",O4501="331")),"x","")</f>
        <v/>
      </c>
      <c r="Q4501" s="82" t="str">
        <f>IF(AND(B4501='111'!$L$11,OR($N4501=$Q$7,$O4501=$Q$7)),"x","")</f>
        <v>x</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c r="AE4501">
        <v>1</v>
      </c>
    </row>
    <row r="4502" spans="1:31" ht="15.75" customHeight="1">
      <c r="A4502" s="323" t="str">
        <f>IF(B4502&lt;&gt;"",IF(AND(B4502='IN-TC'!$S$4,OR(TH!N4397="1111",TH!O4397="1111")),TH!D4397,""),"")</f>
        <v/>
      </c>
      <c r="B4502" s="63">
        <f t="shared" si="290"/>
        <v>12</v>
      </c>
      <c r="C4502" s="64">
        <v>42724</v>
      </c>
      <c r="D4502" s="64" t="s">
        <v>2933</v>
      </c>
      <c r="E4502" s="64">
        <f t="shared" si="291"/>
        <v>42724</v>
      </c>
      <c r="F4502" s="72" t="s">
        <v>1335</v>
      </c>
      <c r="G4502" s="931" t="s">
        <v>2678</v>
      </c>
      <c r="H4502" s="72" t="s">
        <v>606</v>
      </c>
      <c r="I4502" s="408"/>
      <c r="J4502" s="408"/>
      <c r="K4502" s="399"/>
      <c r="L4502" s="408"/>
      <c r="M4502" s="65">
        <v>940455</v>
      </c>
      <c r="N4502" s="66" t="s">
        <v>9</v>
      </c>
      <c r="O4502" s="66" t="s">
        <v>61</v>
      </c>
      <c r="P4502" s="82" t="str">
        <f>IF(AND('331-CT'!$E$7=TH!H4502,OR(N4502="331",O4502="331")),"x","")</f>
        <v/>
      </c>
      <c r="Q4502" s="82" t="str">
        <f>IF(AND(B4502='111'!$L$11,OR($N4502=$Q$7,$O4502=$Q$7)),"x","")</f>
        <v>x</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x</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c r="AE4502">
        <v>1</v>
      </c>
    </row>
    <row r="4503" spans="1:31" ht="15.75" customHeight="1">
      <c r="A4503" s="1160" t="str">
        <f>IF(B4503&lt;&gt;"",IF(AND(B4503='IN-TC'!$S$4,OR(TH!N1077="1111",TH!O1077="1111")),TH!D1077,""),"")</f>
        <v/>
      </c>
      <c r="B4503" s="948">
        <f t="shared" si="290"/>
        <v>12</v>
      </c>
      <c r="C4503" s="78">
        <v>42728</v>
      </c>
      <c r="D4503" s="78" t="s">
        <v>2779</v>
      </c>
      <c r="E4503" s="78">
        <f t="shared" si="291"/>
        <v>42728</v>
      </c>
      <c r="F4503" s="80" t="s">
        <v>637</v>
      </c>
      <c r="G4503" s="934" t="s">
        <v>2759</v>
      </c>
      <c r="H4503" s="310" t="s">
        <v>2512</v>
      </c>
      <c r="I4503" s="406"/>
      <c r="J4503" s="406"/>
      <c r="K4503" s="397"/>
      <c r="L4503" s="406"/>
      <c r="M4503" s="81">
        <v>1800000</v>
      </c>
      <c r="N4503" s="82" t="s">
        <v>9</v>
      </c>
      <c r="O4503" s="82" t="s">
        <v>8</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x</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c r="AE4503">
        <v>1</v>
      </c>
    </row>
    <row r="4504" spans="1:31" ht="15.75" customHeight="1">
      <c r="A4504" s="323" t="str">
        <f>IF(B4504&lt;&gt;"",IF(AND(B4504='IN-TC'!$S$4,OR(TH!N4399="1111",TH!O4399="1111")),TH!D4399,""),"")</f>
        <v/>
      </c>
      <c r="B4504" s="63">
        <f t="shared" si="290"/>
        <v>12</v>
      </c>
      <c r="C4504" s="1092">
        <v>42724</v>
      </c>
      <c r="D4504" s="1092" t="s">
        <v>2935</v>
      </c>
      <c r="E4504" s="1092">
        <f t="shared" si="291"/>
        <v>42724</v>
      </c>
      <c r="F4504" s="482" t="s">
        <v>947</v>
      </c>
      <c r="G4504" s="1094"/>
      <c r="H4504" s="937" t="s">
        <v>3001</v>
      </c>
      <c r="I4504" s="1095"/>
      <c r="J4504" s="1095"/>
      <c r="K4504" s="1096"/>
      <c r="L4504" s="1095"/>
      <c r="M4504" s="1097">
        <v>1000000000</v>
      </c>
      <c r="N4504" s="1098" t="s">
        <v>266</v>
      </c>
      <c r="O4504" s="1098" t="s">
        <v>61</v>
      </c>
      <c r="P4504" s="82" t="str">
        <f>IF(AND('331-CT'!$E$7=TH!H4504,OR(N4504="331",O4504="331")),"x","")</f>
        <v/>
      </c>
      <c r="Q4504" s="82" t="str">
        <f>IF(AND(B4504='111'!$L$11,OR($N4504=$Q$7,$O4504=$Q$7)),"x","")</f>
        <v>x</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1" ht="15.75" customHeight="1">
      <c r="A4505" s="1160" t="str">
        <f>IF(B4505&lt;&gt;"",IF(AND(B4505='IN-TC'!$S$4,OR(TH!N386="1111",TH!O386="1111")),TH!D386,""),"")</f>
        <v/>
      </c>
      <c r="B4505" s="948">
        <f t="shared" si="290"/>
        <v>12</v>
      </c>
      <c r="C4505" s="78">
        <v>42730</v>
      </c>
      <c r="D4505" s="1077" t="s">
        <v>2715</v>
      </c>
      <c r="E4505" s="78">
        <v>42730</v>
      </c>
      <c r="F4505" s="79" t="s">
        <v>1775</v>
      </c>
      <c r="G4505" s="79" t="s">
        <v>2677</v>
      </c>
      <c r="H4505" s="918" t="s">
        <v>1751</v>
      </c>
      <c r="I4505" s="406"/>
      <c r="J4505" s="1194"/>
      <c r="K4505" s="397"/>
      <c r="L4505" s="406"/>
      <c r="M4505" s="1195">
        <v>64127500</v>
      </c>
      <c r="N4505" s="1073" t="s">
        <v>576</v>
      </c>
      <c r="O4505" s="1073" t="s">
        <v>915</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1" ht="15.75" customHeight="1">
      <c r="A4506" s="323" t="str">
        <f>IF(B4506&lt;&gt;"",IF(AND(B4506='IN-TC'!$S$4,OR(TH!N2155="1111",TH!O2155="1111")),TH!D2155,""),"")</f>
        <v/>
      </c>
      <c r="B4506" s="63">
        <f t="shared" si="290"/>
        <v>12</v>
      </c>
      <c r="C4506" s="78">
        <v>42730</v>
      </c>
      <c r="D4506" s="78" t="s">
        <v>570</v>
      </c>
      <c r="E4506" s="78">
        <v>42730</v>
      </c>
      <c r="F4506" s="80" t="s">
        <v>2628</v>
      </c>
      <c r="G4506" s="934" t="s">
        <v>2913</v>
      </c>
      <c r="H4506" s="80" t="s">
        <v>617</v>
      </c>
      <c r="I4506" s="406"/>
      <c r="J4506" s="406"/>
      <c r="K4506" s="397"/>
      <c r="L4506" s="406"/>
      <c r="M4506" s="81">
        <v>2841960</v>
      </c>
      <c r="N4506" s="82" t="s">
        <v>9</v>
      </c>
      <c r="O4506" s="82" t="s">
        <v>8</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x</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c r="AE4506">
        <v>1</v>
      </c>
    </row>
    <row r="4507" spans="1:31" ht="15.75" customHeight="1">
      <c r="A4507" s="323" t="str">
        <f>IF(B4507&lt;&gt;"",IF(AND(B4507='IN-TC'!$S$4,OR(TH!N4488="1111",TH!O4488="1111")),TH!D4488,""),"")</f>
        <v/>
      </c>
      <c r="B4507" s="63">
        <f t="shared" si="290"/>
        <v>12</v>
      </c>
      <c r="C4507" s="64">
        <v>42724</v>
      </c>
      <c r="D4507" s="64" t="s">
        <v>690</v>
      </c>
      <c r="E4507" s="64">
        <f t="shared" ref="E4507:E4538" si="292">C4507</f>
        <v>42724</v>
      </c>
      <c r="F4507" s="72" t="s">
        <v>2147</v>
      </c>
      <c r="G4507" s="67" t="s">
        <v>901</v>
      </c>
      <c r="H4507" s="72" t="s">
        <v>2048</v>
      </c>
      <c r="I4507" s="408"/>
      <c r="J4507" s="408"/>
      <c r="K4507" s="399"/>
      <c r="L4507" s="408"/>
      <c r="M4507" s="65">
        <v>45000</v>
      </c>
      <c r="N4507" s="66" t="s">
        <v>99</v>
      </c>
      <c r="O4507" s="66" t="s">
        <v>25</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c r="AE4507">
        <v>1</v>
      </c>
    </row>
    <row r="4508" spans="1:31" ht="15.75" customHeight="1">
      <c r="A4508" s="323" t="str">
        <f>IF(B4508&lt;&gt;"",IF(AND(B4508='IN-TC'!$S$4,OR(TH!N4489="1111",TH!O4489="1111")),TH!D4489,""),"")</f>
        <v/>
      </c>
      <c r="B4508" s="63">
        <f t="shared" si="290"/>
        <v>12</v>
      </c>
      <c r="C4508" s="64">
        <v>42724</v>
      </c>
      <c r="D4508" s="64" t="s">
        <v>690</v>
      </c>
      <c r="E4508" s="64">
        <f t="shared" si="292"/>
        <v>42724</v>
      </c>
      <c r="F4508" s="72" t="s">
        <v>2148</v>
      </c>
      <c r="G4508" s="67" t="s">
        <v>901</v>
      </c>
      <c r="H4508" s="72" t="s">
        <v>2048</v>
      </c>
      <c r="I4508" s="408"/>
      <c r="J4508" s="408"/>
      <c r="K4508" s="399"/>
      <c r="L4508" s="408"/>
      <c r="M4508" s="65">
        <v>4500</v>
      </c>
      <c r="N4508" s="66" t="s">
        <v>9</v>
      </c>
      <c r="O4508" s="66" t="s">
        <v>25</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x</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customHeight="1">
      <c r="A4509" s="323" t="str">
        <f>IF(B4509&lt;&gt;"",IF(AND(B4509='IN-TC'!$S$4,OR(TH!N4389="1111",TH!O4389="1111")),TH!D4389,""),"")</f>
        <v/>
      </c>
      <c r="B4509" s="63">
        <f t="shared" si="290"/>
        <v>12</v>
      </c>
      <c r="C4509" s="64">
        <v>42724</v>
      </c>
      <c r="D4509" s="64" t="s">
        <v>2661</v>
      </c>
      <c r="E4509" s="64">
        <f t="shared" si="292"/>
        <v>42724</v>
      </c>
      <c r="F4509" s="72" t="s">
        <v>1126</v>
      </c>
      <c r="G4509" s="67" t="s">
        <v>901</v>
      </c>
      <c r="H4509" s="72" t="s">
        <v>748</v>
      </c>
      <c r="I4509" s="408"/>
      <c r="J4509" s="408"/>
      <c r="K4509" s="399"/>
      <c r="L4509" s="408"/>
      <c r="M4509" s="65">
        <v>300000000</v>
      </c>
      <c r="N4509" s="66" t="s">
        <v>61</v>
      </c>
      <c r="O4509" s="66" t="s">
        <v>25</v>
      </c>
      <c r="P4509" s="82" t="str">
        <f>IF(AND('331-CT'!$E$7=TH!H4509,OR(N4509="331",O4509="331")),"x","")</f>
        <v/>
      </c>
      <c r="Q4509" s="82" t="str">
        <f>IF(AND(B4509='111'!$L$11,OR($N4509=$Q$7,$O4509=$Q$7)),"x","")</f>
        <v>x</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1" ht="15.75" customHeight="1">
      <c r="A4510" s="1160" t="str">
        <f>IF(B4510&lt;&gt;"",IF(AND(B4510='IN-TC'!$S$4,OR(TH!N1063="1111",TH!O1063="1111")),TH!D1063,""),"")</f>
        <v/>
      </c>
      <c r="B4510" s="948">
        <f t="shared" si="290"/>
        <v>12</v>
      </c>
      <c r="C4510" s="78">
        <v>42726</v>
      </c>
      <c r="D4510" s="78" t="s">
        <v>2773</v>
      </c>
      <c r="E4510" s="78">
        <f t="shared" si="292"/>
        <v>42726</v>
      </c>
      <c r="F4510" s="80" t="s">
        <v>2594</v>
      </c>
      <c r="G4510" s="934" t="s">
        <v>2187</v>
      </c>
      <c r="H4510" s="310" t="s">
        <v>2596</v>
      </c>
      <c r="I4510" s="406"/>
      <c r="J4510" s="406"/>
      <c r="K4510" s="397"/>
      <c r="L4510" s="406"/>
      <c r="M4510" s="81">
        <v>1200000</v>
      </c>
      <c r="N4510" s="82" t="s">
        <v>9</v>
      </c>
      <c r="O4510" s="82" t="s">
        <v>8</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x</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c r="AE4510">
        <v>1</v>
      </c>
    </row>
    <row r="4511" spans="1:31" ht="15.75" customHeight="1">
      <c r="A4511" s="1160" t="str">
        <f>IF(B4511&lt;&gt;"",IF(AND(B4511='IN-TC'!$S$4,OR(TH!N1093="1111",TH!O1093="1111")),TH!D1093,""),"")</f>
        <v/>
      </c>
      <c r="B4511" s="948">
        <f t="shared" si="290"/>
        <v>12</v>
      </c>
      <c r="C4511" s="78">
        <v>42730</v>
      </c>
      <c r="D4511" s="78" t="s">
        <v>2891</v>
      </c>
      <c r="E4511" s="78">
        <f t="shared" si="292"/>
        <v>42730</v>
      </c>
      <c r="F4511" s="80" t="s">
        <v>637</v>
      </c>
      <c r="G4511" s="934" t="s">
        <v>2761</v>
      </c>
      <c r="H4511" s="310" t="s">
        <v>2511</v>
      </c>
      <c r="I4511" s="406"/>
      <c r="J4511" s="406"/>
      <c r="K4511" s="397"/>
      <c r="L4511" s="406"/>
      <c r="M4511" s="81">
        <v>900000</v>
      </c>
      <c r="N4511" s="82" t="s">
        <v>9</v>
      </c>
      <c r="O4511" s="82" t="s">
        <v>8</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x</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customHeight="1">
      <c r="A4512" s="323" t="str">
        <f>IF(B4512&lt;&gt;"",IF(AND(B4512='IN-TC'!$S$4,OR(TH!N4419="1111",TH!O4419="1111")),TH!D4419,""),"")</f>
        <v/>
      </c>
      <c r="B4512" s="63">
        <f t="shared" si="290"/>
        <v>12</v>
      </c>
      <c r="C4512" s="64">
        <v>42728</v>
      </c>
      <c r="D4512" s="64" t="s">
        <v>2952</v>
      </c>
      <c r="E4512" s="64">
        <f t="shared" si="292"/>
        <v>42728</v>
      </c>
      <c r="F4512" s="72" t="s">
        <v>2510</v>
      </c>
      <c r="G4512" s="931" t="s">
        <v>2759</v>
      </c>
      <c r="H4512" s="72" t="s">
        <v>2512</v>
      </c>
      <c r="I4512" s="408"/>
      <c r="J4512" s="408"/>
      <c r="K4512" s="399"/>
      <c r="L4512" s="408"/>
      <c r="M4512" s="65">
        <v>19800000</v>
      </c>
      <c r="N4512" s="66" t="s">
        <v>8</v>
      </c>
      <c r="O4512" s="66" t="s">
        <v>61</v>
      </c>
      <c r="P4512" s="82" t="str">
        <f>IF(AND('331-CT'!$E$7=TH!H4512,OR(N4512="331",O4512="331")),"x","")</f>
        <v/>
      </c>
      <c r="Q4512" s="82" t="str">
        <f>IF(AND(B4512='111'!$L$11,OR($N4512=$Q$7,$O4512=$Q$7)),"x","")</f>
        <v>x</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1" ht="15.75" customHeight="1">
      <c r="A4513" s="323" t="str">
        <f>IF(B4513&lt;&gt;"",IF(AND(B4513='IN-TC'!$S$4,OR(TH!N4402="1111",TH!O4402="1111")),TH!D4402,""),"")</f>
        <v/>
      </c>
      <c r="B4513" s="63">
        <f t="shared" si="290"/>
        <v>12</v>
      </c>
      <c r="C4513" s="64">
        <v>42725</v>
      </c>
      <c r="D4513" s="64" t="s">
        <v>2939</v>
      </c>
      <c r="E4513" s="64">
        <f t="shared" si="292"/>
        <v>42725</v>
      </c>
      <c r="F4513" s="72" t="s">
        <v>2823</v>
      </c>
      <c r="G4513" s="931" t="s">
        <v>2825</v>
      </c>
      <c r="H4513" s="72" t="s">
        <v>2826</v>
      </c>
      <c r="I4513" s="408"/>
      <c r="J4513" s="408"/>
      <c r="K4513" s="399"/>
      <c r="L4513" s="408"/>
      <c r="M4513" s="65">
        <v>3960000</v>
      </c>
      <c r="N4513" s="66" t="s">
        <v>99</v>
      </c>
      <c r="O4513" s="66" t="s">
        <v>61</v>
      </c>
      <c r="P4513" s="82" t="str">
        <f>IF(AND('331-CT'!$E$7=TH!H4513,OR(N4513="331",O4513="331")),"x","")</f>
        <v/>
      </c>
      <c r="Q4513" s="82" t="str">
        <f>IF(AND(B4513='111'!$L$11,OR($N4513=$Q$7,$O4513=$Q$7)),"x","")</f>
        <v>x</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c r="AE4513">
        <v>1</v>
      </c>
    </row>
    <row r="4514" spans="1:31" ht="15.75" customHeight="1">
      <c r="A4514" s="323" t="str">
        <f>IF(B4514&lt;&gt;"",IF(AND(B4514='IN-TC'!$S$4,OR(TH!N4403="1111",TH!O4403="1111")),TH!D4403,""),"")</f>
        <v/>
      </c>
      <c r="B4514" s="63">
        <f t="shared" si="290"/>
        <v>12</v>
      </c>
      <c r="C4514" s="64">
        <v>42725</v>
      </c>
      <c r="D4514" s="64" t="s">
        <v>2939</v>
      </c>
      <c r="E4514" s="64">
        <f t="shared" si="292"/>
        <v>42725</v>
      </c>
      <c r="F4514" s="72" t="s">
        <v>2824</v>
      </c>
      <c r="G4514" s="931" t="s">
        <v>2825</v>
      </c>
      <c r="H4514" s="72" t="s">
        <v>2826</v>
      </c>
      <c r="I4514" s="408"/>
      <c r="J4514" s="408"/>
      <c r="K4514" s="399"/>
      <c r="L4514" s="408"/>
      <c r="M4514" s="65">
        <v>396000</v>
      </c>
      <c r="N4514" s="66" t="s">
        <v>9</v>
      </c>
      <c r="O4514" s="66" t="s">
        <v>61</v>
      </c>
      <c r="P4514" s="82" t="str">
        <f>IF(AND('331-CT'!$E$7=TH!H4514,OR(N4514="331",O4514="331")),"x","")</f>
        <v/>
      </c>
      <c r="Q4514" s="82" t="str">
        <f>IF(AND(B4514='111'!$L$11,OR($N4514=$Q$7,$O4514=$Q$7)),"x","")</f>
        <v>x</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x</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customHeight="1">
      <c r="A4515" s="323" t="str">
        <f>IF(B4515&lt;&gt;"",IF(AND(B4515='IN-TC'!$S$4,OR(TH!N4404="1111",TH!O4404="1111")),TH!D4404,""),"")</f>
        <v/>
      </c>
      <c r="B4515" s="63">
        <f t="shared" si="290"/>
        <v>12</v>
      </c>
      <c r="C4515" s="1092">
        <v>42725</v>
      </c>
      <c r="D4515" s="1092" t="s">
        <v>2940</v>
      </c>
      <c r="E4515" s="1092">
        <f t="shared" si="292"/>
        <v>42725</v>
      </c>
      <c r="F4515" s="482" t="s">
        <v>947</v>
      </c>
      <c r="G4515" s="1094"/>
      <c r="H4515" s="937" t="s">
        <v>3001</v>
      </c>
      <c r="I4515" s="1095"/>
      <c r="J4515" s="1095"/>
      <c r="K4515" s="1096"/>
      <c r="L4515" s="1095"/>
      <c r="M4515" s="1097">
        <v>850000000</v>
      </c>
      <c r="N4515" s="1098" t="s">
        <v>266</v>
      </c>
      <c r="O4515" s="1098" t="s">
        <v>61</v>
      </c>
      <c r="P4515" s="82" t="str">
        <f>IF(AND('331-CT'!$E$7=TH!H4515,OR(N4515="331",O4515="331")),"x","")</f>
        <v/>
      </c>
      <c r="Q4515" s="82" t="str">
        <f>IF(AND(B4515='111'!$L$11,OR($N4515=$Q$7,$O4515=$Q$7)),"x","")</f>
        <v>x</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1" ht="15.75" customHeight="1">
      <c r="A4516" s="323" t="str">
        <f>IF(B4516&lt;&gt;"",IF(AND(B4516='IN-TC'!$S$4,OR(TH!N4490="1111",TH!O4490="1111")),TH!D4490,""),"")</f>
        <v/>
      </c>
      <c r="B4516" s="63">
        <f t="shared" si="290"/>
        <v>12</v>
      </c>
      <c r="C4516" s="64">
        <v>42725</v>
      </c>
      <c r="D4516" s="64" t="s">
        <v>687</v>
      </c>
      <c r="E4516" s="64">
        <f t="shared" si="292"/>
        <v>42725</v>
      </c>
      <c r="F4516" s="72" t="s">
        <v>1425</v>
      </c>
      <c r="G4516" s="67" t="s">
        <v>901</v>
      </c>
      <c r="H4516" s="72" t="s">
        <v>2048</v>
      </c>
      <c r="I4516" s="408"/>
      <c r="J4516" s="408"/>
      <c r="K4516" s="399">
        <v>281500</v>
      </c>
      <c r="L4516" s="408">
        <v>22750</v>
      </c>
      <c r="M4516" s="65">
        <f>K4516*L4516</f>
        <v>6404125000</v>
      </c>
      <c r="N4516" s="66" t="s">
        <v>25</v>
      </c>
      <c r="O4516" s="66" t="s">
        <v>260</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customHeight="1">
      <c r="A4517" s="323" t="str">
        <f>IF(B4517&lt;&gt;"",IF(AND(B4517='IN-TC'!$S$4,OR(TH!N1132="1111",TH!O1132="1111")),TH!D1132,""),"")</f>
        <v/>
      </c>
      <c r="B4517" s="948">
        <f t="shared" si="290"/>
        <v>12</v>
      </c>
      <c r="C4517" s="1336">
        <v>42732</v>
      </c>
      <c r="D4517" s="306" t="s">
        <v>2910</v>
      </c>
      <c r="E4517" s="306">
        <f t="shared" si="292"/>
        <v>42732</v>
      </c>
      <c r="F4517" s="1141" t="s">
        <v>2495</v>
      </c>
      <c r="G4517" s="1155" t="s">
        <v>2311</v>
      </c>
      <c r="H4517" s="308" t="s">
        <v>1198</v>
      </c>
      <c r="I4517" s="1185">
        <v>2030</v>
      </c>
      <c r="J4517" s="1185">
        <v>7500</v>
      </c>
      <c r="K4517" s="401"/>
      <c r="L4517" s="410"/>
      <c r="M4517" s="65">
        <f>ROUND(I4517*J4517,0)</f>
        <v>15225000</v>
      </c>
      <c r="N4517" s="66" t="s">
        <v>276</v>
      </c>
      <c r="O4517" s="66" t="s">
        <v>270</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x</v>
      </c>
      <c r="AC4517" s="82" t="str">
        <f>IF(AND(OR(LEFT(TH!N4517,2)="15",LEFT(TH!O4517,2)="15"),TK!$E$7=TH!F4517),"x","")</f>
        <v/>
      </c>
      <c r="AD4517" s="82" t="str">
        <f>IF(AND(N4517="1521",MONTH(C4517)='BK-NL'!$M$11),"x","")</f>
        <v/>
      </c>
    </row>
    <row r="4518" spans="1:31" ht="15.75" customHeight="1">
      <c r="A4518" s="323" t="str">
        <f>IF(B4518&lt;&gt;"",IF(AND(B4518='IN-TC'!$S$4,OR(TH!N4540="1111",TH!O4540="1111")),TH!D4540,""),"")</f>
        <v/>
      </c>
      <c r="B4518" s="63">
        <f t="shared" si="290"/>
        <v>12</v>
      </c>
      <c r="C4518" s="64">
        <v>42725</v>
      </c>
      <c r="D4518" s="64" t="s">
        <v>690</v>
      </c>
      <c r="E4518" s="64">
        <f t="shared" si="292"/>
        <v>42725</v>
      </c>
      <c r="F4518" s="72" t="s">
        <v>2780</v>
      </c>
      <c r="G4518" s="67" t="s">
        <v>901</v>
      </c>
      <c r="H4518" s="72" t="s">
        <v>2048</v>
      </c>
      <c r="I4518" s="408"/>
      <c r="J4518" s="408"/>
      <c r="K4518" s="399">
        <v>478.5</v>
      </c>
      <c r="L4518" s="408">
        <v>22740</v>
      </c>
      <c r="M4518" s="65">
        <f>K4518*L4518</f>
        <v>10881090</v>
      </c>
      <c r="N4518" s="66" t="s">
        <v>99</v>
      </c>
      <c r="O4518" s="66" t="s">
        <v>260</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1" ht="15.75" customHeight="1">
      <c r="A4519" s="323" t="str">
        <f>IF(B4519&lt;&gt;"",IF(AND(B4519='IN-TC'!$S$4,OR(TH!N4541="1111",TH!O4541="1111")),TH!D4541,""),"")</f>
        <v/>
      </c>
      <c r="B4519" s="63">
        <f t="shared" si="290"/>
        <v>12</v>
      </c>
      <c r="C4519" s="64">
        <v>42725</v>
      </c>
      <c r="D4519" s="64" t="s">
        <v>690</v>
      </c>
      <c r="E4519" s="64">
        <f t="shared" si="292"/>
        <v>42725</v>
      </c>
      <c r="F4519" s="72" t="s">
        <v>2899</v>
      </c>
      <c r="G4519" s="67" t="s">
        <v>901</v>
      </c>
      <c r="H4519" s="72" t="s">
        <v>2048</v>
      </c>
      <c r="I4519" s="408"/>
      <c r="J4519" s="408"/>
      <c r="K4519" s="399">
        <v>15</v>
      </c>
      <c r="L4519" s="408">
        <v>22740</v>
      </c>
      <c r="M4519" s="65">
        <f>K4519*L4519</f>
        <v>341100</v>
      </c>
      <c r="N4519" s="66" t="s">
        <v>99</v>
      </c>
      <c r="O4519" s="66" t="s">
        <v>260</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customHeight="1">
      <c r="A4520" s="323" t="str">
        <f>IF(B4520&lt;&gt;"",IF(AND(B4520='IN-TC'!$S$4,OR(TH!N4542="1111",TH!O4542="1111")),TH!D4542,""),"")</f>
        <v/>
      </c>
      <c r="B4520" s="63">
        <f t="shared" si="290"/>
        <v>12</v>
      </c>
      <c r="C4520" s="64">
        <v>42725</v>
      </c>
      <c r="D4520" s="64" t="s">
        <v>690</v>
      </c>
      <c r="E4520" s="64">
        <f t="shared" si="292"/>
        <v>42725</v>
      </c>
      <c r="F4520" s="72" t="s">
        <v>2900</v>
      </c>
      <c r="G4520" s="67" t="s">
        <v>901</v>
      </c>
      <c r="H4520" s="72" t="s">
        <v>2048</v>
      </c>
      <c r="I4520" s="408"/>
      <c r="J4520" s="408"/>
      <c r="K4520" s="399">
        <v>1.5</v>
      </c>
      <c r="L4520" s="408">
        <v>22740</v>
      </c>
      <c r="M4520" s="65">
        <f>K4520*L4520</f>
        <v>34110</v>
      </c>
      <c r="N4520" s="66" t="s">
        <v>9</v>
      </c>
      <c r="O4520" s="66" t="s">
        <v>260</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x</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customHeight="1">
      <c r="A4521" s="323" t="str">
        <f>IF(B4521&lt;&gt;"",IF(AND(B4521='IN-TC'!$S$4,OR(TH!N4407="1111",TH!O4407="1111")),TH!D4407,""),"")</f>
        <v/>
      </c>
      <c r="B4521" s="63">
        <f t="shared" si="290"/>
        <v>12</v>
      </c>
      <c r="C4521" s="64">
        <v>42726</v>
      </c>
      <c r="D4521" s="64" t="s">
        <v>2941</v>
      </c>
      <c r="E4521" s="64">
        <f t="shared" si="292"/>
        <v>42726</v>
      </c>
      <c r="F4521" s="72" t="s">
        <v>2622</v>
      </c>
      <c r="G4521" s="931" t="s">
        <v>2187</v>
      </c>
      <c r="H4521" s="72" t="s">
        <v>2596</v>
      </c>
      <c r="I4521" s="408"/>
      <c r="J4521" s="408"/>
      <c r="K4521" s="399"/>
      <c r="L4521" s="408"/>
      <c r="M4521" s="65">
        <v>13200000</v>
      </c>
      <c r="N4521" s="66" t="s">
        <v>8</v>
      </c>
      <c r="O4521" s="66" t="s">
        <v>61</v>
      </c>
      <c r="P4521" s="82" t="str">
        <f>IF(AND('331-CT'!$E$7=TH!H4521,OR(N4521="331",O4521="331")),"x","")</f>
        <v/>
      </c>
      <c r="Q4521" s="82" t="str">
        <f>IF(AND(B4521='111'!$L$11,OR($N4521=$Q$7,$O4521=$Q$7)),"x","")</f>
        <v>x</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1" ht="15.75" customHeight="1">
      <c r="A4522" s="323" t="str">
        <f>IF(B4522&lt;&gt;"",IF(AND(B4522='IN-TC'!$S$4,OR(TH!N4408="1111",TH!O4408="1111")),TH!D4408,""),"")</f>
        <v/>
      </c>
      <c r="B4522" s="63">
        <f t="shared" si="290"/>
        <v>12</v>
      </c>
      <c r="C4522" s="64">
        <v>42726</v>
      </c>
      <c r="D4522" s="64" t="s">
        <v>2942</v>
      </c>
      <c r="E4522" s="64">
        <f t="shared" si="292"/>
        <v>42726</v>
      </c>
      <c r="F4522" s="72" t="s">
        <v>1087</v>
      </c>
      <c r="G4522" s="67" t="s">
        <v>1544</v>
      </c>
      <c r="H4522" s="72" t="s">
        <v>748</v>
      </c>
      <c r="I4522" s="408"/>
      <c r="J4522" s="408"/>
      <c r="K4522" s="399"/>
      <c r="L4522" s="408"/>
      <c r="M4522" s="65">
        <v>50000000</v>
      </c>
      <c r="N4522" s="66" t="s">
        <v>25</v>
      </c>
      <c r="O4522" s="66" t="s">
        <v>61</v>
      </c>
      <c r="P4522" s="82" t="str">
        <f>IF(AND('331-CT'!$E$7=TH!H4522,OR(N4522="331",O4522="331")),"x","")</f>
        <v/>
      </c>
      <c r="Q4522" s="82" t="str">
        <f>IF(AND(B4522='111'!$L$11,OR($N4522=$Q$7,$O4522=$Q$7)),"x","")</f>
        <v>x</v>
      </c>
      <c r="R4522" s="82" t="str">
        <f>IF(AND($N4522=$Q$7,$B4522&lt;'111'!$L$11),"x","")</f>
        <v/>
      </c>
      <c r="S4522" s="82" t="str">
        <f>IF(AND($O4522=$Q$7,$B4522&lt;'111'!$L$11),"x","")</f>
        <v/>
      </c>
      <c r="T4522" s="82" t="str">
        <f>IF(ISERROR(FIND('112'!$M$9,G4522,1)),"",IF((AND(FIND('112'!$M$9,G4522,1)&gt;=1,B4522='112'!$K$9,OR($N4522='112'!$I$6,$O4522='112'!$I$6))),"x",""))</f>
        <v>x</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customHeight="1">
      <c r="A4523" s="323" t="str">
        <f>IF(B4523&lt;&gt;"",IF(AND(B4523='IN-TC'!$S$4,OR(TH!N4426="1111",TH!O4426="1111")),TH!D4426,""),"")</f>
        <v/>
      </c>
      <c r="B4523" s="63">
        <f t="shared" si="290"/>
        <v>12</v>
      </c>
      <c r="C4523" s="64">
        <v>42730</v>
      </c>
      <c r="D4523" s="64" t="s">
        <v>2957</v>
      </c>
      <c r="E4523" s="64">
        <f t="shared" si="292"/>
        <v>42730</v>
      </c>
      <c r="F4523" s="72" t="s">
        <v>2510</v>
      </c>
      <c r="G4523" s="931" t="s">
        <v>2761</v>
      </c>
      <c r="H4523" s="72" t="s">
        <v>2511</v>
      </c>
      <c r="I4523" s="408"/>
      <c r="J4523" s="408"/>
      <c r="K4523" s="399"/>
      <c r="L4523" s="408"/>
      <c r="M4523" s="65">
        <v>9900000</v>
      </c>
      <c r="N4523" s="66" t="s">
        <v>8</v>
      </c>
      <c r="O4523" s="66" t="s">
        <v>61</v>
      </c>
      <c r="P4523" s="82" t="str">
        <f>IF(AND('331-CT'!$E$7=TH!H4523,OR(N4523="331",O4523="331")),"x","")</f>
        <v/>
      </c>
      <c r="Q4523" s="82" t="str">
        <f>IF(AND(B4523='111'!$L$11,OR($N4523=$Q$7,$O4523=$Q$7)),"x","")</f>
        <v>x</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customHeight="1">
      <c r="A4524" s="1160" t="str">
        <f>IF(B4524&lt;&gt;"",IF(AND(B4524='IN-TC'!$S$4,OR(TH!N1096="1111",TH!O1096="1111")),TH!D1096,""),"")</f>
        <v/>
      </c>
      <c r="B4524" s="948">
        <f t="shared" si="290"/>
        <v>12</v>
      </c>
      <c r="C4524" s="78">
        <v>42731</v>
      </c>
      <c r="D4524" s="78" t="s">
        <v>2893</v>
      </c>
      <c r="E4524" s="78">
        <f t="shared" si="292"/>
        <v>42731</v>
      </c>
      <c r="F4524" s="80" t="s">
        <v>2495</v>
      </c>
      <c r="G4524" s="934" t="s">
        <v>2763</v>
      </c>
      <c r="H4524" s="310" t="s">
        <v>2512</v>
      </c>
      <c r="I4524" s="406">
        <v>2030</v>
      </c>
      <c r="J4524" s="406">
        <v>7500</v>
      </c>
      <c r="K4524" s="397"/>
      <c r="L4524" s="406"/>
      <c r="M4524" s="81">
        <f>ROUND(I4524*J4524,0)</f>
        <v>15225000</v>
      </c>
      <c r="N4524" s="82" t="s">
        <v>270</v>
      </c>
      <c r="O4524" s="82" t="s">
        <v>8</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x</v>
      </c>
      <c r="AC4524" s="82" t="str">
        <f>IF(AND(OR(LEFT(TH!N4524,2)="15",LEFT(TH!O4524,2)="15"),TK!$E$7=TH!F4524),"x","")</f>
        <v/>
      </c>
      <c r="AD4524" s="82" t="str">
        <f>IF(AND(N4524="1521",MONTH(C4524)='BK-NL'!$M$11),"x","")</f>
        <v/>
      </c>
      <c r="AE4524">
        <v>1</v>
      </c>
    </row>
    <row r="4525" spans="1:31" ht="15.75" customHeight="1">
      <c r="A4525" s="1160" t="str">
        <f>IF(B4525&lt;&gt;"",IF(AND(B4525='IN-TC'!$S$4,OR(TH!N607="1111",TH!O607="1111")),TH!D607,""),"")</f>
        <v/>
      </c>
      <c r="B4525" s="948">
        <f t="shared" si="290"/>
        <v>12</v>
      </c>
      <c r="C4525" s="78">
        <v>42732</v>
      </c>
      <c r="D4525" s="78" t="s">
        <v>2794</v>
      </c>
      <c r="E4525" s="78">
        <f t="shared" si="292"/>
        <v>42732</v>
      </c>
      <c r="F4525" s="79" t="s">
        <v>455</v>
      </c>
      <c r="G4525" s="934" t="s">
        <v>1129</v>
      </c>
      <c r="H4525" s="80" t="s">
        <v>1198</v>
      </c>
      <c r="I4525" s="406">
        <v>26390</v>
      </c>
      <c r="J4525" s="406">
        <v>61000</v>
      </c>
      <c r="K4525" s="397"/>
      <c r="L4525" s="406"/>
      <c r="M4525" s="81">
        <f>ROUND(I4525*J4525,0)</f>
        <v>1609790000</v>
      </c>
      <c r="N4525" s="82" t="s">
        <v>278</v>
      </c>
      <c r="O4525" s="82" t="s">
        <v>8</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customHeight="1">
      <c r="A4526" s="323" t="str">
        <f>IF(B4526&lt;&gt;"",IF(AND(B4526='IN-TC'!$S$4,OR(TH!N4412="1111",TH!O4412="1111")),TH!D4412,""),"")</f>
        <v/>
      </c>
      <c r="B4526" s="63">
        <f t="shared" ref="B4526:B4589" si="293">IF(C4526&lt;&gt;"",MONTH(C4526),"")</f>
        <v>12</v>
      </c>
      <c r="C4526" s="1092">
        <v>42726</v>
      </c>
      <c r="D4526" s="1092" t="s">
        <v>2946</v>
      </c>
      <c r="E4526" s="1092">
        <f t="shared" si="292"/>
        <v>42726</v>
      </c>
      <c r="F4526" s="482" t="s">
        <v>947</v>
      </c>
      <c r="G4526" s="1094"/>
      <c r="H4526" s="937" t="s">
        <v>3001</v>
      </c>
      <c r="I4526" s="1095"/>
      <c r="J4526" s="1095"/>
      <c r="K4526" s="1096"/>
      <c r="L4526" s="1095"/>
      <c r="M4526" s="1097">
        <v>800000000</v>
      </c>
      <c r="N4526" s="1098" t="s">
        <v>266</v>
      </c>
      <c r="O4526" s="1098" t="s">
        <v>61</v>
      </c>
      <c r="P4526" s="82" t="str">
        <f>IF(AND('331-CT'!$E$7=TH!H4526,OR(N4526="331",O4526="331")),"x","")</f>
        <v/>
      </c>
      <c r="Q4526" s="82" t="str">
        <f>IF(AND(B4526='111'!$L$11,OR($N4526=$Q$7,$O4526=$Q$7)),"x","")</f>
        <v>x</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customHeight="1">
      <c r="A4527" s="323"/>
      <c r="B4527" s="1199">
        <f t="shared" si="293"/>
        <v>12</v>
      </c>
      <c r="C4527" s="1087">
        <v>42732</v>
      </c>
      <c r="D4527" s="1087" t="s">
        <v>2856</v>
      </c>
      <c r="E4527" s="90">
        <f t="shared" si="292"/>
        <v>42732</v>
      </c>
      <c r="F4527" s="1153" t="s">
        <v>1952</v>
      </c>
      <c r="G4527" s="1155" t="s">
        <v>2311</v>
      </c>
      <c r="H4527" s="1153" t="s">
        <v>1198</v>
      </c>
      <c r="I4527" s="414">
        <v>42261</v>
      </c>
      <c r="J4527" s="1108">
        <v>17000</v>
      </c>
      <c r="K4527" s="1110"/>
      <c r="L4527" s="1109"/>
      <c r="M4527" s="81">
        <f>ROUND(I4527*J4527,0)</f>
        <v>718437000</v>
      </c>
      <c r="N4527" s="83" t="s">
        <v>276</v>
      </c>
      <c r="O4527" s="83" t="s">
        <v>268</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customHeight="1">
      <c r="A4528" s="323" t="str">
        <f>IF(B4528&lt;&gt;"",IF(AND(B4528='IN-TC'!$S$4,OR(TH!N4492="1111",TH!O4492="1111")),TH!D4492,""),"")</f>
        <v/>
      </c>
      <c r="B4528" s="63">
        <f t="shared" si="293"/>
        <v>12</v>
      </c>
      <c r="C4528" s="64">
        <v>42726</v>
      </c>
      <c r="D4528" s="64" t="s">
        <v>690</v>
      </c>
      <c r="E4528" s="64">
        <f t="shared" si="292"/>
        <v>42726</v>
      </c>
      <c r="F4528" s="72" t="s">
        <v>1532</v>
      </c>
      <c r="G4528" s="67" t="s">
        <v>901</v>
      </c>
      <c r="H4528" s="72" t="s">
        <v>2323</v>
      </c>
      <c r="I4528" s="408"/>
      <c r="J4528" s="408"/>
      <c r="K4528" s="399"/>
      <c r="L4528" s="408"/>
      <c r="M4528" s="65">
        <v>876993000</v>
      </c>
      <c r="N4528" s="66" t="s">
        <v>8</v>
      </c>
      <c r="O4528" s="66" t="s">
        <v>25</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customHeight="1">
      <c r="A4529" s="323" t="str">
        <f>IF(B4529&lt;&gt;"",IF(AND(B4529='IN-TC'!$S$4,OR(TH!N4493="1111",TH!O4493="1111")),TH!D4493,""),"")</f>
        <v/>
      </c>
      <c r="B4529" s="63">
        <f t="shared" si="293"/>
        <v>12</v>
      </c>
      <c r="C4529" s="64">
        <v>42726</v>
      </c>
      <c r="D4529" s="64" t="s">
        <v>690</v>
      </c>
      <c r="E4529" s="64">
        <f t="shared" si="292"/>
        <v>42726</v>
      </c>
      <c r="F4529" s="72" t="s">
        <v>2147</v>
      </c>
      <c r="G4529" s="67" t="s">
        <v>901</v>
      </c>
      <c r="H4529" s="72" t="s">
        <v>2048</v>
      </c>
      <c r="I4529" s="408"/>
      <c r="J4529" s="408"/>
      <c r="K4529" s="399"/>
      <c r="L4529" s="408"/>
      <c r="M4529" s="65">
        <v>438497</v>
      </c>
      <c r="N4529" s="66" t="s">
        <v>99</v>
      </c>
      <c r="O4529" s="66" t="s">
        <v>25</v>
      </c>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c r="AE4529">
        <v>1</v>
      </c>
    </row>
    <row r="4530" spans="1:31" ht="15.75" customHeight="1">
      <c r="A4530" s="323" t="str">
        <f>IF(B4530&lt;&gt;"",IF(AND(B4530='IN-TC'!$S$4,OR(TH!N4494="1111",TH!O4494="1111")),TH!D4494,""),"")</f>
        <v/>
      </c>
      <c r="B4530" s="63">
        <f t="shared" si="293"/>
        <v>12</v>
      </c>
      <c r="C4530" s="64">
        <v>42726</v>
      </c>
      <c r="D4530" s="64" t="s">
        <v>690</v>
      </c>
      <c r="E4530" s="64">
        <f t="shared" si="292"/>
        <v>42726</v>
      </c>
      <c r="F4530" s="72" t="s">
        <v>2148</v>
      </c>
      <c r="G4530" s="67" t="s">
        <v>901</v>
      </c>
      <c r="H4530" s="72" t="s">
        <v>2048</v>
      </c>
      <c r="I4530" s="408"/>
      <c r="J4530" s="408"/>
      <c r="K4530" s="399"/>
      <c r="L4530" s="408"/>
      <c r="M4530" s="65">
        <v>43850</v>
      </c>
      <c r="N4530" s="66" t="s">
        <v>9</v>
      </c>
      <c r="O4530" s="66" t="s">
        <v>25</v>
      </c>
      <c r="P4530" s="82" t="str">
        <f>IF(AND('331-CT'!$E$7=TH!H4530,OR(N4530="331",O4530="331")),"x","")</f>
        <v/>
      </c>
      <c r="Q4530" s="82" t="str">
        <f>IF(AND(B4530='111'!$L$11,OR($N4530=$Q$7,$O4530=$Q$7)),"x","")</f>
        <v/>
      </c>
      <c r="R4530" s="82" t="str">
        <f>IF(AND($N4530=$Q$7,$B4530&lt;'111'!$L$11),"x","")</f>
        <v/>
      </c>
      <c r="S4530" s="82" t="str">
        <f>IF(AND($O4530=$Q$7,$B4530&lt;'111'!$L$11),"x","")</f>
        <v/>
      </c>
      <c r="T4530" s="82" t="str">
        <f>IF(ISERROR(FIND('112'!$M$9,G4530,1)),"",IF((AND(FIND('112'!$M$9,G4530,1)&gt;=1,B4530='112'!$K$9,OR($N4530='112'!$I$6,$O4530='112'!$I$6))),"x",""))</f>
        <v/>
      </c>
      <c r="U4530" s="82" t="str">
        <f>IF(ISERROR(FIND('112'!$M$9,G4530,1)),"",IF((AND(LEFT(G4530,2)=LEFT('112'!$M$9,2),B4530&lt;'112'!$K$9,$N4530='112'!$I$6)),"x",""))</f>
        <v/>
      </c>
      <c r="V4530" s="82" t="str">
        <f>IF(ISERROR(FIND('112'!$M$9,G4530,1)),"",IF((AND(RIGHT(G4530,2)=RIGHT('112'!$M$9,2),B4530&lt;'112'!$K$9,$O4530='112'!$I$6)),"x",""))</f>
        <v/>
      </c>
      <c r="W4530" s="82" t="str">
        <f>IF(AND('341-CT'!$H$9=H4530,OR(LEFT(N4530,3)=$W$7,LEFT(O4530,3)=$W$7)),"x","")</f>
        <v/>
      </c>
      <c r="X4530" s="82" t="str">
        <f>IF(OR(TH!N4530=TH!$X$7,O4530=TH!$X$7),"x","")</f>
        <v>x</v>
      </c>
      <c r="Y4530" s="82" t="str">
        <f>IF(AND(OR(N4530="131",O4530="131"),H4530='131-CT'!$H$9),"x","")</f>
        <v/>
      </c>
      <c r="Z4530" s="82"/>
      <c r="AA4530" s="82" t="str">
        <f>IF(AND(MONTH(E4530)='IN-NX'!$J$5,'IN-NX'!$D$7=D4530),"x","")</f>
        <v/>
      </c>
      <c r="AB4530" s="82" t="str">
        <f>IF(AND(OR(LEFT(TH!N4530,2)="15",LEFT(TH!O4530,2)="15"),LEFT(TH!O4530,3)&lt;&gt;"111",'152-CT'!$J$8=TH!F4530),"x","")</f>
        <v/>
      </c>
      <c r="AC4530" s="82" t="str">
        <f>IF(AND(OR(LEFT(TH!N4530,2)="15",LEFT(TH!O4530,2)="15"),TK!$E$7=TH!F4530),"x","")</f>
        <v/>
      </c>
      <c r="AD4530" s="82" t="str">
        <f>IF(AND(N4530="1521",MONTH(C4530)='BK-NL'!$M$11),"x","")</f>
        <v/>
      </c>
      <c r="AE4530">
        <v>1</v>
      </c>
    </row>
    <row r="4531" spans="1:31" ht="15.75" customHeight="1">
      <c r="A4531" s="1227" t="str">
        <f>IF(B4531&lt;&gt;"",IF(AND(B4531='IN-TC'!$S$4,OR(TH!N627="1111",TH!O627="1111")),TH!D627,""),"")</f>
        <v/>
      </c>
      <c r="B4531" s="1228">
        <f t="shared" si="293"/>
        <v>12</v>
      </c>
      <c r="C4531" s="1229">
        <v>42732</v>
      </c>
      <c r="D4531" s="1229" t="s">
        <v>2988</v>
      </c>
      <c r="E4531" s="1229">
        <f t="shared" si="292"/>
        <v>42732</v>
      </c>
      <c r="F4531" s="1230" t="s">
        <v>455</v>
      </c>
      <c r="G4531" s="1231" t="s">
        <v>2714</v>
      </c>
      <c r="H4531" s="1232" t="s">
        <v>2224</v>
      </c>
      <c r="I4531" s="1233">
        <v>26390</v>
      </c>
      <c r="J4531" s="1233">
        <v>56500</v>
      </c>
      <c r="K4531" s="1234"/>
      <c r="L4531" s="1233"/>
      <c r="M4531" s="1235">
        <f>ROUND(I4531*J4531,0)</f>
        <v>1491035000</v>
      </c>
      <c r="N4531" s="1236" t="s">
        <v>276</v>
      </c>
      <c r="O4531" s="1236" t="s">
        <v>278</v>
      </c>
      <c r="P4531" s="82" t="str">
        <f>IF(AND('331-CT'!$E$7=TH!H4531,OR(N4531="331",O4531="331")),"x","")</f>
        <v/>
      </c>
      <c r="Q4531" s="82" t="str">
        <f>IF(AND(B4531='111'!$L$11,OR($N4531=$Q$7,$O4531=$Q$7)),"x","")</f>
        <v/>
      </c>
      <c r="R4531" s="82" t="str">
        <f>IF(AND($N4531=$Q$7,$B4531&lt;'111'!$L$11),"x","")</f>
        <v/>
      </c>
      <c r="S4531" s="82" t="str">
        <f>IF(AND($O4531=$Q$7,$B4531&lt;'111'!$L$11),"x","")</f>
        <v/>
      </c>
      <c r="T4531" s="82" t="str">
        <f>IF(ISERROR(FIND('112'!$M$9,G4531,1)),"",IF((AND(FIND('112'!$M$9,G4531,1)&gt;=1,B4531='112'!$K$9,OR($N4531='112'!$I$6,$O4531='112'!$I$6))),"x",""))</f>
        <v/>
      </c>
      <c r="U4531" s="82" t="str">
        <f>IF(ISERROR(FIND('112'!$M$9,G4531,1)),"",IF((AND(LEFT(G4531,2)=LEFT('112'!$M$9,2),B4531&lt;'112'!$K$9,$N4531='112'!$I$6)),"x",""))</f>
        <v/>
      </c>
      <c r="V4531" s="82" t="str">
        <f>IF(ISERROR(FIND('112'!$M$9,G4531,1)),"",IF((AND(RIGHT(G4531,2)=RIGHT('112'!$M$9,2),B4531&lt;'112'!$K$9,$O4531='112'!$I$6)),"x",""))</f>
        <v/>
      </c>
      <c r="W4531" s="82" t="str">
        <f>IF(AND('341-CT'!$H$9=H4531,OR(LEFT(N4531,3)=$W$7,LEFT(O4531,3)=$W$7)),"x","")</f>
        <v/>
      </c>
      <c r="X4531" s="82" t="str">
        <f>IF(OR(TH!N4531=TH!$X$7,O4531=TH!$X$7),"x","")</f>
        <v/>
      </c>
      <c r="Y4531" s="82" t="str">
        <f>IF(AND(OR(N4531="131",O4531="131"),H4531='131-CT'!$H$9),"x","")</f>
        <v/>
      </c>
      <c r="Z4531" s="82"/>
      <c r="AA4531" s="82" t="str">
        <f>IF(AND(MONTH(E4531)='IN-NX'!$J$5,'IN-NX'!$D$7=D4531),"x","")</f>
        <v/>
      </c>
      <c r="AB4531" s="82" t="str">
        <f>IF(AND(OR(LEFT(TH!N4531,2)="15",LEFT(TH!O4531,2)="15"),LEFT(TH!O4531,3)&lt;&gt;"111",'152-CT'!$J$8=TH!F4531),"x","")</f>
        <v/>
      </c>
      <c r="AC4531" s="82" t="str">
        <f>IF(AND(OR(LEFT(TH!N4531,2)="15",LEFT(TH!O4531,2)="15"),TK!$E$7=TH!F4531),"x","")</f>
        <v/>
      </c>
      <c r="AD4531" s="82" t="str">
        <f>IF(AND(N4531="1521",MONTH(C4531)='BK-NL'!$M$11),"x","")</f>
        <v/>
      </c>
    </row>
    <row r="4532" spans="1:31" ht="15.75" customHeight="1">
      <c r="A4532" s="323" t="str">
        <f>IF(B4532&lt;&gt;"",IF(AND(B4532='IN-TC'!$S$4,OR(TH!N4496="1111",TH!O4496="1111")),TH!D4496,""),"")</f>
        <v/>
      </c>
      <c r="B4532" s="63">
        <f t="shared" si="293"/>
        <v>12</v>
      </c>
      <c r="C4532" s="64">
        <v>42726</v>
      </c>
      <c r="D4532" s="64" t="s">
        <v>690</v>
      </c>
      <c r="E4532" s="64">
        <f t="shared" si="292"/>
        <v>42726</v>
      </c>
      <c r="F4532" s="72" t="s">
        <v>2147</v>
      </c>
      <c r="G4532" s="67" t="s">
        <v>901</v>
      </c>
      <c r="H4532" s="72" t="s">
        <v>2048</v>
      </c>
      <c r="I4532" s="408"/>
      <c r="J4532" s="408"/>
      <c r="K4532" s="399"/>
      <c r="L4532" s="408"/>
      <c r="M4532" s="65">
        <v>738920</v>
      </c>
      <c r="N4532" s="66" t="s">
        <v>99</v>
      </c>
      <c r="O4532" s="66" t="s">
        <v>25</v>
      </c>
      <c r="P4532" s="82" t="str">
        <f>IF(AND('331-CT'!$E$7=TH!H4532,OR(N4532="331",O4532="331")),"x","")</f>
        <v/>
      </c>
      <c r="Q4532" s="82" t="str">
        <f>IF(AND(B4532='111'!$L$11,OR($N4532=$Q$7,$O4532=$Q$7)),"x","")</f>
        <v/>
      </c>
      <c r="R4532" s="82" t="str">
        <f>IF(AND($N4532=$Q$7,$B4532&lt;'111'!$L$11),"x","")</f>
        <v/>
      </c>
      <c r="S4532" s="82" t="str">
        <f>IF(AND($O4532=$Q$7,$B4532&lt;'111'!$L$11),"x","")</f>
        <v/>
      </c>
      <c r="T4532" s="82" t="str">
        <f>IF(ISERROR(FIND('112'!$M$9,G4532,1)),"",IF((AND(FIND('112'!$M$9,G4532,1)&gt;=1,B4532='112'!$K$9,OR($N4532='112'!$I$6,$O4532='112'!$I$6))),"x",""))</f>
        <v/>
      </c>
      <c r="U4532" s="82" t="str">
        <f>IF(ISERROR(FIND('112'!$M$9,G4532,1)),"",IF((AND(LEFT(G4532,2)=LEFT('112'!$M$9,2),B4532&lt;'112'!$K$9,$N4532='112'!$I$6)),"x",""))</f>
        <v/>
      </c>
      <c r="V4532" s="82" t="str">
        <f>IF(ISERROR(FIND('112'!$M$9,G4532,1)),"",IF((AND(RIGHT(G4532,2)=RIGHT('112'!$M$9,2),B4532&lt;'112'!$K$9,$O4532='112'!$I$6)),"x",""))</f>
        <v/>
      </c>
      <c r="W4532" s="82" t="str">
        <f>IF(AND('341-CT'!$H$9=H4532,OR(LEFT(N4532,3)=$W$7,LEFT(O4532,3)=$W$7)),"x","")</f>
        <v/>
      </c>
      <c r="X4532" s="82" t="str">
        <f>IF(OR(TH!N4532=TH!$X$7,O4532=TH!$X$7),"x","")</f>
        <v/>
      </c>
      <c r="Y4532" s="82" t="str">
        <f>IF(AND(OR(N4532="131",O4532="131"),H4532='131-CT'!$H$9),"x","")</f>
        <v/>
      </c>
      <c r="Z4532" s="82"/>
      <c r="AA4532" s="82" t="str">
        <f>IF(AND(MONTH(E4532)='IN-NX'!$J$5,'IN-NX'!$D$7=D4532),"x","")</f>
        <v/>
      </c>
      <c r="AB4532" s="82" t="str">
        <f>IF(AND(OR(LEFT(TH!N4532,2)="15",LEFT(TH!O4532,2)="15"),LEFT(TH!O4532,3)&lt;&gt;"111",'152-CT'!$J$8=TH!F4532),"x","")</f>
        <v/>
      </c>
      <c r="AC4532" s="82" t="str">
        <f>IF(AND(OR(LEFT(TH!N4532,2)="15",LEFT(TH!O4532,2)="15"),TK!$E$7=TH!F4532),"x","")</f>
        <v/>
      </c>
      <c r="AD4532" s="82" t="str">
        <f>IF(AND(N4532="1521",MONTH(C4532)='BK-NL'!$M$11),"x","")</f>
        <v/>
      </c>
      <c r="AE4532">
        <v>1</v>
      </c>
    </row>
    <row r="4533" spans="1:31" ht="15.75" customHeight="1">
      <c r="A4533" s="323" t="str">
        <f>IF(B4533&lt;&gt;"",IF(AND(B4533='IN-TC'!$S$4,OR(TH!N4497="1111",TH!O4497="1111")),TH!D4497,""),"")</f>
        <v/>
      </c>
      <c r="B4533" s="63">
        <f t="shared" si="293"/>
        <v>12</v>
      </c>
      <c r="C4533" s="64">
        <v>42726</v>
      </c>
      <c r="D4533" s="64" t="s">
        <v>690</v>
      </c>
      <c r="E4533" s="64">
        <f t="shared" si="292"/>
        <v>42726</v>
      </c>
      <c r="F4533" s="72" t="s">
        <v>2148</v>
      </c>
      <c r="G4533" s="67" t="s">
        <v>901</v>
      </c>
      <c r="H4533" s="72" t="s">
        <v>2048</v>
      </c>
      <c r="I4533" s="408"/>
      <c r="J4533" s="408"/>
      <c r="K4533" s="399"/>
      <c r="L4533" s="408"/>
      <c r="M4533" s="65">
        <v>73892</v>
      </c>
      <c r="N4533" s="66" t="s">
        <v>9</v>
      </c>
      <c r="O4533" s="66" t="s">
        <v>25</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x</v>
      </c>
      <c r="Y4533" s="82" t="str">
        <f>IF(AND(OR(N4533="131",O4533="131"),H4533='131-CT'!$H$9),"x","")</f>
        <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c r="AE4533">
        <v>1</v>
      </c>
    </row>
    <row r="4534" spans="1:31" ht="15.75" customHeight="1">
      <c r="A4534" s="323" t="str">
        <f>IF(B4534&lt;&gt;"",IF(AND(B4534='IN-TC'!$S$4,OR(TH!N4499="1111",TH!O4499="1111")),TH!D4499,""),"")</f>
        <v/>
      </c>
      <c r="B4534" s="63">
        <f t="shared" si="293"/>
        <v>12</v>
      </c>
      <c r="C4534" s="64">
        <v>42726</v>
      </c>
      <c r="D4534" s="64" t="s">
        <v>690</v>
      </c>
      <c r="E4534" s="64">
        <f t="shared" si="292"/>
        <v>42726</v>
      </c>
      <c r="F4534" s="72" t="s">
        <v>2748</v>
      </c>
      <c r="G4534" s="67" t="s">
        <v>901</v>
      </c>
      <c r="H4534" s="72" t="s">
        <v>2048</v>
      </c>
      <c r="I4534" s="408"/>
      <c r="J4534" s="408"/>
      <c r="K4534" s="399"/>
      <c r="L4534" s="408"/>
      <c r="M4534" s="65">
        <v>28786</v>
      </c>
      <c r="N4534" s="66" t="s">
        <v>99</v>
      </c>
      <c r="O4534" s="66" t="s">
        <v>25</v>
      </c>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c r="AE4534">
        <v>1</v>
      </c>
    </row>
    <row r="4535" spans="1:31" ht="15.75" customHeight="1">
      <c r="A4535" s="323" t="str">
        <f>IF(B4535&lt;&gt;"",IF(AND(B4535='IN-TC'!$S$4,OR(TH!N4500="1111",TH!O4500="1111")),TH!D4500,""),"")</f>
        <v/>
      </c>
      <c r="B4535" s="63">
        <f t="shared" si="293"/>
        <v>12</v>
      </c>
      <c r="C4535" s="64">
        <v>42726</v>
      </c>
      <c r="D4535" s="64" t="s">
        <v>690</v>
      </c>
      <c r="E4535" s="64">
        <f t="shared" si="292"/>
        <v>42726</v>
      </c>
      <c r="F4535" s="72" t="s">
        <v>2749</v>
      </c>
      <c r="G4535" s="67" t="s">
        <v>901</v>
      </c>
      <c r="H4535" s="72" t="s">
        <v>2048</v>
      </c>
      <c r="I4535" s="408"/>
      <c r="J4535" s="408"/>
      <c r="K4535" s="399"/>
      <c r="L4535" s="408"/>
      <c r="M4535" s="65">
        <v>2879</v>
      </c>
      <c r="N4535" s="66" t="s">
        <v>9</v>
      </c>
      <c r="O4535" s="66" t="s">
        <v>25</v>
      </c>
      <c r="P4535" s="82" t="str">
        <f>IF(AND('331-CT'!$E$7=TH!H4535,OR(N4535="331",O4535="331")),"x","")</f>
        <v/>
      </c>
      <c r="Q4535" s="82" t="str">
        <f>IF(AND(B4535='111'!$L$11,OR($N4535=$Q$7,$O4535=$Q$7)),"x","")</f>
        <v/>
      </c>
      <c r="R4535" s="82" t="str">
        <f>IF(AND($N4535=$Q$7,$B4535&lt;'111'!$L$11),"x","")</f>
        <v/>
      </c>
      <c r="S4535" s="82" t="str">
        <f>IF(AND($O4535=$Q$7,$B4535&lt;'111'!$L$11),"x","")</f>
        <v/>
      </c>
      <c r="T4535" s="82" t="str">
        <f>IF(ISERROR(FIND('112'!$M$9,G4535,1)),"",IF((AND(FIND('112'!$M$9,G4535,1)&gt;=1,B4535='112'!$K$9,OR($N4535='112'!$I$6,$O4535='112'!$I$6))),"x",""))</f>
        <v/>
      </c>
      <c r="U4535" s="82" t="str">
        <f>IF(ISERROR(FIND('112'!$M$9,G4535,1)),"",IF((AND(LEFT(G4535,2)=LEFT('112'!$M$9,2),B4535&lt;'112'!$K$9,$N4535='112'!$I$6)),"x",""))</f>
        <v/>
      </c>
      <c r="V4535" s="82" t="str">
        <f>IF(ISERROR(FIND('112'!$M$9,G4535,1)),"",IF((AND(RIGHT(G4535,2)=RIGHT('112'!$M$9,2),B4535&lt;'112'!$K$9,$O4535='112'!$I$6)),"x",""))</f>
        <v/>
      </c>
      <c r="W4535" s="82" t="str">
        <f>IF(AND('341-CT'!$H$9=H4535,OR(LEFT(N4535,3)=$W$7,LEFT(O4535,3)=$W$7)),"x","")</f>
        <v/>
      </c>
      <c r="X4535" s="82" t="str">
        <f>IF(OR(TH!N4535=TH!$X$7,O4535=TH!$X$7),"x","")</f>
        <v>x</v>
      </c>
      <c r="Y4535" s="82" t="str">
        <f>IF(AND(OR(N4535="131",O4535="131"),H4535='131-CT'!$H$9),"x","")</f>
        <v/>
      </c>
      <c r="Z4535" s="82"/>
      <c r="AA4535" s="82" t="str">
        <f>IF(AND(MONTH(E4535)='IN-NX'!$J$5,'IN-NX'!$D$7=D4535),"x","")</f>
        <v/>
      </c>
      <c r="AB4535" s="82" t="str">
        <f>IF(AND(OR(LEFT(TH!N4535,2)="15",LEFT(TH!O4535,2)="15"),LEFT(TH!O4535,3)&lt;&gt;"111",'152-CT'!$J$8=TH!F4535),"x","")</f>
        <v/>
      </c>
      <c r="AC4535" s="82" t="str">
        <f>IF(AND(OR(LEFT(TH!N4535,2)="15",LEFT(TH!O4535,2)="15"),TK!$E$7=TH!F4535),"x","")</f>
        <v/>
      </c>
      <c r="AD4535" s="82" t="str">
        <f>IF(AND(N4535="1521",MONTH(C4535)='BK-NL'!$M$11),"x","")</f>
        <v/>
      </c>
      <c r="AE4535">
        <v>1</v>
      </c>
    </row>
    <row r="4536" spans="1:31" ht="15.75" customHeight="1">
      <c r="A4536" s="323" t="str">
        <f>IF(B4536&lt;&gt;"",IF(AND(B4536='IN-TC'!$S$4,OR(TH!N4594="1111",TH!O4594="1111")),TH!D4594,""),"")</f>
        <v/>
      </c>
      <c r="B4536" s="63">
        <f t="shared" si="293"/>
        <v>12</v>
      </c>
      <c r="C4536" s="64">
        <v>42726</v>
      </c>
      <c r="D4536" s="64" t="s">
        <v>690</v>
      </c>
      <c r="E4536" s="64">
        <f t="shared" si="292"/>
        <v>42726</v>
      </c>
      <c r="F4536" s="72" t="s">
        <v>1768</v>
      </c>
      <c r="G4536" s="67" t="s">
        <v>1544</v>
      </c>
      <c r="H4536" s="72" t="s">
        <v>1780</v>
      </c>
      <c r="I4536" s="408"/>
      <c r="J4536" s="408"/>
      <c r="K4536" s="399">
        <v>2000</v>
      </c>
      <c r="L4536" s="408">
        <v>22800</v>
      </c>
      <c r="M4536" s="65">
        <f t="shared" ref="M4536:M4548" si="294">K4536*L4536</f>
        <v>45600000</v>
      </c>
      <c r="N4536" s="66" t="s">
        <v>260</v>
      </c>
      <c r="O4536" s="66" t="s">
        <v>25</v>
      </c>
      <c r="P4536" s="82" t="str">
        <f>IF(AND('331-CT'!$E$7=TH!H4536,OR(N4536="331",O4536="331")),"x","")</f>
        <v/>
      </c>
      <c r="Q4536" s="82" t="str">
        <f>IF(AND(B4536='111'!$L$11,OR($N4536=$Q$7,$O4536=$Q$7)),"x","")</f>
        <v/>
      </c>
      <c r="R4536" s="82" t="str">
        <f>IF(AND($N4536=$Q$7,$B4536&lt;'111'!$L$11),"x","")</f>
        <v/>
      </c>
      <c r="S4536" s="82" t="str">
        <f>IF(AND($O4536=$Q$7,$B4536&lt;'111'!$L$11),"x","")</f>
        <v/>
      </c>
      <c r="T4536" s="82" t="str">
        <f>IF(ISERROR(FIND('112'!$M$9,G4536,1)),"",IF((AND(FIND('112'!$M$9,G4536,1)&gt;=1,B4536='112'!$K$9,OR($N4536='112'!$I$6,$O4536='112'!$I$6))),"x",""))</f>
        <v>x</v>
      </c>
      <c r="U4536" s="82" t="str">
        <f>IF(ISERROR(FIND('112'!$M$9,G4536,1)),"",IF((AND(LEFT(G4536,2)=LEFT('112'!$M$9,2),B4536&lt;'112'!$K$9,$N4536='112'!$I$6)),"x",""))</f>
        <v/>
      </c>
      <c r="V4536" s="82" t="str">
        <f>IF(ISERROR(FIND('112'!$M$9,G4536,1)),"",IF((AND(RIGHT(G4536,2)=RIGHT('112'!$M$9,2),B4536&lt;'112'!$K$9,$O4536='112'!$I$6)),"x",""))</f>
        <v/>
      </c>
      <c r="W4536" s="82" t="str">
        <f>IF(AND('341-CT'!$H$9=H4536,OR(LEFT(N4536,3)=$W$7,LEFT(O4536,3)=$W$7)),"x","")</f>
        <v/>
      </c>
      <c r="X4536" s="82" t="str">
        <f>IF(OR(TH!N4536=TH!$X$7,O4536=TH!$X$7),"x","")</f>
        <v/>
      </c>
      <c r="Y4536" s="82" t="str">
        <f>IF(AND(OR(N4536="131",O4536="131"),H4536='131-CT'!$H$9),"x","")</f>
        <v/>
      </c>
      <c r="Z4536" s="82"/>
      <c r="AA4536" s="82" t="str">
        <f>IF(AND(MONTH(E4536)='IN-NX'!$J$5,'IN-NX'!$D$7=D4536),"x","")</f>
        <v/>
      </c>
      <c r="AB4536" s="82" t="str">
        <f>IF(AND(OR(LEFT(TH!N4536,2)="15",LEFT(TH!O4536,2)="15"),LEFT(TH!O4536,3)&lt;&gt;"111",'152-CT'!$J$8=TH!F4536),"x","")</f>
        <v/>
      </c>
      <c r="AC4536" s="82" t="str">
        <f>IF(AND(OR(LEFT(TH!N4536,2)="15",LEFT(TH!O4536,2)="15"),TK!$E$7=TH!F4536),"x","")</f>
        <v/>
      </c>
      <c r="AD4536" s="82" t="str">
        <f>IF(AND(N4536="1521",MONTH(C4536)='BK-NL'!$M$11),"x","")</f>
        <v/>
      </c>
    </row>
    <row r="4537" spans="1:31" ht="15.75" customHeight="1">
      <c r="A4537" s="323" t="str">
        <f>IF(B4537&lt;&gt;"",IF(AND(B4537='IN-TC'!$S$4,OR(TH!N4622="1111",TH!O4622="1111")),TH!D4622,""),"")</f>
        <v/>
      </c>
      <c r="B4537" s="63">
        <f t="shared" si="293"/>
        <v>12</v>
      </c>
      <c r="C4537" s="64">
        <v>42726</v>
      </c>
      <c r="D4537" s="64" t="s">
        <v>690</v>
      </c>
      <c r="E4537" s="64">
        <f t="shared" si="292"/>
        <v>42726</v>
      </c>
      <c r="F4537" s="72" t="s">
        <v>2144</v>
      </c>
      <c r="G4537" s="67" t="s">
        <v>1544</v>
      </c>
      <c r="H4537" s="72" t="s">
        <v>1780</v>
      </c>
      <c r="I4537" s="408"/>
      <c r="J4537" s="408"/>
      <c r="K4537" s="399">
        <v>223.75</v>
      </c>
      <c r="L4537" s="408">
        <v>22750</v>
      </c>
      <c r="M4537" s="65">
        <f t="shared" si="294"/>
        <v>5090312.5</v>
      </c>
      <c r="N4537" s="66" t="s">
        <v>97</v>
      </c>
      <c r="O4537" s="66" t="s">
        <v>260</v>
      </c>
      <c r="P4537" s="82" t="str">
        <f>IF(AND('331-CT'!$E$7=TH!H4537,OR(N4537="331",O4537="331")),"x","")</f>
        <v/>
      </c>
      <c r="Q4537" s="82" t="str">
        <f>IF(AND(B4537='111'!$L$11,OR($N4537=$Q$7,$O4537=$Q$7)),"x","")</f>
        <v/>
      </c>
      <c r="R4537" s="82" t="str">
        <f>IF(AND($N4537=$Q$7,$B4537&lt;'111'!$L$11),"x","")</f>
        <v/>
      </c>
      <c r="S4537" s="82" t="str">
        <f>IF(AND($O4537=$Q$7,$B4537&lt;'111'!$L$11),"x","")</f>
        <v/>
      </c>
      <c r="T4537" s="82" t="str">
        <f>IF(ISERROR(FIND('112'!$M$9,G4537,1)),"",IF((AND(FIND('112'!$M$9,G4537,1)&gt;=1,B4537='112'!$K$9,OR($N4537='112'!$I$6,$O4537='112'!$I$6))),"x",""))</f>
        <v/>
      </c>
      <c r="U4537" s="82" t="str">
        <f>IF(ISERROR(FIND('112'!$M$9,G4537,1)),"",IF((AND(LEFT(G4537,2)=LEFT('112'!$M$9,2),B4537&lt;'112'!$K$9,$N4537='112'!$I$6)),"x",""))</f>
        <v/>
      </c>
      <c r="V4537" s="82" t="str">
        <f>IF(ISERROR(FIND('112'!$M$9,G4537,1)),"",IF((AND(RIGHT(G4537,2)=RIGHT('112'!$M$9,2),B4537&lt;'112'!$K$9,$O4537='112'!$I$6)),"x",""))</f>
        <v/>
      </c>
      <c r="W4537" s="82" t="str">
        <f>IF(AND('341-CT'!$H$9=H4537,OR(LEFT(N4537,3)=$W$7,LEFT(O4537,3)=$W$7)),"x","")</f>
        <v/>
      </c>
      <c r="X4537" s="82" t="str">
        <f>IF(OR(TH!N4537=TH!$X$7,O4537=TH!$X$7),"x","")</f>
        <v/>
      </c>
      <c r="Y4537" s="82" t="str">
        <f>IF(AND(OR(N4537="131",O4537="131"),H4537='131-CT'!$H$9),"x","")</f>
        <v/>
      </c>
      <c r="Z4537" s="82"/>
      <c r="AA4537" s="82" t="str">
        <f>IF(AND(MONTH(E4537)='IN-NX'!$J$5,'IN-NX'!$D$7=D4537),"x","")</f>
        <v/>
      </c>
      <c r="AB4537" s="82" t="str">
        <f>IF(AND(OR(LEFT(TH!N4537,2)="15",LEFT(TH!O4537,2)="15"),LEFT(TH!O4537,3)&lt;&gt;"111",'152-CT'!$J$8=TH!F4537),"x","")</f>
        <v/>
      </c>
      <c r="AC4537" s="82" t="str">
        <f>IF(AND(OR(LEFT(TH!N4537,2)="15",LEFT(TH!O4537,2)="15"),TK!$E$7=TH!F4537),"x","")</f>
        <v/>
      </c>
      <c r="AD4537" s="82" t="str">
        <f>IF(AND(N4537="1521",MONTH(C4537)='BK-NL'!$M$11),"x","")</f>
        <v/>
      </c>
    </row>
    <row r="4538" spans="1:31" ht="15.75" customHeight="1">
      <c r="A4538" s="323" t="str">
        <f>IF(B4538&lt;&gt;"",IF(AND(B4538='IN-TC'!$S$4,OR(TH!N4623="1111",TH!O4623="1111")),TH!D4623,""),"")</f>
        <v/>
      </c>
      <c r="B4538" s="63">
        <f t="shared" si="293"/>
        <v>12</v>
      </c>
      <c r="C4538" s="64">
        <v>42726</v>
      </c>
      <c r="D4538" s="64" t="s">
        <v>690</v>
      </c>
      <c r="E4538" s="64">
        <f t="shared" si="292"/>
        <v>42726</v>
      </c>
      <c r="F4538" s="72" t="s">
        <v>2144</v>
      </c>
      <c r="G4538" s="67" t="s">
        <v>1544</v>
      </c>
      <c r="H4538" s="72" t="s">
        <v>1780</v>
      </c>
      <c r="I4538" s="408"/>
      <c r="J4538" s="408"/>
      <c r="K4538" s="399">
        <v>222.5</v>
      </c>
      <c r="L4538" s="408">
        <v>22750</v>
      </c>
      <c r="M4538" s="65">
        <f t="shared" si="294"/>
        <v>5061875</v>
      </c>
      <c r="N4538" s="66" t="s">
        <v>97</v>
      </c>
      <c r="O4538" s="66" t="s">
        <v>260</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1" ht="15.75" customHeight="1">
      <c r="A4539" s="323" t="str">
        <f>IF(B4539&lt;&gt;"",IF(AND(B4539='IN-TC'!$S$4,OR(TH!N4624="1111",TH!O4624="1111")),TH!D4624,""),"")</f>
        <v/>
      </c>
      <c r="B4539" s="63">
        <f t="shared" si="293"/>
        <v>12</v>
      </c>
      <c r="C4539" s="64">
        <v>42726</v>
      </c>
      <c r="D4539" s="64" t="s">
        <v>690</v>
      </c>
      <c r="E4539" s="64">
        <f t="shared" ref="E4539:E4563" si="295">C4539</f>
        <v>42726</v>
      </c>
      <c r="F4539" s="72" t="s">
        <v>2144</v>
      </c>
      <c r="G4539" s="67" t="s">
        <v>1544</v>
      </c>
      <c r="H4539" s="72" t="s">
        <v>1780</v>
      </c>
      <c r="I4539" s="408"/>
      <c r="J4539" s="408"/>
      <c r="K4539" s="399">
        <v>223.75</v>
      </c>
      <c r="L4539" s="408">
        <v>22750</v>
      </c>
      <c r="M4539" s="65">
        <f t="shared" si="294"/>
        <v>5090312.5</v>
      </c>
      <c r="N4539" s="66" t="s">
        <v>97</v>
      </c>
      <c r="O4539" s="66" t="s">
        <v>260</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customHeight="1">
      <c r="A4540" s="323" t="str">
        <f>IF(B4540&lt;&gt;"",IF(AND(B4540='IN-TC'!$S$4,OR(TH!N4625="1111",TH!O4625="1111")),TH!D4625,""),"")</f>
        <v/>
      </c>
      <c r="B4540" s="63">
        <f t="shared" si="293"/>
        <v>12</v>
      </c>
      <c r="C4540" s="64">
        <v>42726</v>
      </c>
      <c r="D4540" s="64" t="s">
        <v>690</v>
      </c>
      <c r="E4540" s="64">
        <f t="shared" si="295"/>
        <v>42726</v>
      </c>
      <c r="F4540" s="72" t="s">
        <v>2144</v>
      </c>
      <c r="G4540" s="67" t="s">
        <v>1544</v>
      </c>
      <c r="H4540" s="72" t="s">
        <v>1780</v>
      </c>
      <c r="I4540" s="408"/>
      <c r="J4540" s="408"/>
      <c r="K4540" s="399">
        <v>157.5</v>
      </c>
      <c r="L4540" s="408">
        <v>22750</v>
      </c>
      <c r="M4540" s="65">
        <f t="shared" si="294"/>
        <v>3583125</v>
      </c>
      <c r="N4540" s="66" t="s">
        <v>97</v>
      </c>
      <c r="O4540" s="66" t="s">
        <v>260</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1" ht="15.75" customHeight="1">
      <c r="A4541" s="323" t="str">
        <f>IF(B4541&lt;&gt;"",IF(AND(B4541='IN-TC'!$S$4,OR(TH!N4626="1111",TH!O4626="1111")),TH!D4626,""),"")</f>
        <v/>
      </c>
      <c r="B4541" s="63">
        <f t="shared" si="293"/>
        <v>12</v>
      </c>
      <c r="C4541" s="64">
        <v>42726</v>
      </c>
      <c r="D4541" s="64" t="s">
        <v>690</v>
      </c>
      <c r="E4541" s="64">
        <f t="shared" si="295"/>
        <v>42726</v>
      </c>
      <c r="F4541" s="72" t="s">
        <v>2144</v>
      </c>
      <c r="G4541" s="67" t="s">
        <v>1544</v>
      </c>
      <c r="H4541" s="72" t="s">
        <v>1780</v>
      </c>
      <c r="I4541" s="408"/>
      <c r="J4541" s="408"/>
      <c r="K4541" s="399">
        <v>222.5</v>
      </c>
      <c r="L4541" s="408">
        <v>22750</v>
      </c>
      <c r="M4541" s="65">
        <f t="shared" si="294"/>
        <v>5061875</v>
      </c>
      <c r="N4541" s="66" t="s">
        <v>97</v>
      </c>
      <c r="O4541" s="66" t="s">
        <v>260</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row>
    <row r="4542" spans="1:31" ht="15.75" customHeight="1">
      <c r="A4542" s="323" t="str">
        <f>IF(B4542&lt;&gt;"",IF(AND(B4542='IN-TC'!$S$4,OR(TH!N4627="1111",TH!O4627="1111")),TH!D4627,""),"")</f>
        <v/>
      </c>
      <c r="B4542" s="63">
        <f t="shared" si="293"/>
        <v>12</v>
      </c>
      <c r="C4542" s="64">
        <v>42726</v>
      </c>
      <c r="D4542" s="64" t="s">
        <v>690</v>
      </c>
      <c r="E4542" s="64">
        <f t="shared" si="295"/>
        <v>42726</v>
      </c>
      <c r="F4542" s="72" t="s">
        <v>2144</v>
      </c>
      <c r="G4542" s="67" t="s">
        <v>1544</v>
      </c>
      <c r="H4542" s="72" t="s">
        <v>1780</v>
      </c>
      <c r="I4542" s="408"/>
      <c r="J4542" s="408"/>
      <c r="K4542" s="399">
        <v>205</v>
      </c>
      <c r="L4542" s="408">
        <v>22750</v>
      </c>
      <c r="M4542" s="65">
        <f t="shared" si="294"/>
        <v>4663750</v>
      </c>
      <c r="N4542" s="66" t="s">
        <v>97</v>
      </c>
      <c r="O4542" s="66" t="s">
        <v>260</v>
      </c>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row>
    <row r="4543" spans="1:31" ht="15.75" customHeight="1">
      <c r="A4543" s="323" t="str">
        <f>IF(B4543&lt;&gt;"",IF(AND(B4543='IN-TC'!$S$4,OR(TH!N4628="1111",TH!O4628="1111")),TH!D4628,""),"")</f>
        <v/>
      </c>
      <c r="B4543" s="63">
        <f t="shared" si="293"/>
        <v>12</v>
      </c>
      <c r="C4543" s="64">
        <v>42726</v>
      </c>
      <c r="D4543" s="64" t="s">
        <v>690</v>
      </c>
      <c r="E4543" s="64">
        <f t="shared" si="295"/>
        <v>42726</v>
      </c>
      <c r="F4543" s="72" t="s">
        <v>2144</v>
      </c>
      <c r="G4543" s="67" t="s">
        <v>1544</v>
      </c>
      <c r="H4543" s="72" t="s">
        <v>1780</v>
      </c>
      <c r="I4543" s="408"/>
      <c r="J4543" s="408"/>
      <c r="K4543" s="399">
        <v>240</v>
      </c>
      <c r="L4543" s="408">
        <v>22750</v>
      </c>
      <c r="M4543" s="65">
        <f t="shared" si="294"/>
        <v>5460000</v>
      </c>
      <c r="N4543" s="66" t="s">
        <v>97</v>
      </c>
      <c r="O4543" s="66" t="s">
        <v>260</v>
      </c>
      <c r="P4543" s="82" t="str">
        <f>IF(AND('331-CT'!$E$7=TH!H4543,OR(N4543="331",O4543="331")),"x","")</f>
        <v/>
      </c>
      <c r="Q4543" s="82" t="str">
        <f>IF(AND(B4543='111'!$L$11,OR($N4543=$Q$7,$O4543=$Q$7)),"x","")</f>
        <v/>
      </c>
      <c r="R4543" s="82" t="str">
        <f>IF(AND($N4543=$Q$7,$B4543&lt;'111'!$L$11),"x","")</f>
        <v/>
      </c>
      <c r="S4543" s="82" t="str">
        <f>IF(AND($O4543=$Q$7,$B4543&lt;'111'!$L$11),"x","")</f>
        <v/>
      </c>
      <c r="T4543" s="82" t="str">
        <f>IF(ISERROR(FIND('112'!$M$9,G4543,1)),"",IF((AND(FIND('112'!$M$9,G4543,1)&gt;=1,B4543='112'!$K$9,OR($N4543='112'!$I$6,$O4543='112'!$I$6))),"x",""))</f>
        <v/>
      </c>
      <c r="U4543" s="82" t="str">
        <f>IF(ISERROR(FIND('112'!$M$9,G4543,1)),"",IF((AND(LEFT(G4543,2)=LEFT('112'!$M$9,2),B4543&lt;'112'!$K$9,$N4543='112'!$I$6)),"x",""))</f>
        <v/>
      </c>
      <c r="V4543" s="82" t="str">
        <f>IF(ISERROR(FIND('112'!$M$9,G4543,1)),"",IF((AND(RIGHT(G4543,2)=RIGHT('112'!$M$9,2),B4543&lt;'112'!$K$9,$O4543='112'!$I$6)),"x",""))</f>
        <v/>
      </c>
      <c r="W4543" s="82" t="str">
        <f>IF(AND('341-CT'!$H$9=H4543,OR(LEFT(N4543,3)=$W$7,LEFT(O4543,3)=$W$7)),"x","")</f>
        <v/>
      </c>
      <c r="X4543" s="82" t="str">
        <f>IF(OR(TH!N4543=TH!$X$7,O4543=TH!$X$7),"x","")</f>
        <v/>
      </c>
      <c r="Y4543" s="82" t="str">
        <f>IF(AND(OR(N4543="131",O4543="131"),H4543='131-CT'!$H$9),"x","")</f>
        <v/>
      </c>
      <c r="Z4543" s="82"/>
      <c r="AA4543" s="82" t="str">
        <f>IF(AND(MONTH(E4543)='IN-NX'!$J$5,'IN-NX'!$D$7=D4543),"x","")</f>
        <v/>
      </c>
      <c r="AB4543" s="82" t="str">
        <f>IF(AND(OR(LEFT(TH!N4543,2)="15",LEFT(TH!O4543,2)="15"),LEFT(TH!O4543,3)&lt;&gt;"111",'152-CT'!$J$8=TH!F4543),"x","")</f>
        <v/>
      </c>
      <c r="AC4543" s="82" t="str">
        <f>IF(AND(OR(LEFT(TH!N4543,2)="15",LEFT(TH!O4543,2)="15"),TK!$E$7=TH!F4543),"x","")</f>
        <v/>
      </c>
      <c r="AD4543" s="82" t="str">
        <f>IF(AND(N4543="1521",MONTH(C4543)='BK-NL'!$M$11),"x","")</f>
        <v/>
      </c>
    </row>
    <row r="4544" spans="1:31" ht="15.75" customHeight="1">
      <c r="A4544" s="323" t="str">
        <f>IF(B4544&lt;&gt;"",IF(AND(B4544='IN-TC'!$S$4,OR(TH!N4629="1111",TH!O4629="1111")),TH!D4629,""),"")</f>
        <v/>
      </c>
      <c r="B4544" s="63">
        <f t="shared" si="293"/>
        <v>12</v>
      </c>
      <c r="C4544" s="64">
        <v>42726</v>
      </c>
      <c r="D4544" s="64" t="s">
        <v>690</v>
      </c>
      <c r="E4544" s="64">
        <f t="shared" si="295"/>
        <v>42726</v>
      </c>
      <c r="F4544" s="72" t="s">
        <v>2144</v>
      </c>
      <c r="G4544" s="67" t="s">
        <v>1544</v>
      </c>
      <c r="H4544" s="72" t="s">
        <v>1780</v>
      </c>
      <c r="I4544" s="408"/>
      <c r="J4544" s="408"/>
      <c r="K4544" s="399">
        <v>220</v>
      </c>
      <c r="L4544" s="408">
        <v>22750</v>
      </c>
      <c r="M4544" s="65">
        <f t="shared" si="294"/>
        <v>5005000</v>
      </c>
      <c r="N4544" s="66" t="s">
        <v>97</v>
      </c>
      <c r="O4544" s="66" t="s">
        <v>260</v>
      </c>
      <c r="P4544" s="82" t="str">
        <f>IF(AND('331-CT'!$E$7=TH!H4544,OR(N4544="331",O4544="331")),"x","")</f>
        <v/>
      </c>
      <c r="Q4544" s="82" t="str">
        <f>IF(AND(B4544='111'!$L$11,OR($N4544=$Q$7,$O4544=$Q$7)),"x","")</f>
        <v/>
      </c>
      <c r="R4544" s="82" t="str">
        <f>IF(AND($N4544=$Q$7,$B4544&lt;'111'!$L$11),"x","")</f>
        <v/>
      </c>
      <c r="S4544" s="82" t="str">
        <f>IF(AND($O4544=$Q$7,$B4544&lt;'111'!$L$11),"x","")</f>
        <v/>
      </c>
      <c r="T4544" s="82" t="str">
        <f>IF(ISERROR(FIND('112'!$M$9,G4544,1)),"",IF((AND(FIND('112'!$M$9,G4544,1)&gt;=1,B4544='112'!$K$9,OR($N4544='112'!$I$6,$O4544='112'!$I$6))),"x",""))</f>
        <v/>
      </c>
      <c r="U4544" s="82" t="str">
        <f>IF(ISERROR(FIND('112'!$M$9,G4544,1)),"",IF((AND(LEFT(G4544,2)=LEFT('112'!$M$9,2),B4544&lt;'112'!$K$9,$N4544='112'!$I$6)),"x",""))</f>
        <v/>
      </c>
      <c r="V4544" s="82" t="str">
        <f>IF(ISERROR(FIND('112'!$M$9,G4544,1)),"",IF((AND(RIGHT(G4544,2)=RIGHT('112'!$M$9,2),B4544&lt;'112'!$K$9,$O4544='112'!$I$6)),"x",""))</f>
        <v/>
      </c>
      <c r="W4544" s="82" t="str">
        <f>IF(AND('341-CT'!$H$9=H4544,OR(LEFT(N4544,3)=$W$7,LEFT(O4544,3)=$W$7)),"x","")</f>
        <v/>
      </c>
      <c r="X4544" s="82" t="str">
        <f>IF(OR(TH!N4544=TH!$X$7,O4544=TH!$X$7),"x","")</f>
        <v/>
      </c>
      <c r="Y4544" s="82" t="str">
        <f>IF(AND(OR(N4544="131",O4544="131"),H4544='131-CT'!$H$9),"x","")</f>
        <v/>
      </c>
      <c r="Z4544" s="82"/>
      <c r="AA4544" s="82" t="str">
        <f>IF(AND(MONTH(E4544)='IN-NX'!$J$5,'IN-NX'!$D$7=D4544),"x","")</f>
        <v/>
      </c>
      <c r="AB4544" s="82" t="str">
        <f>IF(AND(OR(LEFT(TH!N4544,2)="15",LEFT(TH!O4544,2)="15"),LEFT(TH!O4544,3)&lt;&gt;"111",'152-CT'!$J$8=TH!F4544),"x","")</f>
        <v/>
      </c>
      <c r="AC4544" s="82" t="str">
        <f>IF(AND(OR(LEFT(TH!N4544,2)="15",LEFT(TH!O4544,2)="15"),TK!$E$7=TH!F4544),"x","")</f>
        <v/>
      </c>
      <c r="AD4544" s="82" t="str">
        <f>IF(AND(N4544="1521",MONTH(C4544)='BK-NL'!$M$11),"x","")</f>
        <v/>
      </c>
    </row>
    <row r="4545" spans="1:31" ht="15.75" customHeight="1">
      <c r="A4545" s="323" t="str">
        <f>IF(B4545&lt;&gt;"",IF(AND(B4545='IN-TC'!$S$4,OR(TH!N4630="1111",TH!O4630="1111")),TH!D4630,""),"")</f>
        <v/>
      </c>
      <c r="B4545" s="63">
        <f t="shared" si="293"/>
        <v>12</v>
      </c>
      <c r="C4545" s="64">
        <v>42726</v>
      </c>
      <c r="D4545" s="64" t="s">
        <v>690</v>
      </c>
      <c r="E4545" s="64">
        <f t="shared" si="295"/>
        <v>42726</v>
      </c>
      <c r="F4545" s="72" t="s">
        <v>2144</v>
      </c>
      <c r="G4545" s="67" t="s">
        <v>1544</v>
      </c>
      <c r="H4545" s="72" t="s">
        <v>1780</v>
      </c>
      <c r="I4545" s="408"/>
      <c r="J4545" s="408"/>
      <c r="K4545" s="399">
        <v>240</v>
      </c>
      <c r="L4545" s="408">
        <v>22750</v>
      </c>
      <c r="M4545" s="65">
        <f t="shared" si="294"/>
        <v>5460000</v>
      </c>
      <c r="N4545" s="66" t="s">
        <v>97</v>
      </c>
      <c r="O4545" s="66" t="s">
        <v>260</v>
      </c>
      <c r="P4545" s="82" t="str">
        <f>IF(AND('331-CT'!$E$7=TH!H4545,OR(N4545="331",O4545="331")),"x","")</f>
        <v/>
      </c>
      <c r="Q4545" s="82" t="str">
        <f>IF(AND(B4545='111'!$L$11,OR($N4545=$Q$7,$O4545=$Q$7)),"x","")</f>
        <v/>
      </c>
      <c r="R4545" s="82" t="str">
        <f>IF(AND($N4545=$Q$7,$B4545&lt;'111'!$L$11),"x","")</f>
        <v/>
      </c>
      <c r="S4545" s="82" t="str">
        <f>IF(AND($O4545=$Q$7,$B4545&lt;'111'!$L$11),"x","")</f>
        <v/>
      </c>
      <c r="T4545" s="82" t="str">
        <f>IF(ISERROR(FIND('112'!$M$9,G4545,1)),"",IF((AND(FIND('112'!$M$9,G4545,1)&gt;=1,B4545='112'!$K$9,OR($N4545='112'!$I$6,$O4545='112'!$I$6))),"x",""))</f>
        <v/>
      </c>
      <c r="U4545" s="82" t="str">
        <f>IF(ISERROR(FIND('112'!$M$9,G4545,1)),"",IF((AND(LEFT(G4545,2)=LEFT('112'!$M$9,2),B4545&lt;'112'!$K$9,$N4545='112'!$I$6)),"x",""))</f>
        <v/>
      </c>
      <c r="V4545" s="82" t="str">
        <f>IF(ISERROR(FIND('112'!$M$9,G4545,1)),"",IF((AND(RIGHT(G4545,2)=RIGHT('112'!$M$9,2),B4545&lt;'112'!$K$9,$O4545='112'!$I$6)),"x",""))</f>
        <v/>
      </c>
      <c r="W4545" s="82" t="str">
        <f>IF(AND('341-CT'!$H$9=H4545,OR(LEFT(N4545,3)=$W$7,LEFT(O4545,3)=$W$7)),"x","")</f>
        <v/>
      </c>
      <c r="X4545" s="82" t="str">
        <f>IF(OR(TH!N4545=TH!$X$7,O4545=TH!$X$7),"x","")</f>
        <v/>
      </c>
      <c r="Y4545" s="82" t="str">
        <f>IF(AND(OR(N4545="131",O4545="131"),H4545='131-CT'!$H$9),"x","")</f>
        <v/>
      </c>
      <c r="Z4545" s="82"/>
      <c r="AA4545" s="82" t="str">
        <f>IF(AND(MONTH(E4545)='IN-NX'!$J$5,'IN-NX'!$D$7=D4545),"x","")</f>
        <v/>
      </c>
      <c r="AB4545" s="82" t="str">
        <f>IF(AND(OR(LEFT(TH!N4545,2)="15",LEFT(TH!O4545,2)="15"),LEFT(TH!O4545,3)&lt;&gt;"111",'152-CT'!$J$8=TH!F4545),"x","")</f>
        <v/>
      </c>
      <c r="AC4545" s="82" t="str">
        <f>IF(AND(OR(LEFT(TH!N4545,2)="15",LEFT(TH!O4545,2)="15"),TK!$E$7=TH!F4545),"x","")</f>
        <v/>
      </c>
      <c r="AD4545" s="82" t="str">
        <f>IF(AND(N4545="1521",MONTH(C4545)='BK-NL'!$M$11),"x","")</f>
        <v/>
      </c>
    </row>
    <row r="4546" spans="1:31" ht="15.75" customHeight="1">
      <c r="A4546" s="323" t="str">
        <f>IF(B4546&lt;&gt;"",IF(AND(B4546='IN-TC'!$S$4,OR(TH!N4631="1111",TH!O4631="1111")),TH!D4631,""),"")</f>
        <v/>
      </c>
      <c r="B4546" s="63">
        <f t="shared" si="293"/>
        <v>12</v>
      </c>
      <c r="C4546" s="64">
        <v>42726</v>
      </c>
      <c r="D4546" s="64" t="s">
        <v>690</v>
      </c>
      <c r="E4546" s="64">
        <f t="shared" si="295"/>
        <v>42726</v>
      </c>
      <c r="F4546" s="72" t="s">
        <v>2144</v>
      </c>
      <c r="G4546" s="67" t="s">
        <v>1544</v>
      </c>
      <c r="H4546" s="72" t="s">
        <v>1780</v>
      </c>
      <c r="I4546" s="408"/>
      <c r="J4546" s="408"/>
      <c r="K4546" s="399">
        <v>37.799999999999997</v>
      </c>
      <c r="L4546" s="408">
        <v>22750</v>
      </c>
      <c r="M4546" s="65">
        <f t="shared" si="294"/>
        <v>859949.99999999988</v>
      </c>
      <c r="N4546" s="66" t="s">
        <v>97</v>
      </c>
      <c r="O4546" s="66" t="s">
        <v>260</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1" ht="15.75" customHeight="1">
      <c r="A4547" s="323" t="str">
        <f>IF(B4547&lt;&gt;"",IF(AND(B4547='IN-TC'!$S$4,OR(TH!N4632="1111",TH!O4632="1111")),TH!D4632,""),"")</f>
        <v/>
      </c>
      <c r="B4547" s="63">
        <f t="shared" si="293"/>
        <v>12</v>
      </c>
      <c r="C4547" s="64">
        <v>42726</v>
      </c>
      <c r="D4547" s="64" t="s">
        <v>690</v>
      </c>
      <c r="E4547" s="64">
        <f t="shared" si="295"/>
        <v>42726</v>
      </c>
      <c r="F4547" s="72" t="s">
        <v>2144</v>
      </c>
      <c r="G4547" s="67" t="s">
        <v>1544</v>
      </c>
      <c r="H4547" s="72" t="s">
        <v>1780</v>
      </c>
      <c r="I4547" s="408"/>
      <c r="J4547" s="408"/>
      <c r="K4547" s="399">
        <v>19.25</v>
      </c>
      <c r="L4547" s="408">
        <v>22750</v>
      </c>
      <c r="M4547" s="65">
        <f t="shared" si="294"/>
        <v>437937.5</v>
      </c>
      <c r="N4547" s="66" t="s">
        <v>97</v>
      </c>
      <c r="O4547" s="66" t="s">
        <v>260</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customHeight="1">
      <c r="A4548" s="323" t="str">
        <f>IF(B4548&lt;&gt;"",IF(AND(B4548='IN-TC'!$S$4,OR(TH!N4636="1111",TH!O4636="1111")),TH!D4636,""),"")</f>
        <v/>
      </c>
      <c r="B4548" s="63">
        <f t="shared" si="293"/>
        <v>12</v>
      </c>
      <c r="C4548" s="64">
        <v>42726</v>
      </c>
      <c r="D4548" s="64" t="s">
        <v>690</v>
      </c>
      <c r="E4548" s="64">
        <f t="shared" si="295"/>
        <v>42726</v>
      </c>
      <c r="F4548" s="72" t="s">
        <v>2144</v>
      </c>
      <c r="G4548" s="67" t="s">
        <v>1544</v>
      </c>
      <c r="H4548" s="72" t="s">
        <v>1780</v>
      </c>
      <c r="I4548" s="408"/>
      <c r="J4548" s="408"/>
      <c r="K4548" s="399">
        <v>72.14</v>
      </c>
      <c r="L4548" s="408">
        <v>22750</v>
      </c>
      <c r="M4548" s="65">
        <f t="shared" si="294"/>
        <v>1641185</v>
      </c>
      <c r="N4548" s="66" t="s">
        <v>97</v>
      </c>
      <c r="O4548" s="66" t="s">
        <v>260</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customHeight="1">
      <c r="A4549" s="323" t="str">
        <f>IF(B4549&lt;&gt;"",IF(AND(B4549='IN-TC'!$S$4,OR(TH!N4405="1111",TH!O4405="1111")),TH!D4405,""),"")</f>
        <v/>
      </c>
      <c r="B4549" s="63">
        <f t="shared" si="293"/>
        <v>12</v>
      </c>
      <c r="C4549" s="64">
        <v>42726</v>
      </c>
      <c r="D4549" s="64" t="s">
        <v>2662</v>
      </c>
      <c r="E4549" s="64">
        <f t="shared" si="295"/>
        <v>42726</v>
      </c>
      <c r="F4549" s="72" t="s">
        <v>1126</v>
      </c>
      <c r="G4549" s="67" t="s">
        <v>902</v>
      </c>
      <c r="H4549" s="72" t="s">
        <v>748</v>
      </c>
      <c r="I4549" s="408"/>
      <c r="J4549" s="408"/>
      <c r="K4549" s="399"/>
      <c r="L4549" s="408"/>
      <c r="M4549" s="65">
        <v>190000000</v>
      </c>
      <c r="N4549" s="66" t="s">
        <v>61</v>
      </c>
      <c r="O4549" s="66" t="s">
        <v>25</v>
      </c>
      <c r="P4549" s="82" t="str">
        <f>IF(AND('331-CT'!$E$7=TH!H4549,OR(N4549="331",O4549="331")),"x","")</f>
        <v/>
      </c>
      <c r="Q4549" s="82" t="str">
        <f>IF(AND(B4549='111'!$L$11,OR($N4549=$Q$7,$O4549=$Q$7)),"x","")</f>
        <v>x</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1" ht="15.75" customHeight="1">
      <c r="A4550" s="323" t="str">
        <f>IF(B4550&lt;&gt;"",IF(AND(B4550='IN-TC'!$S$4,OR(TH!N4406="1111",TH!O4406="1111")),TH!D4406,""),"")</f>
        <v/>
      </c>
      <c r="B4550" s="63">
        <f t="shared" si="293"/>
        <v>12</v>
      </c>
      <c r="C4550" s="64">
        <v>42726</v>
      </c>
      <c r="D4550" s="64" t="s">
        <v>2680</v>
      </c>
      <c r="E4550" s="64">
        <f t="shared" si="295"/>
        <v>42726</v>
      </c>
      <c r="F4550" s="72" t="s">
        <v>1126</v>
      </c>
      <c r="G4550" s="67" t="s">
        <v>901</v>
      </c>
      <c r="H4550" s="72" t="s">
        <v>748</v>
      </c>
      <c r="I4550" s="408"/>
      <c r="J4550" s="408"/>
      <c r="K4550" s="399"/>
      <c r="L4550" s="408"/>
      <c r="M4550" s="65">
        <v>2140000000</v>
      </c>
      <c r="N4550" s="66" t="s">
        <v>61</v>
      </c>
      <c r="O4550" s="66" t="s">
        <v>25</v>
      </c>
      <c r="P4550" s="82" t="str">
        <f>IF(AND('331-CT'!$E$7=TH!H4550,OR(N4550="331",O4550="331")),"x","")</f>
        <v/>
      </c>
      <c r="Q4550" s="82" t="str">
        <f>IF(AND(B4550='111'!$L$11,OR($N4550=$Q$7,$O4550=$Q$7)),"x","")</f>
        <v>x</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1" ht="15.75" customHeight="1">
      <c r="A4551" s="1160" t="str">
        <f>IF(B4551&lt;&gt;"",IF(AND(B4551='IN-TC'!$S$4,OR(TH!N1094="1111",TH!O1094="1111")),TH!D1094,""),"")</f>
        <v/>
      </c>
      <c r="B4551" s="948">
        <f t="shared" si="293"/>
        <v>12</v>
      </c>
      <c r="C4551" s="78">
        <v>42731</v>
      </c>
      <c r="D4551" s="78" t="s">
        <v>2892</v>
      </c>
      <c r="E4551" s="78">
        <f t="shared" si="295"/>
        <v>42731</v>
      </c>
      <c r="F4551" s="80" t="s">
        <v>2495</v>
      </c>
      <c r="G4551" s="934" t="s">
        <v>2762</v>
      </c>
      <c r="H4551" s="310" t="s">
        <v>2511</v>
      </c>
      <c r="I4551" s="406">
        <v>1380</v>
      </c>
      <c r="J4551" s="406">
        <v>7500</v>
      </c>
      <c r="K4551" s="397"/>
      <c r="L4551" s="406"/>
      <c r="M4551" s="81">
        <f>ROUND(I4551*J4551,0)</f>
        <v>10350000</v>
      </c>
      <c r="N4551" s="82" t="s">
        <v>270</v>
      </c>
      <c r="O4551" s="82" t="s">
        <v>8</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x</v>
      </c>
      <c r="AC4551" s="82" t="str">
        <f>IF(AND(OR(LEFT(TH!N4551,2)="15",LEFT(TH!O4551,2)="15"),TK!$E$7=TH!F4551),"x","")</f>
        <v/>
      </c>
      <c r="AD4551" s="82" t="str">
        <f>IF(AND(N4551="1521",MONTH(C4551)='BK-NL'!$M$11),"x","")</f>
        <v/>
      </c>
      <c r="AE4551">
        <v>1</v>
      </c>
    </row>
    <row r="4552" spans="1:31" ht="15.75" customHeight="1">
      <c r="A4552" s="323" t="str">
        <f>IF(B4552&lt;&gt;"",IF(AND(B4552='IN-TC'!$S$4,OR(TH!N4414="1111",TH!O4414="1111")),TH!D4414,""),"")</f>
        <v/>
      </c>
      <c r="B4552" s="63">
        <f t="shared" si="293"/>
        <v>12</v>
      </c>
      <c r="C4552" s="1092">
        <v>42727</v>
      </c>
      <c r="D4552" s="1092" t="s">
        <v>2948</v>
      </c>
      <c r="E4552" s="1092">
        <f t="shared" si="295"/>
        <v>42727</v>
      </c>
      <c r="F4552" s="482" t="s">
        <v>947</v>
      </c>
      <c r="G4552" s="1094"/>
      <c r="H4552" s="937" t="s">
        <v>3001</v>
      </c>
      <c r="I4552" s="1095"/>
      <c r="J4552" s="1095"/>
      <c r="K4552" s="1096"/>
      <c r="L4552" s="1095"/>
      <c r="M4552" s="1097">
        <v>900000000</v>
      </c>
      <c r="N4552" s="1098" t="s">
        <v>266</v>
      </c>
      <c r="O4552" s="1098" t="s">
        <v>61</v>
      </c>
      <c r="P4552" s="82" t="str">
        <f>IF(AND('331-CT'!$E$7=TH!H4552,OR(N4552="331",O4552="331")),"x","")</f>
        <v/>
      </c>
      <c r="Q4552" s="82" t="str">
        <f>IF(AND(B4552='111'!$L$11,OR($N4552=$Q$7,$O4552=$Q$7)),"x","")</f>
        <v>x</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1" ht="15.75" customHeight="1">
      <c r="A4553" s="323" t="str">
        <f>IF(B4553&lt;&gt;"",IF(AND(B4553='IN-TC'!$S$4,OR(TH!N4595="1111",TH!O4595="1111")),TH!D4595,""),"")</f>
        <v/>
      </c>
      <c r="B4553" s="63">
        <f t="shared" si="293"/>
        <v>12</v>
      </c>
      <c r="C4553" s="64">
        <v>42727</v>
      </c>
      <c r="D4553" s="64" t="s">
        <v>690</v>
      </c>
      <c r="E4553" s="64">
        <f t="shared" si="295"/>
        <v>42727</v>
      </c>
      <c r="F4553" s="72" t="s">
        <v>2784</v>
      </c>
      <c r="G4553" s="67" t="s">
        <v>1544</v>
      </c>
      <c r="H4553" s="72" t="s">
        <v>1780</v>
      </c>
      <c r="I4553" s="408"/>
      <c r="J4553" s="408"/>
      <c r="K4553" s="399"/>
      <c r="L4553" s="408"/>
      <c r="M4553" s="65">
        <v>228000</v>
      </c>
      <c r="N4553" s="66" t="s">
        <v>99</v>
      </c>
      <c r="O4553" s="66" t="s">
        <v>25</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x</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1" ht="15.75" customHeight="1">
      <c r="A4554" s="323" t="str">
        <f>IF(B4554&lt;&gt;"",IF(AND(B4554='IN-TC'!$S$4,OR(TH!N4415="1111",TH!O4415="1111")),TH!D4415,""),"")</f>
        <v/>
      </c>
      <c r="B4554" s="63">
        <f t="shared" si="293"/>
        <v>12</v>
      </c>
      <c r="C4554" s="64">
        <v>42728</v>
      </c>
      <c r="D4554" s="64" t="s">
        <v>2949</v>
      </c>
      <c r="E4554" s="64">
        <f t="shared" si="295"/>
        <v>42728</v>
      </c>
      <c r="F4554" s="72" t="s">
        <v>2668</v>
      </c>
      <c r="G4554" s="931" t="s">
        <v>2670</v>
      </c>
      <c r="H4554" s="72" t="s">
        <v>605</v>
      </c>
      <c r="I4554" s="408"/>
      <c r="J4554" s="408"/>
      <c r="K4554" s="399"/>
      <c r="L4554" s="408"/>
      <c r="M4554" s="65">
        <v>7129500</v>
      </c>
      <c r="N4554" s="66" t="s">
        <v>99</v>
      </c>
      <c r="O4554" s="66" t="s">
        <v>61</v>
      </c>
      <c r="P4554" s="82" t="str">
        <f>IF(AND('331-CT'!$E$7=TH!H4554,OR(N4554="331",O4554="331")),"x","")</f>
        <v/>
      </c>
      <c r="Q4554" s="82" t="str">
        <f>IF(AND(B4554='111'!$L$11,OR($N4554=$Q$7,$O4554=$Q$7)),"x","")</f>
        <v>x</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customHeight="1">
      <c r="A4555" s="323" t="str">
        <f>IF(B4555&lt;&gt;"",IF(AND(B4555='IN-TC'!$S$4,OR(TH!N4416="1111",TH!O4416="1111")),TH!D4416,""),"")</f>
        <v/>
      </c>
      <c r="B4555" s="63">
        <f t="shared" si="293"/>
        <v>12</v>
      </c>
      <c r="C4555" s="64">
        <v>42728</v>
      </c>
      <c r="D4555" s="64" t="s">
        <v>2949</v>
      </c>
      <c r="E4555" s="64">
        <f t="shared" si="295"/>
        <v>42728</v>
      </c>
      <c r="F4555" s="72" t="s">
        <v>2669</v>
      </c>
      <c r="G4555" s="931" t="s">
        <v>2670</v>
      </c>
      <c r="H4555" s="72" t="s">
        <v>605</v>
      </c>
      <c r="I4555" s="408"/>
      <c r="J4555" s="408"/>
      <c r="K4555" s="399"/>
      <c r="L4555" s="408"/>
      <c r="M4555" s="65">
        <v>712950</v>
      </c>
      <c r="N4555" s="66" t="s">
        <v>9</v>
      </c>
      <c r="O4555" s="66" t="s">
        <v>61</v>
      </c>
      <c r="P4555" s="82" t="str">
        <f>IF(AND('331-CT'!$E$7=TH!H4555,OR(N4555="331",O4555="331")),"x","")</f>
        <v/>
      </c>
      <c r="Q4555" s="82" t="str">
        <f>IF(AND(B4555='111'!$L$11,OR($N4555=$Q$7,$O4555=$Q$7)),"x","")</f>
        <v>x</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x</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customHeight="1">
      <c r="A4556" s="323" t="str">
        <f>IF(B4556&lt;&gt;"",IF(AND(B4556='IN-TC'!$S$4,OR(TH!N4417="1111",TH!O4417="1111")),TH!D4417,""),"")</f>
        <v/>
      </c>
      <c r="B4556" s="63">
        <f t="shared" si="293"/>
        <v>12</v>
      </c>
      <c r="C4556" s="64">
        <v>42728</v>
      </c>
      <c r="D4556" s="64" t="s">
        <v>2950</v>
      </c>
      <c r="E4556" s="64">
        <f t="shared" si="295"/>
        <v>42728</v>
      </c>
      <c r="F4556" s="72" t="s">
        <v>2672</v>
      </c>
      <c r="G4556" s="931" t="s">
        <v>2671</v>
      </c>
      <c r="H4556" s="72" t="s">
        <v>2673</v>
      </c>
      <c r="I4556" s="408"/>
      <c r="J4556" s="408"/>
      <c r="K4556" s="399"/>
      <c r="L4556" s="408"/>
      <c r="M4556" s="65">
        <v>2630000</v>
      </c>
      <c r="N4556" s="66" t="s">
        <v>99</v>
      </c>
      <c r="O4556" s="66" t="s">
        <v>61</v>
      </c>
      <c r="P4556" s="82" t="str">
        <f>IF(AND('331-CT'!$E$7=TH!H4556,OR(N4556="331",O4556="331")),"x","")</f>
        <v/>
      </c>
      <c r="Q4556" s="82" t="str">
        <f>IF(AND(B4556='111'!$L$11,OR($N4556=$Q$7,$O4556=$Q$7)),"x","")</f>
        <v>x</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1" ht="15.75" customHeight="1">
      <c r="A4557" s="1160" t="str">
        <f>IF(B4557&lt;&gt;"",IF(AND(B4557='IN-TC'!$S$4,OR(TH!N1095="1111",TH!O1095="1111")),TH!D1095,""),"")</f>
        <v/>
      </c>
      <c r="B4557" s="948">
        <f t="shared" si="293"/>
        <v>12</v>
      </c>
      <c r="C4557" s="78">
        <v>42731</v>
      </c>
      <c r="D4557" s="78" t="s">
        <v>2892</v>
      </c>
      <c r="E4557" s="78">
        <f t="shared" si="295"/>
        <v>42731</v>
      </c>
      <c r="F4557" s="80" t="s">
        <v>637</v>
      </c>
      <c r="G4557" s="934" t="s">
        <v>2762</v>
      </c>
      <c r="H4557" s="310" t="s">
        <v>2511</v>
      </c>
      <c r="I4557" s="406"/>
      <c r="J4557" s="406"/>
      <c r="K4557" s="397"/>
      <c r="L4557" s="406"/>
      <c r="M4557" s="81">
        <v>1035000</v>
      </c>
      <c r="N4557" s="82" t="s">
        <v>9</v>
      </c>
      <c r="O4557" s="82" t="s">
        <v>8</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x</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c r="AE4557">
        <v>1</v>
      </c>
    </row>
    <row r="4558" spans="1:31" ht="15.75" customHeight="1">
      <c r="A4558" s="1160" t="str">
        <f>IF(B4558&lt;&gt;"",IF(AND(B4558='IN-TC'!$S$4,OR(TH!N1097="1111",TH!O1097="1111")),TH!D1097,""),"")</f>
        <v/>
      </c>
      <c r="B4558" s="948">
        <f t="shared" si="293"/>
        <v>12</v>
      </c>
      <c r="C4558" s="78">
        <v>42731</v>
      </c>
      <c r="D4558" s="78" t="s">
        <v>2893</v>
      </c>
      <c r="E4558" s="78">
        <f t="shared" si="295"/>
        <v>42731</v>
      </c>
      <c r="F4558" s="80" t="s">
        <v>637</v>
      </c>
      <c r="G4558" s="934" t="s">
        <v>2763</v>
      </c>
      <c r="H4558" s="310" t="s">
        <v>2512</v>
      </c>
      <c r="I4558" s="406"/>
      <c r="J4558" s="406"/>
      <c r="K4558" s="397"/>
      <c r="L4558" s="406"/>
      <c r="M4558" s="81">
        <v>1522500</v>
      </c>
      <c r="N4558" s="82" t="s">
        <v>9</v>
      </c>
      <c r="O4558" s="82" t="s">
        <v>8</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x</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c r="AE4558">
        <v>1</v>
      </c>
    </row>
    <row r="4559" spans="1:31" ht="15.75" customHeight="1">
      <c r="A4559" s="323" t="str">
        <f>IF(B4559&lt;&gt;"",IF(AND(B4559='IN-TC'!$S$4,OR(TH!N4420="1111",TH!O4420="1111")),TH!D4420,""),"")</f>
        <v/>
      </c>
      <c r="B4559" s="63">
        <f t="shared" si="293"/>
        <v>12</v>
      </c>
      <c r="C4559" s="1092">
        <v>42728</v>
      </c>
      <c r="D4559" s="1092" t="s">
        <v>2953</v>
      </c>
      <c r="E4559" s="1092">
        <f t="shared" si="295"/>
        <v>42728</v>
      </c>
      <c r="F4559" s="482" t="s">
        <v>947</v>
      </c>
      <c r="G4559" s="1094"/>
      <c r="H4559" s="937" t="s">
        <v>3001</v>
      </c>
      <c r="I4559" s="1095"/>
      <c r="J4559" s="1095"/>
      <c r="K4559" s="1096"/>
      <c r="L4559" s="1095"/>
      <c r="M4559" s="1097">
        <v>500000000</v>
      </c>
      <c r="N4559" s="1098" t="s">
        <v>266</v>
      </c>
      <c r="O4559" s="1098" t="s">
        <v>61</v>
      </c>
      <c r="P4559" s="82" t="str">
        <f>IF(AND('331-CT'!$E$7=TH!H4559,OR(N4559="331",O4559="331")),"x","")</f>
        <v/>
      </c>
      <c r="Q4559" s="82" t="str">
        <f>IF(AND(B4559='111'!$L$11,OR($N4559=$Q$7,$O4559=$Q$7)),"x","")</f>
        <v>x</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customHeight="1">
      <c r="A4560" s="323" t="str">
        <f>IF(B4560&lt;&gt;"",IF(AND(B4560='IN-TC'!$S$4,OR(TH!N4421="1111",TH!O4421="1111")),TH!D4421,""),"")</f>
        <v/>
      </c>
      <c r="B4560" s="63">
        <f t="shared" si="293"/>
        <v>12</v>
      </c>
      <c r="C4560" s="1092">
        <v>42728</v>
      </c>
      <c r="D4560" s="1092" t="s">
        <v>2954</v>
      </c>
      <c r="E4560" s="1092">
        <f t="shared" si="295"/>
        <v>42728</v>
      </c>
      <c r="F4560" s="482" t="s">
        <v>947</v>
      </c>
      <c r="G4560" s="1094"/>
      <c r="H4560" s="1169" t="s">
        <v>946</v>
      </c>
      <c r="I4560" s="1095"/>
      <c r="J4560" s="1095"/>
      <c r="K4560" s="1096"/>
      <c r="L4560" s="1095"/>
      <c r="M4560" s="1097">
        <v>300000000</v>
      </c>
      <c r="N4560" s="1098" t="s">
        <v>266</v>
      </c>
      <c r="O4560" s="1098" t="s">
        <v>61</v>
      </c>
      <c r="P4560" s="82" t="str">
        <f>IF(AND('331-CT'!$E$7=TH!H4560,OR(N4560="331",O4560="331")),"x","")</f>
        <v/>
      </c>
      <c r="Q4560" s="82" t="str">
        <f>IF(AND(B4560='111'!$L$11,OR($N4560=$Q$7,$O4560=$Q$7)),"x","")</f>
        <v>x</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customHeight="1">
      <c r="A4561" s="323" t="str">
        <f>IF(B4561&lt;&gt;"",IF(AND(B4561='IN-TC'!$S$4,OR(TH!N4546="1111",TH!O4546="1111")),TH!D4546,""),"")</f>
        <v/>
      </c>
      <c r="B4561" s="63">
        <f t="shared" si="293"/>
        <v>12</v>
      </c>
      <c r="C4561" s="64">
        <v>42728</v>
      </c>
      <c r="D4561" s="64" t="s">
        <v>570</v>
      </c>
      <c r="E4561" s="64">
        <f t="shared" si="295"/>
        <v>42728</v>
      </c>
      <c r="F4561" s="72" t="s">
        <v>1968</v>
      </c>
      <c r="G4561" s="67" t="s">
        <v>901</v>
      </c>
      <c r="H4561" s="72" t="s">
        <v>1887</v>
      </c>
      <c r="I4561" s="408"/>
      <c r="J4561" s="408"/>
      <c r="K4561" s="399">
        <v>7</v>
      </c>
      <c r="L4561" s="408">
        <v>22720</v>
      </c>
      <c r="M4561" s="65">
        <f>K4561*L4561</f>
        <v>159040</v>
      </c>
      <c r="N4561" s="66" t="s">
        <v>99</v>
      </c>
      <c r="O4561" s="66" t="s">
        <v>576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1" ht="15.75" customHeight="1">
      <c r="A4562" s="1160" t="str">
        <f>IF(B4562&lt;&gt;"",IF(AND(B4562='IN-TC'!$S$4,OR(TH!N4547="1111",TH!O4547="1111")),TH!D4547,""),"")</f>
        <v/>
      </c>
      <c r="B4562" s="948">
        <f t="shared" si="293"/>
        <v>12</v>
      </c>
      <c r="C4562" s="78">
        <v>42728</v>
      </c>
      <c r="D4562" s="78" t="s">
        <v>570</v>
      </c>
      <c r="E4562" s="78">
        <f t="shared" si="295"/>
        <v>42728</v>
      </c>
      <c r="F4562" s="80" t="s">
        <v>1049</v>
      </c>
      <c r="G4562" s="79" t="s">
        <v>901</v>
      </c>
      <c r="H4562" s="80" t="s">
        <v>1887</v>
      </c>
      <c r="I4562" s="406"/>
      <c r="J4562" s="406"/>
      <c r="K4562" s="397"/>
      <c r="L4562" s="406"/>
      <c r="M4562" s="81">
        <v>19773790</v>
      </c>
      <c r="N4562" s="82" t="s">
        <v>576</v>
      </c>
      <c r="O4562" s="82" t="s">
        <v>41</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row>
    <row r="4563" spans="1:31" ht="15.75" customHeight="1">
      <c r="A4563" s="323" t="str">
        <f>IF(B4563&lt;&gt;"",IF(AND(B4563='IN-TC'!$S$4,OR(TH!N4501="1111",TH!O4501="1111")),TH!D4501,""),"")</f>
        <v/>
      </c>
      <c r="B4563" s="63">
        <f t="shared" si="293"/>
        <v>12</v>
      </c>
      <c r="C4563" s="64">
        <v>42728</v>
      </c>
      <c r="D4563" s="64" t="s">
        <v>687</v>
      </c>
      <c r="E4563" s="64">
        <f t="shared" si="295"/>
        <v>42728</v>
      </c>
      <c r="F4563" s="72" t="s">
        <v>1632</v>
      </c>
      <c r="G4563" s="67" t="s">
        <v>901</v>
      </c>
      <c r="H4563" s="72" t="s">
        <v>2048</v>
      </c>
      <c r="I4563" s="408"/>
      <c r="J4563" s="408"/>
      <c r="K4563" s="399"/>
      <c r="L4563" s="408"/>
      <c r="M4563" s="65">
        <v>57196</v>
      </c>
      <c r="N4563" s="66" t="s">
        <v>25</v>
      </c>
      <c r="O4563" s="66" t="s">
        <v>41</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1" ht="15.75" customHeight="1">
      <c r="A4564" s="1170" t="str">
        <f>IF(B4564&lt;&gt;"",IF(AND(B4564='IN-TC'!$S$4,OR(TH!N387="1111",TH!O387="1111")),TH!D387,""),"")</f>
        <v/>
      </c>
      <c r="B4564" s="63">
        <f t="shared" si="293"/>
        <v>12</v>
      </c>
      <c r="C4564" s="90">
        <v>42731</v>
      </c>
      <c r="D4564" s="1087" t="s">
        <v>2722</v>
      </c>
      <c r="E4564" s="90">
        <v>42730</v>
      </c>
      <c r="F4564" s="91" t="s">
        <v>455</v>
      </c>
      <c r="G4564" s="1089" t="s">
        <v>2707</v>
      </c>
      <c r="H4564" s="937" t="s">
        <v>1887</v>
      </c>
      <c r="I4564" s="414">
        <v>158340</v>
      </c>
      <c r="J4564" s="1132">
        <v>2.83</v>
      </c>
      <c r="K4564" s="405">
        <f>I4564*J4564</f>
        <v>448102.2</v>
      </c>
      <c r="L4564" s="414">
        <v>22720</v>
      </c>
      <c r="M4564" s="1133">
        <f>ROUND(K4564*L4564,0)</f>
        <v>10180881984</v>
      </c>
      <c r="N4564" s="1134" t="s">
        <v>576</v>
      </c>
      <c r="O4564" s="1134" t="s">
        <v>292</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1" ht="15.75" customHeight="1">
      <c r="A4565" s="1170" t="str">
        <f>IF(B4565&lt;&gt;"",IF(AND(B4565='IN-TC'!$S$4,OR(TH!N388="1111",TH!O388="1111")),TH!D388,""),"")</f>
        <v/>
      </c>
      <c r="B4565" s="63">
        <f t="shared" si="293"/>
        <v>12</v>
      </c>
      <c r="C4565" s="90">
        <v>42733</v>
      </c>
      <c r="D4565" s="1087" t="s">
        <v>2795</v>
      </c>
      <c r="E4565" s="90">
        <v>42733</v>
      </c>
      <c r="F4565" s="91" t="s">
        <v>455</v>
      </c>
      <c r="G4565" s="1089" t="s">
        <v>2723</v>
      </c>
      <c r="H4565" s="937" t="s">
        <v>1887</v>
      </c>
      <c r="I4565" s="414">
        <v>52780</v>
      </c>
      <c r="J4565" s="1132">
        <v>2.83</v>
      </c>
      <c r="K4565" s="405">
        <f>I4565*J4565</f>
        <v>149367.4</v>
      </c>
      <c r="L4565" s="414">
        <v>22720</v>
      </c>
      <c r="M4565" s="1133">
        <f>ROUND(K4565*L4565,0)</f>
        <v>3393627328</v>
      </c>
      <c r="N4565" s="1134" t="s">
        <v>576</v>
      </c>
      <c r="O4565" s="1134" t="s">
        <v>292</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row>
    <row r="4566" spans="1:31" ht="15.75" customHeight="1">
      <c r="A4566" s="323" t="str">
        <f>IF(B4566&lt;&gt;"",IF(AND(B4566='IN-TC'!$S$4,OR(TH!N4545="1111",TH!O4545="1111")),TH!D4545,""),"")</f>
        <v/>
      </c>
      <c r="B4566" s="63">
        <f t="shared" si="293"/>
        <v>12</v>
      </c>
      <c r="C4566" s="64">
        <v>42728</v>
      </c>
      <c r="D4566" s="64" t="s">
        <v>690</v>
      </c>
      <c r="E4566" s="64">
        <f t="shared" ref="E4566:E4597" si="296">C4566</f>
        <v>42728</v>
      </c>
      <c r="F4566" s="72" t="s">
        <v>2898</v>
      </c>
      <c r="G4566" s="67" t="s">
        <v>901</v>
      </c>
      <c r="H4566" s="72" t="s">
        <v>1887</v>
      </c>
      <c r="I4566" s="408"/>
      <c r="J4566" s="408"/>
      <c r="K4566" s="399">
        <v>10</v>
      </c>
      <c r="L4566" s="408">
        <v>22720</v>
      </c>
      <c r="M4566" s="65">
        <f>K4566*L4566</f>
        <v>227200</v>
      </c>
      <c r="N4566" s="66" t="s">
        <v>9</v>
      </c>
      <c r="O4566" s="66" t="s">
        <v>576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x</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c r="AE4566">
        <v>1</v>
      </c>
    </row>
    <row r="4567" spans="1:31" ht="15.75" customHeight="1">
      <c r="A4567" s="323" t="str">
        <f>IF(B4567&lt;&gt;"",IF(AND(B4567='IN-TC'!$S$4,OR(TH!N4434="1111",TH!O4434="1111")),TH!D4434,""),"")</f>
        <v/>
      </c>
      <c r="B4567" s="63">
        <f t="shared" si="293"/>
        <v>12</v>
      </c>
      <c r="C4567" s="64">
        <v>42731</v>
      </c>
      <c r="D4567" s="64" t="s">
        <v>2962</v>
      </c>
      <c r="E4567" s="64">
        <f t="shared" si="296"/>
        <v>42731</v>
      </c>
      <c r="F4567" s="72" t="s">
        <v>2510</v>
      </c>
      <c r="G4567" s="931" t="s">
        <v>2762</v>
      </c>
      <c r="H4567" s="72" t="s">
        <v>2511</v>
      </c>
      <c r="I4567" s="408"/>
      <c r="J4567" s="408"/>
      <c r="K4567" s="399"/>
      <c r="L4567" s="408"/>
      <c r="M4567" s="65">
        <v>11385000</v>
      </c>
      <c r="N4567" s="66" t="s">
        <v>8</v>
      </c>
      <c r="O4567" s="66" t="s">
        <v>61</v>
      </c>
      <c r="P4567" s="82" t="str">
        <f>IF(AND('331-CT'!$E$7=TH!H4567,OR(N4567="331",O4567="331")),"x","")</f>
        <v/>
      </c>
      <c r="Q4567" s="82" t="str">
        <f>IF(AND(B4567='111'!$L$11,OR($N4567=$Q$7,$O4567=$Q$7)),"x","")</f>
        <v>x</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1" ht="15.75" customHeight="1">
      <c r="A4568" s="323" t="str">
        <f>IF(B4568&lt;&gt;"",IF(AND(B4568='IN-TC'!$S$4,OR(TH!N4596="1111",TH!O4596="1111")),TH!D4596,""),"")</f>
        <v/>
      </c>
      <c r="B4568" s="63">
        <f t="shared" si="293"/>
        <v>12</v>
      </c>
      <c r="C4568" s="64">
        <v>42729</v>
      </c>
      <c r="D4568" s="64" t="s">
        <v>687</v>
      </c>
      <c r="E4568" s="64">
        <f t="shared" si="296"/>
        <v>42729</v>
      </c>
      <c r="F4568" s="72" t="s">
        <v>1632</v>
      </c>
      <c r="G4568" s="67" t="s">
        <v>1544</v>
      </c>
      <c r="H4568" s="72" t="s">
        <v>1780</v>
      </c>
      <c r="I4568" s="408"/>
      <c r="J4568" s="408"/>
      <c r="K4568" s="399"/>
      <c r="L4568" s="408"/>
      <c r="M4568" s="65">
        <v>49472</v>
      </c>
      <c r="N4568" s="66" t="s">
        <v>25</v>
      </c>
      <c r="O4568" s="66" t="s">
        <v>41</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x</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row>
    <row r="4569" spans="1:31" ht="15.75" customHeight="1">
      <c r="A4569" s="323" t="str">
        <f>IF(B4569&lt;&gt;"",IF(AND(B4569='IN-TC'!$S$4,OR(TH!N4424="1111",TH!O4424="1111")),TH!D4424,""),"")</f>
        <v/>
      </c>
      <c r="B4569" s="63">
        <f t="shared" si="293"/>
        <v>12</v>
      </c>
      <c r="C4569" s="64">
        <v>42730</v>
      </c>
      <c r="D4569" s="64" t="s">
        <v>2956</v>
      </c>
      <c r="E4569" s="64">
        <f t="shared" si="296"/>
        <v>42730</v>
      </c>
      <c r="F4569" s="72" t="s">
        <v>218</v>
      </c>
      <c r="G4569" s="931" t="s">
        <v>2679</v>
      </c>
      <c r="H4569" s="72" t="s">
        <v>606</v>
      </c>
      <c r="I4569" s="408"/>
      <c r="J4569" s="408"/>
      <c r="K4569" s="399"/>
      <c r="L4569" s="408"/>
      <c r="M4569" s="65">
        <v>9404546</v>
      </c>
      <c r="N4569" s="66" t="s">
        <v>276</v>
      </c>
      <c r="O4569" s="66" t="s">
        <v>61</v>
      </c>
      <c r="P4569" s="82" t="str">
        <f>IF(AND('331-CT'!$E$7=TH!H4569,OR(N4569="331",O4569="331")),"x","")</f>
        <v/>
      </c>
      <c r="Q4569" s="82" t="str">
        <f>IF(AND(B4569='111'!$L$11,OR($N4569=$Q$7,$O4569=$Q$7)),"x","")</f>
        <v>x</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customHeight="1">
      <c r="A4570" s="323" t="str">
        <f>IF(B4570&lt;&gt;"",IF(AND(B4570='IN-TC'!$S$4,OR(TH!N4425="1111",TH!O4425="1111")),TH!D4425,""),"")</f>
        <v/>
      </c>
      <c r="B4570" s="63">
        <f t="shared" si="293"/>
        <v>12</v>
      </c>
      <c r="C4570" s="64">
        <v>42730</v>
      </c>
      <c r="D4570" s="64" t="s">
        <v>2956</v>
      </c>
      <c r="E4570" s="64">
        <f t="shared" si="296"/>
        <v>42730</v>
      </c>
      <c r="F4570" s="72" t="s">
        <v>1335</v>
      </c>
      <c r="G4570" s="931" t="s">
        <v>2679</v>
      </c>
      <c r="H4570" s="72" t="s">
        <v>606</v>
      </c>
      <c r="I4570" s="408"/>
      <c r="J4570" s="408"/>
      <c r="K4570" s="399"/>
      <c r="L4570" s="408"/>
      <c r="M4570" s="65">
        <v>940455</v>
      </c>
      <c r="N4570" s="66" t="s">
        <v>9</v>
      </c>
      <c r="O4570" s="66" t="s">
        <v>61</v>
      </c>
      <c r="P4570" s="82" t="str">
        <f>IF(AND('331-CT'!$E$7=TH!H4570,OR(N4570="331",O4570="331")),"x","")</f>
        <v/>
      </c>
      <c r="Q4570" s="82" t="str">
        <f>IF(AND(B4570='111'!$L$11,OR($N4570=$Q$7,$O4570=$Q$7)),"x","")</f>
        <v>x</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x</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c r="AE4570">
        <v>1</v>
      </c>
    </row>
    <row r="4571" spans="1:31" ht="15.75" customHeight="1">
      <c r="A4571" s="1160" t="str">
        <f>IF(B4571&lt;&gt;"",IF(AND(B4571='IN-TC'!$S$4,OR(TH!N1098="1111",TH!O1098="1111")),TH!D1098,""),"")</f>
        <v/>
      </c>
      <c r="B4571" s="948">
        <f t="shared" si="293"/>
        <v>12</v>
      </c>
      <c r="C4571" s="78">
        <v>42732</v>
      </c>
      <c r="D4571" s="78" t="s">
        <v>2894</v>
      </c>
      <c r="E4571" s="78">
        <f t="shared" si="296"/>
        <v>42732</v>
      </c>
      <c r="F4571" s="80" t="s">
        <v>2495</v>
      </c>
      <c r="G4571" s="934" t="s">
        <v>2764</v>
      </c>
      <c r="H4571" s="310" t="s">
        <v>2511</v>
      </c>
      <c r="I4571" s="406">
        <v>2030</v>
      </c>
      <c r="J4571" s="406">
        <v>7500</v>
      </c>
      <c r="K4571" s="397"/>
      <c r="L4571" s="406"/>
      <c r="M4571" s="81">
        <f>ROUND(I4571*J4571,0)</f>
        <v>15225000</v>
      </c>
      <c r="N4571" s="82" t="s">
        <v>270</v>
      </c>
      <c r="O4571" s="82" t="s">
        <v>8</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x</v>
      </c>
      <c r="AC4571" s="82" t="str">
        <f>IF(AND(OR(LEFT(TH!N4571,2)="15",LEFT(TH!O4571,2)="15"),TK!$E$7=TH!F4571),"x","")</f>
        <v/>
      </c>
      <c r="AD4571" s="82" t="str">
        <f>IF(AND(N4571="1521",MONTH(C4571)='BK-NL'!$M$11),"x","")</f>
        <v/>
      </c>
      <c r="AE4571">
        <v>1</v>
      </c>
    </row>
    <row r="4572" spans="1:31" ht="15.75" customHeight="1">
      <c r="A4572" s="323" t="str">
        <f>IF(B4572&lt;&gt;"",IF(AND(B4572='IN-TC'!$S$4,OR(TH!N4427="1111",TH!O4427="1111")),TH!D4427,""),"")</f>
        <v/>
      </c>
      <c r="B4572" s="63">
        <f t="shared" si="293"/>
        <v>12</v>
      </c>
      <c r="C4572" s="64">
        <v>42730</v>
      </c>
      <c r="D4572" s="64" t="s">
        <v>2958</v>
      </c>
      <c r="E4572" s="64">
        <f t="shared" si="296"/>
        <v>42730</v>
      </c>
      <c r="F4572" s="72" t="s">
        <v>2030</v>
      </c>
      <c r="G4572" s="931" t="s">
        <v>2799</v>
      </c>
      <c r="H4572" s="72" t="s">
        <v>792</v>
      </c>
      <c r="I4572" s="408"/>
      <c r="J4572" s="408"/>
      <c r="K4572" s="399"/>
      <c r="L4572" s="408"/>
      <c r="M4572" s="65">
        <v>2056218</v>
      </c>
      <c r="N4572" s="66" t="s">
        <v>99</v>
      </c>
      <c r="O4572" s="66" t="s">
        <v>61</v>
      </c>
      <c r="P4572" s="82" t="str">
        <f>IF(AND('331-CT'!$E$7=TH!H4572,OR(N4572="331",O4572="331")),"x","")</f>
        <v/>
      </c>
      <c r="Q4572" s="82" t="str">
        <f>IF(AND(B4572='111'!$L$11,OR($N4572=$Q$7,$O4572=$Q$7)),"x","")</f>
        <v>x</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c r="AE4572">
        <v>1</v>
      </c>
    </row>
    <row r="4573" spans="1:31" ht="15.75" customHeight="1">
      <c r="A4573" s="323" t="str">
        <f>IF(B4573&lt;&gt;"",IF(AND(B4573='IN-TC'!$S$4,OR(TH!N4428="1111",TH!O4428="1111")),TH!D4428,""),"")</f>
        <v/>
      </c>
      <c r="B4573" s="63">
        <f t="shared" si="293"/>
        <v>12</v>
      </c>
      <c r="C4573" s="64">
        <v>42730</v>
      </c>
      <c r="D4573" s="64" t="s">
        <v>2958</v>
      </c>
      <c r="E4573" s="64">
        <f t="shared" si="296"/>
        <v>42730</v>
      </c>
      <c r="F4573" s="72" t="s">
        <v>2031</v>
      </c>
      <c r="G4573" s="931" t="s">
        <v>2799</v>
      </c>
      <c r="H4573" s="72" t="s">
        <v>792</v>
      </c>
      <c r="I4573" s="408"/>
      <c r="J4573" s="408"/>
      <c r="K4573" s="399"/>
      <c r="L4573" s="408"/>
      <c r="M4573" s="65">
        <v>205622</v>
      </c>
      <c r="N4573" s="66" t="s">
        <v>9</v>
      </c>
      <c r="O4573" s="66" t="s">
        <v>61</v>
      </c>
      <c r="P4573" s="82" t="str">
        <f>IF(AND('331-CT'!$E$7=TH!H4573,OR(N4573="331",O4573="331")),"x","")</f>
        <v/>
      </c>
      <c r="Q4573" s="82" t="str">
        <f>IF(AND(B4573='111'!$L$11,OR($N4573=$Q$7,$O4573=$Q$7)),"x","")</f>
        <v>x</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x</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c r="AE4573">
        <v>1</v>
      </c>
    </row>
    <row r="4574" spans="1:31" ht="15.75" customHeight="1">
      <c r="A4574" s="323" t="str">
        <f>IF(B4574&lt;&gt;"",IF(AND(B4574='IN-TC'!$S$4,OR(TH!N4429="1111",TH!O4429="1111")),TH!D4429,""),"")</f>
        <v/>
      </c>
      <c r="B4574" s="63">
        <f t="shared" si="293"/>
        <v>12</v>
      </c>
      <c r="C4574" s="1092">
        <v>42730</v>
      </c>
      <c r="D4574" s="1092" t="s">
        <v>2959</v>
      </c>
      <c r="E4574" s="1092">
        <f t="shared" si="296"/>
        <v>42730</v>
      </c>
      <c r="F4574" s="482" t="s">
        <v>947</v>
      </c>
      <c r="G4574" s="1094"/>
      <c r="H4574" s="937" t="s">
        <v>3001</v>
      </c>
      <c r="I4574" s="1095"/>
      <c r="J4574" s="1095"/>
      <c r="K4574" s="1096"/>
      <c r="L4574" s="1095"/>
      <c r="M4574" s="1097">
        <v>1500000000</v>
      </c>
      <c r="N4574" s="1098" t="s">
        <v>266</v>
      </c>
      <c r="O4574" s="1098" t="s">
        <v>61</v>
      </c>
      <c r="P4574" s="82" t="str">
        <f>IF(AND('331-CT'!$E$7=TH!H4574,OR(N4574="331",O4574="331")),"x","")</f>
        <v/>
      </c>
      <c r="Q4574" s="82" t="str">
        <f>IF(AND(B4574='111'!$L$11,OR($N4574=$Q$7,$O4574=$Q$7)),"x","")</f>
        <v>x</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1" ht="15.75" customHeight="1">
      <c r="A4575" s="323" t="str">
        <f>IF(B4575&lt;&gt;"",IF(AND(B4575='IN-TC'!$S$4,OR(TH!N4502="1111",TH!O4502="1111")),TH!D4502,""),"")</f>
        <v/>
      </c>
      <c r="B4575" s="63">
        <f t="shared" si="293"/>
        <v>12</v>
      </c>
      <c r="C4575" s="64">
        <v>42730</v>
      </c>
      <c r="D4575" s="64" t="s">
        <v>687</v>
      </c>
      <c r="E4575" s="64">
        <f t="shared" si="296"/>
        <v>42730</v>
      </c>
      <c r="F4575" s="72" t="s">
        <v>1425</v>
      </c>
      <c r="G4575" s="67" t="s">
        <v>901</v>
      </c>
      <c r="H4575" s="72" t="s">
        <v>2048</v>
      </c>
      <c r="I4575" s="408"/>
      <c r="J4575" s="408"/>
      <c r="K4575" s="399">
        <v>282400</v>
      </c>
      <c r="L4575" s="408">
        <v>22750</v>
      </c>
      <c r="M4575" s="65">
        <f>K4575*L4575</f>
        <v>6424600000</v>
      </c>
      <c r="N4575" s="66" t="s">
        <v>25</v>
      </c>
      <c r="O4575" s="66" t="s">
        <v>260</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customHeight="1">
      <c r="A4576" s="1227" t="str">
        <f>IF(B4576&lt;&gt;"",IF(AND(B4576='IN-TC'!$S$4,OR(TH!N628="1111",TH!O628="1111")),TH!D628,""),"")</f>
        <v/>
      </c>
      <c r="B4576" s="1228">
        <f t="shared" si="293"/>
        <v>12</v>
      </c>
      <c r="C4576" s="1229">
        <v>42733</v>
      </c>
      <c r="D4576" s="1229" t="s">
        <v>2989</v>
      </c>
      <c r="E4576" s="1229">
        <f t="shared" si="296"/>
        <v>42733</v>
      </c>
      <c r="F4576" s="1230" t="s">
        <v>455</v>
      </c>
      <c r="G4576" s="1231" t="s">
        <v>1129</v>
      </c>
      <c r="H4576" s="1232" t="s">
        <v>1198</v>
      </c>
      <c r="I4576" s="1233">
        <v>26390</v>
      </c>
      <c r="J4576" s="1233">
        <v>61000</v>
      </c>
      <c r="K4576" s="1234"/>
      <c r="L4576" s="1233"/>
      <c r="M4576" s="1235">
        <f>ROUND(I4576*J4576,0)</f>
        <v>1609790000</v>
      </c>
      <c r="N4576" s="1236" t="s">
        <v>276</v>
      </c>
      <c r="O4576" s="1236" t="s">
        <v>278</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customHeight="1">
      <c r="A4577" s="1160" t="str">
        <f>IF(B4577&lt;&gt;"",IF(AND(B4577='IN-TC'!$S$4,OR(TH!N606="1111",TH!O606="1111")),TH!D606,""),"")</f>
        <v/>
      </c>
      <c r="B4577" s="948">
        <f t="shared" si="293"/>
        <v>12</v>
      </c>
      <c r="C4577" s="78">
        <v>42732</v>
      </c>
      <c r="D4577" s="78" t="s">
        <v>2793</v>
      </c>
      <c r="E4577" s="78">
        <f t="shared" si="296"/>
        <v>42732</v>
      </c>
      <c r="F4577" s="79" t="s">
        <v>455</v>
      </c>
      <c r="G4577" s="934" t="s">
        <v>2714</v>
      </c>
      <c r="H4577" s="80" t="s">
        <v>2224</v>
      </c>
      <c r="I4577" s="406">
        <v>26390</v>
      </c>
      <c r="J4577" s="406">
        <v>56500</v>
      </c>
      <c r="K4577" s="397"/>
      <c r="L4577" s="406"/>
      <c r="M4577" s="81">
        <f>ROUND(I4577*J4577,0)</f>
        <v>1491035000</v>
      </c>
      <c r="N4577" s="82" t="s">
        <v>278</v>
      </c>
      <c r="O4577" s="82" t="s">
        <v>8</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1" ht="15.75" customHeight="1">
      <c r="A4578" s="323" t="str">
        <f>IF(B4578&lt;&gt;"",IF(AND(B4578='IN-TC'!$S$4,OR(TH!N4505="1111",TH!O4505="1111")),TH!D4505,""),"")</f>
        <v/>
      </c>
      <c r="B4578" s="63">
        <f t="shared" si="293"/>
        <v>12</v>
      </c>
      <c r="C4578" s="64">
        <v>42730</v>
      </c>
      <c r="D4578" s="64" t="s">
        <v>690</v>
      </c>
      <c r="E4578" s="64">
        <f t="shared" si="296"/>
        <v>42730</v>
      </c>
      <c r="F4578" s="72" t="s">
        <v>2147</v>
      </c>
      <c r="G4578" s="67" t="s">
        <v>901</v>
      </c>
      <c r="H4578" s="72" t="s">
        <v>2048</v>
      </c>
      <c r="I4578" s="408"/>
      <c r="J4578" s="408"/>
      <c r="K4578" s="399"/>
      <c r="L4578" s="408"/>
      <c r="M4578" s="65">
        <v>109200</v>
      </c>
      <c r="N4578" s="66" t="s">
        <v>99</v>
      </c>
      <c r="O4578" s="66" t="s">
        <v>25</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customHeight="1">
      <c r="A4579" s="323" t="str">
        <f>IF(B4579&lt;&gt;"",IF(AND(B4579='IN-TC'!$S$4,OR(TH!N4506="1111",TH!O4506="1111")),TH!D4506,""),"")</f>
        <v/>
      </c>
      <c r="B4579" s="63">
        <f t="shared" si="293"/>
        <v>12</v>
      </c>
      <c r="C4579" s="64">
        <v>42730</v>
      </c>
      <c r="D4579" s="64" t="s">
        <v>690</v>
      </c>
      <c r="E4579" s="64">
        <f t="shared" si="296"/>
        <v>42730</v>
      </c>
      <c r="F4579" s="72" t="s">
        <v>2148</v>
      </c>
      <c r="G4579" s="67" t="s">
        <v>901</v>
      </c>
      <c r="H4579" s="72" t="s">
        <v>2048</v>
      </c>
      <c r="I4579" s="408"/>
      <c r="J4579" s="408"/>
      <c r="K4579" s="399"/>
      <c r="L4579" s="408"/>
      <c r="M4579" s="65">
        <v>10920</v>
      </c>
      <c r="N4579" s="66" t="s">
        <v>9</v>
      </c>
      <c r="O4579" s="66" t="s">
        <v>25</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x</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c r="AE4579">
        <v>1</v>
      </c>
    </row>
    <row r="4580" spans="1:31" ht="15.75" customHeight="1">
      <c r="A4580" s="323" t="str">
        <f>IF(B4580&lt;&gt;"",IF(AND(B4580='IN-TC'!$S$4,OR(TH!N4507="1111",TH!O4507="1111")),TH!D4507,""),"")</f>
        <v/>
      </c>
      <c r="B4580" s="63">
        <f t="shared" si="293"/>
        <v>12</v>
      </c>
      <c r="C4580" s="64">
        <v>42730</v>
      </c>
      <c r="D4580" s="64" t="s">
        <v>690</v>
      </c>
      <c r="E4580" s="64">
        <f t="shared" si="296"/>
        <v>42730</v>
      </c>
      <c r="F4580" s="72" t="s">
        <v>1623</v>
      </c>
      <c r="G4580" s="67" t="s">
        <v>901</v>
      </c>
      <c r="H4580" s="72" t="s">
        <v>2470</v>
      </c>
      <c r="I4580" s="408"/>
      <c r="J4580" s="408"/>
      <c r="K4580" s="399"/>
      <c r="L4580" s="408"/>
      <c r="M4580" s="65">
        <v>100000000</v>
      </c>
      <c r="N4580" s="66" t="s">
        <v>8</v>
      </c>
      <c r="O4580" s="66" t="s">
        <v>25</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1" ht="15.75" customHeight="1">
      <c r="A4581" s="323" t="str">
        <f>IF(B4581&lt;&gt;"",IF(AND(B4581='IN-TC'!$S$4,OR(TH!N4508="1111",TH!O4508="1111")),TH!D4508,""),"")</f>
        <v/>
      </c>
      <c r="B4581" s="63">
        <f t="shared" si="293"/>
        <v>12</v>
      </c>
      <c r="C4581" s="64">
        <v>42730</v>
      </c>
      <c r="D4581" s="64" t="s">
        <v>690</v>
      </c>
      <c r="E4581" s="64">
        <f t="shared" si="296"/>
        <v>42730</v>
      </c>
      <c r="F4581" s="72" t="s">
        <v>2147</v>
      </c>
      <c r="G4581" s="67" t="s">
        <v>901</v>
      </c>
      <c r="H4581" s="72" t="s">
        <v>2048</v>
      </c>
      <c r="I4581" s="408"/>
      <c r="J4581" s="408"/>
      <c r="K4581" s="399"/>
      <c r="L4581" s="408"/>
      <c r="M4581" s="65">
        <v>30000</v>
      </c>
      <c r="N4581" s="66" t="s">
        <v>99</v>
      </c>
      <c r="O4581" s="66" t="s">
        <v>25</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customHeight="1">
      <c r="A4582" s="323" t="str">
        <f>IF(B4582&lt;&gt;"",IF(AND(B4582='IN-TC'!$S$4,OR(TH!N4509="1111",TH!O4509="1111")),TH!D4509,""),"")</f>
        <v/>
      </c>
      <c r="B4582" s="63">
        <f t="shared" si="293"/>
        <v>12</v>
      </c>
      <c r="C4582" s="64">
        <v>42730</v>
      </c>
      <c r="D4582" s="64" t="s">
        <v>690</v>
      </c>
      <c r="E4582" s="64">
        <f t="shared" si="296"/>
        <v>42730</v>
      </c>
      <c r="F4582" s="72" t="s">
        <v>2148</v>
      </c>
      <c r="G4582" s="67" t="s">
        <v>901</v>
      </c>
      <c r="H4582" s="72" t="s">
        <v>2048</v>
      </c>
      <c r="I4582" s="408"/>
      <c r="J4582" s="408"/>
      <c r="K4582" s="399"/>
      <c r="L4582" s="408"/>
      <c r="M4582" s="65">
        <v>3000</v>
      </c>
      <c r="N4582" s="66" t="s">
        <v>9</v>
      </c>
      <c r="O4582" s="66" t="s">
        <v>25</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x</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c r="AE4582">
        <v>1</v>
      </c>
    </row>
    <row r="4583" spans="1:31" ht="15.75" customHeight="1">
      <c r="A4583" s="323" t="str">
        <f>IF(B4583&lt;&gt;"",IF(AND(B4583='IN-TC'!$S$4,OR(TH!N4550="1111",TH!O4550="1111")),TH!D4550,""),"")</f>
        <v/>
      </c>
      <c r="B4583" s="63">
        <f t="shared" si="293"/>
        <v>12</v>
      </c>
      <c r="C4583" s="64">
        <v>42730</v>
      </c>
      <c r="D4583" s="64" t="s">
        <v>690</v>
      </c>
      <c r="E4583" s="64">
        <f t="shared" si="296"/>
        <v>42730</v>
      </c>
      <c r="F4583" s="72" t="s">
        <v>1633</v>
      </c>
      <c r="G4583" s="67" t="s">
        <v>902</v>
      </c>
      <c r="H4583" s="72" t="s">
        <v>1779</v>
      </c>
      <c r="I4583" s="408"/>
      <c r="J4583" s="408"/>
      <c r="K4583" s="399"/>
      <c r="L4583" s="408"/>
      <c r="M4583" s="65">
        <v>50000</v>
      </c>
      <c r="N4583" s="66" t="s">
        <v>99</v>
      </c>
      <c r="O4583" s="66" t="s">
        <v>25</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c r="AE4583">
        <v>1</v>
      </c>
    </row>
    <row r="4584" spans="1:31" ht="15.75" customHeight="1">
      <c r="A4584" s="323" t="str">
        <f>IF(B4584&lt;&gt;"",IF(AND(B4584='IN-TC'!$S$4,OR(TH!N4551="1111",TH!O4551="1111")),TH!D4551,""),"")</f>
        <v/>
      </c>
      <c r="B4584" s="63">
        <f t="shared" si="293"/>
        <v>12</v>
      </c>
      <c r="C4584" s="64">
        <v>42730</v>
      </c>
      <c r="D4584" s="64" t="s">
        <v>690</v>
      </c>
      <c r="E4584" s="64">
        <f t="shared" si="296"/>
        <v>42730</v>
      </c>
      <c r="F4584" s="72" t="s">
        <v>1634</v>
      </c>
      <c r="G4584" s="67" t="s">
        <v>902</v>
      </c>
      <c r="H4584" s="72" t="s">
        <v>1779</v>
      </c>
      <c r="I4584" s="408"/>
      <c r="J4584" s="408"/>
      <c r="K4584" s="399"/>
      <c r="L4584" s="408"/>
      <c r="M4584" s="65">
        <v>5000</v>
      </c>
      <c r="N4584" s="66" t="s">
        <v>9</v>
      </c>
      <c r="O4584" s="66" t="s">
        <v>25</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x</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customHeight="1">
      <c r="A4585" s="323" t="str">
        <f>IF(B4585&lt;&gt;"",IF(AND(B4585='IN-TC'!$S$4,OR(TH!N4552="1111",TH!O4552="1111")),TH!D4552,""),"")</f>
        <v/>
      </c>
      <c r="B4585" s="63">
        <f t="shared" si="293"/>
        <v>12</v>
      </c>
      <c r="C4585" s="64">
        <v>42730</v>
      </c>
      <c r="D4585" s="64" t="s">
        <v>690</v>
      </c>
      <c r="E4585" s="64">
        <f t="shared" si="296"/>
        <v>42730</v>
      </c>
      <c r="F4585" s="72" t="s">
        <v>1633</v>
      </c>
      <c r="G4585" s="67" t="s">
        <v>902</v>
      </c>
      <c r="H4585" s="72" t="s">
        <v>1779</v>
      </c>
      <c r="I4585" s="408"/>
      <c r="J4585" s="408"/>
      <c r="K4585" s="399"/>
      <c r="L4585" s="408"/>
      <c r="M4585" s="65">
        <v>50000</v>
      </c>
      <c r="N4585" s="66" t="s">
        <v>99</v>
      </c>
      <c r="O4585" s="66" t="s">
        <v>25</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c r="AE4585">
        <v>1</v>
      </c>
    </row>
    <row r="4586" spans="1:31" ht="15.75" customHeight="1">
      <c r="A4586" s="323" t="str">
        <f>IF(B4586&lt;&gt;"",IF(AND(B4586='IN-TC'!$S$4,OR(TH!N4553="1111",TH!O4553="1111")),TH!D4553,""),"")</f>
        <v/>
      </c>
      <c r="B4586" s="63">
        <f t="shared" si="293"/>
        <v>12</v>
      </c>
      <c r="C4586" s="64">
        <v>42730</v>
      </c>
      <c r="D4586" s="64" t="s">
        <v>690</v>
      </c>
      <c r="E4586" s="64">
        <f t="shared" si="296"/>
        <v>42730</v>
      </c>
      <c r="F4586" s="72" t="s">
        <v>1634</v>
      </c>
      <c r="G4586" s="67" t="s">
        <v>902</v>
      </c>
      <c r="H4586" s="72" t="s">
        <v>1779</v>
      </c>
      <c r="I4586" s="408"/>
      <c r="J4586" s="408"/>
      <c r="K4586" s="399"/>
      <c r="L4586" s="408"/>
      <c r="M4586" s="65">
        <v>5000</v>
      </c>
      <c r="N4586" s="66" t="s">
        <v>9</v>
      </c>
      <c r="O4586" s="66" t="s">
        <v>25</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x</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c r="AE4586">
        <v>1</v>
      </c>
    </row>
    <row r="4587" spans="1:31" ht="15.75" customHeight="1">
      <c r="A4587" s="323" t="str">
        <f>IF(B4587&lt;&gt;"",IF(AND(B4587='IN-TC'!$S$4,OR(TH!N4554="1111",TH!O4554="1111")),TH!D4554,""),"")</f>
        <v/>
      </c>
      <c r="B4587" s="63">
        <f t="shared" si="293"/>
        <v>12</v>
      </c>
      <c r="C4587" s="64">
        <v>42730</v>
      </c>
      <c r="D4587" s="64" t="s">
        <v>690</v>
      </c>
      <c r="E4587" s="64">
        <f t="shared" si="296"/>
        <v>42730</v>
      </c>
      <c r="F4587" s="72" t="s">
        <v>1633</v>
      </c>
      <c r="G4587" s="67" t="s">
        <v>902</v>
      </c>
      <c r="H4587" s="72" t="s">
        <v>1779</v>
      </c>
      <c r="I4587" s="408"/>
      <c r="J4587" s="408"/>
      <c r="K4587" s="399"/>
      <c r="L4587" s="408"/>
      <c r="M4587" s="65">
        <v>50000</v>
      </c>
      <c r="N4587" s="66" t="s">
        <v>99</v>
      </c>
      <c r="O4587" s="66" t="s">
        <v>25</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customHeight="1">
      <c r="A4588" s="323" t="str">
        <f>IF(B4588&lt;&gt;"",IF(AND(B4588='IN-TC'!$S$4,OR(TH!N4555="1111",TH!O4555="1111")),TH!D4555,""),"")</f>
        <v/>
      </c>
      <c r="B4588" s="63">
        <f t="shared" si="293"/>
        <v>12</v>
      </c>
      <c r="C4588" s="64">
        <v>42730</v>
      </c>
      <c r="D4588" s="64" t="s">
        <v>690</v>
      </c>
      <c r="E4588" s="64">
        <f t="shared" si="296"/>
        <v>42730</v>
      </c>
      <c r="F4588" s="72" t="s">
        <v>1634</v>
      </c>
      <c r="G4588" s="67" t="s">
        <v>902</v>
      </c>
      <c r="H4588" s="72" t="s">
        <v>1779</v>
      </c>
      <c r="I4588" s="408"/>
      <c r="J4588" s="408"/>
      <c r="K4588" s="399"/>
      <c r="L4588" s="408"/>
      <c r="M4588" s="65">
        <v>5000</v>
      </c>
      <c r="N4588" s="66" t="s">
        <v>9</v>
      </c>
      <c r="O4588" s="66" t="s">
        <v>25</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x</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customHeight="1">
      <c r="A4589" s="323" t="str">
        <f>IF(B4589&lt;&gt;"",IF(AND(B4589='IN-TC'!$S$4,OR(TH!N4556="1111",TH!O4556="1111")),TH!D4556,""),"")</f>
        <v/>
      </c>
      <c r="B4589" s="63">
        <f t="shared" si="293"/>
        <v>12</v>
      </c>
      <c r="C4589" s="64">
        <v>42730</v>
      </c>
      <c r="D4589" s="64" t="s">
        <v>690</v>
      </c>
      <c r="E4589" s="64">
        <f t="shared" si="296"/>
        <v>42730</v>
      </c>
      <c r="F4589" s="72" t="s">
        <v>1633</v>
      </c>
      <c r="G4589" s="67" t="s">
        <v>902</v>
      </c>
      <c r="H4589" s="72" t="s">
        <v>1779</v>
      </c>
      <c r="I4589" s="408"/>
      <c r="J4589" s="408"/>
      <c r="K4589" s="399"/>
      <c r="L4589" s="408"/>
      <c r="M4589" s="65">
        <v>50000</v>
      </c>
      <c r="N4589" s="66" t="s">
        <v>99</v>
      </c>
      <c r="O4589" s="66" t="s">
        <v>25</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customHeight="1">
      <c r="A4590" s="323" t="str">
        <f>IF(B4590&lt;&gt;"",IF(AND(B4590='IN-TC'!$S$4,OR(TH!N4557="1111",TH!O4557="1111")),TH!D4557,""),"")</f>
        <v/>
      </c>
      <c r="B4590" s="63">
        <f t="shared" ref="B4590:B4646" si="297">IF(C4590&lt;&gt;"",MONTH(C4590),"")</f>
        <v>12</v>
      </c>
      <c r="C4590" s="64">
        <v>42730</v>
      </c>
      <c r="D4590" s="64" t="s">
        <v>690</v>
      </c>
      <c r="E4590" s="64">
        <f t="shared" si="296"/>
        <v>42730</v>
      </c>
      <c r="F4590" s="72" t="s">
        <v>1634</v>
      </c>
      <c r="G4590" s="67" t="s">
        <v>902</v>
      </c>
      <c r="H4590" s="72" t="s">
        <v>1779</v>
      </c>
      <c r="I4590" s="408"/>
      <c r="J4590" s="408"/>
      <c r="K4590" s="399"/>
      <c r="L4590" s="408"/>
      <c r="M4590" s="65">
        <v>5000</v>
      </c>
      <c r="N4590" s="66" t="s">
        <v>9</v>
      </c>
      <c r="O4590" s="66" t="s">
        <v>25</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x</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customHeight="1">
      <c r="A4591" s="323" t="str">
        <f>IF(B4591&lt;&gt;"",IF(AND(B4591='IN-TC'!$S$4,OR(TH!N4423="1111",TH!O4423="1111")),TH!D4423,""),"")</f>
        <v/>
      </c>
      <c r="B4591" s="63">
        <f t="shared" si="297"/>
        <v>12</v>
      </c>
      <c r="C4591" s="64">
        <v>42730</v>
      </c>
      <c r="D4591" s="64" t="s">
        <v>2704</v>
      </c>
      <c r="E4591" s="64">
        <f t="shared" si="296"/>
        <v>42730</v>
      </c>
      <c r="F4591" s="72" t="s">
        <v>1126</v>
      </c>
      <c r="G4591" s="67" t="s">
        <v>901</v>
      </c>
      <c r="H4591" s="72" t="s">
        <v>748</v>
      </c>
      <c r="I4591" s="408"/>
      <c r="J4591" s="408"/>
      <c r="K4591" s="399"/>
      <c r="L4591" s="408"/>
      <c r="M4591" s="65">
        <v>4090000000</v>
      </c>
      <c r="N4591" s="66" t="s">
        <v>61</v>
      </c>
      <c r="O4591" s="66" t="s">
        <v>25</v>
      </c>
      <c r="P4591" s="82" t="str">
        <f>IF(AND('331-CT'!$E$7=TH!H4591,OR(N4591="331",O4591="331")),"x","")</f>
        <v/>
      </c>
      <c r="Q4591" s="82" t="str">
        <f>IF(AND(B4591='111'!$L$11,OR($N4591=$Q$7,$O4591=$Q$7)),"x","")</f>
        <v>x</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row>
    <row r="4592" spans="1:31" ht="15.75" customHeight="1">
      <c r="A4592" s="323" t="str">
        <f>IF(B4592&lt;&gt;"",IF(AND(B4592='IN-TC'!$S$4,OR(TH!N4430="1111",TH!O4430="1111")),TH!D4430,""),"")</f>
        <v/>
      </c>
      <c r="B4592" s="63">
        <f t="shared" si="297"/>
        <v>12</v>
      </c>
      <c r="C4592" s="1092">
        <v>42731</v>
      </c>
      <c r="D4592" s="1092" t="s">
        <v>2960</v>
      </c>
      <c r="E4592" s="1092">
        <f t="shared" si="296"/>
        <v>42731</v>
      </c>
      <c r="F4592" s="482" t="s">
        <v>947</v>
      </c>
      <c r="G4592" s="1094"/>
      <c r="H4592" s="937" t="s">
        <v>3001</v>
      </c>
      <c r="I4592" s="1095"/>
      <c r="J4592" s="1095"/>
      <c r="K4592" s="1096"/>
      <c r="L4592" s="1095"/>
      <c r="M4592" s="1097">
        <v>1500000000</v>
      </c>
      <c r="N4592" s="1098" t="s">
        <v>266</v>
      </c>
      <c r="O4592" s="1098" t="s">
        <v>61</v>
      </c>
      <c r="P4592" s="82" t="str">
        <f>IF(AND('331-CT'!$E$7=TH!H4592,OR(N4592="331",O4592="331")),"x","")</f>
        <v/>
      </c>
      <c r="Q4592" s="82" t="str">
        <f>IF(AND(B4592='111'!$L$11,OR($N4592=$Q$7,$O4592=$Q$7)),"x","")</f>
        <v>x</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1" ht="15.75" customHeight="1">
      <c r="A4593" s="323" t="str">
        <f>IF(B4593&lt;&gt;"",IF(AND(B4593='IN-TC'!$S$4,OR(TH!N4432="1111",TH!O4432="1111")),TH!D4432,""),"")</f>
        <v/>
      </c>
      <c r="B4593" s="63">
        <f t="shared" si="297"/>
        <v>12</v>
      </c>
      <c r="C4593" s="64">
        <v>42731</v>
      </c>
      <c r="D4593" s="64" t="s">
        <v>2961</v>
      </c>
      <c r="E4593" s="64">
        <f t="shared" si="296"/>
        <v>42731</v>
      </c>
      <c r="F4593" s="72" t="s">
        <v>2701</v>
      </c>
      <c r="G4593" s="931" t="s">
        <v>2703</v>
      </c>
      <c r="H4593" s="72" t="s">
        <v>823</v>
      </c>
      <c r="I4593" s="408"/>
      <c r="J4593" s="408"/>
      <c r="K4593" s="399"/>
      <c r="L4593" s="408"/>
      <c r="M4593" s="65">
        <v>16050000</v>
      </c>
      <c r="N4593" s="66" t="s">
        <v>99</v>
      </c>
      <c r="O4593" s="66" t="s">
        <v>61</v>
      </c>
      <c r="P4593" s="82" t="str">
        <f>IF(AND('331-CT'!$E$7=TH!H4593,OR(N4593="331",O4593="331")),"x","")</f>
        <v/>
      </c>
      <c r="Q4593" s="82" t="str">
        <f>IF(AND(B4593='111'!$L$11,OR($N4593=$Q$7,$O4593=$Q$7)),"x","")</f>
        <v>x</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c r="AE4593">
        <v>1</v>
      </c>
    </row>
    <row r="4594" spans="1:31" ht="15.75" customHeight="1">
      <c r="A4594" s="323" t="str">
        <f>IF(B4594&lt;&gt;"",IF(AND(B4594='IN-TC'!$S$4,OR(TH!N4433="1111",TH!O4433="1111")),TH!D4433,""),"")</f>
        <v/>
      </c>
      <c r="B4594" s="63">
        <f t="shared" si="297"/>
        <v>12</v>
      </c>
      <c r="C4594" s="64">
        <v>42731</v>
      </c>
      <c r="D4594" s="64" t="s">
        <v>2961</v>
      </c>
      <c r="E4594" s="64">
        <f t="shared" si="296"/>
        <v>42731</v>
      </c>
      <c r="F4594" s="72" t="s">
        <v>2702</v>
      </c>
      <c r="G4594" s="931" t="s">
        <v>2703</v>
      </c>
      <c r="H4594" s="72" t="s">
        <v>823</v>
      </c>
      <c r="I4594" s="408"/>
      <c r="J4594" s="408"/>
      <c r="K4594" s="399"/>
      <c r="L4594" s="408"/>
      <c r="M4594" s="65">
        <v>1605000</v>
      </c>
      <c r="N4594" s="66" t="s">
        <v>9</v>
      </c>
      <c r="O4594" s="66" t="s">
        <v>61</v>
      </c>
      <c r="P4594" s="82" t="str">
        <f>IF(AND('331-CT'!$E$7=TH!H4594,OR(N4594="331",O4594="331")),"x","")</f>
        <v/>
      </c>
      <c r="Q4594" s="82" t="str">
        <f>IF(AND(B4594='111'!$L$11,OR($N4594=$Q$7,$O4594=$Q$7)),"x","")</f>
        <v>x</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x</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c r="AE4594">
        <v>1</v>
      </c>
    </row>
    <row r="4595" spans="1:31" ht="15.75" customHeight="1">
      <c r="A4595" s="1160" t="str">
        <f>IF(B4595&lt;&gt;"",IF(AND(B4595='IN-TC'!$S$4,OR(TH!N1099="1111",TH!O1099="1111")),TH!D1099,""),"")</f>
        <v/>
      </c>
      <c r="B4595" s="948">
        <f t="shared" si="297"/>
        <v>12</v>
      </c>
      <c r="C4595" s="78">
        <v>42732</v>
      </c>
      <c r="D4595" s="78" t="s">
        <v>2894</v>
      </c>
      <c r="E4595" s="78">
        <f t="shared" si="296"/>
        <v>42732</v>
      </c>
      <c r="F4595" s="80" t="s">
        <v>637</v>
      </c>
      <c r="G4595" s="934" t="s">
        <v>2764</v>
      </c>
      <c r="H4595" s="310" t="s">
        <v>2511</v>
      </c>
      <c r="I4595" s="406"/>
      <c r="J4595" s="406"/>
      <c r="K4595" s="397"/>
      <c r="L4595" s="406"/>
      <c r="M4595" s="81">
        <v>1522500</v>
      </c>
      <c r="N4595" s="82" t="s">
        <v>9</v>
      </c>
      <c r="O4595" s="82" t="s">
        <v>8</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x</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c r="AE4595">
        <v>1</v>
      </c>
    </row>
    <row r="4596" spans="1:31" ht="15.75" customHeight="1">
      <c r="A4596" s="323" t="str">
        <f>IF(B4596&lt;&gt;"",IF(AND(B4596='IN-TC'!$S$4,OR(TH!N4435="1111",TH!O4435="1111")),TH!D4435,""),"")</f>
        <v/>
      </c>
      <c r="B4596" s="63">
        <f t="shared" si="297"/>
        <v>12</v>
      </c>
      <c r="C4596" s="64">
        <v>42731</v>
      </c>
      <c r="D4596" s="64" t="s">
        <v>2963</v>
      </c>
      <c r="E4596" s="64">
        <f t="shared" si="296"/>
        <v>42731</v>
      </c>
      <c r="F4596" s="72" t="s">
        <v>2510</v>
      </c>
      <c r="G4596" s="931" t="s">
        <v>2763</v>
      </c>
      <c r="H4596" s="72" t="s">
        <v>2512</v>
      </c>
      <c r="I4596" s="408"/>
      <c r="J4596" s="408"/>
      <c r="K4596" s="399"/>
      <c r="L4596" s="408"/>
      <c r="M4596" s="65">
        <v>16747500</v>
      </c>
      <c r="N4596" s="66" t="s">
        <v>8</v>
      </c>
      <c r="O4596" s="66" t="s">
        <v>61</v>
      </c>
      <c r="P4596" s="82" t="str">
        <f>IF(AND('331-CT'!$E$7=TH!H4596,OR(N4596="331",O4596="331")),"x","")</f>
        <v/>
      </c>
      <c r="Q4596" s="82" t="str">
        <f>IF(AND(B4596='111'!$L$11,OR($N4596=$Q$7,$O4596=$Q$7)),"x","")</f>
        <v>x</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customHeight="1">
      <c r="A4597" s="323" t="str">
        <f>IF(B4597&lt;&gt;"",IF(AND(B4597='IN-TC'!$S$4,OR(TH!N4436="1111",TH!O4436="1111")),TH!D4436,""),"")</f>
        <v/>
      </c>
      <c r="B4597" s="63">
        <f t="shared" si="297"/>
        <v>12</v>
      </c>
      <c r="C4597" s="64">
        <v>43462</v>
      </c>
      <c r="D4597" s="64" t="s">
        <v>2964</v>
      </c>
      <c r="E4597" s="64">
        <f t="shared" si="296"/>
        <v>43462</v>
      </c>
      <c r="F4597" s="72" t="s">
        <v>2510</v>
      </c>
      <c r="G4597" s="931" t="s">
        <v>2764</v>
      </c>
      <c r="H4597" s="72" t="s">
        <v>2511</v>
      </c>
      <c r="I4597" s="408"/>
      <c r="J4597" s="408"/>
      <c r="K4597" s="399"/>
      <c r="L4597" s="408"/>
      <c r="M4597" s="65">
        <v>16747500</v>
      </c>
      <c r="N4597" s="66" t="s">
        <v>8</v>
      </c>
      <c r="O4597" s="66" t="s">
        <v>61</v>
      </c>
      <c r="P4597" s="82" t="str">
        <f>IF(AND('331-CT'!$E$7=TH!H4597,OR(N4597="331",O4597="331")),"x","")</f>
        <v/>
      </c>
      <c r="Q4597" s="82" t="str">
        <f>IF(AND(B4597='111'!$L$11,OR($N4597=$Q$7,$O4597=$Q$7)),"x","")</f>
        <v>x</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1" ht="15.75" customHeight="1">
      <c r="A4598" s="323" t="str">
        <f>IF(B4598&lt;&gt;"",IF(AND(B4598='IN-TC'!$S$4,OR(TH!N4558="1111",TH!O4558="1111")),TH!D4558,""),"")</f>
        <v/>
      </c>
      <c r="B4598" s="63">
        <f t="shared" si="297"/>
        <v>12</v>
      </c>
      <c r="C4598" s="64">
        <v>42731</v>
      </c>
      <c r="D4598" s="64" t="s">
        <v>687</v>
      </c>
      <c r="E4598" s="64">
        <f t="shared" ref="E4598:E4629" si="298">C4598</f>
        <v>42731</v>
      </c>
      <c r="F4598" s="72" t="s">
        <v>1436</v>
      </c>
      <c r="G4598" s="67" t="s">
        <v>902</v>
      </c>
      <c r="H4598" s="72" t="s">
        <v>1751</v>
      </c>
      <c r="I4598" s="408"/>
      <c r="J4598" s="408"/>
      <c r="K4598" s="399"/>
      <c r="L4598" s="408"/>
      <c r="M4598" s="65">
        <v>515402500</v>
      </c>
      <c r="N4598" s="66" t="s">
        <v>25</v>
      </c>
      <c r="O4598" s="66" t="s">
        <v>576</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row>
    <row r="4599" spans="1:31" ht="15.75" customHeight="1">
      <c r="A4599" s="323" t="str">
        <f>IF(B4599&lt;&gt;"",IF(AND(B4599='IN-TC'!$S$4,OR(TH!N4559="1111",TH!O4559="1111")),TH!D4559,""),"")</f>
        <v/>
      </c>
      <c r="B4599" s="63">
        <f t="shared" si="297"/>
        <v>12</v>
      </c>
      <c r="C4599" s="64">
        <v>42731</v>
      </c>
      <c r="D4599" s="64" t="s">
        <v>690</v>
      </c>
      <c r="E4599" s="64">
        <f t="shared" si="298"/>
        <v>42731</v>
      </c>
      <c r="F4599" s="72" t="s">
        <v>2748</v>
      </c>
      <c r="G4599" s="67" t="s">
        <v>902</v>
      </c>
      <c r="H4599" s="72" t="s">
        <v>1779</v>
      </c>
      <c r="I4599" s="408"/>
      <c r="J4599" s="408"/>
      <c r="K4599" s="399"/>
      <c r="L4599" s="408"/>
      <c r="M4599" s="65">
        <v>169021</v>
      </c>
      <c r="N4599" s="66" t="s">
        <v>99</v>
      </c>
      <c r="O4599" s="66" t="s">
        <v>25</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1" ht="15.75" customHeight="1">
      <c r="A4600" s="323" t="str">
        <f>IF(B4600&lt;&gt;"",IF(AND(B4600='IN-TC'!$S$4,OR(TH!N4431="1111",TH!O4431="1111")),TH!D4431,""),"")</f>
        <v/>
      </c>
      <c r="B4600" s="63">
        <f t="shared" si="297"/>
        <v>12</v>
      </c>
      <c r="C4600" s="64">
        <v>42731</v>
      </c>
      <c r="D4600" s="64" t="s">
        <v>2730</v>
      </c>
      <c r="E4600" s="64">
        <f t="shared" si="298"/>
        <v>42731</v>
      </c>
      <c r="F4600" s="72" t="s">
        <v>1126</v>
      </c>
      <c r="G4600" s="67" t="s">
        <v>902</v>
      </c>
      <c r="H4600" s="72" t="s">
        <v>748</v>
      </c>
      <c r="I4600" s="408"/>
      <c r="J4600" s="408"/>
      <c r="K4600" s="399"/>
      <c r="L4600" s="408"/>
      <c r="M4600" s="65">
        <v>515000000</v>
      </c>
      <c r="N4600" s="66" t="s">
        <v>61</v>
      </c>
      <c r="O4600" s="66" t="s">
        <v>25</v>
      </c>
      <c r="P4600" s="82" t="str">
        <f>IF(AND('331-CT'!$E$7=TH!H4600,OR(N4600="331",O4600="331")),"x","")</f>
        <v/>
      </c>
      <c r="Q4600" s="82" t="str">
        <f>IF(AND(B4600='111'!$L$11,OR($N4600=$Q$7,$O4600=$Q$7)),"x","")</f>
        <v>x</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customHeight="1">
      <c r="A4601" s="323" t="str">
        <f>IF(B4601&lt;&gt;"",IF(AND(B4601='IN-TC'!$S$4,OR(TH!N4437="1111",TH!O4437="1111")),TH!D4437,""),"")</f>
        <v/>
      </c>
      <c r="B4601" s="63">
        <f t="shared" si="297"/>
        <v>12</v>
      </c>
      <c r="C4601" s="1092">
        <v>42732</v>
      </c>
      <c r="D4601" s="1092" t="s">
        <v>2965</v>
      </c>
      <c r="E4601" s="1092">
        <f t="shared" si="298"/>
        <v>42732</v>
      </c>
      <c r="F4601" s="482" t="s">
        <v>947</v>
      </c>
      <c r="G4601" s="1094"/>
      <c r="H4601" s="937" t="s">
        <v>3001</v>
      </c>
      <c r="I4601" s="1095"/>
      <c r="J4601" s="1095"/>
      <c r="K4601" s="1096"/>
      <c r="L4601" s="1095"/>
      <c r="M4601" s="1097">
        <v>1500000000</v>
      </c>
      <c r="N4601" s="1098" t="s">
        <v>266</v>
      </c>
      <c r="O4601" s="1098" t="s">
        <v>61</v>
      </c>
      <c r="P4601" s="82" t="str">
        <f>IF(AND('331-CT'!$E$7=TH!H4601,OR(N4601="331",O4601="331")),"x","")</f>
        <v/>
      </c>
      <c r="Q4601" s="82" t="str">
        <f>IF(AND(B4601='111'!$L$11,OR($N4601=$Q$7,$O4601=$Q$7)),"x","")</f>
        <v>x</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1" ht="15.75" customHeight="1">
      <c r="A4602" s="323" t="str">
        <f>IF(B4602&lt;&gt;"",IF(AND(B4602='IN-TC'!$S$4,OR(TH!N4597="1111",TH!O4597="1111")),TH!D4597,""),"")</f>
        <v/>
      </c>
      <c r="B4602" s="63">
        <f t="shared" si="297"/>
        <v>12</v>
      </c>
      <c r="C4602" s="64">
        <v>42732</v>
      </c>
      <c r="D4602" s="64" t="s">
        <v>690</v>
      </c>
      <c r="E4602" s="64">
        <f t="shared" si="298"/>
        <v>42732</v>
      </c>
      <c r="F4602" s="72" t="s">
        <v>2784</v>
      </c>
      <c r="G4602" s="67" t="s">
        <v>1544</v>
      </c>
      <c r="H4602" s="72" t="s">
        <v>1780</v>
      </c>
      <c r="I4602" s="408"/>
      <c r="J4602" s="408"/>
      <c r="K4602" s="399"/>
      <c r="L4602" s="408"/>
      <c r="M4602" s="65">
        <v>228000</v>
      </c>
      <c r="N4602" s="66" t="s">
        <v>99</v>
      </c>
      <c r="O4602" s="66" t="s">
        <v>25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x</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row>
    <row r="4603" spans="1:31" ht="15.75" customHeight="1">
      <c r="A4603" s="323" t="str">
        <f>IF(B4603&lt;&gt;"",IF(AND(B4603='IN-TC'!$S$4,OR(TH!N4438="1111",TH!O4438="1111")),TH!D4438,""),"")</f>
        <v/>
      </c>
      <c r="B4603" s="63">
        <f t="shared" si="297"/>
        <v>12</v>
      </c>
      <c r="C4603" s="64">
        <v>42733</v>
      </c>
      <c r="D4603" s="64" t="s">
        <v>2966</v>
      </c>
      <c r="E4603" s="64">
        <f t="shared" si="298"/>
        <v>42733</v>
      </c>
      <c r="F4603" s="72" t="s">
        <v>1087</v>
      </c>
      <c r="G4603" s="67" t="s">
        <v>901</v>
      </c>
      <c r="H4603" s="72" t="s">
        <v>748</v>
      </c>
      <c r="I4603" s="408"/>
      <c r="J4603" s="408"/>
      <c r="K4603" s="399"/>
      <c r="L4603" s="408"/>
      <c r="M4603" s="65">
        <v>22000000</v>
      </c>
      <c r="N4603" s="66" t="s">
        <v>25</v>
      </c>
      <c r="O4603" s="66" t="s">
        <v>61</v>
      </c>
      <c r="P4603" s="82" t="str">
        <f>IF(AND('331-CT'!$E$7=TH!H4603,OR(N4603="331",O4603="331")),"x","")</f>
        <v/>
      </c>
      <c r="Q4603" s="82" t="str">
        <f>IF(AND(B4603='111'!$L$11,OR($N4603=$Q$7,$O4603=$Q$7)),"x","")</f>
        <v>x</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row>
    <row r="4604" spans="1:31" ht="15.75" customHeight="1">
      <c r="A4604" s="323" t="str">
        <f>IF(B4604&lt;&gt;"",IF(AND(B4604='IN-TC'!$S$4,OR(TH!N4633="1111",TH!O4633="1111")),TH!D4633,""),"")</f>
        <v/>
      </c>
      <c r="B4604" s="63">
        <f t="shared" si="297"/>
        <v>12</v>
      </c>
      <c r="C4604" s="64">
        <v>42733</v>
      </c>
      <c r="D4604" s="64" t="s">
        <v>687</v>
      </c>
      <c r="E4604" s="64">
        <f t="shared" si="298"/>
        <v>42733</v>
      </c>
      <c r="F4604" s="72" t="s">
        <v>1436</v>
      </c>
      <c r="G4604" s="67" t="s">
        <v>1544</v>
      </c>
      <c r="H4604" s="72" t="s">
        <v>1887</v>
      </c>
      <c r="I4604" s="408"/>
      <c r="J4604" s="408"/>
      <c r="K4604" s="399">
        <v>294308</v>
      </c>
      <c r="L4604" s="408">
        <v>22720</v>
      </c>
      <c r="M4604" s="65">
        <f>K4604*L4604</f>
        <v>6686677760</v>
      </c>
      <c r="N4604" s="66" t="s">
        <v>260</v>
      </c>
      <c r="O4604" s="66" t="s">
        <v>576</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row>
    <row r="4605" spans="1:31" ht="15.75" customHeight="1">
      <c r="A4605" s="323" t="str">
        <f>IF(B4605&lt;&gt;"",IF(AND(B4605='IN-TC'!$S$4,OR(TH!N4634="1111",TH!O4634="1111")),TH!D4634,""),"")</f>
        <v/>
      </c>
      <c r="B4605" s="63">
        <f t="shared" si="297"/>
        <v>12</v>
      </c>
      <c r="C4605" s="64">
        <v>42733</v>
      </c>
      <c r="D4605" s="64" t="s">
        <v>570</v>
      </c>
      <c r="E4605" s="64">
        <f t="shared" si="298"/>
        <v>42733</v>
      </c>
      <c r="F4605" s="72" t="s">
        <v>1968</v>
      </c>
      <c r="G4605" s="67" t="s">
        <v>1544</v>
      </c>
      <c r="H4605" s="72" t="s">
        <v>1887</v>
      </c>
      <c r="I4605" s="408"/>
      <c r="J4605" s="408"/>
      <c r="K4605" s="399">
        <v>12</v>
      </c>
      <c r="L4605" s="408">
        <v>22720</v>
      </c>
      <c r="M4605" s="65">
        <f>K4605*L4605</f>
        <v>272640</v>
      </c>
      <c r="N4605" s="66" t="s">
        <v>99</v>
      </c>
      <c r="O4605" s="66" t="s">
        <v>576</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1" ht="15.75" customHeight="1">
      <c r="A4606" s="323" t="str">
        <f>IF(B4606&lt;&gt;"",IF(AND(B4606='IN-TC'!$S$4,OR(TH!N4639="1111",TH!O4639="1111")),TH!D4639,""),"")</f>
        <v/>
      </c>
      <c r="B4606" s="63">
        <f t="shared" si="297"/>
        <v>12</v>
      </c>
      <c r="C4606" s="64">
        <v>42733</v>
      </c>
      <c r="D4606" s="64" t="s">
        <v>570</v>
      </c>
      <c r="E4606" s="64">
        <f t="shared" si="298"/>
        <v>42733</v>
      </c>
      <c r="F4606" s="72" t="s">
        <v>1049</v>
      </c>
      <c r="G4606" s="67" t="s">
        <v>1544</v>
      </c>
      <c r="H4606" s="72" t="s">
        <v>1868</v>
      </c>
      <c r="I4606" s="408"/>
      <c r="J4606" s="408"/>
      <c r="K4606" s="399"/>
      <c r="L4606" s="408"/>
      <c r="M4606" s="65">
        <v>38306000</v>
      </c>
      <c r="N4606" s="66" t="s">
        <v>97</v>
      </c>
      <c r="O4606" s="66" t="s">
        <v>254</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customHeight="1">
      <c r="A4607" s="323" t="str">
        <f>IF(B4607&lt;&gt;"",IF(AND(B4607='IN-TC'!$S$4,OR(TH!N4600="1111",TH!O4600="1111")),TH!D4600,""),"")</f>
        <v/>
      </c>
      <c r="B4607" s="63">
        <f t="shared" si="297"/>
        <v>12</v>
      </c>
      <c r="C4607" s="64">
        <v>42733</v>
      </c>
      <c r="D4607" s="64" t="s">
        <v>687</v>
      </c>
      <c r="E4607" s="64">
        <f t="shared" si="298"/>
        <v>42733</v>
      </c>
      <c r="F4607" s="72" t="s">
        <v>2358</v>
      </c>
      <c r="G4607" s="67" t="s">
        <v>1544</v>
      </c>
      <c r="H4607" s="1274" t="s">
        <v>2995</v>
      </c>
      <c r="I4607" s="408"/>
      <c r="J4607" s="408"/>
      <c r="K4607" s="399">
        <v>85000</v>
      </c>
      <c r="L4607" s="408">
        <f>M4607/K4607</f>
        <v>22760</v>
      </c>
      <c r="M4607" s="65">
        <v>1934600000</v>
      </c>
      <c r="N4607" s="66" t="s">
        <v>25</v>
      </c>
      <c r="O4607" s="66" t="s">
        <v>254</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x</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customHeight="1">
      <c r="A4608" s="1160" t="str">
        <f>IF(B4608&lt;&gt;"",IF(AND(B4608='IN-TC'!$S$4,OR(TH!N4635="1111",TH!O4635="1111")),TH!D4635,""),"")</f>
        <v/>
      </c>
      <c r="B4608" s="948">
        <f t="shared" si="297"/>
        <v>12</v>
      </c>
      <c r="C4608" s="78">
        <v>42733</v>
      </c>
      <c r="D4608" s="78" t="s">
        <v>570</v>
      </c>
      <c r="E4608" s="78">
        <f t="shared" si="298"/>
        <v>42733</v>
      </c>
      <c r="F4608" s="80" t="s">
        <v>1049</v>
      </c>
      <c r="G4608" s="79" t="s">
        <v>1544</v>
      </c>
      <c r="H4608" s="80" t="s">
        <v>1887</v>
      </c>
      <c r="I4608" s="406"/>
      <c r="J4608" s="406"/>
      <c r="K4608" s="397"/>
      <c r="L4608" s="406"/>
      <c r="M4608" s="81">
        <v>36790000</v>
      </c>
      <c r="N4608" s="82" t="s">
        <v>576</v>
      </c>
      <c r="O4608" s="82" t="s">
        <v>41</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1" ht="15.75" customHeight="1">
      <c r="A4609" s="323" t="str">
        <f>IF(B4609&lt;&gt;"",IF(AND(B4609='IN-TC'!$S$4,OR(TH!N4510="1111",TH!O4510="1111")),TH!D4510,""),"")</f>
        <v/>
      </c>
      <c r="B4609" s="63">
        <f t="shared" si="297"/>
        <v>12</v>
      </c>
      <c r="C4609" s="64">
        <v>42733</v>
      </c>
      <c r="D4609" s="64" t="s">
        <v>690</v>
      </c>
      <c r="E4609" s="64">
        <f t="shared" si="298"/>
        <v>42733</v>
      </c>
      <c r="F4609" s="72" t="s">
        <v>2750</v>
      </c>
      <c r="G4609" s="67" t="s">
        <v>901</v>
      </c>
      <c r="H4609" s="72" t="s">
        <v>617</v>
      </c>
      <c r="I4609" s="408"/>
      <c r="J4609" s="408"/>
      <c r="K4609" s="399"/>
      <c r="L4609" s="408"/>
      <c r="M4609" s="65">
        <v>30963350</v>
      </c>
      <c r="N4609" s="66" t="s">
        <v>8</v>
      </c>
      <c r="O4609" s="66" t="s">
        <v>25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row>
    <row r="4610" spans="1:31" ht="15.75" customHeight="1">
      <c r="A4610" s="323" t="str">
        <f>IF(B4610&lt;&gt;"",IF(AND(B4610='IN-TC'!$S$4,OR(TH!N4511="1111",TH!O4511="1111")),TH!D4511,""),"")</f>
        <v/>
      </c>
      <c r="B4610" s="63">
        <f t="shared" si="297"/>
        <v>12</v>
      </c>
      <c r="C4610" s="64">
        <v>42733</v>
      </c>
      <c r="D4610" s="64" t="s">
        <v>690</v>
      </c>
      <c r="E4610" s="64">
        <f t="shared" si="298"/>
        <v>42733</v>
      </c>
      <c r="F4610" s="72" t="s">
        <v>2147</v>
      </c>
      <c r="G4610" s="67" t="s">
        <v>901</v>
      </c>
      <c r="H4610" s="72" t="s">
        <v>2048</v>
      </c>
      <c r="I4610" s="408"/>
      <c r="J4610" s="408"/>
      <c r="K4610" s="399"/>
      <c r="L4610" s="408"/>
      <c r="M4610" s="65">
        <v>45000</v>
      </c>
      <c r="N4610" s="66" t="s">
        <v>99</v>
      </c>
      <c r="O4610" s="66" t="s">
        <v>25</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customHeight="1">
      <c r="A4611" s="323" t="str">
        <f>IF(B4611&lt;&gt;"",IF(AND(B4611='IN-TC'!$S$4,OR(TH!N4512="1111",TH!O4512="1111")),TH!D4512,""),"")</f>
        <v/>
      </c>
      <c r="B4611" s="63">
        <f t="shared" si="297"/>
        <v>12</v>
      </c>
      <c r="C4611" s="64">
        <v>42733</v>
      </c>
      <c r="D4611" s="64" t="s">
        <v>690</v>
      </c>
      <c r="E4611" s="64">
        <f t="shared" si="298"/>
        <v>42733</v>
      </c>
      <c r="F4611" s="72" t="s">
        <v>2148</v>
      </c>
      <c r="G4611" s="67" t="s">
        <v>901</v>
      </c>
      <c r="H4611" s="72" t="s">
        <v>2048</v>
      </c>
      <c r="I4611" s="408"/>
      <c r="J4611" s="408"/>
      <c r="K4611" s="399"/>
      <c r="L4611" s="408"/>
      <c r="M4611" s="65">
        <v>4500</v>
      </c>
      <c r="N4611" s="66" t="s">
        <v>9</v>
      </c>
      <c r="O4611" s="66" t="s">
        <v>25</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x</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c r="AE4611">
        <v>1</v>
      </c>
    </row>
    <row r="4612" spans="1:31" ht="15.75" customHeight="1">
      <c r="A4612" s="323" t="str">
        <f>IF(B4612&lt;&gt;"",IF(AND(B4612='IN-TC'!$S$4,OR(TH!N4598="1111",TH!O4598="1111")),TH!D4598,""),"")</f>
        <v/>
      </c>
      <c r="B4612" s="63">
        <f t="shared" si="297"/>
        <v>12</v>
      </c>
      <c r="C4612" s="64">
        <v>42733</v>
      </c>
      <c r="D4612" s="64" t="s">
        <v>690</v>
      </c>
      <c r="E4612" s="64">
        <f t="shared" si="298"/>
        <v>42733</v>
      </c>
      <c r="F4612" s="72" t="s">
        <v>2785</v>
      </c>
      <c r="G4612" s="67" t="s">
        <v>1544</v>
      </c>
      <c r="H4612" s="72" t="s">
        <v>1780</v>
      </c>
      <c r="I4612" s="408"/>
      <c r="J4612" s="408"/>
      <c r="K4612" s="399"/>
      <c r="L4612" s="408"/>
      <c r="M4612" s="65">
        <v>2280000</v>
      </c>
      <c r="N4612" s="66" t="s">
        <v>99</v>
      </c>
      <c r="O4612" s="66" t="s">
        <v>25</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x</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c r="AE4612">
        <v>1</v>
      </c>
    </row>
    <row r="4613" spans="1:31" ht="15.75" customHeight="1">
      <c r="A4613" s="323" t="str">
        <f>IF(B4613&lt;&gt;"",IF(AND(B4613='IN-TC'!$S$4,OR(TH!N4599="1111",TH!O4599="1111")),TH!D4599,""),"")</f>
        <v/>
      </c>
      <c r="B4613" s="63">
        <f t="shared" si="297"/>
        <v>12</v>
      </c>
      <c r="C4613" s="64">
        <v>42733</v>
      </c>
      <c r="D4613" s="64" t="s">
        <v>690</v>
      </c>
      <c r="E4613" s="64">
        <f t="shared" si="298"/>
        <v>42733</v>
      </c>
      <c r="F4613" s="72" t="s">
        <v>2904</v>
      </c>
      <c r="G4613" s="67" t="s">
        <v>1544</v>
      </c>
      <c r="H4613" s="72" t="s">
        <v>1780</v>
      </c>
      <c r="I4613" s="408"/>
      <c r="J4613" s="408"/>
      <c r="K4613" s="399"/>
      <c r="L4613" s="408"/>
      <c r="M4613" s="65">
        <v>228000</v>
      </c>
      <c r="N4613" s="66" t="s">
        <v>9</v>
      </c>
      <c r="O4613" s="66" t="s">
        <v>25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x</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x</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c r="AE4613">
        <v>1</v>
      </c>
    </row>
    <row r="4614" spans="1:31" ht="15.75" customHeight="1">
      <c r="A4614" s="323" t="str">
        <f>IF(B4614&lt;&gt;"",IF(AND(B4614='IN-TC'!$S$4,OR(TH!N4637="1111",TH!O4637="1111")),TH!D4637,""),"")</f>
        <v/>
      </c>
      <c r="B4614" s="63">
        <f t="shared" si="297"/>
        <v>12</v>
      </c>
      <c r="C4614" s="64">
        <v>42733</v>
      </c>
      <c r="D4614" s="64" t="s">
        <v>690</v>
      </c>
      <c r="E4614" s="64">
        <f t="shared" si="298"/>
        <v>42733</v>
      </c>
      <c r="F4614" s="72" t="s">
        <v>2357</v>
      </c>
      <c r="G4614" s="67" t="s">
        <v>1544</v>
      </c>
      <c r="H4614" s="72" t="s">
        <v>1868</v>
      </c>
      <c r="I4614" s="408"/>
      <c r="J4614" s="408"/>
      <c r="K4614" s="399">
        <v>89500</v>
      </c>
      <c r="L4614" s="408">
        <v>22720</v>
      </c>
      <c r="M4614" s="65">
        <f>K4614*L4614</f>
        <v>2033440000</v>
      </c>
      <c r="N4614" s="66" t="s">
        <v>254</v>
      </c>
      <c r="O4614" s="66" t="s">
        <v>260</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customHeight="1">
      <c r="A4615" s="323" t="str">
        <f>IF(B4615&lt;&gt;"",IF(AND(B4615='IN-TC'!$S$4,OR(TH!N4638="1111",TH!O4638="1111")),TH!D4638,""),"")</f>
        <v/>
      </c>
      <c r="B4615" s="63">
        <f t="shared" si="297"/>
        <v>12</v>
      </c>
      <c r="C4615" s="64">
        <v>42733</v>
      </c>
      <c r="D4615" s="64" t="s">
        <v>690</v>
      </c>
      <c r="E4615" s="64">
        <f t="shared" si="298"/>
        <v>42733</v>
      </c>
      <c r="F4615" s="72" t="s">
        <v>2752</v>
      </c>
      <c r="G4615" s="67" t="s">
        <v>1544</v>
      </c>
      <c r="H4615" s="72" t="s">
        <v>1868</v>
      </c>
      <c r="I4615" s="408"/>
      <c r="J4615" s="408"/>
      <c r="K4615" s="399">
        <v>52.21</v>
      </c>
      <c r="L4615" s="408">
        <v>22720</v>
      </c>
      <c r="M4615" s="65">
        <f>K4615*L4615</f>
        <v>1186211.2</v>
      </c>
      <c r="N4615" s="66" t="s">
        <v>97</v>
      </c>
      <c r="O4615" s="66" t="s">
        <v>260</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customHeight="1">
      <c r="A4616" s="323" t="str">
        <f>IF(B4616&lt;&gt;"",IF(AND(B4616='IN-TC'!$S$4,OR(TH!N4441="1111",TH!O4441="1111")),TH!D4441,""),"")</f>
        <v/>
      </c>
      <c r="B4616" s="63">
        <f t="shared" si="297"/>
        <v>12</v>
      </c>
      <c r="C4616" s="64">
        <v>42734</v>
      </c>
      <c r="D4616" s="64" t="s">
        <v>2967</v>
      </c>
      <c r="E4616" s="64">
        <f t="shared" si="298"/>
        <v>42734</v>
      </c>
      <c r="F4616" s="72" t="s">
        <v>1087</v>
      </c>
      <c r="G4616" s="67" t="s">
        <v>901</v>
      </c>
      <c r="H4616" s="72" t="s">
        <v>748</v>
      </c>
      <c r="I4616" s="408"/>
      <c r="J4616" s="408"/>
      <c r="K4616" s="399"/>
      <c r="L4616" s="408"/>
      <c r="M4616" s="65">
        <v>1860000000</v>
      </c>
      <c r="N4616" s="66" t="s">
        <v>25</v>
      </c>
      <c r="O4616" s="66" t="s">
        <v>61</v>
      </c>
      <c r="P4616" s="82" t="str">
        <f>IF(AND('331-CT'!$E$7=TH!H4616,OR(N4616="331",O4616="331")),"x","")</f>
        <v/>
      </c>
      <c r="Q4616" s="82" t="str">
        <f>IF(AND(B4616='111'!$L$11,OR($N4616=$Q$7,$O4616=$Q$7)),"x","")</f>
        <v>x</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1" ht="15.75" customHeight="1">
      <c r="A4617" s="323" t="str">
        <f>IF(B4617&lt;&gt;"",IF(AND(B4617='IN-TC'!$S$4,OR(TH!N4442="1111",TH!O4442="1111")),TH!D4442,""),"")</f>
        <v/>
      </c>
      <c r="B4617" s="63">
        <f t="shared" si="297"/>
        <v>12</v>
      </c>
      <c r="C4617" s="1092">
        <v>42734</v>
      </c>
      <c r="D4617" s="1092" t="s">
        <v>2968</v>
      </c>
      <c r="E4617" s="1092">
        <f t="shared" si="298"/>
        <v>42734</v>
      </c>
      <c r="F4617" s="482" t="s">
        <v>947</v>
      </c>
      <c r="G4617" s="1094"/>
      <c r="H4617" s="937" t="s">
        <v>3001</v>
      </c>
      <c r="I4617" s="1095"/>
      <c r="J4617" s="1095"/>
      <c r="K4617" s="1096"/>
      <c r="L4617" s="1095"/>
      <c r="M4617" s="1097">
        <v>2235750000</v>
      </c>
      <c r="N4617" s="1098" t="s">
        <v>266</v>
      </c>
      <c r="O4617" s="1098" t="s">
        <v>61</v>
      </c>
      <c r="P4617" s="82" t="str">
        <f>IF(AND('331-CT'!$E$7=TH!H4617,OR(N4617="331",O4617="331")),"x","")</f>
        <v/>
      </c>
      <c r="Q4617" s="82" t="str">
        <f>IF(AND(B4617='111'!$L$11,OR($N4617=$Q$7,$O4617=$Q$7)),"x","")</f>
        <v>x</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1" ht="15.75" customHeight="1">
      <c r="A4618" s="323" t="str">
        <f>IF(B4618&lt;&gt;"",IF(AND(B4618='IN-TC'!$S$4,OR(TH!N4516="1111",TH!O4516="1111")),TH!D4516,""),"")</f>
        <v/>
      </c>
      <c r="B4618" s="63">
        <f t="shared" si="297"/>
        <v>12</v>
      </c>
      <c r="C4618" s="64">
        <v>42734</v>
      </c>
      <c r="D4618" s="64" t="s">
        <v>687</v>
      </c>
      <c r="E4618" s="64">
        <f t="shared" si="298"/>
        <v>42734</v>
      </c>
      <c r="F4618" s="72" t="s">
        <v>1436</v>
      </c>
      <c r="G4618" s="67" t="s">
        <v>901</v>
      </c>
      <c r="H4618" s="72" t="s">
        <v>2718</v>
      </c>
      <c r="I4618" s="408"/>
      <c r="J4618" s="408"/>
      <c r="K4618" s="399"/>
      <c r="L4618" s="408"/>
      <c r="M4618" s="65">
        <v>599306000</v>
      </c>
      <c r="N4618" s="66" t="s">
        <v>25</v>
      </c>
      <c r="O4618" s="66" t="s">
        <v>576</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x</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customHeight="1">
      <c r="A4619" s="323" t="str">
        <f>IF(B4619&lt;&gt;"",IF(AND(B4619='IN-TC'!$S$4,OR(TH!N4548="1111",TH!O4548="1111")),TH!D4548,""),"")</f>
        <v/>
      </c>
      <c r="B4619" s="63">
        <f t="shared" si="297"/>
        <v>12</v>
      </c>
      <c r="C4619" s="64">
        <v>42734</v>
      </c>
      <c r="D4619" s="64" t="s">
        <v>687</v>
      </c>
      <c r="E4619" s="64">
        <f t="shared" si="298"/>
        <v>42734</v>
      </c>
      <c r="F4619" s="72" t="s">
        <v>1648</v>
      </c>
      <c r="G4619" s="67" t="s">
        <v>1900</v>
      </c>
      <c r="H4619" s="72" t="s">
        <v>2048</v>
      </c>
      <c r="I4619" s="408"/>
      <c r="J4619" s="408"/>
      <c r="K4619" s="399">
        <v>204500</v>
      </c>
      <c r="L4619" s="408">
        <v>22750</v>
      </c>
      <c r="M4619" s="65">
        <f>K4619*L4619</f>
        <v>4652375000</v>
      </c>
      <c r="N4619" s="66" t="s">
        <v>260</v>
      </c>
      <c r="O4619" s="66" t="s">
        <v>260</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customHeight="1">
      <c r="A4620" s="323" t="str">
        <f>IF(B4620&lt;&gt;"",IF(AND(B4620='IN-TC'!$S$4,OR(TH!N4513="1111",TH!O4513="1111")),TH!D4513,""),"")</f>
        <v/>
      </c>
      <c r="B4620" s="63">
        <f t="shared" si="297"/>
        <v>12</v>
      </c>
      <c r="C4620" s="64">
        <v>42734</v>
      </c>
      <c r="D4620" s="64" t="s">
        <v>690</v>
      </c>
      <c r="E4620" s="64">
        <f t="shared" si="298"/>
        <v>42734</v>
      </c>
      <c r="F4620" s="72" t="s">
        <v>1532</v>
      </c>
      <c r="G4620" s="67" t="s">
        <v>901</v>
      </c>
      <c r="H4620" s="72" t="s">
        <v>2224</v>
      </c>
      <c r="I4620" s="408"/>
      <c r="J4620" s="408"/>
      <c r="K4620" s="399"/>
      <c r="L4620" s="408"/>
      <c r="M4620" s="1213">
        <v>1491035000</v>
      </c>
      <c r="N4620" s="66" t="s">
        <v>8</v>
      </c>
      <c r="O4620" s="66" t="s">
        <v>25</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customHeight="1">
      <c r="A4621" s="323" t="str">
        <f>IF(B4621&lt;&gt;"",IF(AND(B4621='IN-TC'!$S$4,OR(TH!N4514="1111",TH!O4514="1111")),TH!D4514,""),"")</f>
        <v/>
      </c>
      <c r="B4621" s="63">
        <f t="shared" si="297"/>
        <v>12</v>
      </c>
      <c r="C4621" s="64">
        <v>42734</v>
      </c>
      <c r="D4621" s="64" t="s">
        <v>690</v>
      </c>
      <c r="E4621" s="64">
        <f t="shared" si="298"/>
        <v>42734</v>
      </c>
      <c r="F4621" s="72" t="s">
        <v>2147</v>
      </c>
      <c r="G4621" s="67" t="s">
        <v>901</v>
      </c>
      <c r="H4621" s="72" t="s">
        <v>2048</v>
      </c>
      <c r="I4621" s="408"/>
      <c r="J4621" s="408"/>
      <c r="K4621" s="399"/>
      <c r="L4621" s="408"/>
      <c r="M4621" s="65">
        <v>1192496</v>
      </c>
      <c r="N4621" s="66" t="s">
        <v>99</v>
      </c>
      <c r="O4621" s="66" t="s">
        <v>25</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c r="AE4621">
        <v>1</v>
      </c>
    </row>
    <row r="4622" spans="1:31" ht="15.75" customHeight="1">
      <c r="A4622" s="323" t="str">
        <f>IF(B4622&lt;&gt;"",IF(AND(B4622='IN-TC'!$S$4,OR(TH!N4515="1111",TH!O4515="1111")),TH!D4515,""),"")</f>
        <v/>
      </c>
      <c r="B4622" s="63">
        <f t="shared" si="297"/>
        <v>12</v>
      </c>
      <c r="C4622" s="64">
        <v>42734</v>
      </c>
      <c r="D4622" s="64" t="s">
        <v>690</v>
      </c>
      <c r="E4622" s="64">
        <f t="shared" si="298"/>
        <v>42734</v>
      </c>
      <c r="F4622" s="72" t="s">
        <v>2148</v>
      </c>
      <c r="G4622" s="67" t="s">
        <v>901</v>
      </c>
      <c r="H4622" s="72" t="s">
        <v>2048</v>
      </c>
      <c r="I4622" s="408"/>
      <c r="J4622" s="408"/>
      <c r="K4622" s="399"/>
      <c r="L4622" s="408"/>
      <c r="M4622" s="65">
        <v>119250</v>
      </c>
      <c r="N4622" s="66" t="s">
        <v>9</v>
      </c>
      <c r="O4622" s="66" t="s">
        <v>25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x</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c r="AE4622">
        <v>1</v>
      </c>
    </row>
    <row r="4623" spans="1:31" ht="15.75" customHeight="1">
      <c r="A4623" s="323" t="str">
        <f>IF(B4623&lt;&gt;"",IF(AND(B4623='IN-TC'!$S$4,OR(TH!N4517="1111",TH!O4517="1111")),TH!D4517,""),"")</f>
        <v/>
      </c>
      <c r="B4623" s="63">
        <f t="shared" si="297"/>
        <v>12</v>
      </c>
      <c r="C4623" s="64">
        <v>42734</v>
      </c>
      <c r="D4623" s="64" t="s">
        <v>690</v>
      </c>
      <c r="E4623" s="64">
        <f t="shared" si="298"/>
        <v>42734</v>
      </c>
      <c r="F4623" s="72" t="s">
        <v>1425</v>
      </c>
      <c r="G4623" s="67" t="s">
        <v>901</v>
      </c>
      <c r="H4623" s="72" t="s">
        <v>2048</v>
      </c>
      <c r="I4623" s="408"/>
      <c r="J4623" s="408"/>
      <c r="K4623" s="399">
        <v>204500</v>
      </c>
      <c r="L4623" s="408">
        <v>22760</v>
      </c>
      <c r="M4623" s="65">
        <f>K4623*L4623</f>
        <v>4654420000</v>
      </c>
      <c r="N4623" s="66" t="s">
        <v>25</v>
      </c>
      <c r="O4623" s="66" t="s">
        <v>260</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customHeight="1">
      <c r="A4624" s="323" t="str">
        <f>IF(B4624&lt;&gt;"",IF(AND(B4624='IN-TC'!$S$4,OR(TH!N4518="1111",TH!O4518="1111")),TH!D4518,""),"")</f>
        <v/>
      </c>
      <c r="B4624" s="63">
        <f t="shared" si="297"/>
        <v>12</v>
      </c>
      <c r="C4624" s="64">
        <v>42734</v>
      </c>
      <c r="D4624" s="64" t="s">
        <v>690</v>
      </c>
      <c r="E4624" s="64">
        <f t="shared" si="298"/>
        <v>42734</v>
      </c>
      <c r="F4624" s="72" t="s">
        <v>1156</v>
      </c>
      <c r="G4624" s="67" t="s">
        <v>901</v>
      </c>
      <c r="H4624" s="72" t="s">
        <v>2048</v>
      </c>
      <c r="I4624" s="408"/>
      <c r="J4624" s="408"/>
      <c r="K4624" s="399"/>
      <c r="L4624" s="408"/>
      <c r="M4624" s="65">
        <v>110276</v>
      </c>
      <c r="N4624" s="66" t="s">
        <v>99</v>
      </c>
      <c r="O4624" s="66" t="s">
        <v>25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c r="AE4624">
        <v>1</v>
      </c>
    </row>
    <row r="4625" spans="1:31" ht="15.75" customHeight="1">
      <c r="A4625" s="323" t="str">
        <f>IF(B4625&lt;&gt;"",IF(AND(B4625='IN-TC'!$S$4,OR(TH!N4519="1111",TH!O4519="1111")),TH!D4519,""),"")</f>
        <v/>
      </c>
      <c r="B4625" s="63">
        <f t="shared" si="297"/>
        <v>12</v>
      </c>
      <c r="C4625" s="64">
        <v>42734</v>
      </c>
      <c r="D4625" s="64" t="s">
        <v>690</v>
      </c>
      <c r="E4625" s="64">
        <f t="shared" si="298"/>
        <v>42734</v>
      </c>
      <c r="F4625" s="72" t="s">
        <v>1616</v>
      </c>
      <c r="G4625" s="67" t="s">
        <v>901</v>
      </c>
      <c r="H4625" s="72" t="s">
        <v>2048</v>
      </c>
      <c r="I4625" s="408"/>
      <c r="J4625" s="408"/>
      <c r="K4625" s="399"/>
      <c r="L4625" s="408"/>
      <c r="M4625" s="65">
        <v>11028</v>
      </c>
      <c r="N4625" s="66" t="s">
        <v>9</v>
      </c>
      <c r="O4625" s="66" t="s">
        <v>25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x</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c r="AE4625">
        <v>1</v>
      </c>
    </row>
    <row r="4626" spans="1:31" ht="15.75" customHeight="1">
      <c r="A4626" s="323" t="str">
        <f>IF(B4626&lt;&gt;"",IF(AND(B4626='IN-TC'!$S$4,OR(TH!N4520="1111",TH!O4520="1111")),TH!D4520,""),"")</f>
        <v/>
      </c>
      <c r="B4626" s="63">
        <f t="shared" si="297"/>
        <v>12</v>
      </c>
      <c r="C4626" s="64">
        <v>42734</v>
      </c>
      <c r="D4626" s="64" t="s">
        <v>690</v>
      </c>
      <c r="E4626" s="64">
        <f t="shared" si="298"/>
        <v>42734</v>
      </c>
      <c r="F4626" s="72" t="s">
        <v>2748</v>
      </c>
      <c r="G4626" s="67" t="s">
        <v>901</v>
      </c>
      <c r="H4626" s="72" t="s">
        <v>2048</v>
      </c>
      <c r="I4626" s="408"/>
      <c r="J4626" s="408"/>
      <c r="K4626" s="399"/>
      <c r="L4626" s="408"/>
      <c r="M4626" s="65">
        <v>179046</v>
      </c>
      <c r="N4626" s="66" t="s">
        <v>99</v>
      </c>
      <c r="O4626" s="66" t="s">
        <v>25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c r="AE4626">
        <v>1</v>
      </c>
    </row>
    <row r="4627" spans="1:31" ht="15.75" customHeight="1">
      <c r="A4627" s="323" t="str">
        <f>IF(B4627&lt;&gt;"",IF(AND(B4627='IN-TC'!$S$4,OR(TH!N4521="1111",TH!O4521="1111")),TH!D4521,""),"")</f>
        <v/>
      </c>
      <c r="B4627" s="63">
        <f t="shared" si="297"/>
        <v>12</v>
      </c>
      <c r="C4627" s="64">
        <v>42734</v>
      </c>
      <c r="D4627" s="64" t="s">
        <v>690</v>
      </c>
      <c r="E4627" s="64">
        <f t="shared" si="298"/>
        <v>42734</v>
      </c>
      <c r="F4627" s="72" t="s">
        <v>2749</v>
      </c>
      <c r="G4627" s="67" t="s">
        <v>901</v>
      </c>
      <c r="H4627" s="72" t="s">
        <v>2048</v>
      </c>
      <c r="I4627" s="408"/>
      <c r="J4627" s="408"/>
      <c r="K4627" s="399"/>
      <c r="L4627" s="408"/>
      <c r="M4627" s="65">
        <v>17905</v>
      </c>
      <c r="N4627" s="66" t="s">
        <v>9</v>
      </c>
      <c r="O4627" s="66" t="s">
        <v>25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x</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c r="AE4627">
        <v>1</v>
      </c>
    </row>
    <row r="4628" spans="1:31" ht="15.75" customHeight="1">
      <c r="A4628" s="323" t="str">
        <f>IF(B4628&lt;&gt;"",IF(AND(B4628='IN-TC'!$S$4,OR(TH!N4640="1111",TH!O4640="1111")),TH!D4640,""),"")</f>
        <v/>
      </c>
      <c r="B4628" s="63">
        <f t="shared" si="297"/>
        <v>12</v>
      </c>
      <c r="C4628" s="64">
        <v>42734</v>
      </c>
      <c r="D4628" s="64" t="s">
        <v>690</v>
      </c>
      <c r="E4628" s="64">
        <f t="shared" si="298"/>
        <v>42734</v>
      </c>
      <c r="F4628" s="72" t="s">
        <v>1778</v>
      </c>
      <c r="G4628" s="67" t="s">
        <v>1544</v>
      </c>
      <c r="H4628" s="72" t="s">
        <v>1780</v>
      </c>
      <c r="I4628" s="408"/>
      <c r="J4628" s="408"/>
      <c r="K4628" s="399">
        <v>3</v>
      </c>
      <c r="L4628" s="408">
        <v>22720</v>
      </c>
      <c r="M4628" s="65">
        <f>K4628*L4628</f>
        <v>68160</v>
      </c>
      <c r="N4628" s="66" t="s">
        <v>99</v>
      </c>
      <c r="O4628" s="66" t="s">
        <v>260</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c r="AE4628">
        <v>1</v>
      </c>
    </row>
    <row r="4629" spans="1:31" ht="15.75" customHeight="1">
      <c r="A4629" s="323" t="str">
        <f>IF(B4629&lt;&gt;"",IF(AND(B4629='IN-TC'!$S$4,OR(TH!N4641="1111",TH!O4641="1111")),TH!D4641,""),"")</f>
        <v/>
      </c>
      <c r="B4629" s="63">
        <f t="shared" si="297"/>
        <v>12</v>
      </c>
      <c r="C4629" s="64">
        <v>42734</v>
      </c>
      <c r="D4629" s="64" t="s">
        <v>690</v>
      </c>
      <c r="E4629" s="64">
        <f t="shared" si="298"/>
        <v>42734</v>
      </c>
      <c r="F4629" s="72" t="s">
        <v>2010</v>
      </c>
      <c r="G4629" s="67" t="s">
        <v>1544</v>
      </c>
      <c r="H4629" s="72" t="s">
        <v>1780</v>
      </c>
      <c r="I4629" s="408"/>
      <c r="J4629" s="408"/>
      <c r="K4629" s="399">
        <v>0.3</v>
      </c>
      <c r="L4629" s="408">
        <v>22720</v>
      </c>
      <c r="M4629" s="65">
        <f>K4629*L4629</f>
        <v>6816</v>
      </c>
      <c r="N4629" s="66" t="s">
        <v>9</v>
      </c>
      <c r="O4629" s="66" t="s">
        <v>260</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x</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c r="AE4629">
        <v>1</v>
      </c>
    </row>
    <row r="4630" spans="1:31" ht="15.75" customHeight="1">
      <c r="A4630" s="323" t="str">
        <f>IF(B4630&lt;&gt;"",IF(AND(B4630='IN-TC'!$S$4,OR(TH!N4439="1111",TH!O4439="1111")),TH!D4439,""),"")</f>
        <v/>
      </c>
      <c r="B4630" s="63">
        <f t="shared" si="297"/>
        <v>12</v>
      </c>
      <c r="C4630" s="64">
        <v>42734</v>
      </c>
      <c r="D4630" s="64" t="s">
        <v>2751</v>
      </c>
      <c r="E4630" s="64">
        <f t="shared" ref="E4630:E4641" si="299">C4630</f>
        <v>42734</v>
      </c>
      <c r="F4630" s="72" t="s">
        <v>1126</v>
      </c>
      <c r="G4630" s="67" t="s">
        <v>901</v>
      </c>
      <c r="H4630" s="72" t="s">
        <v>748</v>
      </c>
      <c r="I4630" s="408"/>
      <c r="J4630" s="408"/>
      <c r="K4630" s="399"/>
      <c r="L4630" s="408"/>
      <c r="M4630" s="65">
        <v>5620000000</v>
      </c>
      <c r="N4630" s="66" t="s">
        <v>61</v>
      </c>
      <c r="O4630" s="66" t="s">
        <v>25</v>
      </c>
      <c r="P4630" s="82" t="str">
        <f>IF(AND('331-CT'!$E$7=TH!H4630,OR(N4630="331",O4630="331")),"x","")</f>
        <v/>
      </c>
      <c r="Q4630" s="82" t="str">
        <f>IF(AND(B4630='111'!$L$11,OR($N4630=$Q$7,$O4630=$Q$7)),"x","")</f>
        <v>x</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customHeight="1">
      <c r="A4631" s="323" t="str">
        <f>IF(B4631&lt;&gt;"",IF(AND(B4631='IN-TC'!$S$4,OR(TH!N4440="1111",TH!O4440="1111")),TH!D4440,""),"")</f>
        <v/>
      </c>
      <c r="B4631" s="63">
        <f t="shared" si="297"/>
        <v>12</v>
      </c>
      <c r="C4631" s="64">
        <v>42734</v>
      </c>
      <c r="D4631" s="64" t="s">
        <v>2781</v>
      </c>
      <c r="E4631" s="64">
        <f t="shared" si="299"/>
        <v>42734</v>
      </c>
      <c r="F4631" s="72" t="s">
        <v>1126</v>
      </c>
      <c r="G4631" s="67" t="s">
        <v>1544</v>
      </c>
      <c r="H4631" s="72" t="s">
        <v>748</v>
      </c>
      <c r="I4631" s="408"/>
      <c r="J4631" s="408"/>
      <c r="K4631" s="399"/>
      <c r="L4631" s="408"/>
      <c r="M4631" s="65">
        <v>1940000000</v>
      </c>
      <c r="N4631" s="66" t="s">
        <v>61</v>
      </c>
      <c r="O4631" s="66" t="s">
        <v>25</v>
      </c>
      <c r="P4631" s="82" t="str">
        <f>IF(AND('331-CT'!$E$7=TH!H4631,OR(N4631="331",O4631="331")),"x","")</f>
        <v/>
      </c>
      <c r="Q4631" s="82" t="str">
        <f>IF(AND(B4631='111'!$L$11,OR($N4631=$Q$7,$O4631=$Q$7)),"x","")</f>
        <v>x</v>
      </c>
      <c r="R4631" s="82" t="str">
        <f>IF(AND($N4631=$Q$7,$B4631&lt;'111'!$L$11),"x","")</f>
        <v/>
      </c>
      <c r="S4631" s="82" t="str">
        <f>IF(AND($O4631=$Q$7,$B4631&lt;'111'!$L$11),"x","")</f>
        <v/>
      </c>
      <c r="T4631" s="82" t="str">
        <f>IF(ISERROR(FIND('112'!$M$9,G4631,1)),"",IF((AND(FIND('112'!$M$9,G4631,1)&gt;=1,B4631='112'!$K$9,OR($N4631='112'!$I$6,$O4631='112'!$I$6))),"x",""))</f>
        <v>x</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customHeight="1">
      <c r="A4632" s="323" t="str">
        <f>IF(B4632&lt;&gt;"",IF(AND(B4632='IN-TC'!$S$4,OR(TH!N4443="1111",TH!O4443="1111")),TH!D4443,""),"")</f>
        <v/>
      </c>
      <c r="B4632" s="63">
        <f t="shared" si="297"/>
        <v>12</v>
      </c>
      <c r="C4632" s="64">
        <v>42735</v>
      </c>
      <c r="D4632" s="64" t="s">
        <v>2969</v>
      </c>
      <c r="E4632" s="64">
        <f t="shared" si="299"/>
        <v>42735</v>
      </c>
      <c r="F4632" s="72" t="s">
        <v>2030</v>
      </c>
      <c r="G4632" s="931" t="s">
        <v>2800</v>
      </c>
      <c r="H4632" s="72" t="s">
        <v>792</v>
      </c>
      <c r="I4632" s="408"/>
      <c r="J4632" s="408"/>
      <c r="K4632" s="399"/>
      <c r="L4632" s="408"/>
      <c r="M4632" s="65">
        <v>1628327</v>
      </c>
      <c r="N4632" s="66" t="s">
        <v>99</v>
      </c>
      <c r="O4632" s="66" t="s">
        <v>61</v>
      </c>
      <c r="P4632" s="82" t="str">
        <f>IF(AND('331-CT'!$E$7=TH!H4632,OR(N4632="331",O4632="331")),"x","")</f>
        <v/>
      </c>
      <c r="Q4632" s="82" t="str">
        <f>IF(AND(B4632='111'!$L$11,OR($N4632=$Q$7,$O4632=$Q$7)),"x","")</f>
        <v>x</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c r="AE4632">
        <v>1</v>
      </c>
    </row>
    <row r="4633" spans="1:31" ht="15.75" customHeight="1">
      <c r="A4633" s="323" t="str">
        <f>IF(B4633&lt;&gt;"",IF(AND(B4633='IN-TC'!$S$4,OR(TH!N4444="1111",TH!O4444="1111")),TH!D4444,""),"")</f>
        <v/>
      </c>
      <c r="B4633" s="63">
        <f t="shared" si="297"/>
        <v>12</v>
      </c>
      <c r="C4633" s="64">
        <v>42735</v>
      </c>
      <c r="D4633" s="64" t="s">
        <v>2969</v>
      </c>
      <c r="E4633" s="64">
        <f t="shared" si="299"/>
        <v>42735</v>
      </c>
      <c r="F4633" s="72" t="s">
        <v>2031</v>
      </c>
      <c r="G4633" s="931" t="s">
        <v>2800</v>
      </c>
      <c r="H4633" s="72" t="s">
        <v>792</v>
      </c>
      <c r="I4633" s="408"/>
      <c r="J4633" s="408"/>
      <c r="K4633" s="399"/>
      <c r="L4633" s="408"/>
      <c r="M4633" s="65">
        <v>162833</v>
      </c>
      <c r="N4633" s="66" t="s">
        <v>9</v>
      </c>
      <c r="O4633" s="66" t="s">
        <v>61</v>
      </c>
      <c r="P4633" s="82" t="str">
        <f>IF(AND('331-CT'!$E$7=TH!H4633,OR(N4633="331",O4633="331")),"x","")</f>
        <v/>
      </c>
      <c r="Q4633" s="82" t="str">
        <f>IF(AND(B4633='111'!$L$11,OR($N4633=$Q$7,$O4633=$Q$7)),"x","")</f>
        <v>x</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x</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c r="AE4633">
        <v>1</v>
      </c>
    </row>
    <row r="4634" spans="1:31" ht="15.75" customHeight="1">
      <c r="A4634" s="323" t="str">
        <f>IF(B4634&lt;&gt;"",IF(AND(B4634='IN-TC'!$S$4,OR(TH!N4445="1111",TH!O4445="1111")),TH!D4445,""),"")</f>
        <v/>
      </c>
      <c r="B4634" s="63">
        <f t="shared" si="297"/>
        <v>12</v>
      </c>
      <c r="C4634" s="64">
        <v>42735</v>
      </c>
      <c r="D4634" s="64" t="s">
        <v>2970</v>
      </c>
      <c r="E4634" s="64">
        <f t="shared" si="299"/>
        <v>42735</v>
      </c>
      <c r="F4634" s="72" t="s">
        <v>1341</v>
      </c>
      <c r="G4634" s="931"/>
      <c r="H4634" s="72" t="s">
        <v>1343</v>
      </c>
      <c r="I4634" s="408"/>
      <c r="J4634" s="408"/>
      <c r="K4634" s="399"/>
      <c r="L4634" s="408"/>
      <c r="M4634" s="65">
        <v>2259091</v>
      </c>
      <c r="N4634" s="66" t="s">
        <v>99</v>
      </c>
      <c r="O4634" s="66" t="s">
        <v>61</v>
      </c>
      <c r="P4634" s="82" t="str">
        <f>IF(AND('331-CT'!$E$7=TH!H4634,OR(N4634="331",O4634="331")),"x","")</f>
        <v/>
      </c>
      <c r="Q4634" s="82" t="str">
        <f>IF(AND(B4634='111'!$L$11,OR($N4634=$Q$7,$O4634=$Q$7)),"x","")</f>
        <v>x</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c r="AE4634">
        <v>1</v>
      </c>
    </row>
    <row r="4635" spans="1:31" ht="15.75" customHeight="1">
      <c r="A4635" s="323" t="str">
        <f>IF(B4635&lt;&gt;"",IF(AND(B4635='IN-TC'!$S$4,OR(TH!N4446="1111",TH!O4446="1111")),TH!D4446,""),"")</f>
        <v/>
      </c>
      <c r="B4635" s="63">
        <f t="shared" si="297"/>
        <v>12</v>
      </c>
      <c r="C4635" s="64">
        <v>42735</v>
      </c>
      <c r="D4635" s="64" t="s">
        <v>2970</v>
      </c>
      <c r="E4635" s="64">
        <f t="shared" si="299"/>
        <v>42735</v>
      </c>
      <c r="F4635" s="72" t="s">
        <v>1342</v>
      </c>
      <c r="G4635" s="931"/>
      <c r="H4635" s="72" t="s">
        <v>1343</v>
      </c>
      <c r="I4635" s="408"/>
      <c r="J4635" s="408"/>
      <c r="K4635" s="399"/>
      <c r="L4635" s="408"/>
      <c r="M4635" s="65">
        <v>225909</v>
      </c>
      <c r="N4635" s="66" t="s">
        <v>9</v>
      </c>
      <c r="O4635" s="66" t="s">
        <v>61</v>
      </c>
      <c r="P4635" s="82" t="str">
        <f>IF(AND('331-CT'!$E$7=TH!H4635,OR(N4635="331",O4635="331")),"x","")</f>
        <v/>
      </c>
      <c r="Q4635" s="82" t="str">
        <f>IF(AND(B4635='111'!$L$11,OR($N4635=$Q$7,$O4635=$Q$7)),"x","")</f>
        <v>x</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x</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c r="AE4635">
        <v>1</v>
      </c>
    </row>
    <row r="4636" spans="1:31" ht="15.75" customHeight="1">
      <c r="A4636" s="323" t="str">
        <f>IF(B4636&lt;&gt;"",IF(AND(B4636='IN-TC'!$S$4,OR(TH!N4447="1111",TH!O4447="1111")),TH!D4447,""),"")</f>
        <v/>
      </c>
      <c r="B4636" s="63">
        <f t="shared" si="297"/>
        <v>12</v>
      </c>
      <c r="C4636" s="64">
        <v>42735</v>
      </c>
      <c r="D4636" s="64" t="s">
        <v>2971</v>
      </c>
      <c r="E4636" s="64">
        <f t="shared" si="299"/>
        <v>42735</v>
      </c>
      <c r="F4636" s="72" t="s">
        <v>2837</v>
      </c>
      <c r="G4636" s="931" t="s">
        <v>2839</v>
      </c>
      <c r="H4636" s="72" t="s">
        <v>786</v>
      </c>
      <c r="I4636" s="408"/>
      <c r="J4636" s="408"/>
      <c r="K4636" s="399"/>
      <c r="L4636" s="408"/>
      <c r="M4636" s="65">
        <v>254120</v>
      </c>
      <c r="N4636" s="66" t="s">
        <v>99</v>
      </c>
      <c r="O4636" s="66" t="s">
        <v>61</v>
      </c>
      <c r="P4636" s="82" t="str">
        <f>IF(AND('331-CT'!$E$7=TH!H4636,OR(N4636="331",O4636="331")),"x","")</f>
        <v/>
      </c>
      <c r="Q4636" s="82" t="str">
        <f>IF(AND(B4636='111'!$L$11,OR($N4636=$Q$7,$O4636=$Q$7)),"x","")</f>
        <v>x</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c r="AE4636">
        <v>1</v>
      </c>
    </row>
    <row r="4637" spans="1:31" ht="15.75" customHeight="1">
      <c r="A4637" s="323" t="str">
        <f>IF(B4637&lt;&gt;"",IF(AND(B4637='IN-TC'!$S$4,OR(TH!N4449="1111",TH!O4449="1111")),TH!D4449,""),"")</f>
        <v/>
      </c>
      <c r="B4637" s="63">
        <f t="shared" si="297"/>
        <v>12</v>
      </c>
      <c r="C4637" s="64">
        <v>42735</v>
      </c>
      <c r="D4637" s="64" t="s">
        <v>2971</v>
      </c>
      <c r="E4637" s="64">
        <f t="shared" si="299"/>
        <v>42735</v>
      </c>
      <c r="F4637" s="72" t="s">
        <v>2838</v>
      </c>
      <c r="G4637" s="931" t="s">
        <v>2839</v>
      </c>
      <c r="H4637" s="72" t="s">
        <v>786</v>
      </c>
      <c r="I4637" s="408"/>
      <c r="J4637" s="408"/>
      <c r="K4637" s="399"/>
      <c r="L4637" s="408"/>
      <c r="M4637" s="65">
        <v>25412</v>
      </c>
      <c r="N4637" s="66" t="s">
        <v>9</v>
      </c>
      <c r="O4637" s="66" t="s">
        <v>61</v>
      </c>
      <c r="P4637" s="82" t="str">
        <f>IF(AND('331-CT'!$E$7=TH!H4637,OR(N4637="331",O4637="331")),"x","")</f>
        <v/>
      </c>
      <c r="Q4637" s="82" t="str">
        <f>IF(AND(B4637='111'!$L$11,OR($N4637=$Q$7,$O4637=$Q$7)),"x","")</f>
        <v>x</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x</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c r="AE4637">
        <v>1</v>
      </c>
    </row>
    <row r="4638" spans="1:31" ht="15.75" customHeight="1">
      <c r="A4638" s="323" t="str">
        <f>IF(B4638&lt;&gt;"",IF(AND(B4638='IN-TC'!$S$4,OR(TH!N4450="1111",TH!O4450="1111")),TH!D4450,""),"")</f>
        <v/>
      </c>
      <c r="B4638" s="63">
        <f t="shared" si="297"/>
        <v>12</v>
      </c>
      <c r="C4638" s="64">
        <v>42735</v>
      </c>
      <c r="D4638" s="64" t="s">
        <v>2972</v>
      </c>
      <c r="E4638" s="64">
        <f t="shared" si="299"/>
        <v>42735</v>
      </c>
      <c r="F4638" s="72" t="s">
        <v>2907</v>
      </c>
      <c r="G4638" s="931" t="s">
        <v>2908</v>
      </c>
      <c r="H4638" s="72" t="s">
        <v>1688</v>
      </c>
      <c r="I4638" s="408"/>
      <c r="J4638" s="408"/>
      <c r="K4638" s="399"/>
      <c r="L4638" s="408"/>
      <c r="M4638" s="65">
        <v>4000000</v>
      </c>
      <c r="N4638" s="66" t="s">
        <v>99</v>
      </c>
      <c r="O4638" s="66" t="s">
        <v>61</v>
      </c>
      <c r="P4638" s="82" t="str">
        <f>IF(AND('331-CT'!$E$7=TH!H4638,OR(N4638="331",O4638="331")),"x","")</f>
        <v/>
      </c>
      <c r="Q4638" s="82" t="str">
        <f>IF(AND(B4638='111'!$L$11,OR($N4638=$Q$7,$O4638=$Q$7)),"x","")</f>
        <v>x</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customHeight="1">
      <c r="A4639" s="1160" t="str">
        <f>IF(B4639&lt;&gt;"",IF(AND(B4639='IN-TC'!$S$4,OR(TH!N4451="1111",TH!O4451="1111")),TH!D4451,""),"")</f>
        <v/>
      </c>
      <c r="B4639" s="63">
        <f t="shared" si="297"/>
        <v>12</v>
      </c>
      <c r="C4639" s="64">
        <v>42735</v>
      </c>
      <c r="D4639" s="78" t="s">
        <v>2973</v>
      </c>
      <c r="E4639" s="78">
        <f t="shared" si="299"/>
        <v>42735</v>
      </c>
      <c r="F4639" s="80" t="s">
        <v>2630</v>
      </c>
      <c r="G4639" s="79"/>
      <c r="H4639" s="80" t="s">
        <v>832</v>
      </c>
      <c r="I4639" s="406"/>
      <c r="J4639" s="406"/>
      <c r="K4639" s="397"/>
      <c r="L4639" s="406"/>
      <c r="M4639" s="81">
        <v>97345264</v>
      </c>
      <c r="N4639" s="82" t="s">
        <v>580</v>
      </c>
      <c r="O4639" s="82" t="s">
        <v>61</v>
      </c>
      <c r="P4639" s="82" t="str">
        <f>IF(AND('331-CT'!$E$7=TH!H4639,OR(N4639="331",O4639="331")),"x","")</f>
        <v/>
      </c>
      <c r="Q4639" s="82" t="str">
        <f>IF(AND(B4639='111'!$L$11,OR($N4639=$Q$7,$O4639=$Q$7)),"x","")</f>
        <v>x</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1" ht="15.75" customHeight="1">
      <c r="A4640" s="323" t="str">
        <f>IF(B4640&lt;&gt;"",IF(AND(B4640='IN-TC'!$S$4,OR(TH!N4452="1111",TH!O4452="1111")),TH!D4452,""),"")</f>
        <v/>
      </c>
      <c r="B4640" s="63">
        <f t="shared" si="297"/>
        <v>12</v>
      </c>
      <c r="C4640" s="1092">
        <v>42735</v>
      </c>
      <c r="D4640" s="1092" t="s">
        <v>2974</v>
      </c>
      <c r="E4640" s="1092">
        <f t="shared" si="299"/>
        <v>42735</v>
      </c>
      <c r="F4640" s="482" t="s">
        <v>947</v>
      </c>
      <c r="G4640" s="1094"/>
      <c r="H4640" s="1169" t="s">
        <v>946</v>
      </c>
      <c r="I4640" s="1095"/>
      <c r="J4640" s="1095"/>
      <c r="K4640" s="1096"/>
      <c r="L4640" s="1095"/>
      <c r="M4640" s="1097">
        <v>650075000</v>
      </c>
      <c r="N4640" s="1098" t="s">
        <v>266</v>
      </c>
      <c r="O4640" s="1098" t="s">
        <v>61</v>
      </c>
      <c r="P4640" s="82" t="str">
        <f>IF(AND('331-CT'!$E$7=TH!H4640,OR(N4640="331",O4640="331")),"x","")</f>
        <v/>
      </c>
      <c r="Q4640" s="82" t="str">
        <f>IF(AND(B4640='111'!$L$11,OR($N4640=$Q$7,$O4640=$Q$7)),"x","")</f>
        <v>x</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row>
    <row r="4641" spans="1:30" ht="15.75" customHeight="1">
      <c r="A4641" s="323" t="str">
        <f>IF(B4641&lt;&gt;"",IF(AND(B4641='IN-TC'!$S$4,OR(TH!N4448="1111",TH!O4448="1111")),TH!D4448,""),"")</f>
        <v/>
      </c>
      <c r="B4641" s="63">
        <f t="shared" si="297"/>
        <v>12</v>
      </c>
      <c r="C4641" s="1092">
        <v>42735</v>
      </c>
      <c r="D4641" s="1092" t="s">
        <v>2975</v>
      </c>
      <c r="E4641" s="1092">
        <f t="shared" si="299"/>
        <v>42735</v>
      </c>
      <c r="F4641" s="482" t="s">
        <v>947</v>
      </c>
      <c r="G4641" s="1094"/>
      <c r="H4641" s="937" t="s">
        <v>3001</v>
      </c>
      <c r="I4641" s="1095"/>
      <c r="J4641" s="1095"/>
      <c r="K4641" s="1096"/>
      <c r="L4641" s="1095"/>
      <c r="M4641" s="1097">
        <v>2305687500</v>
      </c>
      <c r="N4641" s="1098" t="s">
        <v>266</v>
      </c>
      <c r="O4641" s="1098" t="s">
        <v>61</v>
      </c>
      <c r="P4641" s="82" t="str">
        <f>IF(AND('331-CT'!$E$7=TH!H4641,OR(N4641="331",O4641="331")),"x","")</f>
        <v/>
      </c>
      <c r="Q4641" s="82" t="str">
        <f>IF(AND(B4641='111'!$L$11,OR($N4641=$Q$7,$O4641=$Q$7)),"x","")</f>
        <v>x</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customHeight="1">
      <c r="A4642" s="323" t="str">
        <f>IF(B4642&lt;&gt;"",IF(AND(B4642='IN-TC'!$S$4,OR(TH!N4642="1111",TH!O4642="1111")),TH!D4642,""),"")</f>
        <v/>
      </c>
      <c r="B4642" s="63" t="str">
        <f t="shared" si="297"/>
        <v/>
      </c>
      <c r="C4642" s="64"/>
      <c r="D4642" s="64"/>
      <c r="E4642" s="64"/>
      <c r="F4642" s="72"/>
      <c r="G4642" s="67"/>
      <c r="H4642" s="72"/>
      <c r="I4642" s="408"/>
      <c r="J4642" s="408"/>
      <c r="K4642" s="399"/>
      <c r="L4642" s="408"/>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customHeight="1">
      <c r="A4643" s="323" t="str">
        <f>IF(B4643&lt;&gt;"",IF(AND(B4643='IN-TC'!$S$4,OR(TH!N4643="1111",TH!O4643="1111")),TH!D4643,""),"")</f>
        <v/>
      </c>
      <c r="B4643" s="63" t="str">
        <f t="shared" si="297"/>
        <v/>
      </c>
      <c r="C4643" s="64"/>
      <c r="D4643" s="64"/>
      <c r="E4643" s="64"/>
      <c r="F4643" s="72"/>
      <c r="G4643" s="67"/>
      <c r="H4643" s="72"/>
      <c r="I4643" s="408"/>
      <c r="J4643" s="408"/>
      <c r="K4643" s="399"/>
      <c r="L4643" s="408"/>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customHeight="1">
      <c r="A4644" s="323" t="str">
        <f>IF(B4644&lt;&gt;"",IF(AND(B4644='IN-TC'!$S$4,OR(TH!N4644="1111",TH!O4644="1111")),TH!D4644,""),"")</f>
        <v/>
      </c>
      <c r="B4644" s="63" t="str">
        <f t="shared" si="297"/>
        <v/>
      </c>
      <c r="C4644" s="64"/>
      <c r="D4644" s="64"/>
      <c r="E4644" s="64"/>
      <c r="F4644" s="72"/>
      <c r="G4644" s="67"/>
      <c r="H4644" s="72"/>
      <c r="I4644" s="408"/>
      <c r="J4644" s="408"/>
      <c r="K4644" s="399"/>
      <c r="L4644" s="408"/>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customHeight="1">
      <c r="A4645" s="323" t="str">
        <f>IF(B4645&lt;&gt;"",IF(AND(B4645='IN-TC'!$S$4,OR(TH!N4645="1111",TH!O4645="1111")),TH!D4645,""),"")</f>
        <v/>
      </c>
      <c r="B4645" s="63" t="str">
        <f t="shared" si="297"/>
        <v/>
      </c>
      <c r="C4645" s="64"/>
      <c r="D4645" s="64"/>
      <c r="E4645" s="64"/>
      <c r="F4645" s="72"/>
      <c r="G4645" s="67"/>
      <c r="H4645" s="72"/>
      <c r="I4645" s="408"/>
      <c r="J4645" s="408"/>
      <c r="K4645" s="399"/>
      <c r="L4645" s="408"/>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0" ht="15.75" customHeight="1">
      <c r="A4646" s="323" t="str">
        <f>IF(B4646&lt;&gt;"",IF(AND(B4646='IN-TC'!$S$4,OR(TH!N4646="1111",TH!O4646="1111")),TH!D4646,""),"")</f>
        <v/>
      </c>
      <c r="B4646" s="63" t="str">
        <f t="shared" si="297"/>
        <v/>
      </c>
      <c r="C4646" s="64"/>
      <c r="D4646" s="64"/>
      <c r="E4646" s="64"/>
      <c r="F4646" s="72"/>
      <c r="G4646" s="67"/>
      <c r="H4646" s="72"/>
      <c r="I4646" s="408"/>
      <c r="J4646" s="408"/>
      <c r="K4646" s="399"/>
      <c r="L4646" s="408"/>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row>
    <row r="4647" spans="1:30" ht="15.75" customHeight="1">
      <c r="A4647" s="1120"/>
      <c r="B4647" s="1121"/>
      <c r="C4647" s="1122"/>
      <c r="D4647" s="1122"/>
      <c r="E4647" s="1122"/>
      <c r="F4647" s="1123"/>
      <c r="G4647" s="1123"/>
      <c r="H4647" s="1124"/>
      <c r="I4647" s="1125"/>
      <c r="J4647" s="1125"/>
      <c r="K4647" s="1126"/>
      <c r="L4647" s="1125"/>
      <c r="M4647" s="1127"/>
      <c r="N4647" s="1128"/>
      <c r="O4647" s="1128"/>
      <c r="P4647" s="1129"/>
      <c r="Q4647" s="1129"/>
      <c r="R4647" s="1129"/>
      <c r="S4647" s="1129"/>
      <c r="T4647" s="1129"/>
      <c r="U4647" s="1129"/>
      <c r="V4647" s="1129"/>
      <c r="W4647" s="1129"/>
      <c r="X4647" s="1129"/>
      <c r="Y4647" s="1129"/>
      <c r="Z4647" s="1129"/>
      <c r="AA4647" s="1129"/>
      <c r="AB4647" s="1129"/>
      <c r="AC4647" s="1129"/>
      <c r="AD4647" s="1129"/>
    </row>
    <row r="4648" spans="1:30" ht="18.75" customHeight="1">
      <c r="J4648" s="1187"/>
      <c r="K4648" s="1187">
        <f>SUBTOTAL(9,$K$10:$K$4646)</f>
        <v>24249655.623809163</v>
      </c>
      <c r="L4648" s="1187"/>
      <c r="M4648" s="1187">
        <f>SUBTOTAL(9,$M$10:$M$4646)</f>
        <v>1804326895457.7998</v>
      </c>
      <c r="N4648" s="1187"/>
      <c r="O4648" s="1187"/>
      <c r="P4648" s="1187">
        <f t="shared" ref="P4648:AD4648" si="300">SUBTOTAL(9,$M$10:$M$4646)</f>
        <v>1804326895457.7998</v>
      </c>
      <c r="Q4648" s="1187">
        <f t="shared" si="300"/>
        <v>1804326895457.7998</v>
      </c>
      <c r="R4648" s="1187">
        <f t="shared" si="300"/>
        <v>1804326895457.7998</v>
      </c>
      <c r="S4648" s="1187">
        <f t="shared" si="300"/>
        <v>1804326895457.7998</v>
      </c>
      <c r="T4648" s="1187">
        <f t="shared" si="300"/>
        <v>1804326895457.7998</v>
      </c>
      <c r="U4648" s="1187">
        <f t="shared" si="300"/>
        <v>1804326895457.7998</v>
      </c>
      <c r="V4648" s="1187">
        <f t="shared" si="300"/>
        <v>1804326895457.7998</v>
      </c>
      <c r="W4648" s="1187">
        <f t="shared" si="300"/>
        <v>1804326895457.7998</v>
      </c>
      <c r="X4648" s="1187">
        <f t="shared" si="300"/>
        <v>1804326895457.7998</v>
      </c>
      <c r="Y4648" s="1187">
        <f t="shared" si="300"/>
        <v>1804326895457.7998</v>
      </c>
      <c r="Z4648" s="1187">
        <f t="shared" si="300"/>
        <v>1804326895457.7998</v>
      </c>
      <c r="AA4648" s="1187">
        <f t="shared" si="300"/>
        <v>1804326895457.7998</v>
      </c>
      <c r="AB4648" s="1187">
        <f t="shared" si="300"/>
        <v>1804326895457.7998</v>
      </c>
      <c r="AC4648" s="1187">
        <f t="shared" si="300"/>
        <v>1804326895457.7998</v>
      </c>
      <c r="AD4648" s="1187">
        <f t="shared" si="300"/>
        <v>1804326895457.7998</v>
      </c>
    </row>
    <row r="4649" spans="1:30">
      <c r="J4649" s="1112"/>
      <c r="M4649" s="1118"/>
    </row>
    <row r="4650" spans="1:30">
      <c r="M4650" s="1112"/>
    </row>
    <row r="4651" spans="1:30">
      <c r="F4651" s="1151"/>
      <c r="G4651" s="1116"/>
      <c r="H4651" s="1114"/>
    </row>
    <row r="4652" spans="1:30">
      <c r="H4652" s="1115"/>
    </row>
    <row r="4653" spans="1:30">
      <c r="H4653" s="1115"/>
    </row>
    <row r="4654" spans="1:30">
      <c r="H4654" s="1115"/>
    </row>
    <row r="4655" spans="1:30">
      <c r="H4655" s="1115"/>
    </row>
    <row r="4658" spans="13:13">
      <c r="M4658" s="1118"/>
    </row>
    <row r="4659" spans="13:13">
      <c r="M4659" s="1118"/>
    </row>
    <row r="4660" spans="13:13">
      <c r="M4660" s="1118"/>
    </row>
    <row r="4661" spans="13:13">
      <c r="M4661" s="1118"/>
    </row>
    <row r="4662" spans="13:13">
      <c r="M4662" s="1118"/>
    </row>
    <row r="4663" spans="13:13">
      <c r="M4663" s="1118"/>
    </row>
    <row r="4664" spans="13:13">
      <c r="M4664" s="1118"/>
    </row>
    <row r="4665" spans="13:13">
      <c r="M4665" s="1118"/>
    </row>
    <row r="4669" spans="13:13">
      <c r="M4669" s="1118"/>
    </row>
    <row r="4670" spans="13:13">
      <c r="M4670" s="1118"/>
    </row>
    <row r="4671" spans="13:13">
      <c r="M4671" s="1118"/>
    </row>
    <row r="4672" spans="13:13">
      <c r="M4672" s="1118"/>
    </row>
    <row r="4673" spans="13:13">
      <c r="M4673" s="1118"/>
    </row>
    <row r="4674" spans="13:13">
      <c r="M4674" s="1118"/>
    </row>
  </sheetData>
  <autoFilter ref="A9:AF4646">
    <filterColumn colId="1"/>
    <filterColumn colId="6"/>
    <filterColumn colId="7"/>
  </autoFilter>
  <sortState ref="A1405:AF4647">
    <sortCondition ref="C1405:C4647"/>
    <sortCondition ref="D1405:D4647"/>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3" customWidth="1"/>
    <col min="2" max="2" width="8.5703125" style="243" customWidth="1"/>
    <col min="3" max="3" width="7.42578125" style="243" customWidth="1"/>
    <col min="4" max="4" width="9" style="243" customWidth="1"/>
    <col min="5" max="5" width="40" style="243" customWidth="1"/>
    <col min="6" max="6" width="14.140625" style="243" customWidth="1"/>
    <col min="7" max="8" width="5.85546875" style="244" customWidth="1"/>
    <col min="9" max="9" width="4.85546875" style="243" customWidth="1"/>
    <col min="10" max="10" width="13" style="243" customWidth="1"/>
    <col min="11" max="11" width="12" style="243" customWidth="1"/>
    <col min="12" max="12" width="13.28515625" style="243" customWidth="1"/>
    <col min="13" max="13" width="13.5703125" style="243" customWidth="1"/>
    <col min="14" max="14" width="13.28515625" style="243" customWidth="1"/>
    <col min="15" max="15" width="13.5703125" style="243" customWidth="1"/>
    <col min="16" max="16" width="11.7109375" style="243" customWidth="1"/>
    <col min="17" max="17" width="6.140625" style="243" customWidth="1"/>
    <col min="18" max="18" width="8.140625" style="243" customWidth="1"/>
    <col min="19" max="19" width="7.28515625" style="243" customWidth="1"/>
    <col min="20" max="20" width="12.7109375" style="243" customWidth="1"/>
    <col min="21" max="21" width="7.140625" style="243" customWidth="1"/>
    <col min="22" max="22" width="13.85546875" style="243" customWidth="1"/>
    <col min="23" max="23" width="5.85546875" style="243" customWidth="1"/>
    <col min="24" max="24" width="7.140625" style="243" customWidth="1"/>
    <col min="25" max="25" width="6" style="243" customWidth="1"/>
    <col min="26" max="26" width="11.28515625" style="243" customWidth="1"/>
    <col min="27" max="28" width="11.5703125" style="243" customWidth="1"/>
    <col min="29" max="29" width="12" style="243" customWidth="1"/>
    <col min="30" max="30" width="6.5703125" style="243" customWidth="1"/>
    <col min="31" max="31" width="15.7109375" style="243" customWidth="1"/>
    <col min="32" max="32" width="13" style="243" customWidth="1"/>
    <col min="33" max="33" width="6.42578125" style="243" customWidth="1"/>
    <col min="34" max="34" width="6.28515625" style="243" customWidth="1"/>
    <col min="35" max="36" width="12.5703125" style="243" customWidth="1"/>
    <col min="37" max="37" width="6.28515625" style="243" customWidth="1"/>
    <col min="38" max="38" width="14.42578125" style="243" customWidth="1"/>
    <col min="39" max="39" width="7" style="243" customWidth="1"/>
    <col min="40" max="40" width="12.5703125" style="243" customWidth="1"/>
    <col min="41" max="41" width="6.140625" style="243" customWidth="1"/>
    <col min="42" max="42" width="5.28515625" style="243" customWidth="1"/>
    <col min="43" max="43" width="12.5703125" style="243" customWidth="1"/>
    <col min="44" max="44" width="4.85546875" style="243" customWidth="1"/>
    <col min="45" max="45" width="12.5703125" style="243" customWidth="1"/>
    <col min="46" max="46" width="10.140625" style="243" customWidth="1"/>
    <col min="47" max="47" width="11.85546875" style="243" customWidth="1"/>
    <col min="48" max="48" width="9.140625" style="243" customWidth="1"/>
    <col min="49" max="49" width="10.7109375" style="243" customWidth="1"/>
    <col min="50" max="53" width="7.28515625" style="243" customWidth="1"/>
    <col min="54" max="71" width="9.140625" style="243"/>
    <col min="72" max="72" width="5.5703125" style="243" customWidth="1"/>
    <col min="73" max="73" width="12.5703125" style="243" customWidth="1"/>
    <col min="74" max="74" width="5.5703125" style="243" customWidth="1"/>
    <col min="75" max="75" width="12.5703125" style="243" customWidth="1"/>
    <col min="76" max="76" width="6.42578125" style="243" customWidth="1"/>
    <col min="77" max="77" width="13" style="243" customWidth="1"/>
    <col min="78" max="103" width="9.140625" style="243"/>
    <col min="104" max="105" width="12.85546875" style="243" customWidth="1"/>
    <col min="106" max="16384" width="9.140625" style="243"/>
  </cols>
  <sheetData>
    <row r="1" spans="1:105" ht="12.75" customHeight="1">
      <c r="A1" s="239"/>
      <c r="B1" s="240" t="s">
        <v>119</v>
      </c>
      <c r="C1" s="241"/>
      <c r="D1" s="241"/>
      <c r="E1" s="242"/>
      <c r="I1" s="241"/>
      <c r="M1" s="1374" t="s">
        <v>184</v>
      </c>
      <c r="N1" s="1374"/>
      <c r="O1" s="1374"/>
      <c r="P1" s="1374"/>
      <c r="Q1" s="1374"/>
      <c r="R1" s="1374"/>
      <c r="S1" s="1374"/>
      <c r="X1" s="241"/>
      <c r="Y1" s="241"/>
      <c r="Z1" s="242"/>
      <c r="AA1" s="242"/>
      <c r="AB1" s="242"/>
      <c r="AC1" s="242"/>
      <c r="AD1" s="242"/>
      <c r="AE1" s="242"/>
      <c r="AF1" s="242"/>
      <c r="AG1" s="242"/>
      <c r="AH1" s="242"/>
      <c r="AI1" s="242"/>
      <c r="AJ1" s="242"/>
      <c r="AK1" s="242"/>
      <c r="AL1" s="242"/>
      <c r="AM1" s="242"/>
      <c r="AN1" s="242"/>
      <c r="AO1" s="242"/>
      <c r="AP1" s="242"/>
      <c r="AQ1" s="242"/>
      <c r="AR1" s="242"/>
      <c r="AS1" s="242"/>
      <c r="AT1" s="241"/>
      <c r="AU1" s="241"/>
      <c r="AV1" s="241"/>
      <c r="AW1" s="241"/>
      <c r="AX1" s="241"/>
      <c r="AY1" s="241"/>
      <c r="AZ1" s="241"/>
      <c r="BA1" s="241"/>
    </row>
    <row r="2" spans="1:105" ht="12.75" customHeight="1">
      <c r="A2" s="239"/>
      <c r="B2" s="240" t="s">
        <v>175</v>
      </c>
      <c r="C2" s="241"/>
      <c r="D2" s="241"/>
      <c r="E2" s="241"/>
      <c r="I2" s="245"/>
      <c r="M2" s="1375" t="s">
        <v>141</v>
      </c>
      <c r="N2" s="1375"/>
      <c r="O2" s="1375"/>
      <c r="P2" s="1375"/>
      <c r="Q2" s="1375"/>
      <c r="R2" s="1375"/>
      <c r="S2" s="1375"/>
      <c r="X2" s="245"/>
      <c r="Y2" s="245"/>
      <c r="Z2" s="246"/>
      <c r="AA2" s="246"/>
      <c r="AB2" s="246"/>
      <c r="AC2" s="246"/>
      <c r="AD2" s="246"/>
      <c r="AE2" s="246"/>
      <c r="AF2" s="246"/>
      <c r="AG2" s="246"/>
      <c r="AH2" s="246"/>
      <c r="AI2" s="246"/>
      <c r="AJ2" s="246"/>
      <c r="AK2" s="246"/>
      <c r="AL2" s="246"/>
      <c r="AM2" s="246"/>
      <c r="AN2" s="246"/>
      <c r="AO2" s="246"/>
      <c r="AP2" s="246"/>
      <c r="AQ2" s="246"/>
      <c r="AR2" s="246"/>
      <c r="AS2" s="246"/>
      <c r="AT2" s="245"/>
      <c r="AU2" s="245"/>
      <c r="AV2" s="245"/>
      <c r="AW2" s="245"/>
      <c r="AX2" s="245"/>
      <c r="AY2" s="245"/>
      <c r="AZ2" s="245"/>
      <c r="BA2" s="245"/>
    </row>
    <row r="3" spans="1:105" ht="10.5" customHeight="1">
      <c r="A3" s="241"/>
      <c r="B3" s="241"/>
      <c r="C3" s="241"/>
      <c r="D3" s="241"/>
      <c r="E3" s="241"/>
      <c r="F3" s="245"/>
      <c r="G3" s="247"/>
      <c r="H3" s="247"/>
      <c r="I3" s="245"/>
      <c r="M3" s="1375"/>
      <c r="N3" s="1375"/>
      <c r="O3" s="1375"/>
      <c r="P3" s="1375"/>
      <c r="Q3" s="1375"/>
      <c r="R3" s="1375"/>
      <c r="S3" s="1375"/>
      <c r="X3" s="245"/>
      <c r="Y3" s="245"/>
      <c r="Z3" s="246"/>
      <c r="AA3" s="246"/>
      <c r="AB3" s="246"/>
      <c r="AC3" s="246"/>
      <c r="AD3" s="246"/>
      <c r="AE3" s="246"/>
      <c r="AF3" s="246"/>
      <c r="AG3" s="246"/>
      <c r="AH3" s="246"/>
      <c r="AI3" s="246"/>
      <c r="AJ3" s="246"/>
      <c r="AK3" s="246"/>
      <c r="AL3" s="246"/>
      <c r="AM3" s="246"/>
      <c r="AN3" s="246"/>
      <c r="AO3" s="246"/>
      <c r="AP3" s="246"/>
      <c r="AQ3" s="246"/>
      <c r="AR3" s="246"/>
      <c r="AS3" s="246"/>
      <c r="AT3" s="245"/>
      <c r="AU3" s="245"/>
      <c r="AV3" s="245"/>
      <c r="AW3" s="245"/>
      <c r="AX3" s="245"/>
      <c r="AY3" s="245"/>
      <c r="AZ3" s="245"/>
      <c r="BA3" s="245"/>
    </row>
    <row r="4" spans="1:105" ht="19.5" customHeight="1">
      <c r="B4" s="1376" t="s">
        <v>110</v>
      </c>
      <c r="C4" s="1376"/>
      <c r="D4" s="1376"/>
      <c r="E4" s="1376"/>
      <c r="F4" s="1376"/>
      <c r="G4" s="1376"/>
      <c r="H4" s="1376"/>
      <c r="I4" s="1376"/>
      <c r="J4" s="1376"/>
      <c r="K4" s="1376"/>
      <c r="L4" s="1376"/>
      <c r="M4" s="1376"/>
      <c r="N4" s="1376"/>
      <c r="O4" s="1376"/>
      <c r="P4" s="1376"/>
      <c r="Q4" s="1376"/>
      <c r="R4" s="1376"/>
      <c r="S4" s="248"/>
      <c r="T4" s="248"/>
      <c r="U4" s="248"/>
      <c r="V4" s="248"/>
      <c r="W4" s="248"/>
      <c r="X4" s="249"/>
      <c r="Y4" s="249"/>
      <c r="Z4" s="248"/>
      <c r="AA4" s="248"/>
      <c r="AB4" s="248"/>
      <c r="AC4" s="248"/>
      <c r="AD4" s="248"/>
      <c r="AE4" s="248"/>
      <c r="AF4" s="248"/>
      <c r="AG4" s="248"/>
      <c r="AH4" s="248"/>
      <c r="AI4" s="248"/>
      <c r="AJ4" s="248"/>
      <c r="AK4" s="248"/>
      <c r="AL4" s="248"/>
      <c r="AM4" s="248"/>
      <c r="AN4" s="248"/>
      <c r="AO4" s="248"/>
      <c r="AP4" s="248"/>
      <c r="AQ4" s="248"/>
      <c r="AR4" s="248"/>
      <c r="AS4" s="248"/>
      <c r="AT4" s="250"/>
      <c r="AU4" s="250"/>
      <c r="AV4" s="250"/>
      <c r="AW4" s="250"/>
      <c r="AX4" s="250"/>
      <c r="AY4" s="250"/>
      <c r="AZ4" s="250"/>
      <c r="BA4" s="250"/>
    </row>
    <row r="5" spans="1:105" ht="15">
      <c r="B5" s="1377" t="s">
        <v>185</v>
      </c>
      <c r="C5" s="1377"/>
      <c r="D5" s="1377"/>
      <c r="E5" s="1377"/>
      <c r="F5" s="1377"/>
      <c r="G5" s="1377"/>
      <c r="H5" s="1377"/>
      <c r="I5" s="1377"/>
      <c r="J5" s="1377"/>
      <c r="K5" s="1377"/>
      <c r="L5" s="1377"/>
      <c r="M5" s="1377"/>
      <c r="N5" s="1377"/>
      <c r="O5" s="1377"/>
      <c r="P5" s="1377"/>
      <c r="Q5" s="1377"/>
      <c r="R5" s="1377"/>
      <c r="S5" s="251"/>
      <c r="T5" s="251"/>
      <c r="U5" s="251"/>
      <c r="V5" s="251"/>
      <c r="W5" s="251"/>
      <c r="X5" s="252"/>
      <c r="Y5" s="252"/>
      <c r="Z5" s="251"/>
      <c r="AA5" s="251"/>
      <c r="AB5" s="251"/>
      <c r="AC5" s="251"/>
      <c r="AD5" s="251"/>
      <c r="AE5" s="251"/>
      <c r="AF5" s="251"/>
      <c r="AG5" s="251"/>
      <c r="AH5" s="251"/>
      <c r="AI5" s="251"/>
      <c r="AJ5" s="251"/>
      <c r="AK5" s="251"/>
      <c r="AL5" s="251"/>
      <c r="AM5" s="251"/>
      <c r="AN5" s="251"/>
      <c r="AO5" s="251"/>
      <c r="AP5" s="251"/>
      <c r="AQ5" s="251"/>
      <c r="AR5" s="251"/>
      <c r="AS5" s="251"/>
    </row>
    <row r="6" spans="1:105">
      <c r="P6" s="243" t="s">
        <v>145</v>
      </c>
    </row>
    <row r="7" spans="1:105" ht="13.5" customHeight="1">
      <c r="A7" s="1378" t="s">
        <v>35</v>
      </c>
      <c r="B7" s="1373" t="s">
        <v>21</v>
      </c>
      <c r="C7" s="1380" t="s">
        <v>1</v>
      </c>
      <c r="D7" s="1381"/>
      <c r="E7" s="1373" t="s">
        <v>0</v>
      </c>
      <c r="F7" s="1373" t="s">
        <v>111</v>
      </c>
      <c r="G7" s="1382" t="s">
        <v>112</v>
      </c>
      <c r="H7" s="1382"/>
      <c r="I7" s="1383" t="s">
        <v>35</v>
      </c>
      <c r="J7" s="1373" t="s">
        <v>186</v>
      </c>
      <c r="K7" s="1373"/>
      <c r="L7" s="1373" t="s">
        <v>187</v>
      </c>
      <c r="M7" s="1373"/>
      <c r="N7" s="1373" t="s">
        <v>262</v>
      </c>
      <c r="O7" s="1373"/>
      <c r="P7" s="1373" t="s">
        <v>953</v>
      </c>
      <c r="Q7" s="1373"/>
      <c r="R7" s="1373" t="s">
        <v>188</v>
      </c>
      <c r="S7" s="1373"/>
      <c r="T7" s="1373" t="s">
        <v>189</v>
      </c>
      <c r="U7" s="1373"/>
      <c r="V7" s="1373" t="s">
        <v>954</v>
      </c>
      <c r="W7" s="1373"/>
      <c r="X7" s="1373" t="s">
        <v>955</v>
      </c>
      <c r="Y7" s="1373"/>
      <c r="Z7" s="1373" t="s">
        <v>956</v>
      </c>
      <c r="AA7" s="1373"/>
      <c r="AB7" s="1373" t="s">
        <v>957</v>
      </c>
      <c r="AC7" s="1373"/>
      <c r="AD7" s="1373" t="s">
        <v>958</v>
      </c>
      <c r="AE7" s="1373"/>
      <c r="AF7" s="1373" t="s">
        <v>959</v>
      </c>
      <c r="AG7" s="1373"/>
      <c r="AH7" s="1373" t="s">
        <v>960</v>
      </c>
      <c r="AI7" s="1373"/>
      <c r="AJ7" s="1373" t="s">
        <v>961</v>
      </c>
      <c r="AK7" s="1373"/>
      <c r="AL7" s="1373" t="s">
        <v>962</v>
      </c>
      <c r="AM7" s="1373"/>
      <c r="AN7" s="1373" t="s">
        <v>963</v>
      </c>
      <c r="AO7" s="1373"/>
      <c r="AP7" s="1373" t="s">
        <v>964</v>
      </c>
      <c r="AQ7" s="1373"/>
      <c r="AR7" s="1373" t="s">
        <v>965</v>
      </c>
      <c r="AS7" s="1373"/>
      <c r="AT7" s="1373" t="s">
        <v>190</v>
      </c>
      <c r="AU7" s="1373"/>
      <c r="AV7" s="1373" t="s">
        <v>191</v>
      </c>
      <c r="AW7" s="1373"/>
      <c r="AX7" s="1373" t="s">
        <v>966</v>
      </c>
      <c r="AY7" s="1373"/>
      <c r="AZ7" s="1373" t="s">
        <v>967</v>
      </c>
      <c r="BA7" s="1373"/>
      <c r="BB7" s="1373" t="s">
        <v>968</v>
      </c>
      <c r="BC7" s="1373"/>
      <c r="BD7" s="1373" t="s">
        <v>192</v>
      </c>
      <c r="BE7" s="1373"/>
      <c r="BF7" s="1373" t="s">
        <v>969</v>
      </c>
      <c r="BG7" s="1373"/>
      <c r="BH7" s="1373" t="s">
        <v>193</v>
      </c>
      <c r="BI7" s="1373"/>
      <c r="BJ7" s="1373" t="s">
        <v>970</v>
      </c>
      <c r="BK7" s="1373"/>
      <c r="BL7" s="1373" t="s">
        <v>971</v>
      </c>
      <c r="BM7" s="1373"/>
      <c r="BN7" s="1373" t="s">
        <v>972</v>
      </c>
      <c r="BO7" s="1373"/>
      <c r="BP7" s="1373" t="s">
        <v>973</v>
      </c>
      <c r="BQ7" s="1373"/>
      <c r="BR7" s="1373" t="s">
        <v>194</v>
      </c>
      <c r="BS7" s="1373"/>
      <c r="BT7" s="1373" t="s">
        <v>195</v>
      </c>
      <c r="BU7" s="1373"/>
      <c r="BV7" s="1373" t="s">
        <v>257</v>
      </c>
      <c r="BW7" s="1373"/>
      <c r="BX7" s="1373" t="s">
        <v>196</v>
      </c>
      <c r="BY7" s="1373"/>
      <c r="BZ7" s="1373" t="s">
        <v>197</v>
      </c>
      <c r="CA7" s="1373"/>
      <c r="CB7" s="1373" t="s">
        <v>198</v>
      </c>
      <c r="CC7" s="1373"/>
      <c r="CD7" s="1373" t="s">
        <v>974</v>
      </c>
      <c r="CE7" s="1373"/>
      <c r="CF7" s="1373" t="s">
        <v>975</v>
      </c>
      <c r="CG7" s="1373"/>
      <c r="CH7" s="1373" t="s">
        <v>199</v>
      </c>
      <c r="CI7" s="1373"/>
      <c r="CJ7" s="1373" t="s">
        <v>976</v>
      </c>
      <c r="CK7" s="1373"/>
      <c r="CL7" s="1373" t="s">
        <v>977</v>
      </c>
      <c r="CM7" s="1373"/>
      <c r="CN7" s="1373" t="s">
        <v>200</v>
      </c>
      <c r="CO7" s="1373"/>
      <c r="CP7" s="1373" t="s">
        <v>978</v>
      </c>
      <c r="CQ7" s="1373"/>
      <c r="CR7" s="1373" t="s">
        <v>201</v>
      </c>
      <c r="CS7" s="1373"/>
      <c r="CT7" s="1373" t="s">
        <v>202</v>
      </c>
      <c r="CU7" s="1373"/>
      <c r="CV7" s="1373" t="s">
        <v>203</v>
      </c>
      <c r="CW7" s="1373"/>
      <c r="CX7" s="1373" t="s">
        <v>204</v>
      </c>
      <c r="CY7" s="1373"/>
      <c r="CZ7" s="1373" t="s">
        <v>205</v>
      </c>
      <c r="DA7" s="1373"/>
    </row>
    <row r="8" spans="1:105" ht="22.5" customHeight="1">
      <c r="A8" s="1379"/>
      <c r="B8" s="1373"/>
      <c r="C8" s="906" t="s">
        <v>16</v>
      </c>
      <c r="D8" s="905" t="s">
        <v>32</v>
      </c>
      <c r="E8" s="1373"/>
      <c r="F8" s="1373"/>
      <c r="G8" s="907" t="s">
        <v>23</v>
      </c>
      <c r="H8" s="907" t="s">
        <v>24</v>
      </c>
      <c r="I8" s="1383"/>
      <c r="J8" s="905" t="s">
        <v>23</v>
      </c>
      <c r="K8" s="905" t="s">
        <v>24</v>
      </c>
      <c r="L8" s="905" t="s">
        <v>23</v>
      </c>
      <c r="M8" s="905" t="s">
        <v>24</v>
      </c>
      <c r="N8" s="905" t="s">
        <v>23</v>
      </c>
      <c r="O8" s="905" t="s">
        <v>24</v>
      </c>
      <c r="P8" s="905" t="s">
        <v>23</v>
      </c>
      <c r="Q8" s="905" t="s">
        <v>24</v>
      </c>
      <c r="R8" s="905" t="s">
        <v>23</v>
      </c>
      <c r="S8" s="905" t="s">
        <v>24</v>
      </c>
      <c r="T8" s="905" t="s">
        <v>23</v>
      </c>
      <c r="U8" s="905" t="s">
        <v>24</v>
      </c>
      <c r="V8" s="905" t="s">
        <v>23</v>
      </c>
      <c r="W8" s="905" t="s">
        <v>24</v>
      </c>
      <c r="X8" s="905" t="s">
        <v>23</v>
      </c>
      <c r="Y8" s="905" t="s">
        <v>24</v>
      </c>
      <c r="Z8" s="905" t="s">
        <v>23</v>
      </c>
      <c r="AA8" s="905" t="s">
        <v>24</v>
      </c>
      <c r="AB8" s="905" t="s">
        <v>23</v>
      </c>
      <c r="AC8" s="905" t="s">
        <v>24</v>
      </c>
      <c r="AD8" s="905" t="s">
        <v>23</v>
      </c>
      <c r="AE8" s="905" t="s">
        <v>24</v>
      </c>
      <c r="AF8" s="905" t="s">
        <v>23</v>
      </c>
      <c r="AG8" s="905" t="s">
        <v>24</v>
      </c>
      <c r="AH8" s="905" t="s">
        <v>23</v>
      </c>
      <c r="AI8" s="905" t="s">
        <v>24</v>
      </c>
      <c r="AJ8" s="905" t="s">
        <v>23</v>
      </c>
      <c r="AK8" s="905" t="s">
        <v>24</v>
      </c>
      <c r="AL8" s="905" t="s">
        <v>23</v>
      </c>
      <c r="AM8" s="905" t="s">
        <v>24</v>
      </c>
      <c r="AN8" s="905" t="s">
        <v>23</v>
      </c>
      <c r="AO8" s="905" t="s">
        <v>24</v>
      </c>
      <c r="AP8" s="905" t="s">
        <v>23</v>
      </c>
      <c r="AQ8" s="905" t="s">
        <v>24</v>
      </c>
      <c r="AR8" s="905" t="s">
        <v>23</v>
      </c>
      <c r="AS8" s="905" t="s">
        <v>24</v>
      </c>
      <c r="AT8" s="905" t="s">
        <v>23</v>
      </c>
      <c r="AU8" s="905" t="s">
        <v>24</v>
      </c>
      <c r="AV8" s="905" t="s">
        <v>23</v>
      </c>
      <c r="AW8" s="905" t="s">
        <v>24</v>
      </c>
      <c r="AX8" s="905" t="s">
        <v>23</v>
      </c>
      <c r="AY8" s="905" t="s">
        <v>24</v>
      </c>
      <c r="AZ8" s="905" t="s">
        <v>23</v>
      </c>
      <c r="BA8" s="905" t="s">
        <v>24</v>
      </c>
      <c r="BB8" s="905" t="s">
        <v>23</v>
      </c>
      <c r="BC8" s="905" t="s">
        <v>24</v>
      </c>
      <c r="BD8" s="905" t="s">
        <v>23</v>
      </c>
      <c r="BE8" s="905" t="s">
        <v>24</v>
      </c>
      <c r="BF8" s="905" t="s">
        <v>23</v>
      </c>
      <c r="BG8" s="905" t="s">
        <v>24</v>
      </c>
      <c r="BH8" s="905" t="s">
        <v>23</v>
      </c>
      <c r="BI8" s="905" t="s">
        <v>24</v>
      </c>
      <c r="BJ8" s="905" t="s">
        <v>23</v>
      </c>
      <c r="BK8" s="905" t="s">
        <v>24</v>
      </c>
      <c r="BL8" s="905" t="s">
        <v>23</v>
      </c>
      <c r="BM8" s="905" t="s">
        <v>24</v>
      </c>
      <c r="BN8" s="905" t="s">
        <v>23</v>
      </c>
      <c r="BO8" s="905" t="s">
        <v>24</v>
      </c>
      <c r="BP8" s="905" t="s">
        <v>23</v>
      </c>
      <c r="BQ8" s="905" t="s">
        <v>24</v>
      </c>
      <c r="BR8" s="905" t="s">
        <v>23</v>
      </c>
      <c r="BS8" s="905" t="s">
        <v>24</v>
      </c>
      <c r="BT8" s="905" t="s">
        <v>23</v>
      </c>
      <c r="BU8" s="905" t="s">
        <v>24</v>
      </c>
      <c r="BV8" s="905" t="s">
        <v>23</v>
      </c>
      <c r="BW8" s="905" t="s">
        <v>24</v>
      </c>
      <c r="BX8" s="905" t="s">
        <v>23</v>
      </c>
      <c r="BY8" s="905" t="s">
        <v>24</v>
      </c>
      <c r="BZ8" s="905" t="s">
        <v>23</v>
      </c>
      <c r="CA8" s="905" t="s">
        <v>24</v>
      </c>
      <c r="CB8" s="905" t="s">
        <v>23</v>
      </c>
      <c r="CC8" s="905" t="s">
        <v>24</v>
      </c>
      <c r="CD8" s="905" t="s">
        <v>23</v>
      </c>
      <c r="CE8" s="905" t="s">
        <v>24</v>
      </c>
      <c r="CF8" s="905" t="s">
        <v>23</v>
      </c>
      <c r="CG8" s="905" t="s">
        <v>24</v>
      </c>
      <c r="CH8" s="905" t="s">
        <v>23</v>
      </c>
      <c r="CI8" s="905" t="s">
        <v>24</v>
      </c>
      <c r="CJ8" s="905" t="s">
        <v>23</v>
      </c>
      <c r="CK8" s="905" t="s">
        <v>24</v>
      </c>
      <c r="CL8" s="905" t="s">
        <v>23</v>
      </c>
      <c r="CM8" s="905" t="s">
        <v>24</v>
      </c>
      <c r="CN8" s="905" t="s">
        <v>23</v>
      </c>
      <c r="CO8" s="905" t="s">
        <v>24</v>
      </c>
      <c r="CP8" s="905" t="s">
        <v>23</v>
      </c>
      <c r="CQ8" s="905" t="s">
        <v>24</v>
      </c>
      <c r="CR8" s="905" t="s">
        <v>23</v>
      </c>
      <c r="CS8" s="905" t="s">
        <v>24</v>
      </c>
      <c r="CT8" s="905" t="s">
        <v>23</v>
      </c>
      <c r="CU8" s="905" t="s">
        <v>24</v>
      </c>
      <c r="CV8" s="905" t="s">
        <v>23</v>
      </c>
      <c r="CW8" s="905" t="s">
        <v>24</v>
      </c>
      <c r="CX8" s="905" t="s">
        <v>23</v>
      </c>
      <c r="CY8" s="905" t="s">
        <v>24</v>
      </c>
      <c r="CZ8" s="905" t="s">
        <v>23</v>
      </c>
      <c r="DA8" s="905" t="s">
        <v>24</v>
      </c>
    </row>
    <row r="9" spans="1:105" s="254" customFormat="1" ht="8.25" customHeight="1">
      <c r="A9" s="253">
        <v>1</v>
      </c>
      <c r="B9" s="253">
        <v>2</v>
      </c>
      <c r="C9" s="253">
        <v>3</v>
      </c>
      <c r="D9" s="253">
        <v>4</v>
      </c>
      <c r="E9" s="253">
        <v>5</v>
      </c>
      <c r="F9" s="253">
        <v>6</v>
      </c>
      <c r="G9" s="253">
        <v>7</v>
      </c>
      <c r="H9" s="253">
        <v>8</v>
      </c>
      <c r="I9" s="253">
        <v>9</v>
      </c>
      <c r="J9" s="253">
        <v>10</v>
      </c>
      <c r="K9" s="253">
        <v>11</v>
      </c>
      <c r="L9" s="253">
        <v>12</v>
      </c>
      <c r="M9" s="253">
        <v>13</v>
      </c>
      <c r="N9" s="253">
        <v>14</v>
      </c>
      <c r="O9" s="253">
        <v>15</v>
      </c>
      <c r="P9" s="253">
        <v>16</v>
      </c>
      <c r="Q9" s="253">
        <v>17</v>
      </c>
      <c r="R9" s="253">
        <v>18</v>
      </c>
      <c r="S9" s="253">
        <v>19</v>
      </c>
      <c r="T9" s="253">
        <v>20</v>
      </c>
      <c r="U9" s="253">
        <v>21</v>
      </c>
      <c r="V9" s="253">
        <v>22</v>
      </c>
      <c r="W9" s="253">
        <v>23</v>
      </c>
      <c r="X9" s="253">
        <v>24</v>
      </c>
      <c r="Y9" s="253">
        <v>25</v>
      </c>
      <c r="Z9" s="253">
        <v>26</v>
      </c>
      <c r="AA9" s="253">
        <v>27</v>
      </c>
      <c r="AB9" s="253">
        <v>28</v>
      </c>
      <c r="AC9" s="253">
        <v>29</v>
      </c>
      <c r="AD9" s="253">
        <v>30</v>
      </c>
      <c r="AE9" s="253">
        <v>31</v>
      </c>
      <c r="AF9" s="253">
        <v>32</v>
      </c>
      <c r="AG9" s="253">
        <v>33</v>
      </c>
      <c r="AH9" s="253">
        <v>34</v>
      </c>
      <c r="AI9" s="253">
        <v>35</v>
      </c>
      <c r="AJ9" s="253">
        <v>36</v>
      </c>
      <c r="AK9" s="253">
        <v>37</v>
      </c>
      <c r="AL9" s="253">
        <v>38</v>
      </c>
      <c r="AM9" s="253">
        <v>39</v>
      </c>
      <c r="AN9" s="253">
        <v>40</v>
      </c>
      <c r="AO9" s="253">
        <v>41</v>
      </c>
      <c r="AP9" s="253">
        <v>42</v>
      </c>
      <c r="AQ9" s="253">
        <v>43</v>
      </c>
      <c r="AR9" s="253">
        <v>44</v>
      </c>
      <c r="AS9" s="253">
        <v>45</v>
      </c>
      <c r="AT9" s="253">
        <v>46</v>
      </c>
      <c r="AU9" s="253">
        <v>47</v>
      </c>
      <c r="AV9" s="253">
        <v>48</v>
      </c>
      <c r="AW9" s="253">
        <v>49</v>
      </c>
      <c r="AX9" s="253">
        <v>50</v>
      </c>
      <c r="AY9" s="253">
        <v>51</v>
      </c>
      <c r="AZ9" s="253">
        <v>52</v>
      </c>
      <c r="BA9" s="253">
        <v>53</v>
      </c>
      <c r="BB9" s="253">
        <v>54</v>
      </c>
      <c r="BC9" s="253">
        <v>55</v>
      </c>
      <c r="BD9" s="253">
        <v>56</v>
      </c>
      <c r="BE9" s="253">
        <v>57</v>
      </c>
      <c r="BF9" s="253">
        <v>58</v>
      </c>
      <c r="BG9" s="253">
        <v>59</v>
      </c>
      <c r="BH9" s="253">
        <v>60</v>
      </c>
      <c r="BI9" s="253">
        <v>61</v>
      </c>
      <c r="BJ9" s="253">
        <v>62</v>
      </c>
      <c r="BK9" s="253">
        <v>63</v>
      </c>
      <c r="BL9" s="253">
        <v>64</v>
      </c>
      <c r="BM9" s="253">
        <v>65</v>
      </c>
      <c r="BN9" s="253">
        <v>66</v>
      </c>
      <c r="BO9" s="253">
        <v>67</v>
      </c>
      <c r="BP9" s="253">
        <v>68</v>
      </c>
      <c r="BQ9" s="253">
        <v>69</v>
      </c>
      <c r="BR9" s="253">
        <v>70</v>
      </c>
      <c r="BS9" s="253">
        <v>71</v>
      </c>
      <c r="BT9" s="253">
        <v>72</v>
      </c>
      <c r="BU9" s="253">
        <v>73</v>
      </c>
      <c r="BV9" s="253">
        <v>72</v>
      </c>
      <c r="BW9" s="253">
        <v>73</v>
      </c>
      <c r="BX9" s="253">
        <v>74</v>
      </c>
      <c r="BY9" s="253">
        <v>75</v>
      </c>
      <c r="BZ9" s="253">
        <v>76</v>
      </c>
      <c r="CA9" s="253">
        <v>77</v>
      </c>
      <c r="CB9" s="253">
        <v>78</v>
      </c>
      <c r="CC9" s="253">
        <v>79</v>
      </c>
      <c r="CD9" s="253">
        <v>80</v>
      </c>
      <c r="CE9" s="253">
        <v>81</v>
      </c>
      <c r="CF9" s="253">
        <v>82</v>
      </c>
      <c r="CG9" s="253">
        <v>83</v>
      </c>
      <c r="CH9" s="253">
        <v>84</v>
      </c>
      <c r="CI9" s="253">
        <v>85</v>
      </c>
      <c r="CJ9" s="253">
        <v>86</v>
      </c>
      <c r="CK9" s="253">
        <v>87</v>
      </c>
      <c r="CL9" s="253">
        <v>88</v>
      </c>
      <c r="CM9" s="253">
        <v>89</v>
      </c>
      <c r="CN9" s="253">
        <v>90</v>
      </c>
      <c r="CO9" s="253">
        <v>91</v>
      </c>
      <c r="CP9" s="253">
        <v>92</v>
      </c>
      <c r="CQ9" s="253">
        <v>93</v>
      </c>
      <c r="CR9" s="253">
        <v>94</v>
      </c>
      <c r="CS9" s="253">
        <v>95</v>
      </c>
      <c r="CT9" s="253">
        <v>96</v>
      </c>
      <c r="CU9" s="253">
        <v>97</v>
      </c>
      <c r="CV9" s="253">
        <v>98</v>
      </c>
      <c r="CW9" s="253">
        <v>99</v>
      </c>
      <c r="CX9" s="253">
        <v>100</v>
      </c>
      <c r="CY9" s="253">
        <v>101</v>
      </c>
      <c r="CZ9" s="253">
        <v>102</v>
      </c>
      <c r="DA9" s="253">
        <v>103</v>
      </c>
    </row>
    <row r="10" spans="1:105" s="262" customFormat="1" ht="12.75" customHeight="1">
      <c r="A10" s="63" t="str">
        <f t="array" ref="A10">IF(C10&lt;&gt;0,SUM(($C10:C$16&lt;&gt;0)*1),"")</f>
        <v/>
      </c>
      <c r="B10" s="255"/>
      <c r="C10" s="256"/>
      <c r="D10" s="255"/>
      <c r="E10" s="257" t="s">
        <v>206</v>
      </c>
      <c r="F10" s="258"/>
      <c r="G10" s="259"/>
      <c r="H10" s="259"/>
      <c r="I10" s="260"/>
      <c r="J10" s="261">
        <f>CĐPS!C10</f>
        <v>3705039095</v>
      </c>
      <c r="K10" s="261">
        <f>CĐPS!D10</f>
        <v>0</v>
      </c>
      <c r="L10" s="261">
        <f>CĐPS!C12</f>
        <v>19829295</v>
      </c>
      <c r="M10" s="261">
        <f>CĐPS!D12</f>
        <v>0</v>
      </c>
      <c r="N10" s="261">
        <f>CĐPS!C13</f>
        <v>2236796790</v>
      </c>
      <c r="O10" s="261">
        <f>CĐPS!D13</f>
        <v>0</v>
      </c>
      <c r="P10" s="261">
        <f>CĐPS!C15</f>
        <v>3343381600</v>
      </c>
      <c r="Q10" s="261">
        <f>CĐPS!D15</f>
        <v>0</v>
      </c>
      <c r="R10" s="261">
        <f>CĐPS!C16</f>
        <v>162420936</v>
      </c>
      <c r="S10" s="261">
        <f>CĐPS!D16</f>
        <v>0</v>
      </c>
      <c r="T10" s="261">
        <f>CĐPS!C18</f>
        <v>1500000000</v>
      </c>
      <c r="U10" s="261">
        <f>CĐPS!D18</f>
        <v>0</v>
      </c>
      <c r="V10" s="261">
        <f>CĐPS!C20</f>
        <v>0</v>
      </c>
      <c r="W10" s="261">
        <f>CĐPS!D20</f>
        <v>0</v>
      </c>
      <c r="X10" s="261">
        <f>CĐPS!C21</f>
        <v>2772400000</v>
      </c>
      <c r="Y10" s="261">
        <f>CĐPS!D21</f>
        <v>0</v>
      </c>
      <c r="Z10" s="261">
        <f>CĐPS!C22</f>
        <v>526519887</v>
      </c>
      <c r="AA10" s="261">
        <f>CĐPS!D22</f>
        <v>0</v>
      </c>
      <c r="AB10" s="261">
        <f>CĐPS!C24</f>
        <v>0</v>
      </c>
      <c r="AC10" s="261">
        <f>CĐPS!D24</f>
        <v>0</v>
      </c>
      <c r="AD10" s="261">
        <f>CĐPS!C25</f>
        <v>0</v>
      </c>
      <c r="AE10" s="261">
        <f>CĐPS!D25</f>
        <v>0</v>
      </c>
      <c r="AF10" s="261">
        <f>CĐPS!C26</f>
        <v>9386323824</v>
      </c>
      <c r="AG10" s="261">
        <f>CĐPS!D26</f>
        <v>0</v>
      </c>
      <c r="AH10" s="261">
        <f>CĐPS!C27</f>
        <v>7490743648</v>
      </c>
      <c r="AI10" s="261">
        <f>CĐPS!D27</f>
        <v>0</v>
      </c>
      <c r="AJ10" s="261">
        <f>CĐPS!C28</f>
        <v>3807898863</v>
      </c>
      <c r="AK10" s="261">
        <f>CĐPS!D28</f>
        <v>0</v>
      </c>
      <c r="AL10" s="261">
        <f>CĐPS!C29</f>
        <v>3790918485</v>
      </c>
      <c r="AM10" s="261">
        <f>CĐPS!D29</f>
        <v>0</v>
      </c>
      <c r="AN10" s="261">
        <f>CĐPS!C31</f>
        <v>5405781300</v>
      </c>
      <c r="AO10" s="261">
        <f>CĐPS!D31</f>
        <v>0</v>
      </c>
      <c r="AP10" s="261">
        <f>CĐPS!C33</f>
        <v>0</v>
      </c>
      <c r="AQ10" s="261">
        <f>CĐPS!D33</f>
        <v>9132359256</v>
      </c>
      <c r="AR10" s="261">
        <f>CĐPS!C34</f>
        <v>0</v>
      </c>
      <c r="AS10" s="261">
        <f>CĐPS!D34</f>
        <v>600642360</v>
      </c>
      <c r="AT10" s="261">
        <f>CĐPS!C36</f>
        <v>0</v>
      </c>
      <c r="AU10" s="261">
        <f>CĐPS!D36</f>
        <v>0</v>
      </c>
      <c r="AV10" s="261">
        <f>CĐPS!C38</f>
        <v>0</v>
      </c>
      <c r="AW10" s="261">
        <f>CĐPS!D38</f>
        <v>476953252</v>
      </c>
      <c r="AX10" s="261"/>
      <c r="AY10" s="261"/>
      <c r="AZ10" s="261"/>
      <c r="BA10" s="261"/>
      <c r="BB10" s="261"/>
      <c r="BC10" s="261"/>
      <c r="BD10" s="261">
        <f>CĐPS!C42</f>
        <v>0</v>
      </c>
      <c r="BE10" s="261">
        <f>CĐPS!D42</f>
        <v>3313435</v>
      </c>
      <c r="BF10" s="261">
        <f>CĐPS!C43</f>
        <v>3389804</v>
      </c>
      <c r="BG10" s="261">
        <f>CĐPS!D43</f>
        <v>0</v>
      </c>
      <c r="BH10" s="261">
        <f>CĐPS!C44</f>
        <v>0</v>
      </c>
      <c r="BI10" s="261">
        <f>CĐPS!D44</f>
        <v>0</v>
      </c>
      <c r="BJ10" s="261">
        <f>CĐPS!C47</f>
        <v>0</v>
      </c>
      <c r="BK10" s="261">
        <f>CĐPS!D47</f>
        <v>0</v>
      </c>
      <c r="BL10" s="261">
        <f>CĐPS!C49</f>
        <v>0</v>
      </c>
      <c r="BM10" s="261">
        <f>CĐPS!D49</f>
        <v>40272309</v>
      </c>
      <c r="BN10" s="261">
        <f>CĐPS!C50</f>
        <v>0</v>
      </c>
      <c r="BO10" s="261">
        <f>CĐPS!D50</f>
        <v>6403142</v>
      </c>
      <c r="BP10" s="261">
        <f>CĐPS!C51</f>
        <v>0</v>
      </c>
      <c r="BQ10" s="261">
        <f>CĐPS!D51</f>
        <v>2761373</v>
      </c>
      <c r="BR10" s="261">
        <f>CĐPS!C52</f>
        <v>0</v>
      </c>
      <c r="BS10" s="261">
        <f>CĐPS!D52</f>
        <v>0</v>
      </c>
      <c r="BT10" s="261">
        <f>CĐPS!C54</f>
        <v>0</v>
      </c>
      <c r="BU10" s="261">
        <f>CĐPS!D54</f>
        <v>2169121879</v>
      </c>
      <c r="BV10" s="261">
        <f>CĐPS!C55</f>
        <v>0</v>
      </c>
      <c r="BW10" s="261">
        <f>CĐPS!D55</f>
        <v>21202920500</v>
      </c>
      <c r="BX10" s="261">
        <f>CĐPS!C57</f>
        <v>0</v>
      </c>
      <c r="BY10" s="261">
        <f>CĐPS!D57</f>
        <v>10000000000</v>
      </c>
      <c r="BZ10" s="261">
        <f>CĐPS!C59</f>
        <v>0</v>
      </c>
      <c r="CA10" s="261">
        <f>CĐPS!D59</f>
        <v>486535137</v>
      </c>
      <c r="CB10" s="261">
        <f>CĐPS!C60</f>
        <v>0</v>
      </c>
      <c r="CC10" s="261">
        <f>CĐPS!D60</f>
        <v>30160884.000000477</v>
      </c>
      <c r="CD10" s="261"/>
      <c r="CE10" s="261"/>
      <c r="CF10" s="261"/>
      <c r="CG10" s="261"/>
      <c r="CH10" s="261"/>
      <c r="CI10" s="261"/>
      <c r="CJ10" s="261"/>
      <c r="CK10" s="261"/>
      <c r="CL10" s="261"/>
      <c r="CM10" s="261"/>
      <c r="CN10" s="261"/>
      <c r="CO10" s="261"/>
      <c r="CP10" s="261"/>
      <c r="CQ10" s="261"/>
      <c r="CR10" s="261"/>
      <c r="CS10" s="261"/>
      <c r="CT10" s="261"/>
      <c r="CU10" s="261"/>
      <c r="CV10" s="261"/>
      <c r="CW10" s="261"/>
      <c r="CX10" s="261"/>
      <c r="CY10" s="261"/>
      <c r="CZ10" s="261"/>
      <c r="DA10" s="261"/>
    </row>
    <row r="11" spans="1:105" s="262" customFormat="1" ht="12.75" customHeight="1">
      <c r="A11" s="63">
        <f t="array" aca="1" ref="A11" ca="1">IF(C11&lt;&gt;0,SUM(($C$11:C11&lt;&gt;0)*1),"")</f>
        <v>1</v>
      </c>
      <c r="B11" s="263" t="str">
        <f ca="1">IF(ROWS($1:1)&gt;COUNT(Dong6),"",OFFSET(TH!C$1,SMALL(Dong6,ROWS($1:1)),))</f>
        <v/>
      </c>
      <c r="C11" s="263" t="str">
        <f ca="1">IF(ROWS($1:1)&gt;COUNT(Dong6),"",OFFSET(TH!D$1,SMALL(Dong6,ROWS($1:1)),))</f>
        <v/>
      </c>
      <c r="D11" s="263" t="str">
        <f ca="1">IF(ROWS($1:1)&gt;COUNT(Dong6),"",OFFSET(TH!E$1,SMALL(Dong6,ROWS($1:1)),))</f>
        <v/>
      </c>
      <c r="E11" s="313" t="str">
        <f ca="1">IF(ROWS($1:1)&gt;COUNT(Dong6),"",OFFSET(TH!F$1,SMALL(Dong6,ROWS($1:1)),))</f>
        <v/>
      </c>
      <c r="F11" s="314" t="str">
        <f ca="1">IF(ROWS($1:1)&gt;COUNT(Dong6),"",OFFSET(TH!M$1,SMALL(Dong6,ROWS($1:1)),))</f>
        <v/>
      </c>
      <c r="G11" s="315" t="str">
        <f ca="1">IF(ROWS($1:1)&gt;COUNT(Dong6),"",OFFSET(TH!N$1,SMALL(Dong6,ROWS($1:1)),))</f>
        <v/>
      </c>
      <c r="H11" s="315" t="str">
        <f ca="1">IF(ROWS($1:1)&gt;COUNT(Dong6),"",OFFSET(TH!O$1,SMALL(Dong6,ROWS($1:1)),))</f>
        <v/>
      </c>
      <c r="I11" s="63">
        <f t="shared" ref="I11:I34" ca="1" si="0">A11</f>
        <v>1</v>
      </c>
      <c r="J11" s="265">
        <f ca="1">IF($G11="1111",$F11,0)</f>
        <v>0</v>
      </c>
      <c r="K11" s="265">
        <f ca="1">IF($H11="1111",$F11,0)</f>
        <v>0</v>
      </c>
      <c r="L11" s="265">
        <f t="shared" ref="L11:L51" ca="1" si="1">IF($G11="1121",$F11,0)</f>
        <v>0</v>
      </c>
      <c r="M11" s="265">
        <f t="shared" ref="M11:M51" ca="1" si="2">IF($H11="1121",$F11,0)</f>
        <v>0</v>
      </c>
      <c r="N11" s="265">
        <f t="shared" ref="N11:N51" ca="1" si="3">IF($G11="1122",$F11,0)</f>
        <v>0</v>
      </c>
      <c r="O11" s="265">
        <f t="shared" ref="O11:O51" ca="1" si="4">IF($H11="1122",$F11,0)</f>
        <v>0</v>
      </c>
      <c r="P11" s="265">
        <f t="shared" ref="P11:P51" ca="1" si="5">IF($G11="131",$F11,0)</f>
        <v>0</v>
      </c>
      <c r="Q11" s="265">
        <f t="shared" ref="Q11:Q51" ca="1" si="6">IF($H11="131",$F11,0)</f>
        <v>0</v>
      </c>
      <c r="R11" s="265">
        <f t="shared" ref="R11:R51" ca="1" si="7">IF($G11="1331",$F11,0)</f>
        <v>0</v>
      </c>
      <c r="S11" s="265">
        <f t="shared" ref="S11:S51" ca="1" si="8">IF($H11="1331",$F11,0)</f>
        <v>0</v>
      </c>
      <c r="T11" s="265">
        <f t="shared" ref="T11:T51" ca="1" si="9">IF($G11="1388",$F11,0)</f>
        <v>0</v>
      </c>
      <c r="U11" s="265">
        <f t="shared" ref="U11:U51" ca="1" si="10">IF($H11="1388",$F11,0)</f>
        <v>0</v>
      </c>
      <c r="V11" s="265">
        <f t="shared" ref="V11:V51" ca="1" si="11">IF($G11="141",$F11,0)</f>
        <v>0</v>
      </c>
      <c r="W11" s="265">
        <f t="shared" ref="W11:W51" ca="1" si="12">IF($H11="141",$F11,0)</f>
        <v>0</v>
      </c>
      <c r="X11" s="265">
        <f t="shared" ref="X11:X51" ca="1" si="13">IF($G11="1521",$F11,0)</f>
        <v>0</v>
      </c>
      <c r="Y11" s="265">
        <f t="shared" ref="Y11:Y51" ca="1" si="14">IF($H11="1521",$F11,0)</f>
        <v>0</v>
      </c>
      <c r="Z11" s="265">
        <f t="shared" ref="Z11:Z51" ca="1" si="15">IF($G11="1522",$F11,0)</f>
        <v>0</v>
      </c>
      <c r="AA11" s="265">
        <f t="shared" ref="AA11:AA51" ca="1" si="16">IF($H11="1522",$F11,0)</f>
        <v>0</v>
      </c>
      <c r="AB11" s="265">
        <f ca="1">IF($G11="153",$F11,0)</f>
        <v>0</v>
      </c>
      <c r="AC11" s="265">
        <f ca="1">IF($H11="153",$F11,0)</f>
        <v>0</v>
      </c>
      <c r="AD11" s="265">
        <f t="shared" ref="AD11:AD51" ca="1" si="17">IF($G11="154",$F11,0)</f>
        <v>0</v>
      </c>
      <c r="AE11" s="265">
        <f t="shared" ref="AE11:AE51" ca="1" si="18">IF($H11="154",$F11,0)</f>
        <v>0</v>
      </c>
      <c r="AF11" s="265">
        <f t="shared" ref="AF11:AF51" ca="1" si="19">IF($G11="155",$F11,0)</f>
        <v>0</v>
      </c>
      <c r="AG11" s="265">
        <f t="shared" ref="AG11:AG51" ca="1" si="20">IF($H11="155",$F11,0)</f>
        <v>0</v>
      </c>
      <c r="AH11" s="265">
        <f ca="1">IF($G11="2111",$F11,0)</f>
        <v>0</v>
      </c>
      <c r="AI11" s="265">
        <f ca="1">IF($H11="2111",$F11,0)</f>
        <v>0</v>
      </c>
      <c r="AJ11" s="265">
        <f ca="1">IF($G11="2112",$F11,0)</f>
        <v>0</v>
      </c>
      <c r="AK11" s="265">
        <f ca="1">IF($H11="2112",$F11,0)</f>
        <v>0</v>
      </c>
      <c r="AL11" s="265">
        <f ca="1">IF($G11="2113",$F11,0)</f>
        <v>0</v>
      </c>
      <c r="AM11" s="265">
        <f ca="1">IF($H11="2113",$F11,0)</f>
        <v>0</v>
      </c>
      <c r="AN11" s="265">
        <f ca="1">IF($G11="2131",$F11,0)</f>
        <v>0</v>
      </c>
      <c r="AO11" s="265">
        <f ca="1">IF($H11="2131",$F11,0)</f>
        <v>0</v>
      </c>
      <c r="AP11" s="265">
        <f t="shared" ref="AP11:AP51" ca="1" si="21">IF($G11="2141",$F11,0)</f>
        <v>0</v>
      </c>
      <c r="AQ11" s="265">
        <f t="shared" ref="AQ11:AQ51" ca="1" si="22">IF($H11="2141",$F11,0)</f>
        <v>0</v>
      </c>
      <c r="AR11" s="265">
        <f t="shared" ref="AR11:AR51" ca="1" si="23">IF($G11="2143",$F11,0)</f>
        <v>0</v>
      </c>
      <c r="AS11" s="265">
        <f t="shared" ref="AS11:AS51" ca="1" si="24">IF($H11="2143",$F11,0)</f>
        <v>0</v>
      </c>
      <c r="AT11" s="265">
        <f ca="1">IF($G11="2412",$F11,0)</f>
        <v>0</v>
      </c>
      <c r="AU11" s="265">
        <f ca="1">IF($H11="2412",$F11,0)</f>
        <v>0</v>
      </c>
      <c r="AV11" s="265">
        <f t="shared" ref="AV11:AV51" ca="1" si="25">IF($G11="331",$F11,0)</f>
        <v>0</v>
      </c>
      <c r="AW11" s="265">
        <f t="shared" ref="AW11:AW51" ca="1" si="26">IF($H11="331",$F11,0)</f>
        <v>0</v>
      </c>
      <c r="AX11" s="265">
        <f t="shared" ref="AX11:AX51" ca="1" si="27">IF($G11="33311",$F11,0)</f>
        <v>0</v>
      </c>
      <c r="AY11" s="265">
        <f t="shared" ref="AY11:AY51" ca="1" si="28">IF($H11="33311",$F11,0)</f>
        <v>0</v>
      </c>
      <c r="AZ11" s="265">
        <f t="shared" ref="AZ11:AZ51" ca="1" si="29">IF($G11="33312",$F11,0)</f>
        <v>0</v>
      </c>
      <c r="BA11" s="265">
        <f t="shared" ref="BA11:BA51" ca="1" si="30">IF($H11="33312",$F11,0)</f>
        <v>0</v>
      </c>
      <c r="BB11" s="265">
        <f t="shared" ref="BB11:BB51" ca="1" si="31">IF($G11="3333",$F11,0)</f>
        <v>0</v>
      </c>
      <c r="BC11" s="265">
        <f t="shared" ref="BC11:BC51" ca="1" si="32">IF($H11="3333",$F11,0)</f>
        <v>0</v>
      </c>
      <c r="BD11" s="265">
        <f t="shared" ref="BD11:BD51" ca="1" si="33">IF($G11="3334",$F11,0)</f>
        <v>0</v>
      </c>
      <c r="BE11" s="265">
        <f t="shared" ref="BE11:BE51" ca="1" si="34">IF($H11="3334",$F11,0)</f>
        <v>0</v>
      </c>
      <c r="BF11" s="265">
        <f t="shared" ref="BF11:BF51" ca="1" si="35">IF($G11="3335",$F11,0)</f>
        <v>0</v>
      </c>
      <c r="BG11" s="265">
        <f t="shared" ref="BG11:BG51" ca="1" si="36">IF($H11="3335",$F11,0)</f>
        <v>0</v>
      </c>
      <c r="BH11" s="265">
        <f ca="1">IF($G11="33382",$F11,0)</f>
        <v>0</v>
      </c>
      <c r="BI11" s="265">
        <f ca="1">IF($H11="33382",$F11,0)</f>
        <v>0</v>
      </c>
      <c r="BJ11" s="265">
        <f t="shared" ref="BJ11:BJ51" ca="1" si="37">IF($G11="3341",$F11,0)</f>
        <v>0</v>
      </c>
      <c r="BK11" s="265">
        <f t="shared" ref="BK11:BK51" ca="1" si="38">IF($H11="3341",$F11,0)</f>
        <v>0</v>
      </c>
      <c r="BL11" s="265">
        <f t="shared" ref="BL11:BL51" ca="1" si="39">IF($G11="3383",$F11,0)</f>
        <v>0</v>
      </c>
      <c r="BM11" s="265">
        <f t="shared" ref="BM11:BM51" ca="1" si="40">IF($H11="3383",$F11,0)</f>
        <v>0</v>
      </c>
      <c r="BN11" s="265">
        <f t="shared" ref="BN11:BN51" ca="1" si="41">IF($G11="3384",$F11,0)</f>
        <v>0</v>
      </c>
      <c r="BO11" s="265">
        <f t="shared" ref="BO11:BO51" ca="1" si="42">IF($H11="3384",$F11,0)</f>
        <v>0</v>
      </c>
      <c r="BP11" s="265">
        <f ca="1">IF($G11="3386",$F11,0)</f>
        <v>0</v>
      </c>
      <c r="BQ11" s="265">
        <f ca="1">IF($H11="3386",$F11,0)</f>
        <v>0</v>
      </c>
      <c r="BR11" s="265">
        <f t="shared" ref="BR11:BR51" ca="1" si="43">IF($G11="3388",$F11,0)</f>
        <v>0</v>
      </c>
      <c r="BS11" s="265">
        <f t="shared" ref="BS11:BS51" ca="1" si="44">IF($H11="3388",$F11,0)</f>
        <v>0</v>
      </c>
      <c r="BT11" s="265">
        <f ca="1">IF($G11="3411",$F11,0)</f>
        <v>0</v>
      </c>
      <c r="BU11" s="265">
        <f ca="1">IF($H11="3411",$F11,0)</f>
        <v>0</v>
      </c>
      <c r="BV11" s="265">
        <f ca="1">IF($G11="3412",$F11,0)</f>
        <v>0</v>
      </c>
      <c r="BW11" s="265">
        <f ca="1">IF($H11="3412",$F11,0)</f>
        <v>0</v>
      </c>
      <c r="BX11" s="265">
        <f t="shared" ref="BX11:BX51" ca="1" si="45">IF($G11="4111",$F11,0)</f>
        <v>0</v>
      </c>
      <c r="BY11" s="265">
        <f t="shared" ref="BY11:BY51" ca="1" si="46">IF($H11="4111",$F11,0)</f>
        <v>0</v>
      </c>
      <c r="BZ11" s="265">
        <f t="shared" ref="BZ11:BZ51" ca="1" si="47">IF($G11="4211",$F11,0)</f>
        <v>0</v>
      </c>
      <c r="CA11" s="265">
        <f t="shared" ref="CA11:CA51" ca="1" si="48">IF($H11="4211",$F11,0)</f>
        <v>0</v>
      </c>
      <c r="CB11" s="265">
        <f t="shared" ref="CB11:CB51" ca="1" si="49">IF($G11="4212",$F11,0)</f>
        <v>0</v>
      </c>
      <c r="CC11" s="265">
        <f t="shared" ref="CC11:CC51" ca="1" si="50">IF($H11="4212",$F11,0)</f>
        <v>0</v>
      </c>
      <c r="CD11" s="265">
        <f ca="1">IF($G11="5112N",$F11,0)</f>
        <v>0</v>
      </c>
      <c r="CE11" s="265">
        <f ca="1">IF($H11="5112N",$F11,0)</f>
        <v>0</v>
      </c>
      <c r="CF11" s="265">
        <f ca="1">IF($G11="5112X",$F11,0)</f>
        <v>0</v>
      </c>
      <c r="CG11" s="265">
        <f ca="1">IF($H11="5112X",$F11,0)</f>
        <v>0</v>
      </c>
      <c r="CH11" s="265">
        <f t="shared" ref="CH11:CH51" ca="1" si="51">IF($G11="515",$F11,0)</f>
        <v>0</v>
      </c>
      <c r="CI11" s="265">
        <f t="shared" ref="CI11:CI51" ca="1" si="52">IF($H11="515",$F11,0)</f>
        <v>0</v>
      </c>
      <c r="CJ11" s="265">
        <f ca="1">IF($G11="5213",$F11,0)</f>
        <v>0</v>
      </c>
      <c r="CK11" s="265">
        <f ca="1">IF($H11="5213",$F11,0)</f>
        <v>0</v>
      </c>
      <c r="CL11" s="265">
        <f t="shared" ref="CL11:CL51" ca="1" si="53">IF($G11="632",$F11,0)</f>
        <v>0</v>
      </c>
      <c r="CM11" s="265">
        <f t="shared" ref="CM11:CM51" ca="1" si="54">IF($H11="632",$F11,0)</f>
        <v>0</v>
      </c>
      <c r="CN11" s="265">
        <f t="shared" ref="CN11:CN51" ca="1" si="55">IF($G11="635",$F11,0)</f>
        <v>0</v>
      </c>
      <c r="CO11" s="265">
        <f t="shared" ref="CO11:CO51" ca="1" si="56">IF($H11="635",$F11,0)</f>
        <v>0</v>
      </c>
      <c r="CP11" s="265">
        <f ca="1">IF($G11="641",$F11,0)</f>
        <v>0</v>
      </c>
      <c r="CQ11" s="265">
        <f ca="1">IF($H11="641",$F11,0)</f>
        <v>0</v>
      </c>
      <c r="CR11" s="265">
        <f ca="1">IF($G11="642",$F11,0)</f>
        <v>0</v>
      </c>
      <c r="CS11" s="265">
        <f ca="1">IF($H11="642",$F11,0)</f>
        <v>0</v>
      </c>
      <c r="CT11" s="265">
        <f t="shared" ref="CT11:CT51" ca="1" si="57">IF($G11="711",$F11,0)</f>
        <v>0</v>
      </c>
      <c r="CU11" s="265">
        <f t="shared" ref="CU11:CU51" ca="1" si="58">IF($H11="711",$F11,0)</f>
        <v>0</v>
      </c>
      <c r="CV11" s="265">
        <f t="shared" ref="CV11:CV51" ca="1" si="59">IF($G11="811",$F11,0)</f>
        <v>0</v>
      </c>
      <c r="CW11" s="265">
        <f t="shared" ref="CW11:CW51" ca="1" si="60">IF($H11="811",$F11,0)</f>
        <v>0</v>
      </c>
      <c r="CX11" s="265">
        <f ca="1">IF($G11="821",$F11,0)</f>
        <v>0</v>
      </c>
      <c r="CY11" s="265">
        <f ca="1">IF($H11="821",$F11,0)</f>
        <v>0</v>
      </c>
      <c r="CZ11" s="265">
        <f ca="1">IF($G11="911",$F11,0)</f>
        <v>0</v>
      </c>
      <c r="DA11" s="265">
        <f ca="1">IF($H11="911",$F11,0)</f>
        <v>0</v>
      </c>
    </row>
    <row r="12" spans="1:105" s="262" customFormat="1" ht="15" customHeight="1">
      <c r="A12" s="63">
        <f t="array" aca="1" ref="A12" ca="1">IF(C12&lt;&gt;0,SUM(($C$11:C12&lt;&gt;0)*1),"")</f>
        <v>2</v>
      </c>
      <c r="B12" s="263" t="str">
        <f ca="1">IF(ROWS($1:2)&gt;COUNT(Dong6),"",OFFSET(TH!C$1,SMALL(Dong6,ROWS($1:2)),))</f>
        <v/>
      </c>
      <c r="C12" s="263" t="str">
        <f ca="1">IF(ROWS($1:2)&gt;COUNT(Dong6),"",OFFSET(TH!D$1,SMALL(Dong6,ROWS($1:2)),))</f>
        <v/>
      </c>
      <c r="D12" s="263" t="str">
        <f ca="1">IF(ROWS($1:2)&gt;COUNT(Dong6),"",OFFSET(TH!E$1,SMALL(Dong6,ROWS($1:2)),))</f>
        <v/>
      </c>
      <c r="E12" s="313" t="str">
        <f ca="1">IF(ROWS($1:2)&gt;COUNT(Dong6),"",OFFSET(TH!F$1,SMALL(Dong6,ROWS($1:2)),))</f>
        <v/>
      </c>
      <c r="F12" s="314" t="str">
        <f ca="1">IF(ROWS($1:2)&gt;COUNT(Dong6),"",OFFSET(TH!M$1,SMALL(Dong6,ROWS($1:2)),))</f>
        <v/>
      </c>
      <c r="G12" s="315" t="str">
        <f ca="1">IF(ROWS($1:2)&gt;COUNT(Dong6),"",OFFSET(TH!N$1,SMALL(Dong6,ROWS($1:2)),))</f>
        <v/>
      </c>
      <c r="H12" s="315" t="str">
        <f ca="1">IF(ROWS($1:2)&gt;COUNT(Dong6),"",OFFSET(TH!O$1,SMALL(Dong6,ROWS($1:2)),))</f>
        <v/>
      </c>
      <c r="I12" s="63">
        <f t="shared" ca="1" si="0"/>
        <v>2</v>
      </c>
      <c r="J12" s="265">
        <f t="shared" ref="J12:J51" ca="1" si="61">IF($G12="1111",$F12,0)</f>
        <v>0</v>
      </c>
      <c r="K12" s="265">
        <f t="shared" ref="K12:K51" ca="1" si="62">IF($H12="1111",$F12,0)</f>
        <v>0</v>
      </c>
      <c r="L12" s="265">
        <f t="shared" ca="1" si="1"/>
        <v>0</v>
      </c>
      <c r="M12" s="265">
        <f t="shared" ca="1" si="2"/>
        <v>0</v>
      </c>
      <c r="N12" s="265">
        <f t="shared" ca="1" si="3"/>
        <v>0</v>
      </c>
      <c r="O12" s="265">
        <f t="shared" ca="1" si="4"/>
        <v>0</v>
      </c>
      <c r="P12" s="265">
        <f t="shared" ca="1" si="5"/>
        <v>0</v>
      </c>
      <c r="Q12" s="265">
        <f t="shared" ca="1" si="6"/>
        <v>0</v>
      </c>
      <c r="R12" s="265">
        <f t="shared" ca="1" si="7"/>
        <v>0</v>
      </c>
      <c r="S12" s="265">
        <f t="shared" ca="1" si="8"/>
        <v>0</v>
      </c>
      <c r="T12" s="265">
        <f t="shared" ca="1" si="9"/>
        <v>0</v>
      </c>
      <c r="U12" s="265">
        <f t="shared" ca="1" si="10"/>
        <v>0</v>
      </c>
      <c r="V12" s="265">
        <f t="shared" ca="1" si="11"/>
        <v>0</v>
      </c>
      <c r="W12" s="265">
        <f t="shared" ca="1" si="12"/>
        <v>0</v>
      </c>
      <c r="X12" s="265">
        <f t="shared" ca="1" si="13"/>
        <v>0</v>
      </c>
      <c r="Y12" s="265">
        <f t="shared" ca="1" si="14"/>
        <v>0</v>
      </c>
      <c r="Z12" s="265">
        <f t="shared" ca="1" si="15"/>
        <v>0</v>
      </c>
      <c r="AA12" s="265">
        <f t="shared" ca="1" si="16"/>
        <v>0</v>
      </c>
      <c r="AB12" s="265">
        <f t="shared" ref="AB12:AB51" ca="1" si="63">IF($G12="153",$F12,0)</f>
        <v>0</v>
      </c>
      <c r="AC12" s="265">
        <f t="shared" ref="AC12:AC51" ca="1" si="64">IF($H12="153",$F12,0)</f>
        <v>0</v>
      </c>
      <c r="AD12" s="265">
        <f t="shared" ca="1" si="17"/>
        <v>0</v>
      </c>
      <c r="AE12" s="265">
        <f t="shared" ca="1" si="18"/>
        <v>0</v>
      </c>
      <c r="AF12" s="265">
        <f t="shared" ca="1" si="19"/>
        <v>0</v>
      </c>
      <c r="AG12" s="265">
        <f t="shared" ca="1" si="20"/>
        <v>0</v>
      </c>
      <c r="AH12" s="265">
        <f t="shared" ref="AH12:AH51" ca="1" si="65">IF($G12="2111",$F12,0)</f>
        <v>0</v>
      </c>
      <c r="AI12" s="265">
        <f t="shared" ref="AI12:AI51" ca="1" si="66">IF($H12="2111",$F12,0)</f>
        <v>0</v>
      </c>
      <c r="AJ12" s="265">
        <f t="shared" ref="AJ12:AJ51" ca="1" si="67">IF($G12="2112",$F12,0)</f>
        <v>0</v>
      </c>
      <c r="AK12" s="265">
        <f t="shared" ref="AK12:AK51" ca="1" si="68">IF($H12="2112",$F12,0)</f>
        <v>0</v>
      </c>
      <c r="AL12" s="265">
        <f t="shared" ref="AL12:AL51" ca="1" si="69">IF($G12="2113",$F12,0)</f>
        <v>0</v>
      </c>
      <c r="AM12" s="265">
        <f t="shared" ref="AM12:AM51" ca="1" si="70">IF($H12="2113",$F12,0)</f>
        <v>0</v>
      </c>
      <c r="AN12" s="265">
        <f t="shared" ref="AN12:AN51" ca="1" si="71">IF($G12="2131",$F12,0)</f>
        <v>0</v>
      </c>
      <c r="AO12" s="265">
        <f t="shared" ref="AO12:AO51" ca="1" si="72">IF($H12="2131",$F12,0)</f>
        <v>0</v>
      </c>
      <c r="AP12" s="265">
        <f t="shared" ca="1" si="21"/>
        <v>0</v>
      </c>
      <c r="AQ12" s="265">
        <f t="shared" ca="1" si="22"/>
        <v>0</v>
      </c>
      <c r="AR12" s="265">
        <f t="shared" ca="1" si="23"/>
        <v>0</v>
      </c>
      <c r="AS12" s="265">
        <f t="shared" ca="1" si="24"/>
        <v>0</v>
      </c>
      <c r="AT12" s="265">
        <f t="shared" ref="AT12:AT38" ca="1" si="73">IF($G12="2412",$F12,0)</f>
        <v>0</v>
      </c>
      <c r="AU12" s="265">
        <f t="shared" ref="AU12:AU38" ca="1" si="74">IF($H12="2412",$F12,0)</f>
        <v>0</v>
      </c>
      <c r="AV12" s="265">
        <f t="shared" ca="1" si="25"/>
        <v>0</v>
      </c>
      <c r="AW12" s="265">
        <f t="shared" ca="1" si="26"/>
        <v>0</v>
      </c>
      <c r="AX12" s="265">
        <f t="shared" ca="1" si="27"/>
        <v>0</v>
      </c>
      <c r="AY12" s="265">
        <f t="shared" ca="1" si="28"/>
        <v>0</v>
      </c>
      <c r="AZ12" s="265">
        <f t="shared" ca="1" si="29"/>
        <v>0</v>
      </c>
      <c r="BA12" s="265">
        <f t="shared" ca="1" si="30"/>
        <v>0</v>
      </c>
      <c r="BB12" s="265">
        <f t="shared" ca="1" si="31"/>
        <v>0</v>
      </c>
      <c r="BC12" s="265">
        <f t="shared" ca="1" si="32"/>
        <v>0</v>
      </c>
      <c r="BD12" s="265">
        <f t="shared" ca="1" si="33"/>
        <v>0</v>
      </c>
      <c r="BE12" s="265">
        <f t="shared" ca="1" si="34"/>
        <v>0</v>
      </c>
      <c r="BF12" s="265">
        <f t="shared" ca="1" si="35"/>
        <v>0</v>
      </c>
      <c r="BG12" s="265">
        <f t="shared" ca="1" si="36"/>
        <v>0</v>
      </c>
      <c r="BH12" s="265">
        <f t="shared" ref="BH12:BH51" ca="1" si="75">IF($G12="33382",$F12,0)</f>
        <v>0</v>
      </c>
      <c r="BI12" s="265">
        <f t="shared" ref="BI12:BI51" ca="1" si="76">IF($H12="33382",$F12,0)</f>
        <v>0</v>
      </c>
      <c r="BJ12" s="265">
        <f t="shared" ca="1" si="37"/>
        <v>0</v>
      </c>
      <c r="BK12" s="265">
        <f t="shared" ca="1" si="38"/>
        <v>0</v>
      </c>
      <c r="BL12" s="265">
        <f t="shared" ca="1" si="39"/>
        <v>0</v>
      </c>
      <c r="BM12" s="265">
        <f t="shared" ca="1" si="40"/>
        <v>0</v>
      </c>
      <c r="BN12" s="265">
        <f t="shared" ca="1" si="41"/>
        <v>0</v>
      </c>
      <c r="BO12" s="265">
        <f t="shared" ca="1" si="42"/>
        <v>0</v>
      </c>
      <c r="BP12" s="265">
        <f t="shared" ref="BP12:BP51" ca="1" si="77">IF($G12="3386",$F12,0)</f>
        <v>0</v>
      </c>
      <c r="BQ12" s="265">
        <f t="shared" ref="BQ12:BQ51" ca="1" si="78">IF($H12="3386",$F12,0)</f>
        <v>0</v>
      </c>
      <c r="BR12" s="265">
        <f t="shared" ca="1" si="43"/>
        <v>0</v>
      </c>
      <c r="BS12" s="265">
        <f t="shared" ca="1" si="44"/>
        <v>0</v>
      </c>
      <c r="BT12" s="265">
        <f t="shared" ref="BT12:BT51" ca="1" si="79">IF($G12="3411",$F12,0)</f>
        <v>0</v>
      </c>
      <c r="BU12" s="265">
        <f t="shared" ref="BU12:BU51" ca="1" si="80">IF($H12="3411",$F12,0)</f>
        <v>0</v>
      </c>
      <c r="BV12" s="265">
        <f t="shared" ref="BV12:BV38" ca="1" si="81">IF($G12="3412",$F12,0)</f>
        <v>0</v>
      </c>
      <c r="BW12" s="265">
        <f t="shared" ref="BW12:BW38" ca="1" si="82">IF($H12="3412",$F12,0)</f>
        <v>0</v>
      </c>
      <c r="BX12" s="265">
        <f t="shared" ca="1" si="45"/>
        <v>0</v>
      </c>
      <c r="BY12" s="265">
        <f t="shared" ca="1" si="46"/>
        <v>0</v>
      </c>
      <c r="BZ12" s="265">
        <f t="shared" ca="1" si="47"/>
        <v>0</v>
      </c>
      <c r="CA12" s="265">
        <f t="shared" ca="1" si="48"/>
        <v>0</v>
      </c>
      <c r="CB12" s="265">
        <f t="shared" ca="1" si="49"/>
        <v>0</v>
      </c>
      <c r="CC12" s="265">
        <f t="shared" ca="1" si="50"/>
        <v>0</v>
      </c>
      <c r="CD12" s="265">
        <f t="shared" ref="CD12:CD51" ca="1" si="83">IF($G12="5112N",$F12,0)</f>
        <v>0</v>
      </c>
      <c r="CE12" s="265">
        <f t="shared" ref="CE12:CE51" ca="1" si="84">IF($H12="5112N",$F12,0)</f>
        <v>0</v>
      </c>
      <c r="CF12" s="265">
        <f t="shared" ref="CF12:CF51" ca="1" si="85">IF($G12="5112X",$F12,0)</f>
        <v>0</v>
      </c>
      <c r="CG12" s="265">
        <f t="shared" ref="CG12:CG51" ca="1" si="86">IF($H12="5112X",$F12,0)</f>
        <v>0</v>
      </c>
      <c r="CH12" s="265">
        <f t="shared" ca="1" si="51"/>
        <v>0</v>
      </c>
      <c r="CI12" s="265">
        <f t="shared" ca="1" si="52"/>
        <v>0</v>
      </c>
      <c r="CJ12" s="265">
        <f t="shared" ref="CJ12:CJ51" ca="1" si="87">IF($G12="5213",$F12,0)</f>
        <v>0</v>
      </c>
      <c r="CK12" s="265">
        <f t="shared" ref="CK12:CK51" ca="1" si="88">IF($H12="5213",$F12,0)</f>
        <v>0</v>
      </c>
      <c r="CL12" s="265">
        <f t="shared" ca="1" si="53"/>
        <v>0</v>
      </c>
      <c r="CM12" s="265">
        <f t="shared" ca="1" si="54"/>
        <v>0</v>
      </c>
      <c r="CN12" s="265">
        <f t="shared" ca="1" si="55"/>
        <v>0</v>
      </c>
      <c r="CO12" s="265">
        <f t="shared" ca="1" si="56"/>
        <v>0</v>
      </c>
      <c r="CP12" s="265">
        <f t="shared" ref="CP12:CP51" ca="1" si="89">IF($G12="641",$F12,0)</f>
        <v>0</v>
      </c>
      <c r="CQ12" s="265">
        <f t="shared" ref="CQ12:CQ51" ca="1" si="90">IF($H12="641",$F12,0)</f>
        <v>0</v>
      </c>
      <c r="CR12" s="265">
        <f t="shared" ref="CR12:CR51" ca="1" si="91">IF($G12="642",$F12,0)</f>
        <v>0</v>
      </c>
      <c r="CS12" s="265">
        <f t="shared" ref="CS12:CS51" ca="1" si="92">IF($H12="642",$F12,0)</f>
        <v>0</v>
      </c>
      <c r="CT12" s="265">
        <f t="shared" ca="1" si="57"/>
        <v>0</v>
      </c>
      <c r="CU12" s="265">
        <f t="shared" ca="1" si="58"/>
        <v>0</v>
      </c>
      <c r="CV12" s="265">
        <f t="shared" ca="1" si="59"/>
        <v>0</v>
      </c>
      <c r="CW12" s="265">
        <f t="shared" ca="1" si="60"/>
        <v>0</v>
      </c>
      <c r="CX12" s="265">
        <f t="shared" ref="CX12:CX51" ca="1" si="93">IF($G12="821",$F12,0)</f>
        <v>0</v>
      </c>
      <c r="CY12" s="265">
        <f t="shared" ref="CY12:CY51" ca="1" si="94">IF($H12="821",$F12,0)</f>
        <v>0</v>
      </c>
      <c r="CZ12" s="265">
        <f t="shared" ref="CZ12:CZ51" ca="1" si="95">IF($G12="911",$F12,0)</f>
        <v>0</v>
      </c>
      <c r="DA12" s="265">
        <f t="shared" ref="DA12:DA51" ca="1" si="96">IF($H12="911",$F12,0)</f>
        <v>0</v>
      </c>
    </row>
    <row r="13" spans="1:105" s="262" customFormat="1" ht="15" customHeight="1">
      <c r="A13" s="63">
        <f t="array" aca="1" ref="A13" ca="1">IF(C13&lt;&gt;0,SUM(($C$11:C13&lt;&gt;0)*1),"")</f>
        <v>3</v>
      </c>
      <c r="B13" s="263" t="str">
        <f ca="1">IF(ROWS($1:3)&gt;COUNT(Dong6),"",OFFSET(TH!C$1,SMALL(Dong6,ROWS($1:3)),))</f>
        <v/>
      </c>
      <c r="C13" s="263" t="str">
        <f ca="1">IF(ROWS($1:3)&gt;COUNT(Dong6),"",OFFSET(TH!D$1,SMALL(Dong6,ROWS($1:3)),))</f>
        <v/>
      </c>
      <c r="D13" s="263" t="str">
        <f ca="1">IF(ROWS($1:3)&gt;COUNT(Dong6),"",OFFSET(TH!E$1,SMALL(Dong6,ROWS($1:3)),))</f>
        <v/>
      </c>
      <c r="E13" s="313" t="str">
        <f ca="1">IF(ROWS($1:3)&gt;COUNT(Dong6),"",OFFSET(TH!F$1,SMALL(Dong6,ROWS($1:3)),))</f>
        <v/>
      </c>
      <c r="F13" s="314" t="str">
        <f ca="1">IF(ROWS($1:3)&gt;COUNT(Dong6),"",OFFSET(TH!M$1,SMALL(Dong6,ROWS($1:3)),))</f>
        <v/>
      </c>
      <c r="G13" s="315" t="str">
        <f ca="1">IF(ROWS($1:3)&gt;COUNT(Dong6),"",OFFSET(TH!N$1,SMALL(Dong6,ROWS($1:3)),))</f>
        <v/>
      </c>
      <c r="H13" s="315" t="str">
        <f ca="1">IF(ROWS($1:3)&gt;COUNT(Dong6),"",OFFSET(TH!O$1,SMALL(Dong6,ROWS($1:3)),))</f>
        <v/>
      </c>
      <c r="I13" s="63">
        <f t="shared" ca="1" si="0"/>
        <v>3</v>
      </c>
      <c r="J13" s="265">
        <f t="shared" ca="1" si="61"/>
        <v>0</v>
      </c>
      <c r="K13" s="265">
        <f t="shared" ca="1" si="62"/>
        <v>0</v>
      </c>
      <c r="L13" s="265">
        <f t="shared" ca="1" si="1"/>
        <v>0</v>
      </c>
      <c r="M13" s="265">
        <f t="shared" ca="1" si="2"/>
        <v>0</v>
      </c>
      <c r="N13" s="265">
        <f t="shared" ca="1" si="3"/>
        <v>0</v>
      </c>
      <c r="O13" s="265">
        <f t="shared" ca="1" si="4"/>
        <v>0</v>
      </c>
      <c r="P13" s="265">
        <f t="shared" ca="1" si="5"/>
        <v>0</v>
      </c>
      <c r="Q13" s="265">
        <f t="shared" ca="1" si="6"/>
        <v>0</v>
      </c>
      <c r="R13" s="265">
        <f t="shared" ca="1" si="7"/>
        <v>0</v>
      </c>
      <c r="S13" s="265">
        <f t="shared" ca="1" si="8"/>
        <v>0</v>
      </c>
      <c r="T13" s="265">
        <f t="shared" ca="1" si="9"/>
        <v>0</v>
      </c>
      <c r="U13" s="265">
        <f t="shared" ca="1" si="10"/>
        <v>0</v>
      </c>
      <c r="V13" s="265">
        <f t="shared" ca="1" si="11"/>
        <v>0</v>
      </c>
      <c r="W13" s="265">
        <f t="shared" ca="1" si="12"/>
        <v>0</v>
      </c>
      <c r="X13" s="265">
        <f t="shared" ca="1" si="13"/>
        <v>0</v>
      </c>
      <c r="Y13" s="265">
        <f t="shared" ca="1" si="14"/>
        <v>0</v>
      </c>
      <c r="Z13" s="265">
        <f t="shared" ca="1" si="15"/>
        <v>0</v>
      </c>
      <c r="AA13" s="265">
        <f t="shared" ca="1" si="16"/>
        <v>0</v>
      </c>
      <c r="AB13" s="265">
        <f t="shared" ca="1" si="63"/>
        <v>0</v>
      </c>
      <c r="AC13" s="265">
        <f t="shared" ca="1" si="64"/>
        <v>0</v>
      </c>
      <c r="AD13" s="265">
        <f t="shared" ca="1" si="17"/>
        <v>0</v>
      </c>
      <c r="AE13" s="265">
        <f t="shared" ca="1" si="18"/>
        <v>0</v>
      </c>
      <c r="AF13" s="265">
        <f t="shared" ca="1" si="19"/>
        <v>0</v>
      </c>
      <c r="AG13" s="265">
        <f t="shared" ca="1" si="20"/>
        <v>0</v>
      </c>
      <c r="AH13" s="265">
        <f t="shared" ca="1" si="65"/>
        <v>0</v>
      </c>
      <c r="AI13" s="265">
        <f t="shared" ca="1" si="66"/>
        <v>0</v>
      </c>
      <c r="AJ13" s="265">
        <f t="shared" ca="1" si="67"/>
        <v>0</v>
      </c>
      <c r="AK13" s="265">
        <f t="shared" ca="1" si="68"/>
        <v>0</v>
      </c>
      <c r="AL13" s="265">
        <f t="shared" ca="1" si="69"/>
        <v>0</v>
      </c>
      <c r="AM13" s="265">
        <f t="shared" ca="1" si="70"/>
        <v>0</v>
      </c>
      <c r="AN13" s="265">
        <f t="shared" ca="1" si="71"/>
        <v>0</v>
      </c>
      <c r="AO13" s="265">
        <f t="shared" ca="1" si="72"/>
        <v>0</v>
      </c>
      <c r="AP13" s="265">
        <f t="shared" ca="1" si="21"/>
        <v>0</v>
      </c>
      <c r="AQ13" s="265">
        <f t="shared" ca="1" si="22"/>
        <v>0</v>
      </c>
      <c r="AR13" s="265">
        <f t="shared" ca="1" si="23"/>
        <v>0</v>
      </c>
      <c r="AS13" s="265">
        <f t="shared" ca="1" si="24"/>
        <v>0</v>
      </c>
      <c r="AT13" s="265">
        <f t="shared" ca="1" si="73"/>
        <v>0</v>
      </c>
      <c r="AU13" s="265">
        <f t="shared" ca="1" si="74"/>
        <v>0</v>
      </c>
      <c r="AV13" s="265">
        <f t="shared" ca="1" si="25"/>
        <v>0</v>
      </c>
      <c r="AW13" s="265">
        <f t="shared" ca="1" si="26"/>
        <v>0</v>
      </c>
      <c r="AX13" s="265">
        <f t="shared" ca="1" si="27"/>
        <v>0</v>
      </c>
      <c r="AY13" s="265">
        <f t="shared" ca="1" si="28"/>
        <v>0</v>
      </c>
      <c r="AZ13" s="265">
        <f t="shared" ca="1" si="29"/>
        <v>0</v>
      </c>
      <c r="BA13" s="265">
        <f t="shared" ca="1" si="30"/>
        <v>0</v>
      </c>
      <c r="BB13" s="265">
        <f t="shared" ca="1" si="31"/>
        <v>0</v>
      </c>
      <c r="BC13" s="265">
        <f t="shared" ca="1" si="32"/>
        <v>0</v>
      </c>
      <c r="BD13" s="265">
        <f t="shared" ca="1" si="33"/>
        <v>0</v>
      </c>
      <c r="BE13" s="265">
        <f t="shared" ca="1" si="34"/>
        <v>0</v>
      </c>
      <c r="BF13" s="265">
        <f t="shared" ca="1" si="35"/>
        <v>0</v>
      </c>
      <c r="BG13" s="265">
        <f t="shared" ca="1" si="36"/>
        <v>0</v>
      </c>
      <c r="BH13" s="265">
        <f t="shared" ca="1" si="75"/>
        <v>0</v>
      </c>
      <c r="BI13" s="265">
        <f t="shared" ca="1" si="76"/>
        <v>0</v>
      </c>
      <c r="BJ13" s="265">
        <f t="shared" ca="1" si="37"/>
        <v>0</v>
      </c>
      <c r="BK13" s="265">
        <f t="shared" ca="1" si="38"/>
        <v>0</v>
      </c>
      <c r="BL13" s="265">
        <f t="shared" ca="1" si="39"/>
        <v>0</v>
      </c>
      <c r="BM13" s="265">
        <f t="shared" ca="1" si="40"/>
        <v>0</v>
      </c>
      <c r="BN13" s="265">
        <f t="shared" ca="1" si="41"/>
        <v>0</v>
      </c>
      <c r="BO13" s="265">
        <f t="shared" ca="1" si="42"/>
        <v>0</v>
      </c>
      <c r="BP13" s="265">
        <f t="shared" ca="1" si="77"/>
        <v>0</v>
      </c>
      <c r="BQ13" s="265">
        <f t="shared" ca="1" si="78"/>
        <v>0</v>
      </c>
      <c r="BR13" s="265">
        <f t="shared" ca="1" si="43"/>
        <v>0</v>
      </c>
      <c r="BS13" s="265">
        <f t="shared" ca="1" si="44"/>
        <v>0</v>
      </c>
      <c r="BT13" s="265">
        <f t="shared" ca="1" si="79"/>
        <v>0</v>
      </c>
      <c r="BU13" s="265">
        <f t="shared" ca="1" si="80"/>
        <v>0</v>
      </c>
      <c r="BV13" s="265">
        <f t="shared" ca="1" si="81"/>
        <v>0</v>
      </c>
      <c r="BW13" s="265">
        <f t="shared" ca="1" si="82"/>
        <v>0</v>
      </c>
      <c r="BX13" s="265">
        <f t="shared" ca="1" si="45"/>
        <v>0</v>
      </c>
      <c r="BY13" s="265">
        <f t="shared" ca="1" si="46"/>
        <v>0</v>
      </c>
      <c r="BZ13" s="265">
        <f t="shared" ca="1" si="47"/>
        <v>0</v>
      </c>
      <c r="CA13" s="265">
        <f t="shared" ca="1" si="48"/>
        <v>0</v>
      </c>
      <c r="CB13" s="265">
        <f t="shared" ca="1" si="49"/>
        <v>0</v>
      </c>
      <c r="CC13" s="265">
        <f t="shared" ca="1" si="50"/>
        <v>0</v>
      </c>
      <c r="CD13" s="265">
        <f t="shared" ca="1" si="83"/>
        <v>0</v>
      </c>
      <c r="CE13" s="265">
        <f t="shared" ca="1" si="84"/>
        <v>0</v>
      </c>
      <c r="CF13" s="265">
        <f t="shared" ca="1" si="85"/>
        <v>0</v>
      </c>
      <c r="CG13" s="265">
        <f t="shared" ca="1" si="86"/>
        <v>0</v>
      </c>
      <c r="CH13" s="265">
        <f t="shared" ca="1" si="51"/>
        <v>0</v>
      </c>
      <c r="CI13" s="265">
        <f t="shared" ca="1" si="52"/>
        <v>0</v>
      </c>
      <c r="CJ13" s="265">
        <f t="shared" ca="1" si="87"/>
        <v>0</v>
      </c>
      <c r="CK13" s="265">
        <f t="shared" ca="1" si="88"/>
        <v>0</v>
      </c>
      <c r="CL13" s="265">
        <f t="shared" ca="1" si="53"/>
        <v>0</v>
      </c>
      <c r="CM13" s="265">
        <f t="shared" ca="1" si="54"/>
        <v>0</v>
      </c>
      <c r="CN13" s="265">
        <f t="shared" ca="1" si="55"/>
        <v>0</v>
      </c>
      <c r="CO13" s="265">
        <f t="shared" ca="1" si="56"/>
        <v>0</v>
      </c>
      <c r="CP13" s="265">
        <f t="shared" ca="1" si="89"/>
        <v>0</v>
      </c>
      <c r="CQ13" s="265">
        <f t="shared" ca="1" si="90"/>
        <v>0</v>
      </c>
      <c r="CR13" s="265">
        <f t="shared" ca="1" si="91"/>
        <v>0</v>
      </c>
      <c r="CS13" s="265">
        <f t="shared" ca="1" si="92"/>
        <v>0</v>
      </c>
      <c r="CT13" s="265">
        <f t="shared" ca="1" si="57"/>
        <v>0</v>
      </c>
      <c r="CU13" s="265">
        <f t="shared" ca="1" si="58"/>
        <v>0</v>
      </c>
      <c r="CV13" s="265">
        <f t="shared" ca="1" si="59"/>
        <v>0</v>
      </c>
      <c r="CW13" s="265">
        <f t="shared" ca="1" si="60"/>
        <v>0</v>
      </c>
      <c r="CX13" s="265">
        <f t="shared" ca="1" si="93"/>
        <v>0</v>
      </c>
      <c r="CY13" s="265">
        <f t="shared" ca="1" si="94"/>
        <v>0</v>
      </c>
      <c r="CZ13" s="265">
        <f t="shared" ca="1" si="95"/>
        <v>0</v>
      </c>
      <c r="DA13" s="265">
        <f t="shared" ca="1" si="96"/>
        <v>0</v>
      </c>
    </row>
    <row r="14" spans="1:105" s="262" customFormat="1" ht="15" customHeight="1">
      <c r="A14" s="63">
        <f t="array" aca="1" ref="A14" ca="1">IF(C14&lt;&gt;0,SUM(($C$11:C14&lt;&gt;0)*1),"")</f>
        <v>4</v>
      </c>
      <c r="B14" s="263" t="str">
        <f ca="1">IF(ROWS($1:4)&gt;COUNT(Dong6),"",OFFSET(TH!C$1,SMALL(Dong6,ROWS($1:4)),))</f>
        <v/>
      </c>
      <c r="C14" s="263" t="str">
        <f ca="1">IF(ROWS($1:4)&gt;COUNT(Dong6),"",OFFSET(TH!D$1,SMALL(Dong6,ROWS($1:4)),))</f>
        <v/>
      </c>
      <c r="D14" s="263" t="str">
        <f ca="1">IF(ROWS($1:4)&gt;COUNT(Dong6),"",OFFSET(TH!E$1,SMALL(Dong6,ROWS($1:4)),))</f>
        <v/>
      </c>
      <c r="E14" s="313" t="str">
        <f ca="1">IF(ROWS($1:4)&gt;COUNT(Dong6),"",OFFSET(TH!F$1,SMALL(Dong6,ROWS($1:4)),))</f>
        <v/>
      </c>
      <c r="F14" s="314" t="str">
        <f ca="1">IF(ROWS($1:4)&gt;COUNT(Dong6),"",OFFSET(TH!M$1,SMALL(Dong6,ROWS($1:4)),))</f>
        <v/>
      </c>
      <c r="G14" s="315" t="str">
        <f ca="1">IF(ROWS($1:4)&gt;COUNT(Dong6),"",OFFSET(TH!N$1,SMALL(Dong6,ROWS($1:4)),))</f>
        <v/>
      </c>
      <c r="H14" s="315" t="str">
        <f ca="1">IF(ROWS($1:4)&gt;COUNT(Dong6),"",OFFSET(TH!O$1,SMALL(Dong6,ROWS($1:4)),))</f>
        <v/>
      </c>
      <c r="I14" s="63">
        <f t="shared" ca="1" si="0"/>
        <v>4</v>
      </c>
      <c r="J14" s="265">
        <f t="shared" ca="1" si="61"/>
        <v>0</v>
      </c>
      <c r="K14" s="265">
        <f t="shared" ca="1" si="62"/>
        <v>0</v>
      </c>
      <c r="L14" s="265">
        <f t="shared" ca="1" si="1"/>
        <v>0</v>
      </c>
      <c r="M14" s="265">
        <f t="shared" ca="1" si="2"/>
        <v>0</v>
      </c>
      <c r="N14" s="265">
        <f t="shared" ca="1" si="3"/>
        <v>0</v>
      </c>
      <c r="O14" s="265">
        <f t="shared" ca="1" si="4"/>
        <v>0</v>
      </c>
      <c r="P14" s="265">
        <f t="shared" ca="1" si="5"/>
        <v>0</v>
      </c>
      <c r="Q14" s="265">
        <f t="shared" ca="1" si="6"/>
        <v>0</v>
      </c>
      <c r="R14" s="265">
        <f t="shared" ca="1" si="7"/>
        <v>0</v>
      </c>
      <c r="S14" s="265">
        <f t="shared" ca="1" si="8"/>
        <v>0</v>
      </c>
      <c r="T14" s="265">
        <f t="shared" ca="1" si="9"/>
        <v>0</v>
      </c>
      <c r="U14" s="265">
        <f t="shared" ca="1" si="10"/>
        <v>0</v>
      </c>
      <c r="V14" s="265">
        <f t="shared" ca="1" si="11"/>
        <v>0</v>
      </c>
      <c r="W14" s="265">
        <f t="shared" ca="1" si="12"/>
        <v>0</v>
      </c>
      <c r="X14" s="265">
        <f t="shared" ca="1" si="13"/>
        <v>0</v>
      </c>
      <c r="Y14" s="265">
        <f t="shared" ca="1" si="14"/>
        <v>0</v>
      </c>
      <c r="Z14" s="265">
        <f t="shared" ca="1" si="15"/>
        <v>0</v>
      </c>
      <c r="AA14" s="265">
        <f t="shared" ca="1" si="16"/>
        <v>0</v>
      </c>
      <c r="AB14" s="265">
        <f t="shared" ca="1" si="63"/>
        <v>0</v>
      </c>
      <c r="AC14" s="265">
        <f t="shared" ca="1" si="64"/>
        <v>0</v>
      </c>
      <c r="AD14" s="265">
        <f t="shared" ca="1" si="17"/>
        <v>0</v>
      </c>
      <c r="AE14" s="265">
        <f t="shared" ca="1" si="18"/>
        <v>0</v>
      </c>
      <c r="AF14" s="265">
        <f t="shared" ca="1" si="19"/>
        <v>0</v>
      </c>
      <c r="AG14" s="265">
        <f t="shared" ca="1" si="20"/>
        <v>0</v>
      </c>
      <c r="AH14" s="265">
        <f t="shared" ca="1" si="65"/>
        <v>0</v>
      </c>
      <c r="AI14" s="265">
        <f t="shared" ca="1" si="66"/>
        <v>0</v>
      </c>
      <c r="AJ14" s="265">
        <f t="shared" ca="1" si="67"/>
        <v>0</v>
      </c>
      <c r="AK14" s="265">
        <f t="shared" ca="1" si="68"/>
        <v>0</v>
      </c>
      <c r="AL14" s="265">
        <f t="shared" ca="1" si="69"/>
        <v>0</v>
      </c>
      <c r="AM14" s="265">
        <f t="shared" ca="1" si="70"/>
        <v>0</v>
      </c>
      <c r="AN14" s="265">
        <f t="shared" ca="1" si="71"/>
        <v>0</v>
      </c>
      <c r="AO14" s="265">
        <f t="shared" ca="1" si="72"/>
        <v>0</v>
      </c>
      <c r="AP14" s="265">
        <f t="shared" ca="1" si="21"/>
        <v>0</v>
      </c>
      <c r="AQ14" s="265">
        <f t="shared" ca="1" si="22"/>
        <v>0</v>
      </c>
      <c r="AR14" s="265">
        <f t="shared" ca="1" si="23"/>
        <v>0</v>
      </c>
      <c r="AS14" s="265">
        <f t="shared" ca="1" si="24"/>
        <v>0</v>
      </c>
      <c r="AT14" s="265">
        <f t="shared" ca="1" si="73"/>
        <v>0</v>
      </c>
      <c r="AU14" s="265">
        <f t="shared" ca="1" si="74"/>
        <v>0</v>
      </c>
      <c r="AV14" s="265">
        <f t="shared" ca="1" si="25"/>
        <v>0</v>
      </c>
      <c r="AW14" s="265">
        <f t="shared" ca="1" si="26"/>
        <v>0</v>
      </c>
      <c r="AX14" s="265">
        <f t="shared" ca="1" si="27"/>
        <v>0</v>
      </c>
      <c r="AY14" s="265">
        <f t="shared" ca="1" si="28"/>
        <v>0</v>
      </c>
      <c r="AZ14" s="265">
        <f t="shared" ca="1" si="29"/>
        <v>0</v>
      </c>
      <c r="BA14" s="265">
        <f t="shared" ca="1" si="30"/>
        <v>0</v>
      </c>
      <c r="BB14" s="265">
        <f t="shared" ca="1" si="31"/>
        <v>0</v>
      </c>
      <c r="BC14" s="265">
        <f t="shared" ca="1" si="32"/>
        <v>0</v>
      </c>
      <c r="BD14" s="265">
        <f t="shared" ca="1" si="33"/>
        <v>0</v>
      </c>
      <c r="BE14" s="265">
        <f t="shared" ca="1" si="34"/>
        <v>0</v>
      </c>
      <c r="BF14" s="265">
        <f t="shared" ca="1" si="35"/>
        <v>0</v>
      </c>
      <c r="BG14" s="265">
        <f t="shared" ca="1" si="36"/>
        <v>0</v>
      </c>
      <c r="BH14" s="265">
        <f t="shared" ca="1" si="75"/>
        <v>0</v>
      </c>
      <c r="BI14" s="265">
        <f t="shared" ca="1" si="76"/>
        <v>0</v>
      </c>
      <c r="BJ14" s="265">
        <f t="shared" ca="1" si="37"/>
        <v>0</v>
      </c>
      <c r="BK14" s="265">
        <f t="shared" ca="1" si="38"/>
        <v>0</v>
      </c>
      <c r="BL14" s="265">
        <f t="shared" ca="1" si="39"/>
        <v>0</v>
      </c>
      <c r="BM14" s="265">
        <f t="shared" ca="1" si="40"/>
        <v>0</v>
      </c>
      <c r="BN14" s="265">
        <f t="shared" ca="1" si="41"/>
        <v>0</v>
      </c>
      <c r="BO14" s="265">
        <f t="shared" ca="1" si="42"/>
        <v>0</v>
      </c>
      <c r="BP14" s="265">
        <f t="shared" ca="1" si="77"/>
        <v>0</v>
      </c>
      <c r="BQ14" s="265">
        <f t="shared" ca="1" si="78"/>
        <v>0</v>
      </c>
      <c r="BR14" s="265">
        <f t="shared" ca="1" si="43"/>
        <v>0</v>
      </c>
      <c r="BS14" s="265">
        <f t="shared" ca="1" si="44"/>
        <v>0</v>
      </c>
      <c r="BT14" s="265">
        <f t="shared" ca="1" si="79"/>
        <v>0</v>
      </c>
      <c r="BU14" s="265">
        <f t="shared" ca="1" si="80"/>
        <v>0</v>
      </c>
      <c r="BV14" s="265">
        <f t="shared" ca="1" si="81"/>
        <v>0</v>
      </c>
      <c r="BW14" s="265">
        <f t="shared" ca="1" si="82"/>
        <v>0</v>
      </c>
      <c r="BX14" s="265">
        <f t="shared" ca="1" si="45"/>
        <v>0</v>
      </c>
      <c r="BY14" s="265">
        <f t="shared" ca="1" si="46"/>
        <v>0</v>
      </c>
      <c r="BZ14" s="265">
        <f t="shared" ca="1" si="47"/>
        <v>0</v>
      </c>
      <c r="CA14" s="265">
        <f t="shared" ca="1" si="48"/>
        <v>0</v>
      </c>
      <c r="CB14" s="265">
        <f t="shared" ca="1" si="49"/>
        <v>0</v>
      </c>
      <c r="CC14" s="265">
        <f t="shared" ca="1" si="50"/>
        <v>0</v>
      </c>
      <c r="CD14" s="265">
        <f t="shared" ca="1" si="83"/>
        <v>0</v>
      </c>
      <c r="CE14" s="265">
        <f t="shared" ca="1" si="84"/>
        <v>0</v>
      </c>
      <c r="CF14" s="265">
        <f t="shared" ca="1" si="85"/>
        <v>0</v>
      </c>
      <c r="CG14" s="265">
        <f t="shared" ca="1" si="86"/>
        <v>0</v>
      </c>
      <c r="CH14" s="265">
        <f t="shared" ca="1" si="51"/>
        <v>0</v>
      </c>
      <c r="CI14" s="265">
        <f t="shared" ca="1" si="52"/>
        <v>0</v>
      </c>
      <c r="CJ14" s="265">
        <f t="shared" ca="1" si="87"/>
        <v>0</v>
      </c>
      <c r="CK14" s="265">
        <f t="shared" ca="1" si="88"/>
        <v>0</v>
      </c>
      <c r="CL14" s="265">
        <f t="shared" ca="1" si="53"/>
        <v>0</v>
      </c>
      <c r="CM14" s="265">
        <f t="shared" ca="1" si="54"/>
        <v>0</v>
      </c>
      <c r="CN14" s="265">
        <f t="shared" ca="1" si="55"/>
        <v>0</v>
      </c>
      <c r="CO14" s="265">
        <f t="shared" ca="1" si="56"/>
        <v>0</v>
      </c>
      <c r="CP14" s="265">
        <f t="shared" ca="1" si="89"/>
        <v>0</v>
      </c>
      <c r="CQ14" s="265">
        <f t="shared" ca="1" si="90"/>
        <v>0</v>
      </c>
      <c r="CR14" s="265">
        <f t="shared" ca="1" si="91"/>
        <v>0</v>
      </c>
      <c r="CS14" s="265">
        <f t="shared" ca="1" si="92"/>
        <v>0</v>
      </c>
      <c r="CT14" s="265">
        <f t="shared" ca="1" si="57"/>
        <v>0</v>
      </c>
      <c r="CU14" s="265">
        <f t="shared" ca="1" si="58"/>
        <v>0</v>
      </c>
      <c r="CV14" s="265">
        <f t="shared" ca="1" si="59"/>
        <v>0</v>
      </c>
      <c r="CW14" s="265">
        <f t="shared" ca="1" si="60"/>
        <v>0</v>
      </c>
      <c r="CX14" s="265">
        <f t="shared" ca="1" si="93"/>
        <v>0</v>
      </c>
      <c r="CY14" s="265">
        <f t="shared" ca="1" si="94"/>
        <v>0</v>
      </c>
      <c r="CZ14" s="265">
        <f t="shared" ca="1" si="95"/>
        <v>0</v>
      </c>
      <c r="DA14" s="265">
        <f t="shared" ca="1" si="96"/>
        <v>0</v>
      </c>
    </row>
    <row r="15" spans="1:105" s="262" customFormat="1" ht="15" customHeight="1">
      <c r="A15" s="63">
        <f t="array" aca="1" ref="A15" ca="1">IF(C15&lt;&gt;0,SUM(($C$11:C15&lt;&gt;0)*1),"")</f>
        <v>5</v>
      </c>
      <c r="B15" s="263" t="str">
        <f ca="1">IF(ROWS($1:5)&gt;COUNT(Dong6),"",OFFSET(TH!C$1,SMALL(Dong6,ROWS($1:5)),))</f>
        <v/>
      </c>
      <c r="C15" s="263" t="str">
        <f ca="1">IF(ROWS($1:5)&gt;COUNT(Dong6),"",OFFSET(TH!D$1,SMALL(Dong6,ROWS($1:5)),))</f>
        <v/>
      </c>
      <c r="D15" s="263" t="str">
        <f ca="1">IF(ROWS($1:5)&gt;COUNT(Dong6),"",OFFSET(TH!E$1,SMALL(Dong6,ROWS($1:5)),))</f>
        <v/>
      </c>
      <c r="E15" s="313" t="str">
        <f ca="1">IF(ROWS($1:5)&gt;COUNT(Dong6),"",OFFSET(TH!F$1,SMALL(Dong6,ROWS($1:5)),))</f>
        <v/>
      </c>
      <c r="F15" s="314" t="str">
        <f ca="1">IF(ROWS($1:5)&gt;COUNT(Dong6),"",OFFSET(TH!M$1,SMALL(Dong6,ROWS($1:5)),))</f>
        <v/>
      </c>
      <c r="G15" s="315" t="str">
        <f ca="1">IF(ROWS($1:5)&gt;COUNT(Dong6),"",OFFSET(TH!N$1,SMALL(Dong6,ROWS($1:5)),))</f>
        <v/>
      </c>
      <c r="H15" s="315" t="str">
        <f ca="1">IF(ROWS($1:5)&gt;COUNT(Dong6),"",OFFSET(TH!O$1,SMALL(Dong6,ROWS($1:5)),))</f>
        <v/>
      </c>
      <c r="I15" s="63">
        <f t="shared" ca="1" si="0"/>
        <v>5</v>
      </c>
      <c r="J15" s="265">
        <f t="shared" ca="1" si="61"/>
        <v>0</v>
      </c>
      <c r="K15" s="265">
        <f t="shared" ca="1" si="62"/>
        <v>0</v>
      </c>
      <c r="L15" s="265">
        <f t="shared" ca="1" si="1"/>
        <v>0</v>
      </c>
      <c r="M15" s="265">
        <f t="shared" ca="1" si="2"/>
        <v>0</v>
      </c>
      <c r="N15" s="265">
        <f t="shared" ca="1" si="3"/>
        <v>0</v>
      </c>
      <c r="O15" s="265">
        <f t="shared" ca="1" si="4"/>
        <v>0</v>
      </c>
      <c r="P15" s="265">
        <f t="shared" ca="1" si="5"/>
        <v>0</v>
      </c>
      <c r="Q15" s="265">
        <f t="shared" ca="1" si="6"/>
        <v>0</v>
      </c>
      <c r="R15" s="265">
        <f t="shared" ca="1" si="7"/>
        <v>0</v>
      </c>
      <c r="S15" s="265">
        <f t="shared" ca="1" si="8"/>
        <v>0</v>
      </c>
      <c r="T15" s="265">
        <f t="shared" ca="1" si="9"/>
        <v>0</v>
      </c>
      <c r="U15" s="265">
        <f t="shared" ca="1" si="10"/>
        <v>0</v>
      </c>
      <c r="V15" s="265">
        <f t="shared" ca="1" si="11"/>
        <v>0</v>
      </c>
      <c r="W15" s="265">
        <f t="shared" ca="1" si="12"/>
        <v>0</v>
      </c>
      <c r="X15" s="265">
        <f t="shared" ca="1" si="13"/>
        <v>0</v>
      </c>
      <c r="Y15" s="265">
        <f t="shared" ca="1" si="14"/>
        <v>0</v>
      </c>
      <c r="Z15" s="265">
        <f t="shared" ca="1" si="15"/>
        <v>0</v>
      </c>
      <c r="AA15" s="265">
        <f t="shared" ca="1" si="16"/>
        <v>0</v>
      </c>
      <c r="AB15" s="265">
        <f t="shared" ca="1" si="63"/>
        <v>0</v>
      </c>
      <c r="AC15" s="265">
        <f t="shared" ca="1" si="64"/>
        <v>0</v>
      </c>
      <c r="AD15" s="265">
        <f t="shared" ca="1" si="17"/>
        <v>0</v>
      </c>
      <c r="AE15" s="265">
        <f t="shared" ca="1" si="18"/>
        <v>0</v>
      </c>
      <c r="AF15" s="265">
        <f t="shared" ca="1" si="19"/>
        <v>0</v>
      </c>
      <c r="AG15" s="265">
        <f t="shared" ca="1" si="20"/>
        <v>0</v>
      </c>
      <c r="AH15" s="265">
        <f t="shared" ca="1" si="65"/>
        <v>0</v>
      </c>
      <c r="AI15" s="265">
        <f t="shared" ca="1" si="66"/>
        <v>0</v>
      </c>
      <c r="AJ15" s="265">
        <f t="shared" ca="1" si="67"/>
        <v>0</v>
      </c>
      <c r="AK15" s="265">
        <f t="shared" ca="1" si="68"/>
        <v>0</v>
      </c>
      <c r="AL15" s="265">
        <f t="shared" ca="1" si="69"/>
        <v>0</v>
      </c>
      <c r="AM15" s="265">
        <f t="shared" ca="1" si="70"/>
        <v>0</v>
      </c>
      <c r="AN15" s="265">
        <f t="shared" ca="1" si="71"/>
        <v>0</v>
      </c>
      <c r="AO15" s="265">
        <f t="shared" ca="1" si="72"/>
        <v>0</v>
      </c>
      <c r="AP15" s="265">
        <f t="shared" ca="1" si="21"/>
        <v>0</v>
      </c>
      <c r="AQ15" s="265">
        <f t="shared" ca="1" si="22"/>
        <v>0</v>
      </c>
      <c r="AR15" s="265">
        <f t="shared" ca="1" si="23"/>
        <v>0</v>
      </c>
      <c r="AS15" s="265">
        <f t="shared" ca="1" si="24"/>
        <v>0</v>
      </c>
      <c r="AT15" s="265">
        <f t="shared" ca="1" si="73"/>
        <v>0</v>
      </c>
      <c r="AU15" s="265">
        <f t="shared" ca="1" si="74"/>
        <v>0</v>
      </c>
      <c r="AV15" s="265">
        <f t="shared" ca="1" si="25"/>
        <v>0</v>
      </c>
      <c r="AW15" s="265">
        <f t="shared" ca="1" si="26"/>
        <v>0</v>
      </c>
      <c r="AX15" s="265">
        <f t="shared" ca="1" si="27"/>
        <v>0</v>
      </c>
      <c r="AY15" s="265">
        <f t="shared" ca="1" si="28"/>
        <v>0</v>
      </c>
      <c r="AZ15" s="265">
        <f t="shared" ca="1" si="29"/>
        <v>0</v>
      </c>
      <c r="BA15" s="265">
        <f t="shared" ca="1" si="30"/>
        <v>0</v>
      </c>
      <c r="BB15" s="265">
        <f t="shared" ca="1" si="31"/>
        <v>0</v>
      </c>
      <c r="BC15" s="265">
        <f t="shared" ca="1" si="32"/>
        <v>0</v>
      </c>
      <c r="BD15" s="265">
        <f t="shared" ca="1" si="33"/>
        <v>0</v>
      </c>
      <c r="BE15" s="265">
        <f t="shared" ca="1" si="34"/>
        <v>0</v>
      </c>
      <c r="BF15" s="265">
        <f t="shared" ca="1" si="35"/>
        <v>0</v>
      </c>
      <c r="BG15" s="265">
        <f t="shared" ca="1" si="36"/>
        <v>0</v>
      </c>
      <c r="BH15" s="265">
        <f t="shared" ca="1" si="75"/>
        <v>0</v>
      </c>
      <c r="BI15" s="265">
        <f t="shared" ca="1" si="76"/>
        <v>0</v>
      </c>
      <c r="BJ15" s="265">
        <f t="shared" ca="1" si="37"/>
        <v>0</v>
      </c>
      <c r="BK15" s="265">
        <f t="shared" ca="1" si="38"/>
        <v>0</v>
      </c>
      <c r="BL15" s="265">
        <f t="shared" ca="1" si="39"/>
        <v>0</v>
      </c>
      <c r="BM15" s="265">
        <f t="shared" ca="1" si="40"/>
        <v>0</v>
      </c>
      <c r="BN15" s="265">
        <f t="shared" ca="1" si="41"/>
        <v>0</v>
      </c>
      <c r="BO15" s="265">
        <f t="shared" ca="1" si="42"/>
        <v>0</v>
      </c>
      <c r="BP15" s="265">
        <f t="shared" ca="1" si="77"/>
        <v>0</v>
      </c>
      <c r="BQ15" s="265">
        <f t="shared" ca="1" si="78"/>
        <v>0</v>
      </c>
      <c r="BR15" s="265">
        <f t="shared" ca="1" si="43"/>
        <v>0</v>
      </c>
      <c r="BS15" s="265">
        <f t="shared" ca="1" si="44"/>
        <v>0</v>
      </c>
      <c r="BT15" s="265">
        <f t="shared" ca="1" si="79"/>
        <v>0</v>
      </c>
      <c r="BU15" s="265">
        <f t="shared" ca="1" si="80"/>
        <v>0</v>
      </c>
      <c r="BV15" s="265">
        <f t="shared" ca="1" si="81"/>
        <v>0</v>
      </c>
      <c r="BW15" s="265">
        <f t="shared" ca="1" si="82"/>
        <v>0</v>
      </c>
      <c r="BX15" s="265">
        <f t="shared" ca="1" si="45"/>
        <v>0</v>
      </c>
      <c r="BY15" s="265">
        <f t="shared" ca="1" si="46"/>
        <v>0</v>
      </c>
      <c r="BZ15" s="265">
        <f t="shared" ca="1" si="47"/>
        <v>0</v>
      </c>
      <c r="CA15" s="265">
        <f t="shared" ca="1" si="48"/>
        <v>0</v>
      </c>
      <c r="CB15" s="265">
        <f t="shared" ca="1" si="49"/>
        <v>0</v>
      </c>
      <c r="CC15" s="265">
        <f t="shared" ca="1" si="50"/>
        <v>0</v>
      </c>
      <c r="CD15" s="265">
        <f t="shared" ca="1" si="83"/>
        <v>0</v>
      </c>
      <c r="CE15" s="265">
        <f t="shared" ca="1" si="84"/>
        <v>0</v>
      </c>
      <c r="CF15" s="265">
        <f t="shared" ca="1" si="85"/>
        <v>0</v>
      </c>
      <c r="CG15" s="265">
        <f t="shared" ca="1" si="86"/>
        <v>0</v>
      </c>
      <c r="CH15" s="265">
        <f t="shared" ca="1" si="51"/>
        <v>0</v>
      </c>
      <c r="CI15" s="265">
        <f t="shared" ca="1" si="52"/>
        <v>0</v>
      </c>
      <c r="CJ15" s="265">
        <f t="shared" ca="1" si="87"/>
        <v>0</v>
      </c>
      <c r="CK15" s="265">
        <f t="shared" ca="1" si="88"/>
        <v>0</v>
      </c>
      <c r="CL15" s="265">
        <f t="shared" ca="1" si="53"/>
        <v>0</v>
      </c>
      <c r="CM15" s="265">
        <f t="shared" ca="1" si="54"/>
        <v>0</v>
      </c>
      <c r="CN15" s="265">
        <f t="shared" ca="1" si="55"/>
        <v>0</v>
      </c>
      <c r="CO15" s="265">
        <f t="shared" ca="1" si="56"/>
        <v>0</v>
      </c>
      <c r="CP15" s="265">
        <f t="shared" ca="1" si="89"/>
        <v>0</v>
      </c>
      <c r="CQ15" s="265">
        <f t="shared" ca="1" si="90"/>
        <v>0</v>
      </c>
      <c r="CR15" s="265">
        <f t="shared" ca="1" si="91"/>
        <v>0</v>
      </c>
      <c r="CS15" s="265">
        <f t="shared" ca="1" si="92"/>
        <v>0</v>
      </c>
      <c r="CT15" s="265">
        <f t="shared" ca="1" si="57"/>
        <v>0</v>
      </c>
      <c r="CU15" s="265">
        <f t="shared" ca="1" si="58"/>
        <v>0</v>
      </c>
      <c r="CV15" s="265">
        <f t="shared" ca="1" si="59"/>
        <v>0</v>
      </c>
      <c r="CW15" s="265">
        <f t="shared" ca="1" si="60"/>
        <v>0</v>
      </c>
      <c r="CX15" s="265">
        <f t="shared" ca="1" si="93"/>
        <v>0</v>
      </c>
      <c r="CY15" s="265">
        <f t="shared" ca="1" si="94"/>
        <v>0</v>
      </c>
      <c r="CZ15" s="265">
        <f t="shared" ca="1" si="95"/>
        <v>0</v>
      </c>
      <c r="DA15" s="265">
        <f t="shared" ca="1" si="96"/>
        <v>0</v>
      </c>
    </row>
    <row r="16" spans="1:105" s="262" customFormat="1" ht="15" customHeight="1">
      <c r="A16" s="63">
        <f t="array" aca="1" ref="A16" ca="1">IF(C16&lt;&gt;0,SUM(($C$11:C16&lt;&gt;0)*1),"")</f>
        <v>6</v>
      </c>
      <c r="B16" s="263" t="str">
        <f ca="1">IF(ROWS($1:6)&gt;COUNT(Dong6),"",OFFSET(TH!C$1,SMALL(Dong6,ROWS($1:6)),))</f>
        <v/>
      </c>
      <c r="C16" s="263" t="str">
        <f ca="1">IF(ROWS($1:6)&gt;COUNT(Dong6),"",OFFSET(TH!D$1,SMALL(Dong6,ROWS($1:6)),))</f>
        <v/>
      </c>
      <c r="D16" s="263" t="str">
        <f ca="1">IF(ROWS($1:6)&gt;COUNT(Dong6),"",OFFSET(TH!E$1,SMALL(Dong6,ROWS($1:6)),))</f>
        <v/>
      </c>
      <c r="E16" s="313" t="str">
        <f ca="1">IF(ROWS($1:6)&gt;COUNT(Dong6),"",OFFSET(TH!F$1,SMALL(Dong6,ROWS($1:6)),))</f>
        <v/>
      </c>
      <c r="F16" s="314" t="str">
        <f ca="1">IF(ROWS($1:6)&gt;COUNT(Dong6),"",OFFSET(TH!M$1,SMALL(Dong6,ROWS($1:6)),))</f>
        <v/>
      </c>
      <c r="G16" s="315" t="str">
        <f ca="1">IF(ROWS($1:6)&gt;COUNT(Dong6),"",OFFSET(TH!N$1,SMALL(Dong6,ROWS($1:6)),))</f>
        <v/>
      </c>
      <c r="H16" s="315" t="str">
        <f ca="1">IF(ROWS($1:6)&gt;COUNT(Dong6),"",OFFSET(TH!O$1,SMALL(Dong6,ROWS($1:6)),))</f>
        <v/>
      </c>
      <c r="I16" s="63">
        <f t="shared" ca="1" si="0"/>
        <v>6</v>
      </c>
      <c r="J16" s="265">
        <f t="shared" ca="1" si="61"/>
        <v>0</v>
      </c>
      <c r="K16" s="265">
        <f t="shared" ca="1" si="62"/>
        <v>0</v>
      </c>
      <c r="L16" s="265">
        <f t="shared" ca="1" si="1"/>
        <v>0</v>
      </c>
      <c r="M16" s="265">
        <f t="shared" ca="1" si="2"/>
        <v>0</v>
      </c>
      <c r="N16" s="265">
        <f t="shared" ca="1" si="3"/>
        <v>0</v>
      </c>
      <c r="O16" s="265">
        <f t="shared" ca="1" si="4"/>
        <v>0</v>
      </c>
      <c r="P16" s="265">
        <f t="shared" ca="1" si="5"/>
        <v>0</v>
      </c>
      <c r="Q16" s="265">
        <f t="shared" ca="1" si="6"/>
        <v>0</v>
      </c>
      <c r="R16" s="265">
        <f t="shared" ca="1" si="7"/>
        <v>0</v>
      </c>
      <c r="S16" s="265">
        <f t="shared" ca="1" si="8"/>
        <v>0</v>
      </c>
      <c r="T16" s="265">
        <f t="shared" ca="1" si="9"/>
        <v>0</v>
      </c>
      <c r="U16" s="265">
        <f t="shared" ca="1" si="10"/>
        <v>0</v>
      </c>
      <c r="V16" s="265">
        <f t="shared" ca="1" si="11"/>
        <v>0</v>
      </c>
      <c r="W16" s="265">
        <f t="shared" ca="1" si="12"/>
        <v>0</v>
      </c>
      <c r="X16" s="265">
        <f t="shared" ca="1" si="13"/>
        <v>0</v>
      </c>
      <c r="Y16" s="265">
        <f t="shared" ca="1" si="14"/>
        <v>0</v>
      </c>
      <c r="Z16" s="265">
        <f t="shared" ca="1" si="15"/>
        <v>0</v>
      </c>
      <c r="AA16" s="265">
        <f t="shared" ca="1" si="16"/>
        <v>0</v>
      </c>
      <c r="AB16" s="265">
        <f t="shared" ca="1" si="63"/>
        <v>0</v>
      </c>
      <c r="AC16" s="265">
        <f t="shared" ca="1" si="64"/>
        <v>0</v>
      </c>
      <c r="AD16" s="265">
        <f t="shared" ca="1" si="17"/>
        <v>0</v>
      </c>
      <c r="AE16" s="265">
        <f t="shared" ca="1" si="18"/>
        <v>0</v>
      </c>
      <c r="AF16" s="265">
        <f t="shared" ca="1" si="19"/>
        <v>0</v>
      </c>
      <c r="AG16" s="265">
        <f t="shared" ca="1" si="20"/>
        <v>0</v>
      </c>
      <c r="AH16" s="265">
        <f t="shared" ca="1" si="65"/>
        <v>0</v>
      </c>
      <c r="AI16" s="265">
        <f t="shared" ca="1" si="66"/>
        <v>0</v>
      </c>
      <c r="AJ16" s="265">
        <f t="shared" ca="1" si="67"/>
        <v>0</v>
      </c>
      <c r="AK16" s="265">
        <f t="shared" ca="1" si="68"/>
        <v>0</v>
      </c>
      <c r="AL16" s="265">
        <f t="shared" ca="1" si="69"/>
        <v>0</v>
      </c>
      <c r="AM16" s="265">
        <f t="shared" ca="1" si="70"/>
        <v>0</v>
      </c>
      <c r="AN16" s="265">
        <f t="shared" ca="1" si="71"/>
        <v>0</v>
      </c>
      <c r="AO16" s="265">
        <f t="shared" ca="1" si="72"/>
        <v>0</v>
      </c>
      <c r="AP16" s="265">
        <f t="shared" ca="1" si="21"/>
        <v>0</v>
      </c>
      <c r="AQ16" s="265">
        <f t="shared" ca="1" si="22"/>
        <v>0</v>
      </c>
      <c r="AR16" s="265">
        <f t="shared" ca="1" si="23"/>
        <v>0</v>
      </c>
      <c r="AS16" s="265">
        <f t="shared" ca="1" si="24"/>
        <v>0</v>
      </c>
      <c r="AT16" s="265">
        <f t="shared" ca="1" si="73"/>
        <v>0</v>
      </c>
      <c r="AU16" s="265">
        <f t="shared" ca="1" si="74"/>
        <v>0</v>
      </c>
      <c r="AV16" s="265">
        <f t="shared" ca="1" si="25"/>
        <v>0</v>
      </c>
      <c r="AW16" s="265">
        <f t="shared" ca="1" si="26"/>
        <v>0</v>
      </c>
      <c r="AX16" s="265">
        <f t="shared" ca="1" si="27"/>
        <v>0</v>
      </c>
      <c r="AY16" s="265">
        <f t="shared" ca="1" si="28"/>
        <v>0</v>
      </c>
      <c r="AZ16" s="265">
        <f t="shared" ca="1" si="29"/>
        <v>0</v>
      </c>
      <c r="BA16" s="265">
        <f t="shared" ca="1" si="30"/>
        <v>0</v>
      </c>
      <c r="BB16" s="265">
        <f t="shared" ca="1" si="31"/>
        <v>0</v>
      </c>
      <c r="BC16" s="265">
        <f t="shared" ca="1" si="32"/>
        <v>0</v>
      </c>
      <c r="BD16" s="265">
        <f t="shared" ca="1" si="33"/>
        <v>0</v>
      </c>
      <c r="BE16" s="265">
        <f t="shared" ca="1" si="34"/>
        <v>0</v>
      </c>
      <c r="BF16" s="265">
        <f t="shared" ca="1" si="35"/>
        <v>0</v>
      </c>
      <c r="BG16" s="265">
        <f t="shared" ca="1" si="36"/>
        <v>0</v>
      </c>
      <c r="BH16" s="265">
        <f t="shared" ca="1" si="75"/>
        <v>0</v>
      </c>
      <c r="BI16" s="265">
        <f t="shared" ca="1" si="76"/>
        <v>0</v>
      </c>
      <c r="BJ16" s="265">
        <f t="shared" ca="1" si="37"/>
        <v>0</v>
      </c>
      <c r="BK16" s="265">
        <f t="shared" ca="1" si="38"/>
        <v>0</v>
      </c>
      <c r="BL16" s="265">
        <f t="shared" ca="1" si="39"/>
        <v>0</v>
      </c>
      <c r="BM16" s="265">
        <f t="shared" ca="1" si="40"/>
        <v>0</v>
      </c>
      <c r="BN16" s="265">
        <f t="shared" ca="1" si="41"/>
        <v>0</v>
      </c>
      <c r="BO16" s="265">
        <f t="shared" ca="1" si="42"/>
        <v>0</v>
      </c>
      <c r="BP16" s="265">
        <f t="shared" ca="1" si="77"/>
        <v>0</v>
      </c>
      <c r="BQ16" s="265">
        <f t="shared" ca="1" si="78"/>
        <v>0</v>
      </c>
      <c r="BR16" s="265">
        <f t="shared" ca="1" si="43"/>
        <v>0</v>
      </c>
      <c r="BS16" s="265">
        <f t="shared" ca="1" si="44"/>
        <v>0</v>
      </c>
      <c r="BT16" s="265">
        <f t="shared" ca="1" si="79"/>
        <v>0</v>
      </c>
      <c r="BU16" s="265">
        <f t="shared" ca="1" si="80"/>
        <v>0</v>
      </c>
      <c r="BV16" s="265">
        <f t="shared" ca="1" si="81"/>
        <v>0</v>
      </c>
      <c r="BW16" s="265">
        <f t="shared" ca="1" si="82"/>
        <v>0</v>
      </c>
      <c r="BX16" s="265">
        <f t="shared" ca="1" si="45"/>
        <v>0</v>
      </c>
      <c r="BY16" s="265">
        <f t="shared" ca="1" si="46"/>
        <v>0</v>
      </c>
      <c r="BZ16" s="265">
        <f t="shared" ca="1" si="47"/>
        <v>0</v>
      </c>
      <c r="CA16" s="265">
        <f t="shared" ca="1" si="48"/>
        <v>0</v>
      </c>
      <c r="CB16" s="265">
        <f t="shared" ca="1" si="49"/>
        <v>0</v>
      </c>
      <c r="CC16" s="265">
        <f t="shared" ca="1" si="50"/>
        <v>0</v>
      </c>
      <c r="CD16" s="265">
        <f t="shared" ca="1" si="83"/>
        <v>0</v>
      </c>
      <c r="CE16" s="265">
        <f t="shared" ca="1" si="84"/>
        <v>0</v>
      </c>
      <c r="CF16" s="265">
        <f t="shared" ca="1" si="85"/>
        <v>0</v>
      </c>
      <c r="CG16" s="265">
        <f t="shared" ca="1" si="86"/>
        <v>0</v>
      </c>
      <c r="CH16" s="265">
        <f t="shared" ca="1" si="51"/>
        <v>0</v>
      </c>
      <c r="CI16" s="265">
        <f t="shared" ca="1" si="52"/>
        <v>0</v>
      </c>
      <c r="CJ16" s="265">
        <f t="shared" ca="1" si="87"/>
        <v>0</v>
      </c>
      <c r="CK16" s="265">
        <f t="shared" ca="1" si="88"/>
        <v>0</v>
      </c>
      <c r="CL16" s="265">
        <f t="shared" ca="1" si="53"/>
        <v>0</v>
      </c>
      <c r="CM16" s="265">
        <f t="shared" ca="1" si="54"/>
        <v>0</v>
      </c>
      <c r="CN16" s="265">
        <f t="shared" ca="1" si="55"/>
        <v>0</v>
      </c>
      <c r="CO16" s="265">
        <f t="shared" ca="1" si="56"/>
        <v>0</v>
      </c>
      <c r="CP16" s="265">
        <f t="shared" ca="1" si="89"/>
        <v>0</v>
      </c>
      <c r="CQ16" s="265">
        <f t="shared" ca="1" si="90"/>
        <v>0</v>
      </c>
      <c r="CR16" s="265">
        <f t="shared" ca="1" si="91"/>
        <v>0</v>
      </c>
      <c r="CS16" s="265">
        <f t="shared" ca="1" si="92"/>
        <v>0</v>
      </c>
      <c r="CT16" s="265">
        <f t="shared" ca="1" si="57"/>
        <v>0</v>
      </c>
      <c r="CU16" s="265">
        <f t="shared" ca="1" si="58"/>
        <v>0</v>
      </c>
      <c r="CV16" s="265">
        <f t="shared" ca="1" si="59"/>
        <v>0</v>
      </c>
      <c r="CW16" s="265">
        <f t="shared" ca="1" si="60"/>
        <v>0</v>
      </c>
      <c r="CX16" s="265">
        <f t="shared" ca="1" si="93"/>
        <v>0</v>
      </c>
      <c r="CY16" s="265">
        <f t="shared" ca="1" si="94"/>
        <v>0</v>
      </c>
      <c r="CZ16" s="265">
        <f t="shared" ca="1" si="95"/>
        <v>0</v>
      </c>
      <c r="DA16" s="265">
        <f t="shared" ca="1" si="96"/>
        <v>0</v>
      </c>
    </row>
    <row r="17" spans="1:105" s="262" customFormat="1" ht="15" customHeight="1">
      <c r="A17" s="63">
        <f t="array" aca="1" ref="A17" ca="1">IF(C17&lt;&gt;0,SUM(($C$11:C17&lt;&gt;0)*1),"")</f>
        <v>7</v>
      </c>
      <c r="B17" s="263" t="str">
        <f ca="1">IF(ROWS($1:7)&gt;COUNT(Dong6),"",OFFSET(TH!C$1,SMALL(Dong6,ROWS($1:7)),))</f>
        <v/>
      </c>
      <c r="C17" s="263" t="str">
        <f ca="1">IF(ROWS($1:7)&gt;COUNT(Dong6),"",OFFSET(TH!D$1,SMALL(Dong6,ROWS($1:7)),))</f>
        <v/>
      </c>
      <c r="D17" s="263" t="str">
        <f ca="1">IF(ROWS($1:7)&gt;COUNT(Dong6),"",OFFSET(TH!E$1,SMALL(Dong6,ROWS($1:7)),))</f>
        <v/>
      </c>
      <c r="E17" s="313" t="str">
        <f ca="1">IF(ROWS($1:7)&gt;COUNT(Dong6),"",OFFSET(TH!F$1,SMALL(Dong6,ROWS($1:7)),))</f>
        <v/>
      </c>
      <c r="F17" s="314" t="str">
        <f ca="1">IF(ROWS($1:7)&gt;COUNT(Dong6),"",OFFSET(TH!M$1,SMALL(Dong6,ROWS($1:7)),))</f>
        <v/>
      </c>
      <c r="G17" s="315" t="str">
        <f ca="1">IF(ROWS($1:7)&gt;COUNT(Dong6),"",OFFSET(TH!N$1,SMALL(Dong6,ROWS($1:7)),))</f>
        <v/>
      </c>
      <c r="H17" s="315" t="str">
        <f ca="1">IF(ROWS($1:7)&gt;COUNT(Dong6),"",OFFSET(TH!O$1,SMALL(Dong6,ROWS($1:7)),))</f>
        <v/>
      </c>
      <c r="I17" s="63">
        <f t="shared" ca="1" si="0"/>
        <v>7</v>
      </c>
      <c r="J17" s="265">
        <f t="shared" ca="1" si="61"/>
        <v>0</v>
      </c>
      <c r="K17" s="265">
        <f t="shared" ca="1" si="62"/>
        <v>0</v>
      </c>
      <c r="L17" s="265">
        <f t="shared" ca="1" si="1"/>
        <v>0</v>
      </c>
      <c r="M17" s="265">
        <f t="shared" ca="1" si="2"/>
        <v>0</v>
      </c>
      <c r="N17" s="265">
        <f t="shared" ca="1" si="3"/>
        <v>0</v>
      </c>
      <c r="O17" s="265">
        <f t="shared" ca="1" si="4"/>
        <v>0</v>
      </c>
      <c r="P17" s="265">
        <f t="shared" ca="1" si="5"/>
        <v>0</v>
      </c>
      <c r="Q17" s="265">
        <f t="shared" ca="1" si="6"/>
        <v>0</v>
      </c>
      <c r="R17" s="265">
        <f t="shared" ca="1" si="7"/>
        <v>0</v>
      </c>
      <c r="S17" s="265">
        <f t="shared" ca="1" si="8"/>
        <v>0</v>
      </c>
      <c r="T17" s="265">
        <f t="shared" ca="1" si="9"/>
        <v>0</v>
      </c>
      <c r="U17" s="265">
        <f t="shared" ca="1" si="10"/>
        <v>0</v>
      </c>
      <c r="V17" s="265">
        <f t="shared" ca="1" si="11"/>
        <v>0</v>
      </c>
      <c r="W17" s="265">
        <f t="shared" ca="1" si="12"/>
        <v>0</v>
      </c>
      <c r="X17" s="265">
        <f t="shared" ca="1" si="13"/>
        <v>0</v>
      </c>
      <c r="Y17" s="265">
        <f t="shared" ca="1" si="14"/>
        <v>0</v>
      </c>
      <c r="Z17" s="265">
        <f t="shared" ca="1" si="15"/>
        <v>0</v>
      </c>
      <c r="AA17" s="265">
        <f t="shared" ca="1" si="16"/>
        <v>0</v>
      </c>
      <c r="AB17" s="265">
        <f t="shared" ca="1" si="63"/>
        <v>0</v>
      </c>
      <c r="AC17" s="265">
        <f t="shared" ca="1" si="64"/>
        <v>0</v>
      </c>
      <c r="AD17" s="265">
        <f t="shared" ca="1" si="17"/>
        <v>0</v>
      </c>
      <c r="AE17" s="265">
        <f t="shared" ca="1" si="18"/>
        <v>0</v>
      </c>
      <c r="AF17" s="265">
        <f t="shared" ca="1" si="19"/>
        <v>0</v>
      </c>
      <c r="AG17" s="265">
        <f t="shared" ca="1" si="20"/>
        <v>0</v>
      </c>
      <c r="AH17" s="265">
        <f t="shared" ca="1" si="65"/>
        <v>0</v>
      </c>
      <c r="AI17" s="265">
        <f t="shared" ca="1" si="66"/>
        <v>0</v>
      </c>
      <c r="AJ17" s="265">
        <f t="shared" ca="1" si="67"/>
        <v>0</v>
      </c>
      <c r="AK17" s="265">
        <f t="shared" ca="1" si="68"/>
        <v>0</v>
      </c>
      <c r="AL17" s="265">
        <f t="shared" ca="1" si="69"/>
        <v>0</v>
      </c>
      <c r="AM17" s="265">
        <f t="shared" ca="1" si="70"/>
        <v>0</v>
      </c>
      <c r="AN17" s="265">
        <f t="shared" ca="1" si="71"/>
        <v>0</v>
      </c>
      <c r="AO17" s="265">
        <f t="shared" ca="1" si="72"/>
        <v>0</v>
      </c>
      <c r="AP17" s="265">
        <f t="shared" ca="1" si="21"/>
        <v>0</v>
      </c>
      <c r="AQ17" s="265">
        <f t="shared" ca="1" si="22"/>
        <v>0</v>
      </c>
      <c r="AR17" s="265">
        <f t="shared" ca="1" si="23"/>
        <v>0</v>
      </c>
      <c r="AS17" s="265">
        <f t="shared" ca="1" si="24"/>
        <v>0</v>
      </c>
      <c r="AT17" s="265">
        <f t="shared" ca="1" si="73"/>
        <v>0</v>
      </c>
      <c r="AU17" s="265">
        <f t="shared" ca="1" si="74"/>
        <v>0</v>
      </c>
      <c r="AV17" s="265">
        <f t="shared" ca="1" si="25"/>
        <v>0</v>
      </c>
      <c r="AW17" s="265">
        <f t="shared" ca="1" si="26"/>
        <v>0</v>
      </c>
      <c r="AX17" s="265">
        <f t="shared" ca="1" si="27"/>
        <v>0</v>
      </c>
      <c r="AY17" s="265">
        <f t="shared" ca="1" si="28"/>
        <v>0</v>
      </c>
      <c r="AZ17" s="265">
        <f t="shared" ca="1" si="29"/>
        <v>0</v>
      </c>
      <c r="BA17" s="265">
        <f t="shared" ca="1" si="30"/>
        <v>0</v>
      </c>
      <c r="BB17" s="265">
        <f t="shared" ca="1" si="31"/>
        <v>0</v>
      </c>
      <c r="BC17" s="265">
        <f t="shared" ca="1" si="32"/>
        <v>0</v>
      </c>
      <c r="BD17" s="265">
        <f t="shared" ca="1" si="33"/>
        <v>0</v>
      </c>
      <c r="BE17" s="265">
        <f t="shared" ca="1" si="34"/>
        <v>0</v>
      </c>
      <c r="BF17" s="265">
        <f t="shared" ca="1" si="35"/>
        <v>0</v>
      </c>
      <c r="BG17" s="265">
        <f t="shared" ca="1" si="36"/>
        <v>0</v>
      </c>
      <c r="BH17" s="265">
        <f t="shared" ca="1" si="75"/>
        <v>0</v>
      </c>
      <c r="BI17" s="265">
        <f t="shared" ca="1" si="76"/>
        <v>0</v>
      </c>
      <c r="BJ17" s="265">
        <f t="shared" ca="1" si="37"/>
        <v>0</v>
      </c>
      <c r="BK17" s="265">
        <f t="shared" ca="1" si="38"/>
        <v>0</v>
      </c>
      <c r="BL17" s="265">
        <f t="shared" ca="1" si="39"/>
        <v>0</v>
      </c>
      <c r="BM17" s="265">
        <f t="shared" ca="1" si="40"/>
        <v>0</v>
      </c>
      <c r="BN17" s="265">
        <f t="shared" ca="1" si="41"/>
        <v>0</v>
      </c>
      <c r="BO17" s="265">
        <f t="shared" ca="1" si="42"/>
        <v>0</v>
      </c>
      <c r="BP17" s="265">
        <f t="shared" ca="1" si="77"/>
        <v>0</v>
      </c>
      <c r="BQ17" s="265">
        <f t="shared" ca="1" si="78"/>
        <v>0</v>
      </c>
      <c r="BR17" s="265">
        <f t="shared" ca="1" si="43"/>
        <v>0</v>
      </c>
      <c r="BS17" s="265">
        <f t="shared" ca="1" si="44"/>
        <v>0</v>
      </c>
      <c r="BT17" s="265">
        <f t="shared" ca="1" si="79"/>
        <v>0</v>
      </c>
      <c r="BU17" s="265">
        <f t="shared" ca="1" si="80"/>
        <v>0</v>
      </c>
      <c r="BV17" s="265">
        <f t="shared" ca="1" si="81"/>
        <v>0</v>
      </c>
      <c r="BW17" s="265">
        <f t="shared" ca="1" si="82"/>
        <v>0</v>
      </c>
      <c r="BX17" s="265">
        <f t="shared" ca="1" si="45"/>
        <v>0</v>
      </c>
      <c r="BY17" s="265">
        <f t="shared" ca="1" si="46"/>
        <v>0</v>
      </c>
      <c r="BZ17" s="265">
        <f t="shared" ca="1" si="47"/>
        <v>0</v>
      </c>
      <c r="CA17" s="265">
        <f t="shared" ca="1" si="48"/>
        <v>0</v>
      </c>
      <c r="CB17" s="265">
        <f t="shared" ca="1" si="49"/>
        <v>0</v>
      </c>
      <c r="CC17" s="265">
        <f t="shared" ca="1" si="50"/>
        <v>0</v>
      </c>
      <c r="CD17" s="265">
        <f t="shared" ca="1" si="83"/>
        <v>0</v>
      </c>
      <c r="CE17" s="265">
        <f t="shared" ca="1" si="84"/>
        <v>0</v>
      </c>
      <c r="CF17" s="265">
        <f t="shared" ca="1" si="85"/>
        <v>0</v>
      </c>
      <c r="CG17" s="265">
        <f t="shared" ca="1" si="86"/>
        <v>0</v>
      </c>
      <c r="CH17" s="265">
        <f t="shared" ca="1" si="51"/>
        <v>0</v>
      </c>
      <c r="CI17" s="265">
        <f t="shared" ca="1" si="52"/>
        <v>0</v>
      </c>
      <c r="CJ17" s="265">
        <f t="shared" ca="1" si="87"/>
        <v>0</v>
      </c>
      <c r="CK17" s="265">
        <f t="shared" ca="1" si="88"/>
        <v>0</v>
      </c>
      <c r="CL17" s="265">
        <f t="shared" ca="1" si="53"/>
        <v>0</v>
      </c>
      <c r="CM17" s="265">
        <f t="shared" ca="1" si="54"/>
        <v>0</v>
      </c>
      <c r="CN17" s="265">
        <f t="shared" ca="1" si="55"/>
        <v>0</v>
      </c>
      <c r="CO17" s="265">
        <f t="shared" ca="1" si="56"/>
        <v>0</v>
      </c>
      <c r="CP17" s="265">
        <f t="shared" ca="1" si="89"/>
        <v>0</v>
      </c>
      <c r="CQ17" s="265">
        <f t="shared" ca="1" si="90"/>
        <v>0</v>
      </c>
      <c r="CR17" s="265">
        <f t="shared" ca="1" si="91"/>
        <v>0</v>
      </c>
      <c r="CS17" s="265">
        <f t="shared" ca="1" si="92"/>
        <v>0</v>
      </c>
      <c r="CT17" s="265">
        <f t="shared" ca="1" si="57"/>
        <v>0</v>
      </c>
      <c r="CU17" s="265">
        <f t="shared" ca="1" si="58"/>
        <v>0</v>
      </c>
      <c r="CV17" s="265">
        <f t="shared" ca="1" si="59"/>
        <v>0</v>
      </c>
      <c r="CW17" s="265">
        <f t="shared" ca="1" si="60"/>
        <v>0</v>
      </c>
      <c r="CX17" s="265">
        <f t="shared" ca="1" si="93"/>
        <v>0</v>
      </c>
      <c r="CY17" s="265">
        <f t="shared" ca="1" si="94"/>
        <v>0</v>
      </c>
      <c r="CZ17" s="265">
        <f t="shared" ca="1" si="95"/>
        <v>0</v>
      </c>
      <c r="DA17" s="265">
        <f t="shared" ca="1" si="96"/>
        <v>0</v>
      </c>
    </row>
    <row r="18" spans="1:105" s="262" customFormat="1" ht="15" customHeight="1">
      <c r="A18" s="63">
        <f t="array" aca="1" ref="A18" ca="1">IF(C18&lt;&gt;0,SUM(($C$11:C18&lt;&gt;0)*1),"")</f>
        <v>8</v>
      </c>
      <c r="B18" s="263" t="str">
        <f ca="1">IF(ROWS($1:8)&gt;COUNT(Dong6),"",OFFSET(TH!C$1,SMALL(Dong6,ROWS($1:8)),))</f>
        <v/>
      </c>
      <c r="C18" s="263" t="str">
        <f ca="1">IF(ROWS($1:8)&gt;COUNT(Dong6),"",OFFSET(TH!D$1,SMALL(Dong6,ROWS($1:8)),))</f>
        <v/>
      </c>
      <c r="D18" s="263" t="str">
        <f ca="1">IF(ROWS($1:8)&gt;COUNT(Dong6),"",OFFSET(TH!E$1,SMALL(Dong6,ROWS($1:8)),))</f>
        <v/>
      </c>
      <c r="E18" s="313" t="str">
        <f ca="1">IF(ROWS($1:8)&gt;COUNT(Dong6),"",OFFSET(TH!F$1,SMALL(Dong6,ROWS($1:8)),))</f>
        <v/>
      </c>
      <c r="F18" s="314" t="str">
        <f ca="1">IF(ROWS($1:8)&gt;COUNT(Dong6),"",OFFSET(TH!M$1,SMALL(Dong6,ROWS($1:8)),))</f>
        <v/>
      </c>
      <c r="G18" s="315" t="str">
        <f ca="1">IF(ROWS($1:8)&gt;COUNT(Dong6),"",OFFSET(TH!N$1,SMALL(Dong6,ROWS($1:8)),))</f>
        <v/>
      </c>
      <c r="H18" s="315" t="str">
        <f ca="1">IF(ROWS($1:8)&gt;COUNT(Dong6),"",OFFSET(TH!O$1,SMALL(Dong6,ROWS($1:8)),))</f>
        <v/>
      </c>
      <c r="I18" s="63">
        <f t="shared" ca="1" si="0"/>
        <v>8</v>
      </c>
      <c r="J18" s="265">
        <f t="shared" ca="1" si="61"/>
        <v>0</v>
      </c>
      <c r="K18" s="265">
        <f t="shared" ca="1" si="62"/>
        <v>0</v>
      </c>
      <c r="L18" s="265">
        <f t="shared" ca="1" si="1"/>
        <v>0</v>
      </c>
      <c r="M18" s="265">
        <f t="shared" ca="1" si="2"/>
        <v>0</v>
      </c>
      <c r="N18" s="265">
        <f t="shared" ca="1" si="3"/>
        <v>0</v>
      </c>
      <c r="O18" s="265">
        <f t="shared" ca="1" si="4"/>
        <v>0</v>
      </c>
      <c r="P18" s="265">
        <f t="shared" ca="1" si="5"/>
        <v>0</v>
      </c>
      <c r="Q18" s="265">
        <f t="shared" ca="1" si="6"/>
        <v>0</v>
      </c>
      <c r="R18" s="265">
        <f t="shared" ca="1" si="7"/>
        <v>0</v>
      </c>
      <c r="S18" s="265">
        <f t="shared" ca="1" si="8"/>
        <v>0</v>
      </c>
      <c r="T18" s="265">
        <f t="shared" ca="1" si="9"/>
        <v>0</v>
      </c>
      <c r="U18" s="265">
        <f t="shared" ca="1" si="10"/>
        <v>0</v>
      </c>
      <c r="V18" s="265">
        <f t="shared" ca="1" si="11"/>
        <v>0</v>
      </c>
      <c r="W18" s="265">
        <f t="shared" ca="1" si="12"/>
        <v>0</v>
      </c>
      <c r="X18" s="265">
        <f t="shared" ca="1" si="13"/>
        <v>0</v>
      </c>
      <c r="Y18" s="265">
        <f t="shared" ca="1" si="14"/>
        <v>0</v>
      </c>
      <c r="Z18" s="265">
        <f t="shared" ca="1" si="15"/>
        <v>0</v>
      </c>
      <c r="AA18" s="265">
        <f t="shared" ca="1" si="16"/>
        <v>0</v>
      </c>
      <c r="AB18" s="265">
        <f t="shared" ca="1" si="63"/>
        <v>0</v>
      </c>
      <c r="AC18" s="265">
        <f t="shared" ca="1" si="64"/>
        <v>0</v>
      </c>
      <c r="AD18" s="265">
        <f t="shared" ca="1" si="17"/>
        <v>0</v>
      </c>
      <c r="AE18" s="265">
        <f t="shared" ca="1" si="18"/>
        <v>0</v>
      </c>
      <c r="AF18" s="265">
        <f t="shared" ca="1" si="19"/>
        <v>0</v>
      </c>
      <c r="AG18" s="265">
        <f t="shared" ca="1" si="20"/>
        <v>0</v>
      </c>
      <c r="AH18" s="265">
        <f t="shared" ca="1" si="65"/>
        <v>0</v>
      </c>
      <c r="AI18" s="265">
        <f t="shared" ca="1" si="66"/>
        <v>0</v>
      </c>
      <c r="AJ18" s="265">
        <f t="shared" ca="1" si="67"/>
        <v>0</v>
      </c>
      <c r="AK18" s="265">
        <f t="shared" ca="1" si="68"/>
        <v>0</v>
      </c>
      <c r="AL18" s="265">
        <f t="shared" ca="1" si="69"/>
        <v>0</v>
      </c>
      <c r="AM18" s="265">
        <f t="shared" ca="1" si="70"/>
        <v>0</v>
      </c>
      <c r="AN18" s="265">
        <f t="shared" ca="1" si="71"/>
        <v>0</v>
      </c>
      <c r="AO18" s="265">
        <f t="shared" ca="1" si="72"/>
        <v>0</v>
      </c>
      <c r="AP18" s="265">
        <f t="shared" ca="1" si="21"/>
        <v>0</v>
      </c>
      <c r="AQ18" s="265">
        <f t="shared" ca="1" si="22"/>
        <v>0</v>
      </c>
      <c r="AR18" s="265">
        <f t="shared" ca="1" si="23"/>
        <v>0</v>
      </c>
      <c r="AS18" s="265">
        <f t="shared" ca="1" si="24"/>
        <v>0</v>
      </c>
      <c r="AT18" s="265">
        <f t="shared" ca="1" si="73"/>
        <v>0</v>
      </c>
      <c r="AU18" s="265">
        <f t="shared" ca="1" si="74"/>
        <v>0</v>
      </c>
      <c r="AV18" s="265">
        <f t="shared" ca="1" si="25"/>
        <v>0</v>
      </c>
      <c r="AW18" s="265">
        <f t="shared" ca="1" si="26"/>
        <v>0</v>
      </c>
      <c r="AX18" s="265">
        <f t="shared" ca="1" si="27"/>
        <v>0</v>
      </c>
      <c r="AY18" s="265">
        <f t="shared" ca="1" si="28"/>
        <v>0</v>
      </c>
      <c r="AZ18" s="265">
        <f t="shared" ca="1" si="29"/>
        <v>0</v>
      </c>
      <c r="BA18" s="265">
        <f t="shared" ca="1" si="30"/>
        <v>0</v>
      </c>
      <c r="BB18" s="265">
        <f t="shared" ca="1" si="31"/>
        <v>0</v>
      </c>
      <c r="BC18" s="265">
        <f t="shared" ca="1" si="32"/>
        <v>0</v>
      </c>
      <c r="BD18" s="265">
        <f t="shared" ca="1" si="33"/>
        <v>0</v>
      </c>
      <c r="BE18" s="265">
        <f t="shared" ca="1" si="34"/>
        <v>0</v>
      </c>
      <c r="BF18" s="265">
        <f t="shared" ca="1" si="35"/>
        <v>0</v>
      </c>
      <c r="BG18" s="265">
        <f t="shared" ca="1" si="36"/>
        <v>0</v>
      </c>
      <c r="BH18" s="265">
        <f t="shared" ca="1" si="75"/>
        <v>0</v>
      </c>
      <c r="BI18" s="265">
        <f t="shared" ca="1" si="76"/>
        <v>0</v>
      </c>
      <c r="BJ18" s="265">
        <f t="shared" ca="1" si="37"/>
        <v>0</v>
      </c>
      <c r="BK18" s="265">
        <f t="shared" ca="1" si="38"/>
        <v>0</v>
      </c>
      <c r="BL18" s="265">
        <f t="shared" ca="1" si="39"/>
        <v>0</v>
      </c>
      <c r="BM18" s="265">
        <f t="shared" ca="1" si="40"/>
        <v>0</v>
      </c>
      <c r="BN18" s="265">
        <f t="shared" ca="1" si="41"/>
        <v>0</v>
      </c>
      <c r="BO18" s="265">
        <f t="shared" ca="1" si="42"/>
        <v>0</v>
      </c>
      <c r="BP18" s="265">
        <f t="shared" ca="1" si="77"/>
        <v>0</v>
      </c>
      <c r="BQ18" s="265">
        <f t="shared" ca="1" si="78"/>
        <v>0</v>
      </c>
      <c r="BR18" s="265">
        <f t="shared" ca="1" si="43"/>
        <v>0</v>
      </c>
      <c r="BS18" s="265">
        <f t="shared" ca="1" si="44"/>
        <v>0</v>
      </c>
      <c r="BT18" s="265">
        <f t="shared" ca="1" si="79"/>
        <v>0</v>
      </c>
      <c r="BU18" s="265">
        <f t="shared" ca="1" si="80"/>
        <v>0</v>
      </c>
      <c r="BV18" s="265">
        <f t="shared" ca="1" si="81"/>
        <v>0</v>
      </c>
      <c r="BW18" s="265">
        <f t="shared" ca="1" si="82"/>
        <v>0</v>
      </c>
      <c r="BX18" s="265">
        <f t="shared" ca="1" si="45"/>
        <v>0</v>
      </c>
      <c r="BY18" s="265">
        <f t="shared" ca="1" si="46"/>
        <v>0</v>
      </c>
      <c r="BZ18" s="265">
        <f t="shared" ca="1" si="47"/>
        <v>0</v>
      </c>
      <c r="CA18" s="265">
        <f t="shared" ca="1" si="48"/>
        <v>0</v>
      </c>
      <c r="CB18" s="265">
        <f t="shared" ca="1" si="49"/>
        <v>0</v>
      </c>
      <c r="CC18" s="265">
        <f t="shared" ca="1" si="50"/>
        <v>0</v>
      </c>
      <c r="CD18" s="265">
        <f t="shared" ca="1" si="83"/>
        <v>0</v>
      </c>
      <c r="CE18" s="265">
        <f t="shared" ca="1" si="84"/>
        <v>0</v>
      </c>
      <c r="CF18" s="265">
        <f t="shared" ca="1" si="85"/>
        <v>0</v>
      </c>
      <c r="CG18" s="265">
        <f t="shared" ca="1" si="86"/>
        <v>0</v>
      </c>
      <c r="CH18" s="265">
        <f t="shared" ca="1" si="51"/>
        <v>0</v>
      </c>
      <c r="CI18" s="265">
        <f t="shared" ca="1" si="52"/>
        <v>0</v>
      </c>
      <c r="CJ18" s="265">
        <f t="shared" ca="1" si="87"/>
        <v>0</v>
      </c>
      <c r="CK18" s="265">
        <f t="shared" ca="1" si="88"/>
        <v>0</v>
      </c>
      <c r="CL18" s="265">
        <f t="shared" ca="1" si="53"/>
        <v>0</v>
      </c>
      <c r="CM18" s="265">
        <f t="shared" ca="1" si="54"/>
        <v>0</v>
      </c>
      <c r="CN18" s="265">
        <f t="shared" ca="1" si="55"/>
        <v>0</v>
      </c>
      <c r="CO18" s="265">
        <f t="shared" ca="1" si="56"/>
        <v>0</v>
      </c>
      <c r="CP18" s="265">
        <f t="shared" ca="1" si="89"/>
        <v>0</v>
      </c>
      <c r="CQ18" s="265">
        <f t="shared" ca="1" si="90"/>
        <v>0</v>
      </c>
      <c r="CR18" s="265">
        <f t="shared" ca="1" si="91"/>
        <v>0</v>
      </c>
      <c r="CS18" s="265">
        <f t="shared" ca="1" si="92"/>
        <v>0</v>
      </c>
      <c r="CT18" s="265">
        <f t="shared" ca="1" si="57"/>
        <v>0</v>
      </c>
      <c r="CU18" s="265">
        <f t="shared" ca="1" si="58"/>
        <v>0</v>
      </c>
      <c r="CV18" s="265">
        <f t="shared" ca="1" si="59"/>
        <v>0</v>
      </c>
      <c r="CW18" s="265">
        <f t="shared" ca="1" si="60"/>
        <v>0</v>
      </c>
      <c r="CX18" s="265">
        <f t="shared" ca="1" si="93"/>
        <v>0</v>
      </c>
      <c r="CY18" s="265">
        <f t="shared" ca="1" si="94"/>
        <v>0</v>
      </c>
      <c r="CZ18" s="265">
        <f t="shared" ca="1" si="95"/>
        <v>0</v>
      </c>
      <c r="DA18" s="265">
        <f t="shared" ca="1" si="96"/>
        <v>0</v>
      </c>
    </row>
    <row r="19" spans="1:105" s="262" customFormat="1" ht="15" customHeight="1">
      <c r="A19" s="63">
        <f t="array" aca="1" ref="A19" ca="1">IF(C19&lt;&gt;0,SUM(($C$11:C19&lt;&gt;0)*1),"")</f>
        <v>9</v>
      </c>
      <c r="B19" s="263" t="str">
        <f ca="1">IF(ROWS($1:9)&gt;COUNT(Dong6),"",OFFSET(TH!C$1,SMALL(Dong6,ROWS($1:9)),))</f>
        <v/>
      </c>
      <c r="C19" s="263" t="str">
        <f ca="1">IF(ROWS($1:9)&gt;COUNT(Dong6),"",OFFSET(TH!D$1,SMALL(Dong6,ROWS($1:9)),))</f>
        <v/>
      </c>
      <c r="D19" s="263" t="str">
        <f ca="1">IF(ROWS($1:9)&gt;COUNT(Dong6),"",OFFSET(TH!E$1,SMALL(Dong6,ROWS($1:9)),))</f>
        <v/>
      </c>
      <c r="E19" s="313" t="str">
        <f ca="1">IF(ROWS($1:9)&gt;COUNT(Dong6),"",OFFSET(TH!F$1,SMALL(Dong6,ROWS($1:9)),))</f>
        <v/>
      </c>
      <c r="F19" s="314" t="str">
        <f ca="1">IF(ROWS($1:9)&gt;COUNT(Dong6),"",OFFSET(TH!M$1,SMALL(Dong6,ROWS($1:9)),))</f>
        <v/>
      </c>
      <c r="G19" s="315" t="str">
        <f ca="1">IF(ROWS($1:9)&gt;COUNT(Dong6),"",OFFSET(TH!N$1,SMALL(Dong6,ROWS($1:9)),))</f>
        <v/>
      </c>
      <c r="H19" s="315" t="str">
        <f ca="1">IF(ROWS($1:9)&gt;COUNT(Dong6),"",OFFSET(TH!O$1,SMALL(Dong6,ROWS($1:9)),))</f>
        <v/>
      </c>
      <c r="I19" s="63">
        <f t="shared" ca="1" si="0"/>
        <v>9</v>
      </c>
      <c r="J19" s="265">
        <f t="shared" ca="1" si="61"/>
        <v>0</v>
      </c>
      <c r="K19" s="265">
        <f t="shared" ca="1" si="62"/>
        <v>0</v>
      </c>
      <c r="L19" s="265">
        <f t="shared" ca="1" si="1"/>
        <v>0</v>
      </c>
      <c r="M19" s="265">
        <f t="shared" ca="1" si="2"/>
        <v>0</v>
      </c>
      <c r="N19" s="265">
        <f t="shared" ca="1" si="3"/>
        <v>0</v>
      </c>
      <c r="O19" s="265">
        <f t="shared" ca="1" si="4"/>
        <v>0</v>
      </c>
      <c r="P19" s="265">
        <f t="shared" ca="1" si="5"/>
        <v>0</v>
      </c>
      <c r="Q19" s="265">
        <f t="shared" ca="1" si="6"/>
        <v>0</v>
      </c>
      <c r="R19" s="265">
        <f t="shared" ca="1" si="7"/>
        <v>0</v>
      </c>
      <c r="S19" s="265">
        <f t="shared" ca="1" si="8"/>
        <v>0</v>
      </c>
      <c r="T19" s="265">
        <f t="shared" ca="1" si="9"/>
        <v>0</v>
      </c>
      <c r="U19" s="265">
        <f t="shared" ca="1" si="10"/>
        <v>0</v>
      </c>
      <c r="V19" s="265">
        <f t="shared" ca="1" si="11"/>
        <v>0</v>
      </c>
      <c r="W19" s="265">
        <f t="shared" ca="1" si="12"/>
        <v>0</v>
      </c>
      <c r="X19" s="265">
        <f t="shared" ca="1" si="13"/>
        <v>0</v>
      </c>
      <c r="Y19" s="265">
        <f t="shared" ca="1" si="14"/>
        <v>0</v>
      </c>
      <c r="Z19" s="265">
        <f t="shared" ca="1" si="15"/>
        <v>0</v>
      </c>
      <c r="AA19" s="265">
        <f t="shared" ca="1" si="16"/>
        <v>0</v>
      </c>
      <c r="AB19" s="265">
        <f t="shared" ca="1" si="63"/>
        <v>0</v>
      </c>
      <c r="AC19" s="265">
        <f t="shared" ca="1" si="64"/>
        <v>0</v>
      </c>
      <c r="AD19" s="265">
        <f t="shared" ca="1" si="17"/>
        <v>0</v>
      </c>
      <c r="AE19" s="265">
        <f t="shared" ca="1" si="18"/>
        <v>0</v>
      </c>
      <c r="AF19" s="265">
        <f t="shared" ca="1" si="19"/>
        <v>0</v>
      </c>
      <c r="AG19" s="265">
        <f t="shared" ca="1" si="20"/>
        <v>0</v>
      </c>
      <c r="AH19" s="265">
        <f t="shared" ca="1" si="65"/>
        <v>0</v>
      </c>
      <c r="AI19" s="265">
        <f t="shared" ca="1" si="66"/>
        <v>0</v>
      </c>
      <c r="AJ19" s="265">
        <f t="shared" ca="1" si="67"/>
        <v>0</v>
      </c>
      <c r="AK19" s="265">
        <f t="shared" ca="1" si="68"/>
        <v>0</v>
      </c>
      <c r="AL19" s="265">
        <f t="shared" ca="1" si="69"/>
        <v>0</v>
      </c>
      <c r="AM19" s="265">
        <f t="shared" ca="1" si="70"/>
        <v>0</v>
      </c>
      <c r="AN19" s="265">
        <f t="shared" ca="1" si="71"/>
        <v>0</v>
      </c>
      <c r="AO19" s="265">
        <f t="shared" ca="1" si="72"/>
        <v>0</v>
      </c>
      <c r="AP19" s="265">
        <f t="shared" ca="1" si="21"/>
        <v>0</v>
      </c>
      <c r="AQ19" s="265">
        <f t="shared" ca="1" si="22"/>
        <v>0</v>
      </c>
      <c r="AR19" s="265">
        <f t="shared" ca="1" si="23"/>
        <v>0</v>
      </c>
      <c r="AS19" s="265">
        <f t="shared" ca="1" si="24"/>
        <v>0</v>
      </c>
      <c r="AT19" s="265">
        <f t="shared" ca="1" si="73"/>
        <v>0</v>
      </c>
      <c r="AU19" s="265">
        <f t="shared" ca="1" si="74"/>
        <v>0</v>
      </c>
      <c r="AV19" s="265">
        <f t="shared" ca="1" si="25"/>
        <v>0</v>
      </c>
      <c r="AW19" s="265">
        <f t="shared" ca="1" si="26"/>
        <v>0</v>
      </c>
      <c r="AX19" s="265">
        <f t="shared" ca="1" si="27"/>
        <v>0</v>
      </c>
      <c r="AY19" s="265">
        <f t="shared" ca="1" si="28"/>
        <v>0</v>
      </c>
      <c r="AZ19" s="265">
        <f t="shared" ca="1" si="29"/>
        <v>0</v>
      </c>
      <c r="BA19" s="265">
        <f t="shared" ca="1" si="30"/>
        <v>0</v>
      </c>
      <c r="BB19" s="265">
        <f t="shared" ca="1" si="31"/>
        <v>0</v>
      </c>
      <c r="BC19" s="265">
        <f t="shared" ca="1" si="32"/>
        <v>0</v>
      </c>
      <c r="BD19" s="265">
        <f t="shared" ca="1" si="33"/>
        <v>0</v>
      </c>
      <c r="BE19" s="265">
        <f t="shared" ca="1" si="34"/>
        <v>0</v>
      </c>
      <c r="BF19" s="265">
        <f t="shared" ca="1" si="35"/>
        <v>0</v>
      </c>
      <c r="BG19" s="265">
        <f t="shared" ca="1" si="36"/>
        <v>0</v>
      </c>
      <c r="BH19" s="265">
        <f t="shared" ca="1" si="75"/>
        <v>0</v>
      </c>
      <c r="BI19" s="265">
        <f t="shared" ca="1" si="76"/>
        <v>0</v>
      </c>
      <c r="BJ19" s="265">
        <f t="shared" ca="1" si="37"/>
        <v>0</v>
      </c>
      <c r="BK19" s="265">
        <f t="shared" ca="1" si="38"/>
        <v>0</v>
      </c>
      <c r="BL19" s="265">
        <f t="shared" ca="1" si="39"/>
        <v>0</v>
      </c>
      <c r="BM19" s="265">
        <f t="shared" ca="1" si="40"/>
        <v>0</v>
      </c>
      <c r="BN19" s="265">
        <f t="shared" ca="1" si="41"/>
        <v>0</v>
      </c>
      <c r="BO19" s="265">
        <f t="shared" ca="1" si="42"/>
        <v>0</v>
      </c>
      <c r="BP19" s="265">
        <f t="shared" ca="1" si="77"/>
        <v>0</v>
      </c>
      <c r="BQ19" s="265">
        <f t="shared" ca="1" si="78"/>
        <v>0</v>
      </c>
      <c r="BR19" s="265">
        <f t="shared" ca="1" si="43"/>
        <v>0</v>
      </c>
      <c r="BS19" s="265">
        <f t="shared" ca="1" si="44"/>
        <v>0</v>
      </c>
      <c r="BT19" s="265">
        <f t="shared" ca="1" si="79"/>
        <v>0</v>
      </c>
      <c r="BU19" s="265">
        <f t="shared" ca="1" si="80"/>
        <v>0</v>
      </c>
      <c r="BV19" s="265">
        <f t="shared" ca="1" si="81"/>
        <v>0</v>
      </c>
      <c r="BW19" s="265">
        <f t="shared" ca="1" si="82"/>
        <v>0</v>
      </c>
      <c r="BX19" s="265">
        <f t="shared" ca="1" si="45"/>
        <v>0</v>
      </c>
      <c r="BY19" s="265">
        <f t="shared" ca="1" si="46"/>
        <v>0</v>
      </c>
      <c r="BZ19" s="265">
        <f t="shared" ca="1" si="47"/>
        <v>0</v>
      </c>
      <c r="CA19" s="265">
        <f t="shared" ca="1" si="48"/>
        <v>0</v>
      </c>
      <c r="CB19" s="265">
        <f t="shared" ca="1" si="49"/>
        <v>0</v>
      </c>
      <c r="CC19" s="265">
        <f t="shared" ca="1" si="50"/>
        <v>0</v>
      </c>
      <c r="CD19" s="265">
        <f t="shared" ca="1" si="83"/>
        <v>0</v>
      </c>
      <c r="CE19" s="265">
        <f t="shared" ca="1" si="84"/>
        <v>0</v>
      </c>
      <c r="CF19" s="265">
        <f t="shared" ca="1" si="85"/>
        <v>0</v>
      </c>
      <c r="CG19" s="265">
        <f t="shared" ca="1" si="86"/>
        <v>0</v>
      </c>
      <c r="CH19" s="265">
        <f t="shared" ca="1" si="51"/>
        <v>0</v>
      </c>
      <c r="CI19" s="265">
        <f t="shared" ca="1" si="52"/>
        <v>0</v>
      </c>
      <c r="CJ19" s="265">
        <f t="shared" ca="1" si="87"/>
        <v>0</v>
      </c>
      <c r="CK19" s="265">
        <f t="shared" ca="1" si="88"/>
        <v>0</v>
      </c>
      <c r="CL19" s="265">
        <f t="shared" ca="1" si="53"/>
        <v>0</v>
      </c>
      <c r="CM19" s="265">
        <f t="shared" ca="1" si="54"/>
        <v>0</v>
      </c>
      <c r="CN19" s="265">
        <f t="shared" ca="1" si="55"/>
        <v>0</v>
      </c>
      <c r="CO19" s="265">
        <f t="shared" ca="1" si="56"/>
        <v>0</v>
      </c>
      <c r="CP19" s="265">
        <f t="shared" ca="1" si="89"/>
        <v>0</v>
      </c>
      <c r="CQ19" s="265">
        <f t="shared" ca="1" si="90"/>
        <v>0</v>
      </c>
      <c r="CR19" s="265">
        <f t="shared" ca="1" si="91"/>
        <v>0</v>
      </c>
      <c r="CS19" s="265">
        <f t="shared" ca="1" si="92"/>
        <v>0</v>
      </c>
      <c r="CT19" s="265">
        <f t="shared" ca="1" si="57"/>
        <v>0</v>
      </c>
      <c r="CU19" s="265">
        <f t="shared" ca="1" si="58"/>
        <v>0</v>
      </c>
      <c r="CV19" s="265">
        <f t="shared" ca="1" si="59"/>
        <v>0</v>
      </c>
      <c r="CW19" s="265">
        <f t="shared" ca="1" si="60"/>
        <v>0</v>
      </c>
      <c r="CX19" s="265">
        <f t="shared" ca="1" si="93"/>
        <v>0</v>
      </c>
      <c r="CY19" s="265">
        <f t="shared" ca="1" si="94"/>
        <v>0</v>
      </c>
      <c r="CZ19" s="265">
        <f t="shared" ca="1" si="95"/>
        <v>0</v>
      </c>
      <c r="DA19" s="265">
        <f t="shared" ca="1" si="96"/>
        <v>0</v>
      </c>
    </row>
    <row r="20" spans="1:105" s="262" customFormat="1" ht="15" customHeight="1">
      <c r="A20" s="63">
        <f t="array" aca="1" ref="A20" ca="1">IF(C20&lt;&gt;0,SUM(($C$11:C20&lt;&gt;0)*1),"")</f>
        <v>10</v>
      </c>
      <c r="B20" s="263" t="str">
        <f ca="1">IF(ROWS($1:10)&gt;COUNT(Dong6),"",OFFSET(TH!C$1,SMALL(Dong6,ROWS($1:10)),))</f>
        <v/>
      </c>
      <c r="C20" s="263" t="str">
        <f ca="1">IF(ROWS($1:10)&gt;COUNT(Dong6),"",OFFSET(TH!D$1,SMALL(Dong6,ROWS($1:10)),))</f>
        <v/>
      </c>
      <c r="D20" s="263" t="str">
        <f ca="1">IF(ROWS($1:10)&gt;COUNT(Dong6),"",OFFSET(TH!E$1,SMALL(Dong6,ROWS($1:10)),))</f>
        <v/>
      </c>
      <c r="E20" s="313" t="str">
        <f ca="1">IF(ROWS($1:10)&gt;COUNT(Dong6),"",OFFSET(TH!F$1,SMALL(Dong6,ROWS($1:10)),))</f>
        <v/>
      </c>
      <c r="F20" s="314" t="str">
        <f ca="1">IF(ROWS($1:10)&gt;COUNT(Dong6),"",OFFSET(TH!M$1,SMALL(Dong6,ROWS($1:10)),))</f>
        <v/>
      </c>
      <c r="G20" s="315" t="str">
        <f ca="1">IF(ROWS($1:10)&gt;COUNT(Dong6),"",OFFSET(TH!N$1,SMALL(Dong6,ROWS($1:10)),))</f>
        <v/>
      </c>
      <c r="H20" s="315" t="str">
        <f ca="1">IF(ROWS($1:10)&gt;COUNT(Dong6),"",OFFSET(TH!O$1,SMALL(Dong6,ROWS($1:10)),))</f>
        <v/>
      </c>
      <c r="I20" s="63">
        <f t="shared" ca="1" si="0"/>
        <v>10</v>
      </c>
      <c r="J20" s="265">
        <f t="shared" ca="1" si="61"/>
        <v>0</v>
      </c>
      <c r="K20" s="265">
        <f t="shared" ca="1" si="62"/>
        <v>0</v>
      </c>
      <c r="L20" s="265">
        <f t="shared" ca="1" si="1"/>
        <v>0</v>
      </c>
      <c r="M20" s="265">
        <f t="shared" ca="1" si="2"/>
        <v>0</v>
      </c>
      <c r="N20" s="265">
        <f t="shared" ca="1" si="3"/>
        <v>0</v>
      </c>
      <c r="O20" s="265">
        <f t="shared" ca="1" si="4"/>
        <v>0</v>
      </c>
      <c r="P20" s="265">
        <f t="shared" ca="1" si="5"/>
        <v>0</v>
      </c>
      <c r="Q20" s="265">
        <f t="shared" ca="1" si="6"/>
        <v>0</v>
      </c>
      <c r="R20" s="265">
        <f t="shared" ca="1" si="7"/>
        <v>0</v>
      </c>
      <c r="S20" s="265">
        <f t="shared" ca="1" si="8"/>
        <v>0</v>
      </c>
      <c r="T20" s="265">
        <f t="shared" ca="1" si="9"/>
        <v>0</v>
      </c>
      <c r="U20" s="265">
        <f t="shared" ca="1" si="10"/>
        <v>0</v>
      </c>
      <c r="V20" s="265">
        <f t="shared" ca="1" si="11"/>
        <v>0</v>
      </c>
      <c r="W20" s="265">
        <f t="shared" ca="1" si="12"/>
        <v>0</v>
      </c>
      <c r="X20" s="265">
        <f t="shared" ca="1" si="13"/>
        <v>0</v>
      </c>
      <c r="Y20" s="265">
        <f t="shared" ca="1" si="14"/>
        <v>0</v>
      </c>
      <c r="Z20" s="265">
        <f t="shared" ca="1" si="15"/>
        <v>0</v>
      </c>
      <c r="AA20" s="265">
        <f t="shared" ca="1" si="16"/>
        <v>0</v>
      </c>
      <c r="AB20" s="265">
        <f t="shared" ca="1" si="63"/>
        <v>0</v>
      </c>
      <c r="AC20" s="265">
        <f t="shared" ca="1" si="64"/>
        <v>0</v>
      </c>
      <c r="AD20" s="265">
        <f t="shared" ca="1" si="17"/>
        <v>0</v>
      </c>
      <c r="AE20" s="265">
        <f t="shared" ca="1" si="18"/>
        <v>0</v>
      </c>
      <c r="AF20" s="265">
        <f t="shared" ca="1" si="19"/>
        <v>0</v>
      </c>
      <c r="AG20" s="265">
        <f t="shared" ca="1" si="20"/>
        <v>0</v>
      </c>
      <c r="AH20" s="265">
        <f t="shared" ca="1" si="65"/>
        <v>0</v>
      </c>
      <c r="AI20" s="265">
        <f t="shared" ca="1" si="66"/>
        <v>0</v>
      </c>
      <c r="AJ20" s="265">
        <f t="shared" ca="1" si="67"/>
        <v>0</v>
      </c>
      <c r="AK20" s="265">
        <f t="shared" ca="1" si="68"/>
        <v>0</v>
      </c>
      <c r="AL20" s="265">
        <f t="shared" ca="1" si="69"/>
        <v>0</v>
      </c>
      <c r="AM20" s="265">
        <f t="shared" ca="1" si="70"/>
        <v>0</v>
      </c>
      <c r="AN20" s="265">
        <f t="shared" ca="1" si="71"/>
        <v>0</v>
      </c>
      <c r="AO20" s="265">
        <f t="shared" ca="1" si="72"/>
        <v>0</v>
      </c>
      <c r="AP20" s="265">
        <f t="shared" ca="1" si="21"/>
        <v>0</v>
      </c>
      <c r="AQ20" s="265">
        <f t="shared" ca="1" si="22"/>
        <v>0</v>
      </c>
      <c r="AR20" s="265">
        <f t="shared" ca="1" si="23"/>
        <v>0</v>
      </c>
      <c r="AS20" s="265">
        <f t="shared" ca="1" si="24"/>
        <v>0</v>
      </c>
      <c r="AT20" s="265">
        <f t="shared" ca="1" si="73"/>
        <v>0</v>
      </c>
      <c r="AU20" s="265">
        <f t="shared" ca="1" si="74"/>
        <v>0</v>
      </c>
      <c r="AV20" s="265">
        <f t="shared" ca="1" si="25"/>
        <v>0</v>
      </c>
      <c r="AW20" s="265">
        <f t="shared" ca="1" si="26"/>
        <v>0</v>
      </c>
      <c r="AX20" s="265">
        <f t="shared" ca="1" si="27"/>
        <v>0</v>
      </c>
      <c r="AY20" s="265">
        <f t="shared" ca="1" si="28"/>
        <v>0</v>
      </c>
      <c r="AZ20" s="265">
        <f t="shared" ca="1" si="29"/>
        <v>0</v>
      </c>
      <c r="BA20" s="265">
        <f t="shared" ca="1" si="30"/>
        <v>0</v>
      </c>
      <c r="BB20" s="265">
        <f t="shared" ca="1" si="31"/>
        <v>0</v>
      </c>
      <c r="BC20" s="265">
        <f t="shared" ca="1" si="32"/>
        <v>0</v>
      </c>
      <c r="BD20" s="265">
        <f t="shared" ca="1" si="33"/>
        <v>0</v>
      </c>
      <c r="BE20" s="265">
        <f t="shared" ca="1" si="34"/>
        <v>0</v>
      </c>
      <c r="BF20" s="265">
        <f t="shared" ca="1" si="35"/>
        <v>0</v>
      </c>
      <c r="BG20" s="265">
        <f t="shared" ca="1" si="36"/>
        <v>0</v>
      </c>
      <c r="BH20" s="265">
        <f t="shared" ca="1" si="75"/>
        <v>0</v>
      </c>
      <c r="BI20" s="265">
        <f t="shared" ca="1" si="76"/>
        <v>0</v>
      </c>
      <c r="BJ20" s="265">
        <f t="shared" ca="1" si="37"/>
        <v>0</v>
      </c>
      <c r="BK20" s="265">
        <f t="shared" ca="1" si="38"/>
        <v>0</v>
      </c>
      <c r="BL20" s="265">
        <f t="shared" ca="1" si="39"/>
        <v>0</v>
      </c>
      <c r="BM20" s="265">
        <f t="shared" ca="1" si="40"/>
        <v>0</v>
      </c>
      <c r="BN20" s="265">
        <f t="shared" ca="1" si="41"/>
        <v>0</v>
      </c>
      <c r="BO20" s="265">
        <f t="shared" ca="1" si="42"/>
        <v>0</v>
      </c>
      <c r="BP20" s="265">
        <f t="shared" ca="1" si="77"/>
        <v>0</v>
      </c>
      <c r="BQ20" s="265">
        <f t="shared" ca="1" si="78"/>
        <v>0</v>
      </c>
      <c r="BR20" s="265">
        <f t="shared" ca="1" si="43"/>
        <v>0</v>
      </c>
      <c r="BS20" s="265">
        <f t="shared" ca="1" si="44"/>
        <v>0</v>
      </c>
      <c r="BT20" s="265">
        <f t="shared" ca="1" si="79"/>
        <v>0</v>
      </c>
      <c r="BU20" s="265">
        <f t="shared" ca="1" si="80"/>
        <v>0</v>
      </c>
      <c r="BV20" s="265">
        <f t="shared" ca="1" si="81"/>
        <v>0</v>
      </c>
      <c r="BW20" s="265">
        <f t="shared" ca="1" si="82"/>
        <v>0</v>
      </c>
      <c r="BX20" s="265">
        <f t="shared" ca="1" si="45"/>
        <v>0</v>
      </c>
      <c r="BY20" s="265">
        <f t="shared" ca="1" si="46"/>
        <v>0</v>
      </c>
      <c r="BZ20" s="265">
        <f t="shared" ca="1" si="47"/>
        <v>0</v>
      </c>
      <c r="CA20" s="265">
        <f t="shared" ca="1" si="48"/>
        <v>0</v>
      </c>
      <c r="CB20" s="265">
        <f t="shared" ca="1" si="49"/>
        <v>0</v>
      </c>
      <c r="CC20" s="265">
        <f t="shared" ca="1" si="50"/>
        <v>0</v>
      </c>
      <c r="CD20" s="265">
        <f t="shared" ca="1" si="83"/>
        <v>0</v>
      </c>
      <c r="CE20" s="265">
        <f t="shared" ca="1" si="84"/>
        <v>0</v>
      </c>
      <c r="CF20" s="265">
        <f t="shared" ca="1" si="85"/>
        <v>0</v>
      </c>
      <c r="CG20" s="265">
        <f t="shared" ca="1" si="86"/>
        <v>0</v>
      </c>
      <c r="CH20" s="265">
        <f t="shared" ca="1" si="51"/>
        <v>0</v>
      </c>
      <c r="CI20" s="265">
        <f t="shared" ca="1" si="52"/>
        <v>0</v>
      </c>
      <c r="CJ20" s="265">
        <f t="shared" ca="1" si="87"/>
        <v>0</v>
      </c>
      <c r="CK20" s="265">
        <f t="shared" ca="1" si="88"/>
        <v>0</v>
      </c>
      <c r="CL20" s="265">
        <f t="shared" ca="1" si="53"/>
        <v>0</v>
      </c>
      <c r="CM20" s="265">
        <f t="shared" ca="1" si="54"/>
        <v>0</v>
      </c>
      <c r="CN20" s="265">
        <f t="shared" ca="1" si="55"/>
        <v>0</v>
      </c>
      <c r="CO20" s="265">
        <f t="shared" ca="1" si="56"/>
        <v>0</v>
      </c>
      <c r="CP20" s="265">
        <f t="shared" ca="1" si="89"/>
        <v>0</v>
      </c>
      <c r="CQ20" s="265">
        <f t="shared" ca="1" si="90"/>
        <v>0</v>
      </c>
      <c r="CR20" s="265">
        <f t="shared" ca="1" si="91"/>
        <v>0</v>
      </c>
      <c r="CS20" s="265">
        <f t="shared" ca="1" si="92"/>
        <v>0</v>
      </c>
      <c r="CT20" s="265">
        <f t="shared" ca="1" si="57"/>
        <v>0</v>
      </c>
      <c r="CU20" s="265">
        <f t="shared" ca="1" si="58"/>
        <v>0</v>
      </c>
      <c r="CV20" s="265">
        <f t="shared" ca="1" si="59"/>
        <v>0</v>
      </c>
      <c r="CW20" s="265">
        <f t="shared" ca="1" si="60"/>
        <v>0</v>
      </c>
      <c r="CX20" s="265">
        <f t="shared" ca="1" si="93"/>
        <v>0</v>
      </c>
      <c r="CY20" s="265">
        <f t="shared" ca="1" si="94"/>
        <v>0</v>
      </c>
      <c r="CZ20" s="265">
        <f t="shared" ca="1" si="95"/>
        <v>0</v>
      </c>
      <c r="DA20" s="265">
        <f t="shared" ca="1" si="96"/>
        <v>0</v>
      </c>
    </row>
    <row r="21" spans="1:105" s="262" customFormat="1" ht="15" customHeight="1">
      <c r="A21" s="63">
        <f t="array" aca="1" ref="A21" ca="1">IF(C21&lt;&gt;0,SUM(($C$11:C21&lt;&gt;0)*1),"")</f>
        <v>11</v>
      </c>
      <c r="B21" s="263" t="str">
        <f ca="1">IF(ROWS($1:11)&gt;COUNT(Dong6),"",OFFSET(TH!C$1,SMALL(Dong6,ROWS($1:11)),))</f>
        <v/>
      </c>
      <c r="C21" s="263" t="str">
        <f ca="1">IF(ROWS($1:11)&gt;COUNT(Dong6),"",OFFSET(TH!D$1,SMALL(Dong6,ROWS($1:11)),))</f>
        <v/>
      </c>
      <c r="D21" s="263" t="str">
        <f ca="1">IF(ROWS($1:11)&gt;COUNT(Dong6),"",OFFSET(TH!E$1,SMALL(Dong6,ROWS($1:11)),))</f>
        <v/>
      </c>
      <c r="E21" s="313" t="str">
        <f ca="1">IF(ROWS($1:11)&gt;COUNT(Dong6),"",OFFSET(TH!F$1,SMALL(Dong6,ROWS($1:11)),))</f>
        <v/>
      </c>
      <c r="F21" s="314" t="str">
        <f ca="1">IF(ROWS($1:11)&gt;COUNT(Dong6),"",OFFSET(TH!M$1,SMALL(Dong6,ROWS($1:11)),))</f>
        <v/>
      </c>
      <c r="G21" s="315" t="str">
        <f ca="1">IF(ROWS($1:11)&gt;COUNT(Dong6),"",OFFSET(TH!N$1,SMALL(Dong6,ROWS($1:11)),))</f>
        <v/>
      </c>
      <c r="H21" s="315" t="str">
        <f ca="1">IF(ROWS($1:11)&gt;COUNT(Dong6),"",OFFSET(TH!O$1,SMALL(Dong6,ROWS($1:11)),))</f>
        <v/>
      </c>
      <c r="I21" s="63">
        <f t="shared" ca="1" si="0"/>
        <v>11</v>
      </c>
      <c r="J21" s="265">
        <f t="shared" ca="1" si="61"/>
        <v>0</v>
      </c>
      <c r="K21" s="265">
        <f t="shared" ca="1" si="62"/>
        <v>0</v>
      </c>
      <c r="L21" s="265">
        <f t="shared" ca="1" si="1"/>
        <v>0</v>
      </c>
      <c r="M21" s="265">
        <f t="shared" ca="1" si="2"/>
        <v>0</v>
      </c>
      <c r="N21" s="265">
        <f t="shared" ca="1" si="3"/>
        <v>0</v>
      </c>
      <c r="O21" s="265">
        <f t="shared" ca="1" si="4"/>
        <v>0</v>
      </c>
      <c r="P21" s="265">
        <f t="shared" ca="1" si="5"/>
        <v>0</v>
      </c>
      <c r="Q21" s="265">
        <f t="shared" ca="1" si="6"/>
        <v>0</v>
      </c>
      <c r="R21" s="265">
        <f t="shared" ca="1" si="7"/>
        <v>0</v>
      </c>
      <c r="S21" s="265">
        <f t="shared" ca="1" si="8"/>
        <v>0</v>
      </c>
      <c r="T21" s="265">
        <f t="shared" ca="1" si="9"/>
        <v>0</v>
      </c>
      <c r="U21" s="265">
        <f t="shared" ca="1" si="10"/>
        <v>0</v>
      </c>
      <c r="V21" s="265">
        <f t="shared" ca="1" si="11"/>
        <v>0</v>
      </c>
      <c r="W21" s="265">
        <f t="shared" ca="1" si="12"/>
        <v>0</v>
      </c>
      <c r="X21" s="265">
        <f t="shared" ca="1" si="13"/>
        <v>0</v>
      </c>
      <c r="Y21" s="265">
        <f t="shared" ca="1" si="14"/>
        <v>0</v>
      </c>
      <c r="Z21" s="265">
        <f t="shared" ca="1" si="15"/>
        <v>0</v>
      </c>
      <c r="AA21" s="265">
        <f t="shared" ca="1" si="16"/>
        <v>0</v>
      </c>
      <c r="AB21" s="265">
        <f t="shared" ca="1" si="63"/>
        <v>0</v>
      </c>
      <c r="AC21" s="265">
        <f t="shared" ca="1" si="64"/>
        <v>0</v>
      </c>
      <c r="AD21" s="265">
        <f t="shared" ca="1" si="17"/>
        <v>0</v>
      </c>
      <c r="AE21" s="265">
        <f t="shared" ca="1" si="18"/>
        <v>0</v>
      </c>
      <c r="AF21" s="265">
        <f t="shared" ca="1" si="19"/>
        <v>0</v>
      </c>
      <c r="AG21" s="265">
        <f t="shared" ca="1" si="20"/>
        <v>0</v>
      </c>
      <c r="AH21" s="265">
        <f t="shared" ca="1" si="65"/>
        <v>0</v>
      </c>
      <c r="AI21" s="265">
        <f t="shared" ca="1" si="66"/>
        <v>0</v>
      </c>
      <c r="AJ21" s="265">
        <f t="shared" ca="1" si="67"/>
        <v>0</v>
      </c>
      <c r="AK21" s="265">
        <f t="shared" ca="1" si="68"/>
        <v>0</v>
      </c>
      <c r="AL21" s="265">
        <f t="shared" ca="1" si="69"/>
        <v>0</v>
      </c>
      <c r="AM21" s="265">
        <f t="shared" ca="1" si="70"/>
        <v>0</v>
      </c>
      <c r="AN21" s="265">
        <f t="shared" ca="1" si="71"/>
        <v>0</v>
      </c>
      <c r="AO21" s="265">
        <f t="shared" ca="1" si="72"/>
        <v>0</v>
      </c>
      <c r="AP21" s="265">
        <f t="shared" ca="1" si="21"/>
        <v>0</v>
      </c>
      <c r="AQ21" s="265">
        <f t="shared" ca="1" si="22"/>
        <v>0</v>
      </c>
      <c r="AR21" s="265">
        <f t="shared" ca="1" si="23"/>
        <v>0</v>
      </c>
      <c r="AS21" s="265">
        <f t="shared" ca="1" si="24"/>
        <v>0</v>
      </c>
      <c r="AT21" s="265">
        <f t="shared" ca="1" si="73"/>
        <v>0</v>
      </c>
      <c r="AU21" s="265">
        <f t="shared" ca="1" si="74"/>
        <v>0</v>
      </c>
      <c r="AV21" s="265">
        <f t="shared" ca="1" si="25"/>
        <v>0</v>
      </c>
      <c r="AW21" s="265">
        <f t="shared" ca="1" si="26"/>
        <v>0</v>
      </c>
      <c r="AX21" s="265">
        <f t="shared" ca="1" si="27"/>
        <v>0</v>
      </c>
      <c r="AY21" s="265">
        <f t="shared" ca="1" si="28"/>
        <v>0</v>
      </c>
      <c r="AZ21" s="265">
        <f t="shared" ca="1" si="29"/>
        <v>0</v>
      </c>
      <c r="BA21" s="265">
        <f t="shared" ca="1" si="30"/>
        <v>0</v>
      </c>
      <c r="BB21" s="265">
        <f t="shared" ca="1" si="31"/>
        <v>0</v>
      </c>
      <c r="BC21" s="265">
        <f t="shared" ca="1" si="32"/>
        <v>0</v>
      </c>
      <c r="BD21" s="265">
        <f t="shared" ca="1" si="33"/>
        <v>0</v>
      </c>
      <c r="BE21" s="265">
        <f t="shared" ca="1" si="34"/>
        <v>0</v>
      </c>
      <c r="BF21" s="265">
        <f t="shared" ca="1" si="35"/>
        <v>0</v>
      </c>
      <c r="BG21" s="265">
        <f t="shared" ca="1" si="36"/>
        <v>0</v>
      </c>
      <c r="BH21" s="265">
        <f t="shared" ca="1" si="75"/>
        <v>0</v>
      </c>
      <c r="BI21" s="265">
        <f t="shared" ca="1" si="76"/>
        <v>0</v>
      </c>
      <c r="BJ21" s="265">
        <f t="shared" ca="1" si="37"/>
        <v>0</v>
      </c>
      <c r="BK21" s="265">
        <f t="shared" ca="1" si="38"/>
        <v>0</v>
      </c>
      <c r="BL21" s="265">
        <f t="shared" ca="1" si="39"/>
        <v>0</v>
      </c>
      <c r="BM21" s="265">
        <f t="shared" ca="1" si="40"/>
        <v>0</v>
      </c>
      <c r="BN21" s="265">
        <f t="shared" ca="1" si="41"/>
        <v>0</v>
      </c>
      <c r="BO21" s="265">
        <f t="shared" ca="1" si="42"/>
        <v>0</v>
      </c>
      <c r="BP21" s="265">
        <f t="shared" ca="1" si="77"/>
        <v>0</v>
      </c>
      <c r="BQ21" s="265">
        <f t="shared" ca="1" si="78"/>
        <v>0</v>
      </c>
      <c r="BR21" s="265">
        <f t="shared" ca="1" si="43"/>
        <v>0</v>
      </c>
      <c r="BS21" s="265">
        <f t="shared" ca="1" si="44"/>
        <v>0</v>
      </c>
      <c r="BT21" s="265">
        <f t="shared" ca="1" si="79"/>
        <v>0</v>
      </c>
      <c r="BU21" s="265">
        <f t="shared" ca="1" si="80"/>
        <v>0</v>
      </c>
      <c r="BV21" s="265">
        <f t="shared" ca="1" si="81"/>
        <v>0</v>
      </c>
      <c r="BW21" s="265">
        <f t="shared" ca="1" si="82"/>
        <v>0</v>
      </c>
      <c r="BX21" s="265">
        <f t="shared" ca="1" si="45"/>
        <v>0</v>
      </c>
      <c r="BY21" s="265">
        <f t="shared" ca="1" si="46"/>
        <v>0</v>
      </c>
      <c r="BZ21" s="265">
        <f t="shared" ca="1" si="47"/>
        <v>0</v>
      </c>
      <c r="CA21" s="265">
        <f t="shared" ca="1" si="48"/>
        <v>0</v>
      </c>
      <c r="CB21" s="265">
        <f t="shared" ca="1" si="49"/>
        <v>0</v>
      </c>
      <c r="CC21" s="265">
        <f t="shared" ca="1" si="50"/>
        <v>0</v>
      </c>
      <c r="CD21" s="265">
        <f t="shared" ca="1" si="83"/>
        <v>0</v>
      </c>
      <c r="CE21" s="265">
        <f t="shared" ca="1" si="84"/>
        <v>0</v>
      </c>
      <c r="CF21" s="265">
        <f t="shared" ca="1" si="85"/>
        <v>0</v>
      </c>
      <c r="CG21" s="265">
        <f t="shared" ca="1" si="86"/>
        <v>0</v>
      </c>
      <c r="CH21" s="265">
        <f t="shared" ca="1" si="51"/>
        <v>0</v>
      </c>
      <c r="CI21" s="265">
        <f t="shared" ca="1" si="52"/>
        <v>0</v>
      </c>
      <c r="CJ21" s="265">
        <f t="shared" ca="1" si="87"/>
        <v>0</v>
      </c>
      <c r="CK21" s="265">
        <f t="shared" ca="1" si="88"/>
        <v>0</v>
      </c>
      <c r="CL21" s="265">
        <f t="shared" ca="1" si="53"/>
        <v>0</v>
      </c>
      <c r="CM21" s="265">
        <f t="shared" ca="1" si="54"/>
        <v>0</v>
      </c>
      <c r="CN21" s="265">
        <f t="shared" ca="1" si="55"/>
        <v>0</v>
      </c>
      <c r="CO21" s="265">
        <f t="shared" ca="1" si="56"/>
        <v>0</v>
      </c>
      <c r="CP21" s="265">
        <f t="shared" ca="1" si="89"/>
        <v>0</v>
      </c>
      <c r="CQ21" s="265">
        <f t="shared" ca="1" si="90"/>
        <v>0</v>
      </c>
      <c r="CR21" s="265">
        <f t="shared" ca="1" si="91"/>
        <v>0</v>
      </c>
      <c r="CS21" s="265">
        <f t="shared" ca="1" si="92"/>
        <v>0</v>
      </c>
      <c r="CT21" s="265">
        <f t="shared" ca="1" si="57"/>
        <v>0</v>
      </c>
      <c r="CU21" s="265">
        <f t="shared" ca="1" si="58"/>
        <v>0</v>
      </c>
      <c r="CV21" s="265">
        <f t="shared" ca="1" si="59"/>
        <v>0</v>
      </c>
      <c r="CW21" s="265">
        <f t="shared" ca="1" si="60"/>
        <v>0</v>
      </c>
      <c r="CX21" s="265">
        <f t="shared" ca="1" si="93"/>
        <v>0</v>
      </c>
      <c r="CY21" s="265">
        <f t="shared" ca="1" si="94"/>
        <v>0</v>
      </c>
      <c r="CZ21" s="265">
        <f t="shared" ca="1" si="95"/>
        <v>0</v>
      </c>
      <c r="DA21" s="265">
        <f t="shared" ca="1" si="96"/>
        <v>0</v>
      </c>
    </row>
    <row r="22" spans="1:105" s="262" customFormat="1" ht="15" customHeight="1">
      <c r="A22" s="63">
        <f t="array" aca="1" ref="A22" ca="1">IF(C22&lt;&gt;0,SUM(($C$11:C22&lt;&gt;0)*1),"")</f>
        <v>12</v>
      </c>
      <c r="B22" s="263" t="str">
        <f ca="1">IF(ROWS($1:12)&gt;COUNT(Dong6),"",OFFSET(TH!C$1,SMALL(Dong6,ROWS($1:12)),))</f>
        <v/>
      </c>
      <c r="C22" s="263" t="str">
        <f ca="1">IF(ROWS($1:12)&gt;COUNT(Dong6),"",OFFSET(TH!D$1,SMALL(Dong6,ROWS($1:12)),))</f>
        <v/>
      </c>
      <c r="D22" s="263" t="str">
        <f ca="1">IF(ROWS($1:12)&gt;COUNT(Dong6),"",OFFSET(TH!E$1,SMALL(Dong6,ROWS($1:12)),))</f>
        <v/>
      </c>
      <c r="E22" s="313" t="str">
        <f ca="1">IF(ROWS($1:12)&gt;COUNT(Dong6),"",OFFSET(TH!F$1,SMALL(Dong6,ROWS($1:12)),))</f>
        <v/>
      </c>
      <c r="F22" s="314" t="str">
        <f ca="1">IF(ROWS($1:12)&gt;COUNT(Dong6),"",OFFSET(TH!M$1,SMALL(Dong6,ROWS($1:12)),))</f>
        <v/>
      </c>
      <c r="G22" s="315" t="str">
        <f ca="1">IF(ROWS($1:12)&gt;COUNT(Dong6),"",OFFSET(TH!N$1,SMALL(Dong6,ROWS($1:12)),))</f>
        <v/>
      </c>
      <c r="H22" s="315" t="str">
        <f ca="1">IF(ROWS($1:12)&gt;COUNT(Dong6),"",OFFSET(TH!O$1,SMALL(Dong6,ROWS($1:12)),))</f>
        <v/>
      </c>
      <c r="I22" s="63">
        <f t="shared" ca="1" si="0"/>
        <v>12</v>
      </c>
      <c r="J22" s="265">
        <f t="shared" ca="1" si="61"/>
        <v>0</v>
      </c>
      <c r="K22" s="265">
        <f t="shared" ca="1" si="62"/>
        <v>0</v>
      </c>
      <c r="L22" s="265">
        <f t="shared" ca="1" si="1"/>
        <v>0</v>
      </c>
      <c r="M22" s="265">
        <f t="shared" ca="1" si="2"/>
        <v>0</v>
      </c>
      <c r="N22" s="265">
        <f t="shared" ca="1" si="3"/>
        <v>0</v>
      </c>
      <c r="O22" s="265">
        <f t="shared" ca="1" si="4"/>
        <v>0</v>
      </c>
      <c r="P22" s="265">
        <f t="shared" ca="1" si="5"/>
        <v>0</v>
      </c>
      <c r="Q22" s="265">
        <f t="shared" ca="1" si="6"/>
        <v>0</v>
      </c>
      <c r="R22" s="265">
        <f t="shared" ca="1" si="7"/>
        <v>0</v>
      </c>
      <c r="S22" s="265">
        <f t="shared" ca="1" si="8"/>
        <v>0</v>
      </c>
      <c r="T22" s="265">
        <f t="shared" ca="1" si="9"/>
        <v>0</v>
      </c>
      <c r="U22" s="265">
        <f t="shared" ca="1" si="10"/>
        <v>0</v>
      </c>
      <c r="V22" s="265">
        <f t="shared" ca="1" si="11"/>
        <v>0</v>
      </c>
      <c r="W22" s="265">
        <f t="shared" ca="1" si="12"/>
        <v>0</v>
      </c>
      <c r="X22" s="265">
        <f t="shared" ca="1" si="13"/>
        <v>0</v>
      </c>
      <c r="Y22" s="265">
        <f t="shared" ca="1" si="14"/>
        <v>0</v>
      </c>
      <c r="Z22" s="265">
        <f t="shared" ca="1" si="15"/>
        <v>0</v>
      </c>
      <c r="AA22" s="265">
        <f t="shared" ca="1" si="16"/>
        <v>0</v>
      </c>
      <c r="AB22" s="265">
        <f t="shared" ca="1" si="63"/>
        <v>0</v>
      </c>
      <c r="AC22" s="265">
        <f t="shared" ca="1" si="64"/>
        <v>0</v>
      </c>
      <c r="AD22" s="265">
        <f t="shared" ca="1" si="17"/>
        <v>0</v>
      </c>
      <c r="AE22" s="265">
        <f t="shared" ca="1" si="18"/>
        <v>0</v>
      </c>
      <c r="AF22" s="265">
        <f t="shared" ca="1" si="19"/>
        <v>0</v>
      </c>
      <c r="AG22" s="265">
        <f t="shared" ca="1" si="20"/>
        <v>0</v>
      </c>
      <c r="AH22" s="265">
        <f t="shared" ca="1" si="65"/>
        <v>0</v>
      </c>
      <c r="AI22" s="265">
        <f t="shared" ca="1" si="66"/>
        <v>0</v>
      </c>
      <c r="AJ22" s="265">
        <f t="shared" ca="1" si="67"/>
        <v>0</v>
      </c>
      <c r="AK22" s="265">
        <f t="shared" ca="1" si="68"/>
        <v>0</v>
      </c>
      <c r="AL22" s="265">
        <f t="shared" ca="1" si="69"/>
        <v>0</v>
      </c>
      <c r="AM22" s="265">
        <f t="shared" ca="1" si="70"/>
        <v>0</v>
      </c>
      <c r="AN22" s="265">
        <f t="shared" ca="1" si="71"/>
        <v>0</v>
      </c>
      <c r="AO22" s="265">
        <f t="shared" ca="1" si="72"/>
        <v>0</v>
      </c>
      <c r="AP22" s="265">
        <f t="shared" ca="1" si="21"/>
        <v>0</v>
      </c>
      <c r="AQ22" s="265">
        <f t="shared" ca="1" si="22"/>
        <v>0</v>
      </c>
      <c r="AR22" s="265">
        <f t="shared" ca="1" si="23"/>
        <v>0</v>
      </c>
      <c r="AS22" s="265">
        <f t="shared" ca="1" si="24"/>
        <v>0</v>
      </c>
      <c r="AT22" s="265">
        <f t="shared" ca="1" si="73"/>
        <v>0</v>
      </c>
      <c r="AU22" s="265">
        <f t="shared" ca="1" si="74"/>
        <v>0</v>
      </c>
      <c r="AV22" s="265">
        <f t="shared" ca="1" si="25"/>
        <v>0</v>
      </c>
      <c r="AW22" s="265">
        <f t="shared" ca="1" si="26"/>
        <v>0</v>
      </c>
      <c r="AX22" s="265">
        <f t="shared" ca="1" si="27"/>
        <v>0</v>
      </c>
      <c r="AY22" s="265">
        <f t="shared" ca="1" si="28"/>
        <v>0</v>
      </c>
      <c r="AZ22" s="265">
        <f t="shared" ca="1" si="29"/>
        <v>0</v>
      </c>
      <c r="BA22" s="265">
        <f t="shared" ca="1" si="30"/>
        <v>0</v>
      </c>
      <c r="BB22" s="265">
        <f t="shared" ca="1" si="31"/>
        <v>0</v>
      </c>
      <c r="BC22" s="265">
        <f t="shared" ca="1" si="32"/>
        <v>0</v>
      </c>
      <c r="BD22" s="265">
        <f t="shared" ca="1" si="33"/>
        <v>0</v>
      </c>
      <c r="BE22" s="265">
        <f t="shared" ca="1" si="34"/>
        <v>0</v>
      </c>
      <c r="BF22" s="265">
        <f t="shared" ca="1" si="35"/>
        <v>0</v>
      </c>
      <c r="BG22" s="265">
        <f t="shared" ca="1" si="36"/>
        <v>0</v>
      </c>
      <c r="BH22" s="265">
        <f t="shared" ca="1" si="75"/>
        <v>0</v>
      </c>
      <c r="BI22" s="265">
        <f t="shared" ca="1" si="76"/>
        <v>0</v>
      </c>
      <c r="BJ22" s="265">
        <f t="shared" ca="1" si="37"/>
        <v>0</v>
      </c>
      <c r="BK22" s="265">
        <f t="shared" ca="1" si="38"/>
        <v>0</v>
      </c>
      <c r="BL22" s="265">
        <f t="shared" ca="1" si="39"/>
        <v>0</v>
      </c>
      <c r="BM22" s="265">
        <f t="shared" ca="1" si="40"/>
        <v>0</v>
      </c>
      <c r="BN22" s="265">
        <f t="shared" ca="1" si="41"/>
        <v>0</v>
      </c>
      <c r="BO22" s="265">
        <f t="shared" ca="1" si="42"/>
        <v>0</v>
      </c>
      <c r="BP22" s="265">
        <f t="shared" ca="1" si="77"/>
        <v>0</v>
      </c>
      <c r="BQ22" s="265">
        <f t="shared" ca="1" si="78"/>
        <v>0</v>
      </c>
      <c r="BR22" s="265">
        <f t="shared" ca="1" si="43"/>
        <v>0</v>
      </c>
      <c r="BS22" s="265">
        <f t="shared" ca="1" si="44"/>
        <v>0</v>
      </c>
      <c r="BT22" s="265">
        <f t="shared" ca="1" si="79"/>
        <v>0</v>
      </c>
      <c r="BU22" s="265">
        <f t="shared" ca="1" si="80"/>
        <v>0</v>
      </c>
      <c r="BV22" s="265">
        <f t="shared" ca="1" si="81"/>
        <v>0</v>
      </c>
      <c r="BW22" s="265">
        <f t="shared" ca="1" si="82"/>
        <v>0</v>
      </c>
      <c r="BX22" s="265">
        <f t="shared" ca="1" si="45"/>
        <v>0</v>
      </c>
      <c r="BY22" s="265">
        <f t="shared" ca="1" si="46"/>
        <v>0</v>
      </c>
      <c r="BZ22" s="265">
        <f t="shared" ca="1" si="47"/>
        <v>0</v>
      </c>
      <c r="CA22" s="265">
        <f t="shared" ca="1" si="48"/>
        <v>0</v>
      </c>
      <c r="CB22" s="265">
        <f t="shared" ca="1" si="49"/>
        <v>0</v>
      </c>
      <c r="CC22" s="265">
        <f t="shared" ca="1" si="50"/>
        <v>0</v>
      </c>
      <c r="CD22" s="265">
        <f t="shared" ca="1" si="83"/>
        <v>0</v>
      </c>
      <c r="CE22" s="265">
        <f t="shared" ca="1" si="84"/>
        <v>0</v>
      </c>
      <c r="CF22" s="265">
        <f t="shared" ca="1" si="85"/>
        <v>0</v>
      </c>
      <c r="CG22" s="265">
        <f t="shared" ca="1" si="86"/>
        <v>0</v>
      </c>
      <c r="CH22" s="265">
        <f t="shared" ca="1" si="51"/>
        <v>0</v>
      </c>
      <c r="CI22" s="265">
        <f t="shared" ca="1" si="52"/>
        <v>0</v>
      </c>
      <c r="CJ22" s="265">
        <f t="shared" ca="1" si="87"/>
        <v>0</v>
      </c>
      <c r="CK22" s="265">
        <f t="shared" ca="1" si="88"/>
        <v>0</v>
      </c>
      <c r="CL22" s="265">
        <f t="shared" ca="1" si="53"/>
        <v>0</v>
      </c>
      <c r="CM22" s="265">
        <f t="shared" ca="1" si="54"/>
        <v>0</v>
      </c>
      <c r="CN22" s="265">
        <f t="shared" ca="1" si="55"/>
        <v>0</v>
      </c>
      <c r="CO22" s="265">
        <f t="shared" ca="1" si="56"/>
        <v>0</v>
      </c>
      <c r="CP22" s="265">
        <f t="shared" ca="1" si="89"/>
        <v>0</v>
      </c>
      <c r="CQ22" s="265">
        <f t="shared" ca="1" si="90"/>
        <v>0</v>
      </c>
      <c r="CR22" s="265">
        <f t="shared" ca="1" si="91"/>
        <v>0</v>
      </c>
      <c r="CS22" s="265">
        <f t="shared" ca="1" si="92"/>
        <v>0</v>
      </c>
      <c r="CT22" s="265">
        <f t="shared" ca="1" si="57"/>
        <v>0</v>
      </c>
      <c r="CU22" s="265">
        <f t="shared" ca="1" si="58"/>
        <v>0</v>
      </c>
      <c r="CV22" s="265">
        <f t="shared" ca="1" si="59"/>
        <v>0</v>
      </c>
      <c r="CW22" s="265">
        <f t="shared" ca="1" si="60"/>
        <v>0</v>
      </c>
      <c r="CX22" s="265">
        <f t="shared" ca="1" si="93"/>
        <v>0</v>
      </c>
      <c r="CY22" s="265">
        <f t="shared" ca="1" si="94"/>
        <v>0</v>
      </c>
      <c r="CZ22" s="265">
        <f t="shared" ca="1" si="95"/>
        <v>0</v>
      </c>
      <c r="DA22" s="265">
        <f t="shared" ca="1" si="96"/>
        <v>0</v>
      </c>
    </row>
    <row r="23" spans="1:105" s="262" customFormat="1" ht="15" customHeight="1">
      <c r="A23" s="63">
        <f t="array" aca="1" ref="A23" ca="1">IF(C23&lt;&gt;0,SUM(($C$11:C23&lt;&gt;0)*1),"")</f>
        <v>13</v>
      </c>
      <c r="B23" s="263" t="str">
        <f ca="1">IF(ROWS($1:13)&gt;COUNT(Dong6),"",OFFSET(TH!C$1,SMALL(Dong6,ROWS($1:13)),))</f>
        <v/>
      </c>
      <c r="C23" s="263" t="str">
        <f ca="1">IF(ROWS($1:13)&gt;COUNT(Dong6),"",OFFSET(TH!D$1,SMALL(Dong6,ROWS($1:13)),))</f>
        <v/>
      </c>
      <c r="D23" s="263" t="str">
        <f ca="1">IF(ROWS($1:13)&gt;COUNT(Dong6),"",OFFSET(TH!E$1,SMALL(Dong6,ROWS($1:13)),))</f>
        <v/>
      </c>
      <c r="E23" s="313" t="str">
        <f ca="1">IF(ROWS($1:13)&gt;COUNT(Dong6),"",OFFSET(TH!F$1,SMALL(Dong6,ROWS($1:13)),))</f>
        <v/>
      </c>
      <c r="F23" s="314" t="str">
        <f ca="1">IF(ROWS($1:13)&gt;COUNT(Dong6),"",OFFSET(TH!M$1,SMALL(Dong6,ROWS($1:13)),))</f>
        <v/>
      </c>
      <c r="G23" s="315" t="str">
        <f ca="1">IF(ROWS($1:13)&gt;COUNT(Dong6),"",OFFSET(TH!N$1,SMALL(Dong6,ROWS($1:13)),))</f>
        <v/>
      </c>
      <c r="H23" s="315" t="str">
        <f ca="1">IF(ROWS($1:13)&gt;COUNT(Dong6),"",OFFSET(TH!O$1,SMALL(Dong6,ROWS($1:13)),))</f>
        <v/>
      </c>
      <c r="I23" s="63">
        <f t="shared" ca="1" si="0"/>
        <v>13</v>
      </c>
      <c r="J23" s="265">
        <f t="shared" ca="1" si="61"/>
        <v>0</v>
      </c>
      <c r="K23" s="265">
        <f t="shared" ca="1" si="62"/>
        <v>0</v>
      </c>
      <c r="L23" s="265">
        <f t="shared" ca="1" si="1"/>
        <v>0</v>
      </c>
      <c r="M23" s="265">
        <f t="shared" ca="1" si="2"/>
        <v>0</v>
      </c>
      <c r="N23" s="265">
        <f t="shared" ca="1" si="3"/>
        <v>0</v>
      </c>
      <c r="O23" s="265">
        <f t="shared" ca="1" si="4"/>
        <v>0</v>
      </c>
      <c r="P23" s="265">
        <f t="shared" ca="1" si="5"/>
        <v>0</v>
      </c>
      <c r="Q23" s="265">
        <f t="shared" ca="1" si="6"/>
        <v>0</v>
      </c>
      <c r="R23" s="265">
        <f t="shared" ca="1" si="7"/>
        <v>0</v>
      </c>
      <c r="S23" s="265">
        <f t="shared" ca="1" si="8"/>
        <v>0</v>
      </c>
      <c r="T23" s="265">
        <f t="shared" ca="1" si="9"/>
        <v>0</v>
      </c>
      <c r="U23" s="265">
        <f t="shared" ca="1" si="10"/>
        <v>0</v>
      </c>
      <c r="V23" s="265">
        <f t="shared" ca="1" si="11"/>
        <v>0</v>
      </c>
      <c r="W23" s="265">
        <f t="shared" ca="1" si="12"/>
        <v>0</v>
      </c>
      <c r="X23" s="265">
        <f t="shared" ca="1" si="13"/>
        <v>0</v>
      </c>
      <c r="Y23" s="265">
        <f t="shared" ca="1" si="14"/>
        <v>0</v>
      </c>
      <c r="Z23" s="265">
        <f t="shared" ca="1" si="15"/>
        <v>0</v>
      </c>
      <c r="AA23" s="265">
        <f t="shared" ca="1" si="16"/>
        <v>0</v>
      </c>
      <c r="AB23" s="265">
        <f t="shared" ca="1" si="63"/>
        <v>0</v>
      </c>
      <c r="AC23" s="265">
        <f t="shared" ca="1" si="64"/>
        <v>0</v>
      </c>
      <c r="AD23" s="265">
        <f t="shared" ca="1" si="17"/>
        <v>0</v>
      </c>
      <c r="AE23" s="265">
        <f t="shared" ca="1" si="18"/>
        <v>0</v>
      </c>
      <c r="AF23" s="265">
        <f t="shared" ca="1" si="19"/>
        <v>0</v>
      </c>
      <c r="AG23" s="265">
        <f t="shared" ca="1" si="20"/>
        <v>0</v>
      </c>
      <c r="AH23" s="265">
        <f t="shared" ca="1" si="65"/>
        <v>0</v>
      </c>
      <c r="AI23" s="265">
        <f t="shared" ca="1" si="66"/>
        <v>0</v>
      </c>
      <c r="AJ23" s="265">
        <f t="shared" ca="1" si="67"/>
        <v>0</v>
      </c>
      <c r="AK23" s="265">
        <f t="shared" ca="1" si="68"/>
        <v>0</v>
      </c>
      <c r="AL23" s="265">
        <f t="shared" ca="1" si="69"/>
        <v>0</v>
      </c>
      <c r="AM23" s="265">
        <f t="shared" ca="1" si="70"/>
        <v>0</v>
      </c>
      <c r="AN23" s="265">
        <f t="shared" ca="1" si="71"/>
        <v>0</v>
      </c>
      <c r="AO23" s="265">
        <f t="shared" ca="1" si="72"/>
        <v>0</v>
      </c>
      <c r="AP23" s="265">
        <f t="shared" ca="1" si="21"/>
        <v>0</v>
      </c>
      <c r="AQ23" s="265">
        <f t="shared" ca="1" si="22"/>
        <v>0</v>
      </c>
      <c r="AR23" s="265">
        <f t="shared" ca="1" si="23"/>
        <v>0</v>
      </c>
      <c r="AS23" s="265">
        <f t="shared" ca="1" si="24"/>
        <v>0</v>
      </c>
      <c r="AT23" s="265">
        <f t="shared" ca="1" si="73"/>
        <v>0</v>
      </c>
      <c r="AU23" s="265">
        <f t="shared" ca="1" si="74"/>
        <v>0</v>
      </c>
      <c r="AV23" s="265">
        <f t="shared" ca="1" si="25"/>
        <v>0</v>
      </c>
      <c r="AW23" s="265">
        <f t="shared" ca="1" si="26"/>
        <v>0</v>
      </c>
      <c r="AX23" s="265">
        <f t="shared" ca="1" si="27"/>
        <v>0</v>
      </c>
      <c r="AY23" s="265">
        <f t="shared" ca="1" si="28"/>
        <v>0</v>
      </c>
      <c r="AZ23" s="265">
        <f t="shared" ca="1" si="29"/>
        <v>0</v>
      </c>
      <c r="BA23" s="265">
        <f t="shared" ca="1" si="30"/>
        <v>0</v>
      </c>
      <c r="BB23" s="265">
        <f t="shared" ca="1" si="31"/>
        <v>0</v>
      </c>
      <c r="BC23" s="265">
        <f t="shared" ca="1" si="32"/>
        <v>0</v>
      </c>
      <c r="BD23" s="265">
        <f t="shared" ca="1" si="33"/>
        <v>0</v>
      </c>
      <c r="BE23" s="265">
        <f t="shared" ca="1" si="34"/>
        <v>0</v>
      </c>
      <c r="BF23" s="265">
        <f t="shared" ca="1" si="35"/>
        <v>0</v>
      </c>
      <c r="BG23" s="265">
        <f t="shared" ca="1" si="36"/>
        <v>0</v>
      </c>
      <c r="BH23" s="265">
        <f t="shared" ca="1" si="75"/>
        <v>0</v>
      </c>
      <c r="BI23" s="265">
        <f t="shared" ca="1" si="76"/>
        <v>0</v>
      </c>
      <c r="BJ23" s="265">
        <f t="shared" ca="1" si="37"/>
        <v>0</v>
      </c>
      <c r="BK23" s="265">
        <f t="shared" ca="1" si="38"/>
        <v>0</v>
      </c>
      <c r="BL23" s="265">
        <f t="shared" ca="1" si="39"/>
        <v>0</v>
      </c>
      <c r="BM23" s="265">
        <f t="shared" ca="1" si="40"/>
        <v>0</v>
      </c>
      <c r="BN23" s="265">
        <f t="shared" ca="1" si="41"/>
        <v>0</v>
      </c>
      <c r="BO23" s="265">
        <f t="shared" ca="1" si="42"/>
        <v>0</v>
      </c>
      <c r="BP23" s="265">
        <f t="shared" ca="1" si="77"/>
        <v>0</v>
      </c>
      <c r="BQ23" s="265">
        <f t="shared" ca="1" si="78"/>
        <v>0</v>
      </c>
      <c r="BR23" s="265">
        <f t="shared" ca="1" si="43"/>
        <v>0</v>
      </c>
      <c r="BS23" s="265">
        <f t="shared" ca="1" si="44"/>
        <v>0</v>
      </c>
      <c r="BT23" s="265">
        <f t="shared" ca="1" si="79"/>
        <v>0</v>
      </c>
      <c r="BU23" s="265">
        <f t="shared" ca="1" si="80"/>
        <v>0</v>
      </c>
      <c r="BV23" s="265">
        <f t="shared" ca="1" si="81"/>
        <v>0</v>
      </c>
      <c r="BW23" s="265">
        <f t="shared" ca="1" si="82"/>
        <v>0</v>
      </c>
      <c r="BX23" s="265">
        <f t="shared" ca="1" si="45"/>
        <v>0</v>
      </c>
      <c r="BY23" s="265">
        <f t="shared" ca="1" si="46"/>
        <v>0</v>
      </c>
      <c r="BZ23" s="265">
        <f t="shared" ca="1" si="47"/>
        <v>0</v>
      </c>
      <c r="CA23" s="265">
        <f t="shared" ca="1" si="48"/>
        <v>0</v>
      </c>
      <c r="CB23" s="265">
        <f t="shared" ca="1" si="49"/>
        <v>0</v>
      </c>
      <c r="CC23" s="265">
        <f t="shared" ca="1" si="50"/>
        <v>0</v>
      </c>
      <c r="CD23" s="265">
        <f t="shared" ca="1" si="83"/>
        <v>0</v>
      </c>
      <c r="CE23" s="265">
        <f t="shared" ca="1" si="84"/>
        <v>0</v>
      </c>
      <c r="CF23" s="265">
        <f t="shared" ca="1" si="85"/>
        <v>0</v>
      </c>
      <c r="CG23" s="265">
        <f t="shared" ca="1" si="86"/>
        <v>0</v>
      </c>
      <c r="CH23" s="265">
        <f t="shared" ca="1" si="51"/>
        <v>0</v>
      </c>
      <c r="CI23" s="265">
        <f t="shared" ca="1" si="52"/>
        <v>0</v>
      </c>
      <c r="CJ23" s="265">
        <f t="shared" ca="1" si="87"/>
        <v>0</v>
      </c>
      <c r="CK23" s="265">
        <f t="shared" ca="1" si="88"/>
        <v>0</v>
      </c>
      <c r="CL23" s="265">
        <f t="shared" ca="1" si="53"/>
        <v>0</v>
      </c>
      <c r="CM23" s="265">
        <f t="shared" ca="1" si="54"/>
        <v>0</v>
      </c>
      <c r="CN23" s="265">
        <f t="shared" ca="1" si="55"/>
        <v>0</v>
      </c>
      <c r="CO23" s="265">
        <f t="shared" ca="1" si="56"/>
        <v>0</v>
      </c>
      <c r="CP23" s="265">
        <f t="shared" ca="1" si="89"/>
        <v>0</v>
      </c>
      <c r="CQ23" s="265">
        <f t="shared" ca="1" si="90"/>
        <v>0</v>
      </c>
      <c r="CR23" s="265">
        <f t="shared" ca="1" si="91"/>
        <v>0</v>
      </c>
      <c r="CS23" s="265">
        <f t="shared" ca="1" si="92"/>
        <v>0</v>
      </c>
      <c r="CT23" s="265">
        <f t="shared" ca="1" si="57"/>
        <v>0</v>
      </c>
      <c r="CU23" s="265">
        <f t="shared" ca="1" si="58"/>
        <v>0</v>
      </c>
      <c r="CV23" s="265">
        <f t="shared" ca="1" si="59"/>
        <v>0</v>
      </c>
      <c r="CW23" s="265">
        <f t="shared" ca="1" si="60"/>
        <v>0</v>
      </c>
      <c r="CX23" s="265">
        <f t="shared" ca="1" si="93"/>
        <v>0</v>
      </c>
      <c r="CY23" s="265">
        <f t="shared" ca="1" si="94"/>
        <v>0</v>
      </c>
      <c r="CZ23" s="265">
        <f t="shared" ca="1" si="95"/>
        <v>0</v>
      </c>
      <c r="DA23" s="265">
        <f t="shared" ca="1" si="96"/>
        <v>0</v>
      </c>
    </row>
    <row r="24" spans="1:105" s="262" customFormat="1" ht="15" customHeight="1">
      <c r="A24" s="63">
        <f t="array" aca="1" ref="A24" ca="1">IF(C24&lt;&gt;0,SUM(($C$11:C24&lt;&gt;0)*1),"")</f>
        <v>14</v>
      </c>
      <c r="B24" s="263" t="str">
        <f ca="1">IF(ROWS($1:14)&gt;COUNT(Dong6),"",OFFSET(TH!C$1,SMALL(Dong6,ROWS($1:14)),))</f>
        <v/>
      </c>
      <c r="C24" s="263" t="str">
        <f ca="1">IF(ROWS($1:14)&gt;COUNT(Dong6),"",OFFSET(TH!D$1,SMALL(Dong6,ROWS($1:14)),))</f>
        <v/>
      </c>
      <c r="D24" s="263" t="str">
        <f ca="1">IF(ROWS($1:14)&gt;COUNT(Dong6),"",OFFSET(TH!E$1,SMALL(Dong6,ROWS($1:14)),))</f>
        <v/>
      </c>
      <c r="E24" s="313" t="str">
        <f ca="1">IF(ROWS($1:14)&gt;COUNT(Dong6),"",OFFSET(TH!F$1,SMALL(Dong6,ROWS($1:14)),))</f>
        <v/>
      </c>
      <c r="F24" s="314" t="str">
        <f ca="1">IF(ROWS($1:14)&gt;COUNT(Dong6),"",OFFSET(TH!M$1,SMALL(Dong6,ROWS($1:14)),))</f>
        <v/>
      </c>
      <c r="G24" s="315" t="str">
        <f ca="1">IF(ROWS($1:14)&gt;COUNT(Dong6),"",OFFSET(TH!N$1,SMALL(Dong6,ROWS($1:14)),))</f>
        <v/>
      </c>
      <c r="H24" s="315" t="str">
        <f ca="1">IF(ROWS($1:14)&gt;COUNT(Dong6),"",OFFSET(TH!O$1,SMALL(Dong6,ROWS($1:14)),))</f>
        <v/>
      </c>
      <c r="I24" s="63">
        <f t="shared" ca="1" si="0"/>
        <v>14</v>
      </c>
      <c r="J24" s="265">
        <f t="shared" ca="1" si="61"/>
        <v>0</v>
      </c>
      <c r="K24" s="265">
        <f t="shared" ca="1" si="62"/>
        <v>0</v>
      </c>
      <c r="L24" s="265">
        <f t="shared" ca="1" si="1"/>
        <v>0</v>
      </c>
      <c r="M24" s="265">
        <f t="shared" ca="1" si="2"/>
        <v>0</v>
      </c>
      <c r="N24" s="265">
        <f t="shared" ca="1" si="3"/>
        <v>0</v>
      </c>
      <c r="O24" s="265">
        <f t="shared" ca="1" si="4"/>
        <v>0</v>
      </c>
      <c r="P24" s="265">
        <f t="shared" ca="1" si="5"/>
        <v>0</v>
      </c>
      <c r="Q24" s="265">
        <f t="shared" ca="1" si="6"/>
        <v>0</v>
      </c>
      <c r="R24" s="265">
        <f t="shared" ca="1" si="7"/>
        <v>0</v>
      </c>
      <c r="S24" s="265">
        <f t="shared" ca="1" si="8"/>
        <v>0</v>
      </c>
      <c r="T24" s="265">
        <f t="shared" ca="1" si="9"/>
        <v>0</v>
      </c>
      <c r="U24" s="265">
        <f t="shared" ca="1" si="10"/>
        <v>0</v>
      </c>
      <c r="V24" s="265">
        <f t="shared" ca="1" si="11"/>
        <v>0</v>
      </c>
      <c r="W24" s="265">
        <f t="shared" ca="1" si="12"/>
        <v>0</v>
      </c>
      <c r="X24" s="265">
        <f t="shared" ca="1" si="13"/>
        <v>0</v>
      </c>
      <c r="Y24" s="265">
        <f t="shared" ca="1" si="14"/>
        <v>0</v>
      </c>
      <c r="Z24" s="265">
        <f t="shared" ca="1" si="15"/>
        <v>0</v>
      </c>
      <c r="AA24" s="265">
        <f t="shared" ca="1" si="16"/>
        <v>0</v>
      </c>
      <c r="AB24" s="265">
        <f t="shared" ca="1" si="63"/>
        <v>0</v>
      </c>
      <c r="AC24" s="265">
        <f t="shared" ca="1" si="64"/>
        <v>0</v>
      </c>
      <c r="AD24" s="265">
        <f t="shared" ca="1" si="17"/>
        <v>0</v>
      </c>
      <c r="AE24" s="265">
        <f t="shared" ca="1" si="18"/>
        <v>0</v>
      </c>
      <c r="AF24" s="265">
        <f t="shared" ca="1" si="19"/>
        <v>0</v>
      </c>
      <c r="AG24" s="265">
        <f t="shared" ca="1" si="20"/>
        <v>0</v>
      </c>
      <c r="AH24" s="265">
        <f t="shared" ca="1" si="65"/>
        <v>0</v>
      </c>
      <c r="AI24" s="265">
        <f t="shared" ca="1" si="66"/>
        <v>0</v>
      </c>
      <c r="AJ24" s="265">
        <f t="shared" ca="1" si="67"/>
        <v>0</v>
      </c>
      <c r="AK24" s="265">
        <f t="shared" ca="1" si="68"/>
        <v>0</v>
      </c>
      <c r="AL24" s="265">
        <f t="shared" ca="1" si="69"/>
        <v>0</v>
      </c>
      <c r="AM24" s="265">
        <f t="shared" ca="1" si="70"/>
        <v>0</v>
      </c>
      <c r="AN24" s="265">
        <f t="shared" ca="1" si="71"/>
        <v>0</v>
      </c>
      <c r="AO24" s="265">
        <f t="shared" ca="1" si="72"/>
        <v>0</v>
      </c>
      <c r="AP24" s="265">
        <f t="shared" ca="1" si="21"/>
        <v>0</v>
      </c>
      <c r="AQ24" s="265">
        <f t="shared" ca="1" si="22"/>
        <v>0</v>
      </c>
      <c r="AR24" s="265">
        <f t="shared" ca="1" si="23"/>
        <v>0</v>
      </c>
      <c r="AS24" s="265">
        <f t="shared" ca="1" si="24"/>
        <v>0</v>
      </c>
      <c r="AT24" s="265">
        <f t="shared" ca="1" si="73"/>
        <v>0</v>
      </c>
      <c r="AU24" s="265">
        <f t="shared" ca="1" si="74"/>
        <v>0</v>
      </c>
      <c r="AV24" s="265">
        <f t="shared" ca="1" si="25"/>
        <v>0</v>
      </c>
      <c r="AW24" s="265">
        <f t="shared" ca="1" si="26"/>
        <v>0</v>
      </c>
      <c r="AX24" s="265">
        <f t="shared" ca="1" si="27"/>
        <v>0</v>
      </c>
      <c r="AY24" s="265">
        <f t="shared" ca="1" si="28"/>
        <v>0</v>
      </c>
      <c r="AZ24" s="265">
        <f t="shared" ca="1" si="29"/>
        <v>0</v>
      </c>
      <c r="BA24" s="265">
        <f t="shared" ca="1" si="30"/>
        <v>0</v>
      </c>
      <c r="BB24" s="265">
        <f t="shared" ca="1" si="31"/>
        <v>0</v>
      </c>
      <c r="BC24" s="265">
        <f t="shared" ca="1" si="32"/>
        <v>0</v>
      </c>
      <c r="BD24" s="265">
        <f t="shared" ca="1" si="33"/>
        <v>0</v>
      </c>
      <c r="BE24" s="265">
        <f t="shared" ca="1" si="34"/>
        <v>0</v>
      </c>
      <c r="BF24" s="265">
        <f t="shared" ca="1" si="35"/>
        <v>0</v>
      </c>
      <c r="BG24" s="265">
        <f t="shared" ca="1" si="36"/>
        <v>0</v>
      </c>
      <c r="BH24" s="265">
        <f t="shared" ca="1" si="75"/>
        <v>0</v>
      </c>
      <c r="BI24" s="265">
        <f t="shared" ca="1" si="76"/>
        <v>0</v>
      </c>
      <c r="BJ24" s="265">
        <f t="shared" ca="1" si="37"/>
        <v>0</v>
      </c>
      <c r="BK24" s="265">
        <f t="shared" ca="1" si="38"/>
        <v>0</v>
      </c>
      <c r="BL24" s="265">
        <f t="shared" ca="1" si="39"/>
        <v>0</v>
      </c>
      <c r="BM24" s="265">
        <f t="shared" ca="1" si="40"/>
        <v>0</v>
      </c>
      <c r="BN24" s="265">
        <f t="shared" ca="1" si="41"/>
        <v>0</v>
      </c>
      <c r="BO24" s="265">
        <f t="shared" ca="1" si="42"/>
        <v>0</v>
      </c>
      <c r="BP24" s="265">
        <f t="shared" ca="1" si="77"/>
        <v>0</v>
      </c>
      <c r="BQ24" s="265">
        <f t="shared" ca="1" si="78"/>
        <v>0</v>
      </c>
      <c r="BR24" s="265">
        <f t="shared" ca="1" si="43"/>
        <v>0</v>
      </c>
      <c r="BS24" s="265">
        <f t="shared" ca="1" si="44"/>
        <v>0</v>
      </c>
      <c r="BT24" s="265">
        <f t="shared" ca="1" si="79"/>
        <v>0</v>
      </c>
      <c r="BU24" s="265">
        <f t="shared" ca="1" si="80"/>
        <v>0</v>
      </c>
      <c r="BV24" s="265">
        <f t="shared" ca="1" si="81"/>
        <v>0</v>
      </c>
      <c r="BW24" s="265">
        <f t="shared" ca="1" si="82"/>
        <v>0</v>
      </c>
      <c r="BX24" s="265">
        <f t="shared" ca="1" si="45"/>
        <v>0</v>
      </c>
      <c r="BY24" s="265">
        <f t="shared" ca="1" si="46"/>
        <v>0</v>
      </c>
      <c r="BZ24" s="265">
        <f t="shared" ca="1" si="47"/>
        <v>0</v>
      </c>
      <c r="CA24" s="265">
        <f t="shared" ca="1" si="48"/>
        <v>0</v>
      </c>
      <c r="CB24" s="265">
        <f t="shared" ca="1" si="49"/>
        <v>0</v>
      </c>
      <c r="CC24" s="265">
        <f t="shared" ca="1" si="50"/>
        <v>0</v>
      </c>
      <c r="CD24" s="265">
        <f t="shared" ca="1" si="83"/>
        <v>0</v>
      </c>
      <c r="CE24" s="265">
        <f t="shared" ca="1" si="84"/>
        <v>0</v>
      </c>
      <c r="CF24" s="265">
        <f t="shared" ca="1" si="85"/>
        <v>0</v>
      </c>
      <c r="CG24" s="265">
        <f t="shared" ca="1" si="86"/>
        <v>0</v>
      </c>
      <c r="CH24" s="265">
        <f t="shared" ca="1" si="51"/>
        <v>0</v>
      </c>
      <c r="CI24" s="265">
        <f t="shared" ca="1" si="52"/>
        <v>0</v>
      </c>
      <c r="CJ24" s="265">
        <f t="shared" ca="1" si="87"/>
        <v>0</v>
      </c>
      <c r="CK24" s="265">
        <f t="shared" ca="1" si="88"/>
        <v>0</v>
      </c>
      <c r="CL24" s="265">
        <f t="shared" ca="1" si="53"/>
        <v>0</v>
      </c>
      <c r="CM24" s="265">
        <f t="shared" ca="1" si="54"/>
        <v>0</v>
      </c>
      <c r="CN24" s="265">
        <f t="shared" ca="1" si="55"/>
        <v>0</v>
      </c>
      <c r="CO24" s="265">
        <f t="shared" ca="1" si="56"/>
        <v>0</v>
      </c>
      <c r="CP24" s="265">
        <f t="shared" ca="1" si="89"/>
        <v>0</v>
      </c>
      <c r="CQ24" s="265">
        <f t="shared" ca="1" si="90"/>
        <v>0</v>
      </c>
      <c r="CR24" s="265">
        <f t="shared" ca="1" si="91"/>
        <v>0</v>
      </c>
      <c r="CS24" s="265">
        <f t="shared" ca="1" si="92"/>
        <v>0</v>
      </c>
      <c r="CT24" s="265">
        <f t="shared" ca="1" si="57"/>
        <v>0</v>
      </c>
      <c r="CU24" s="265">
        <f t="shared" ca="1" si="58"/>
        <v>0</v>
      </c>
      <c r="CV24" s="265">
        <f t="shared" ca="1" si="59"/>
        <v>0</v>
      </c>
      <c r="CW24" s="265">
        <f t="shared" ca="1" si="60"/>
        <v>0</v>
      </c>
      <c r="CX24" s="265">
        <f t="shared" ca="1" si="93"/>
        <v>0</v>
      </c>
      <c r="CY24" s="265">
        <f t="shared" ca="1" si="94"/>
        <v>0</v>
      </c>
      <c r="CZ24" s="265">
        <f t="shared" ca="1" si="95"/>
        <v>0</v>
      </c>
      <c r="DA24" s="265">
        <f t="shared" ca="1" si="96"/>
        <v>0</v>
      </c>
    </row>
    <row r="25" spans="1:105" s="262" customFormat="1" ht="15" customHeight="1">
      <c r="A25" s="63">
        <f t="array" aca="1" ref="A25" ca="1">IF(C25&lt;&gt;0,SUM(($C$11:C25&lt;&gt;0)*1),"")</f>
        <v>15</v>
      </c>
      <c r="B25" s="263" t="str">
        <f ca="1">IF(ROWS($1:15)&gt;COUNT(Dong6),"",OFFSET(TH!C$1,SMALL(Dong6,ROWS($1:15)),))</f>
        <v/>
      </c>
      <c r="C25" s="263" t="str">
        <f ca="1">IF(ROWS($1:15)&gt;COUNT(Dong6),"",OFFSET(TH!D$1,SMALL(Dong6,ROWS($1:15)),))</f>
        <v/>
      </c>
      <c r="D25" s="263" t="str">
        <f ca="1">IF(ROWS($1:15)&gt;COUNT(Dong6),"",OFFSET(TH!E$1,SMALL(Dong6,ROWS($1:15)),))</f>
        <v/>
      </c>
      <c r="E25" s="313" t="str">
        <f ca="1">IF(ROWS($1:15)&gt;COUNT(Dong6),"",OFFSET(TH!F$1,SMALL(Dong6,ROWS($1:15)),))</f>
        <v/>
      </c>
      <c r="F25" s="314" t="str">
        <f ca="1">IF(ROWS($1:15)&gt;COUNT(Dong6),"",OFFSET(TH!M$1,SMALL(Dong6,ROWS($1:15)),))</f>
        <v/>
      </c>
      <c r="G25" s="315" t="str">
        <f ca="1">IF(ROWS($1:15)&gt;COUNT(Dong6),"",OFFSET(TH!N$1,SMALL(Dong6,ROWS($1:15)),))</f>
        <v/>
      </c>
      <c r="H25" s="315" t="str">
        <f ca="1">IF(ROWS($1:15)&gt;COUNT(Dong6),"",OFFSET(TH!O$1,SMALL(Dong6,ROWS($1:15)),))</f>
        <v/>
      </c>
      <c r="I25" s="63">
        <f t="shared" ca="1" si="0"/>
        <v>15</v>
      </c>
      <c r="J25" s="265">
        <f t="shared" ca="1" si="61"/>
        <v>0</v>
      </c>
      <c r="K25" s="265">
        <f t="shared" ca="1" si="62"/>
        <v>0</v>
      </c>
      <c r="L25" s="265">
        <f t="shared" ca="1" si="1"/>
        <v>0</v>
      </c>
      <c r="M25" s="265">
        <f t="shared" ca="1" si="2"/>
        <v>0</v>
      </c>
      <c r="N25" s="265">
        <f t="shared" ca="1" si="3"/>
        <v>0</v>
      </c>
      <c r="O25" s="265">
        <f t="shared" ca="1" si="4"/>
        <v>0</v>
      </c>
      <c r="P25" s="265">
        <f t="shared" ca="1" si="5"/>
        <v>0</v>
      </c>
      <c r="Q25" s="265">
        <f t="shared" ca="1" si="6"/>
        <v>0</v>
      </c>
      <c r="R25" s="265">
        <f t="shared" ca="1" si="7"/>
        <v>0</v>
      </c>
      <c r="S25" s="265">
        <f t="shared" ca="1" si="8"/>
        <v>0</v>
      </c>
      <c r="T25" s="265">
        <f t="shared" ca="1" si="9"/>
        <v>0</v>
      </c>
      <c r="U25" s="265">
        <f t="shared" ca="1" si="10"/>
        <v>0</v>
      </c>
      <c r="V25" s="265">
        <f t="shared" ca="1" si="11"/>
        <v>0</v>
      </c>
      <c r="W25" s="265">
        <f t="shared" ca="1" si="12"/>
        <v>0</v>
      </c>
      <c r="X25" s="265">
        <f t="shared" ca="1" si="13"/>
        <v>0</v>
      </c>
      <c r="Y25" s="265">
        <f t="shared" ca="1" si="14"/>
        <v>0</v>
      </c>
      <c r="Z25" s="265">
        <f t="shared" ca="1" si="15"/>
        <v>0</v>
      </c>
      <c r="AA25" s="265">
        <f t="shared" ca="1" si="16"/>
        <v>0</v>
      </c>
      <c r="AB25" s="265">
        <f t="shared" ca="1" si="63"/>
        <v>0</v>
      </c>
      <c r="AC25" s="265">
        <f t="shared" ca="1" si="64"/>
        <v>0</v>
      </c>
      <c r="AD25" s="265">
        <f t="shared" ca="1" si="17"/>
        <v>0</v>
      </c>
      <c r="AE25" s="265">
        <f t="shared" ca="1" si="18"/>
        <v>0</v>
      </c>
      <c r="AF25" s="265">
        <f t="shared" ca="1" si="19"/>
        <v>0</v>
      </c>
      <c r="AG25" s="265">
        <f t="shared" ca="1" si="20"/>
        <v>0</v>
      </c>
      <c r="AH25" s="265">
        <f t="shared" ca="1" si="65"/>
        <v>0</v>
      </c>
      <c r="AI25" s="265">
        <f t="shared" ca="1" si="66"/>
        <v>0</v>
      </c>
      <c r="AJ25" s="265">
        <f t="shared" ca="1" si="67"/>
        <v>0</v>
      </c>
      <c r="AK25" s="265">
        <f t="shared" ca="1" si="68"/>
        <v>0</v>
      </c>
      <c r="AL25" s="265">
        <f t="shared" ca="1" si="69"/>
        <v>0</v>
      </c>
      <c r="AM25" s="265">
        <f t="shared" ca="1" si="70"/>
        <v>0</v>
      </c>
      <c r="AN25" s="265">
        <f t="shared" ca="1" si="71"/>
        <v>0</v>
      </c>
      <c r="AO25" s="265">
        <f t="shared" ca="1" si="72"/>
        <v>0</v>
      </c>
      <c r="AP25" s="265">
        <f t="shared" ca="1" si="21"/>
        <v>0</v>
      </c>
      <c r="AQ25" s="265">
        <f t="shared" ca="1" si="22"/>
        <v>0</v>
      </c>
      <c r="AR25" s="265">
        <f t="shared" ca="1" si="23"/>
        <v>0</v>
      </c>
      <c r="AS25" s="265">
        <f t="shared" ca="1" si="24"/>
        <v>0</v>
      </c>
      <c r="AT25" s="265">
        <f t="shared" ca="1" si="73"/>
        <v>0</v>
      </c>
      <c r="AU25" s="265">
        <f t="shared" ca="1" si="74"/>
        <v>0</v>
      </c>
      <c r="AV25" s="265">
        <f t="shared" ca="1" si="25"/>
        <v>0</v>
      </c>
      <c r="AW25" s="265">
        <f t="shared" ca="1" si="26"/>
        <v>0</v>
      </c>
      <c r="AX25" s="265">
        <f t="shared" ca="1" si="27"/>
        <v>0</v>
      </c>
      <c r="AY25" s="265">
        <f t="shared" ca="1" si="28"/>
        <v>0</v>
      </c>
      <c r="AZ25" s="265">
        <f t="shared" ca="1" si="29"/>
        <v>0</v>
      </c>
      <c r="BA25" s="265">
        <f t="shared" ca="1" si="30"/>
        <v>0</v>
      </c>
      <c r="BB25" s="265">
        <f t="shared" ca="1" si="31"/>
        <v>0</v>
      </c>
      <c r="BC25" s="265">
        <f t="shared" ca="1" si="32"/>
        <v>0</v>
      </c>
      <c r="BD25" s="265">
        <f t="shared" ca="1" si="33"/>
        <v>0</v>
      </c>
      <c r="BE25" s="265">
        <f t="shared" ca="1" si="34"/>
        <v>0</v>
      </c>
      <c r="BF25" s="265">
        <f t="shared" ca="1" si="35"/>
        <v>0</v>
      </c>
      <c r="BG25" s="265">
        <f t="shared" ca="1" si="36"/>
        <v>0</v>
      </c>
      <c r="BH25" s="265">
        <f t="shared" ca="1" si="75"/>
        <v>0</v>
      </c>
      <c r="BI25" s="265">
        <f t="shared" ca="1" si="76"/>
        <v>0</v>
      </c>
      <c r="BJ25" s="265">
        <f t="shared" ca="1" si="37"/>
        <v>0</v>
      </c>
      <c r="BK25" s="265">
        <f t="shared" ca="1" si="38"/>
        <v>0</v>
      </c>
      <c r="BL25" s="265">
        <f t="shared" ca="1" si="39"/>
        <v>0</v>
      </c>
      <c r="BM25" s="265">
        <f t="shared" ca="1" si="40"/>
        <v>0</v>
      </c>
      <c r="BN25" s="265">
        <f t="shared" ca="1" si="41"/>
        <v>0</v>
      </c>
      <c r="BO25" s="265">
        <f t="shared" ca="1" si="42"/>
        <v>0</v>
      </c>
      <c r="BP25" s="265">
        <f t="shared" ca="1" si="77"/>
        <v>0</v>
      </c>
      <c r="BQ25" s="265">
        <f t="shared" ca="1" si="78"/>
        <v>0</v>
      </c>
      <c r="BR25" s="265">
        <f t="shared" ca="1" si="43"/>
        <v>0</v>
      </c>
      <c r="BS25" s="265">
        <f t="shared" ca="1" si="44"/>
        <v>0</v>
      </c>
      <c r="BT25" s="265">
        <f t="shared" ca="1" si="79"/>
        <v>0</v>
      </c>
      <c r="BU25" s="265">
        <f t="shared" ca="1" si="80"/>
        <v>0</v>
      </c>
      <c r="BV25" s="265">
        <f t="shared" ca="1" si="81"/>
        <v>0</v>
      </c>
      <c r="BW25" s="265">
        <f t="shared" ca="1" si="82"/>
        <v>0</v>
      </c>
      <c r="BX25" s="265">
        <f t="shared" ca="1" si="45"/>
        <v>0</v>
      </c>
      <c r="BY25" s="265">
        <f t="shared" ca="1" si="46"/>
        <v>0</v>
      </c>
      <c r="BZ25" s="265">
        <f t="shared" ca="1" si="47"/>
        <v>0</v>
      </c>
      <c r="CA25" s="265">
        <f t="shared" ca="1" si="48"/>
        <v>0</v>
      </c>
      <c r="CB25" s="265">
        <f t="shared" ca="1" si="49"/>
        <v>0</v>
      </c>
      <c r="CC25" s="265">
        <f t="shared" ca="1" si="50"/>
        <v>0</v>
      </c>
      <c r="CD25" s="265">
        <f t="shared" ca="1" si="83"/>
        <v>0</v>
      </c>
      <c r="CE25" s="265">
        <f t="shared" ca="1" si="84"/>
        <v>0</v>
      </c>
      <c r="CF25" s="265">
        <f t="shared" ca="1" si="85"/>
        <v>0</v>
      </c>
      <c r="CG25" s="265">
        <f t="shared" ca="1" si="86"/>
        <v>0</v>
      </c>
      <c r="CH25" s="265">
        <f t="shared" ca="1" si="51"/>
        <v>0</v>
      </c>
      <c r="CI25" s="265">
        <f t="shared" ca="1" si="52"/>
        <v>0</v>
      </c>
      <c r="CJ25" s="265">
        <f t="shared" ca="1" si="87"/>
        <v>0</v>
      </c>
      <c r="CK25" s="265">
        <f t="shared" ca="1" si="88"/>
        <v>0</v>
      </c>
      <c r="CL25" s="265">
        <f t="shared" ca="1" si="53"/>
        <v>0</v>
      </c>
      <c r="CM25" s="265">
        <f t="shared" ca="1" si="54"/>
        <v>0</v>
      </c>
      <c r="CN25" s="265">
        <f t="shared" ca="1" si="55"/>
        <v>0</v>
      </c>
      <c r="CO25" s="265">
        <f t="shared" ca="1" si="56"/>
        <v>0</v>
      </c>
      <c r="CP25" s="265">
        <f t="shared" ca="1" si="89"/>
        <v>0</v>
      </c>
      <c r="CQ25" s="265">
        <f t="shared" ca="1" si="90"/>
        <v>0</v>
      </c>
      <c r="CR25" s="265">
        <f t="shared" ca="1" si="91"/>
        <v>0</v>
      </c>
      <c r="CS25" s="265">
        <f t="shared" ca="1" si="92"/>
        <v>0</v>
      </c>
      <c r="CT25" s="265">
        <f t="shared" ca="1" si="57"/>
        <v>0</v>
      </c>
      <c r="CU25" s="265">
        <f t="shared" ca="1" si="58"/>
        <v>0</v>
      </c>
      <c r="CV25" s="265">
        <f t="shared" ca="1" si="59"/>
        <v>0</v>
      </c>
      <c r="CW25" s="265">
        <f t="shared" ca="1" si="60"/>
        <v>0</v>
      </c>
      <c r="CX25" s="265">
        <f t="shared" ca="1" si="93"/>
        <v>0</v>
      </c>
      <c r="CY25" s="265">
        <f t="shared" ca="1" si="94"/>
        <v>0</v>
      </c>
      <c r="CZ25" s="265">
        <f t="shared" ca="1" si="95"/>
        <v>0</v>
      </c>
      <c r="DA25" s="265">
        <f t="shared" ca="1" si="96"/>
        <v>0</v>
      </c>
    </row>
    <row r="26" spans="1:105" s="262" customFormat="1" ht="15" customHeight="1">
      <c r="A26" s="63">
        <f t="array" aca="1" ref="A26" ca="1">IF(C26&lt;&gt;0,SUM(($C$11:C26&lt;&gt;0)*1),"")</f>
        <v>16</v>
      </c>
      <c r="B26" s="263" t="str">
        <f ca="1">IF(ROWS($1:16)&gt;COUNT(Dong6),"",OFFSET(TH!C$1,SMALL(Dong6,ROWS($1:16)),))</f>
        <v/>
      </c>
      <c r="C26" s="263" t="str">
        <f ca="1">IF(ROWS($1:16)&gt;COUNT(Dong6),"",OFFSET(TH!D$1,SMALL(Dong6,ROWS($1:16)),))</f>
        <v/>
      </c>
      <c r="D26" s="263" t="str">
        <f ca="1">IF(ROWS($1:16)&gt;COUNT(Dong6),"",OFFSET(TH!E$1,SMALL(Dong6,ROWS($1:16)),))</f>
        <v/>
      </c>
      <c r="E26" s="313" t="str">
        <f ca="1">IF(ROWS($1:16)&gt;COUNT(Dong6),"",OFFSET(TH!F$1,SMALL(Dong6,ROWS($1:16)),))</f>
        <v/>
      </c>
      <c r="F26" s="314" t="str">
        <f ca="1">IF(ROWS($1:16)&gt;COUNT(Dong6),"",OFFSET(TH!M$1,SMALL(Dong6,ROWS($1:16)),))</f>
        <v/>
      </c>
      <c r="G26" s="315" t="str">
        <f ca="1">IF(ROWS($1:16)&gt;COUNT(Dong6),"",OFFSET(TH!N$1,SMALL(Dong6,ROWS($1:16)),))</f>
        <v/>
      </c>
      <c r="H26" s="315" t="str">
        <f ca="1">IF(ROWS($1:16)&gt;COUNT(Dong6),"",OFFSET(TH!O$1,SMALL(Dong6,ROWS($1:16)),))</f>
        <v/>
      </c>
      <c r="I26" s="63">
        <f t="shared" ca="1" si="0"/>
        <v>16</v>
      </c>
      <c r="J26" s="265">
        <f t="shared" ca="1" si="61"/>
        <v>0</v>
      </c>
      <c r="K26" s="265">
        <f t="shared" ca="1" si="62"/>
        <v>0</v>
      </c>
      <c r="L26" s="265">
        <f t="shared" ca="1" si="1"/>
        <v>0</v>
      </c>
      <c r="M26" s="265">
        <f t="shared" ca="1" si="2"/>
        <v>0</v>
      </c>
      <c r="N26" s="265">
        <f t="shared" ca="1" si="3"/>
        <v>0</v>
      </c>
      <c r="O26" s="265">
        <f t="shared" ca="1" si="4"/>
        <v>0</v>
      </c>
      <c r="P26" s="265">
        <f t="shared" ca="1" si="5"/>
        <v>0</v>
      </c>
      <c r="Q26" s="265">
        <f t="shared" ca="1" si="6"/>
        <v>0</v>
      </c>
      <c r="R26" s="265">
        <f t="shared" ca="1" si="7"/>
        <v>0</v>
      </c>
      <c r="S26" s="265">
        <f t="shared" ca="1" si="8"/>
        <v>0</v>
      </c>
      <c r="T26" s="265">
        <f t="shared" ca="1" si="9"/>
        <v>0</v>
      </c>
      <c r="U26" s="265">
        <f t="shared" ca="1" si="10"/>
        <v>0</v>
      </c>
      <c r="V26" s="265">
        <f t="shared" ca="1" si="11"/>
        <v>0</v>
      </c>
      <c r="W26" s="265">
        <f t="shared" ca="1" si="12"/>
        <v>0</v>
      </c>
      <c r="X26" s="265">
        <f t="shared" ca="1" si="13"/>
        <v>0</v>
      </c>
      <c r="Y26" s="265">
        <f t="shared" ca="1" si="14"/>
        <v>0</v>
      </c>
      <c r="Z26" s="265">
        <f t="shared" ca="1" si="15"/>
        <v>0</v>
      </c>
      <c r="AA26" s="265">
        <f t="shared" ca="1" si="16"/>
        <v>0</v>
      </c>
      <c r="AB26" s="265">
        <f t="shared" ca="1" si="63"/>
        <v>0</v>
      </c>
      <c r="AC26" s="265">
        <f t="shared" ca="1" si="64"/>
        <v>0</v>
      </c>
      <c r="AD26" s="265">
        <f t="shared" ca="1" si="17"/>
        <v>0</v>
      </c>
      <c r="AE26" s="265">
        <f t="shared" ca="1" si="18"/>
        <v>0</v>
      </c>
      <c r="AF26" s="265">
        <f t="shared" ca="1" si="19"/>
        <v>0</v>
      </c>
      <c r="AG26" s="265">
        <f t="shared" ca="1" si="20"/>
        <v>0</v>
      </c>
      <c r="AH26" s="265">
        <f t="shared" ca="1" si="65"/>
        <v>0</v>
      </c>
      <c r="AI26" s="265">
        <f t="shared" ca="1" si="66"/>
        <v>0</v>
      </c>
      <c r="AJ26" s="265">
        <f t="shared" ca="1" si="67"/>
        <v>0</v>
      </c>
      <c r="AK26" s="265">
        <f t="shared" ca="1" si="68"/>
        <v>0</v>
      </c>
      <c r="AL26" s="265">
        <f t="shared" ca="1" si="69"/>
        <v>0</v>
      </c>
      <c r="AM26" s="265">
        <f t="shared" ca="1" si="70"/>
        <v>0</v>
      </c>
      <c r="AN26" s="265">
        <f t="shared" ca="1" si="71"/>
        <v>0</v>
      </c>
      <c r="AO26" s="265">
        <f t="shared" ca="1" si="72"/>
        <v>0</v>
      </c>
      <c r="AP26" s="265">
        <f t="shared" ca="1" si="21"/>
        <v>0</v>
      </c>
      <c r="AQ26" s="265">
        <f t="shared" ca="1" si="22"/>
        <v>0</v>
      </c>
      <c r="AR26" s="265">
        <f t="shared" ca="1" si="23"/>
        <v>0</v>
      </c>
      <c r="AS26" s="265">
        <f t="shared" ca="1" si="24"/>
        <v>0</v>
      </c>
      <c r="AT26" s="265">
        <f t="shared" ca="1" si="73"/>
        <v>0</v>
      </c>
      <c r="AU26" s="265">
        <f t="shared" ca="1" si="74"/>
        <v>0</v>
      </c>
      <c r="AV26" s="265">
        <f t="shared" ca="1" si="25"/>
        <v>0</v>
      </c>
      <c r="AW26" s="265">
        <f t="shared" ca="1" si="26"/>
        <v>0</v>
      </c>
      <c r="AX26" s="265">
        <f t="shared" ca="1" si="27"/>
        <v>0</v>
      </c>
      <c r="AY26" s="265">
        <f t="shared" ca="1" si="28"/>
        <v>0</v>
      </c>
      <c r="AZ26" s="265">
        <f t="shared" ca="1" si="29"/>
        <v>0</v>
      </c>
      <c r="BA26" s="265">
        <f t="shared" ca="1" si="30"/>
        <v>0</v>
      </c>
      <c r="BB26" s="265">
        <f t="shared" ca="1" si="31"/>
        <v>0</v>
      </c>
      <c r="BC26" s="265">
        <f t="shared" ca="1" si="32"/>
        <v>0</v>
      </c>
      <c r="BD26" s="265">
        <f t="shared" ca="1" si="33"/>
        <v>0</v>
      </c>
      <c r="BE26" s="265">
        <f t="shared" ca="1" si="34"/>
        <v>0</v>
      </c>
      <c r="BF26" s="265">
        <f t="shared" ca="1" si="35"/>
        <v>0</v>
      </c>
      <c r="BG26" s="265">
        <f t="shared" ca="1" si="36"/>
        <v>0</v>
      </c>
      <c r="BH26" s="265">
        <f t="shared" ca="1" si="75"/>
        <v>0</v>
      </c>
      <c r="BI26" s="265">
        <f t="shared" ca="1" si="76"/>
        <v>0</v>
      </c>
      <c r="BJ26" s="265">
        <f t="shared" ca="1" si="37"/>
        <v>0</v>
      </c>
      <c r="BK26" s="265">
        <f t="shared" ca="1" si="38"/>
        <v>0</v>
      </c>
      <c r="BL26" s="265">
        <f t="shared" ca="1" si="39"/>
        <v>0</v>
      </c>
      <c r="BM26" s="265">
        <f t="shared" ca="1" si="40"/>
        <v>0</v>
      </c>
      <c r="BN26" s="265">
        <f t="shared" ca="1" si="41"/>
        <v>0</v>
      </c>
      <c r="BO26" s="265">
        <f t="shared" ca="1" si="42"/>
        <v>0</v>
      </c>
      <c r="BP26" s="265">
        <f t="shared" ca="1" si="77"/>
        <v>0</v>
      </c>
      <c r="BQ26" s="265">
        <f t="shared" ca="1" si="78"/>
        <v>0</v>
      </c>
      <c r="BR26" s="265">
        <f t="shared" ca="1" si="43"/>
        <v>0</v>
      </c>
      <c r="BS26" s="265">
        <f t="shared" ca="1" si="44"/>
        <v>0</v>
      </c>
      <c r="BT26" s="265">
        <f t="shared" ca="1" si="79"/>
        <v>0</v>
      </c>
      <c r="BU26" s="265">
        <f t="shared" ca="1" si="80"/>
        <v>0</v>
      </c>
      <c r="BV26" s="265">
        <f t="shared" ca="1" si="81"/>
        <v>0</v>
      </c>
      <c r="BW26" s="265">
        <f t="shared" ca="1" si="82"/>
        <v>0</v>
      </c>
      <c r="BX26" s="265">
        <f t="shared" ca="1" si="45"/>
        <v>0</v>
      </c>
      <c r="BY26" s="265">
        <f t="shared" ca="1" si="46"/>
        <v>0</v>
      </c>
      <c r="BZ26" s="265">
        <f t="shared" ca="1" si="47"/>
        <v>0</v>
      </c>
      <c r="CA26" s="265">
        <f t="shared" ca="1" si="48"/>
        <v>0</v>
      </c>
      <c r="CB26" s="265">
        <f t="shared" ca="1" si="49"/>
        <v>0</v>
      </c>
      <c r="CC26" s="265">
        <f t="shared" ca="1" si="50"/>
        <v>0</v>
      </c>
      <c r="CD26" s="265">
        <f t="shared" ca="1" si="83"/>
        <v>0</v>
      </c>
      <c r="CE26" s="265">
        <f t="shared" ca="1" si="84"/>
        <v>0</v>
      </c>
      <c r="CF26" s="265">
        <f t="shared" ca="1" si="85"/>
        <v>0</v>
      </c>
      <c r="CG26" s="265">
        <f t="shared" ca="1" si="86"/>
        <v>0</v>
      </c>
      <c r="CH26" s="265">
        <f t="shared" ca="1" si="51"/>
        <v>0</v>
      </c>
      <c r="CI26" s="265">
        <f t="shared" ca="1" si="52"/>
        <v>0</v>
      </c>
      <c r="CJ26" s="265">
        <f t="shared" ca="1" si="87"/>
        <v>0</v>
      </c>
      <c r="CK26" s="265">
        <f t="shared" ca="1" si="88"/>
        <v>0</v>
      </c>
      <c r="CL26" s="265">
        <f t="shared" ca="1" si="53"/>
        <v>0</v>
      </c>
      <c r="CM26" s="265">
        <f t="shared" ca="1" si="54"/>
        <v>0</v>
      </c>
      <c r="CN26" s="265">
        <f t="shared" ca="1" si="55"/>
        <v>0</v>
      </c>
      <c r="CO26" s="265">
        <f t="shared" ca="1" si="56"/>
        <v>0</v>
      </c>
      <c r="CP26" s="265">
        <f t="shared" ca="1" si="89"/>
        <v>0</v>
      </c>
      <c r="CQ26" s="265">
        <f t="shared" ca="1" si="90"/>
        <v>0</v>
      </c>
      <c r="CR26" s="265">
        <f t="shared" ca="1" si="91"/>
        <v>0</v>
      </c>
      <c r="CS26" s="265">
        <f t="shared" ca="1" si="92"/>
        <v>0</v>
      </c>
      <c r="CT26" s="265">
        <f t="shared" ca="1" si="57"/>
        <v>0</v>
      </c>
      <c r="CU26" s="265">
        <f t="shared" ca="1" si="58"/>
        <v>0</v>
      </c>
      <c r="CV26" s="265">
        <f t="shared" ca="1" si="59"/>
        <v>0</v>
      </c>
      <c r="CW26" s="265">
        <f t="shared" ca="1" si="60"/>
        <v>0</v>
      </c>
      <c r="CX26" s="265">
        <f t="shared" ca="1" si="93"/>
        <v>0</v>
      </c>
      <c r="CY26" s="265">
        <f t="shared" ca="1" si="94"/>
        <v>0</v>
      </c>
      <c r="CZ26" s="265">
        <f t="shared" ca="1" si="95"/>
        <v>0</v>
      </c>
      <c r="DA26" s="265">
        <f t="shared" ca="1" si="96"/>
        <v>0</v>
      </c>
    </row>
    <row r="27" spans="1:105" s="262" customFormat="1" ht="15" customHeight="1">
      <c r="A27" s="63">
        <f t="array" aca="1" ref="A27" ca="1">IF(C27&lt;&gt;0,SUM(($C$11:C27&lt;&gt;0)*1),"")</f>
        <v>17</v>
      </c>
      <c r="B27" s="263" t="str">
        <f ca="1">IF(ROWS($1:17)&gt;COUNT(Dong6),"",OFFSET(TH!C$1,SMALL(Dong6,ROWS($1:17)),))</f>
        <v/>
      </c>
      <c r="C27" s="263" t="str">
        <f ca="1">IF(ROWS($1:17)&gt;COUNT(Dong6),"",OFFSET(TH!D$1,SMALL(Dong6,ROWS($1:17)),))</f>
        <v/>
      </c>
      <c r="D27" s="263" t="str">
        <f ca="1">IF(ROWS($1:17)&gt;COUNT(Dong6),"",OFFSET(TH!E$1,SMALL(Dong6,ROWS($1:17)),))</f>
        <v/>
      </c>
      <c r="E27" s="313" t="str">
        <f ca="1">IF(ROWS($1:17)&gt;COUNT(Dong6),"",OFFSET(TH!F$1,SMALL(Dong6,ROWS($1:17)),))</f>
        <v/>
      </c>
      <c r="F27" s="314" t="str">
        <f ca="1">IF(ROWS($1:17)&gt;COUNT(Dong6),"",OFFSET(TH!M$1,SMALL(Dong6,ROWS($1:17)),))</f>
        <v/>
      </c>
      <c r="G27" s="315" t="str">
        <f ca="1">IF(ROWS($1:17)&gt;COUNT(Dong6),"",OFFSET(TH!N$1,SMALL(Dong6,ROWS($1:17)),))</f>
        <v/>
      </c>
      <c r="H27" s="315" t="str">
        <f ca="1">IF(ROWS($1:17)&gt;COUNT(Dong6),"",OFFSET(TH!O$1,SMALL(Dong6,ROWS($1:17)),))</f>
        <v/>
      </c>
      <c r="I27" s="63">
        <f t="shared" ca="1" si="0"/>
        <v>17</v>
      </c>
      <c r="J27" s="265">
        <f t="shared" ca="1" si="61"/>
        <v>0</v>
      </c>
      <c r="K27" s="265">
        <f t="shared" ca="1" si="62"/>
        <v>0</v>
      </c>
      <c r="L27" s="265">
        <f t="shared" ca="1" si="1"/>
        <v>0</v>
      </c>
      <c r="M27" s="265">
        <f t="shared" ca="1" si="2"/>
        <v>0</v>
      </c>
      <c r="N27" s="265">
        <f t="shared" ca="1" si="3"/>
        <v>0</v>
      </c>
      <c r="O27" s="265">
        <f t="shared" ca="1" si="4"/>
        <v>0</v>
      </c>
      <c r="P27" s="265">
        <f t="shared" ca="1" si="5"/>
        <v>0</v>
      </c>
      <c r="Q27" s="265">
        <f t="shared" ca="1" si="6"/>
        <v>0</v>
      </c>
      <c r="R27" s="265">
        <f t="shared" ca="1" si="7"/>
        <v>0</v>
      </c>
      <c r="S27" s="265">
        <f t="shared" ca="1" si="8"/>
        <v>0</v>
      </c>
      <c r="T27" s="265">
        <f t="shared" ca="1" si="9"/>
        <v>0</v>
      </c>
      <c r="U27" s="265">
        <f t="shared" ca="1" si="10"/>
        <v>0</v>
      </c>
      <c r="V27" s="265">
        <f t="shared" ca="1" si="11"/>
        <v>0</v>
      </c>
      <c r="W27" s="265">
        <f t="shared" ca="1" si="12"/>
        <v>0</v>
      </c>
      <c r="X27" s="265">
        <f t="shared" ca="1" si="13"/>
        <v>0</v>
      </c>
      <c r="Y27" s="265">
        <f t="shared" ca="1" si="14"/>
        <v>0</v>
      </c>
      <c r="Z27" s="265">
        <f t="shared" ca="1" si="15"/>
        <v>0</v>
      </c>
      <c r="AA27" s="265">
        <f t="shared" ca="1" si="16"/>
        <v>0</v>
      </c>
      <c r="AB27" s="265">
        <f t="shared" ca="1" si="63"/>
        <v>0</v>
      </c>
      <c r="AC27" s="265">
        <f t="shared" ca="1" si="64"/>
        <v>0</v>
      </c>
      <c r="AD27" s="265">
        <f t="shared" ca="1" si="17"/>
        <v>0</v>
      </c>
      <c r="AE27" s="265">
        <f t="shared" ca="1" si="18"/>
        <v>0</v>
      </c>
      <c r="AF27" s="265">
        <f t="shared" ca="1" si="19"/>
        <v>0</v>
      </c>
      <c r="AG27" s="265">
        <f t="shared" ca="1" si="20"/>
        <v>0</v>
      </c>
      <c r="AH27" s="265">
        <f t="shared" ca="1" si="65"/>
        <v>0</v>
      </c>
      <c r="AI27" s="265">
        <f t="shared" ca="1" si="66"/>
        <v>0</v>
      </c>
      <c r="AJ27" s="265">
        <f t="shared" ca="1" si="67"/>
        <v>0</v>
      </c>
      <c r="AK27" s="265">
        <f t="shared" ca="1" si="68"/>
        <v>0</v>
      </c>
      <c r="AL27" s="265">
        <f t="shared" ca="1" si="69"/>
        <v>0</v>
      </c>
      <c r="AM27" s="265">
        <f t="shared" ca="1" si="70"/>
        <v>0</v>
      </c>
      <c r="AN27" s="265">
        <f t="shared" ca="1" si="71"/>
        <v>0</v>
      </c>
      <c r="AO27" s="265">
        <f t="shared" ca="1" si="72"/>
        <v>0</v>
      </c>
      <c r="AP27" s="265">
        <f t="shared" ca="1" si="21"/>
        <v>0</v>
      </c>
      <c r="AQ27" s="265">
        <f t="shared" ca="1" si="22"/>
        <v>0</v>
      </c>
      <c r="AR27" s="265">
        <f t="shared" ca="1" si="23"/>
        <v>0</v>
      </c>
      <c r="AS27" s="265">
        <f t="shared" ca="1" si="24"/>
        <v>0</v>
      </c>
      <c r="AT27" s="265">
        <f t="shared" ca="1" si="73"/>
        <v>0</v>
      </c>
      <c r="AU27" s="265">
        <f t="shared" ca="1" si="74"/>
        <v>0</v>
      </c>
      <c r="AV27" s="265">
        <f t="shared" ca="1" si="25"/>
        <v>0</v>
      </c>
      <c r="AW27" s="265">
        <f t="shared" ca="1" si="26"/>
        <v>0</v>
      </c>
      <c r="AX27" s="265">
        <f t="shared" ca="1" si="27"/>
        <v>0</v>
      </c>
      <c r="AY27" s="265">
        <f t="shared" ca="1" si="28"/>
        <v>0</v>
      </c>
      <c r="AZ27" s="265">
        <f t="shared" ca="1" si="29"/>
        <v>0</v>
      </c>
      <c r="BA27" s="265">
        <f t="shared" ca="1" si="30"/>
        <v>0</v>
      </c>
      <c r="BB27" s="265">
        <f t="shared" ca="1" si="31"/>
        <v>0</v>
      </c>
      <c r="BC27" s="265">
        <f t="shared" ca="1" si="32"/>
        <v>0</v>
      </c>
      <c r="BD27" s="265">
        <f t="shared" ca="1" si="33"/>
        <v>0</v>
      </c>
      <c r="BE27" s="265">
        <f t="shared" ca="1" si="34"/>
        <v>0</v>
      </c>
      <c r="BF27" s="265">
        <f t="shared" ca="1" si="35"/>
        <v>0</v>
      </c>
      <c r="BG27" s="265">
        <f t="shared" ca="1" si="36"/>
        <v>0</v>
      </c>
      <c r="BH27" s="265">
        <f t="shared" ca="1" si="75"/>
        <v>0</v>
      </c>
      <c r="BI27" s="265">
        <f t="shared" ca="1" si="76"/>
        <v>0</v>
      </c>
      <c r="BJ27" s="265">
        <f t="shared" ca="1" si="37"/>
        <v>0</v>
      </c>
      <c r="BK27" s="265">
        <f t="shared" ca="1" si="38"/>
        <v>0</v>
      </c>
      <c r="BL27" s="265">
        <f t="shared" ca="1" si="39"/>
        <v>0</v>
      </c>
      <c r="BM27" s="265">
        <f t="shared" ca="1" si="40"/>
        <v>0</v>
      </c>
      <c r="BN27" s="265">
        <f t="shared" ca="1" si="41"/>
        <v>0</v>
      </c>
      <c r="BO27" s="265">
        <f t="shared" ca="1" si="42"/>
        <v>0</v>
      </c>
      <c r="BP27" s="265">
        <f t="shared" ca="1" si="77"/>
        <v>0</v>
      </c>
      <c r="BQ27" s="265">
        <f t="shared" ca="1" si="78"/>
        <v>0</v>
      </c>
      <c r="BR27" s="265">
        <f t="shared" ca="1" si="43"/>
        <v>0</v>
      </c>
      <c r="BS27" s="265">
        <f t="shared" ca="1" si="44"/>
        <v>0</v>
      </c>
      <c r="BT27" s="265">
        <f t="shared" ca="1" si="79"/>
        <v>0</v>
      </c>
      <c r="BU27" s="265">
        <f t="shared" ca="1" si="80"/>
        <v>0</v>
      </c>
      <c r="BV27" s="265">
        <f t="shared" ca="1" si="81"/>
        <v>0</v>
      </c>
      <c r="BW27" s="265">
        <f t="shared" ca="1" si="82"/>
        <v>0</v>
      </c>
      <c r="BX27" s="265">
        <f t="shared" ca="1" si="45"/>
        <v>0</v>
      </c>
      <c r="BY27" s="265">
        <f t="shared" ca="1" si="46"/>
        <v>0</v>
      </c>
      <c r="BZ27" s="265">
        <f t="shared" ca="1" si="47"/>
        <v>0</v>
      </c>
      <c r="CA27" s="265">
        <f t="shared" ca="1" si="48"/>
        <v>0</v>
      </c>
      <c r="CB27" s="265">
        <f t="shared" ca="1" si="49"/>
        <v>0</v>
      </c>
      <c r="CC27" s="265">
        <f t="shared" ca="1" si="50"/>
        <v>0</v>
      </c>
      <c r="CD27" s="265">
        <f t="shared" ca="1" si="83"/>
        <v>0</v>
      </c>
      <c r="CE27" s="265">
        <f t="shared" ca="1" si="84"/>
        <v>0</v>
      </c>
      <c r="CF27" s="265">
        <f t="shared" ca="1" si="85"/>
        <v>0</v>
      </c>
      <c r="CG27" s="265">
        <f t="shared" ca="1" si="86"/>
        <v>0</v>
      </c>
      <c r="CH27" s="265">
        <f t="shared" ca="1" si="51"/>
        <v>0</v>
      </c>
      <c r="CI27" s="265">
        <f t="shared" ca="1" si="52"/>
        <v>0</v>
      </c>
      <c r="CJ27" s="265">
        <f t="shared" ca="1" si="87"/>
        <v>0</v>
      </c>
      <c r="CK27" s="265">
        <f t="shared" ca="1" si="88"/>
        <v>0</v>
      </c>
      <c r="CL27" s="265">
        <f t="shared" ca="1" si="53"/>
        <v>0</v>
      </c>
      <c r="CM27" s="265">
        <f t="shared" ca="1" si="54"/>
        <v>0</v>
      </c>
      <c r="CN27" s="265">
        <f t="shared" ca="1" si="55"/>
        <v>0</v>
      </c>
      <c r="CO27" s="265">
        <f t="shared" ca="1" si="56"/>
        <v>0</v>
      </c>
      <c r="CP27" s="265">
        <f t="shared" ca="1" si="89"/>
        <v>0</v>
      </c>
      <c r="CQ27" s="265">
        <f t="shared" ca="1" si="90"/>
        <v>0</v>
      </c>
      <c r="CR27" s="265">
        <f t="shared" ca="1" si="91"/>
        <v>0</v>
      </c>
      <c r="CS27" s="265">
        <f t="shared" ca="1" si="92"/>
        <v>0</v>
      </c>
      <c r="CT27" s="265">
        <f t="shared" ca="1" si="57"/>
        <v>0</v>
      </c>
      <c r="CU27" s="265">
        <f t="shared" ca="1" si="58"/>
        <v>0</v>
      </c>
      <c r="CV27" s="265">
        <f t="shared" ca="1" si="59"/>
        <v>0</v>
      </c>
      <c r="CW27" s="265">
        <f t="shared" ca="1" si="60"/>
        <v>0</v>
      </c>
      <c r="CX27" s="265">
        <f t="shared" ca="1" si="93"/>
        <v>0</v>
      </c>
      <c r="CY27" s="265">
        <f t="shared" ca="1" si="94"/>
        <v>0</v>
      </c>
      <c r="CZ27" s="265">
        <f t="shared" ca="1" si="95"/>
        <v>0</v>
      </c>
      <c r="DA27" s="265">
        <f t="shared" ca="1" si="96"/>
        <v>0</v>
      </c>
    </row>
    <row r="28" spans="1:105" s="262" customFormat="1" ht="15" customHeight="1">
      <c r="A28" s="63">
        <f t="array" aca="1" ref="A28" ca="1">IF(C28&lt;&gt;0,SUM(($C$11:C28&lt;&gt;0)*1),"")</f>
        <v>18</v>
      </c>
      <c r="B28" s="263" t="str">
        <f ca="1">IF(ROWS($1:18)&gt;COUNT(Dong6),"",OFFSET(TH!C$1,SMALL(Dong6,ROWS($1:18)),))</f>
        <v/>
      </c>
      <c r="C28" s="263" t="str">
        <f ca="1">IF(ROWS($1:18)&gt;COUNT(Dong6),"",OFFSET(TH!D$1,SMALL(Dong6,ROWS($1:18)),))</f>
        <v/>
      </c>
      <c r="D28" s="263" t="str">
        <f ca="1">IF(ROWS($1:18)&gt;COUNT(Dong6),"",OFFSET(TH!E$1,SMALL(Dong6,ROWS($1:18)),))</f>
        <v/>
      </c>
      <c r="E28" s="313" t="str">
        <f ca="1">IF(ROWS($1:18)&gt;COUNT(Dong6),"",OFFSET(TH!F$1,SMALL(Dong6,ROWS($1:18)),))</f>
        <v/>
      </c>
      <c r="F28" s="314" t="str">
        <f ca="1">IF(ROWS($1:18)&gt;COUNT(Dong6),"",OFFSET(TH!M$1,SMALL(Dong6,ROWS($1:18)),))</f>
        <v/>
      </c>
      <c r="G28" s="315" t="str">
        <f ca="1">IF(ROWS($1:18)&gt;COUNT(Dong6),"",OFFSET(TH!N$1,SMALL(Dong6,ROWS($1:18)),))</f>
        <v/>
      </c>
      <c r="H28" s="315" t="str">
        <f ca="1">IF(ROWS($1:18)&gt;COUNT(Dong6),"",OFFSET(TH!O$1,SMALL(Dong6,ROWS($1:18)),))</f>
        <v/>
      </c>
      <c r="I28" s="63">
        <f t="shared" ca="1" si="0"/>
        <v>18</v>
      </c>
      <c r="J28" s="265">
        <f t="shared" ca="1" si="61"/>
        <v>0</v>
      </c>
      <c r="K28" s="265">
        <f t="shared" ca="1" si="62"/>
        <v>0</v>
      </c>
      <c r="L28" s="265">
        <f t="shared" ca="1" si="1"/>
        <v>0</v>
      </c>
      <c r="M28" s="265">
        <f t="shared" ca="1" si="2"/>
        <v>0</v>
      </c>
      <c r="N28" s="265">
        <f t="shared" ca="1" si="3"/>
        <v>0</v>
      </c>
      <c r="O28" s="265">
        <f t="shared" ca="1" si="4"/>
        <v>0</v>
      </c>
      <c r="P28" s="265">
        <f t="shared" ca="1" si="5"/>
        <v>0</v>
      </c>
      <c r="Q28" s="265">
        <f t="shared" ca="1" si="6"/>
        <v>0</v>
      </c>
      <c r="R28" s="265">
        <f t="shared" ca="1" si="7"/>
        <v>0</v>
      </c>
      <c r="S28" s="265">
        <f t="shared" ca="1" si="8"/>
        <v>0</v>
      </c>
      <c r="T28" s="265">
        <f t="shared" ca="1" si="9"/>
        <v>0</v>
      </c>
      <c r="U28" s="265">
        <f t="shared" ca="1" si="10"/>
        <v>0</v>
      </c>
      <c r="V28" s="265">
        <f t="shared" ca="1" si="11"/>
        <v>0</v>
      </c>
      <c r="W28" s="265">
        <f t="shared" ca="1" si="12"/>
        <v>0</v>
      </c>
      <c r="X28" s="265">
        <f t="shared" ca="1" si="13"/>
        <v>0</v>
      </c>
      <c r="Y28" s="265">
        <f t="shared" ca="1" si="14"/>
        <v>0</v>
      </c>
      <c r="Z28" s="265">
        <f t="shared" ca="1" si="15"/>
        <v>0</v>
      </c>
      <c r="AA28" s="265">
        <f t="shared" ca="1" si="16"/>
        <v>0</v>
      </c>
      <c r="AB28" s="265">
        <f t="shared" ca="1" si="63"/>
        <v>0</v>
      </c>
      <c r="AC28" s="265">
        <f t="shared" ca="1" si="64"/>
        <v>0</v>
      </c>
      <c r="AD28" s="265">
        <f t="shared" ca="1" si="17"/>
        <v>0</v>
      </c>
      <c r="AE28" s="265">
        <f t="shared" ca="1" si="18"/>
        <v>0</v>
      </c>
      <c r="AF28" s="265">
        <f t="shared" ca="1" si="19"/>
        <v>0</v>
      </c>
      <c r="AG28" s="265">
        <f t="shared" ca="1" si="20"/>
        <v>0</v>
      </c>
      <c r="AH28" s="265">
        <f t="shared" ca="1" si="65"/>
        <v>0</v>
      </c>
      <c r="AI28" s="265">
        <f t="shared" ca="1" si="66"/>
        <v>0</v>
      </c>
      <c r="AJ28" s="265">
        <f t="shared" ca="1" si="67"/>
        <v>0</v>
      </c>
      <c r="AK28" s="265">
        <f t="shared" ca="1" si="68"/>
        <v>0</v>
      </c>
      <c r="AL28" s="265">
        <f t="shared" ca="1" si="69"/>
        <v>0</v>
      </c>
      <c r="AM28" s="265">
        <f t="shared" ca="1" si="70"/>
        <v>0</v>
      </c>
      <c r="AN28" s="265">
        <f t="shared" ca="1" si="71"/>
        <v>0</v>
      </c>
      <c r="AO28" s="265">
        <f t="shared" ca="1" si="72"/>
        <v>0</v>
      </c>
      <c r="AP28" s="265">
        <f t="shared" ca="1" si="21"/>
        <v>0</v>
      </c>
      <c r="AQ28" s="265">
        <f t="shared" ca="1" si="22"/>
        <v>0</v>
      </c>
      <c r="AR28" s="265">
        <f t="shared" ca="1" si="23"/>
        <v>0</v>
      </c>
      <c r="AS28" s="265">
        <f t="shared" ca="1" si="24"/>
        <v>0</v>
      </c>
      <c r="AT28" s="265">
        <f t="shared" ca="1" si="73"/>
        <v>0</v>
      </c>
      <c r="AU28" s="265">
        <f t="shared" ca="1" si="74"/>
        <v>0</v>
      </c>
      <c r="AV28" s="265">
        <f t="shared" ca="1" si="25"/>
        <v>0</v>
      </c>
      <c r="AW28" s="265">
        <f t="shared" ca="1" si="26"/>
        <v>0</v>
      </c>
      <c r="AX28" s="265">
        <f t="shared" ca="1" si="27"/>
        <v>0</v>
      </c>
      <c r="AY28" s="265">
        <f t="shared" ca="1" si="28"/>
        <v>0</v>
      </c>
      <c r="AZ28" s="265">
        <f t="shared" ca="1" si="29"/>
        <v>0</v>
      </c>
      <c r="BA28" s="265">
        <f t="shared" ca="1" si="30"/>
        <v>0</v>
      </c>
      <c r="BB28" s="265">
        <f t="shared" ca="1" si="31"/>
        <v>0</v>
      </c>
      <c r="BC28" s="265">
        <f t="shared" ca="1" si="32"/>
        <v>0</v>
      </c>
      <c r="BD28" s="265">
        <f t="shared" ca="1" si="33"/>
        <v>0</v>
      </c>
      <c r="BE28" s="265">
        <f t="shared" ca="1" si="34"/>
        <v>0</v>
      </c>
      <c r="BF28" s="265">
        <f t="shared" ca="1" si="35"/>
        <v>0</v>
      </c>
      <c r="BG28" s="265">
        <f t="shared" ca="1" si="36"/>
        <v>0</v>
      </c>
      <c r="BH28" s="265">
        <f t="shared" ca="1" si="75"/>
        <v>0</v>
      </c>
      <c r="BI28" s="265">
        <f t="shared" ca="1" si="76"/>
        <v>0</v>
      </c>
      <c r="BJ28" s="265">
        <f t="shared" ca="1" si="37"/>
        <v>0</v>
      </c>
      <c r="BK28" s="265">
        <f t="shared" ca="1" si="38"/>
        <v>0</v>
      </c>
      <c r="BL28" s="265">
        <f t="shared" ca="1" si="39"/>
        <v>0</v>
      </c>
      <c r="BM28" s="265">
        <f t="shared" ca="1" si="40"/>
        <v>0</v>
      </c>
      <c r="BN28" s="265">
        <f t="shared" ca="1" si="41"/>
        <v>0</v>
      </c>
      <c r="BO28" s="265">
        <f t="shared" ca="1" si="42"/>
        <v>0</v>
      </c>
      <c r="BP28" s="265">
        <f t="shared" ca="1" si="77"/>
        <v>0</v>
      </c>
      <c r="BQ28" s="265">
        <f t="shared" ca="1" si="78"/>
        <v>0</v>
      </c>
      <c r="BR28" s="265">
        <f t="shared" ca="1" si="43"/>
        <v>0</v>
      </c>
      <c r="BS28" s="265">
        <f t="shared" ca="1" si="44"/>
        <v>0</v>
      </c>
      <c r="BT28" s="265">
        <f t="shared" ca="1" si="79"/>
        <v>0</v>
      </c>
      <c r="BU28" s="265">
        <f t="shared" ca="1" si="80"/>
        <v>0</v>
      </c>
      <c r="BV28" s="265">
        <f t="shared" ca="1" si="81"/>
        <v>0</v>
      </c>
      <c r="BW28" s="265">
        <f t="shared" ca="1" si="82"/>
        <v>0</v>
      </c>
      <c r="BX28" s="265">
        <f t="shared" ca="1" si="45"/>
        <v>0</v>
      </c>
      <c r="BY28" s="265">
        <f t="shared" ca="1" si="46"/>
        <v>0</v>
      </c>
      <c r="BZ28" s="265">
        <f t="shared" ca="1" si="47"/>
        <v>0</v>
      </c>
      <c r="CA28" s="265">
        <f t="shared" ca="1" si="48"/>
        <v>0</v>
      </c>
      <c r="CB28" s="265">
        <f t="shared" ca="1" si="49"/>
        <v>0</v>
      </c>
      <c r="CC28" s="265">
        <f t="shared" ca="1" si="50"/>
        <v>0</v>
      </c>
      <c r="CD28" s="265">
        <f t="shared" ca="1" si="83"/>
        <v>0</v>
      </c>
      <c r="CE28" s="265">
        <f t="shared" ca="1" si="84"/>
        <v>0</v>
      </c>
      <c r="CF28" s="265">
        <f t="shared" ca="1" si="85"/>
        <v>0</v>
      </c>
      <c r="CG28" s="265">
        <f t="shared" ca="1" si="86"/>
        <v>0</v>
      </c>
      <c r="CH28" s="265">
        <f t="shared" ca="1" si="51"/>
        <v>0</v>
      </c>
      <c r="CI28" s="265">
        <f t="shared" ca="1" si="52"/>
        <v>0</v>
      </c>
      <c r="CJ28" s="265">
        <f t="shared" ca="1" si="87"/>
        <v>0</v>
      </c>
      <c r="CK28" s="265">
        <f t="shared" ca="1" si="88"/>
        <v>0</v>
      </c>
      <c r="CL28" s="265">
        <f t="shared" ca="1" si="53"/>
        <v>0</v>
      </c>
      <c r="CM28" s="265">
        <f t="shared" ca="1" si="54"/>
        <v>0</v>
      </c>
      <c r="CN28" s="265">
        <f t="shared" ca="1" si="55"/>
        <v>0</v>
      </c>
      <c r="CO28" s="265">
        <f t="shared" ca="1" si="56"/>
        <v>0</v>
      </c>
      <c r="CP28" s="265">
        <f t="shared" ca="1" si="89"/>
        <v>0</v>
      </c>
      <c r="CQ28" s="265">
        <f t="shared" ca="1" si="90"/>
        <v>0</v>
      </c>
      <c r="CR28" s="265">
        <f t="shared" ca="1" si="91"/>
        <v>0</v>
      </c>
      <c r="CS28" s="265">
        <f t="shared" ca="1" si="92"/>
        <v>0</v>
      </c>
      <c r="CT28" s="265">
        <f t="shared" ca="1" si="57"/>
        <v>0</v>
      </c>
      <c r="CU28" s="265">
        <f t="shared" ca="1" si="58"/>
        <v>0</v>
      </c>
      <c r="CV28" s="265">
        <f t="shared" ca="1" si="59"/>
        <v>0</v>
      </c>
      <c r="CW28" s="265">
        <f t="shared" ca="1" si="60"/>
        <v>0</v>
      </c>
      <c r="CX28" s="265">
        <f t="shared" ca="1" si="93"/>
        <v>0</v>
      </c>
      <c r="CY28" s="265">
        <f t="shared" ca="1" si="94"/>
        <v>0</v>
      </c>
      <c r="CZ28" s="265">
        <f t="shared" ca="1" si="95"/>
        <v>0</v>
      </c>
      <c r="DA28" s="265">
        <f t="shared" ca="1" si="96"/>
        <v>0</v>
      </c>
    </row>
    <row r="29" spans="1:105" s="262" customFormat="1" ht="15" customHeight="1">
      <c r="A29" s="63">
        <f t="array" aca="1" ref="A29" ca="1">IF(C29&lt;&gt;0,SUM(($C$11:C29&lt;&gt;0)*1),"")</f>
        <v>19</v>
      </c>
      <c r="B29" s="263" t="str">
        <f ca="1">IF(ROWS($1:19)&gt;COUNT(Dong6),"",OFFSET(TH!C$1,SMALL(Dong6,ROWS($1:19)),))</f>
        <v/>
      </c>
      <c r="C29" s="263" t="str">
        <f ca="1">IF(ROWS($1:19)&gt;COUNT(Dong6),"",OFFSET(TH!D$1,SMALL(Dong6,ROWS($1:19)),))</f>
        <v/>
      </c>
      <c r="D29" s="263" t="str">
        <f ca="1">IF(ROWS($1:19)&gt;COUNT(Dong6),"",OFFSET(TH!E$1,SMALL(Dong6,ROWS($1:19)),))</f>
        <v/>
      </c>
      <c r="E29" s="313" t="str">
        <f ca="1">IF(ROWS($1:19)&gt;COUNT(Dong6),"",OFFSET(TH!F$1,SMALL(Dong6,ROWS($1:19)),))</f>
        <v/>
      </c>
      <c r="F29" s="314" t="str">
        <f ca="1">IF(ROWS($1:19)&gt;COUNT(Dong6),"",OFFSET(TH!M$1,SMALL(Dong6,ROWS($1:19)),))</f>
        <v/>
      </c>
      <c r="G29" s="315" t="str">
        <f ca="1">IF(ROWS($1:19)&gt;COUNT(Dong6),"",OFFSET(TH!N$1,SMALL(Dong6,ROWS($1:19)),))</f>
        <v/>
      </c>
      <c r="H29" s="315" t="str">
        <f ca="1">IF(ROWS($1:19)&gt;COUNT(Dong6),"",OFFSET(TH!O$1,SMALL(Dong6,ROWS($1:19)),))</f>
        <v/>
      </c>
      <c r="I29" s="63">
        <f t="shared" ca="1" si="0"/>
        <v>19</v>
      </c>
      <c r="J29" s="265">
        <f t="shared" ca="1" si="61"/>
        <v>0</v>
      </c>
      <c r="K29" s="265">
        <f t="shared" ca="1" si="62"/>
        <v>0</v>
      </c>
      <c r="L29" s="265">
        <f t="shared" ca="1" si="1"/>
        <v>0</v>
      </c>
      <c r="M29" s="265">
        <f t="shared" ca="1" si="2"/>
        <v>0</v>
      </c>
      <c r="N29" s="265">
        <f t="shared" ca="1" si="3"/>
        <v>0</v>
      </c>
      <c r="O29" s="265">
        <f t="shared" ca="1" si="4"/>
        <v>0</v>
      </c>
      <c r="P29" s="265">
        <f t="shared" ca="1" si="5"/>
        <v>0</v>
      </c>
      <c r="Q29" s="265">
        <f t="shared" ca="1" si="6"/>
        <v>0</v>
      </c>
      <c r="R29" s="265">
        <f t="shared" ca="1" si="7"/>
        <v>0</v>
      </c>
      <c r="S29" s="265">
        <f t="shared" ca="1" si="8"/>
        <v>0</v>
      </c>
      <c r="T29" s="265">
        <f t="shared" ca="1" si="9"/>
        <v>0</v>
      </c>
      <c r="U29" s="265">
        <f t="shared" ca="1" si="10"/>
        <v>0</v>
      </c>
      <c r="V29" s="265">
        <f t="shared" ca="1" si="11"/>
        <v>0</v>
      </c>
      <c r="W29" s="265">
        <f t="shared" ca="1" si="12"/>
        <v>0</v>
      </c>
      <c r="X29" s="265">
        <f t="shared" ca="1" si="13"/>
        <v>0</v>
      </c>
      <c r="Y29" s="265">
        <f t="shared" ca="1" si="14"/>
        <v>0</v>
      </c>
      <c r="Z29" s="265">
        <f t="shared" ca="1" si="15"/>
        <v>0</v>
      </c>
      <c r="AA29" s="265">
        <f t="shared" ca="1" si="16"/>
        <v>0</v>
      </c>
      <c r="AB29" s="265">
        <f t="shared" ca="1" si="63"/>
        <v>0</v>
      </c>
      <c r="AC29" s="265">
        <f t="shared" ca="1" si="64"/>
        <v>0</v>
      </c>
      <c r="AD29" s="265">
        <f t="shared" ca="1" si="17"/>
        <v>0</v>
      </c>
      <c r="AE29" s="265">
        <f t="shared" ca="1" si="18"/>
        <v>0</v>
      </c>
      <c r="AF29" s="265">
        <f t="shared" ca="1" si="19"/>
        <v>0</v>
      </c>
      <c r="AG29" s="265">
        <f t="shared" ca="1" si="20"/>
        <v>0</v>
      </c>
      <c r="AH29" s="265">
        <f t="shared" ca="1" si="65"/>
        <v>0</v>
      </c>
      <c r="AI29" s="265">
        <f t="shared" ca="1" si="66"/>
        <v>0</v>
      </c>
      <c r="AJ29" s="265">
        <f t="shared" ca="1" si="67"/>
        <v>0</v>
      </c>
      <c r="AK29" s="265">
        <f t="shared" ca="1" si="68"/>
        <v>0</v>
      </c>
      <c r="AL29" s="265">
        <f t="shared" ca="1" si="69"/>
        <v>0</v>
      </c>
      <c r="AM29" s="265">
        <f t="shared" ca="1" si="70"/>
        <v>0</v>
      </c>
      <c r="AN29" s="265">
        <f t="shared" ca="1" si="71"/>
        <v>0</v>
      </c>
      <c r="AO29" s="265">
        <f t="shared" ca="1" si="72"/>
        <v>0</v>
      </c>
      <c r="AP29" s="265">
        <f t="shared" ca="1" si="21"/>
        <v>0</v>
      </c>
      <c r="AQ29" s="265">
        <f t="shared" ca="1" si="22"/>
        <v>0</v>
      </c>
      <c r="AR29" s="265">
        <f t="shared" ca="1" si="23"/>
        <v>0</v>
      </c>
      <c r="AS29" s="265">
        <f t="shared" ca="1" si="24"/>
        <v>0</v>
      </c>
      <c r="AT29" s="265">
        <f t="shared" ca="1" si="73"/>
        <v>0</v>
      </c>
      <c r="AU29" s="265">
        <f t="shared" ca="1" si="74"/>
        <v>0</v>
      </c>
      <c r="AV29" s="265">
        <f t="shared" ca="1" si="25"/>
        <v>0</v>
      </c>
      <c r="AW29" s="265">
        <f t="shared" ca="1" si="26"/>
        <v>0</v>
      </c>
      <c r="AX29" s="265">
        <f t="shared" ca="1" si="27"/>
        <v>0</v>
      </c>
      <c r="AY29" s="265">
        <f t="shared" ca="1" si="28"/>
        <v>0</v>
      </c>
      <c r="AZ29" s="265">
        <f t="shared" ca="1" si="29"/>
        <v>0</v>
      </c>
      <c r="BA29" s="265">
        <f t="shared" ca="1" si="30"/>
        <v>0</v>
      </c>
      <c r="BB29" s="265">
        <f t="shared" ca="1" si="31"/>
        <v>0</v>
      </c>
      <c r="BC29" s="265">
        <f t="shared" ca="1" si="32"/>
        <v>0</v>
      </c>
      <c r="BD29" s="265">
        <f t="shared" ca="1" si="33"/>
        <v>0</v>
      </c>
      <c r="BE29" s="265">
        <f t="shared" ca="1" si="34"/>
        <v>0</v>
      </c>
      <c r="BF29" s="265">
        <f t="shared" ca="1" si="35"/>
        <v>0</v>
      </c>
      <c r="BG29" s="265">
        <f t="shared" ca="1" si="36"/>
        <v>0</v>
      </c>
      <c r="BH29" s="265">
        <f t="shared" ca="1" si="75"/>
        <v>0</v>
      </c>
      <c r="BI29" s="265">
        <f t="shared" ca="1" si="76"/>
        <v>0</v>
      </c>
      <c r="BJ29" s="265">
        <f t="shared" ca="1" si="37"/>
        <v>0</v>
      </c>
      <c r="BK29" s="265">
        <f t="shared" ca="1" si="38"/>
        <v>0</v>
      </c>
      <c r="BL29" s="265">
        <f t="shared" ca="1" si="39"/>
        <v>0</v>
      </c>
      <c r="BM29" s="265">
        <f t="shared" ca="1" si="40"/>
        <v>0</v>
      </c>
      <c r="BN29" s="265">
        <f t="shared" ca="1" si="41"/>
        <v>0</v>
      </c>
      <c r="BO29" s="265">
        <f t="shared" ca="1" si="42"/>
        <v>0</v>
      </c>
      <c r="BP29" s="265">
        <f t="shared" ca="1" si="77"/>
        <v>0</v>
      </c>
      <c r="BQ29" s="265">
        <f t="shared" ca="1" si="78"/>
        <v>0</v>
      </c>
      <c r="BR29" s="265">
        <f t="shared" ca="1" si="43"/>
        <v>0</v>
      </c>
      <c r="BS29" s="265">
        <f t="shared" ca="1" si="44"/>
        <v>0</v>
      </c>
      <c r="BT29" s="265">
        <f t="shared" ca="1" si="79"/>
        <v>0</v>
      </c>
      <c r="BU29" s="265">
        <f t="shared" ca="1" si="80"/>
        <v>0</v>
      </c>
      <c r="BV29" s="265">
        <f t="shared" ca="1" si="81"/>
        <v>0</v>
      </c>
      <c r="BW29" s="265">
        <f t="shared" ca="1" si="82"/>
        <v>0</v>
      </c>
      <c r="BX29" s="265">
        <f t="shared" ca="1" si="45"/>
        <v>0</v>
      </c>
      <c r="BY29" s="265">
        <f t="shared" ca="1" si="46"/>
        <v>0</v>
      </c>
      <c r="BZ29" s="265">
        <f t="shared" ca="1" si="47"/>
        <v>0</v>
      </c>
      <c r="CA29" s="265">
        <f t="shared" ca="1" si="48"/>
        <v>0</v>
      </c>
      <c r="CB29" s="265">
        <f t="shared" ca="1" si="49"/>
        <v>0</v>
      </c>
      <c r="CC29" s="265">
        <f t="shared" ca="1" si="50"/>
        <v>0</v>
      </c>
      <c r="CD29" s="265">
        <f t="shared" ca="1" si="83"/>
        <v>0</v>
      </c>
      <c r="CE29" s="265">
        <f t="shared" ca="1" si="84"/>
        <v>0</v>
      </c>
      <c r="CF29" s="265">
        <f t="shared" ca="1" si="85"/>
        <v>0</v>
      </c>
      <c r="CG29" s="265">
        <f t="shared" ca="1" si="86"/>
        <v>0</v>
      </c>
      <c r="CH29" s="265">
        <f t="shared" ca="1" si="51"/>
        <v>0</v>
      </c>
      <c r="CI29" s="265">
        <f t="shared" ca="1" si="52"/>
        <v>0</v>
      </c>
      <c r="CJ29" s="265">
        <f t="shared" ca="1" si="87"/>
        <v>0</v>
      </c>
      <c r="CK29" s="265">
        <f t="shared" ca="1" si="88"/>
        <v>0</v>
      </c>
      <c r="CL29" s="265">
        <f t="shared" ca="1" si="53"/>
        <v>0</v>
      </c>
      <c r="CM29" s="265">
        <f t="shared" ca="1" si="54"/>
        <v>0</v>
      </c>
      <c r="CN29" s="265">
        <f t="shared" ca="1" si="55"/>
        <v>0</v>
      </c>
      <c r="CO29" s="265">
        <f t="shared" ca="1" si="56"/>
        <v>0</v>
      </c>
      <c r="CP29" s="265">
        <f t="shared" ca="1" si="89"/>
        <v>0</v>
      </c>
      <c r="CQ29" s="265">
        <f t="shared" ca="1" si="90"/>
        <v>0</v>
      </c>
      <c r="CR29" s="265">
        <f t="shared" ca="1" si="91"/>
        <v>0</v>
      </c>
      <c r="CS29" s="265">
        <f t="shared" ca="1" si="92"/>
        <v>0</v>
      </c>
      <c r="CT29" s="265">
        <f t="shared" ca="1" si="57"/>
        <v>0</v>
      </c>
      <c r="CU29" s="265">
        <f t="shared" ca="1" si="58"/>
        <v>0</v>
      </c>
      <c r="CV29" s="265">
        <f t="shared" ca="1" si="59"/>
        <v>0</v>
      </c>
      <c r="CW29" s="265">
        <f t="shared" ca="1" si="60"/>
        <v>0</v>
      </c>
      <c r="CX29" s="265">
        <f t="shared" ca="1" si="93"/>
        <v>0</v>
      </c>
      <c r="CY29" s="265">
        <f t="shared" ca="1" si="94"/>
        <v>0</v>
      </c>
      <c r="CZ29" s="265">
        <f t="shared" ca="1" si="95"/>
        <v>0</v>
      </c>
      <c r="DA29" s="265">
        <f t="shared" ca="1" si="96"/>
        <v>0</v>
      </c>
    </row>
    <row r="30" spans="1:105" s="262" customFormat="1" ht="15" customHeight="1">
      <c r="A30" s="63">
        <f t="array" aca="1" ref="A30" ca="1">IF(C30&lt;&gt;0,SUM(($C$11:C30&lt;&gt;0)*1),"")</f>
        <v>20</v>
      </c>
      <c r="B30" s="263" t="str">
        <f ca="1">IF(ROWS($1:20)&gt;COUNT(Dong6),"",OFFSET(TH!C$1,SMALL(Dong6,ROWS($1:20)),))</f>
        <v/>
      </c>
      <c r="C30" s="263" t="str">
        <f ca="1">IF(ROWS($1:20)&gt;COUNT(Dong6),"",OFFSET(TH!D$1,SMALL(Dong6,ROWS($1:20)),))</f>
        <v/>
      </c>
      <c r="D30" s="263" t="str">
        <f ca="1">IF(ROWS($1:20)&gt;COUNT(Dong6),"",OFFSET(TH!E$1,SMALL(Dong6,ROWS($1:20)),))</f>
        <v/>
      </c>
      <c r="E30" s="313" t="str">
        <f ca="1">IF(ROWS($1:20)&gt;COUNT(Dong6),"",OFFSET(TH!F$1,SMALL(Dong6,ROWS($1:20)),))</f>
        <v/>
      </c>
      <c r="F30" s="314" t="str">
        <f ca="1">IF(ROWS($1:20)&gt;COUNT(Dong6),"",OFFSET(TH!M$1,SMALL(Dong6,ROWS($1:20)),))</f>
        <v/>
      </c>
      <c r="G30" s="315" t="str">
        <f ca="1">IF(ROWS($1:20)&gt;COUNT(Dong6),"",OFFSET(TH!N$1,SMALL(Dong6,ROWS($1:20)),))</f>
        <v/>
      </c>
      <c r="H30" s="315" t="str">
        <f ca="1">IF(ROWS($1:20)&gt;COUNT(Dong6),"",OFFSET(TH!O$1,SMALL(Dong6,ROWS($1:20)),))</f>
        <v/>
      </c>
      <c r="I30" s="63">
        <f t="shared" ca="1" si="0"/>
        <v>20</v>
      </c>
      <c r="J30" s="265">
        <f t="shared" ca="1" si="61"/>
        <v>0</v>
      </c>
      <c r="K30" s="265">
        <f t="shared" ca="1" si="62"/>
        <v>0</v>
      </c>
      <c r="L30" s="265">
        <f t="shared" ca="1" si="1"/>
        <v>0</v>
      </c>
      <c r="M30" s="265">
        <f t="shared" ca="1" si="2"/>
        <v>0</v>
      </c>
      <c r="N30" s="265">
        <f t="shared" ca="1" si="3"/>
        <v>0</v>
      </c>
      <c r="O30" s="265">
        <f t="shared" ca="1" si="4"/>
        <v>0</v>
      </c>
      <c r="P30" s="265">
        <f t="shared" ca="1" si="5"/>
        <v>0</v>
      </c>
      <c r="Q30" s="265">
        <f t="shared" ca="1" si="6"/>
        <v>0</v>
      </c>
      <c r="R30" s="265">
        <f t="shared" ca="1" si="7"/>
        <v>0</v>
      </c>
      <c r="S30" s="265">
        <f t="shared" ca="1" si="8"/>
        <v>0</v>
      </c>
      <c r="T30" s="265">
        <f t="shared" ca="1" si="9"/>
        <v>0</v>
      </c>
      <c r="U30" s="265">
        <f t="shared" ca="1" si="10"/>
        <v>0</v>
      </c>
      <c r="V30" s="265">
        <f t="shared" ca="1" si="11"/>
        <v>0</v>
      </c>
      <c r="W30" s="265">
        <f t="shared" ca="1" si="12"/>
        <v>0</v>
      </c>
      <c r="X30" s="265">
        <f t="shared" ca="1" si="13"/>
        <v>0</v>
      </c>
      <c r="Y30" s="265">
        <f t="shared" ca="1" si="14"/>
        <v>0</v>
      </c>
      <c r="Z30" s="265">
        <f t="shared" ca="1" si="15"/>
        <v>0</v>
      </c>
      <c r="AA30" s="265">
        <f t="shared" ca="1" si="16"/>
        <v>0</v>
      </c>
      <c r="AB30" s="265">
        <f t="shared" ca="1" si="63"/>
        <v>0</v>
      </c>
      <c r="AC30" s="265">
        <f t="shared" ca="1" si="64"/>
        <v>0</v>
      </c>
      <c r="AD30" s="265">
        <f t="shared" ca="1" si="17"/>
        <v>0</v>
      </c>
      <c r="AE30" s="265">
        <f t="shared" ca="1" si="18"/>
        <v>0</v>
      </c>
      <c r="AF30" s="265">
        <f t="shared" ca="1" si="19"/>
        <v>0</v>
      </c>
      <c r="AG30" s="265">
        <f t="shared" ca="1" si="20"/>
        <v>0</v>
      </c>
      <c r="AH30" s="265">
        <f t="shared" ca="1" si="65"/>
        <v>0</v>
      </c>
      <c r="AI30" s="265">
        <f t="shared" ca="1" si="66"/>
        <v>0</v>
      </c>
      <c r="AJ30" s="265">
        <f t="shared" ca="1" si="67"/>
        <v>0</v>
      </c>
      <c r="AK30" s="265">
        <f t="shared" ca="1" si="68"/>
        <v>0</v>
      </c>
      <c r="AL30" s="265">
        <f t="shared" ca="1" si="69"/>
        <v>0</v>
      </c>
      <c r="AM30" s="265">
        <f t="shared" ca="1" si="70"/>
        <v>0</v>
      </c>
      <c r="AN30" s="265">
        <f t="shared" ca="1" si="71"/>
        <v>0</v>
      </c>
      <c r="AO30" s="265">
        <f t="shared" ca="1" si="72"/>
        <v>0</v>
      </c>
      <c r="AP30" s="265">
        <f t="shared" ca="1" si="21"/>
        <v>0</v>
      </c>
      <c r="AQ30" s="265">
        <f t="shared" ca="1" si="22"/>
        <v>0</v>
      </c>
      <c r="AR30" s="265">
        <f t="shared" ca="1" si="23"/>
        <v>0</v>
      </c>
      <c r="AS30" s="265">
        <f t="shared" ca="1" si="24"/>
        <v>0</v>
      </c>
      <c r="AT30" s="265">
        <f t="shared" ca="1" si="73"/>
        <v>0</v>
      </c>
      <c r="AU30" s="265">
        <f t="shared" ca="1" si="74"/>
        <v>0</v>
      </c>
      <c r="AV30" s="265">
        <f t="shared" ca="1" si="25"/>
        <v>0</v>
      </c>
      <c r="AW30" s="265">
        <f t="shared" ca="1" si="26"/>
        <v>0</v>
      </c>
      <c r="AX30" s="265">
        <f t="shared" ca="1" si="27"/>
        <v>0</v>
      </c>
      <c r="AY30" s="265">
        <f t="shared" ca="1" si="28"/>
        <v>0</v>
      </c>
      <c r="AZ30" s="265">
        <f t="shared" ca="1" si="29"/>
        <v>0</v>
      </c>
      <c r="BA30" s="265">
        <f t="shared" ca="1" si="30"/>
        <v>0</v>
      </c>
      <c r="BB30" s="265">
        <f t="shared" ca="1" si="31"/>
        <v>0</v>
      </c>
      <c r="BC30" s="265">
        <f t="shared" ca="1" si="32"/>
        <v>0</v>
      </c>
      <c r="BD30" s="265">
        <f t="shared" ca="1" si="33"/>
        <v>0</v>
      </c>
      <c r="BE30" s="265">
        <f t="shared" ca="1" si="34"/>
        <v>0</v>
      </c>
      <c r="BF30" s="265">
        <f t="shared" ca="1" si="35"/>
        <v>0</v>
      </c>
      <c r="BG30" s="265">
        <f t="shared" ca="1" si="36"/>
        <v>0</v>
      </c>
      <c r="BH30" s="265">
        <f t="shared" ca="1" si="75"/>
        <v>0</v>
      </c>
      <c r="BI30" s="265">
        <f t="shared" ca="1" si="76"/>
        <v>0</v>
      </c>
      <c r="BJ30" s="265">
        <f t="shared" ca="1" si="37"/>
        <v>0</v>
      </c>
      <c r="BK30" s="265">
        <f t="shared" ca="1" si="38"/>
        <v>0</v>
      </c>
      <c r="BL30" s="265">
        <f t="shared" ca="1" si="39"/>
        <v>0</v>
      </c>
      <c r="BM30" s="265">
        <f t="shared" ca="1" si="40"/>
        <v>0</v>
      </c>
      <c r="BN30" s="265">
        <f t="shared" ca="1" si="41"/>
        <v>0</v>
      </c>
      <c r="BO30" s="265">
        <f t="shared" ca="1" si="42"/>
        <v>0</v>
      </c>
      <c r="BP30" s="265">
        <f t="shared" ca="1" si="77"/>
        <v>0</v>
      </c>
      <c r="BQ30" s="265">
        <f t="shared" ca="1" si="78"/>
        <v>0</v>
      </c>
      <c r="BR30" s="265">
        <f t="shared" ca="1" si="43"/>
        <v>0</v>
      </c>
      <c r="BS30" s="265">
        <f t="shared" ca="1" si="44"/>
        <v>0</v>
      </c>
      <c r="BT30" s="265">
        <f t="shared" ca="1" si="79"/>
        <v>0</v>
      </c>
      <c r="BU30" s="265">
        <f t="shared" ca="1" si="80"/>
        <v>0</v>
      </c>
      <c r="BV30" s="265">
        <f t="shared" ca="1" si="81"/>
        <v>0</v>
      </c>
      <c r="BW30" s="265">
        <f t="shared" ca="1" si="82"/>
        <v>0</v>
      </c>
      <c r="BX30" s="265">
        <f t="shared" ca="1" si="45"/>
        <v>0</v>
      </c>
      <c r="BY30" s="265">
        <f t="shared" ca="1" si="46"/>
        <v>0</v>
      </c>
      <c r="BZ30" s="265">
        <f t="shared" ca="1" si="47"/>
        <v>0</v>
      </c>
      <c r="CA30" s="265">
        <f t="shared" ca="1" si="48"/>
        <v>0</v>
      </c>
      <c r="CB30" s="265">
        <f t="shared" ca="1" si="49"/>
        <v>0</v>
      </c>
      <c r="CC30" s="265">
        <f t="shared" ca="1" si="50"/>
        <v>0</v>
      </c>
      <c r="CD30" s="265">
        <f t="shared" ca="1" si="83"/>
        <v>0</v>
      </c>
      <c r="CE30" s="265">
        <f t="shared" ca="1" si="84"/>
        <v>0</v>
      </c>
      <c r="CF30" s="265">
        <f t="shared" ca="1" si="85"/>
        <v>0</v>
      </c>
      <c r="CG30" s="265">
        <f t="shared" ca="1" si="86"/>
        <v>0</v>
      </c>
      <c r="CH30" s="265">
        <f t="shared" ca="1" si="51"/>
        <v>0</v>
      </c>
      <c r="CI30" s="265">
        <f t="shared" ca="1" si="52"/>
        <v>0</v>
      </c>
      <c r="CJ30" s="265">
        <f t="shared" ca="1" si="87"/>
        <v>0</v>
      </c>
      <c r="CK30" s="265">
        <f t="shared" ca="1" si="88"/>
        <v>0</v>
      </c>
      <c r="CL30" s="265">
        <f t="shared" ca="1" si="53"/>
        <v>0</v>
      </c>
      <c r="CM30" s="265">
        <f t="shared" ca="1" si="54"/>
        <v>0</v>
      </c>
      <c r="CN30" s="265">
        <f t="shared" ca="1" si="55"/>
        <v>0</v>
      </c>
      <c r="CO30" s="265">
        <f t="shared" ca="1" si="56"/>
        <v>0</v>
      </c>
      <c r="CP30" s="265">
        <f t="shared" ca="1" si="89"/>
        <v>0</v>
      </c>
      <c r="CQ30" s="265">
        <f t="shared" ca="1" si="90"/>
        <v>0</v>
      </c>
      <c r="CR30" s="265">
        <f t="shared" ca="1" si="91"/>
        <v>0</v>
      </c>
      <c r="CS30" s="265">
        <f t="shared" ca="1" si="92"/>
        <v>0</v>
      </c>
      <c r="CT30" s="265">
        <f t="shared" ca="1" si="57"/>
        <v>0</v>
      </c>
      <c r="CU30" s="265">
        <f t="shared" ca="1" si="58"/>
        <v>0</v>
      </c>
      <c r="CV30" s="265">
        <f t="shared" ca="1" si="59"/>
        <v>0</v>
      </c>
      <c r="CW30" s="265">
        <f t="shared" ca="1" si="60"/>
        <v>0</v>
      </c>
      <c r="CX30" s="265">
        <f t="shared" ca="1" si="93"/>
        <v>0</v>
      </c>
      <c r="CY30" s="265">
        <f t="shared" ca="1" si="94"/>
        <v>0</v>
      </c>
      <c r="CZ30" s="265">
        <f t="shared" ca="1" si="95"/>
        <v>0</v>
      </c>
      <c r="DA30" s="265">
        <f t="shared" ca="1" si="96"/>
        <v>0</v>
      </c>
    </row>
    <row r="31" spans="1:105" s="262" customFormat="1" ht="15" customHeight="1">
      <c r="A31" s="63">
        <f t="array" aca="1" ref="A31" ca="1">IF(C31&lt;&gt;0,SUM(($C$11:C31&lt;&gt;0)*1),"")</f>
        <v>21</v>
      </c>
      <c r="B31" s="263" t="str">
        <f ca="1">IF(ROWS($1:21)&gt;COUNT(Dong6),"",OFFSET(TH!C$1,SMALL(Dong6,ROWS($1:21)),))</f>
        <v/>
      </c>
      <c r="C31" s="263" t="str">
        <f ca="1">IF(ROWS($1:21)&gt;COUNT(Dong6),"",OFFSET(TH!D$1,SMALL(Dong6,ROWS($1:21)),))</f>
        <v/>
      </c>
      <c r="D31" s="263" t="str">
        <f ca="1">IF(ROWS($1:21)&gt;COUNT(Dong6),"",OFFSET(TH!E$1,SMALL(Dong6,ROWS($1:21)),))</f>
        <v/>
      </c>
      <c r="E31" s="313" t="str">
        <f ca="1">IF(ROWS($1:21)&gt;COUNT(Dong6),"",OFFSET(TH!F$1,SMALL(Dong6,ROWS($1:21)),))</f>
        <v/>
      </c>
      <c r="F31" s="314" t="str">
        <f ca="1">IF(ROWS($1:21)&gt;COUNT(Dong6),"",OFFSET(TH!M$1,SMALL(Dong6,ROWS($1:21)),))</f>
        <v/>
      </c>
      <c r="G31" s="315" t="str">
        <f ca="1">IF(ROWS($1:21)&gt;COUNT(Dong6),"",OFFSET(TH!N$1,SMALL(Dong6,ROWS($1:21)),))</f>
        <v/>
      </c>
      <c r="H31" s="315" t="str">
        <f ca="1">IF(ROWS($1:21)&gt;COUNT(Dong6),"",OFFSET(TH!O$1,SMALL(Dong6,ROWS($1:21)),))</f>
        <v/>
      </c>
      <c r="I31" s="63">
        <f t="shared" ca="1" si="0"/>
        <v>21</v>
      </c>
      <c r="J31" s="265">
        <f t="shared" ca="1" si="61"/>
        <v>0</v>
      </c>
      <c r="K31" s="265">
        <f t="shared" ca="1" si="62"/>
        <v>0</v>
      </c>
      <c r="L31" s="265">
        <f t="shared" ca="1" si="1"/>
        <v>0</v>
      </c>
      <c r="M31" s="265">
        <f t="shared" ca="1" si="2"/>
        <v>0</v>
      </c>
      <c r="N31" s="265">
        <f t="shared" ca="1" si="3"/>
        <v>0</v>
      </c>
      <c r="O31" s="265">
        <f t="shared" ca="1" si="4"/>
        <v>0</v>
      </c>
      <c r="P31" s="265">
        <f t="shared" ca="1" si="5"/>
        <v>0</v>
      </c>
      <c r="Q31" s="265">
        <f t="shared" ca="1" si="6"/>
        <v>0</v>
      </c>
      <c r="R31" s="265">
        <f t="shared" ca="1" si="7"/>
        <v>0</v>
      </c>
      <c r="S31" s="265">
        <f t="shared" ca="1" si="8"/>
        <v>0</v>
      </c>
      <c r="T31" s="265">
        <f t="shared" ca="1" si="9"/>
        <v>0</v>
      </c>
      <c r="U31" s="265">
        <f t="shared" ca="1" si="10"/>
        <v>0</v>
      </c>
      <c r="V31" s="265">
        <f t="shared" ca="1" si="11"/>
        <v>0</v>
      </c>
      <c r="W31" s="265">
        <f t="shared" ca="1" si="12"/>
        <v>0</v>
      </c>
      <c r="X31" s="265">
        <f t="shared" ca="1" si="13"/>
        <v>0</v>
      </c>
      <c r="Y31" s="265">
        <f t="shared" ca="1" si="14"/>
        <v>0</v>
      </c>
      <c r="Z31" s="265">
        <f t="shared" ca="1" si="15"/>
        <v>0</v>
      </c>
      <c r="AA31" s="265">
        <f t="shared" ca="1" si="16"/>
        <v>0</v>
      </c>
      <c r="AB31" s="265">
        <f t="shared" ca="1" si="63"/>
        <v>0</v>
      </c>
      <c r="AC31" s="265">
        <f t="shared" ca="1" si="64"/>
        <v>0</v>
      </c>
      <c r="AD31" s="265">
        <f t="shared" ca="1" si="17"/>
        <v>0</v>
      </c>
      <c r="AE31" s="265">
        <f t="shared" ca="1" si="18"/>
        <v>0</v>
      </c>
      <c r="AF31" s="265">
        <f t="shared" ca="1" si="19"/>
        <v>0</v>
      </c>
      <c r="AG31" s="265">
        <f t="shared" ca="1" si="20"/>
        <v>0</v>
      </c>
      <c r="AH31" s="265">
        <f t="shared" ca="1" si="65"/>
        <v>0</v>
      </c>
      <c r="AI31" s="265">
        <f t="shared" ca="1" si="66"/>
        <v>0</v>
      </c>
      <c r="AJ31" s="265">
        <f t="shared" ca="1" si="67"/>
        <v>0</v>
      </c>
      <c r="AK31" s="265">
        <f t="shared" ca="1" si="68"/>
        <v>0</v>
      </c>
      <c r="AL31" s="265">
        <f t="shared" ca="1" si="69"/>
        <v>0</v>
      </c>
      <c r="AM31" s="265">
        <f t="shared" ca="1" si="70"/>
        <v>0</v>
      </c>
      <c r="AN31" s="265">
        <f t="shared" ca="1" si="71"/>
        <v>0</v>
      </c>
      <c r="AO31" s="265">
        <f t="shared" ca="1" si="72"/>
        <v>0</v>
      </c>
      <c r="AP31" s="265">
        <f t="shared" ca="1" si="21"/>
        <v>0</v>
      </c>
      <c r="AQ31" s="265">
        <f t="shared" ca="1" si="22"/>
        <v>0</v>
      </c>
      <c r="AR31" s="265">
        <f t="shared" ca="1" si="23"/>
        <v>0</v>
      </c>
      <c r="AS31" s="265">
        <f t="shared" ca="1" si="24"/>
        <v>0</v>
      </c>
      <c r="AT31" s="265">
        <f t="shared" ca="1" si="73"/>
        <v>0</v>
      </c>
      <c r="AU31" s="265">
        <f t="shared" ca="1" si="74"/>
        <v>0</v>
      </c>
      <c r="AV31" s="265">
        <f t="shared" ca="1" si="25"/>
        <v>0</v>
      </c>
      <c r="AW31" s="265">
        <f t="shared" ca="1" si="26"/>
        <v>0</v>
      </c>
      <c r="AX31" s="265">
        <f t="shared" ca="1" si="27"/>
        <v>0</v>
      </c>
      <c r="AY31" s="265">
        <f t="shared" ca="1" si="28"/>
        <v>0</v>
      </c>
      <c r="AZ31" s="265">
        <f t="shared" ca="1" si="29"/>
        <v>0</v>
      </c>
      <c r="BA31" s="265">
        <f t="shared" ca="1" si="30"/>
        <v>0</v>
      </c>
      <c r="BB31" s="265">
        <f t="shared" ca="1" si="31"/>
        <v>0</v>
      </c>
      <c r="BC31" s="265">
        <f t="shared" ca="1" si="32"/>
        <v>0</v>
      </c>
      <c r="BD31" s="265">
        <f t="shared" ca="1" si="33"/>
        <v>0</v>
      </c>
      <c r="BE31" s="265">
        <f t="shared" ca="1" si="34"/>
        <v>0</v>
      </c>
      <c r="BF31" s="265">
        <f t="shared" ca="1" si="35"/>
        <v>0</v>
      </c>
      <c r="BG31" s="265">
        <f t="shared" ca="1" si="36"/>
        <v>0</v>
      </c>
      <c r="BH31" s="265">
        <f t="shared" ca="1" si="75"/>
        <v>0</v>
      </c>
      <c r="BI31" s="265">
        <f t="shared" ca="1" si="76"/>
        <v>0</v>
      </c>
      <c r="BJ31" s="265">
        <f t="shared" ca="1" si="37"/>
        <v>0</v>
      </c>
      <c r="BK31" s="265">
        <f t="shared" ca="1" si="38"/>
        <v>0</v>
      </c>
      <c r="BL31" s="265">
        <f t="shared" ca="1" si="39"/>
        <v>0</v>
      </c>
      <c r="BM31" s="265">
        <f t="shared" ca="1" si="40"/>
        <v>0</v>
      </c>
      <c r="BN31" s="265">
        <f t="shared" ca="1" si="41"/>
        <v>0</v>
      </c>
      <c r="BO31" s="265">
        <f t="shared" ca="1" si="42"/>
        <v>0</v>
      </c>
      <c r="BP31" s="265">
        <f t="shared" ca="1" si="77"/>
        <v>0</v>
      </c>
      <c r="BQ31" s="265">
        <f t="shared" ca="1" si="78"/>
        <v>0</v>
      </c>
      <c r="BR31" s="265">
        <f t="shared" ca="1" si="43"/>
        <v>0</v>
      </c>
      <c r="BS31" s="265">
        <f t="shared" ca="1" si="44"/>
        <v>0</v>
      </c>
      <c r="BT31" s="265">
        <f t="shared" ca="1" si="79"/>
        <v>0</v>
      </c>
      <c r="BU31" s="265">
        <f t="shared" ca="1" si="80"/>
        <v>0</v>
      </c>
      <c r="BV31" s="265">
        <f t="shared" ca="1" si="81"/>
        <v>0</v>
      </c>
      <c r="BW31" s="265">
        <f t="shared" ca="1" si="82"/>
        <v>0</v>
      </c>
      <c r="BX31" s="265">
        <f t="shared" ca="1" si="45"/>
        <v>0</v>
      </c>
      <c r="BY31" s="265">
        <f t="shared" ca="1" si="46"/>
        <v>0</v>
      </c>
      <c r="BZ31" s="265">
        <f t="shared" ca="1" si="47"/>
        <v>0</v>
      </c>
      <c r="CA31" s="265">
        <f t="shared" ca="1" si="48"/>
        <v>0</v>
      </c>
      <c r="CB31" s="265">
        <f t="shared" ca="1" si="49"/>
        <v>0</v>
      </c>
      <c r="CC31" s="265">
        <f t="shared" ca="1" si="50"/>
        <v>0</v>
      </c>
      <c r="CD31" s="265">
        <f t="shared" ca="1" si="83"/>
        <v>0</v>
      </c>
      <c r="CE31" s="265">
        <f t="shared" ca="1" si="84"/>
        <v>0</v>
      </c>
      <c r="CF31" s="265">
        <f t="shared" ca="1" si="85"/>
        <v>0</v>
      </c>
      <c r="CG31" s="265">
        <f t="shared" ca="1" si="86"/>
        <v>0</v>
      </c>
      <c r="CH31" s="265">
        <f t="shared" ca="1" si="51"/>
        <v>0</v>
      </c>
      <c r="CI31" s="265">
        <f t="shared" ca="1" si="52"/>
        <v>0</v>
      </c>
      <c r="CJ31" s="265">
        <f t="shared" ca="1" si="87"/>
        <v>0</v>
      </c>
      <c r="CK31" s="265">
        <f t="shared" ca="1" si="88"/>
        <v>0</v>
      </c>
      <c r="CL31" s="265">
        <f t="shared" ca="1" si="53"/>
        <v>0</v>
      </c>
      <c r="CM31" s="265">
        <f t="shared" ca="1" si="54"/>
        <v>0</v>
      </c>
      <c r="CN31" s="265">
        <f t="shared" ca="1" si="55"/>
        <v>0</v>
      </c>
      <c r="CO31" s="265">
        <f t="shared" ca="1" si="56"/>
        <v>0</v>
      </c>
      <c r="CP31" s="265">
        <f t="shared" ca="1" si="89"/>
        <v>0</v>
      </c>
      <c r="CQ31" s="265">
        <f t="shared" ca="1" si="90"/>
        <v>0</v>
      </c>
      <c r="CR31" s="265">
        <f t="shared" ca="1" si="91"/>
        <v>0</v>
      </c>
      <c r="CS31" s="265">
        <f t="shared" ca="1" si="92"/>
        <v>0</v>
      </c>
      <c r="CT31" s="265">
        <f t="shared" ca="1" si="57"/>
        <v>0</v>
      </c>
      <c r="CU31" s="265">
        <f t="shared" ca="1" si="58"/>
        <v>0</v>
      </c>
      <c r="CV31" s="265">
        <f t="shared" ca="1" si="59"/>
        <v>0</v>
      </c>
      <c r="CW31" s="265">
        <f t="shared" ca="1" si="60"/>
        <v>0</v>
      </c>
      <c r="CX31" s="265">
        <f t="shared" ca="1" si="93"/>
        <v>0</v>
      </c>
      <c r="CY31" s="265">
        <f t="shared" ca="1" si="94"/>
        <v>0</v>
      </c>
      <c r="CZ31" s="265">
        <f t="shared" ca="1" si="95"/>
        <v>0</v>
      </c>
      <c r="DA31" s="265">
        <f t="shared" ca="1" si="96"/>
        <v>0</v>
      </c>
    </row>
    <row r="32" spans="1:105" s="262" customFormat="1" ht="15" customHeight="1">
      <c r="A32" s="63">
        <f t="array" aca="1" ref="A32" ca="1">IF(C32&lt;&gt;0,SUM(($C$11:C32&lt;&gt;0)*1),"")</f>
        <v>22</v>
      </c>
      <c r="B32" s="263" t="str">
        <f ca="1">IF(ROWS($1:22)&gt;COUNT(Dong6),"",OFFSET(TH!C$1,SMALL(Dong6,ROWS($1:22)),))</f>
        <v/>
      </c>
      <c r="C32" s="263" t="str">
        <f ca="1">IF(ROWS($1:22)&gt;COUNT(Dong6),"",OFFSET(TH!D$1,SMALL(Dong6,ROWS($1:22)),))</f>
        <v/>
      </c>
      <c r="D32" s="263" t="str">
        <f ca="1">IF(ROWS($1:22)&gt;COUNT(Dong6),"",OFFSET(TH!E$1,SMALL(Dong6,ROWS($1:22)),))</f>
        <v/>
      </c>
      <c r="E32" s="313" t="str">
        <f ca="1">IF(ROWS($1:22)&gt;COUNT(Dong6),"",OFFSET(TH!F$1,SMALL(Dong6,ROWS($1:22)),))</f>
        <v/>
      </c>
      <c r="F32" s="314" t="str">
        <f ca="1">IF(ROWS($1:22)&gt;COUNT(Dong6),"",OFFSET(TH!M$1,SMALL(Dong6,ROWS($1:22)),))</f>
        <v/>
      </c>
      <c r="G32" s="315" t="str">
        <f ca="1">IF(ROWS($1:22)&gt;COUNT(Dong6),"",OFFSET(TH!N$1,SMALL(Dong6,ROWS($1:22)),))</f>
        <v/>
      </c>
      <c r="H32" s="315" t="str">
        <f ca="1">IF(ROWS($1:22)&gt;COUNT(Dong6),"",OFFSET(TH!O$1,SMALL(Dong6,ROWS($1:22)),))</f>
        <v/>
      </c>
      <c r="I32" s="63">
        <f t="shared" ca="1" si="0"/>
        <v>22</v>
      </c>
      <c r="J32" s="265">
        <f t="shared" ca="1" si="61"/>
        <v>0</v>
      </c>
      <c r="K32" s="265">
        <f t="shared" ca="1" si="62"/>
        <v>0</v>
      </c>
      <c r="L32" s="265">
        <f t="shared" ca="1" si="1"/>
        <v>0</v>
      </c>
      <c r="M32" s="265">
        <f t="shared" ca="1" si="2"/>
        <v>0</v>
      </c>
      <c r="N32" s="265">
        <f t="shared" ca="1" si="3"/>
        <v>0</v>
      </c>
      <c r="O32" s="265">
        <f t="shared" ca="1" si="4"/>
        <v>0</v>
      </c>
      <c r="P32" s="265">
        <f t="shared" ca="1" si="5"/>
        <v>0</v>
      </c>
      <c r="Q32" s="265">
        <f t="shared" ca="1" si="6"/>
        <v>0</v>
      </c>
      <c r="R32" s="265">
        <f t="shared" ca="1" si="7"/>
        <v>0</v>
      </c>
      <c r="S32" s="265">
        <f t="shared" ca="1" si="8"/>
        <v>0</v>
      </c>
      <c r="T32" s="265">
        <f t="shared" ca="1" si="9"/>
        <v>0</v>
      </c>
      <c r="U32" s="265">
        <f t="shared" ca="1" si="10"/>
        <v>0</v>
      </c>
      <c r="V32" s="265">
        <f t="shared" ca="1" si="11"/>
        <v>0</v>
      </c>
      <c r="W32" s="265">
        <f t="shared" ca="1" si="12"/>
        <v>0</v>
      </c>
      <c r="X32" s="265">
        <f t="shared" ca="1" si="13"/>
        <v>0</v>
      </c>
      <c r="Y32" s="265">
        <f t="shared" ca="1" si="14"/>
        <v>0</v>
      </c>
      <c r="Z32" s="265">
        <f t="shared" ca="1" si="15"/>
        <v>0</v>
      </c>
      <c r="AA32" s="265">
        <f t="shared" ca="1" si="16"/>
        <v>0</v>
      </c>
      <c r="AB32" s="265">
        <f t="shared" ca="1" si="63"/>
        <v>0</v>
      </c>
      <c r="AC32" s="265">
        <f t="shared" ca="1" si="64"/>
        <v>0</v>
      </c>
      <c r="AD32" s="265">
        <f t="shared" ca="1" si="17"/>
        <v>0</v>
      </c>
      <c r="AE32" s="265">
        <f t="shared" ca="1" si="18"/>
        <v>0</v>
      </c>
      <c r="AF32" s="265">
        <f t="shared" ca="1" si="19"/>
        <v>0</v>
      </c>
      <c r="AG32" s="265">
        <f t="shared" ca="1" si="20"/>
        <v>0</v>
      </c>
      <c r="AH32" s="265">
        <f t="shared" ca="1" si="65"/>
        <v>0</v>
      </c>
      <c r="AI32" s="265">
        <f t="shared" ca="1" si="66"/>
        <v>0</v>
      </c>
      <c r="AJ32" s="265">
        <f t="shared" ca="1" si="67"/>
        <v>0</v>
      </c>
      <c r="AK32" s="265">
        <f t="shared" ca="1" si="68"/>
        <v>0</v>
      </c>
      <c r="AL32" s="265">
        <f t="shared" ca="1" si="69"/>
        <v>0</v>
      </c>
      <c r="AM32" s="265">
        <f t="shared" ca="1" si="70"/>
        <v>0</v>
      </c>
      <c r="AN32" s="265">
        <f t="shared" ca="1" si="71"/>
        <v>0</v>
      </c>
      <c r="AO32" s="265">
        <f t="shared" ca="1" si="72"/>
        <v>0</v>
      </c>
      <c r="AP32" s="265">
        <f t="shared" ca="1" si="21"/>
        <v>0</v>
      </c>
      <c r="AQ32" s="265">
        <f t="shared" ca="1" si="22"/>
        <v>0</v>
      </c>
      <c r="AR32" s="265">
        <f t="shared" ca="1" si="23"/>
        <v>0</v>
      </c>
      <c r="AS32" s="265">
        <f t="shared" ca="1" si="24"/>
        <v>0</v>
      </c>
      <c r="AT32" s="265">
        <f t="shared" ca="1" si="73"/>
        <v>0</v>
      </c>
      <c r="AU32" s="265">
        <f t="shared" ca="1" si="74"/>
        <v>0</v>
      </c>
      <c r="AV32" s="265">
        <f t="shared" ca="1" si="25"/>
        <v>0</v>
      </c>
      <c r="AW32" s="265">
        <f t="shared" ca="1" si="26"/>
        <v>0</v>
      </c>
      <c r="AX32" s="265">
        <f t="shared" ca="1" si="27"/>
        <v>0</v>
      </c>
      <c r="AY32" s="265">
        <f t="shared" ca="1" si="28"/>
        <v>0</v>
      </c>
      <c r="AZ32" s="265">
        <f t="shared" ca="1" si="29"/>
        <v>0</v>
      </c>
      <c r="BA32" s="265">
        <f t="shared" ca="1" si="30"/>
        <v>0</v>
      </c>
      <c r="BB32" s="265">
        <f t="shared" ca="1" si="31"/>
        <v>0</v>
      </c>
      <c r="BC32" s="265">
        <f t="shared" ca="1" si="32"/>
        <v>0</v>
      </c>
      <c r="BD32" s="265">
        <f t="shared" ca="1" si="33"/>
        <v>0</v>
      </c>
      <c r="BE32" s="265">
        <f t="shared" ca="1" si="34"/>
        <v>0</v>
      </c>
      <c r="BF32" s="265">
        <f t="shared" ca="1" si="35"/>
        <v>0</v>
      </c>
      <c r="BG32" s="265">
        <f t="shared" ca="1" si="36"/>
        <v>0</v>
      </c>
      <c r="BH32" s="265">
        <f t="shared" ca="1" si="75"/>
        <v>0</v>
      </c>
      <c r="BI32" s="265">
        <f t="shared" ca="1" si="76"/>
        <v>0</v>
      </c>
      <c r="BJ32" s="265">
        <f t="shared" ca="1" si="37"/>
        <v>0</v>
      </c>
      <c r="BK32" s="265">
        <f t="shared" ca="1" si="38"/>
        <v>0</v>
      </c>
      <c r="BL32" s="265">
        <f t="shared" ca="1" si="39"/>
        <v>0</v>
      </c>
      <c r="BM32" s="265">
        <f t="shared" ca="1" si="40"/>
        <v>0</v>
      </c>
      <c r="BN32" s="265">
        <f t="shared" ca="1" si="41"/>
        <v>0</v>
      </c>
      <c r="BO32" s="265">
        <f t="shared" ca="1" si="42"/>
        <v>0</v>
      </c>
      <c r="BP32" s="265">
        <f t="shared" ca="1" si="77"/>
        <v>0</v>
      </c>
      <c r="BQ32" s="265">
        <f t="shared" ca="1" si="78"/>
        <v>0</v>
      </c>
      <c r="BR32" s="265">
        <f t="shared" ca="1" si="43"/>
        <v>0</v>
      </c>
      <c r="BS32" s="265">
        <f t="shared" ca="1" si="44"/>
        <v>0</v>
      </c>
      <c r="BT32" s="265">
        <f t="shared" ca="1" si="79"/>
        <v>0</v>
      </c>
      <c r="BU32" s="265">
        <f t="shared" ca="1" si="80"/>
        <v>0</v>
      </c>
      <c r="BV32" s="265">
        <f t="shared" ca="1" si="81"/>
        <v>0</v>
      </c>
      <c r="BW32" s="265">
        <f t="shared" ca="1" si="82"/>
        <v>0</v>
      </c>
      <c r="BX32" s="265">
        <f t="shared" ca="1" si="45"/>
        <v>0</v>
      </c>
      <c r="BY32" s="265">
        <f t="shared" ca="1" si="46"/>
        <v>0</v>
      </c>
      <c r="BZ32" s="265">
        <f t="shared" ca="1" si="47"/>
        <v>0</v>
      </c>
      <c r="CA32" s="265">
        <f t="shared" ca="1" si="48"/>
        <v>0</v>
      </c>
      <c r="CB32" s="265">
        <f t="shared" ca="1" si="49"/>
        <v>0</v>
      </c>
      <c r="CC32" s="265">
        <f t="shared" ca="1" si="50"/>
        <v>0</v>
      </c>
      <c r="CD32" s="265">
        <f t="shared" ca="1" si="83"/>
        <v>0</v>
      </c>
      <c r="CE32" s="265">
        <f t="shared" ca="1" si="84"/>
        <v>0</v>
      </c>
      <c r="CF32" s="265">
        <f t="shared" ca="1" si="85"/>
        <v>0</v>
      </c>
      <c r="CG32" s="265">
        <f t="shared" ca="1" si="86"/>
        <v>0</v>
      </c>
      <c r="CH32" s="265">
        <f t="shared" ca="1" si="51"/>
        <v>0</v>
      </c>
      <c r="CI32" s="265">
        <f t="shared" ca="1" si="52"/>
        <v>0</v>
      </c>
      <c r="CJ32" s="265">
        <f t="shared" ca="1" si="87"/>
        <v>0</v>
      </c>
      <c r="CK32" s="265">
        <f t="shared" ca="1" si="88"/>
        <v>0</v>
      </c>
      <c r="CL32" s="265">
        <f t="shared" ca="1" si="53"/>
        <v>0</v>
      </c>
      <c r="CM32" s="265">
        <f t="shared" ca="1" si="54"/>
        <v>0</v>
      </c>
      <c r="CN32" s="265">
        <f t="shared" ca="1" si="55"/>
        <v>0</v>
      </c>
      <c r="CO32" s="265">
        <f t="shared" ca="1" si="56"/>
        <v>0</v>
      </c>
      <c r="CP32" s="265">
        <f t="shared" ca="1" si="89"/>
        <v>0</v>
      </c>
      <c r="CQ32" s="265">
        <f t="shared" ca="1" si="90"/>
        <v>0</v>
      </c>
      <c r="CR32" s="265">
        <f t="shared" ca="1" si="91"/>
        <v>0</v>
      </c>
      <c r="CS32" s="265">
        <f t="shared" ca="1" si="92"/>
        <v>0</v>
      </c>
      <c r="CT32" s="265">
        <f t="shared" ca="1" si="57"/>
        <v>0</v>
      </c>
      <c r="CU32" s="265">
        <f t="shared" ca="1" si="58"/>
        <v>0</v>
      </c>
      <c r="CV32" s="265">
        <f t="shared" ca="1" si="59"/>
        <v>0</v>
      </c>
      <c r="CW32" s="265">
        <f t="shared" ca="1" si="60"/>
        <v>0</v>
      </c>
      <c r="CX32" s="265">
        <f t="shared" ca="1" si="93"/>
        <v>0</v>
      </c>
      <c r="CY32" s="265">
        <f t="shared" ca="1" si="94"/>
        <v>0</v>
      </c>
      <c r="CZ32" s="265">
        <f t="shared" ca="1" si="95"/>
        <v>0</v>
      </c>
      <c r="DA32" s="265">
        <f t="shared" ca="1" si="96"/>
        <v>0</v>
      </c>
    </row>
    <row r="33" spans="1:105" s="262" customFormat="1" ht="15" customHeight="1">
      <c r="A33" s="63">
        <f t="array" aca="1" ref="A33" ca="1">IF(C33&lt;&gt;0,SUM(($C$11:C33&lt;&gt;0)*1),"")</f>
        <v>23</v>
      </c>
      <c r="B33" s="263" t="str">
        <f ca="1">IF(ROWS($1:23)&gt;COUNT(Dong6),"",OFFSET(TH!C$1,SMALL(Dong6,ROWS($1:23)),))</f>
        <v/>
      </c>
      <c r="C33" s="263" t="str">
        <f ca="1">IF(ROWS($1:23)&gt;COUNT(Dong6),"",OFFSET(TH!D$1,SMALL(Dong6,ROWS($1:23)),))</f>
        <v/>
      </c>
      <c r="D33" s="263" t="str">
        <f ca="1">IF(ROWS($1:23)&gt;COUNT(Dong6),"",OFFSET(TH!E$1,SMALL(Dong6,ROWS($1:23)),))</f>
        <v/>
      </c>
      <c r="E33" s="313" t="str">
        <f ca="1">IF(ROWS($1:23)&gt;COUNT(Dong6),"",OFFSET(TH!F$1,SMALL(Dong6,ROWS($1:23)),))</f>
        <v/>
      </c>
      <c r="F33" s="314" t="str">
        <f ca="1">IF(ROWS($1:23)&gt;COUNT(Dong6),"",OFFSET(TH!M$1,SMALL(Dong6,ROWS($1:23)),))</f>
        <v/>
      </c>
      <c r="G33" s="315" t="str">
        <f ca="1">IF(ROWS($1:23)&gt;COUNT(Dong6),"",OFFSET(TH!N$1,SMALL(Dong6,ROWS($1:23)),))</f>
        <v/>
      </c>
      <c r="H33" s="315" t="str">
        <f ca="1">IF(ROWS($1:23)&gt;COUNT(Dong6),"",OFFSET(TH!O$1,SMALL(Dong6,ROWS($1:23)),))</f>
        <v/>
      </c>
      <c r="I33" s="63">
        <f t="shared" ca="1" si="0"/>
        <v>23</v>
      </c>
      <c r="J33" s="265">
        <f t="shared" ca="1" si="61"/>
        <v>0</v>
      </c>
      <c r="K33" s="265">
        <f t="shared" ca="1" si="62"/>
        <v>0</v>
      </c>
      <c r="L33" s="265">
        <f t="shared" ca="1" si="1"/>
        <v>0</v>
      </c>
      <c r="M33" s="265">
        <f t="shared" ca="1" si="2"/>
        <v>0</v>
      </c>
      <c r="N33" s="265">
        <f t="shared" ca="1" si="3"/>
        <v>0</v>
      </c>
      <c r="O33" s="265">
        <f t="shared" ca="1" si="4"/>
        <v>0</v>
      </c>
      <c r="P33" s="265">
        <f t="shared" ca="1" si="5"/>
        <v>0</v>
      </c>
      <c r="Q33" s="265">
        <f t="shared" ca="1" si="6"/>
        <v>0</v>
      </c>
      <c r="R33" s="265">
        <f t="shared" ca="1" si="7"/>
        <v>0</v>
      </c>
      <c r="S33" s="265">
        <f t="shared" ca="1" si="8"/>
        <v>0</v>
      </c>
      <c r="T33" s="265">
        <f t="shared" ca="1" si="9"/>
        <v>0</v>
      </c>
      <c r="U33" s="265">
        <f t="shared" ca="1" si="10"/>
        <v>0</v>
      </c>
      <c r="V33" s="265">
        <f t="shared" ca="1" si="11"/>
        <v>0</v>
      </c>
      <c r="W33" s="265">
        <f t="shared" ca="1" si="12"/>
        <v>0</v>
      </c>
      <c r="X33" s="265">
        <f t="shared" ca="1" si="13"/>
        <v>0</v>
      </c>
      <c r="Y33" s="265">
        <f t="shared" ca="1" si="14"/>
        <v>0</v>
      </c>
      <c r="Z33" s="265">
        <f t="shared" ca="1" si="15"/>
        <v>0</v>
      </c>
      <c r="AA33" s="265">
        <f t="shared" ca="1" si="16"/>
        <v>0</v>
      </c>
      <c r="AB33" s="265">
        <f t="shared" ca="1" si="63"/>
        <v>0</v>
      </c>
      <c r="AC33" s="265">
        <f t="shared" ca="1" si="64"/>
        <v>0</v>
      </c>
      <c r="AD33" s="265">
        <f t="shared" ca="1" si="17"/>
        <v>0</v>
      </c>
      <c r="AE33" s="265">
        <f t="shared" ca="1" si="18"/>
        <v>0</v>
      </c>
      <c r="AF33" s="265">
        <f t="shared" ca="1" si="19"/>
        <v>0</v>
      </c>
      <c r="AG33" s="265">
        <f t="shared" ca="1" si="20"/>
        <v>0</v>
      </c>
      <c r="AH33" s="265">
        <f t="shared" ca="1" si="65"/>
        <v>0</v>
      </c>
      <c r="AI33" s="265">
        <f t="shared" ca="1" si="66"/>
        <v>0</v>
      </c>
      <c r="AJ33" s="265">
        <f t="shared" ca="1" si="67"/>
        <v>0</v>
      </c>
      <c r="AK33" s="265">
        <f t="shared" ca="1" si="68"/>
        <v>0</v>
      </c>
      <c r="AL33" s="265">
        <f t="shared" ca="1" si="69"/>
        <v>0</v>
      </c>
      <c r="AM33" s="265">
        <f t="shared" ca="1" si="70"/>
        <v>0</v>
      </c>
      <c r="AN33" s="265">
        <f t="shared" ca="1" si="71"/>
        <v>0</v>
      </c>
      <c r="AO33" s="265">
        <f t="shared" ca="1" si="72"/>
        <v>0</v>
      </c>
      <c r="AP33" s="265">
        <f t="shared" ca="1" si="21"/>
        <v>0</v>
      </c>
      <c r="AQ33" s="265">
        <f t="shared" ca="1" si="22"/>
        <v>0</v>
      </c>
      <c r="AR33" s="265">
        <f t="shared" ca="1" si="23"/>
        <v>0</v>
      </c>
      <c r="AS33" s="265">
        <f t="shared" ca="1" si="24"/>
        <v>0</v>
      </c>
      <c r="AT33" s="265">
        <f t="shared" ca="1" si="73"/>
        <v>0</v>
      </c>
      <c r="AU33" s="265">
        <f t="shared" ca="1" si="74"/>
        <v>0</v>
      </c>
      <c r="AV33" s="265">
        <f t="shared" ca="1" si="25"/>
        <v>0</v>
      </c>
      <c r="AW33" s="265">
        <f t="shared" ca="1" si="26"/>
        <v>0</v>
      </c>
      <c r="AX33" s="265">
        <f t="shared" ca="1" si="27"/>
        <v>0</v>
      </c>
      <c r="AY33" s="265">
        <f t="shared" ca="1" si="28"/>
        <v>0</v>
      </c>
      <c r="AZ33" s="265">
        <f t="shared" ca="1" si="29"/>
        <v>0</v>
      </c>
      <c r="BA33" s="265">
        <f t="shared" ca="1" si="30"/>
        <v>0</v>
      </c>
      <c r="BB33" s="265">
        <f t="shared" ca="1" si="31"/>
        <v>0</v>
      </c>
      <c r="BC33" s="265">
        <f t="shared" ca="1" si="32"/>
        <v>0</v>
      </c>
      <c r="BD33" s="265">
        <f t="shared" ca="1" si="33"/>
        <v>0</v>
      </c>
      <c r="BE33" s="265">
        <f t="shared" ca="1" si="34"/>
        <v>0</v>
      </c>
      <c r="BF33" s="265">
        <f t="shared" ca="1" si="35"/>
        <v>0</v>
      </c>
      <c r="BG33" s="265">
        <f t="shared" ca="1" si="36"/>
        <v>0</v>
      </c>
      <c r="BH33" s="265">
        <f t="shared" ca="1" si="75"/>
        <v>0</v>
      </c>
      <c r="BI33" s="265">
        <f t="shared" ca="1" si="76"/>
        <v>0</v>
      </c>
      <c r="BJ33" s="265">
        <f t="shared" ca="1" si="37"/>
        <v>0</v>
      </c>
      <c r="BK33" s="265">
        <f t="shared" ca="1" si="38"/>
        <v>0</v>
      </c>
      <c r="BL33" s="265">
        <f t="shared" ca="1" si="39"/>
        <v>0</v>
      </c>
      <c r="BM33" s="265">
        <f t="shared" ca="1" si="40"/>
        <v>0</v>
      </c>
      <c r="BN33" s="265">
        <f t="shared" ca="1" si="41"/>
        <v>0</v>
      </c>
      <c r="BO33" s="265">
        <f t="shared" ca="1" si="42"/>
        <v>0</v>
      </c>
      <c r="BP33" s="265">
        <f t="shared" ca="1" si="77"/>
        <v>0</v>
      </c>
      <c r="BQ33" s="265">
        <f t="shared" ca="1" si="78"/>
        <v>0</v>
      </c>
      <c r="BR33" s="265">
        <f t="shared" ca="1" si="43"/>
        <v>0</v>
      </c>
      <c r="BS33" s="265">
        <f t="shared" ca="1" si="44"/>
        <v>0</v>
      </c>
      <c r="BT33" s="265">
        <f t="shared" ca="1" si="79"/>
        <v>0</v>
      </c>
      <c r="BU33" s="265">
        <f t="shared" ca="1" si="80"/>
        <v>0</v>
      </c>
      <c r="BV33" s="265">
        <f t="shared" ca="1" si="81"/>
        <v>0</v>
      </c>
      <c r="BW33" s="265">
        <f t="shared" ca="1" si="82"/>
        <v>0</v>
      </c>
      <c r="BX33" s="265">
        <f t="shared" ca="1" si="45"/>
        <v>0</v>
      </c>
      <c r="BY33" s="265">
        <f t="shared" ca="1" si="46"/>
        <v>0</v>
      </c>
      <c r="BZ33" s="265">
        <f t="shared" ca="1" si="47"/>
        <v>0</v>
      </c>
      <c r="CA33" s="265">
        <f t="shared" ca="1" si="48"/>
        <v>0</v>
      </c>
      <c r="CB33" s="265">
        <f t="shared" ca="1" si="49"/>
        <v>0</v>
      </c>
      <c r="CC33" s="265">
        <f t="shared" ca="1" si="50"/>
        <v>0</v>
      </c>
      <c r="CD33" s="265">
        <f t="shared" ca="1" si="83"/>
        <v>0</v>
      </c>
      <c r="CE33" s="265">
        <f t="shared" ca="1" si="84"/>
        <v>0</v>
      </c>
      <c r="CF33" s="265">
        <f t="shared" ca="1" si="85"/>
        <v>0</v>
      </c>
      <c r="CG33" s="265">
        <f t="shared" ca="1" si="86"/>
        <v>0</v>
      </c>
      <c r="CH33" s="265">
        <f t="shared" ca="1" si="51"/>
        <v>0</v>
      </c>
      <c r="CI33" s="265">
        <f t="shared" ca="1" si="52"/>
        <v>0</v>
      </c>
      <c r="CJ33" s="265">
        <f t="shared" ca="1" si="87"/>
        <v>0</v>
      </c>
      <c r="CK33" s="265">
        <f t="shared" ca="1" si="88"/>
        <v>0</v>
      </c>
      <c r="CL33" s="265">
        <f t="shared" ca="1" si="53"/>
        <v>0</v>
      </c>
      <c r="CM33" s="265">
        <f t="shared" ca="1" si="54"/>
        <v>0</v>
      </c>
      <c r="CN33" s="265">
        <f t="shared" ca="1" si="55"/>
        <v>0</v>
      </c>
      <c r="CO33" s="265">
        <f t="shared" ca="1" si="56"/>
        <v>0</v>
      </c>
      <c r="CP33" s="265">
        <f t="shared" ca="1" si="89"/>
        <v>0</v>
      </c>
      <c r="CQ33" s="265">
        <f t="shared" ca="1" si="90"/>
        <v>0</v>
      </c>
      <c r="CR33" s="265">
        <f t="shared" ca="1" si="91"/>
        <v>0</v>
      </c>
      <c r="CS33" s="265">
        <f t="shared" ca="1" si="92"/>
        <v>0</v>
      </c>
      <c r="CT33" s="265">
        <f t="shared" ca="1" si="57"/>
        <v>0</v>
      </c>
      <c r="CU33" s="265">
        <f t="shared" ca="1" si="58"/>
        <v>0</v>
      </c>
      <c r="CV33" s="265">
        <f t="shared" ca="1" si="59"/>
        <v>0</v>
      </c>
      <c r="CW33" s="265">
        <f t="shared" ca="1" si="60"/>
        <v>0</v>
      </c>
      <c r="CX33" s="265">
        <f t="shared" ca="1" si="93"/>
        <v>0</v>
      </c>
      <c r="CY33" s="265">
        <f t="shared" ca="1" si="94"/>
        <v>0</v>
      </c>
      <c r="CZ33" s="265">
        <f t="shared" ca="1" si="95"/>
        <v>0</v>
      </c>
      <c r="DA33" s="265">
        <f t="shared" ca="1" si="96"/>
        <v>0</v>
      </c>
    </row>
    <row r="34" spans="1:105" s="262" customFormat="1" ht="15" customHeight="1">
      <c r="A34" s="63">
        <f t="array" aca="1" ref="A34" ca="1">IF(C34&lt;&gt;0,SUM(($C$11:C34&lt;&gt;0)*1),"")</f>
        <v>24</v>
      </c>
      <c r="B34" s="263" t="str">
        <f ca="1">IF(ROWS($1:24)&gt;COUNT(Dong6),"",OFFSET(TH!C$1,SMALL(Dong6,ROWS($1:24)),))</f>
        <v/>
      </c>
      <c r="C34" s="263" t="str">
        <f ca="1">IF(ROWS($1:24)&gt;COUNT(Dong6),"",OFFSET(TH!D$1,SMALL(Dong6,ROWS($1:24)),))</f>
        <v/>
      </c>
      <c r="D34" s="263" t="str">
        <f ca="1">IF(ROWS($1:24)&gt;COUNT(Dong6),"",OFFSET(TH!E$1,SMALL(Dong6,ROWS($1:24)),))</f>
        <v/>
      </c>
      <c r="E34" s="313" t="str">
        <f ca="1">IF(ROWS($1:24)&gt;COUNT(Dong6),"",OFFSET(TH!F$1,SMALL(Dong6,ROWS($1:24)),))</f>
        <v/>
      </c>
      <c r="F34" s="314" t="str">
        <f ca="1">IF(ROWS($1:24)&gt;COUNT(Dong6),"",OFFSET(TH!M$1,SMALL(Dong6,ROWS($1:24)),))</f>
        <v/>
      </c>
      <c r="G34" s="315" t="str">
        <f ca="1">IF(ROWS($1:24)&gt;COUNT(Dong6),"",OFFSET(TH!N$1,SMALL(Dong6,ROWS($1:24)),))</f>
        <v/>
      </c>
      <c r="H34" s="315" t="str">
        <f ca="1">IF(ROWS($1:24)&gt;COUNT(Dong6),"",OFFSET(TH!O$1,SMALL(Dong6,ROWS($1:24)),))</f>
        <v/>
      </c>
      <c r="I34" s="63">
        <f t="shared" ca="1" si="0"/>
        <v>24</v>
      </c>
      <c r="J34" s="265">
        <f t="shared" ca="1" si="61"/>
        <v>0</v>
      </c>
      <c r="K34" s="265">
        <f t="shared" ca="1" si="62"/>
        <v>0</v>
      </c>
      <c r="L34" s="265">
        <f t="shared" ca="1" si="1"/>
        <v>0</v>
      </c>
      <c r="M34" s="265">
        <f t="shared" ca="1" si="2"/>
        <v>0</v>
      </c>
      <c r="N34" s="265">
        <f t="shared" ca="1" si="3"/>
        <v>0</v>
      </c>
      <c r="O34" s="265">
        <f t="shared" ca="1" si="4"/>
        <v>0</v>
      </c>
      <c r="P34" s="265">
        <f t="shared" ca="1" si="5"/>
        <v>0</v>
      </c>
      <c r="Q34" s="265">
        <f t="shared" ca="1" si="6"/>
        <v>0</v>
      </c>
      <c r="R34" s="265">
        <f t="shared" ca="1" si="7"/>
        <v>0</v>
      </c>
      <c r="S34" s="265">
        <f t="shared" ca="1" si="8"/>
        <v>0</v>
      </c>
      <c r="T34" s="265">
        <f t="shared" ca="1" si="9"/>
        <v>0</v>
      </c>
      <c r="U34" s="265">
        <f t="shared" ca="1" si="10"/>
        <v>0</v>
      </c>
      <c r="V34" s="265">
        <f t="shared" ca="1" si="11"/>
        <v>0</v>
      </c>
      <c r="W34" s="265">
        <f t="shared" ca="1" si="12"/>
        <v>0</v>
      </c>
      <c r="X34" s="265">
        <f t="shared" ca="1" si="13"/>
        <v>0</v>
      </c>
      <c r="Y34" s="265">
        <f t="shared" ca="1" si="14"/>
        <v>0</v>
      </c>
      <c r="Z34" s="265">
        <f t="shared" ca="1" si="15"/>
        <v>0</v>
      </c>
      <c r="AA34" s="265">
        <f t="shared" ca="1" si="16"/>
        <v>0</v>
      </c>
      <c r="AB34" s="265">
        <f t="shared" ca="1" si="63"/>
        <v>0</v>
      </c>
      <c r="AC34" s="265">
        <f t="shared" ca="1" si="64"/>
        <v>0</v>
      </c>
      <c r="AD34" s="265">
        <f t="shared" ca="1" si="17"/>
        <v>0</v>
      </c>
      <c r="AE34" s="265">
        <f t="shared" ca="1" si="18"/>
        <v>0</v>
      </c>
      <c r="AF34" s="265">
        <f t="shared" ca="1" si="19"/>
        <v>0</v>
      </c>
      <c r="AG34" s="265">
        <f t="shared" ca="1" si="20"/>
        <v>0</v>
      </c>
      <c r="AH34" s="265">
        <f t="shared" ca="1" si="65"/>
        <v>0</v>
      </c>
      <c r="AI34" s="265">
        <f t="shared" ca="1" si="66"/>
        <v>0</v>
      </c>
      <c r="AJ34" s="265">
        <f t="shared" ca="1" si="67"/>
        <v>0</v>
      </c>
      <c r="AK34" s="265">
        <f t="shared" ca="1" si="68"/>
        <v>0</v>
      </c>
      <c r="AL34" s="265">
        <f t="shared" ca="1" si="69"/>
        <v>0</v>
      </c>
      <c r="AM34" s="265">
        <f t="shared" ca="1" si="70"/>
        <v>0</v>
      </c>
      <c r="AN34" s="265">
        <f t="shared" ca="1" si="71"/>
        <v>0</v>
      </c>
      <c r="AO34" s="265">
        <f t="shared" ca="1" si="72"/>
        <v>0</v>
      </c>
      <c r="AP34" s="265">
        <f t="shared" ca="1" si="21"/>
        <v>0</v>
      </c>
      <c r="AQ34" s="265">
        <f t="shared" ca="1" si="22"/>
        <v>0</v>
      </c>
      <c r="AR34" s="265">
        <f t="shared" ca="1" si="23"/>
        <v>0</v>
      </c>
      <c r="AS34" s="265">
        <f t="shared" ca="1" si="24"/>
        <v>0</v>
      </c>
      <c r="AT34" s="265">
        <f t="shared" ca="1" si="73"/>
        <v>0</v>
      </c>
      <c r="AU34" s="265">
        <f t="shared" ca="1" si="74"/>
        <v>0</v>
      </c>
      <c r="AV34" s="265">
        <f t="shared" ca="1" si="25"/>
        <v>0</v>
      </c>
      <c r="AW34" s="265">
        <f t="shared" ca="1" si="26"/>
        <v>0</v>
      </c>
      <c r="AX34" s="265">
        <f t="shared" ca="1" si="27"/>
        <v>0</v>
      </c>
      <c r="AY34" s="265">
        <f t="shared" ca="1" si="28"/>
        <v>0</v>
      </c>
      <c r="AZ34" s="265">
        <f t="shared" ca="1" si="29"/>
        <v>0</v>
      </c>
      <c r="BA34" s="265">
        <f t="shared" ca="1" si="30"/>
        <v>0</v>
      </c>
      <c r="BB34" s="265">
        <f t="shared" ca="1" si="31"/>
        <v>0</v>
      </c>
      <c r="BC34" s="265">
        <f t="shared" ca="1" si="32"/>
        <v>0</v>
      </c>
      <c r="BD34" s="265">
        <f t="shared" ca="1" si="33"/>
        <v>0</v>
      </c>
      <c r="BE34" s="265">
        <f t="shared" ca="1" si="34"/>
        <v>0</v>
      </c>
      <c r="BF34" s="265">
        <f t="shared" ca="1" si="35"/>
        <v>0</v>
      </c>
      <c r="BG34" s="265">
        <f t="shared" ca="1" si="36"/>
        <v>0</v>
      </c>
      <c r="BH34" s="265">
        <f t="shared" ca="1" si="75"/>
        <v>0</v>
      </c>
      <c r="BI34" s="265">
        <f t="shared" ca="1" si="76"/>
        <v>0</v>
      </c>
      <c r="BJ34" s="265">
        <f t="shared" ca="1" si="37"/>
        <v>0</v>
      </c>
      <c r="BK34" s="265">
        <f t="shared" ca="1" si="38"/>
        <v>0</v>
      </c>
      <c r="BL34" s="265">
        <f t="shared" ca="1" si="39"/>
        <v>0</v>
      </c>
      <c r="BM34" s="265">
        <f t="shared" ca="1" si="40"/>
        <v>0</v>
      </c>
      <c r="BN34" s="265">
        <f t="shared" ca="1" si="41"/>
        <v>0</v>
      </c>
      <c r="BO34" s="265">
        <f t="shared" ca="1" si="42"/>
        <v>0</v>
      </c>
      <c r="BP34" s="265">
        <f t="shared" ca="1" si="77"/>
        <v>0</v>
      </c>
      <c r="BQ34" s="265">
        <f t="shared" ca="1" si="78"/>
        <v>0</v>
      </c>
      <c r="BR34" s="265">
        <f t="shared" ca="1" si="43"/>
        <v>0</v>
      </c>
      <c r="BS34" s="265">
        <f t="shared" ca="1" si="44"/>
        <v>0</v>
      </c>
      <c r="BT34" s="265">
        <f t="shared" ca="1" si="79"/>
        <v>0</v>
      </c>
      <c r="BU34" s="265">
        <f t="shared" ca="1" si="80"/>
        <v>0</v>
      </c>
      <c r="BV34" s="265">
        <f t="shared" ca="1" si="81"/>
        <v>0</v>
      </c>
      <c r="BW34" s="265">
        <f t="shared" ca="1" si="82"/>
        <v>0</v>
      </c>
      <c r="BX34" s="265">
        <f t="shared" ca="1" si="45"/>
        <v>0</v>
      </c>
      <c r="BY34" s="265">
        <f t="shared" ca="1" si="46"/>
        <v>0</v>
      </c>
      <c r="BZ34" s="265">
        <f t="shared" ca="1" si="47"/>
        <v>0</v>
      </c>
      <c r="CA34" s="265">
        <f t="shared" ca="1" si="48"/>
        <v>0</v>
      </c>
      <c r="CB34" s="265">
        <f t="shared" ca="1" si="49"/>
        <v>0</v>
      </c>
      <c r="CC34" s="265">
        <f t="shared" ca="1" si="50"/>
        <v>0</v>
      </c>
      <c r="CD34" s="265">
        <f t="shared" ca="1" si="83"/>
        <v>0</v>
      </c>
      <c r="CE34" s="265">
        <f t="shared" ca="1" si="84"/>
        <v>0</v>
      </c>
      <c r="CF34" s="265">
        <f t="shared" ca="1" si="85"/>
        <v>0</v>
      </c>
      <c r="CG34" s="265">
        <f t="shared" ca="1" si="86"/>
        <v>0</v>
      </c>
      <c r="CH34" s="265">
        <f t="shared" ca="1" si="51"/>
        <v>0</v>
      </c>
      <c r="CI34" s="265">
        <f t="shared" ca="1" si="52"/>
        <v>0</v>
      </c>
      <c r="CJ34" s="265">
        <f t="shared" ca="1" si="87"/>
        <v>0</v>
      </c>
      <c r="CK34" s="265">
        <f t="shared" ca="1" si="88"/>
        <v>0</v>
      </c>
      <c r="CL34" s="265">
        <f t="shared" ca="1" si="53"/>
        <v>0</v>
      </c>
      <c r="CM34" s="265">
        <f t="shared" ca="1" si="54"/>
        <v>0</v>
      </c>
      <c r="CN34" s="265">
        <f t="shared" ca="1" si="55"/>
        <v>0</v>
      </c>
      <c r="CO34" s="265">
        <f t="shared" ca="1" si="56"/>
        <v>0</v>
      </c>
      <c r="CP34" s="265">
        <f t="shared" ca="1" si="89"/>
        <v>0</v>
      </c>
      <c r="CQ34" s="265">
        <f t="shared" ca="1" si="90"/>
        <v>0</v>
      </c>
      <c r="CR34" s="265">
        <f t="shared" ca="1" si="91"/>
        <v>0</v>
      </c>
      <c r="CS34" s="265">
        <f t="shared" ca="1" si="92"/>
        <v>0</v>
      </c>
      <c r="CT34" s="265">
        <f t="shared" ca="1" si="57"/>
        <v>0</v>
      </c>
      <c r="CU34" s="265">
        <f t="shared" ca="1" si="58"/>
        <v>0</v>
      </c>
      <c r="CV34" s="265">
        <f t="shared" ca="1" si="59"/>
        <v>0</v>
      </c>
      <c r="CW34" s="265">
        <f t="shared" ca="1" si="60"/>
        <v>0</v>
      </c>
      <c r="CX34" s="265">
        <f t="shared" ca="1" si="93"/>
        <v>0</v>
      </c>
      <c r="CY34" s="265">
        <f t="shared" ca="1" si="94"/>
        <v>0</v>
      </c>
      <c r="CZ34" s="265">
        <f t="shared" ca="1" si="95"/>
        <v>0</v>
      </c>
      <c r="DA34" s="265">
        <f t="shared" ca="1" si="96"/>
        <v>0</v>
      </c>
    </row>
    <row r="35" spans="1:105" s="262" customFormat="1" ht="15" customHeight="1">
      <c r="A35" s="63">
        <f t="array" aca="1" ref="A35" ca="1">IF(C35&lt;&gt;0,SUM(($C$11:C35&lt;&gt;0)*1),"")</f>
        <v>25</v>
      </c>
      <c r="B35" s="263" t="str">
        <f ca="1">IF(ROWS($1:25)&gt;COUNT(Dong6),"",OFFSET(TH!C$1,SMALL(Dong6,ROWS($1:25)),))</f>
        <v/>
      </c>
      <c r="C35" s="263" t="str">
        <f ca="1">IF(ROWS($1:25)&gt;COUNT(Dong6),"",OFFSET(TH!D$1,SMALL(Dong6,ROWS($1:25)),))</f>
        <v/>
      </c>
      <c r="D35" s="263" t="str">
        <f ca="1">IF(ROWS($1:25)&gt;COUNT(Dong6),"",OFFSET(TH!E$1,SMALL(Dong6,ROWS($1:25)),))</f>
        <v/>
      </c>
      <c r="E35" s="313" t="str">
        <f ca="1">IF(ROWS($1:25)&gt;COUNT(Dong6),"",OFFSET(TH!F$1,SMALL(Dong6,ROWS($1:25)),))</f>
        <v/>
      </c>
      <c r="F35" s="314" t="str">
        <f ca="1">IF(ROWS($1:25)&gt;COUNT(Dong6),"",OFFSET(TH!M$1,SMALL(Dong6,ROWS($1:25)),))</f>
        <v/>
      </c>
      <c r="G35" s="315" t="str">
        <f ca="1">IF(ROWS($1:25)&gt;COUNT(Dong6),"",OFFSET(TH!N$1,SMALL(Dong6,ROWS($1:25)),))</f>
        <v/>
      </c>
      <c r="H35" s="315" t="str">
        <f ca="1">IF(ROWS($1:25)&gt;COUNT(Dong6),"",OFFSET(TH!O$1,SMALL(Dong6,ROWS($1:25)),))</f>
        <v/>
      </c>
      <c r="I35" s="63">
        <f ca="1">A35</f>
        <v>25</v>
      </c>
      <c r="J35" s="265">
        <f t="shared" ca="1" si="61"/>
        <v>0</v>
      </c>
      <c r="K35" s="265">
        <f t="shared" ca="1" si="62"/>
        <v>0</v>
      </c>
      <c r="L35" s="265">
        <f t="shared" ca="1" si="1"/>
        <v>0</v>
      </c>
      <c r="M35" s="265">
        <f t="shared" ca="1" si="2"/>
        <v>0</v>
      </c>
      <c r="N35" s="265">
        <f t="shared" ca="1" si="3"/>
        <v>0</v>
      </c>
      <c r="O35" s="265">
        <f t="shared" ca="1" si="4"/>
        <v>0</v>
      </c>
      <c r="P35" s="265">
        <f t="shared" ca="1" si="5"/>
        <v>0</v>
      </c>
      <c r="Q35" s="265">
        <f t="shared" ca="1" si="6"/>
        <v>0</v>
      </c>
      <c r="R35" s="265">
        <f t="shared" ca="1" si="7"/>
        <v>0</v>
      </c>
      <c r="S35" s="265">
        <f t="shared" ca="1" si="8"/>
        <v>0</v>
      </c>
      <c r="T35" s="265">
        <f t="shared" ca="1" si="9"/>
        <v>0</v>
      </c>
      <c r="U35" s="265">
        <f t="shared" ca="1" si="10"/>
        <v>0</v>
      </c>
      <c r="V35" s="265">
        <f t="shared" ca="1" si="11"/>
        <v>0</v>
      </c>
      <c r="W35" s="265">
        <f t="shared" ca="1" si="12"/>
        <v>0</v>
      </c>
      <c r="X35" s="265">
        <f t="shared" ca="1" si="13"/>
        <v>0</v>
      </c>
      <c r="Y35" s="265">
        <f t="shared" ca="1" si="14"/>
        <v>0</v>
      </c>
      <c r="Z35" s="265">
        <f t="shared" ca="1" si="15"/>
        <v>0</v>
      </c>
      <c r="AA35" s="265">
        <f t="shared" ca="1" si="16"/>
        <v>0</v>
      </c>
      <c r="AB35" s="265">
        <f t="shared" ca="1" si="63"/>
        <v>0</v>
      </c>
      <c r="AC35" s="265">
        <f t="shared" ca="1" si="64"/>
        <v>0</v>
      </c>
      <c r="AD35" s="265">
        <f t="shared" ca="1" si="17"/>
        <v>0</v>
      </c>
      <c r="AE35" s="265">
        <f t="shared" ca="1" si="18"/>
        <v>0</v>
      </c>
      <c r="AF35" s="265">
        <f t="shared" ca="1" si="19"/>
        <v>0</v>
      </c>
      <c r="AG35" s="265">
        <f t="shared" ca="1" si="20"/>
        <v>0</v>
      </c>
      <c r="AH35" s="265">
        <f t="shared" ca="1" si="65"/>
        <v>0</v>
      </c>
      <c r="AI35" s="265">
        <f t="shared" ca="1" si="66"/>
        <v>0</v>
      </c>
      <c r="AJ35" s="265">
        <f t="shared" ca="1" si="67"/>
        <v>0</v>
      </c>
      <c r="AK35" s="265">
        <f t="shared" ca="1" si="68"/>
        <v>0</v>
      </c>
      <c r="AL35" s="265">
        <f t="shared" ca="1" si="69"/>
        <v>0</v>
      </c>
      <c r="AM35" s="265">
        <f t="shared" ca="1" si="70"/>
        <v>0</v>
      </c>
      <c r="AN35" s="265">
        <f t="shared" ca="1" si="71"/>
        <v>0</v>
      </c>
      <c r="AO35" s="265">
        <f t="shared" ca="1" si="72"/>
        <v>0</v>
      </c>
      <c r="AP35" s="265">
        <f t="shared" ca="1" si="21"/>
        <v>0</v>
      </c>
      <c r="AQ35" s="265">
        <f t="shared" ca="1" si="22"/>
        <v>0</v>
      </c>
      <c r="AR35" s="265">
        <f t="shared" ca="1" si="23"/>
        <v>0</v>
      </c>
      <c r="AS35" s="265">
        <f t="shared" ca="1" si="24"/>
        <v>0</v>
      </c>
      <c r="AT35" s="265">
        <f t="shared" ca="1" si="73"/>
        <v>0</v>
      </c>
      <c r="AU35" s="265">
        <f t="shared" ca="1" si="74"/>
        <v>0</v>
      </c>
      <c r="AV35" s="265">
        <f t="shared" ca="1" si="25"/>
        <v>0</v>
      </c>
      <c r="AW35" s="265">
        <f t="shared" ca="1" si="26"/>
        <v>0</v>
      </c>
      <c r="AX35" s="265">
        <f t="shared" ca="1" si="27"/>
        <v>0</v>
      </c>
      <c r="AY35" s="265">
        <f t="shared" ca="1" si="28"/>
        <v>0</v>
      </c>
      <c r="AZ35" s="265">
        <f t="shared" ca="1" si="29"/>
        <v>0</v>
      </c>
      <c r="BA35" s="265">
        <f t="shared" ca="1" si="30"/>
        <v>0</v>
      </c>
      <c r="BB35" s="265">
        <f t="shared" ca="1" si="31"/>
        <v>0</v>
      </c>
      <c r="BC35" s="265">
        <f t="shared" ca="1" si="32"/>
        <v>0</v>
      </c>
      <c r="BD35" s="265">
        <f t="shared" ca="1" si="33"/>
        <v>0</v>
      </c>
      <c r="BE35" s="265">
        <f t="shared" ca="1" si="34"/>
        <v>0</v>
      </c>
      <c r="BF35" s="265">
        <f t="shared" ca="1" si="35"/>
        <v>0</v>
      </c>
      <c r="BG35" s="265">
        <f t="shared" ca="1" si="36"/>
        <v>0</v>
      </c>
      <c r="BH35" s="265">
        <f t="shared" ca="1" si="75"/>
        <v>0</v>
      </c>
      <c r="BI35" s="265">
        <f t="shared" ca="1" si="76"/>
        <v>0</v>
      </c>
      <c r="BJ35" s="265">
        <f t="shared" ca="1" si="37"/>
        <v>0</v>
      </c>
      <c r="BK35" s="265">
        <f t="shared" ca="1" si="38"/>
        <v>0</v>
      </c>
      <c r="BL35" s="265">
        <f t="shared" ca="1" si="39"/>
        <v>0</v>
      </c>
      <c r="BM35" s="265">
        <f t="shared" ca="1" si="40"/>
        <v>0</v>
      </c>
      <c r="BN35" s="265">
        <f t="shared" ca="1" si="41"/>
        <v>0</v>
      </c>
      <c r="BO35" s="265">
        <f t="shared" ca="1" si="42"/>
        <v>0</v>
      </c>
      <c r="BP35" s="265">
        <f t="shared" ca="1" si="77"/>
        <v>0</v>
      </c>
      <c r="BQ35" s="265">
        <f t="shared" ca="1" si="78"/>
        <v>0</v>
      </c>
      <c r="BR35" s="265">
        <f t="shared" ca="1" si="43"/>
        <v>0</v>
      </c>
      <c r="BS35" s="265">
        <f t="shared" ca="1" si="44"/>
        <v>0</v>
      </c>
      <c r="BT35" s="265">
        <f t="shared" ca="1" si="79"/>
        <v>0</v>
      </c>
      <c r="BU35" s="265">
        <f t="shared" ca="1" si="80"/>
        <v>0</v>
      </c>
      <c r="BV35" s="265">
        <f t="shared" ca="1" si="81"/>
        <v>0</v>
      </c>
      <c r="BW35" s="265">
        <f t="shared" ca="1" si="82"/>
        <v>0</v>
      </c>
      <c r="BX35" s="265">
        <f t="shared" ca="1" si="45"/>
        <v>0</v>
      </c>
      <c r="BY35" s="265">
        <f t="shared" ca="1" si="46"/>
        <v>0</v>
      </c>
      <c r="BZ35" s="265">
        <f t="shared" ca="1" si="47"/>
        <v>0</v>
      </c>
      <c r="CA35" s="265">
        <f t="shared" ca="1" si="48"/>
        <v>0</v>
      </c>
      <c r="CB35" s="265">
        <f t="shared" ca="1" si="49"/>
        <v>0</v>
      </c>
      <c r="CC35" s="265">
        <f t="shared" ca="1" si="50"/>
        <v>0</v>
      </c>
      <c r="CD35" s="265">
        <f t="shared" ca="1" si="83"/>
        <v>0</v>
      </c>
      <c r="CE35" s="265">
        <f t="shared" ca="1" si="84"/>
        <v>0</v>
      </c>
      <c r="CF35" s="265">
        <f t="shared" ca="1" si="85"/>
        <v>0</v>
      </c>
      <c r="CG35" s="265">
        <f t="shared" ca="1" si="86"/>
        <v>0</v>
      </c>
      <c r="CH35" s="265">
        <f t="shared" ca="1" si="51"/>
        <v>0</v>
      </c>
      <c r="CI35" s="265">
        <f t="shared" ca="1" si="52"/>
        <v>0</v>
      </c>
      <c r="CJ35" s="265">
        <f t="shared" ca="1" si="87"/>
        <v>0</v>
      </c>
      <c r="CK35" s="265">
        <f t="shared" ca="1" si="88"/>
        <v>0</v>
      </c>
      <c r="CL35" s="265">
        <f t="shared" ca="1" si="53"/>
        <v>0</v>
      </c>
      <c r="CM35" s="265">
        <f t="shared" ca="1" si="54"/>
        <v>0</v>
      </c>
      <c r="CN35" s="265">
        <f t="shared" ca="1" si="55"/>
        <v>0</v>
      </c>
      <c r="CO35" s="265">
        <f t="shared" ca="1" si="56"/>
        <v>0</v>
      </c>
      <c r="CP35" s="265">
        <f t="shared" ca="1" si="89"/>
        <v>0</v>
      </c>
      <c r="CQ35" s="265">
        <f t="shared" ca="1" si="90"/>
        <v>0</v>
      </c>
      <c r="CR35" s="265">
        <f t="shared" ca="1" si="91"/>
        <v>0</v>
      </c>
      <c r="CS35" s="265">
        <f t="shared" ca="1" si="92"/>
        <v>0</v>
      </c>
      <c r="CT35" s="265">
        <f t="shared" ca="1" si="57"/>
        <v>0</v>
      </c>
      <c r="CU35" s="265">
        <f t="shared" ca="1" si="58"/>
        <v>0</v>
      </c>
      <c r="CV35" s="265">
        <f t="shared" ca="1" si="59"/>
        <v>0</v>
      </c>
      <c r="CW35" s="265">
        <f t="shared" ca="1" si="60"/>
        <v>0</v>
      </c>
      <c r="CX35" s="265">
        <f t="shared" ca="1" si="93"/>
        <v>0</v>
      </c>
      <c r="CY35" s="265">
        <f t="shared" ca="1" si="94"/>
        <v>0</v>
      </c>
      <c r="CZ35" s="265">
        <f t="shared" ca="1" si="95"/>
        <v>0</v>
      </c>
      <c r="DA35" s="265">
        <f t="shared" ca="1" si="96"/>
        <v>0</v>
      </c>
    </row>
    <row r="36" spans="1:105" s="262" customFormat="1" ht="15" customHeight="1">
      <c r="A36" s="63">
        <f t="array" aca="1" ref="A36" ca="1">IF(C36&lt;&gt;0,SUM(($C$11:C36&lt;&gt;0)*1),"")</f>
        <v>26</v>
      </c>
      <c r="B36" s="263" t="str">
        <f ca="1">IF(ROWS($1:26)&gt;COUNT(Dong6),"",OFFSET(TH!C$1,SMALL(Dong6,ROWS($1:26)),))</f>
        <v/>
      </c>
      <c r="C36" s="263" t="str">
        <f ca="1">IF(ROWS($1:26)&gt;COUNT(Dong6),"",OFFSET(TH!D$1,SMALL(Dong6,ROWS($1:26)),))</f>
        <v/>
      </c>
      <c r="D36" s="263" t="str">
        <f ca="1">IF(ROWS($1:26)&gt;COUNT(Dong6),"",OFFSET(TH!E$1,SMALL(Dong6,ROWS($1:26)),))</f>
        <v/>
      </c>
      <c r="E36" s="313" t="str">
        <f ca="1">IF(ROWS($1:26)&gt;COUNT(Dong6),"",OFFSET(TH!F$1,SMALL(Dong6,ROWS($1:26)),))</f>
        <v/>
      </c>
      <c r="F36" s="314" t="str">
        <f ca="1">IF(ROWS($1:26)&gt;COUNT(Dong6),"",OFFSET(TH!M$1,SMALL(Dong6,ROWS($1:26)),))</f>
        <v/>
      </c>
      <c r="G36" s="315" t="str">
        <f ca="1">IF(ROWS($1:26)&gt;COUNT(Dong6),"",OFFSET(TH!N$1,SMALL(Dong6,ROWS($1:26)),))</f>
        <v/>
      </c>
      <c r="H36" s="315" t="str">
        <f ca="1">IF(ROWS($1:26)&gt;COUNT(Dong6),"",OFFSET(TH!O$1,SMALL(Dong6,ROWS($1:26)),))</f>
        <v/>
      </c>
      <c r="I36" s="63">
        <f ca="1">A36</f>
        <v>26</v>
      </c>
      <c r="J36" s="265">
        <f t="shared" ca="1" si="61"/>
        <v>0</v>
      </c>
      <c r="K36" s="265">
        <f t="shared" ca="1" si="62"/>
        <v>0</v>
      </c>
      <c r="L36" s="265">
        <f t="shared" ca="1" si="1"/>
        <v>0</v>
      </c>
      <c r="M36" s="265">
        <f t="shared" ca="1" si="2"/>
        <v>0</v>
      </c>
      <c r="N36" s="265">
        <f t="shared" ca="1" si="3"/>
        <v>0</v>
      </c>
      <c r="O36" s="265">
        <f t="shared" ca="1" si="4"/>
        <v>0</v>
      </c>
      <c r="P36" s="265">
        <f t="shared" ca="1" si="5"/>
        <v>0</v>
      </c>
      <c r="Q36" s="265">
        <f t="shared" ca="1" si="6"/>
        <v>0</v>
      </c>
      <c r="R36" s="265">
        <f t="shared" ca="1" si="7"/>
        <v>0</v>
      </c>
      <c r="S36" s="265">
        <f t="shared" ca="1" si="8"/>
        <v>0</v>
      </c>
      <c r="T36" s="265">
        <f t="shared" ca="1" si="9"/>
        <v>0</v>
      </c>
      <c r="U36" s="265">
        <f t="shared" ca="1" si="10"/>
        <v>0</v>
      </c>
      <c r="V36" s="265">
        <f t="shared" ca="1" si="11"/>
        <v>0</v>
      </c>
      <c r="W36" s="265">
        <f t="shared" ca="1" si="12"/>
        <v>0</v>
      </c>
      <c r="X36" s="265">
        <f t="shared" ca="1" si="13"/>
        <v>0</v>
      </c>
      <c r="Y36" s="265">
        <f t="shared" ca="1" si="14"/>
        <v>0</v>
      </c>
      <c r="Z36" s="265">
        <f t="shared" ca="1" si="15"/>
        <v>0</v>
      </c>
      <c r="AA36" s="265">
        <f t="shared" ca="1" si="16"/>
        <v>0</v>
      </c>
      <c r="AB36" s="265">
        <f t="shared" ca="1" si="63"/>
        <v>0</v>
      </c>
      <c r="AC36" s="265">
        <f t="shared" ca="1" si="64"/>
        <v>0</v>
      </c>
      <c r="AD36" s="265">
        <f t="shared" ca="1" si="17"/>
        <v>0</v>
      </c>
      <c r="AE36" s="265">
        <f t="shared" ca="1" si="18"/>
        <v>0</v>
      </c>
      <c r="AF36" s="265">
        <f t="shared" ca="1" si="19"/>
        <v>0</v>
      </c>
      <c r="AG36" s="265">
        <f t="shared" ca="1" si="20"/>
        <v>0</v>
      </c>
      <c r="AH36" s="265">
        <f t="shared" ca="1" si="65"/>
        <v>0</v>
      </c>
      <c r="AI36" s="265">
        <f t="shared" ca="1" si="66"/>
        <v>0</v>
      </c>
      <c r="AJ36" s="265">
        <f t="shared" ca="1" si="67"/>
        <v>0</v>
      </c>
      <c r="AK36" s="265">
        <f t="shared" ca="1" si="68"/>
        <v>0</v>
      </c>
      <c r="AL36" s="265">
        <f t="shared" ca="1" si="69"/>
        <v>0</v>
      </c>
      <c r="AM36" s="265">
        <f t="shared" ca="1" si="70"/>
        <v>0</v>
      </c>
      <c r="AN36" s="265">
        <f t="shared" ca="1" si="71"/>
        <v>0</v>
      </c>
      <c r="AO36" s="265">
        <f t="shared" ca="1" si="72"/>
        <v>0</v>
      </c>
      <c r="AP36" s="265">
        <f t="shared" ca="1" si="21"/>
        <v>0</v>
      </c>
      <c r="AQ36" s="265">
        <f t="shared" ca="1" si="22"/>
        <v>0</v>
      </c>
      <c r="AR36" s="265">
        <f t="shared" ca="1" si="23"/>
        <v>0</v>
      </c>
      <c r="AS36" s="265">
        <f t="shared" ca="1" si="24"/>
        <v>0</v>
      </c>
      <c r="AT36" s="265">
        <f t="shared" ca="1" si="73"/>
        <v>0</v>
      </c>
      <c r="AU36" s="265">
        <f t="shared" ca="1" si="74"/>
        <v>0</v>
      </c>
      <c r="AV36" s="265">
        <f t="shared" ca="1" si="25"/>
        <v>0</v>
      </c>
      <c r="AW36" s="265">
        <f t="shared" ca="1" si="26"/>
        <v>0</v>
      </c>
      <c r="AX36" s="265">
        <f t="shared" ca="1" si="27"/>
        <v>0</v>
      </c>
      <c r="AY36" s="265">
        <f t="shared" ca="1" si="28"/>
        <v>0</v>
      </c>
      <c r="AZ36" s="265">
        <f t="shared" ca="1" si="29"/>
        <v>0</v>
      </c>
      <c r="BA36" s="265">
        <f t="shared" ca="1" si="30"/>
        <v>0</v>
      </c>
      <c r="BB36" s="265">
        <f t="shared" ca="1" si="31"/>
        <v>0</v>
      </c>
      <c r="BC36" s="265">
        <f t="shared" ca="1" si="32"/>
        <v>0</v>
      </c>
      <c r="BD36" s="265">
        <f t="shared" ca="1" si="33"/>
        <v>0</v>
      </c>
      <c r="BE36" s="265">
        <f t="shared" ca="1" si="34"/>
        <v>0</v>
      </c>
      <c r="BF36" s="265">
        <f t="shared" ca="1" si="35"/>
        <v>0</v>
      </c>
      <c r="BG36" s="265">
        <f t="shared" ca="1" si="36"/>
        <v>0</v>
      </c>
      <c r="BH36" s="265">
        <f t="shared" ca="1" si="75"/>
        <v>0</v>
      </c>
      <c r="BI36" s="265">
        <f t="shared" ca="1" si="76"/>
        <v>0</v>
      </c>
      <c r="BJ36" s="265">
        <f t="shared" ca="1" si="37"/>
        <v>0</v>
      </c>
      <c r="BK36" s="265">
        <f t="shared" ca="1" si="38"/>
        <v>0</v>
      </c>
      <c r="BL36" s="265">
        <f t="shared" ca="1" si="39"/>
        <v>0</v>
      </c>
      <c r="BM36" s="265">
        <f t="shared" ca="1" si="40"/>
        <v>0</v>
      </c>
      <c r="BN36" s="265">
        <f t="shared" ca="1" si="41"/>
        <v>0</v>
      </c>
      <c r="BO36" s="265">
        <f t="shared" ca="1" si="42"/>
        <v>0</v>
      </c>
      <c r="BP36" s="265">
        <f t="shared" ca="1" si="77"/>
        <v>0</v>
      </c>
      <c r="BQ36" s="265">
        <f t="shared" ca="1" si="78"/>
        <v>0</v>
      </c>
      <c r="BR36" s="265">
        <f t="shared" ca="1" si="43"/>
        <v>0</v>
      </c>
      <c r="BS36" s="265">
        <f t="shared" ca="1" si="44"/>
        <v>0</v>
      </c>
      <c r="BT36" s="265">
        <f t="shared" ca="1" si="79"/>
        <v>0</v>
      </c>
      <c r="BU36" s="265">
        <f t="shared" ca="1" si="80"/>
        <v>0</v>
      </c>
      <c r="BV36" s="265">
        <f t="shared" ca="1" si="81"/>
        <v>0</v>
      </c>
      <c r="BW36" s="265">
        <f t="shared" ca="1" si="82"/>
        <v>0</v>
      </c>
      <c r="BX36" s="265">
        <f t="shared" ca="1" si="45"/>
        <v>0</v>
      </c>
      <c r="BY36" s="265">
        <f t="shared" ca="1" si="46"/>
        <v>0</v>
      </c>
      <c r="BZ36" s="265">
        <f t="shared" ca="1" si="47"/>
        <v>0</v>
      </c>
      <c r="CA36" s="265">
        <f t="shared" ca="1" si="48"/>
        <v>0</v>
      </c>
      <c r="CB36" s="265">
        <f t="shared" ca="1" si="49"/>
        <v>0</v>
      </c>
      <c r="CC36" s="265">
        <f t="shared" ca="1" si="50"/>
        <v>0</v>
      </c>
      <c r="CD36" s="265">
        <f t="shared" ca="1" si="83"/>
        <v>0</v>
      </c>
      <c r="CE36" s="265">
        <f t="shared" ca="1" si="84"/>
        <v>0</v>
      </c>
      <c r="CF36" s="265">
        <f t="shared" ca="1" si="85"/>
        <v>0</v>
      </c>
      <c r="CG36" s="265">
        <f t="shared" ca="1" si="86"/>
        <v>0</v>
      </c>
      <c r="CH36" s="265">
        <f t="shared" ca="1" si="51"/>
        <v>0</v>
      </c>
      <c r="CI36" s="265">
        <f t="shared" ca="1" si="52"/>
        <v>0</v>
      </c>
      <c r="CJ36" s="265">
        <f t="shared" ca="1" si="87"/>
        <v>0</v>
      </c>
      <c r="CK36" s="265">
        <f t="shared" ca="1" si="88"/>
        <v>0</v>
      </c>
      <c r="CL36" s="265">
        <f t="shared" ca="1" si="53"/>
        <v>0</v>
      </c>
      <c r="CM36" s="265">
        <f t="shared" ca="1" si="54"/>
        <v>0</v>
      </c>
      <c r="CN36" s="265">
        <f t="shared" ca="1" si="55"/>
        <v>0</v>
      </c>
      <c r="CO36" s="265">
        <f t="shared" ca="1" si="56"/>
        <v>0</v>
      </c>
      <c r="CP36" s="265">
        <f t="shared" ca="1" si="89"/>
        <v>0</v>
      </c>
      <c r="CQ36" s="265">
        <f t="shared" ca="1" si="90"/>
        <v>0</v>
      </c>
      <c r="CR36" s="265">
        <f t="shared" ca="1" si="91"/>
        <v>0</v>
      </c>
      <c r="CS36" s="265">
        <f t="shared" ca="1" si="92"/>
        <v>0</v>
      </c>
      <c r="CT36" s="265">
        <f t="shared" ca="1" si="57"/>
        <v>0</v>
      </c>
      <c r="CU36" s="265">
        <f t="shared" ca="1" si="58"/>
        <v>0</v>
      </c>
      <c r="CV36" s="265">
        <f t="shared" ca="1" si="59"/>
        <v>0</v>
      </c>
      <c r="CW36" s="265">
        <f t="shared" ca="1" si="60"/>
        <v>0</v>
      </c>
      <c r="CX36" s="265">
        <f t="shared" ca="1" si="93"/>
        <v>0</v>
      </c>
      <c r="CY36" s="265">
        <f t="shared" ca="1" si="94"/>
        <v>0</v>
      </c>
      <c r="CZ36" s="265">
        <f t="shared" ca="1" si="95"/>
        <v>0</v>
      </c>
      <c r="DA36" s="265">
        <f t="shared" ca="1" si="96"/>
        <v>0</v>
      </c>
    </row>
    <row r="37" spans="1:105" s="262" customFormat="1" ht="15" customHeight="1">
      <c r="A37" s="63">
        <f t="array" aca="1" ref="A37" ca="1">IF(C37&lt;&gt;0,SUM(($C$11:C37&lt;&gt;0)*1),"")</f>
        <v>27</v>
      </c>
      <c r="B37" s="263" t="str">
        <f ca="1">IF(ROWS($1:27)&gt;COUNT(Dong6),"",OFFSET(TH!C$1,SMALL(Dong6,ROWS($1:27)),))</f>
        <v/>
      </c>
      <c r="C37" s="263" t="str">
        <f ca="1">IF(ROWS($1:27)&gt;COUNT(Dong6),"",OFFSET(TH!D$1,SMALL(Dong6,ROWS($1:27)),))</f>
        <v/>
      </c>
      <c r="D37" s="263" t="str">
        <f ca="1">IF(ROWS($1:27)&gt;COUNT(Dong6),"",OFFSET(TH!E$1,SMALL(Dong6,ROWS($1:27)),))</f>
        <v/>
      </c>
      <c r="E37" s="313" t="str">
        <f ca="1">IF(ROWS($1:27)&gt;COUNT(Dong6),"",OFFSET(TH!F$1,SMALL(Dong6,ROWS($1:27)),))</f>
        <v/>
      </c>
      <c r="F37" s="314" t="str">
        <f ca="1">IF(ROWS($1:27)&gt;COUNT(Dong6),"",OFFSET(TH!M$1,SMALL(Dong6,ROWS($1:27)),))</f>
        <v/>
      </c>
      <c r="G37" s="315" t="str">
        <f ca="1">IF(ROWS($1:27)&gt;COUNT(Dong6),"",OFFSET(TH!N$1,SMALL(Dong6,ROWS($1:27)),))</f>
        <v/>
      </c>
      <c r="H37" s="315" t="str">
        <f ca="1">IF(ROWS($1:27)&gt;COUNT(Dong6),"",OFFSET(TH!O$1,SMALL(Dong6,ROWS($1:27)),))</f>
        <v/>
      </c>
      <c r="I37" s="63">
        <f ca="1">A37</f>
        <v>27</v>
      </c>
      <c r="J37" s="265">
        <f t="shared" ca="1" si="61"/>
        <v>0</v>
      </c>
      <c r="K37" s="265">
        <f t="shared" ca="1" si="62"/>
        <v>0</v>
      </c>
      <c r="L37" s="265">
        <f t="shared" ca="1" si="1"/>
        <v>0</v>
      </c>
      <c r="M37" s="265">
        <f t="shared" ca="1" si="2"/>
        <v>0</v>
      </c>
      <c r="N37" s="265">
        <f t="shared" ca="1" si="3"/>
        <v>0</v>
      </c>
      <c r="O37" s="265">
        <f t="shared" ca="1" si="4"/>
        <v>0</v>
      </c>
      <c r="P37" s="265">
        <f t="shared" ca="1" si="5"/>
        <v>0</v>
      </c>
      <c r="Q37" s="265">
        <f t="shared" ca="1" si="6"/>
        <v>0</v>
      </c>
      <c r="R37" s="265">
        <f t="shared" ca="1" si="7"/>
        <v>0</v>
      </c>
      <c r="S37" s="265">
        <f t="shared" ca="1" si="8"/>
        <v>0</v>
      </c>
      <c r="T37" s="265">
        <f t="shared" ca="1" si="9"/>
        <v>0</v>
      </c>
      <c r="U37" s="265">
        <f t="shared" ca="1" si="10"/>
        <v>0</v>
      </c>
      <c r="V37" s="265">
        <f t="shared" ca="1" si="11"/>
        <v>0</v>
      </c>
      <c r="W37" s="265">
        <f t="shared" ca="1" si="12"/>
        <v>0</v>
      </c>
      <c r="X37" s="265">
        <f t="shared" ca="1" si="13"/>
        <v>0</v>
      </c>
      <c r="Y37" s="265">
        <f t="shared" ca="1" si="14"/>
        <v>0</v>
      </c>
      <c r="Z37" s="265">
        <f t="shared" ca="1" si="15"/>
        <v>0</v>
      </c>
      <c r="AA37" s="265">
        <f t="shared" ca="1" si="16"/>
        <v>0</v>
      </c>
      <c r="AB37" s="265">
        <f t="shared" ca="1" si="63"/>
        <v>0</v>
      </c>
      <c r="AC37" s="265">
        <f t="shared" ca="1" si="64"/>
        <v>0</v>
      </c>
      <c r="AD37" s="265">
        <f t="shared" ca="1" si="17"/>
        <v>0</v>
      </c>
      <c r="AE37" s="265">
        <f t="shared" ca="1" si="18"/>
        <v>0</v>
      </c>
      <c r="AF37" s="265">
        <f t="shared" ca="1" si="19"/>
        <v>0</v>
      </c>
      <c r="AG37" s="265">
        <f t="shared" ca="1" si="20"/>
        <v>0</v>
      </c>
      <c r="AH37" s="265">
        <f t="shared" ca="1" si="65"/>
        <v>0</v>
      </c>
      <c r="AI37" s="265">
        <f t="shared" ca="1" si="66"/>
        <v>0</v>
      </c>
      <c r="AJ37" s="265">
        <f t="shared" ca="1" si="67"/>
        <v>0</v>
      </c>
      <c r="AK37" s="265">
        <f t="shared" ca="1" si="68"/>
        <v>0</v>
      </c>
      <c r="AL37" s="265">
        <f t="shared" ca="1" si="69"/>
        <v>0</v>
      </c>
      <c r="AM37" s="265">
        <f t="shared" ca="1" si="70"/>
        <v>0</v>
      </c>
      <c r="AN37" s="265">
        <f t="shared" ca="1" si="71"/>
        <v>0</v>
      </c>
      <c r="AO37" s="265">
        <f t="shared" ca="1" si="72"/>
        <v>0</v>
      </c>
      <c r="AP37" s="265">
        <f t="shared" ca="1" si="21"/>
        <v>0</v>
      </c>
      <c r="AQ37" s="265">
        <f t="shared" ca="1" si="22"/>
        <v>0</v>
      </c>
      <c r="AR37" s="265">
        <f t="shared" ca="1" si="23"/>
        <v>0</v>
      </c>
      <c r="AS37" s="265">
        <f t="shared" ca="1" si="24"/>
        <v>0</v>
      </c>
      <c r="AT37" s="265">
        <f t="shared" ca="1" si="73"/>
        <v>0</v>
      </c>
      <c r="AU37" s="265">
        <f t="shared" ca="1" si="74"/>
        <v>0</v>
      </c>
      <c r="AV37" s="265">
        <f t="shared" ca="1" si="25"/>
        <v>0</v>
      </c>
      <c r="AW37" s="265">
        <f t="shared" ca="1" si="26"/>
        <v>0</v>
      </c>
      <c r="AX37" s="265">
        <f t="shared" ca="1" si="27"/>
        <v>0</v>
      </c>
      <c r="AY37" s="265">
        <f t="shared" ca="1" si="28"/>
        <v>0</v>
      </c>
      <c r="AZ37" s="265">
        <f t="shared" ca="1" si="29"/>
        <v>0</v>
      </c>
      <c r="BA37" s="265">
        <f t="shared" ca="1" si="30"/>
        <v>0</v>
      </c>
      <c r="BB37" s="265">
        <f t="shared" ca="1" si="31"/>
        <v>0</v>
      </c>
      <c r="BC37" s="265">
        <f t="shared" ca="1" si="32"/>
        <v>0</v>
      </c>
      <c r="BD37" s="265">
        <f t="shared" ca="1" si="33"/>
        <v>0</v>
      </c>
      <c r="BE37" s="265">
        <f t="shared" ca="1" si="34"/>
        <v>0</v>
      </c>
      <c r="BF37" s="265">
        <f t="shared" ca="1" si="35"/>
        <v>0</v>
      </c>
      <c r="BG37" s="265">
        <f t="shared" ca="1" si="36"/>
        <v>0</v>
      </c>
      <c r="BH37" s="265">
        <f t="shared" ca="1" si="75"/>
        <v>0</v>
      </c>
      <c r="BI37" s="265">
        <f t="shared" ca="1" si="76"/>
        <v>0</v>
      </c>
      <c r="BJ37" s="265">
        <f t="shared" ca="1" si="37"/>
        <v>0</v>
      </c>
      <c r="BK37" s="265">
        <f t="shared" ca="1" si="38"/>
        <v>0</v>
      </c>
      <c r="BL37" s="265">
        <f t="shared" ca="1" si="39"/>
        <v>0</v>
      </c>
      <c r="BM37" s="265">
        <f t="shared" ca="1" si="40"/>
        <v>0</v>
      </c>
      <c r="BN37" s="265">
        <f t="shared" ca="1" si="41"/>
        <v>0</v>
      </c>
      <c r="BO37" s="265">
        <f t="shared" ca="1" si="42"/>
        <v>0</v>
      </c>
      <c r="BP37" s="265">
        <f t="shared" ca="1" si="77"/>
        <v>0</v>
      </c>
      <c r="BQ37" s="265">
        <f t="shared" ca="1" si="78"/>
        <v>0</v>
      </c>
      <c r="BR37" s="265">
        <f t="shared" ca="1" si="43"/>
        <v>0</v>
      </c>
      <c r="BS37" s="265">
        <f t="shared" ca="1" si="44"/>
        <v>0</v>
      </c>
      <c r="BT37" s="265">
        <f t="shared" ca="1" si="79"/>
        <v>0</v>
      </c>
      <c r="BU37" s="265">
        <f t="shared" ca="1" si="80"/>
        <v>0</v>
      </c>
      <c r="BV37" s="265">
        <f t="shared" ca="1" si="81"/>
        <v>0</v>
      </c>
      <c r="BW37" s="265">
        <f t="shared" ca="1" si="82"/>
        <v>0</v>
      </c>
      <c r="BX37" s="265">
        <f t="shared" ca="1" si="45"/>
        <v>0</v>
      </c>
      <c r="BY37" s="265">
        <f t="shared" ca="1" si="46"/>
        <v>0</v>
      </c>
      <c r="BZ37" s="265">
        <f t="shared" ca="1" si="47"/>
        <v>0</v>
      </c>
      <c r="CA37" s="265">
        <f t="shared" ca="1" si="48"/>
        <v>0</v>
      </c>
      <c r="CB37" s="265">
        <f t="shared" ca="1" si="49"/>
        <v>0</v>
      </c>
      <c r="CC37" s="265">
        <f t="shared" ca="1" si="50"/>
        <v>0</v>
      </c>
      <c r="CD37" s="265">
        <f t="shared" ca="1" si="83"/>
        <v>0</v>
      </c>
      <c r="CE37" s="265">
        <f t="shared" ca="1" si="84"/>
        <v>0</v>
      </c>
      <c r="CF37" s="265">
        <f t="shared" ca="1" si="85"/>
        <v>0</v>
      </c>
      <c r="CG37" s="265">
        <f t="shared" ca="1" si="86"/>
        <v>0</v>
      </c>
      <c r="CH37" s="265">
        <f t="shared" ca="1" si="51"/>
        <v>0</v>
      </c>
      <c r="CI37" s="265">
        <f t="shared" ca="1" si="52"/>
        <v>0</v>
      </c>
      <c r="CJ37" s="265">
        <f t="shared" ca="1" si="87"/>
        <v>0</v>
      </c>
      <c r="CK37" s="265">
        <f t="shared" ca="1" si="88"/>
        <v>0</v>
      </c>
      <c r="CL37" s="265">
        <f t="shared" ca="1" si="53"/>
        <v>0</v>
      </c>
      <c r="CM37" s="265">
        <f t="shared" ca="1" si="54"/>
        <v>0</v>
      </c>
      <c r="CN37" s="265">
        <f t="shared" ca="1" si="55"/>
        <v>0</v>
      </c>
      <c r="CO37" s="265">
        <f t="shared" ca="1" si="56"/>
        <v>0</v>
      </c>
      <c r="CP37" s="265">
        <f t="shared" ca="1" si="89"/>
        <v>0</v>
      </c>
      <c r="CQ37" s="265">
        <f t="shared" ca="1" si="90"/>
        <v>0</v>
      </c>
      <c r="CR37" s="265">
        <f t="shared" ca="1" si="91"/>
        <v>0</v>
      </c>
      <c r="CS37" s="265">
        <f t="shared" ca="1" si="92"/>
        <v>0</v>
      </c>
      <c r="CT37" s="265">
        <f t="shared" ca="1" si="57"/>
        <v>0</v>
      </c>
      <c r="CU37" s="265">
        <f t="shared" ca="1" si="58"/>
        <v>0</v>
      </c>
      <c r="CV37" s="265">
        <f t="shared" ca="1" si="59"/>
        <v>0</v>
      </c>
      <c r="CW37" s="265">
        <f t="shared" ca="1" si="60"/>
        <v>0</v>
      </c>
      <c r="CX37" s="265">
        <f t="shared" ca="1" si="93"/>
        <v>0</v>
      </c>
      <c r="CY37" s="265">
        <f t="shared" ca="1" si="94"/>
        <v>0</v>
      </c>
      <c r="CZ37" s="265">
        <f t="shared" ca="1" si="95"/>
        <v>0</v>
      </c>
      <c r="DA37" s="265">
        <f t="shared" ca="1" si="96"/>
        <v>0</v>
      </c>
    </row>
    <row r="38" spans="1:105" s="262" customFormat="1" ht="15" customHeight="1">
      <c r="A38" s="63">
        <f t="array" aca="1" ref="A38" ca="1">IF(C38&lt;&gt;0,SUM(($C$11:C38&lt;&gt;0)*1),"")</f>
        <v>28</v>
      </c>
      <c r="B38" s="263" t="str">
        <f ca="1">IF(ROWS($1:28)&gt;COUNT(Dong6),"",OFFSET(TH!C$1,SMALL(Dong6,ROWS($1:28)),))</f>
        <v/>
      </c>
      <c r="C38" s="263" t="str">
        <f ca="1">IF(ROWS($1:28)&gt;COUNT(Dong6),"",OFFSET(TH!D$1,SMALL(Dong6,ROWS($1:28)),))</f>
        <v/>
      </c>
      <c r="D38" s="263" t="str">
        <f ca="1">IF(ROWS($1:28)&gt;COUNT(Dong6),"",OFFSET(TH!E$1,SMALL(Dong6,ROWS($1:28)),))</f>
        <v/>
      </c>
      <c r="E38" s="313" t="str">
        <f ca="1">IF(ROWS($1:28)&gt;COUNT(Dong6),"",OFFSET(TH!F$1,SMALL(Dong6,ROWS($1:28)),))</f>
        <v/>
      </c>
      <c r="F38" s="314" t="str">
        <f ca="1">IF(ROWS($1:28)&gt;COUNT(Dong6),"",OFFSET(TH!M$1,SMALL(Dong6,ROWS($1:28)),))</f>
        <v/>
      </c>
      <c r="G38" s="315" t="str">
        <f ca="1">IF(ROWS($1:28)&gt;COUNT(Dong6),"",OFFSET(TH!N$1,SMALL(Dong6,ROWS($1:28)),))</f>
        <v/>
      </c>
      <c r="H38" s="315" t="str">
        <f ca="1">IF(ROWS($1:28)&gt;COUNT(Dong6),"",OFFSET(TH!O$1,SMALL(Dong6,ROWS($1:28)),))</f>
        <v/>
      </c>
      <c r="I38" s="63">
        <f ca="1">A38</f>
        <v>28</v>
      </c>
      <c r="J38" s="265">
        <f t="shared" ca="1" si="61"/>
        <v>0</v>
      </c>
      <c r="K38" s="265">
        <f t="shared" ca="1" si="62"/>
        <v>0</v>
      </c>
      <c r="L38" s="265">
        <f t="shared" ca="1" si="1"/>
        <v>0</v>
      </c>
      <c r="M38" s="265">
        <f t="shared" ca="1" si="2"/>
        <v>0</v>
      </c>
      <c r="N38" s="265">
        <f t="shared" ca="1" si="3"/>
        <v>0</v>
      </c>
      <c r="O38" s="265">
        <f t="shared" ca="1" si="4"/>
        <v>0</v>
      </c>
      <c r="P38" s="265">
        <f t="shared" ca="1" si="5"/>
        <v>0</v>
      </c>
      <c r="Q38" s="265">
        <f t="shared" ca="1" si="6"/>
        <v>0</v>
      </c>
      <c r="R38" s="265">
        <f t="shared" ca="1" si="7"/>
        <v>0</v>
      </c>
      <c r="S38" s="265">
        <f t="shared" ca="1" si="8"/>
        <v>0</v>
      </c>
      <c r="T38" s="265">
        <f t="shared" ca="1" si="9"/>
        <v>0</v>
      </c>
      <c r="U38" s="265">
        <f t="shared" ca="1" si="10"/>
        <v>0</v>
      </c>
      <c r="V38" s="265">
        <f t="shared" ca="1" si="11"/>
        <v>0</v>
      </c>
      <c r="W38" s="265">
        <f t="shared" ca="1" si="12"/>
        <v>0</v>
      </c>
      <c r="X38" s="265">
        <f t="shared" ca="1" si="13"/>
        <v>0</v>
      </c>
      <c r="Y38" s="265">
        <f t="shared" ca="1" si="14"/>
        <v>0</v>
      </c>
      <c r="Z38" s="265">
        <f t="shared" ca="1" si="15"/>
        <v>0</v>
      </c>
      <c r="AA38" s="265">
        <f t="shared" ca="1" si="16"/>
        <v>0</v>
      </c>
      <c r="AB38" s="265">
        <f t="shared" ca="1" si="63"/>
        <v>0</v>
      </c>
      <c r="AC38" s="265">
        <f t="shared" ca="1" si="64"/>
        <v>0</v>
      </c>
      <c r="AD38" s="265">
        <f t="shared" ca="1" si="17"/>
        <v>0</v>
      </c>
      <c r="AE38" s="265">
        <f t="shared" ca="1" si="18"/>
        <v>0</v>
      </c>
      <c r="AF38" s="265">
        <f t="shared" ca="1" si="19"/>
        <v>0</v>
      </c>
      <c r="AG38" s="265">
        <f t="shared" ca="1" si="20"/>
        <v>0</v>
      </c>
      <c r="AH38" s="265">
        <f t="shared" ca="1" si="65"/>
        <v>0</v>
      </c>
      <c r="AI38" s="265">
        <f t="shared" ca="1" si="66"/>
        <v>0</v>
      </c>
      <c r="AJ38" s="265">
        <f t="shared" ca="1" si="67"/>
        <v>0</v>
      </c>
      <c r="AK38" s="265">
        <f t="shared" ca="1" si="68"/>
        <v>0</v>
      </c>
      <c r="AL38" s="265">
        <f t="shared" ca="1" si="69"/>
        <v>0</v>
      </c>
      <c r="AM38" s="265">
        <f t="shared" ca="1" si="70"/>
        <v>0</v>
      </c>
      <c r="AN38" s="265">
        <f t="shared" ca="1" si="71"/>
        <v>0</v>
      </c>
      <c r="AO38" s="265">
        <f t="shared" ca="1" si="72"/>
        <v>0</v>
      </c>
      <c r="AP38" s="265">
        <f t="shared" ca="1" si="21"/>
        <v>0</v>
      </c>
      <c r="AQ38" s="265">
        <f t="shared" ca="1" si="22"/>
        <v>0</v>
      </c>
      <c r="AR38" s="265">
        <f t="shared" ca="1" si="23"/>
        <v>0</v>
      </c>
      <c r="AS38" s="265">
        <f t="shared" ca="1" si="24"/>
        <v>0</v>
      </c>
      <c r="AT38" s="265">
        <f t="shared" ca="1" si="73"/>
        <v>0</v>
      </c>
      <c r="AU38" s="265">
        <f t="shared" ca="1" si="74"/>
        <v>0</v>
      </c>
      <c r="AV38" s="265">
        <f t="shared" ca="1" si="25"/>
        <v>0</v>
      </c>
      <c r="AW38" s="265">
        <f t="shared" ca="1" si="26"/>
        <v>0</v>
      </c>
      <c r="AX38" s="265">
        <f t="shared" ca="1" si="27"/>
        <v>0</v>
      </c>
      <c r="AY38" s="265">
        <f t="shared" ca="1" si="28"/>
        <v>0</v>
      </c>
      <c r="AZ38" s="265">
        <f t="shared" ca="1" si="29"/>
        <v>0</v>
      </c>
      <c r="BA38" s="265">
        <f t="shared" ca="1" si="30"/>
        <v>0</v>
      </c>
      <c r="BB38" s="265">
        <f t="shared" ca="1" si="31"/>
        <v>0</v>
      </c>
      <c r="BC38" s="265">
        <f t="shared" ca="1" si="32"/>
        <v>0</v>
      </c>
      <c r="BD38" s="265">
        <f t="shared" ca="1" si="33"/>
        <v>0</v>
      </c>
      <c r="BE38" s="265">
        <f t="shared" ca="1" si="34"/>
        <v>0</v>
      </c>
      <c r="BF38" s="265">
        <f t="shared" ca="1" si="35"/>
        <v>0</v>
      </c>
      <c r="BG38" s="265">
        <f t="shared" ca="1" si="36"/>
        <v>0</v>
      </c>
      <c r="BH38" s="265">
        <f t="shared" ca="1" si="75"/>
        <v>0</v>
      </c>
      <c r="BI38" s="265">
        <f t="shared" ca="1" si="76"/>
        <v>0</v>
      </c>
      <c r="BJ38" s="265">
        <f t="shared" ca="1" si="37"/>
        <v>0</v>
      </c>
      <c r="BK38" s="265">
        <f t="shared" ca="1" si="38"/>
        <v>0</v>
      </c>
      <c r="BL38" s="265">
        <f t="shared" ca="1" si="39"/>
        <v>0</v>
      </c>
      <c r="BM38" s="265">
        <f t="shared" ca="1" si="40"/>
        <v>0</v>
      </c>
      <c r="BN38" s="265">
        <f t="shared" ca="1" si="41"/>
        <v>0</v>
      </c>
      <c r="BO38" s="265">
        <f t="shared" ca="1" si="42"/>
        <v>0</v>
      </c>
      <c r="BP38" s="265">
        <f t="shared" ca="1" si="77"/>
        <v>0</v>
      </c>
      <c r="BQ38" s="265">
        <f t="shared" ca="1" si="78"/>
        <v>0</v>
      </c>
      <c r="BR38" s="265">
        <f t="shared" ca="1" si="43"/>
        <v>0</v>
      </c>
      <c r="BS38" s="265">
        <f t="shared" ca="1" si="44"/>
        <v>0</v>
      </c>
      <c r="BT38" s="265">
        <f t="shared" ca="1" si="79"/>
        <v>0</v>
      </c>
      <c r="BU38" s="265">
        <f t="shared" ca="1" si="80"/>
        <v>0</v>
      </c>
      <c r="BV38" s="265">
        <f t="shared" ca="1" si="81"/>
        <v>0</v>
      </c>
      <c r="BW38" s="265">
        <f t="shared" ca="1" si="82"/>
        <v>0</v>
      </c>
      <c r="BX38" s="265">
        <f t="shared" ca="1" si="45"/>
        <v>0</v>
      </c>
      <c r="BY38" s="265">
        <f t="shared" ca="1" si="46"/>
        <v>0</v>
      </c>
      <c r="BZ38" s="265">
        <f t="shared" ca="1" si="47"/>
        <v>0</v>
      </c>
      <c r="CA38" s="265">
        <f t="shared" ca="1" si="48"/>
        <v>0</v>
      </c>
      <c r="CB38" s="265">
        <f t="shared" ca="1" si="49"/>
        <v>0</v>
      </c>
      <c r="CC38" s="265">
        <f t="shared" ca="1" si="50"/>
        <v>0</v>
      </c>
      <c r="CD38" s="265">
        <f t="shared" ca="1" si="83"/>
        <v>0</v>
      </c>
      <c r="CE38" s="265">
        <f t="shared" ca="1" si="84"/>
        <v>0</v>
      </c>
      <c r="CF38" s="265">
        <f t="shared" ca="1" si="85"/>
        <v>0</v>
      </c>
      <c r="CG38" s="265">
        <f t="shared" ca="1" si="86"/>
        <v>0</v>
      </c>
      <c r="CH38" s="265">
        <f t="shared" ca="1" si="51"/>
        <v>0</v>
      </c>
      <c r="CI38" s="265">
        <f t="shared" ca="1" si="52"/>
        <v>0</v>
      </c>
      <c r="CJ38" s="265">
        <f t="shared" ca="1" si="87"/>
        <v>0</v>
      </c>
      <c r="CK38" s="265">
        <f t="shared" ca="1" si="88"/>
        <v>0</v>
      </c>
      <c r="CL38" s="265">
        <f t="shared" ca="1" si="53"/>
        <v>0</v>
      </c>
      <c r="CM38" s="265">
        <f t="shared" ca="1" si="54"/>
        <v>0</v>
      </c>
      <c r="CN38" s="265">
        <f t="shared" ca="1" si="55"/>
        <v>0</v>
      </c>
      <c r="CO38" s="265">
        <f t="shared" ca="1" si="56"/>
        <v>0</v>
      </c>
      <c r="CP38" s="265">
        <f t="shared" ca="1" si="89"/>
        <v>0</v>
      </c>
      <c r="CQ38" s="265">
        <f t="shared" ca="1" si="90"/>
        <v>0</v>
      </c>
      <c r="CR38" s="265">
        <f t="shared" ca="1" si="91"/>
        <v>0</v>
      </c>
      <c r="CS38" s="265">
        <f t="shared" ca="1" si="92"/>
        <v>0</v>
      </c>
      <c r="CT38" s="265">
        <f t="shared" ca="1" si="57"/>
        <v>0</v>
      </c>
      <c r="CU38" s="265">
        <f t="shared" ca="1" si="58"/>
        <v>0</v>
      </c>
      <c r="CV38" s="265">
        <f t="shared" ca="1" si="59"/>
        <v>0</v>
      </c>
      <c r="CW38" s="265">
        <f t="shared" ca="1" si="60"/>
        <v>0</v>
      </c>
      <c r="CX38" s="265">
        <f t="shared" ca="1" si="93"/>
        <v>0</v>
      </c>
      <c r="CY38" s="265">
        <f t="shared" ca="1" si="94"/>
        <v>0</v>
      </c>
      <c r="CZ38" s="265">
        <f t="shared" ca="1" si="95"/>
        <v>0</v>
      </c>
      <c r="DA38" s="265">
        <f t="shared" ca="1" si="96"/>
        <v>0</v>
      </c>
    </row>
    <row r="39" spans="1:105" s="262" customFormat="1" ht="15" customHeight="1">
      <c r="A39" s="63">
        <f t="array" aca="1" ref="A39" ca="1">IF(C39&lt;&gt;0,SUM(($C$11:C39&lt;&gt;0)*1),"")</f>
        <v>29</v>
      </c>
      <c r="B39" s="263">
        <v>42460</v>
      </c>
      <c r="C39" s="266" t="s">
        <v>113</v>
      </c>
      <c r="D39" s="266">
        <f t="shared" ref="D39:D44" si="97">B39</f>
        <v>42460</v>
      </c>
      <c r="E39" s="919" t="s">
        <v>207</v>
      </c>
      <c r="F39" s="920">
        <f>[2]CDPS!D59</f>
        <v>107861885.00000048</v>
      </c>
      <c r="G39" s="921" t="s">
        <v>92</v>
      </c>
      <c r="H39" s="921" t="s">
        <v>90</v>
      </c>
      <c r="I39" s="63">
        <f t="shared" ref="I39:I50" ca="1" si="98">A39</f>
        <v>29</v>
      </c>
      <c r="J39" s="265">
        <f t="shared" si="61"/>
        <v>0</v>
      </c>
      <c r="K39" s="265">
        <f t="shared" si="62"/>
        <v>0</v>
      </c>
      <c r="L39" s="265">
        <f t="shared" si="1"/>
        <v>0</v>
      </c>
      <c r="M39" s="265">
        <f t="shared" si="2"/>
        <v>0</v>
      </c>
      <c r="N39" s="265">
        <f t="shared" si="3"/>
        <v>0</v>
      </c>
      <c r="O39" s="265">
        <f t="shared" si="4"/>
        <v>0</v>
      </c>
      <c r="P39" s="265">
        <f t="shared" si="5"/>
        <v>0</v>
      </c>
      <c r="Q39" s="265">
        <f t="shared" si="6"/>
        <v>0</v>
      </c>
      <c r="R39" s="265">
        <f t="shared" si="7"/>
        <v>0</v>
      </c>
      <c r="S39" s="265">
        <f t="shared" si="8"/>
        <v>0</v>
      </c>
      <c r="T39" s="265">
        <f t="shared" si="9"/>
        <v>0</v>
      </c>
      <c r="U39" s="265">
        <f t="shared" si="10"/>
        <v>0</v>
      </c>
      <c r="V39" s="265">
        <f t="shared" si="11"/>
        <v>0</v>
      </c>
      <c r="W39" s="265">
        <f t="shared" si="12"/>
        <v>0</v>
      </c>
      <c r="X39" s="265">
        <f t="shared" si="13"/>
        <v>0</v>
      </c>
      <c r="Y39" s="265">
        <f t="shared" si="14"/>
        <v>0</v>
      </c>
      <c r="Z39" s="265">
        <f t="shared" si="15"/>
        <v>0</v>
      </c>
      <c r="AA39" s="265">
        <f t="shared" si="16"/>
        <v>0</v>
      </c>
      <c r="AB39" s="265">
        <f t="shared" si="63"/>
        <v>0</v>
      </c>
      <c r="AC39" s="265">
        <f t="shared" si="64"/>
        <v>0</v>
      </c>
      <c r="AD39" s="265">
        <f t="shared" si="17"/>
        <v>0</v>
      </c>
      <c r="AE39" s="265">
        <f t="shared" si="18"/>
        <v>0</v>
      </c>
      <c r="AF39" s="265">
        <f t="shared" si="19"/>
        <v>0</v>
      </c>
      <c r="AG39" s="265">
        <f t="shared" si="20"/>
        <v>0</v>
      </c>
      <c r="AH39" s="265">
        <f t="shared" si="65"/>
        <v>0</v>
      </c>
      <c r="AI39" s="265">
        <f t="shared" si="66"/>
        <v>0</v>
      </c>
      <c r="AJ39" s="265">
        <f t="shared" si="67"/>
        <v>0</v>
      </c>
      <c r="AK39" s="265">
        <f t="shared" si="68"/>
        <v>0</v>
      </c>
      <c r="AL39" s="265">
        <f t="shared" si="69"/>
        <v>0</v>
      </c>
      <c r="AM39" s="265">
        <f t="shared" si="70"/>
        <v>0</v>
      </c>
      <c r="AN39" s="265">
        <f t="shared" si="71"/>
        <v>0</v>
      </c>
      <c r="AO39" s="265">
        <f t="shared" si="72"/>
        <v>0</v>
      </c>
      <c r="AP39" s="265">
        <f t="shared" si="21"/>
        <v>0</v>
      </c>
      <c r="AQ39" s="265">
        <f t="shared" si="22"/>
        <v>0</v>
      </c>
      <c r="AR39" s="265">
        <f t="shared" si="23"/>
        <v>0</v>
      </c>
      <c r="AS39" s="265">
        <f t="shared" si="24"/>
        <v>0</v>
      </c>
      <c r="AT39" s="265">
        <f t="shared" ref="AT39:AT51" si="99">IF($G39="2412",$F39,0)</f>
        <v>0</v>
      </c>
      <c r="AU39" s="265">
        <f t="shared" ref="AU39:AU51" si="100">IF($H39="2412",$F39,0)</f>
        <v>0</v>
      </c>
      <c r="AV39" s="265">
        <f t="shared" si="25"/>
        <v>0</v>
      </c>
      <c r="AW39" s="265">
        <f t="shared" si="26"/>
        <v>0</v>
      </c>
      <c r="AX39" s="265">
        <f t="shared" si="27"/>
        <v>0</v>
      </c>
      <c r="AY39" s="265">
        <f t="shared" si="28"/>
        <v>0</v>
      </c>
      <c r="AZ39" s="265">
        <f t="shared" si="29"/>
        <v>0</v>
      </c>
      <c r="BA39" s="265">
        <f t="shared" si="30"/>
        <v>0</v>
      </c>
      <c r="BB39" s="265">
        <f t="shared" si="31"/>
        <v>0</v>
      </c>
      <c r="BC39" s="265">
        <f t="shared" si="32"/>
        <v>0</v>
      </c>
      <c r="BD39" s="265">
        <f t="shared" si="33"/>
        <v>0</v>
      </c>
      <c r="BE39" s="265">
        <f t="shared" si="34"/>
        <v>0</v>
      </c>
      <c r="BF39" s="265">
        <f t="shared" si="35"/>
        <v>0</v>
      </c>
      <c r="BG39" s="265">
        <f t="shared" si="36"/>
        <v>0</v>
      </c>
      <c r="BH39" s="265">
        <f t="shared" si="75"/>
        <v>0</v>
      </c>
      <c r="BI39" s="265">
        <f t="shared" si="76"/>
        <v>0</v>
      </c>
      <c r="BJ39" s="265">
        <f t="shared" si="37"/>
        <v>0</v>
      </c>
      <c r="BK39" s="265">
        <f t="shared" si="38"/>
        <v>0</v>
      </c>
      <c r="BL39" s="265">
        <f t="shared" si="39"/>
        <v>0</v>
      </c>
      <c r="BM39" s="265">
        <f t="shared" si="40"/>
        <v>0</v>
      </c>
      <c r="BN39" s="265">
        <f t="shared" si="41"/>
        <v>0</v>
      </c>
      <c r="BO39" s="265">
        <f t="shared" si="42"/>
        <v>0</v>
      </c>
      <c r="BP39" s="265">
        <f t="shared" si="77"/>
        <v>0</v>
      </c>
      <c r="BQ39" s="265">
        <f t="shared" si="78"/>
        <v>0</v>
      </c>
      <c r="BR39" s="265">
        <f t="shared" si="43"/>
        <v>0</v>
      </c>
      <c r="BS39" s="265">
        <f t="shared" si="44"/>
        <v>0</v>
      </c>
      <c r="BT39" s="265">
        <f t="shared" si="79"/>
        <v>0</v>
      </c>
      <c r="BU39" s="265">
        <f t="shared" si="80"/>
        <v>0</v>
      </c>
      <c r="BV39" s="265">
        <f t="shared" ref="BV39:BV51" si="101">IF($G39="3412",$F39,0)</f>
        <v>0</v>
      </c>
      <c r="BW39" s="265">
        <f t="shared" ref="BW39:BW51" si="102">IF($H39="3412",$F39,0)</f>
        <v>0</v>
      </c>
      <c r="BX39" s="265">
        <f t="shared" si="45"/>
        <v>0</v>
      </c>
      <c r="BY39" s="265">
        <f t="shared" si="46"/>
        <v>0</v>
      </c>
      <c r="BZ39" s="265">
        <f t="shared" si="47"/>
        <v>0</v>
      </c>
      <c r="CA39" s="265">
        <f t="shared" si="48"/>
        <v>107861885.00000048</v>
      </c>
      <c r="CB39" s="265">
        <f t="shared" si="49"/>
        <v>107861885.00000048</v>
      </c>
      <c r="CC39" s="265">
        <f t="shared" si="50"/>
        <v>0</v>
      </c>
      <c r="CD39" s="265">
        <f t="shared" si="83"/>
        <v>0</v>
      </c>
      <c r="CE39" s="265">
        <f t="shared" si="84"/>
        <v>0</v>
      </c>
      <c r="CF39" s="265">
        <f t="shared" si="85"/>
        <v>0</v>
      </c>
      <c r="CG39" s="265">
        <f t="shared" si="86"/>
        <v>0</v>
      </c>
      <c r="CH39" s="265">
        <f t="shared" si="51"/>
        <v>0</v>
      </c>
      <c r="CI39" s="265">
        <f t="shared" si="52"/>
        <v>0</v>
      </c>
      <c r="CJ39" s="265">
        <f t="shared" si="87"/>
        <v>0</v>
      </c>
      <c r="CK39" s="265">
        <f t="shared" si="88"/>
        <v>0</v>
      </c>
      <c r="CL39" s="265">
        <f t="shared" si="53"/>
        <v>0</v>
      </c>
      <c r="CM39" s="265">
        <f t="shared" si="54"/>
        <v>0</v>
      </c>
      <c r="CN39" s="265">
        <f t="shared" si="55"/>
        <v>0</v>
      </c>
      <c r="CO39" s="265">
        <f t="shared" si="56"/>
        <v>0</v>
      </c>
      <c r="CP39" s="265">
        <f t="shared" si="89"/>
        <v>0</v>
      </c>
      <c r="CQ39" s="265">
        <f t="shared" si="90"/>
        <v>0</v>
      </c>
      <c r="CR39" s="265">
        <f t="shared" si="91"/>
        <v>0</v>
      </c>
      <c r="CS39" s="265">
        <f t="shared" si="92"/>
        <v>0</v>
      </c>
      <c r="CT39" s="265">
        <f t="shared" si="57"/>
        <v>0</v>
      </c>
      <c r="CU39" s="265">
        <f t="shared" si="58"/>
        <v>0</v>
      </c>
      <c r="CV39" s="265">
        <f t="shared" si="59"/>
        <v>0</v>
      </c>
      <c r="CW39" s="265">
        <f t="shared" si="60"/>
        <v>0</v>
      </c>
      <c r="CX39" s="265">
        <f t="shared" si="93"/>
        <v>0</v>
      </c>
      <c r="CY39" s="265">
        <f t="shared" si="94"/>
        <v>0</v>
      </c>
      <c r="CZ39" s="265">
        <f t="shared" si="95"/>
        <v>0</v>
      </c>
      <c r="DA39" s="265">
        <f t="shared" si="96"/>
        <v>0</v>
      </c>
    </row>
    <row r="40" spans="1:105" s="262" customFormat="1" ht="15" customHeight="1">
      <c r="A40" s="63">
        <f t="array" aca="1" ref="A40" ca="1">IF(C40&lt;&gt;0,SUM(($C$11:C40&lt;&gt;0)*1),"")</f>
        <v>30</v>
      </c>
      <c r="B40" s="263">
        <v>42460</v>
      </c>
      <c r="C40" s="266" t="s">
        <v>113</v>
      </c>
      <c r="D40" s="266">
        <f t="shared" si="97"/>
        <v>42460</v>
      </c>
      <c r="E40" s="919" t="s">
        <v>910</v>
      </c>
      <c r="F40" s="920">
        <f ca="1">AY52</f>
        <v>0</v>
      </c>
      <c r="G40" s="921" t="s">
        <v>915</v>
      </c>
      <c r="H40" s="921" t="s">
        <v>9</v>
      </c>
      <c r="I40" s="63">
        <f t="shared" ca="1" si="98"/>
        <v>30</v>
      </c>
      <c r="J40" s="265">
        <f t="shared" si="61"/>
        <v>0</v>
      </c>
      <c r="K40" s="265">
        <f t="shared" si="62"/>
        <v>0</v>
      </c>
      <c r="L40" s="265">
        <f t="shared" si="1"/>
        <v>0</v>
      </c>
      <c r="M40" s="265">
        <f t="shared" si="2"/>
        <v>0</v>
      </c>
      <c r="N40" s="265">
        <f t="shared" si="3"/>
        <v>0</v>
      </c>
      <c r="O40" s="265">
        <f t="shared" si="4"/>
        <v>0</v>
      </c>
      <c r="P40" s="265">
        <f t="shared" si="5"/>
        <v>0</v>
      </c>
      <c r="Q40" s="265">
        <f t="shared" si="6"/>
        <v>0</v>
      </c>
      <c r="R40" s="265">
        <f t="shared" si="7"/>
        <v>0</v>
      </c>
      <c r="S40" s="265">
        <f t="shared" ca="1" si="8"/>
        <v>0</v>
      </c>
      <c r="T40" s="265">
        <f t="shared" si="9"/>
        <v>0</v>
      </c>
      <c r="U40" s="265">
        <f t="shared" si="10"/>
        <v>0</v>
      </c>
      <c r="V40" s="265">
        <f t="shared" si="11"/>
        <v>0</v>
      </c>
      <c r="W40" s="265">
        <f t="shared" si="12"/>
        <v>0</v>
      </c>
      <c r="X40" s="265">
        <f t="shared" si="13"/>
        <v>0</v>
      </c>
      <c r="Y40" s="265">
        <f t="shared" si="14"/>
        <v>0</v>
      </c>
      <c r="Z40" s="265">
        <f t="shared" si="15"/>
        <v>0</v>
      </c>
      <c r="AA40" s="265">
        <f t="shared" si="16"/>
        <v>0</v>
      </c>
      <c r="AB40" s="265">
        <f t="shared" si="63"/>
        <v>0</v>
      </c>
      <c r="AC40" s="265">
        <f t="shared" si="64"/>
        <v>0</v>
      </c>
      <c r="AD40" s="265">
        <f t="shared" si="17"/>
        <v>0</v>
      </c>
      <c r="AE40" s="265">
        <f t="shared" si="18"/>
        <v>0</v>
      </c>
      <c r="AF40" s="265">
        <f t="shared" si="19"/>
        <v>0</v>
      </c>
      <c r="AG40" s="265">
        <f t="shared" si="20"/>
        <v>0</v>
      </c>
      <c r="AH40" s="265">
        <f t="shared" si="65"/>
        <v>0</v>
      </c>
      <c r="AI40" s="265">
        <f t="shared" si="66"/>
        <v>0</v>
      </c>
      <c r="AJ40" s="265">
        <f t="shared" si="67"/>
        <v>0</v>
      </c>
      <c r="AK40" s="265">
        <f t="shared" si="68"/>
        <v>0</v>
      </c>
      <c r="AL40" s="265">
        <f t="shared" si="69"/>
        <v>0</v>
      </c>
      <c r="AM40" s="265">
        <f t="shared" si="70"/>
        <v>0</v>
      </c>
      <c r="AN40" s="265">
        <f t="shared" si="71"/>
        <v>0</v>
      </c>
      <c r="AO40" s="265">
        <f t="shared" si="72"/>
        <v>0</v>
      </c>
      <c r="AP40" s="265">
        <f t="shared" si="21"/>
        <v>0</v>
      </c>
      <c r="AQ40" s="265">
        <f t="shared" si="22"/>
        <v>0</v>
      </c>
      <c r="AR40" s="265">
        <f t="shared" si="23"/>
        <v>0</v>
      </c>
      <c r="AS40" s="265">
        <f t="shared" si="24"/>
        <v>0</v>
      </c>
      <c r="AT40" s="265">
        <f t="shared" si="99"/>
        <v>0</v>
      </c>
      <c r="AU40" s="265">
        <f t="shared" si="100"/>
        <v>0</v>
      </c>
      <c r="AV40" s="265">
        <f t="shared" si="25"/>
        <v>0</v>
      </c>
      <c r="AW40" s="265">
        <f t="shared" si="26"/>
        <v>0</v>
      </c>
      <c r="AX40" s="265">
        <f t="shared" ca="1" si="27"/>
        <v>0</v>
      </c>
      <c r="AY40" s="265">
        <f t="shared" si="28"/>
        <v>0</v>
      </c>
      <c r="AZ40" s="265">
        <f t="shared" si="29"/>
        <v>0</v>
      </c>
      <c r="BA40" s="265">
        <f t="shared" si="30"/>
        <v>0</v>
      </c>
      <c r="BB40" s="265">
        <f t="shared" si="31"/>
        <v>0</v>
      </c>
      <c r="BC40" s="265">
        <f t="shared" si="32"/>
        <v>0</v>
      </c>
      <c r="BD40" s="265">
        <f t="shared" si="33"/>
        <v>0</v>
      </c>
      <c r="BE40" s="265">
        <f t="shared" si="34"/>
        <v>0</v>
      </c>
      <c r="BF40" s="265">
        <f t="shared" si="35"/>
        <v>0</v>
      </c>
      <c r="BG40" s="265">
        <f t="shared" si="36"/>
        <v>0</v>
      </c>
      <c r="BH40" s="265">
        <f t="shared" si="75"/>
        <v>0</v>
      </c>
      <c r="BI40" s="265">
        <f t="shared" si="76"/>
        <v>0</v>
      </c>
      <c r="BJ40" s="265">
        <f t="shared" si="37"/>
        <v>0</v>
      </c>
      <c r="BK40" s="265">
        <f t="shared" si="38"/>
        <v>0</v>
      </c>
      <c r="BL40" s="265">
        <f t="shared" si="39"/>
        <v>0</v>
      </c>
      <c r="BM40" s="265">
        <f t="shared" si="40"/>
        <v>0</v>
      </c>
      <c r="BN40" s="265">
        <f t="shared" si="41"/>
        <v>0</v>
      </c>
      <c r="BO40" s="265">
        <f t="shared" si="42"/>
        <v>0</v>
      </c>
      <c r="BP40" s="265">
        <f t="shared" si="77"/>
        <v>0</v>
      </c>
      <c r="BQ40" s="265">
        <f t="shared" si="78"/>
        <v>0</v>
      </c>
      <c r="BR40" s="265">
        <f t="shared" si="43"/>
        <v>0</v>
      </c>
      <c r="BS40" s="265">
        <f t="shared" si="44"/>
        <v>0</v>
      </c>
      <c r="BT40" s="265">
        <f t="shared" si="79"/>
        <v>0</v>
      </c>
      <c r="BU40" s="265">
        <f t="shared" si="80"/>
        <v>0</v>
      </c>
      <c r="BV40" s="265">
        <f t="shared" si="101"/>
        <v>0</v>
      </c>
      <c r="BW40" s="265">
        <f t="shared" si="102"/>
        <v>0</v>
      </c>
      <c r="BX40" s="265">
        <f t="shared" si="45"/>
        <v>0</v>
      </c>
      <c r="BY40" s="265">
        <f t="shared" si="46"/>
        <v>0</v>
      </c>
      <c r="BZ40" s="265">
        <f t="shared" si="47"/>
        <v>0</v>
      </c>
      <c r="CA40" s="265">
        <f t="shared" si="48"/>
        <v>0</v>
      </c>
      <c r="CB40" s="265">
        <f t="shared" si="49"/>
        <v>0</v>
      </c>
      <c r="CC40" s="265">
        <f t="shared" si="50"/>
        <v>0</v>
      </c>
      <c r="CD40" s="265">
        <f t="shared" si="83"/>
        <v>0</v>
      </c>
      <c r="CE40" s="265">
        <f t="shared" si="84"/>
        <v>0</v>
      </c>
      <c r="CF40" s="265">
        <f t="shared" si="85"/>
        <v>0</v>
      </c>
      <c r="CG40" s="265">
        <f t="shared" si="86"/>
        <v>0</v>
      </c>
      <c r="CH40" s="265">
        <f t="shared" si="51"/>
        <v>0</v>
      </c>
      <c r="CI40" s="265">
        <f t="shared" si="52"/>
        <v>0</v>
      </c>
      <c r="CJ40" s="265">
        <f t="shared" si="87"/>
        <v>0</v>
      </c>
      <c r="CK40" s="265">
        <f t="shared" si="88"/>
        <v>0</v>
      </c>
      <c r="CL40" s="265">
        <f t="shared" si="53"/>
        <v>0</v>
      </c>
      <c r="CM40" s="265">
        <f t="shared" si="54"/>
        <v>0</v>
      </c>
      <c r="CN40" s="265">
        <f t="shared" si="55"/>
        <v>0</v>
      </c>
      <c r="CO40" s="265">
        <f t="shared" si="56"/>
        <v>0</v>
      </c>
      <c r="CP40" s="265">
        <f t="shared" si="89"/>
        <v>0</v>
      </c>
      <c r="CQ40" s="265">
        <f t="shared" si="90"/>
        <v>0</v>
      </c>
      <c r="CR40" s="265">
        <f t="shared" si="91"/>
        <v>0</v>
      </c>
      <c r="CS40" s="265">
        <f t="shared" si="92"/>
        <v>0</v>
      </c>
      <c r="CT40" s="265">
        <f t="shared" si="57"/>
        <v>0</v>
      </c>
      <c r="CU40" s="265">
        <f t="shared" si="58"/>
        <v>0</v>
      </c>
      <c r="CV40" s="265">
        <f t="shared" si="59"/>
        <v>0</v>
      </c>
      <c r="CW40" s="265">
        <f t="shared" si="60"/>
        <v>0</v>
      </c>
      <c r="CX40" s="265">
        <f t="shared" si="93"/>
        <v>0</v>
      </c>
      <c r="CY40" s="265">
        <f t="shared" si="94"/>
        <v>0</v>
      </c>
      <c r="CZ40" s="265">
        <f t="shared" si="95"/>
        <v>0</v>
      </c>
      <c r="DA40" s="265">
        <f t="shared" si="96"/>
        <v>0</v>
      </c>
    </row>
    <row r="41" spans="1:105" s="262" customFormat="1" ht="15" customHeight="1">
      <c r="A41" s="63">
        <f t="array" aca="1" ref="A41" ca="1">IF(C41&lt;&gt;0,SUM(($C$11:C41&lt;&gt;0)*1),"")</f>
        <v>31</v>
      </c>
      <c r="B41" s="263">
        <v>42460</v>
      </c>
      <c r="C41" s="266" t="s">
        <v>113</v>
      </c>
      <c r="D41" s="266">
        <f t="shared" si="97"/>
        <v>42460</v>
      </c>
      <c r="E41" s="919" t="s">
        <v>911</v>
      </c>
      <c r="F41" s="920">
        <f ca="1">CL52</f>
        <v>0</v>
      </c>
      <c r="G41" s="921" t="s">
        <v>107</v>
      </c>
      <c r="H41" s="921" t="s">
        <v>288</v>
      </c>
      <c r="I41" s="63">
        <f t="shared" ca="1" si="98"/>
        <v>31</v>
      </c>
      <c r="J41" s="265">
        <f t="shared" si="61"/>
        <v>0</v>
      </c>
      <c r="K41" s="265">
        <f t="shared" si="62"/>
        <v>0</v>
      </c>
      <c r="L41" s="265">
        <f t="shared" si="1"/>
        <v>0</v>
      </c>
      <c r="M41" s="265">
        <f t="shared" si="2"/>
        <v>0</v>
      </c>
      <c r="N41" s="265">
        <f t="shared" si="3"/>
        <v>0</v>
      </c>
      <c r="O41" s="265">
        <f t="shared" si="4"/>
        <v>0</v>
      </c>
      <c r="P41" s="265">
        <f t="shared" si="5"/>
        <v>0</v>
      </c>
      <c r="Q41" s="265">
        <f t="shared" si="6"/>
        <v>0</v>
      </c>
      <c r="R41" s="265">
        <f t="shared" si="7"/>
        <v>0</v>
      </c>
      <c r="S41" s="265">
        <f t="shared" si="8"/>
        <v>0</v>
      </c>
      <c r="T41" s="265">
        <f t="shared" si="9"/>
        <v>0</v>
      </c>
      <c r="U41" s="265">
        <f t="shared" si="10"/>
        <v>0</v>
      </c>
      <c r="V41" s="265">
        <f t="shared" si="11"/>
        <v>0</v>
      </c>
      <c r="W41" s="265">
        <f t="shared" si="12"/>
        <v>0</v>
      </c>
      <c r="X41" s="265">
        <f t="shared" si="13"/>
        <v>0</v>
      </c>
      <c r="Y41" s="265">
        <f t="shared" si="14"/>
        <v>0</v>
      </c>
      <c r="Z41" s="265">
        <f t="shared" si="15"/>
        <v>0</v>
      </c>
      <c r="AA41" s="265">
        <f t="shared" si="16"/>
        <v>0</v>
      </c>
      <c r="AB41" s="265">
        <f t="shared" si="63"/>
        <v>0</v>
      </c>
      <c r="AC41" s="265">
        <f t="shared" si="64"/>
        <v>0</v>
      </c>
      <c r="AD41" s="265">
        <f t="shared" si="17"/>
        <v>0</v>
      </c>
      <c r="AE41" s="265">
        <f t="shared" si="18"/>
        <v>0</v>
      </c>
      <c r="AF41" s="265">
        <f t="shared" si="19"/>
        <v>0</v>
      </c>
      <c r="AG41" s="265">
        <f t="shared" si="20"/>
        <v>0</v>
      </c>
      <c r="AH41" s="265">
        <f t="shared" si="65"/>
        <v>0</v>
      </c>
      <c r="AI41" s="265">
        <f t="shared" si="66"/>
        <v>0</v>
      </c>
      <c r="AJ41" s="265">
        <f t="shared" si="67"/>
        <v>0</v>
      </c>
      <c r="AK41" s="265">
        <f t="shared" si="68"/>
        <v>0</v>
      </c>
      <c r="AL41" s="265">
        <f t="shared" si="69"/>
        <v>0</v>
      </c>
      <c r="AM41" s="265">
        <f t="shared" si="70"/>
        <v>0</v>
      </c>
      <c r="AN41" s="265">
        <f t="shared" si="71"/>
        <v>0</v>
      </c>
      <c r="AO41" s="265">
        <f t="shared" si="72"/>
        <v>0</v>
      </c>
      <c r="AP41" s="265">
        <f t="shared" si="21"/>
        <v>0</v>
      </c>
      <c r="AQ41" s="265">
        <f t="shared" si="22"/>
        <v>0</v>
      </c>
      <c r="AR41" s="265">
        <f t="shared" si="23"/>
        <v>0</v>
      </c>
      <c r="AS41" s="265">
        <f t="shared" si="24"/>
        <v>0</v>
      </c>
      <c r="AT41" s="265">
        <f t="shared" si="99"/>
        <v>0</v>
      </c>
      <c r="AU41" s="265">
        <f t="shared" si="100"/>
        <v>0</v>
      </c>
      <c r="AV41" s="265">
        <f t="shared" si="25"/>
        <v>0</v>
      </c>
      <c r="AW41" s="265">
        <f t="shared" si="26"/>
        <v>0</v>
      </c>
      <c r="AX41" s="265">
        <f t="shared" si="27"/>
        <v>0</v>
      </c>
      <c r="AY41" s="265">
        <f t="shared" si="28"/>
        <v>0</v>
      </c>
      <c r="AZ41" s="265">
        <f t="shared" si="29"/>
        <v>0</v>
      </c>
      <c r="BA41" s="265">
        <f t="shared" si="30"/>
        <v>0</v>
      </c>
      <c r="BB41" s="265">
        <f t="shared" si="31"/>
        <v>0</v>
      </c>
      <c r="BC41" s="265">
        <f t="shared" si="32"/>
        <v>0</v>
      </c>
      <c r="BD41" s="265">
        <f t="shared" si="33"/>
        <v>0</v>
      </c>
      <c r="BE41" s="265">
        <f t="shared" si="34"/>
        <v>0</v>
      </c>
      <c r="BF41" s="265">
        <f t="shared" si="35"/>
        <v>0</v>
      </c>
      <c r="BG41" s="265">
        <f t="shared" si="36"/>
        <v>0</v>
      </c>
      <c r="BH41" s="265">
        <f t="shared" si="75"/>
        <v>0</v>
      </c>
      <c r="BI41" s="265">
        <f t="shared" si="76"/>
        <v>0</v>
      </c>
      <c r="BJ41" s="265">
        <f t="shared" si="37"/>
        <v>0</v>
      </c>
      <c r="BK41" s="265">
        <f t="shared" si="38"/>
        <v>0</v>
      </c>
      <c r="BL41" s="265">
        <f t="shared" si="39"/>
        <v>0</v>
      </c>
      <c r="BM41" s="265">
        <f t="shared" si="40"/>
        <v>0</v>
      </c>
      <c r="BN41" s="265">
        <f t="shared" si="41"/>
        <v>0</v>
      </c>
      <c r="BO41" s="265">
        <f t="shared" si="42"/>
        <v>0</v>
      </c>
      <c r="BP41" s="265">
        <f t="shared" si="77"/>
        <v>0</v>
      </c>
      <c r="BQ41" s="265">
        <f t="shared" si="78"/>
        <v>0</v>
      </c>
      <c r="BR41" s="265">
        <f t="shared" si="43"/>
        <v>0</v>
      </c>
      <c r="BS41" s="265">
        <f t="shared" si="44"/>
        <v>0</v>
      </c>
      <c r="BT41" s="265">
        <f t="shared" si="79"/>
        <v>0</v>
      </c>
      <c r="BU41" s="265">
        <f t="shared" si="80"/>
        <v>0</v>
      </c>
      <c r="BV41" s="265">
        <f t="shared" si="101"/>
        <v>0</v>
      </c>
      <c r="BW41" s="265">
        <f t="shared" si="102"/>
        <v>0</v>
      </c>
      <c r="BX41" s="265">
        <f t="shared" si="45"/>
        <v>0</v>
      </c>
      <c r="BY41" s="265">
        <f t="shared" si="46"/>
        <v>0</v>
      </c>
      <c r="BZ41" s="265">
        <f t="shared" si="47"/>
        <v>0</v>
      </c>
      <c r="CA41" s="265">
        <f t="shared" si="48"/>
        <v>0</v>
      </c>
      <c r="CB41" s="265">
        <f t="shared" si="49"/>
        <v>0</v>
      </c>
      <c r="CC41" s="265">
        <f t="shared" si="50"/>
        <v>0</v>
      </c>
      <c r="CD41" s="265">
        <f t="shared" si="83"/>
        <v>0</v>
      </c>
      <c r="CE41" s="265">
        <f t="shared" si="84"/>
        <v>0</v>
      </c>
      <c r="CF41" s="265">
        <f t="shared" si="85"/>
        <v>0</v>
      </c>
      <c r="CG41" s="265">
        <f t="shared" si="86"/>
        <v>0</v>
      </c>
      <c r="CH41" s="265">
        <f t="shared" si="51"/>
        <v>0</v>
      </c>
      <c r="CI41" s="265">
        <f t="shared" si="52"/>
        <v>0</v>
      </c>
      <c r="CJ41" s="265">
        <f t="shared" si="87"/>
        <v>0</v>
      </c>
      <c r="CK41" s="265">
        <f t="shared" si="88"/>
        <v>0</v>
      </c>
      <c r="CL41" s="265">
        <f t="shared" si="53"/>
        <v>0</v>
      </c>
      <c r="CM41" s="265">
        <f t="shared" ca="1" si="54"/>
        <v>0</v>
      </c>
      <c r="CN41" s="265">
        <f t="shared" si="55"/>
        <v>0</v>
      </c>
      <c r="CO41" s="265">
        <f t="shared" si="56"/>
        <v>0</v>
      </c>
      <c r="CP41" s="265">
        <f t="shared" si="89"/>
        <v>0</v>
      </c>
      <c r="CQ41" s="265">
        <f t="shared" si="90"/>
        <v>0</v>
      </c>
      <c r="CR41" s="265">
        <f t="shared" si="91"/>
        <v>0</v>
      </c>
      <c r="CS41" s="265">
        <f t="shared" si="92"/>
        <v>0</v>
      </c>
      <c r="CT41" s="265">
        <f t="shared" si="57"/>
        <v>0</v>
      </c>
      <c r="CU41" s="265">
        <f t="shared" si="58"/>
        <v>0</v>
      </c>
      <c r="CV41" s="265">
        <f t="shared" si="59"/>
        <v>0</v>
      </c>
      <c r="CW41" s="265">
        <f t="shared" si="60"/>
        <v>0</v>
      </c>
      <c r="CX41" s="265">
        <f t="shared" si="93"/>
        <v>0</v>
      </c>
      <c r="CY41" s="265">
        <f t="shared" si="94"/>
        <v>0</v>
      </c>
      <c r="CZ41" s="265">
        <f t="shared" ca="1" si="95"/>
        <v>0</v>
      </c>
      <c r="DA41" s="265">
        <f t="shared" si="96"/>
        <v>0</v>
      </c>
    </row>
    <row r="42" spans="1:105" s="262" customFormat="1" ht="15" customHeight="1">
      <c r="A42" s="63">
        <f t="array" aca="1" ref="A42" ca="1">IF(C42&lt;&gt;0,SUM(($C$11:C42&lt;&gt;0)*1),"")</f>
        <v>32</v>
      </c>
      <c r="B42" s="263">
        <v>42460</v>
      </c>
      <c r="C42" s="266" t="s">
        <v>113</v>
      </c>
      <c r="D42" s="266">
        <f t="shared" si="97"/>
        <v>42460</v>
      </c>
      <c r="E42" s="919" t="s">
        <v>114</v>
      </c>
      <c r="F42" s="920">
        <f ca="1">CN52</f>
        <v>0</v>
      </c>
      <c r="G42" s="921" t="s">
        <v>107</v>
      </c>
      <c r="H42" s="921" t="s">
        <v>97</v>
      </c>
      <c r="I42" s="63">
        <f t="shared" ca="1" si="98"/>
        <v>32</v>
      </c>
      <c r="J42" s="265">
        <f t="shared" si="61"/>
        <v>0</v>
      </c>
      <c r="K42" s="265">
        <f t="shared" si="62"/>
        <v>0</v>
      </c>
      <c r="L42" s="265">
        <f t="shared" si="1"/>
        <v>0</v>
      </c>
      <c r="M42" s="265">
        <f t="shared" si="2"/>
        <v>0</v>
      </c>
      <c r="N42" s="265">
        <f t="shared" si="3"/>
        <v>0</v>
      </c>
      <c r="O42" s="265">
        <f t="shared" si="4"/>
        <v>0</v>
      </c>
      <c r="P42" s="265">
        <f t="shared" si="5"/>
        <v>0</v>
      </c>
      <c r="Q42" s="265">
        <f t="shared" si="6"/>
        <v>0</v>
      </c>
      <c r="R42" s="265">
        <f t="shared" si="7"/>
        <v>0</v>
      </c>
      <c r="S42" s="265">
        <f t="shared" si="8"/>
        <v>0</v>
      </c>
      <c r="T42" s="265">
        <f t="shared" si="9"/>
        <v>0</v>
      </c>
      <c r="U42" s="265">
        <f t="shared" si="10"/>
        <v>0</v>
      </c>
      <c r="V42" s="265">
        <f t="shared" si="11"/>
        <v>0</v>
      </c>
      <c r="W42" s="265">
        <f t="shared" si="12"/>
        <v>0</v>
      </c>
      <c r="X42" s="265">
        <f t="shared" si="13"/>
        <v>0</v>
      </c>
      <c r="Y42" s="265">
        <f t="shared" si="14"/>
        <v>0</v>
      </c>
      <c r="Z42" s="265">
        <f t="shared" si="15"/>
        <v>0</v>
      </c>
      <c r="AA42" s="265">
        <f t="shared" si="16"/>
        <v>0</v>
      </c>
      <c r="AB42" s="265">
        <f t="shared" si="63"/>
        <v>0</v>
      </c>
      <c r="AC42" s="265">
        <f t="shared" si="64"/>
        <v>0</v>
      </c>
      <c r="AD42" s="265">
        <f t="shared" si="17"/>
        <v>0</v>
      </c>
      <c r="AE42" s="265">
        <f t="shared" si="18"/>
        <v>0</v>
      </c>
      <c r="AF42" s="265">
        <f t="shared" si="19"/>
        <v>0</v>
      </c>
      <c r="AG42" s="265">
        <f t="shared" si="20"/>
        <v>0</v>
      </c>
      <c r="AH42" s="265">
        <f t="shared" si="65"/>
        <v>0</v>
      </c>
      <c r="AI42" s="265">
        <f t="shared" si="66"/>
        <v>0</v>
      </c>
      <c r="AJ42" s="265">
        <f t="shared" si="67"/>
        <v>0</v>
      </c>
      <c r="AK42" s="265">
        <f t="shared" si="68"/>
        <v>0</v>
      </c>
      <c r="AL42" s="265">
        <f t="shared" si="69"/>
        <v>0</v>
      </c>
      <c r="AM42" s="265">
        <f t="shared" si="70"/>
        <v>0</v>
      </c>
      <c r="AN42" s="265">
        <f t="shared" si="71"/>
        <v>0</v>
      </c>
      <c r="AO42" s="265">
        <f t="shared" si="72"/>
        <v>0</v>
      </c>
      <c r="AP42" s="265">
        <f t="shared" si="21"/>
        <v>0</v>
      </c>
      <c r="AQ42" s="265">
        <f t="shared" si="22"/>
        <v>0</v>
      </c>
      <c r="AR42" s="265">
        <f t="shared" si="23"/>
        <v>0</v>
      </c>
      <c r="AS42" s="265">
        <f t="shared" si="24"/>
        <v>0</v>
      </c>
      <c r="AT42" s="265">
        <f t="shared" si="99"/>
        <v>0</v>
      </c>
      <c r="AU42" s="265">
        <f t="shared" si="100"/>
        <v>0</v>
      </c>
      <c r="AV42" s="265">
        <f t="shared" si="25"/>
        <v>0</v>
      </c>
      <c r="AW42" s="265">
        <f t="shared" si="26"/>
        <v>0</v>
      </c>
      <c r="AX42" s="265">
        <f t="shared" si="27"/>
        <v>0</v>
      </c>
      <c r="AY42" s="265">
        <f t="shared" si="28"/>
        <v>0</v>
      </c>
      <c r="AZ42" s="265">
        <f t="shared" si="29"/>
        <v>0</v>
      </c>
      <c r="BA42" s="265">
        <f t="shared" si="30"/>
        <v>0</v>
      </c>
      <c r="BB42" s="265">
        <f t="shared" si="31"/>
        <v>0</v>
      </c>
      <c r="BC42" s="265">
        <f t="shared" si="32"/>
        <v>0</v>
      </c>
      <c r="BD42" s="265">
        <f t="shared" si="33"/>
        <v>0</v>
      </c>
      <c r="BE42" s="265">
        <f t="shared" si="34"/>
        <v>0</v>
      </c>
      <c r="BF42" s="265">
        <f t="shared" si="35"/>
        <v>0</v>
      </c>
      <c r="BG42" s="265">
        <f t="shared" si="36"/>
        <v>0</v>
      </c>
      <c r="BH42" s="265">
        <f t="shared" si="75"/>
        <v>0</v>
      </c>
      <c r="BI42" s="265">
        <f t="shared" si="76"/>
        <v>0</v>
      </c>
      <c r="BJ42" s="265">
        <f t="shared" si="37"/>
        <v>0</v>
      </c>
      <c r="BK42" s="265">
        <f t="shared" si="38"/>
        <v>0</v>
      </c>
      <c r="BL42" s="265">
        <f t="shared" si="39"/>
        <v>0</v>
      </c>
      <c r="BM42" s="265">
        <f t="shared" si="40"/>
        <v>0</v>
      </c>
      <c r="BN42" s="265">
        <f t="shared" si="41"/>
        <v>0</v>
      </c>
      <c r="BO42" s="265">
        <f t="shared" si="42"/>
        <v>0</v>
      </c>
      <c r="BP42" s="265">
        <f t="shared" si="77"/>
        <v>0</v>
      </c>
      <c r="BQ42" s="265">
        <f t="shared" si="78"/>
        <v>0</v>
      </c>
      <c r="BR42" s="265">
        <f t="shared" si="43"/>
        <v>0</v>
      </c>
      <c r="BS42" s="265">
        <f t="shared" si="44"/>
        <v>0</v>
      </c>
      <c r="BT42" s="265">
        <f t="shared" si="79"/>
        <v>0</v>
      </c>
      <c r="BU42" s="265">
        <f t="shared" si="80"/>
        <v>0</v>
      </c>
      <c r="BV42" s="265">
        <f t="shared" si="101"/>
        <v>0</v>
      </c>
      <c r="BW42" s="265">
        <f t="shared" si="102"/>
        <v>0</v>
      </c>
      <c r="BX42" s="265">
        <f t="shared" si="45"/>
        <v>0</v>
      </c>
      <c r="BY42" s="265">
        <f t="shared" si="46"/>
        <v>0</v>
      </c>
      <c r="BZ42" s="265">
        <f t="shared" si="47"/>
        <v>0</v>
      </c>
      <c r="CA42" s="265">
        <f t="shared" si="48"/>
        <v>0</v>
      </c>
      <c r="CB42" s="265">
        <f t="shared" si="49"/>
        <v>0</v>
      </c>
      <c r="CC42" s="265">
        <f t="shared" si="50"/>
        <v>0</v>
      </c>
      <c r="CD42" s="265">
        <f t="shared" si="83"/>
        <v>0</v>
      </c>
      <c r="CE42" s="265">
        <f t="shared" si="84"/>
        <v>0</v>
      </c>
      <c r="CF42" s="265">
        <f t="shared" si="85"/>
        <v>0</v>
      </c>
      <c r="CG42" s="265">
        <f t="shared" si="86"/>
        <v>0</v>
      </c>
      <c r="CH42" s="265">
        <f t="shared" si="51"/>
        <v>0</v>
      </c>
      <c r="CI42" s="265">
        <f t="shared" si="52"/>
        <v>0</v>
      </c>
      <c r="CJ42" s="265">
        <f t="shared" si="87"/>
        <v>0</v>
      </c>
      <c r="CK42" s="265">
        <f t="shared" si="88"/>
        <v>0</v>
      </c>
      <c r="CL42" s="265">
        <f t="shared" si="53"/>
        <v>0</v>
      </c>
      <c r="CM42" s="265">
        <f t="shared" si="54"/>
        <v>0</v>
      </c>
      <c r="CN42" s="265">
        <f t="shared" si="55"/>
        <v>0</v>
      </c>
      <c r="CO42" s="265">
        <f t="shared" ca="1" si="56"/>
        <v>0</v>
      </c>
      <c r="CP42" s="265">
        <f t="shared" si="89"/>
        <v>0</v>
      </c>
      <c r="CQ42" s="265">
        <f t="shared" si="90"/>
        <v>0</v>
      </c>
      <c r="CR42" s="265">
        <f t="shared" si="91"/>
        <v>0</v>
      </c>
      <c r="CS42" s="265">
        <f t="shared" si="92"/>
        <v>0</v>
      </c>
      <c r="CT42" s="265">
        <f t="shared" si="57"/>
        <v>0</v>
      </c>
      <c r="CU42" s="265">
        <f t="shared" si="58"/>
        <v>0</v>
      </c>
      <c r="CV42" s="265">
        <f t="shared" si="59"/>
        <v>0</v>
      </c>
      <c r="CW42" s="265">
        <f t="shared" si="60"/>
        <v>0</v>
      </c>
      <c r="CX42" s="265">
        <f t="shared" si="93"/>
        <v>0</v>
      </c>
      <c r="CY42" s="265">
        <f t="shared" si="94"/>
        <v>0</v>
      </c>
      <c r="CZ42" s="265">
        <f t="shared" ca="1" si="95"/>
        <v>0</v>
      </c>
      <c r="DA42" s="265">
        <f t="shared" si="96"/>
        <v>0</v>
      </c>
    </row>
    <row r="43" spans="1:105" s="262" customFormat="1" ht="15" customHeight="1">
      <c r="A43" s="63">
        <f t="array" aca="1" ref="A43" ca="1">IF(C43&lt;&gt;0,SUM(($C$11:C43&lt;&gt;0)*1),"")</f>
        <v>33</v>
      </c>
      <c r="B43" s="263">
        <v>42460</v>
      </c>
      <c r="C43" s="266" t="s">
        <v>113</v>
      </c>
      <c r="D43" s="266">
        <f t="shared" si="97"/>
        <v>42460</v>
      </c>
      <c r="E43" s="919" t="s">
        <v>912</v>
      </c>
      <c r="F43" s="920">
        <f ca="1">CP52</f>
        <v>0</v>
      </c>
      <c r="G43" s="921" t="s">
        <v>107</v>
      </c>
      <c r="H43" s="921" t="s">
        <v>579</v>
      </c>
      <c r="I43" s="63">
        <f t="shared" ca="1" si="98"/>
        <v>33</v>
      </c>
      <c r="J43" s="265">
        <f t="shared" si="61"/>
        <v>0</v>
      </c>
      <c r="K43" s="265">
        <f t="shared" si="62"/>
        <v>0</v>
      </c>
      <c r="L43" s="265">
        <f t="shared" si="1"/>
        <v>0</v>
      </c>
      <c r="M43" s="265">
        <f t="shared" si="2"/>
        <v>0</v>
      </c>
      <c r="N43" s="265">
        <f t="shared" si="3"/>
        <v>0</v>
      </c>
      <c r="O43" s="265">
        <f t="shared" si="4"/>
        <v>0</v>
      </c>
      <c r="P43" s="265">
        <f t="shared" si="5"/>
        <v>0</v>
      </c>
      <c r="Q43" s="265">
        <f t="shared" si="6"/>
        <v>0</v>
      </c>
      <c r="R43" s="265">
        <f t="shared" si="7"/>
        <v>0</v>
      </c>
      <c r="S43" s="265">
        <f t="shared" si="8"/>
        <v>0</v>
      </c>
      <c r="T43" s="265">
        <f t="shared" si="9"/>
        <v>0</v>
      </c>
      <c r="U43" s="265">
        <f t="shared" si="10"/>
        <v>0</v>
      </c>
      <c r="V43" s="265">
        <f t="shared" si="11"/>
        <v>0</v>
      </c>
      <c r="W43" s="265">
        <f t="shared" si="12"/>
        <v>0</v>
      </c>
      <c r="X43" s="265">
        <f t="shared" si="13"/>
        <v>0</v>
      </c>
      <c r="Y43" s="265">
        <f t="shared" si="14"/>
        <v>0</v>
      </c>
      <c r="Z43" s="265">
        <f t="shared" si="15"/>
        <v>0</v>
      </c>
      <c r="AA43" s="265">
        <f t="shared" si="16"/>
        <v>0</v>
      </c>
      <c r="AB43" s="265">
        <f t="shared" si="63"/>
        <v>0</v>
      </c>
      <c r="AC43" s="265">
        <f t="shared" si="64"/>
        <v>0</v>
      </c>
      <c r="AD43" s="265">
        <f t="shared" si="17"/>
        <v>0</v>
      </c>
      <c r="AE43" s="265">
        <f t="shared" si="18"/>
        <v>0</v>
      </c>
      <c r="AF43" s="265">
        <f t="shared" si="19"/>
        <v>0</v>
      </c>
      <c r="AG43" s="265">
        <f t="shared" si="20"/>
        <v>0</v>
      </c>
      <c r="AH43" s="265">
        <f t="shared" si="65"/>
        <v>0</v>
      </c>
      <c r="AI43" s="265">
        <f t="shared" si="66"/>
        <v>0</v>
      </c>
      <c r="AJ43" s="265">
        <f t="shared" si="67"/>
        <v>0</v>
      </c>
      <c r="AK43" s="265">
        <f t="shared" si="68"/>
        <v>0</v>
      </c>
      <c r="AL43" s="265">
        <f t="shared" si="69"/>
        <v>0</v>
      </c>
      <c r="AM43" s="265">
        <f t="shared" si="70"/>
        <v>0</v>
      </c>
      <c r="AN43" s="265">
        <f t="shared" si="71"/>
        <v>0</v>
      </c>
      <c r="AO43" s="265">
        <f t="shared" si="72"/>
        <v>0</v>
      </c>
      <c r="AP43" s="265">
        <f t="shared" si="21"/>
        <v>0</v>
      </c>
      <c r="AQ43" s="265">
        <f t="shared" si="22"/>
        <v>0</v>
      </c>
      <c r="AR43" s="265">
        <f t="shared" si="23"/>
        <v>0</v>
      </c>
      <c r="AS43" s="265">
        <f t="shared" si="24"/>
        <v>0</v>
      </c>
      <c r="AT43" s="265">
        <f t="shared" si="99"/>
        <v>0</v>
      </c>
      <c r="AU43" s="265">
        <f t="shared" si="100"/>
        <v>0</v>
      </c>
      <c r="AV43" s="265">
        <f t="shared" si="25"/>
        <v>0</v>
      </c>
      <c r="AW43" s="265">
        <f t="shared" si="26"/>
        <v>0</v>
      </c>
      <c r="AX43" s="265">
        <f t="shared" si="27"/>
        <v>0</v>
      </c>
      <c r="AY43" s="265">
        <f t="shared" si="28"/>
        <v>0</v>
      </c>
      <c r="AZ43" s="265">
        <f t="shared" si="29"/>
        <v>0</v>
      </c>
      <c r="BA43" s="265">
        <f t="shared" si="30"/>
        <v>0</v>
      </c>
      <c r="BB43" s="265">
        <f t="shared" si="31"/>
        <v>0</v>
      </c>
      <c r="BC43" s="265">
        <f t="shared" si="32"/>
        <v>0</v>
      </c>
      <c r="BD43" s="265">
        <f t="shared" si="33"/>
        <v>0</v>
      </c>
      <c r="BE43" s="265">
        <f t="shared" si="34"/>
        <v>0</v>
      </c>
      <c r="BF43" s="265">
        <f t="shared" si="35"/>
        <v>0</v>
      </c>
      <c r="BG43" s="265">
        <f t="shared" si="36"/>
        <v>0</v>
      </c>
      <c r="BH43" s="265">
        <f t="shared" si="75"/>
        <v>0</v>
      </c>
      <c r="BI43" s="265">
        <f t="shared" si="76"/>
        <v>0</v>
      </c>
      <c r="BJ43" s="265">
        <f t="shared" si="37"/>
        <v>0</v>
      </c>
      <c r="BK43" s="265">
        <f t="shared" si="38"/>
        <v>0</v>
      </c>
      <c r="BL43" s="265">
        <f t="shared" si="39"/>
        <v>0</v>
      </c>
      <c r="BM43" s="265">
        <f t="shared" si="40"/>
        <v>0</v>
      </c>
      <c r="BN43" s="265">
        <f t="shared" si="41"/>
        <v>0</v>
      </c>
      <c r="BO43" s="265">
        <f t="shared" si="42"/>
        <v>0</v>
      </c>
      <c r="BP43" s="265">
        <f t="shared" si="77"/>
        <v>0</v>
      </c>
      <c r="BQ43" s="265">
        <f t="shared" si="78"/>
        <v>0</v>
      </c>
      <c r="BR43" s="265">
        <f t="shared" si="43"/>
        <v>0</v>
      </c>
      <c r="BS43" s="265">
        <f t="shared" si="44"/>
        <v>0</v>
      </c>
      <c r="BT43" s="265">
        <f t="shared" si="79"/>
        <v>0</v>
      </c>
      <c r="BU43" s="265">
        <f t="shared" si="80"/>
        <v>0</v>
      </c>
      <c r="BV43" s="265">
        <f t="shared" si="101"/>
        <v>0</v>
      </c>
      <c r="BW43" s="265">
        <f t="shared" si="102"/>
        <v>0</v>
      </c>
      <c r="BX43" s="265">
        <f t="shared" si="45"/>
        <v>0</v>
      </c>
      <c r="BY43" s="265">
        <f t="shared" si="46"/>
        <v>0</v>
      </c>
      <c r="BZ43" s="265">
        <f t="shared" si="47"/>
        <v>0</v>
      </c>
      <c r="CA43" s="265">
        <f t="shared" si="48"/>
        <v>0</v>
      </c>
      <c r="CB43" s="265">
        <f t="shared" si="49"/>
        <v>0</v>
      </c>
      <c r="CC43" s="265">
        <f t="shared" si="50"/>
        <v>0</v>
      </c>
      <c r="CD43" s="265">
        <f t="shared" si="83"/>
        <v>0</v>
      </c>
      <c r="CE43" s="265">
        <f t="shared" si="84"/>
        <v>0</v>
      </c>
      <c r="CF43" s="265">
        <f t="shared" si="85"/>
        <v>0</v>
      </c>
      <c r="CG43" s="265">
        <f t="shared" si="86"/>
        <v>0</v>
      </c>
      <c r="CH43" s="265">
        <f t="shared" si="51"/>
        <v>0</v>
      </c>
      <c r="CI43" s="265">
        <f t="shared" si="52"/>
        <v>0</v>
      </c>
      <c r="CJ43" s="265">
        <f t="shared" si="87"/>
        <v>0</v>
      </c>
      <c r="CK43" s="265">
        <f t="shared" si="88"/>
        <v>0</v>
      </c>
      <c r="CL43" s="265">
        <f t="shared" si="53"/>
        <v>0</v>
      </c>
      <c r="CM43" s="265">
        <f t="shared" si="54"/>
        <v>0</v>
      </c>
      <c r="CN43" s="265">
        <f t="shared" si="55"/>
        <v>0</v>
      </c>
      <c r="CO43" s="265">
        <f t="shared" si="56"/>
        <v>0</v>
      </c>
      <c r="CP43" s="265">
        <f t="shared" si="89"/>
        <v>0</v>
      </c>
      <c r="CQ43" s="265">
        <f t="shared" ca="1" si="90"/>
        <v>0</v>
      </c>
      <c r="CR43" s="265">
        <f t="shared" si="91"/>
        <v>0</v>
      </c>
      <c r="CS43" s="265">
        <f t="shared" si="92"/>
        <v>0</v>
      </c>
      <c r="CT43" s="265">
        <f t="shared" si="57"/>
        <v>0</v>
      </c>
      <c r="CU43" s="265">
        <f t="shared" si="58"/>
        <v>0</v>
      </c>
      <c r="CV43" s="265">
        <f t="shared" si="59"/>
        <v>0</v>
      </c>
      <c r="CW43" s="265">
        <f t="shared" si="60"/>
        <v>0</v>
      </c>
      <c r="CX43" s="265">
        <f t="shared" si="93"/>
        <v>0</v>
      </c>
      <c r="CY43" s="265">
        <f t="shared" si="94"/>
        <v>0</v>
      </c>
      <c r="CZ43" s="265">
        <f t="shared" ca="1" si="95"/>
        <v>0</v>
      </c>
      <c r="DA43" s="265">
        <f t="shared" si="96"/>
        <v>0</v>
      </c>
    </row>
    <row r="44" spans="1:105" s="262" customFormat="1" ht="15" customHeight="1">
      <c r="A44" s="63">
        <f t="array" aca="1" ref="A44" ca="1">IF(C44&lt;&gt;0,SUM(($C$11:C44&lt;&gt;0)*1),"")</f>
        <v>34</v>
      </c>
      <c r="B44" s="263">
        <v>42460</v>
      </c>
      <c r="C44" s="266" t="s">
        <v>113</v>
      </c>
      <c r="D44" s="266">
        <f t="shared" si="97"/>
        <v>42460</v>
      </c>
      <c r="E44" s="919" t="s">
        <v>115</v>
      </c>
      <c r="F44" s="920">
        <f ca="1">CR52</f>
        <v>0</v>
      </c>
      <c r="G44" s="921" t="s">
        <v>107</v>
      </c>
      <c r="H44" s="921" t="s">
        <v>99</v>
      </c>
      <c r="I44" s="63">
        <f t="shared" ca="1" si="98"/>
        <v>34</v>
      </c>
      <c r="J44" s="265">
        <f t="shared" si="61"/>
        <v>0</v>
      </c>
      <c r="K44" s="265">
        <f t="shared" si="62"/>
        <v>0</v>
      </c>
      <c r="L44" s="265">
        <f t="shared" si="1"/>
        <v>0</v>
      </c>
      <c r="M44" s="265">
        <f t="shared" si="2"/>
        <v>0</v>
      </c>
      <c r="N44" s="265">
        <f t="shared" si="3"/>
        <v>0</v>
      </c>
      <c r="O44" s="265">
        <f t="shared" si="4"/>
        <v>0</v>
      </c>
      <c r="P44" s="265">
        <f t="shared" si="5"/>
        <v>0</v>
      </c>
      <c r="Q44" s="265">
        <f t="shared" si="6"/>
        <v>0</v>
      </c>
      <c r="R44" s="265">
        <f t="shared" si="7"/>
        <v>0</v>
      </c>
      <c r="S44" s="265">
        <f t="shared" si="8"/>
        <v>0</v>
      </c>
      <c r="T44" s="265">
        <f t="shared" si="9"/>
        <v>0</v>
      </c>
      <c r="U44" s="265">
        <f t="shared" si="10"/>
        <v>0</v>
      </c>
      <c r="V44" s="265">
        <f t="shared" si="11"/>
        <v>0</v>
      </c>
      <c r="W44" s="265">
        <f t="shared" si="12"/>
        <v>0</v>
      </c>
      <c r="X44" s="265">
        <f t="shared" si="13"/>
        <v>0</v>
      </c>
      <c r="Y44" s="265">
        <f t="shared" si="14"/>
        <v>0</v>
      </c>
      <c r="Z44" s="265">
        <f t="shared" si="15"/>
        <v>0</v>
      </c>
      <c r="AA44" s="265">
        <f t="shared" si="16"/>
        <v>0</v>
      </c>
      <c r="AB44" s="265">
        <f t="shared" si="63"/>
        <v>0</v>
      </c>
      <c r="AC44" s="265">
        <f t="shared" si="64"/>
        <v>0</v>
      </c>
      <c r="AD44" s="265">
        <f t="shared" si="17"/>
        <v>0</v>
      </c>
      <c r="AE44" s="265">
        <f t="shared" si="18"/>
        <v>0</v>
      </c>
      <c r="AF44" s="265">
        <f t="shared" si="19"/>
        <v>0</v>
      </c>
      <c r="AG44" s="265">
        <f t="shared" si="20"/>
        <v>0</v>
      </c>
      <c r="AH44" s="265">
        <f t="shared" si="65"/>
        <v>0</v>
      </c>
      <c r="AI44" s="265">
        <f t="shared" si="66"/>
        <v>0</v>
      </c>
      <c r="AJ44" s="265">
        <f t="shared" si="67"/>
        <v>0</v>
      </c>
      <c r="AK44" s="265">
        <f t="shared" si="68"/>
        <v>0</v>
      </c>
      <c r="AL44" s="265">
        <f t="shared" si="69"/>
        <v>0</v>
      </c>
      <c r="AM44" s="265">
        <f t="shared" si="70"/>
        <v>0</v>
      </c>
      <c r="AN44" s="265">
        <f t="shared" si="71"/>
        <v>0</v>
      </c>
      <c r="AO44" s="265">
        <f t="shared" si="72"/>
        <v>0</v>
      </c>
      <c r="AP44" s="265">
        <f t="shared" si="21"/>
        <v>0</v>
      </c>
      <c r="AQ44" s="265">
        <f t="shared" si="22"/>
        <v>0</v>
      </c>
      <c r="AR44" s="265">
        <f t="shared" si="23"/>
        <v>0</v>
      </c>
      <c r="AS44" s="265">
        <f t="shared" si="24"/>
        <v>0</v>
      </c>
      <c r="AT44" s="265">
        <f t="shared" si="99"/>
        <v>0</v>
      </c>
      <c r="AU44" s="265">
        <f t="shared" si="100"/>
        <v>0</v>
      </c>
      <c r="AV44" s="265">
        <f t="shared" si="25"/>
        <v>0</v>
      </c>
      <c r="AW44" s="265">
        <f t="shared" si="26"/>
        <v>0</v>
      </c>
      <c r="AX44" s="265">
        <f t="shared" si="27"/>
        <v>0</v>
      </c>
      <c r="AY44" s="265">
        <f t="shared" si="28"/>
        <v>0</v>
      </c>
      <c r="AZ44" s="265">
        <f t="shared" si="29"/>
        <v>0</v>
      </c>
      <c r="BA44" s="265">
        <f t="shared" si="30"/>
        <v>0</v>
      </c>
      <c r="BB44" s="265">
        <f t="shared" si="31"/>
        <v>0</v>
      </c>
      <c r="BC44" s="265">
        <f t="shared" si="32"/>
        <v>0</v>
      </c>
      <c r="BD44" s="265">
        <f t="shared" si="33"/>
        <v>0</v>
      </c>
      <c r="BE44" s="265">
        <f t="shared" si="34"/>
        <v>0</v>
      </c>
      <c r="BF44" s="265">
        <f t="shared" si="35"/>
        <v>0</v>
      </c>
      <c r="BG44" s="265">
        <f t="shared" si="36"/>
        <v>0</v>
      </c>
      <c r="BH44" s="265">
        <f t="shared" si="75"/>
        <v>0</v>
      </c>
      <c r="BI44" s="265">
        <f t="shared" si="76"/>
        <v>0</v>
      </c>
      <c r="BJ44" s="265">
        <f t="shared" si="37"/>
        <v>0</v>
      </c>
      <c r="BK44" s="265">
        <f t="shared" si="38"/>
        <v>0</v>
      </c>
      <c r="BL44" s="265">
        <f t="shared" si="39"/>
        <v>0</v>
      </c>
      <c r="BM44" s="265">
        <f t="shared" si="40"/>
        <v>0</v>
      </c>
      <c r="BN44" s="265">
        <f t="shared" si="41"/>
        <v>0</v>
      </c>
      <c r="BO44" s="265">
        <f t="shared" si="42"/>
        <v>0</v>
      </c>
      <c r="BP44" s="265">
        <f t="shared" si="77"/>
        <v>0</v>
      </c>
      <c r="BQ44" s="265">
        <f t="shared" si="78"/>
        <v>0</v>
      </c>
      <c r="BR44" s="265">
        <f t="shared" si="43"/>
        <v>0</v>
      </c>
      <c r="BS44" s="265">
        <f t="shared" si="44"/>
        <v>0</v>
      </c>
      <c r="BT44" s="265">
        <f t="shared" si="79"/>
        <v>0</v>
      </c>
      <c r="BU44" s="265">
        <f t="shared" si="80"/>
        <v>0</v>
      </c>
      <c r="BV44" s="265">
        <f t="shared" si="101"/>
        <v>0</v>
      </c>
      <c r="BW44" s="265">
        <f t="shared" si="102"/>
        <v>0</v>
      </c>
      <c r="BX44" s="265">
        <f t="shared" si="45"/>
        <v>0</v>
      </c>
      <c r="BY44" s="265">
        <f t="shared" si="46"/>
        <v>0</v>
      </c>
      <c r="BZ44" s="265">
        <f t="shared" si="47"/>
        <v>0</v>
      </c>
      <c r="CA44" s="265">
        <f t="shared" si="48"/>
        <v>0</v>
      </c>
      <c r="CB44" s="265">
        <f t="shared" si="49"/>
        <v>0</v>
      </c>
      <c r="CC44" s="265">
        <f t="shared" si="50"/>
        <v>0</v>
      </c>
      <c r="CD44" s="265">
        <f t="shared" si="83"/>
        <v>0</v>
      </c>
      <c r="CE44" s="265">
        <f t="shared" si="84"/>
        <v>0</v>
      </c>
      <c r="CF44" s="265">
        <f t="shared" si="85"/>
        <v>0</v>
      </c>
      <c r="CG44" s="265">
        <f t="shared" si="86"/>
        <v>0</v>
      </c>
      <c r="CH44" s="265">
        <f t="shared" si="51"/>
        <v>0</v>
      </c>
      <c r="CI44" s="265">
        <f t="shared" si="52"/>
        <v>0</v>
      </c>
      <c r="CJ44" s="265">
        <f t="shared" si="87"/>
        <v>0</v>
      </c>
      <c r="CK44" s="265">
        <f t="shared" si="88"/>
        <v>0</v>
      </c>
      <c r="CL44" s="265">
        <f t="shared" si="53"/>
        <v>0</v>
      </c>
      <c r="CM44" s="265">
        <f t="shared" si="54"/>
        <v>0</v>
      </c>
      <c r="CN44" s="265">
        <f t="shared" si="55"/>
        <v>0</v>
      </c>
      <c r="CO44" s="265">
        <f t="shared" si="56"/>
        <v>0</v>
      </c>
      <c r="CP44" s="265">
        <f t="shared" si="89"/>
        <v>0</v>
      </c>
      <c r="CQ44" s="265">
        <f t="shared" si="90"/>
        <v>0</v>
      </c>
      <c r="CR44" s="265">
        <f t="shared" si="91"/>
        <v>0</v>
      </c>
      <c r="CS44" s="265">
        <f t="shared" ca="1" si="92"/>
        <v>0</v>
      </c>
      <c r="CT44" s="265">
        <f t="shared" si="57"/>
        <v>0</v>
      </c>
      <c r="CU44" s="265">
        <f t="shared" si="58"/>
        <v>0</v>
      </c>
      <c r="CV44" s="265">
        <f t="shared" si="59"/>
        <v>0</v>
      </c>
      <c r="CW44" s="265">
        <f t="shared" si="60"/>
        <v>0</v>
      </c>
      <c r="CX44" s="265">
        <f t="shared" si="93"/>
        <v>0</v>
      </c>
      <c r="CY44" s="265">
        <f t="shared" si="94"/>
        <v>0</v>
      </c>
      <c r="CZ44" s="265">
        <f t="shared" ca="1" si="95"/>
        <v>0</v>
      </c>
      <c r="DA44" s="265">
        <f t="shared" si="96"/>
        <v>0</v>
      </c>
    </row>
    <row r="45" spans="1:105" s="262" customFormat="1" ht="15" customHeight="1">
      <c r="A45" s="63">
        <f t="array" aca="1" ref="A45" ca="1">IF(C45&lt;&gt;0,SUM(($C$11:C45&lt;&gt;0)*1),"")</f>
        <v>35</v>
      </c>
      <c r="B45" s="263">
        <v>42460</v>
      </c>
      <c r="C45" s="266" t="s">
        <v>113</v>
      </c>
      <c r="D45" s="266">
        <f t="shared" ref="D45:D50" si="103">B45</f>
        <v>42460</v>
      </c>
      <c r="E45" s="919" t="s">
        <v>208</v>
      </c>
      <c r="F45" s="920"/>
      <c r="G45" s="921" t="s">
        <v>107</v>
      </c>
      <c r="H45" s="921" t="s">
        <v>92</v>
      </c>
      <c r="I45" s="63">
        <f t="shared" ca="1" si="98"/>
        <v>35</v>
      </c>
      <c r="J45" s="265">
        <f t="shared" si="61"/>
        <v>0</v>
      </c>
      <c r="K45" s="265">
        <f t="shared" si="62"/>
        <v>0</v>
      </c>
      <c r="L45" s="265">
        <f t="shared" si="1"/>
        <v>0</v>
      </c>
      <c r="M45" s="265">
        <f t="shared" si="2"/>
        <v>0</v>
      </c>
      <c r="N45" s="265">
        <f t="shared" si="3"/>
        <v>0</v>
      </c>
      <c r="O45" s="265">
        <f t="shared" si="4"/>
        <v>0</v>
      </c>
      <c r="P45" s="265">
        <f t="shared" si="5"/>
        <v>0</v>
      </c>
      <c r="Q45" s="265">
        <f t="shared" si="6"/>
        <v>0</v>
      </c>
      <c r="R45" s="265">
        <f t="shared" si="7"/>
        <v>0</v>
      </c>
      <c r="S45" s="265">
        <f t="shared" si="8"/>
        <v>0</v>
      </c>
      <c r="T45" s="265">
        <f t="shared" si="9"/>
        <v>0</v>
      </c>
      <c r="U45" s="265">
        <f t="shared" si="10"/>
        <v>0</v>
      </c>
      <c r="V45" s="265">
        <f t="shared" si="11"/>
        <v>0</v>
      </c>
      <c r="W45" s="265">
        <f t="shared" si="12"/>
        <v>0</v>
      </c>
      <c r="X45" s="265">
        <f t="shared" si="13"/>
        <v>0</v>
      </c>
      <c r="Y45" s="265">
        <f t="shared" si="14"/>
        <v>0</v>
      </c>
      <c r="Z45" s="265">
        <f t="shared" si="15"/>
        <v>0</v>
      </c>
      <c r="AA45" s="265">
        <f t="shared" si="16"/>
        <v>0</v>
      </c>
      <c r="AB45" s="265">
        <f t="shared" si="63"/>
        <v>0</v>
      </c>
      <c r="AC45" s="265">
        <f t="shared" si="64"/>
        <v>0</v>
      </c>
      <c r="AD45" s="265">
        <f t="shared" si="17"/>
        <v>0</v>
      </c>
      <c r="AE45" s="265">
        <f t="shared" si="18"/>
        <v>0</v>
      </c>
      <c r="AF45" s="265">
        <f t="shared" si="19"/>
        <v>0</v>
      </c>
      <c r="AG45" s="265">
        <f t="shared" si="20"/>
        <v>0</v>
      </c>
      <c r="AH45" s="265">
        <f t="shared" si="65"/>
        <v>0</v>
      </c>
      <c r="AI45" s="265">
        <f t="shared" si="66"/>
        <v>0</v>
      </c>
      <c r="AJ45" s="265">
        <f t="shared" si="67"/>
        <v>0</v>
      </c>
      <c r="AK45" s="265">
        <f t="shared" si="68"/>
        <v>0</v>
      </c>
      <c r="AL45" s="265">
        <f t="shared" si="69"/>
        <v>0</v>
      </c>
      <c r="AM45" s="265">
        <f t="shared" si="70"/>
        <v>0</v>
      </c>
      <c r="AN45" s="265">
        <f t="shared" si="71"/>
        <v>0</v>
      </c>
      <c r="AO45" s="265">
        <f t="shared" si="72"/>
        <v>0</v>
      </c>
      <c r="AP45" s="265">
        <f t="shared" si="21"/>
        <v>0</v>
      </c>
      <c r="AQ45" s="265">
        <f t="shared" si="22"/>
        <v>0</v>
      </c>
      <c r="AR45" s="265">
        <f t="shared" si="23"/>
        <v>0</v>
      </c>
      <c r="AS45" s="265">
        <f t="shared" si="24"/>
        <v>0</v>
      </c>
      <c r="AT45" s="265">
        <f t="shared" si="99"/>
        <v>0</v>
      </c>
      <c r="AU45" s="265">
        <f t="shared" si="100"/>
        <v>0</v>
      </c>
      <c r="AV45" s="265">
        <f t="shared" si="25"/>
        <v>0</v>
      </c>
      <c r="AW45" s="265">
        <f t="shared" si="26"/>
        <v>0</v>
      </c>
      <c r="AX45" s="265">
        <f t="shared" si="27"/>
        <v>0</v>
      </c>
      <c r="AY45" s="265">
        <f t="shared" si="28"/>
        <v>0</v>
      </c>
      <c r="AZ45" s="265">
        <f t="shared" si="29"/>
        <v>0</v>
      </c>
      <c r="BA45" s="265">
        <f t="shared" si="30"/>
        <v>0</v>
      </c>
      <c r="BB45" s="265">
        <f t="shared" si="31"/>
        <v>0</v>
      </c>
      <c r="BC45" s="265">
        <f t="shared" si="32"/>
        <v>0</v>
      </c>
      <c r="BD45" s="265">
        <f t="shared" si="33"/>
        <v>0</v>
      </c>
      <c r="BE45" s="265">
        <f t="shared" si="34"/>
        <v>0</v>
      </c>
      <c r="BF45" s="265">
        <f t="shared" si="35"/>
        <v>0</v>
      </c>
      <c r="BG45" s="265">
        <f t="shared" si="36"/>
        <v>0</v>
      </c>
      <c r="BH45" s="265">
        <f t="shared" si="75"/>
        <v>0</v>
      </c>
      <c r="BI45" s="265">
        <f t="shared" si="76"/>
        <v>0</v>
      </c>
      <c r="BJ45" s="265">
        <f t="shared" si="37"/>
        <v>0</v>
      </c>
      <c r="BK45" s="265">
        <f t="shared" si="38"/>
        <v>0</v>
      </c>
      <c r="BL45" s="265">
        <f t="shared" si="39"/>
        <v>0</v>
      </c>
      <c r="BM45" s="265">
        <f t="shared" si="40"/>
        <v>0</v>
      </c>
      <c r="BN45" s="265">
        <f t="shared" si="41"/>
        <v>0</v>
      </c>
      <c r="BO45" s="265">
        <f t="shared" si="42"/>
        <v>0</v>
      </c>
      <c r="BP45" s="265">
        <f t="shared" si="77"/>
        <v>0</v>
      </c>
      <c r="BQ45" s="265">
        <f t="shared" si="78"/>
        <v>0</v>
      </c>
      <c r="BR45" s="265">
        <f t="shared" si="43"/>
        <v>0</v>
      </c>
      <c r="BS45" s="265">
        <f t="shared" si="44"/>
        <v>0</v>
      </c>
      <c r="BT45" s="265">
        <f t="shared" si="79"/>
        <v>0</v>
      </c>
      <c r="BU45" s="265">
        <f t="shared" si="80"/>
        <v>0</v>
      </c>
      <c r="BV45" s="265">
        <f t="shared" si="101"/>
        <v>0</v>
      </c>
      <c r="BW45" s="265">
        <f t="shared" si="102"/>
        <v>0</v>
      </c>
      <c r="BX45" s="265">
        <f t="shared" si="45"/>
        <v>0</v>
      </c>
      <c r="BY45" s="265">
        <f t="shared" si="46"/>
        <v>0</v>
      </c>
      <c r="BZ45" s="265">
        <f t="shared" si="47"/>
        <v>0</v>
      </c>
      <c r="CA45" s="265">
        <f t="shared" si="48"/>
        <v>0</v>
      </c>
      <c r="CB45" s="265">
        <f t="shared" si="49"/>
        <v>0</v>
      </c>
      <c r="CC45" s="265">
        <f t="shared" si="50"/>
        <v>0</v>
      </c>
      <c r="CD45" s="265">
        <f t="shared" si="83"/>
        <v>0</v>
      </c>
      <c r="CE45" s="265">
        <f t="shared" si="84"/>
        <v>0</v>
      </c>
      <c r="CF45" s="265">
        <f t="shared" si="85"/>
        <v>0</v>
      </c>
      <c r="CG45" s="265">
        <f t="shared" si="86"/>
        <v>0</v>
      </c>
      <c r="CH45" s="265">
        <f t="shared" si="51"/>
        <v>0</v>
      </c>
      <c r="CI45" s="265">
        <f t="shared" si="52"/>
        <v>0</v>
      </c>
      <c r="CJ45" s="265">
        <f t="shared" si="87"/>
        <v>0</v>
      </c>
      <c r="CK45" s="265">
        <f t="shared" si="88"/>
        <v>0</v>
      </c>
      <c r="CL45" s="265">
        <f t="shared" si="53"/>
        <v>0</v>
      </c>
      <c r="CM45" s="265">
        <f t="shared" si="54"/>
        <v>0</v>
      </c>
      <c r="CN45" s="265">
        <f t="shared" si="55"/>
        <v>0</v>
      </c>
      <c r="CO45" s="265">
        <f t="shared" si="56"/>
        <v>0</v>
      </c>
      <c r="CP45" s="265">
        <f t="shared" si="89"/>
        <v>0</v>
      </c>
      <c r="CQ45" s="265">
        <f t="shared" si="90"/>
        <v>0</v>
      </c>
      <c r="CR45" s="265">
        <f t="shared" si="91"/>
        <v>0</v>
      </c>
      <c r="CS45" s="265">
        <f t="shared" si="92"/>
        <v>0</v>
      </c>
      <c r="CT45" s="265">
        <f t="shared" si="57"/>
        <v>0</v>
      </c>
      <c r="CU45" s="265">
        <f t="shared" si="58"/>
        <v>0</v>
      </c>
      <c r="CV45" s="265">
        <f t="shared" si="59"/>
        <v>0</v>
      </c>
      <c r="CW45" s="265">
        <f t="shared" si="60"/>
        <v>0</v>
      </c>
      <c r="CX45" s="265">
        <f t="shared" si="93"/>
        <v>0</v>
      </c>
      <c r="CY45" s="265">
        <f t="shared" si="94"/>
        <v>0</v>
      </c>
      <c r="CZ45" s="265">
        <f t="shared" si="95"/>
        <v>0</v>
      </c>
      <c r="DA45" s="265">
        <f t="shared" si="96"/>
        <v>0</v>
      </c>
    </row>
    <row r="46" spans="1:105" s="262" customFormat="1" ht="15" customHeight="1">
      <c r="A46" s="63">
        <f t="array" aca="1" ref="A46" ca="1">IF(C46&lt;&gt;0,SUM(($C$11:C46&lt;&gt;0)*1),"")</f>
        <v>36</v>
      </c>
      <c r="B46" s="263">
        <v>42460</v>
      </c>
      <c r="C46" s="266" t="s">
        <v>113</v>
      </c>
      <c r="D46" s="266">
        <f t="shared" si="103"/>
        <v>42460</v>
      </c>
      <c r="E46" s="919" t="s">
        <v>116</v>
      </c>
      <c r="F46" s="920">
        <f ca="1">CI52</f>
        <v>0</v>
      </c>
      <c r="G46" s="921" t="s">
        <v>41</v>
      </c>
      <c r="H46" s="921" t="s">
        <v>107</v>
      </c>
      <c r="I46" s="63">
        <f t="shared" ca="1" si="98"/>
        <v>36</v>
      </c>
      <c r="J46" s="265">
        <f t="shared" si="61"/>
        <v>0</v>
      </c>
      <c r="K46" s="265">
        <f t="shared" si="62"/>
        <v>0</v>
      </c>
      <c r="L46" s="265">
        <f t="shared" si="1"/>
        <v>0</v>
      </c>
      <c r="M46" s="265">
        <f t="shared" si="2"/>
        <v>0</v>
      </c>
      <c r="N46" s="265">
        <f t="shared" si="3"/>
        <v>0</v>
      </c>
      <c r="O46" s="265">
        <f t="shared" si="4"/>
        <v>0</v>
      </c>
      <c r="P46" s="265">
        <f t="shared" si="5"/>
        <v>0</v>
      </c>
      <c r="Q46" s="265">
        <f t="shared" si="6"/>
        <v>0</v>
      </c>
      <c r="R46" s="265">
        <f t="shared" si="7"/>
        <v>0</v>
      </c>
      <c r="S46" s="265">
        <f t="shared" si="8"/>
        <v>0</v>
      </c>
      <c r="T46" s="265">
        <f t="shared" si="9"/>
        <v>0</v>
      </c>
      <c r="U46" s="265">
        <f t="shared" si="10"/>
        <v>0</v>
      </c>
      <c r="V46" s="265">
        <f t="shared" si="11"/>
        <v>0</v>
      </c>
      <c r="W46" s="265">
        <f t="shared" si="12"/>
        <v>0</v>
      </c>
      <c r="X46" s="265">
        <f t="shared" si="13"/>
        <v>0</v>
      </c>
      <c r="Y46" s="265">
        <f t="shared" si="14"/>
        <v>0</v>
      </c>
      <c r="Z46" s="265">
        <f t="shared" si="15"/>
        <v>0</v>
      </c>
      <c r="AA46" s="265">
        <f t="shared" si="16"/>
        <v>0</v>
      </c>
      <c r="AB46" s="265">
        <f t="shared" si="63"/>
        <v>0</v>
      </c>
      <c r="AC46" s="265">
        <f t="shared" si="64"/>
        <v>0</v>
      </c>
      <c r="AD46" s="265">
        <f t="shared" si="17"/>
        <v>0</v>
      </c>
      <c r="AE46" s="265">
        <f t="shared" si="18"/>
        <v>0</v>
      </c>
      <c r="AF46" s="265">
        <f t="shared" si="19"/>
        <v>0</v>
      </c>
      <c r="AG46" s="265">
        <f t="shared" si="20"/>
        <v>0</v>
      </c>
      <c r="AH46" s="265">
        <f t="shared" si="65"/>
        <v>0</v>
      </c>
      <c r="AI46" s="265">
        <f t="shared" si="66"/>
        <v>0</v>
      </c>
      <c r="AJ46" s="265">
        <f t="shared" si="67"/>
        <v>0</v>
      </c>
      <c r="AK46" s="265">
        <f t="shared" si="68"/>
        <v>0</v>
      </c>
      <c r="AL46" s="265">
        <f t="shared" si="69"/>
        <v>0</v>
      </c>
      <c r="AM46" s="265">
        <f t="shared" si="70"/>
        <v>0</v>
      </c>
      <c r="AN46" s="265">
        <f t="shared" si="71"/>
        <v>0</v>
      </c>
      <c r="AO46" s="265">
        <f t="shared" si="72"/>
        <v>0</v>
      </c>
      <c r="AP46" s="265">
        <f t="shared" si="21"/>
        <v>0</v>
      </c>
      <c r="AQ46" s="265">
        <f t="shared" si="22"/>
        <v>0</v>
      </c>
      <c r="AR46" s="265">
        <f t="shared" si="23"/>
        <v>0</v>
      </c>
      <c r="AS46" s="265">
        <f t="shared" si="24"/>
        <v>0</v>
      </c>
      <c r="AT46" s="265">
        <f t="shared" si="99"/>
        <v>0</v>
      </c>
      <c r="AU46" s="265">
        <f t="shared" si="100"/>
        <v>0</v>
      </c>
      <c r="AV46" s="265">
        <f t="shared" si="25"/>
        <v>0</v>
      </c>
      <c r="AW46" s="265">
        <f t="shared" si="26"/>
        <v>0</v>
      </c>
      <c r="AX46" s="265">
        <f t="shared" si="27"/>
        <v>0</v>
      </c>
      <c r="AY46" s="265">
        <f t="shared" si="28"/>
        <v>0</v>
      </c>
      <c r="AZ46" s="265">
        <f t="shared" si="29"/>
        <v>0</v>
      </c>
      <c r="BA46" s="265">
        <f t="shared" si="30"/>
        <v>0</v>
      </c>
      <c r="BB46" s="265">
        <f t="shared" si="31"/>
        <v>0</v>
      </c>
      <c r="BC46" s="265">
        <f t="shared" si="32"/>
        <v>0</v>
      </c>
      <c r="BD46" s="265">
        <f t="shared" si="33"/>
        <v>0</v>
      </c>
      <c r="BE46" s="265">
        <f t="shared" si="34"/>
        <v>0</v>
      </c>
      <c r="BF46" s="265">
        <f t="shared" si="35"/>
        <v>0</v>
      </c>
      <c r="BG46" s="265">
        <f t="shared" si="36"/>
        <v>0</v>
      </c>
      <c r="BH46" s="265">
        <f t="shared" si="75"/>
        <v>0</v>
      </c>
      <c r="BI46" s="265">
        <f t="shared" si="76"/>
        <v>0</v>
      </c>
      <c r="BJ46" s="265">
        <f t="shared" si="37"/>
        <v>0</v>
      </c>
      <c r="BK46" s="265">
        <f t="shared" si="38"/>
        <v>0</v>
      </c>
      <c r="BL46" s="265">
        <f t="shared" si="39"/>
        <v>0</v>
      </c>
      <c r="BM46" s="265">
        <f t="shared" si="40"/>
        <v>0</v>
      </c>
      <c r="BN46" s="265">
        <f t="shared" si="41"/>
        <v>0</v>
      </c>
      <c r="BO46" s="265">
        <f t="shared" si="42"/>
        <v>0</v>
      </c>
      <c r="BP46" s="265">
        <f t="shared" si="77"/>
        <v>0</v>
      </c>
      <c r="BQ46" s="265">
        <f t="shared" si="78"/>
        <v>0</v>
      </c>
      <c r="BR46" s="265">
        <f t="shared" si="43"/>
        <v>0</v>
      </c>
      <c r="BS46" s="265">
        <f t="shared" si="44"/>
        <v>0</v>
      </c>
      <c r="BT46" s="265">
        <f t="shared" si="79"/>
        <v>0</v>
      </c>
      <c r="BU46" s="265">
        <f t="shared" si="80"/>
        <v>0</v>
      </c>
      <c r="BV46" s="265">
        <f t="shared" si="101"/>
        <v>0</v>
      </c>
      <c r="BW46" s="265">
        <f t="shared" si="102"/>
        <v>0</v>
      </c>
      <c r="BX46" s="265">
        <f t="shared" si="45"/>
        <v>0</v>
      </c>
      <c r="BY46" s="265">
        <f t="shared" si="46"/>
        <v>0</v>
      </c>
      <c r="BZ46" s="265">
        <f t="shared" si="47"/>
        <v>0</v>
      </c>
      <c r="CA46" s="265">
        <f t="shared" si="48"/>
        <v>0</v>
      </c>
      <c r="CB46" s="265">
        <f t="shared" si="49"/>
        <v>0</v>
      </c>
      <c r="CC46" s="265">
        <f t="shared" si="50"/>
        <v>0</v>
      </c>
      <c r="CD46" s="265">
        <f t="shared" si="83"/>
        <v>0</v>
      </c>
      <c r="CE46" s="265">
        <f t="shared" si="84"/>
        <v>0</v>
      </c>
      <c r="CF46" s="265">
        <f t="shared" si="85"/>
        <v>0</v>
      </c>
      <c r="CG46" s="265">
        <f t="shared" si="86"/>
        <v>0</v>
      </c>
      <c r="CH46" s="265">
        <f t="shared" ca="1" si="51"/>
        <v>0</v>
      </c>
      <c r="CI46" s="265">
        <f t="shared" si="52"/>
        <v>0</v>
      </c>
      <c r="CJ46" s="265">
        <f t="shared" si="87"/>
        <v>0</v>
      </c>
      <c r="CK46" s="265">
        <f t="shared" si="88"/>
        <v>0</v>
      </c>
      <c r="CL46" s="265">
        <f t="shared" si="53"/>
        <v>0</v>
      </c>
      <c r="CM46" s="265">
        <f t="shared" si="54"/>
        <v>0</v>
      </c>
      <c r="CN46" s="265">
        <f t="shared" si="55"/>
        <v>0</v>
      </c>
      <c r="CO46" s="265">
        <f t="shared" si="56"/>
        <v>0</v>
      </c>
      <c r="CP46" s="265">
        <f t="shared" si="89"/>
        <v>0</v>
      </c>
      <c r="CQ46" s="265">
        <f t="shared" si="90"/>
        <v>0</v>
      </c>
      <c r="CR46" s="265">
        <f t="shared" si="91"/>
        <v>0</v>
      </c>
      <c r="CS46" s="265">
        <f t="shared" si="92"/>
        <v>0</v>
      </c>
      <c r="CT46" s="265">
        <f t="shared" si="57"/>
        <v>0</v>
      </c>
      <c r="CU46" s="265">
        <f t="shared" si="58"/>
        <v>0</v>
      </c>
      <c r="CV46" s="265">
        <f t="shared" si="59"/>
        <v>0</v>
      </c>
      <c r="CW46" s="265">
        <f t="shared" si="60"/>
        <v>0</v>
      </c>
      <c r="CX46" s="265">
        <f t="shared" si="93"/>
        <v>0</v>
      </c>
      <c r="CY46" s="265">
        <f t="shared" si="94"/>
        <v>0</v>
      </c>
      <c r="CZ46" s="265">
        <f t="shared" si="95"/>
        <v>0</v>
      </c>
      <c r="DA46" s="265">
        <f t="shared" ca="1" si="96"/>
        <v>0</v>
      </c>
    </row>
    <row r="47" spans="1:105" s="262" customFormat="1" ht="15" customHeight="1">
      <c r="A47" s="63">
        <f t="array" aca="1" ref="A47" ca="1">IF(C47&lt;&gt;0,SUM(($C$11:C47&lt;&gt;0)*1),"")</f>
        <v>37</v>
      </c>
      <c r="B47" s="263">
        <v>42460</v>
      </c>
      <c r="C47" s="266" t="s">
        <v>113</v>
      </c>
      <c r="D47" s="266">
        <f t="shared" si="103"/>
        <v>42460</v>
      </c>
      <c r="E47" s="919" t="s">
        <v>913</v>
      </c>
      <c r="F47" s="920">
        <f ca="1">CE52</f>
        <v>0</v>
      </c>
      <c r="G47" s="921" t="s">
        <v>290</v>
      </c>
      <c r="H47" s="921" t="s">
        <v>107</v>
      </c>
      <c r="I47" s="63">
        <f t="shared" ca="1" si="98"/>
        <v>37</v>
      </c>
      <c r="J47" s="265">
        <f t="shared" si="61"/>
        <v>0</v>
      </c>
      <c r="K47" s="265">
        <f t="shared" si="62"/>
        <v>0</v>
      </c>
      <c r="L47" s="265">
        <f t="shared" si="1"/>
        <v>0</v>
      </c>
      <c r="M47" s="265">
        <f t="shared" si="2"/>
        <v>0</v>
      </c>
      <c r="N47" s="265">
        <f t="shared" si="3"/>
        <v>0</v>
      </c>
      <c r="O47" s="265">
        <f t="shared" si="4"/>
        <v>0</v>
      </c>
      <c r="P47" s="265">
        <f t="shared" si="5"/>
        <v>0</v>
      </c>
      <c r="Q47" s="265">
        <f t="shared" si="6"/>
        <v>0</v>
      </c>
      <c r="R47" s="265">
        <f t="shared" si="7"/>
        <v>0</v>
      </c>
      <c r="S47" s="265">
        <f t="shared" si="8"/>
        <v>0</v>
      </c>
      <c r="T47" s="265">
        <f t="shared" si="9"/>
        <v>0</v>
      </c>
      <c r="U47" s="265">
        <f t="shared" si="10"/>
        <v>0</v>
      </c>
      <c r="V47" s="265">
        <f t="shared" si="11"/>
        <v>0</v>
      </c>
      <c r="W47" s="265">
        <f t="shared" si="12"/>
        <v>0</v>
      </c>
      <c r="X47" s="265">
        <f t="shared" si="13"/>
        <v>0</v>
      </c>
      <c r="Y47" s="265">
        <f t="shared" si="14"/>
        <v>0</v>
      </c>
      <c r="Z47" s="265">
        <f t="shared" si="15"/>
        <v>0</v>
      </c>
      <c r="AA47" s="265">
        <f t="shared" si="16"/>
        <v>0</v>
      </c>
      <c r="AB47" s="265">
        <f t="shared" si="63"/>
        <v>0</v>
      </c>
      <c r="AC47" s="265">
        <f t="shared" si="64"/>
        <v>0</v>
      </c>
      <c r="AD47" s="265">
        <f t="shared" si="17"/>
        <v>0</v>
      </c>
      <c r="AE47" s="265">
        <f t="shared" si="18"/>
        <v>0</v>
      </c>
      <c r="AF47" s="265">
        <f t="shared" si="19"/>
        <v>0</v>
      </c>
      <c r="AG47" s="265">
        <f t="shared" si="20"/>
        <v>0</v>
      </c>
      <c r="AH47" s="265">
        <f t="shared" si="65"/>
        <v>0</v>
      </c>
      <c r="AI47" s="265">
        <f t="shared" si="66"/>
        <v>0</v>
      </c>
      <c r="AJ47" s="265">
        <f t="shared" si="67"/>
        <v>0</v>
      </c>
      <c r="AK47" s="265">
        <f t="shared" si="68"/>
        <v>0</v>
      </c>
      <c r="AL47" s="265">
        <f t="shared" si="69"/>
        <v>0</v>
      </c>
      <c r="AM47" s="265">
        <f t="shared" si="70"/>
        <v>0</v>
      </c>
      <c r="AN47" s="265">
        <f t="shared" si="71"/>
        <v>0</v>
      </c>
      <c r="AO47" s="265">
        <f t="shared" si="72"/>
        <v>0</v>
      </c>
      <c r="AP47" s="265">
        <f t="shared" si="21"/>
        <v>0</v>
      </c>
      <c r="AQ47" s="265">
        <f t="shared" si="22"/>
        <v>0</v>
      </c>
      <c r="AR47" s="265">
        <f t="shared" si="23"/>
        <v>0</v>
      </c>
      <c r="AS47" s="265">
        <f t="shared" si="24"/>
        <v>0</v>
      </c>
      <c r="AT47" s="265">
        <f t="shared" si="99"/>
        <v>0</v>
      </c>
      <c r="AU47" s="265">
        <f t="shared" si="100"/>
        <v>0</v>
      </c>
      <c r="AV47" s="265">
        <f t="shared" si="25"/>
        <v>0</v>
      </c>
      <c r="AW47" s="265">
        <f t="shared" si="26"/>
        <v>0</v>
      </c>
      <c r="AX47" s="265">
        <f t="shared" si="27"/>
        <v>0</v>
      </c>
      <c r="AY47" s="265">
        <f t="shared" si="28"/>
        <v>0</v>
      </c>
      <c r="AZ47" s="265">
        <f t="shared" si="29"/>
        <v>0</v>
      </c>
      <c r="BA47" s="265">
        <f t="shared" si="30"/>
        <v>0</v>
      </c>
      <c r="BB47" s="265">
        <f t="shared" si="31"/>
        <v>0</v>
      </c>
      <c r="BC47" s="265">
        <f t="shared" si="32"/>
        <v>0</v>
      </c>
      <c r="BD47" s="265">
        <f t="shared" si="33"/>
        <v>0</v>
      </c>
      <c r="BE47" s="265">
        <f t="shared" si="34"/>
        <v>0</v>
      </c>
      <c r="BF47" s="265">
        <f t="shared" si="35"/>
        <v>0</v>
      </c>
      <c r="BG47" s="265">
        <f t="shared" si="36"/>
        <v>0</v>
      </c>
      <c r="BH47" s="265">
        <f t="shared" si="75"/>
        <v>0</v>
      </c>
      <c r="BI47" s="265">
        <f t="shared" si="76"/>
        <v>0</v>
      </c>
      <c r="BJ47" s="265">
        <f t="shared" si="37"/>
        <v>0</v>
      </c>
      <c r="BK47" s="265">
        <f t="shared" si="38"/>
        <v>0</v>
      </c>
      <c r="BL47" s="265">
        <f t="shared" si="39"/>
        <v>0</v>
      </c>
      <c r="BM47" s="265">
        <f t="shared" si="40"/>
        <v>0</v>
      </c>
      <c r="BN47" s="265">
        <f t="shared" si="41"/>
        <v>0</v>
      </c>
      <c r="BO47" s="265">
        <f t="shared" si="42"/>
        <v>0</v>
      </c>
      <c r="BP47" s="265">
        <f t="shared" si="77"/>
        <v>0</v>
      </c>
      <c r="BQ47" s="265">
        <f t="shared" si="78"/>
        <v>0</v>
      </c>
      <c r="BR47" s="265">
        <f t="shared" si="43"/>
        <v>0</v>
      </c>
      <c r="BS47" s="265">
        <f t="shared" si="44"/>
        <v>0</v>
      </c>
      <c r="BT47" s="265">
        <f t="shared" si="79"/>
        <v>0</v>
      </c>
      <c r="BU47" s="265">
        <f t="shared" si="80"/>
        <v>0</v>
      </c>
      <c r="BV47" s="265">
        <f t="shared" si="101"/>
        <v>0</v>
      </c>
      <c r="BW47" s="265">
        <f t="shared" si="102"/>
        <v>0</v>
      </c>
      <c r="BX47" s="265">
        <f t="shared" si="45"/>
        <v>0</v>
      </c>
      <c r="BY47" s="265">
        <f t="shared" si="46"/>
        <v>0</v>
      </c>
      <c r="BZ47" s="265">
        <f t="shared" si="47"/>
        <v>0</v>
      </c>
      <c r="CA47" s="265">
        <f t="shared" si="48"/>
        <v>0</v>
      </c>
      <c r="CB47" s="265">
        <f t="shared" si="49"/>
        <v>0</v>
      </c>
      <c r="CC47" s="265">
        <f t="shared" si="50"/>
        <v>0</v>
      </c>
      <c r="CD47" s="265">
        <f t="shared" ca="1" si="83"/>
        <v>0</v>
      </c>
      <c r="CE47" s="265">
        <f t="shared" si="84"/>
        <v>0</v>
      </c>
      <c r="CF47" s="265">
        <f t="shared" si="85"/>
        <v>0</v>
      </c>
      <c r="CG47" s="265">
        <f t="shared" si="86"/>
        <v>0</v>
      </c>
      <c r="CH47" s="265">
        <f t="shared" si="51"/>
        <v>0</v>
      </c>
      <c r="CI47" s="265">
        <f t="shared" si="52"/>
        <v>0</v>
      </c>
      <c r="CJ47" s="265">
        <f t="shared" si="87"/>
        <v>0</v>
      </c>
      <c r="CK47" s="265">
        <f t="shared" si="88"/>
        <v>0</v>
      </c>
      <c r="CL47" s="265">
        <f t="shared" si="53"/>
        <v>0</v>
      </c>
      <c r="CM47" s="265">
        <f t="shared" si="54"/>
        <v>0</v>
      </c>
      <c r="CN47" s="265">
        <f t="shared" si="55"/>
        <v>0</v>
      </c>
      <c r="CO47" s="265">
        <f t="shared" si="56"/>
        <v>0</v>
      </c>
      <c r="CP47" s="265">
        <f t="shared" si="89"/>
        <v>0</v>
      </c>
      <c r="CQ47" s="265">
        <f t="shared" si="90"/>
        <v>0</v>
      </c>
      <c r="CR47" s="265">
        <f t="shared" si="91"/>
        <v>0</v>
      </c>
      <c r="CS47" s="265">
        <f t="shared" si="92"/>
        <v>0</v>
      </c>
      <c r="CT47" s="265">
        <f t="shared" si="57"/>
        <v>0</v>
      </c>
      <c r="CU47" s="265">
        <f t="shared" si="58"/>
        <v>0</v>
      </c>
      <c r="CV47" s="265">
        <f t="shared" si="59"/>
        <v>0</v>
      </c>
      <c r="CW47" s="265">
        <f t="shared" si="60"/>
        <v>0</v>
      </c>
      <c r="CX47" s="265">
        <f t="shared" si="93"/>
        <v>0</v>
      </c>
      <c r="CY47" s="265">
        <f t="shared" si="94"/>
        <v>0</v>
      </c>
      <c r="CZ47" s="265">
        <f t="shared" si="95"/>
        <v>0</v>
      </c>
      <c r="DA47" s="265">
        <f t="shared" ca="1" si="96"/>
        <v>0</v>
      </c>
    </row>
    <row r="48" spans="1:105" s="262" customFormat="1" ht="15" customHeight="1">
      <c r="A48" s="63">
        <f t="array" aca="1" ref="A48" ca="1">IF(C48&lt;&gt;0,SUM(($C$11:C48&lt;&gt;0)*1),"")</f>
        <v>38</v>
      </c>
      <c r="B48" s="263">
        <v>42460</v>
      </c>
      <c r="C48" s="266" t="s">
        <v>113</v>
      </c>
      <c r="D48" s="266">
        <f t="shared" si="103"/>
        <v>42460</v>
      </c>
      <c r="E48" s="919" t="s">
        <v>914</v>
      </c>
      <c r="F48" s="920">
        <f ca="1">CG52</f>
        <v>0</v>
      </c>
      <c r="G48" s="921" t="s">
        <v>292</v>
      </c>
      <c r="H48" s="921" t="s">
        <v>107</v>
      </c>
      <c r="I48" s="63">
        <f t="shared" ca="1" si="98"/>
        <v>38</v>
      </c>
      <c r="J48" s="265">
        <f t="shared" si="61"/>
        <v>0</v>
      </c>
      <c r="K48" s="265">
        <f t="shared" si="62"/>
        <v>0</v>
      </c>
      <c r="L48" s="265">
        <f t="shared" si="1"/>
        <v>0</v>
      </c>
      <c r="M48" s="265">
        <f t="shared" si="2"/>
        <v>0</v>
      </c>
      <c r="N48" s="265">
        <f t="shared" si="3"/>
        <v>0</v>
      </c>
      <c r="O48" s="265">
        <f t="shared" si="4"/>
        <v>0</v>
      </c>
      <c r="P48" s="265">
        <f t="shared" si="5"/>
        <v>0</v>
      </c>
      <c r="Q48" s="265">
        <f t="shared" si="6"/>
        <v>0</v>
      </c>
      <c r="R48" s="265">
        <f t="shared" si="7"/>
        <v>0</v>
      </c>
      <c r="S48" s="265">
        <f t="shared" si="8"/>
        <v>0</v>
      </c>
      <c r="T48" s="265">
        <f t="shared" si="9"/>
        <v>0</v>
      </c>
      <c r="U48" s="265">
        <f t="shared" si="10"/>
        <v>0</v>
      </c>
      <c r="V48" s="265">
        <f t="shared" si="11"/>
        <v>0</v>
      </c>
      <c r="W48" s="265">
        <f t="shared" si="12"/>
        <v>0</v>
      </c>
      <c r="X48" s="265">
        <f t="shared" si="13"/>
        <v>0</v>
      </c>
      <c r="Y48" s="265">
        <f t="shared" si="14"/>
        <v>0</v>
      </c>
      <c r="Z48" s="265">
        <f t="shared" si="15"/>
        <v>0</v>
      </c>
      <c r="AA48" s="265">
        <f t="shared" si="16"/>
        <v>0</v>
      </c>
      <c r="AB48" s="265">
        <f t="shared" si="63"/>
        <v>0</v>
      </c>
      <c r="AC48" s="265">
        <f t="shared" si="64"/>
        <v>0</v>
      </c>
      <c r="AD48" s="265">
        <f t="shared" si="17"/>
        <v>0</v>
      </c>
      <c r="AE48" s="265">
        <f t="shared" si="18"/>
        <v>0</v>
      </c>
      <c r="AF48" s="265">
        <f t="shared" si="19"/>
        <v>0</v>
      </c>
      <c r="AG48" s="265">
        <f t="shared" si="20"/>
        <v>0</v>
      </c>
      <c r="AH48" s="265">
        <f t="shared" si="65"/>
        <v>0</v>
      </c>
      <c r="AI48" s="265">
        <f t="shared" si="66"/>
        <v>0</v>
      </c>
      <c r="AJ48" s="265">
        <f t="shared" si="67"/>
        <v>0</v>
      </c>
      <c r="AK48" s="265">
        <f t="shared" si="68"/>
        <v>0</v>
      </c>
      <c r="AL48" s="265">
        <f t="shared" si="69"/>
        <v>0</v>
      </c>
      <c r="AM48" s="265">
        <f t="shared" si="70"/>
        <v>0</v>
      </c>
      <c r="AN48" s="265">
        <f t="shared" si="71"/>
        <v>0</v>
      </c>
      <c r="AO48" s="265">
        <f t="shared" si="72"/>
        <v>0</v>
      </c>
      <c r="AP48" s="265">
        <f t="shared" si="21"/>
        <v>0</v>
      </c>
      <c r="AQ48" s="265">
        <f t="shared" si="22"/>
        <v>0</v>
      </c>
      <c r="AR48" s="265">
        <f t="shared" si="23"/>
        <v>0</v>
      </c>
      <c r="AS48" s="265">
        <f t="shared" si="24"/>
        <v>0</v>
      </c>
      <c r="AT48" s="265">
        <f t="shared" si="99"/>
        <v>0</v>
      </c>
      <c r="AU48" s="265">
        <f t="shared" si="100"/>
        <v>0</v>
      </c>
      <c r="AV48" s="265">
        <f t="shared" si="25"/>
        <v>0</v>
      </c>
      <c r="AW48" s="265">
        <f t="shared" si="26"/>
        <v>0</v>
      </c>
      <c r="AX48" s="265">
        <f t="shared" si="27"/>
        <v>0</v>
      </c>
      <c r="AY48" s="265">
        <f t="shared" si="28"/>
        <v>0</v>
      </c>
      <c r="AZ48" s="265">
        <f t="shared" si="29"/>
        <v>0</v>
      </c>
      <c r="BA48" s="265">
        <f t="shared" si="30"/>
        <v>0</v>
      </c>
      <c r="BB48" s="265">
        <f t="shared" si="31"/>
        <v>0</v>
      </c>
      <c r="BC48" s="265">
        <f t="shared" si="32"/>
        <v>0</v>
      </c>
      <c r="BD48" s="265">
        <f t="shared" si="33"/>
        <v>0</v>
      </c>
      <c r="BE48" s="265">
        <f t="shared" si="34"/>
        <v>0</v>
      </c>
      <c r="BF48" s="265">
        <f t="shared" si="35"/>
        <v>0</v>
      </c>
      <c r="BG48" s="265">
        <f t="shared" si="36"/>
        <v>0</v>
      </c>
      <c r="BH48" s="265">
        <f t="shared" si="75"/>
        <v>0</v>
      </c>
      <c r="BI48" s="265">
        <f t="shared" si="76"/>
        <v>0</v>
      </c>
      <c r="BJ48" s="265">
        <f t="shared" si="37"/>
        <v>0</v>
      </c>
      <c r="BK48" s="265">
        <f t="shared" si="38"/>
        <v>0</v>
      </c>
      <c r="BL48" s="265">
        <f t="shared" si="39"/>
        <v>0</v>
      </c>
      <c r="BM48" s="265">
        <f t="shared" si="40"/>
        <v>0</v>
      </c>
      <c r="BN48" s="265">
        <f t="shared" si="41"/>
        <v>0</v>
      </c>
      <c r="BO48" s="265">
        <f t="shared" si="42"/>
        <v>0</v>
      </c>
      <c r="BP48" s="265">
        <f t="shared" si="77"/>
        <v>0</v>
      </c>
      <c r="BQ48" s="265">
        <f t="shared" si="78"/>
        <v>0</v>
      </c>
      <c r="BR48" s="265">
        <f t="shared" si="43"/>
        <v>0</v>
      </c>
      <c r="BS48" s="265">
        <f t="shared" si="44"/>
        <v>0</v>
      </c>
      <c r="BT48" s="265">
        <f t="shared" si="79"/>
        <v>0</v>
      </c>
      <c r="BU48" s="265">
        <f t="shared" si="80"/>
        <v>0</v>
      </c>
      <c r="BV48" s="265">
        <f t="shared" si="101"/>
        <v>0</v>
      </c>
      <c r="BW48" s="265">
        <f t="shared" si="102"/>
        <v>0</v>
      </c>
      <c r="BX48" s="265">
        <f t="shared" si="45"/>
        <v>0</v>
      </c>
      <c r="BY48" s="265">
        <f t="shared" si="46"/>
        <v>0</v>
      </c>
      <c r="BZ48" s="265">
        <f t="shared" si="47"/>
        <v>0</v>
      </c>
      <c r="CA48" s="265">
        <f t="shared" si="48"/>
        <v>0</v>
      </c>
      <c r="CB48" s="265">
        <f t="shared" si="49"/>
        <v>0</v>
      </c>
      <c r="CC48" s="265">
        <f t="shared" si="50"/>
        <v>0</v>
      </c>
      <c r="CD48" s="265">
        <f t="shared" si="83"/>
        <v>0</v>
      </c>
      <c r="CE48" s="265">
        <f t="shared" si="84"/>
        <v>0</v>
      </c>
      <c r="CF48" s="265">
        <f t="shared" ca="1" si="85"/>
        <v>0</v>
      </c>
      <c r="CG48" s="265">
        <f t="shared" si="86"/>
        <v>0</v>
      </c>
      <c r="CH48" s="265">
        <f t="shared" si="51"/>
        <v>0</v>
      </c>
      <c r="CI48" s="265">
        <f t="shared" si="52"/>
        <v>0</v>
      </c>
      <c r="CJ48" s="265">
        <f t="shared" si="87"/>
        <v>0</v>
      </c>
      <c r="CK48" s="265">
        <f t="shared" si="88"/>
        <v>0</v>
      </c>
      <c r="CL48" s="265">
        <f t="shared" si="53"/>
        <v>0</v>
      </c>
      <c r="CM48" s="265">
        <f t="shared" si="54"/>
        <v>0</v>
      </c>
      <c r="CN48" s="265">
        <f t="shared" si="55"/>
        <v>0</v>
      </c>
      <c r="CO48" s="265">
        <f t="shared" si="56"/>
        <v>0</v>
      </c>
      <c r="CP48" s="265">
        <f t="shared" si="89"/>
        <v>0</v>
      </c>
      <c r="CQ48" s="265">
        <f t="shared" si="90"/>
        <v>0</v>
      </c>
      <c r="CR48" s="265">
        <f t="shared" si="91"/>
        <v>0</v>
      </c>
      <c r="CS48" s="265">
        <f t="shared" si="92"/>
        <v>0</v>
      </c>
      <c r="CT48" s="265">
        <f t="shared" si="57"/>
        <v>0</v>
      </c>
      <c r="CU48" s="265">
        <f t="shared" si="58"/>
        <v>0</v>
      </c>
      <c r="CV48" s="265">
        <f t="shared" si="59"/>
        <v>0</v>
      </c>
      <c r="CW48" s="265">
        <f t="shared" si="60"/>
        <v>0</v>
      </c>
      <c r="CX48" s="265">
        <f t="shared" si="93"/>
        <v>0</v>
      </c>
      <c r="CY48" s="265">
        <f t="shared" si="94"/>
        <v>0</v>
      </c>
      <c r="CZ48" s="265">
        <f t="shared" si="95"/>
        <v>0</v>
      </c>
      <c r="DA48" s="265">
        <f t="shared" ca="1" si="96"/>
        <v>0</v>
      </c>
    </row>
    <row r="49" spans="1:105" s="262" customFormat="1" ht="15" customHeight="1">
      <c r="A49" s="63">
        <f t="array" aca="1" ref="A49" ca="1">IF(C49&lt;&gt;0,SUM(($C$11:C49&lt;&gt;0)*1),"")</f>
        <v>39</v>
      </c>
      <c r="B49" s="263">
        <v>42460</v>
      </c>
      <c r="C49" s="266" t="s">
        <v>113</v>
      </c>
      <c r="D49" s="266">
        <f t="shared" si="103"/>
        <v>42460</v>
      </c>
      <c r="E49" s="919" t="s">
        <v>117</v>
      </c>
      <c r="F49" s="920">
        <f ca="1">CU52</f>
        <v>0</v>
      </c>
      <c r="G49" s="921" t="s">
        <v>101</v>
      </c>
      <c r="H49" s="921" t="s">
        <v>107</v>
      </c>
      <c r="I49" s="63">
        <f t="shared" ca="1" si="98"/>
        <v>39</v>
      </c>
      <c r="J49" s="265">
        <f t="shared" si="61"/>
        <v>0</v>
      </c>
      <c r="K49" s="265">
        <f t="shared" si="62"/>
        <v>0</v>
      </c>
      <c r="L49" s="265">
        <f t="shared" si="1"/>
        <v>0</v>
      </c>
      <c r="M49" s="265">
        <f t="shared" si="2"/>
        <v>0</v>
      </c>
      <c r="N49" s="265">
        <f t="shared" si="3"/>
        <v>0</v>
      </c>
      <c r="O49" s="265">
        <f t="shared" si="4"/>
        <v>0</v>
      </c>
      <c r="P49" s="265">
        <f t="shared" si="5"/>
        <v>0</v>
      </c>
      <c r="Q49" s="265">
        <f t="shared" si="6"/>
        <v>0</v>
      </c>
      <c r="R49" s="265">
        <f t="shared" si="7"/>
        <v>0</v>
      </c>
      <c r="S49" s="265">
        <f t="shared" si="8"/>
        <v>0</v>
      </c>
      <c r="T49" s="265">
        <f t="shared" si="9"/>
        <v>0</v>
      </c>
      <c r="U49" s="265">
        <f t="shared" si="10"/>
        <v>0</v>
      </c>
      <c r="V49" s="265">
        <f t="shared" si="11"/>
        <v>0</v>
      </c>
      <c r="W49" s="265">
        <f t="shared" si="12"/>
        <v>0</v>
      </c>
      <c r="X49" s="265">
        <f t="shared" si="13"/>
        <v>0</v>
      </c>
      <c r="Y49" s="265">
        <f t="shared" si="14"/>
        <v>0</v>
      </c>
      <c r="Z49" s="265">
        <f t="shared" si="15"/>
        <v>0</v>
      </c>
      <c r="AA49" s="265">
        <f t="shared" si="16"/>
        <v>0</v>
      </c>
      <c r="AB49" s="265">
        <f t="shared" si="63"/>
        <v>0</v>
      </c>
      <c r="AC49" s="265">
        <f t="shared" si="64"/>
        <v>0</v>
      </c>
      <c r="AD49" s="265">
        <f t="shared" si="17"/>
        <v>0</v>
      </c>
      <c r="AE49" s="265">
        <f t="shared" si="18"/>
        <v>0</v>
      </c>
      <c r="AF49" s="265">
        <f t="shared" si="19"/>
        <v>0</v>
      </c>
      <c r="AG49" s="265">
        <f t="shared" si="20"/>
        <v>0</v>
      </c>
      <c r="AH49" s="265">
        <f t="shared" si="65"/>
        <v>0</v>
      </c>
      <c r="AI49" s="265">
        <f t="shared" si="66"/>
        <v>0</v>
      </c>
      <c r="AJ49" s="265">
        <f t="shared" si="67"/>
        <v>0</v>
      </c>
      <c r="AK49" s="265">
        <f t="shared" si="68"/>
        <v>0</v>
      </c>
      <c r="AL49" s="265">
        <f t="shared" si="69"/>
        <v>0</v>
      </c>
      <c r="AM49" s="265">
        <f t="shared" si="70"/>
        <v>0</v>
      </c>
      <c r="AN49" s="265">
        <f t="shared" si="71"/>
        <v>0</v>
      </c>
      <c r="AO49" s="265">
        <f t="shared" si="72"/>
        <v>0</v>
      </c>
      <c r="AP49" s="265">
        <f t="shared" si="21"/>
        <v>0</v>
      </c>
      <c r="AQ49" s="265">
        <f t="shared" si="22"/>
        <v>0</v>
      </c>
      <c r="AR49" s="265">
        <f t="shared" si="23"/>
        <v>0</v>
      </c>
      <c r="AS49" s="265">
        <f t="shared" si="24"/>
        <v>0</v>
      </c>
      <c r="AT49" s="265">
        <f t="shared" si="99"/>
        <v>0</v>
      </c>
      <c r="AU49" s="265">
        <f t="shared" si="100"/>
        <v>0</v>
      </c>
      <c r="AV49" s="265">
        <f t="shared" si="25"/>
        <v>0</v>
      </c>
      <c r="AW49" s="265">
        <f t="shared" si="26"/>
        <v>0</v>
      </c>
      <c r="AX49" s="265">
        <f t="shared" si="27"/>
        <v>0</v>
      </c>
      <c r="AY49" s="265">
        <f t="shared" si="28"/>
        <v>0</v>
      </c>
      <c r="AZ49" s="265">
        <f t="shared" si="29"/>
        <v>0</v>
      </c>
      <c r="BA49" s="265">
        <f t="shared" si="30"/>
        <v>0</v>
      </c>
      <c r="BB49" s="265">
        <f t="shared" si="31"/>
        <v>0</v>
      </c>
      <c r="BC49" s="265">
        <f t="shared" si="32"/>
        <v>0</v>
      </c>
      <c r="BD49" s="265">
        <f t="shared" si="33"/>
        <v>0</v>
      </c>
      <c r="BE49" s="265">
        <f t="shared" si="34"/>
        <v>0</v>
      </c>
      <c r="BF49" s="265">
        <f t="shared" si="35"/>
        <v>0</v>
      </c>
      <c r="BG49" s="265">
        <f t="shared" si="36"/>
        <v>0</v>
      </c>
      <c r="BH49" s="265">
        <f t="shared" si="75"/>
        <v>0</v>
      </c>
      <c r="BI49" s="265">
        <f t="shared" si="76"/>
        <v>0</v>
      </c>
      <c r="BJ49" s="265">
        <f t="shared" si="37"/>
        <v>0</v>
      </c>
      <c r="BK49" s="265">
        <f t="shared" si="38"/>
        <v>0</v>
      </c>
      <c r="BL49" s="265">
        <f t="shared" si="39"/>
        <v>0</v>
      </c>
      <c r="BM49" s="265">
        <f t="shared" si="40"/>
        <v>0</v>
      </c>
      <c r="BN49" s="265">
        <f t="shared" si="41"/>
        <v>0</v>
      </c>
      <c r="BO49" s="265">
        <f t="shared" si="42"/>
        <v>0</v>
      </c>
      <c r="BP49" s="265">
        <f t="shared" si="77"/>
        <v>0</v>
      </c>
      <c r="BQ49" s="265">
        <f t="shared" si="78"/>
        <v>0</v>
      </c>
      <c r="BR49" s="265">
        <f t="shared" si="43"/>
        <v>0</v>
      </c>
      <c r="BS49" s="265">
        <f t="shared" si="44"/>
        <v>0</v>
      </c>
      <c r="BT49" s="265">
        <f t="shared" si="79"/>
        <v>0</v>
      </c>
      <c r="BU49" s="265">
        <f t="shared" si="80"/>
        <v>0</v>
      </c>
      <c r="BV49" s="265">
        <f t="shared" si="101"/>
        <v>0</v>
      </c>
      <c r="BW49" s="265">
        <f t="shared" si="102"/>
        <v>0</v>
      </c>
      <c r="BX49" s="265">
        <f t="shared" si="45"/>
        <v>0</v>
      </c>
      <c r="BY49" s="265">
        <f t="shared" si="46"/>
        <v>0</v>
      </c>
      <c r="BZ49" s="265">
        <f t="shared" si="47"/>
        <v>0</v>
      </c>
      <c r="CA49" s="265">
        <f t="shared" si="48"/>
        <v>0</v>
      </c>
      <c r="CB49" s="265">
        <f t="shared" si="49"/>
        <v>0</v>
      </c>
      <c r="CC49" s="265">
        <f t="shared" si="50"/>
        <v>0</v>
      </c>
      <c r="CD49" s="265">
        <f t="shared" si="83"/>
        <v>0</v>
      </c>
      <c r="CE49" s="265">
        <f t="shared" si="84"/>
        <v>0</v>
      </c>
      <c r="CF49" s="265">
        <f t="shared" si="85"/>
        <v>0</v>
      </c>
      <c r="CG49" s="265">
        <f t="shared" si="86"/>
        <v>0</v>
      </c>
      <c r="CH49" s="265">
        <f t="shared" si="51"/>
        <v>0</v>
      </c>
      <c r="CI49" s="265">
        <f t="shared" si="52"/>
        <v>0</v>
      </c>
      <c r="CJ49" s="265">
        <f t="shared" si="87"/>
        <v>0</v>
      </c>
      <c r="CK49" s="265">
        <f t="shared" si="88"/>
        <v>0</v>
      </c>
      <c r="CL49" s="265">
        <f t="shared" si="53"/>
        <v>0</v>
      </c>
      <c r="CM49" s="265">
        <f t="shared" si="54"/>
        <v>0</v>
      </c>
      <c r="CN49" s="265">
        <f t="shared" si="55"/>
        <v>0</v>
      </c>
      <c r="CO49" s="265">
        <f t="shared" si="56"/>
        <v>0</v>
      </c>
      <c r="CP49" s="265">
        <f t="shared" si="89"/>
        <v>0</v>
      </c>
      <c r="CQ49" s="265">
        <f t="shared" si="90"/>
        <v>0</v>
      </c>
      <c r="CR49" s="265">
        <f t="shared" si="91"/>
        <v>0</v>
      </c>
      <c r="CS49" s="265">
        <f t="shared" si="92"/>
        <v>0</v>
      </c>
      <c r="CT49" s="265">
        <f t="shared" ca="1" si="57"/>
        <v>0</v>
      </c>
      <c r="CU49" s="265">
        <f t="shared" si="58"/>
        <v>0</v>
      </c>
      <c r="CV49" s="265">
        <f t="shared" si="59"/>
        <v>0</v>
      </c>
      <c r="CW49" s="265">
        <f t="shared" si="60"/>
        <v>0</v>
      </c>
      <c r="CX49" s="265">
        <f t="shared" si="93"/>
        <v>0</v>
      </c>
      <c r="CY49" s="265">
        <f t="shared" si="94"/>
        <v>0</v>
      </c>
      <c r="CZ49" s="265">
        <f t="shared" si="95"/>
        <v>0</v>
      </c>
      <c r="DA49" s="265">
        <f t="shared" ca="1" si="96"/>
        <v>0</v>
      </c>
    </row>
    <row r="50" spans="1:105" s="262" customFormat="1" ht="15" customHeight="1">
      <c r="A50" s="63">
        <f t="array" aca="1" ref="A50" ca="1">IF(C50&lt;&gt;0,SUM(($C$11:C50&lt;&gt;0)*1),"")</f>
        <v>40</v>
      </c>
      <c r="B50" s="263">
        <v>42460</v>
      </c>
      <c r="C50" s="266" t="s">
        <v>113</v>
      </c>
      <c r="D50" s="266">
        <f t="shared" si="103"/>
        <v>42460</v>
      </c>
      <c r="E50" s="919" t="s">
        <v>118</v>
      </c>
      <c r="F50" s="920">
        <f ca="1">CV52</f>
        <v>0</v>
      </c>
      <c r="G50" s="921" t="s">
        <v>107</v>
      </c>
      <c r="H50" s="921" t="s">
        <v>103</v>
      </c>
      <c r="I50" s="63">
        <f t="shared" ca="1" si="98"/>
        <v>40</v>
      </c>
      <c r="J50" s="265">
        <f t="shared" si="61"/>
        <v>0</v>
      </c>
      <c r="K50" s="265">
        <f t="shared" si="62"/>
        <v>0</v>
      </c>
      <c r="L50" s="265">
        <f t="shared" si="1"/>
        <v>0</v>
      </c>
      <c r="M50" s="265">
        <f t="shared" si="2"/>
        <v>0</v>
      </c>
      <c r="N50" s="265">
        <f t="shared" si="3"/>
        <v>0</v>
      </c>
      <c r="O50" s="265">
        <f t="shared" si="4"/>
        <v>0</v>
      </c>
      <c r="P50" s="265">
        <f t="shared" si="5"/>
        <v>0</v>
      </c>
      <c r="Q50" s="265">
        <f t="shared" si="6"/>
        <v>0</v>
      </c>
      <c r="R50" s="265">
        <f t="shared" si="7"/>
        <v>0</v>
      </c>
      <c r="S50" s="265">
        <f t="shared" si="8"/>
        <v>0</v>
      </c>
      <c r="T50" s="265">
        <f t="shared" si="9"/>
        <v>0</v>
      </c>
      <c r="U50" s="265">
        <f t="shared" si="10"/>
        <v>0</v>
      </c>
      <c r="V50" s="265">
        <f t="shared" si="11"/>
        <v>0</v>
      </c>
      <c r="W50" s="265">
        <f t="shared" si="12"/>
        <v>0</v>
      </c>
      <c r="X50" s="265">
        <f t="shared" si="13"/>
        <v>0</v>
      </c>
      <c r="Y50" s="265">
        <f t="shared" si="14"/>
        <v>0</v>
      </c>
      <c r="Z50" s="265">
        <f t="shared" si="15"/>
        <v>0</v>
      </c>
      <c r="AA50" s="265">
        <f t="shared" si="16"/>
        <v>0</v>
      </c>
      <c r="AB50" s="265">
        <f t="shared" si="63"/>
        <v>0</v>
      </c>
      <c r="AC50" s="265">
        <f t="shared" si="64"/>
        <v>0</v>
      </c>
      <c r="AD50" s="265">
        <f t="shared" si="17"/>
        <v>0</v>
      </c>
      <c r="AE50" s="265">
        <f t="shared" si="18"/>
        <v>0</v>
      </c>
      <c r="AF50" s="265">
        <f t="shared" si="19"/>
        <v>0</v>
      </c>
      <c r="AG50" s="265">
        <f t="shared" si="20"/>
        <v>0</v>
      </c>
      <c r="AH50" s="265">
        <f t="shared" si="65"/>
        <v>0</v>
      </c>
      <c r="AI50" s="265">
        <f t="shared" si="66"/>
        <v>0</v>
      </c>
      <c r="AJ50" s="265">
        <f t="shared" si="67"/>
        <v>0</v>
      </c>
      <c r="AK50" s="265">
        <f t="shared" si="68"/>
        <v>0</v>
      </c>
      <c r="AL50" s="265">
        <f t="shared" si="69"/>
        <v>0</v>
      </c>
      <c r="AM50" s="265">
        <f t="shared" si="70"/>
        <v>0</v>
      </c>
      <c r="AN50" s="265">
        <f t="shared" si="71"/>
        <v>0</v>
      </c>
      <c r="AO50" s="265">
        <f t="shared" si="72"/>
        <v>0</v>
      </c>
      <c r="AP50" s="265">
        <f t="shared" si="21"/>
        <v>0</v>
      </c>
      <c r="AQ50" s="265">
        <f t="shared" si="22"/>
        <v>0</v>
      </c>
      <c r="AR50" s="265">
        <f t="shared" si="23"/>
        <v>0</v>
      </c>
      <c r="AS50" s="265">
        <f t="shared" si="24"/>
        <v>0</v>
      </c>
      <c r="AT50" s="265">
        <f t="shared" si="99"/>
        <v>0</v>
      </c>
      <c r="AU50" s="265">
        <f t="shared" si="100"/>
        <v>0</v>
      </c>
      <c r="AV50" s="265">
        <f t="shared" si="25"/>
        <v>0</v>
      </c>
      <c r="AW50" s="265">
        <f t="shared" si="26"/>
        <v>0</v>
      </c>
      <c r="AX50" s="265">
        <f t="shared" si="27"/>
        <v>0</v>
      </c>
      <c r="AY50" s="265">
        <f t="shared" si="28"/>
        <v>0</v>
      </c>
      <c r="AZ50" s="265">
        <f t="shared" si="29"/>
        <v>0</v>
      </c>
      <c r="BA50" s="265">
        <f t="shared" si="30"/>
        <v>0</v>
      </c>
      <c r="BB50" s="265">
        <f t="shared" si="31"/>
        <v>0</v>
      </c>
      <c r="BC50" s="265">
        <f t="shared" si="32"/>
        <v>0</v>
      </c>
      <c r="BD50" s="265">
        <f t="shared" si="33"/>
        <v>0</v>
      </c>
      <c r="BE50" s="265">
        <f t="shared" si="34"/>
        <v>0</v>
      </c>
      <c r="BF50" s="265">
        <f t="shared" si="35"/>
        <v>0</v>
      </c>
      <c r="BG50" s="265">
        <f t="shared" si="36"/>
        <v>0</v>
      </c>
      <c r="BH50" s="265">
        <f t="shared" si="75"/>
        <v>0</v>
      </c>
      <c r="BI50" s="265">
        <f t="shared" si="76"/>
        <v>0</v>
      </c>
      <c r="BJ50" s="265">
        <f t="shared" si="37"/>
        <v>0</v>
      </c>
      <c r="BK50" s="265">
        <f t="shared" si="38"/>
        <v>0</v>
      </c>
      <c r="BL50" s="265">
        <f t="shared" si="39"/>
        <v>0</v>
      </c>
      <c r="BM50" s="265">
        <f t="shared" si="40"/>
        <v>0</v>
      </c>
      <c r="BN50" s="265">
        <f t="shared" si="41"/>
        <v>0</v>
      </c>
      <c r="BO50" s="265">
        <f t="shared" si="42"/>
        <v>0</v>
      </c>
      <c r="BP50" s="265">
        <f t="shared" si="77"/>
        <v>0</v>
      </c>
      <c r="BQ50" s="265">
        <f t="shared" si="78"/>
        <v>0</v>
      </c>
      <c r="BR50" s="265">
        <f t="shared" si="43"/>
        <v>0</v>
      </c>
      <c r="BS50" s="265">
        <f t="shared" si="44"/>
        <v>0</v>
      </c>
      <c r="BT50" s="265">
        <f t="shared" si="79"/>
        <v>0</v>
      </c>
      <c r="BU50" s="265">
        <f t="shared" si="80"/>
        <v>0</v>
      </c>
      <c r="BV50" s="265">
        <f t="shared" si="101"/>
        <v>0</v>
      </c>
      <c r="BW50" s="265">
        <f t="shared" si="102"/>
        <v>0</v>
      </c>
      <c r="BX50" s="265">
        <f t="shared" si="45"/>
        <v>0</v>
      </c>
      <c r="BY50" s="265">
        <f t="shared" si="46"/>
        <v>0</v>
      </c>
      <c r="BZ50" s="265">
        <f t="shared" si="47"/>
        <v>0</v>
      </c>
      <c r="CA50" s="265">
        <f t="shared" si="48"/>
        <v>0</v>
      </c>
      <c r="CB50" s="265">
        <f t="shared" si="49"/>
        <v>0</v>
      </c>
      <c r="CC50" s="265">
        <f t="shared" si="50"/>
        <v>0</v>
      </c>
      <c r="CD50" s="265">
        <f t="shared" si="83"/>
        <v>0</v>
      </c>
      <c r="CE50" s="265">
        <f t="shared" si="84"/>
        <v>0</v>
      </c>
      <c r="CF50" s="265">
        <f t="shared" si="85"/>
        <v>0</v>
      </c>
      <c r="CG50" s="265">
        <f t="shared" si="86"/>
        <v>0</v>
      </c>
      <c r="CH50" s="265">
        <f t="shared" si="51"/>
        <v>0</v>
      </c>
      <c r="CI50" s="265">
        <f t="shared" si="52"/>
        <v>0</v>
      </c>
      <c r="CJ50" s="265">
        <f t="shared" si="87"/>
        <v>0</v>
      </c>
      <c r="CK50" s="265">
        <f t="shared" si="88"/>
        <v>0</v>
      </c>
      <c r="CL50" s="265">
        <f t="shared" si="53"/>
        <v>0</v>
      </c>
      <c r="CM50" s="265">
        <f t="shared" si="54"/>
        <v>0</v>
      </c>
      <c r="CN50" s="265">
        <f t="shared" si="55"/>
        <v>0</v>
      </c>
      <c r="CO50" s="265">
        <f t="shared" si="56"/>
        <v>0</v>
      </c>
      <c r="CP50" s="265">
        <f t="shared" si="89"/>
        <v>0</v>
      </c>
      <c r="CQ50" s="265">
        <f t="shared" si="90"/>
        <v>0</v>
      </c>
      <c r="CR50" s="265">
        <f t="shared" si="91"/>
        <v>0</v>
      </c>
      <c r="CS50" s="265">
        <f t="shared" si="92"/>
        <v>0</v>
      </c>
      <c r="CT50" s="265">
        <f t="shared" si="57"/>
        <v>0</v>
      </c>
      <c r="CU50" s="265">
        <f t="shared" si="58"/>
        <v>0</v>
      </c>
      <c r="CV50" s="265">
        <f t="shared" si="59"/>
        <v>0</v>
      </c>
      <c r="CW50" s="265">
        <f t="shared" ca="1" si="60"/>
        <v>0</v>
      </c>
      <c r="CX50" s="265">
        <f t="shared" si="93"/>
        <v>0</v>
      </c>
      <c r="CY50" s="265">
        <f t="shared" si="94"/>
        <v>0</v>
      </c>
      <c r="CZ50" s="265">
        <f t="shared" ca="1" si="95"/>
        <v>0</v>
      </c>
      <c r="DA50" s="265">
        <f t="shared" si="96"/>
        <v>0</v>
      </c>
    </row>
    <row r="51" spans="1:105" s="262" customFormat="1" ht="15" customHeight="1">
      <c r="A51" s="63" t="str">
        <f t="array" ref="A51">IF(C51&lt;&gt;0,SUM(($C$11:C51&lt;&gt;0)*1),"")</f>
        <v/>
      </c>
      <c r="B51" s="229"/>
      <c r="C51" s="267"/>
      <c r="D51" s="229"/>
      <c r="E51" s="264"/>
      <c r="F51" s="65"/>
      <c r="G51" s="268"/>
      <c r="H51" s="268"/>
      <c r="I51" s="63" t="str">
        <f>A51</f>
        <v/>
      </c>
      <c r="J51" s="265">
        <f t="shared" si="61"/>
        <v>0</v>
      </c>
      <c r="K51" s="265">
        <f t="shared" si="62"/>
        <v>0</v>
      </c>
      <c r="L51" s="265">
        <f t="shared" si="1"/>
        <v>0</v>
      </c>
      <c r="M51" s="265">
        <f t="shared" si="2"/>
        <v>0</v>
      </c>
      <c r="N51" s="265">
        <f t="shared" si="3"/>
        <v>0</v>
      </c>
      <c r="O51" s="265">
        <f t="shared" si="4"/>
        <v>0</v>
      </c>
      <c r="P51" s="265">
        <f t="shared" si="5"/>
        <v>0</v>
      </c>
      <c r="Q51" s="265">
        <f t="shared" si="6"/>
        <v>0</v>
      </c>
      <c r="R51" s="265">
        <f t="shared" si="7"/>
        <v>0</v>
      </c>
      <c r="S51" s="265">
        <f t="shared" si="8"/>
        <v>0</v>
      </c>
      <c r="T51" s="265">
        <f t="shared" si="9"/>
        <v>0</v>
      </c>
      <c r="U51" s="265">
        <f t="shared" si="10"/>
        <v>0</v>
      </c>
      <c r="V51" s="265">
        <f t="shared" si="11"/>
        <v>0</v>
      </c>
      <c r="W51" s="265">
        <f t="shared" si="12"/>
        <v>0</v>
      </c>
      <c r="X51" s="265">
        <f t="shared" si="13"/>
        <v>0</v>
      </c>
      <c r="Y51" s="265">
        <f t="shared" si="14"/>
        <v>0</v>
      </c>
      <c r="Z51" s="265">
        <f t="shared" si="15"/>
        <v>0</v>
      </c>
      <c r="AA51" s="265">
        <f t="shared" si="16"/>
        <v>0</v>
      </c>
      <c r="AB51" s="265">
        <f t="shared" si="63"/>
        <v>0</v>
      </c>
      <c r="AC51" s="265">
        <f t="shared" si="64"/>
        <v>0</v>
      </c>
      <c r="AD51" s="265">
        <f t="shared" si="17"/>
        <v>0</v>
      </c>
      <c r="AE51" s="265">
        <f t="shared" si="18"/>
        <v>0</v>
      </c>
      <c r="AF51" s="265">
        <f t="shared" si="19"/>
        <v>0</v>
      </c>
      <c r="AG51" s="265">
        <f t="shared" si="20"/>
        <v>0</v>
      </c>
      <c r="AH51" s="265">
        <f t="shared" si="65"/>
        <v>0</v>
      </c>
      <c r="AI51" s="265">
        <f t="shared" si="66"/>
        <v>0</v>
      </c>
      <c r="AJ51" s="265">
        <f t="shared" si="67"/>
        <v>0</v>
      </c>
      <c r="AK51" s="265">
        <f t="shared" si="68"/>
        <v>0</v>
      </c>
      <c r="AL51" s="265">
        <f t="shared" si="69"/>
        <v>0</v>
      </c>
      <c r="AM51" s="265">
        <f t="shared" si="70"/>
        <v>0</v>
      </c>
      <c r="AN51" s="265">
        <f t="shared" si="71"/>
        <v>0</v>
      </c>
      <c r="AO51" s="265">
        <f t="shared" si="72"/>
        <v>0</v>
      </c>
      <c r="AP51" s="265">
        <f t="shared" si="21"/>
        <v>0</v>
      </c>
      <c r="AQ51" s="265">
        <f t="shared" si="22"/>
        <v>0</v>
      </c>
      <c r="AR51" s="265">
        <f t="shared" si="23"/>
        <v>0</v>
      </c>
      <c r="AS51" s="265">
        <f t="shared" si="24"/>
        <v>0</v>
      </c>
      <c r="AT51" s="265">
        <f t="shared" si="99"/>
        <v>0</v>
      </c>
      <c r="AU51" s="265">
        <f t="shared" si="100"/>
        <v>0</v>
      </c>
      <c r="AV51" s="265">
        <f t="shared" si="25"/>
        <v>0</v>
      </c>
      <c r="AW51" s="265">
        <f t="shared" si="26"/>
        <v>0</v>
      </c>
      <c r="AX51" s="265">
        <f t="shared" si="27"/>
        <v>0</v>
      </c>
      <c r="AY51" s="265">
        <f t="shared" si="28"/>
        <v>0</v>
      </c>
      <c r="AZ51" s="265">
        <f t="shared" si="29"/>
        <v>0</v>
      </c>
      <c r="BA51" s="265">
        <f t="shared" si="30"/>
        <v>0</v>
      </c>
      <c r="BB51" s="265">
        <f t="shared" si="31"/>
        <v>0</v>
      </c>
      <c r="BC51" s="265">
        <f t="shared" si="32"/>
        <v>0</v>
      </c>
      <c r="BD51" s="265">
        <f t="shared" si="33"/>
        <v>0</v>
      </c>
      <c r="BE51" s="265">
        <f t="shared" si="34"/>
        <v>0</v>
      </c>
      <c r="BF51" s="265">
        <f t="shared" si="35"/>
        <v>0</v>
      </c>
      <c r="BG51" s="265">
        <f t="shared" si="36"/>
        <v>0</v>
      </c>
      <c r="BH51" s="265">
        <f t="shared" si="75"/>
        <v>0</v>
      </c>
      <c r="BI51" s="265">
        <f t="shared" si="76"/>
        <v>0</v>
      </c>
      <c r="BJ51" s="265">
        <f t="shared" si="37"/>
        <v>0</v>
      </c>
      <c r="BK51" s="265">
        <f t="shared" si="38"/>
        <v>0</v>
      </c>
      <c r="BL51" s="265">
        <f t="shared" si="39"/>
        <v>0</v>
      </c>
      <c r="BM51" s="265">
        <f t="shared" si="40"/>
        <v>0</v>
      </c>
      <c r="BN51" s="265">
        <f t="shared" si="41"/>
        <v>0</v>
      </c>
      <c r="BO51" s="265">
        <f t="shared" si="42"/>
        <v>0</v>
      </c>
      <c r="BP51" s="265">
        <f t="shared" si="77"/>
        <v>0</v>
      </c>
      <c r="BQ51" s="265">
        <f t="shared" si="78"/>
        <v>0</v>
      </c>
      <c r="BR51" s="265">
        <f t="shared" si="43"/>
        <v>0</v>
      </c>
      <c r="BS51" s="265">
        <f t="shared" si="44"/>
        <v>0</v>
      </c>
      <c r="BT51" s="265">
        <f t="shared" si="79"/>
        <v>0</v>
      </c>
      <c r="BU51" s="265">
        <f t="shared" si="80"/>
        <v>0</v>
      </c>
      <c r="BV51" s="265">
        <f t="shared" si="101"/>
        <v>0</v>
      </c>
      <c r="BW51" s="265">
        <f t="shared" si="102"/>
        <v>0</v>
      </c>
      <c r="BX51" s="265">
        <f t="shared" si="45"/>
        <v>0</v>
      </c>
      <c r="BY51" s="265">
        <f t="shared" si="46"/>
        <v>0</v>
      </c>
      <c r="BZ51" s="265">
        <f t="shared" si="47"/>
        <v>0</v>
      </c>
      <c r="CA51" s="265">
        <f t="shared" si="48"/>
        <v>0</v>
      </c>
      <c r="CB51" s="265">
        <f t="shared" si="49"/>
        <v>0</v>
      </c>
      <c r="CC51" s="265">
        <f t="shared" si="50"/>
        <v>0</v>
      </c>
      <c r="CD51" s="265">
        <f t="shared" si="83"/>
        <v>0</v>
      </c>
      <c r="CE51" s="265">
        <f t="shared" si="84"/>
        <v>0</v>
      </c>
      <c r="CF51" s="265">
        <f t="shared" si="85"/>
        <v>0</v>
      </c>
      <c r="CG51" s="265">
        <f t="shared" si="86"/>
        <v>0</v>
      </c>
      <c r="CH51" s="265">
        <f t="shared" si="51"/>
        <v>0</v>
      </c>
      <c r="CI51" s="265">
        <f t="shared" si="52"/>
        <v>0</v>
      </c>
      <c r="CJ51" s="265">
        <f t="shared" si="87"/>
        <v>0</v>
      </c>
      <c r="CK51" s="265">
        <f t="shared" si="88"/>
        <v>0</v>
      </c>
      <c r="CL51" s="265">
        <f t="shared" si="53"/>
        <v>0</v>
      </c>
      <c r="CM51" s="265">
        <f t="shared" si="54"/>
        <v>0</v>
      </c>
      <c r="CN51" s="265">
        <f t="shared" si="55"/>
        <v>0</v>
      </c>
      <c r="CO51" s="265">
        <f t="shared" si="56"/>
        <v>0</v>
      </c>
      <c r="CP51" s="265">
        <f t="shared" si="89"/>
        <v>0</v>
      </c>
      <c r="CQ51" s="265">
        <f t="shared" si="90"/>
        <v>0</v>
      </c>
      <c r="CR51" s="265">
        <f t="shared" si="91"/>
        <v>0</v>
      </c>
      <c r="CS51" s="265">
        <f t="shared" si="92"/>
        <v>0</v>
      </c>
      <c r="CT51" s="265">
        <f t="shared" si="57"/>
        <v>0</v>
      </c>
      <c r="CU51" s="265">
        <f t="shared" si="58"/>
        <v>0</v>
      </c>
      <c r="CV51" s="265">
        <f t="shared" si="59"/>
        <v>0</v>
      </c>
      <c r="CW51" s="265">
        <f t="shared" si="60"/>
        <v>0</v>
      </c>
      <c r="CX51" s="265">
        <f t="shared" si="93"/>
        <v>0</v>
      </c>
      <c r="CY51" s="265">
        <f t="shared" si="94"/>
        <v>0</v>
      </c>
      <c r="CZ51" s="265">
        <f t="shared" si="95"/>
        <v>0</v>
      </c>
      <c r="DA51" s="265">
        <f t="shared" si="96"/>
        <v>0</v>
      </c>
    </row>
    <row r="52" spans="1:105" s="262" customFormat="1" ht="15" customHeight="1">
      <c r="A52" s="63" t="str">
        <f t="array" ref="A52">IF(C52&lt;&gt;0,SUM(($C$11:C52&lt;&gt;0)*1),"")</f>
        <v/>
      </c>
      <c r="B52" s="269"/>
      <c r="C52" s="269"/>
      <c r="D52" s="269"/>
      <c r="E52" s="264" t="s">
        <v>171</v>
      </c>
      <c r="F52" s="269"/>
      <c r="G52" s="268"/>
      <c r="H52" s="268"/>
      <c r="I52" s="269"/>
      <c r="J52" s="265">
        <f t="shared" ref="J52:AO52" ca="1" si="104">SUM(J11:J51)</f>
        <v>0</v>
      </c>
      <c r="K52" s="265">
        <f t="shared" ca="1" si="104"/>
        <v>0</v>
      </c>
      <c r="L52" s="265">
        <f t="shared" ca="1" si="104"/>
        <v>0</v>
      </c>
      <c r="M52" s="265">
        <f t="shared" ca="1" si="104"/>
        <v>0</v>
      </c>
      <c r="N52" s="265">
        <f t="shared" ca="1" si="104"/>
        <v>0</v>
      </c>
      <c r="O52" s="265">
        <f t="shared" ca="1" si="104"/>
        <v>0</v>
      </c>
      <c r="P52" s="265">
        <f t="shared" ca="1" si="104"/>
        <v>0</v>
      </c>
      <c r="Q52" s="265">
        <f t="shared" ca="1" si="104"/>
        <v>0</v>
      </c>
      <c r="R52" s="265">
        <f t="shared" ca="1" si="104"/>
        <v>0</v>
      </c>
      <c r="S52" s="265">
        <f t="shared" ca="1" si="104"/>
        <v>0</v>
      </c>
      <c r="T52" s="265">
        <f t="shared" ca="1" si="104"/>
        <v>0</v>
      </c>
      <c r="U52" s="265">
        <f t="shared" ca="1" si="104"/>
        <v>0</v>
      </c>
      <c r="V52" s="265">
        <f t="shared" ca="1" si="104"/>
        <v>0</v>
      </c>
      <c r="W52" s="265">
        <f t="shared" ca="1" si="104"/>
        <v>0</v>
      </c>
      <c r="X52" s="265">
        <f t="shared" ca="1" si="104"/>
        <v>0</v>
      </c>
      <c r="Y52" s="265">
        <f t="shared" ca="1" si="104"/>
        <v>0</v>
      </c>
      <c r="Z52" s="265">
        <f t="shared" ca="1" si="104"/>
        <v>0</v>
      </c>
      <c r="AA52" s="265">
        <f t="shared" ca="1" si="104"/>
        <v>0</v>
      </c>
      <c r="AB52" s="265">
        <f t="shared" ca="1" si="104"/>
        <v>0</v>
      </c>
      <c r="AC52" s="265">
        <f t="shared" ca="1" si="104"/>
        <v>0</v>
      </c>
      <c r="AD52" s="265">
        <f t="shared" ca="1" si="104"/>
        <v>0</v>
      </c>
      <c r="AE52" s="265">
        <f t="shared" ca="1" si="104"/>
        <v>0</v>
      </c>
      <c r="AF52" s="265">
        <f t="shared" ca="1" si="104"/>
        <v>0</v>
      </c>
      <c r="AG52" s="265">
        <f t="shared" ca="1" si="104"/>
        <v>0</v>
      </c>
      <c r="AH52" s="265">
        <f t="shared" ca="1" si="104"/>
        <v>0</v>
      </c>
      <c r="AI52" s="265">
        <f t="shared" ca="1" si="104"/>
        <v>0</v>
      </c>
      <c r="AJ52" s="265">
        <f t="shared" ca="1" si="104"/>
        <v>0</v>
      </c>
      <c r="AK52" s="265">
        <f t="shared" ca="1" si="104"/>
        <v>0</v>
      </c>
      <c r="AL52" s="265">
        <f t="shared" ca="1" si="104"/>
        <v>0</v>
      </c>
      <c r="AM52" s="265">
        <f t="shared" ca="1" si="104"/>
        <v>0</v>
      </c>
      <c r="AN52" s="265">
        <f t="shared" ca="1" si="104"/>
        <v>0</v>
      </c>
      <c r="AO52" s="265">
        <f t="shared" ca="1" si="104"/>
        <v>0</v>
      </c>
      <c r="AP52" s="265">
        <f t="shared" ref="AP52:BU52" ca="1" si="105">SUM(AP11:AP51)</f>
        <v>0</v>
      </c>
      <c r="AQ52" s="265">
        <f t="shared" ca="1" si="105"/>
        <v>0</v>
      </c>
      <c r="AR52" s="265">
        <f t="shared" ca="1" si="105"/>
        <v>0</v>
      </c>
      <c r="AS52" s="265">
        <f t="shared" ca="1" si="105"/>
        <v>0</v>
      </c>
      <c r="AT52" s="265">
        <f t="shared" ca="1" si="105"/>
        <v>0</v>
      </c>
      <c r="AU52" s="265">
        <f t="shared" ca="1" si="105"/>
        <v>0</v>
      </c>
      <c r="AV52" s="265">
        <f t="shared" ca="1" si="105"/>
        <v>0</v>
      </c>
      <c r="AW52" s="265">
        <f t="shared" ca="1" si="105"/>
        <v>0</v>
      </c>
      <c r="AX52" s="265">
        <f t="shared" ca="1" si="105"/>
        <v>0</v>
      </c>
      <c r="AY52" s="265">
        <f t="shared" ca="1" si="105"/>
        <v>0</v>
      </c>
      <c r="AZ52" s="265">
        <f t="shared" ca="1" si="105"/>
        <v>0</v>
      </c>
      <c r="BA52" s="265">
        <f t="shared" ca="1" si="105"/>
        <v>0</v>
      </c>
      <c r="BB52" s="265">
        <f t="shared" ca="1" si="105"/>
        <v>0</v>
      </c>
      <c r="BC52" s="265">
        <f t="shared" ca="1" si="105"/>
        <v>0</v>
      </c>
      <c r="BD52" s="265">
        <f t="shared" ca="1" si="105"/>
        <v>0</v>
      </c>
      <c r="BE52" s="265">
        <f t="shared" ca="1" si="105"/>
        <v>0</v>
      </c>
      <c r="BF52" s="265">
        <f t="shared" ca="1" si="105"/>
        <v>0</v>
      </c>
      <c r="BG52" s="265">
        <f t="shared" ca="1" si="105"/>
        <v>0</v>
      </c>
      <c r="BH52" s="265">
        <f t="shared" ca="1" si="105"/>
        <v>0</v>
      </c>
      <c r="BI52" s="265">
        <f t="shared" ca="1" si="105"/>
        <v>0</v>
      </c>
      <c r="BJ52" s="265">
        <f t="shared" ca="1" si="105"/>
        <v>0</v>
      </c>
      <c r="BK52" s="265">
        <f t="shared" ca="1" si="105"/>
        <v>0</v>
      </c>
      <c r="BL52" s="265">
        <f t="shared" ca="1" si="105"/>
        <v>0</v>
      </c>
      <c r="BM52" s="265">
        <f t="shared" ca="1" si="105"/>
        <v>0</v>
      </c>
      <c r="BN52" s="265">
        <f t="shared" ca="1" si="105"/>
        <v>0</v>
      </c>
      <c r="BO52" s="265">
        <f t="shared" ca="1" si="105"/>
        <v>0</v>
      </c>
      <c r="BP52" s="265">
        <f t="shared" ca="1" si="105"/>
        <v>0</v>
      </c>
      <c r="BQ52" s="265">
        <f t="shared" ca="1" si="105"/>
        <v>0</v>
      </c>
      <c r="BR52" s="265">
        <f t="shared" ca="1" si="105"/>
        <v>0</v>
      </c>
      <c r="BS52" s="265">
        <f t="shared" ca="1" si="105"/>
        <v>0</v>
      </c>
      <c r="BT52" s="265">
        <f t="shared" ca="1" si="105"/>
        <v>0</v>
      </c>
      <c r="BU52" s="265">
        <f t="shared" ca="1" si="105"/>
        <v>0</v>
      </c>
      <c r="BV52" s="265">
        <f t="shared" ref="BV52:DA52" ca="1" si="106">SUM(BV11:BV51)</f>
        <v>0</v>
      </c>
      <c r="BW52" s="265">
        <f t="shared" ca="1" si="106"/>
        <v>0</v>
      </c>
      <c r="BX52" s="265">
        <f t="shared" ca="1" si="106"/>
        <v>0</v>
      </c>
      <c r="BY52" s="265">
        <f t="shared" ca="1" si="106"/>
        <v>0</v>
      </c>
      <c r="BZ52" s="265">
        <f t="shared" ca="1" si="106"/>
        <v>0</v>
      </c>
      <c r="CA52" s="265">
        <f t="shared" ca="1" si="106"/>
        <v>107861885.00000048</v>
      </c>
      <c r="CB52" s="265">
        <f t="shared" ca="1" si="106"/>
        <v>107861885.00000048</v>
      </c>
      <c r="CC52" s="265">
        <f t="shared" ca="1" si="106"/>
        <v>0</v>
      </c>
      <c r="CD52" s="265">
        <f t="shared" ca="1" si="106"/>
        <v>0</v>
      </c>
      <c r="CE52" s="265">
        <f t="shared" ca="1" si="106"/>
        <v>0</v>
      </c>
      <c r="CF52" s="265">
        <f t="shared" ca="1" si="106"/>
        <v>0</v>
      </c>
      <c r="CG52" s="265">
        <f t="shared" ca="1" si="106"/>
        <v>0</v>
      </c>
      <c r="CH52" s="265">
        <f t="shared" ca="1" si="106"/>
        <v>0</v>
      </c>
      <c r="CI52" s="265">
        <f t="shared" ca="1" si="106"/>
        <v>0</v>
      </c>
      <c r="CJ52" s="265">
        <f t="shared" ca="1" si="106"/>
        <v>0</v>
      </c>
      <c r="CK52" s="265">
        <f t="shared" ca="1" si="106"/>
        <v>0</v>
      </c>
      <c r="CL52" s="265">
        <f t="shared" ca="1" si="106"/>
        <v>0</v>
      </c>
      <c r="CM52" s="265">
        <f t="shared" ca="1" si="106"/>
        <v>0</v>
      </c>
      <c r="CN52" s="265">
        <f t="shared" ca="1" si="106"/>
        <v>0</v>
      </c>
      <c r="CO52" s="265">
        <f t="shared" ca="1" si="106"/>
        <v>0</v>
      </c>
      <c r="CP52" s="265">
        <f t="shared" ca="1" si="106"/>
        <v>0</v>
      </c>
      <c r="CQ52" s="265">
        <f t="shared" ca="1" si="106"/>
        <v>0</v>
      </c>
      <c r="CR52" s="265">
        <f t="shared" ca="1" si="106"/>
        <v>0</v>
      </c>
      <c r="CS52" s="265">
        <f t="shared" ca="1" si="106"/>
        <v>0</v>
      </c>
      <c r="CT52" s="265">
        <f t="shared" ca="1" si="106"/>
        <v>0</v>
      </c>
      <c r="CU52" s="265">
        <f t="shared" ca="1" si="106"/>
        <v>0</v>
      </c>
      <c r="CV52" s="265">
        <f t="shared" ca="1" si="106"/>
        <v>0</v>
      </c>
      <c r="CW52" s="265">
        <f t="shared" ca="1" si="106"/>
        <v>0</v>
      </c>
      <c r="CX52" s="265">
        <f t="shared" ca="1" si="106"/>
        <v>0</v>
      </c>
      <c r="CY52" s="265">
        <f t="shared" ca="1" si="106"/>
        <v>0</v>
      </c>
      <c r="CZ52" s="265">
        <f t="shared" ca="1" si="106"/>
        <v>0</v>
      </c>
      <c r="DA52" s="265">
        <f t="shared" ca="1" si="106"/>
        <v>0</v>
      </c>
    </row>
    <row r="53" spans="1:105" s="262" customFormat="1" ht="15" customHeight="1">
      <c r="A53" s="270"/>
      <c r="B53" s="270"/>
      <c r="C53" s="270"/>
      <c r="D53" s="270"/>
      <c r="E53" s="271" t="s">
        <v>209</v>
      </c>
      <c r="F53" s="270"/>
      <c r="G53" s="272"/>
      <c r="H53" s="272"/>
      <c r="I53" s="270"/>
      <c r="J53" s="273">
        <f ca="1">MAX(J10+J52-K10-K52,0)</f>
        <v>3705039095</v>
      </c>
      <c r="K53" s="273">
        <f ca="1">MAX(K10+K52-J10-J52,0)</f>
        <v>0</v>
      </c>
      <c r="L53" s="273">
        <f ca="1">MAX(L10+L52-M10-M52,0)</f>
        <v>19829295</v>
      </c>
      <c r="M53" s="273">
        <f ca="1">MAX(M10+M52-L10-L52,0)</f>
        <v>0</v>
      </c>
      <c r="N53" s="273">
        <f ca="1">MAX(N10+N52-O10-O52,0)</f>
        <v>2236796790</v>
      </c>
      <c r="O53" s="273">
        <f ca="1">MAX(O10+O52-N10-N52,0)</f>
        <v>0</v>
      </c>
      <c r="P53" s="273">
        <f ca="1">MAX(P10+P52-Q10-Q52,0)</f>
        <v>3343381600</v>
      </c>
      <c r="Q53" s="273">
        <f ca="1">MAX(Q10+Q52-P10-P52,0)</f>
        <v>0</v>
      </c>
      <c r="R53" s="273">
        <f ca="1">MAX(R10+R52-S10-S52,0)</f>
        <v>162420936</v>
      </c>
      <c r="S53" s="273">
        <f ca="1">MAX(S10+S52-R10-R52,0)</f>
        <v>0</v>
      </c>
      <c r="T53" s="273">
        <f ca="1">MAX(T10+T52-U10-U52,0)</f>
        <v>1500000000</v>
      </c>
      <c r="U53" s="273">
        <f ca="1">MAX(U10+U52-T10-T52,0)</f>
        <v>0</v>
      </c>
      <c r="V53" s="273">
        <f ca="1">MAX(V10+V52-W10-W52,0)</f>
        <v>0</v>
      </c>
      <c r="W53" s="273">
        <f ca="1">MAX(W10+W52-V10-V52,0)</f>
        <v>0</v>
      </c>
      <c r="X53" s="273">
        <f ca="1">MAX(X10+X52-Y10-Y52,0)</f>
        <v>2772400000</v>
      </c>
      <c r="Y53" s="273">
        <f ca="1">MAX(Y10+Y52-X10-X52,0)</f>
        <v>0</v>
      </c>
      <c r="Z53" s="273">
        <f ca="1">MAX(Z10+Z52-AA10-AA52,0)</f>
        <v>526519887</v>
      </c>
      <c r="AA53" s="273">
        <f ca="1">MAX(AA10+AA52-Z10-Z52,0)</f>
        <v>0</v>
      </c>
      <c r="AB53" s="273">
        <f ca="1">MAX(AB10+AB52-AC10-AC52,0)</f>
        <v>0</v>
      </c>
      <c r="AC53" s="273">
        <f ca="1">MAX(AC10+AC52-AB10-AB52,0)</f>
        <v>0</v>
      </c>
      <c r="AD53" s="273">
        <f ca="1">MAX(AD10+AD52-AE10-AE52,0)</f>
        <v>0</v>
      </c>
      <c r="AE53" s="273">
        <f ca="1">MAX(AE10+AE52-AD10-AD52,0)</f>
        <v>0</v>
      </c>
      <c r="AF53" s="273">
        <f ca="1">MAX(AF10+AF52-AG10-AG52,0)</f>
        <v>9386323824</v>
      </c>
      <c r="AG53" s="273">
        <f ca="1">MAX(AG10+AG52-AF10-AF52,0)</f>
        <v>0</v>
      </c>
      <c r="AH53" s="273">
        <f ca="1">MAX(AH10+AH52-AI10-AI52,0)</f>
        <v>7490743648</v>
      </c>
      <c r="AI53" s="273">
        <f ca="1">MAX(AI10+AI52-AH10-AH52,0)</f>
        <v>0</v>
      </c>
      <c r="AJ53" s="273">
        <f ca="1">MAX(AJ10+AJ52-AK10-AK52,0)</f>
        <v>3807898863</v>
      </c>
      <c r="AK53" s="273">
        <f ca="1">MAX(AK10+AK52-AJ10-AJ52,0)</f>
        <v>0</v>
      </c>
      <c r="AL53" s="273">
        <f ca="1">MAX(AL10+AL52-AM10-AM52,0)</f>
        <v>3790918485</v>
      </c>
      <c r="AM53" s="273">
        <f ca="1">MAX(AM10+AM52-AL10-AL52,0)</f>
        <v>0</v>
      </c>
      <c r="AN53" s="273">
        <f ca="1">MAX(AN10+AN52-AO10-AO52,0)</f>
        <v>5405781300</v>
      </c>
      <c r="AO53" s="273">
        <f ca="1">MAX(AO10+AO52-AN10-AN52,0)</f>
        <v>0</v>
      </c>
      <c r="AP53" s="273">
        <f ca="1">MAX(AP10+AP52-AQ10-AQ52,0)</f>
        <v>0</v>
      </c>
      <c r="AQ53" s="273">
        <f ca="1">MAX(AQ10+AQ52-AP10-AP52,0)</f>
        <v>9132359256</v>
      </c>
      <c r="AR53" s="273">
        <f ca="1">MAX(AR10+AR52-AS10-AS52,0)</f>
        <v>0</v>
      </c>
      <c r="AS53" s="273">
        <f ca="1">MAX(AS10+AS52-AR10-AR52,0)</f>
        <v>600642360</v>
      </c>
      <c r="AT53" s="273">
        <f ca="1">MAX(AT10+AT52-AU10-AU52,0)</f>
        <v>0</v>
      </c>
      <c r="AU53" s="273">
        <f ca="1">MAX(AU10+AU52-AT10-AT52,0)</f>
        <v>0</v>
      </c>
      <c r="AV53" s="273">
        <f ca="1">MAX(AV10+AV52-AW10-AW52,0)</f>
        <v>0</v>
      </c>
      <c r="AW53" s="273">
        <f ca="1">MAX(AW10+AW52-AV10-AV52,0)</f>
        <v>476953252</v>
      </c>
      <c r="AX53" s="273">
        <f ca="1">MAX(AX10+AX52-AY10-AY52,0)</f>
        <v>0</v>
      </c>
      <c r="AY53" s="273">
        <f ca="1">MAX(AY10+AY52-AX10-AX52,0)</f>
        <v>0</v>
      </c>
      <c r="AZ53" s="273">
        <f ca="1">MAX(AZ10+AZ52-BA10-BA52,0)</f>
        <v>0</v>
      </c>
      <c r="BA53" s="273">
        <f ca="1">MAX(BA10+BA52-AZ10-AZ52,0)</f>
        <v>0</v>
      </c>
      <c r="BB53" s="273">
        <f ca="1">MAX(BB10+BB52-BC10-BC52,0)</f>
        <v>0</v>
      </c>
      <c r="BC53" s="273">
        <f ca="1">MAX(BC10+BC52-BB10-BB52,0)</f>
        <v>0</v>
      </c>
      <c r="BD53" s="273">
        <f ca="1">MAX(BD10+BD52-BE10-BE52,0)</f>
        <v>0</v>
      </c>
      <c r="BE53" s="273">
        <f ca="1">MAX(BE10+BE52-BD10-BD52,0)</f>
        <v>3313435</v>
      </c>
      <c r="BF53" s="273">
        <f ca="1">MAX(BF10+BF52-BG10-BG52,0)</f>
        <v>3389804</v>
      </c>
      <c r="BG53" s="273">
        <f ca="1">MAX(BG10+BG52-BF10-BF52,0)</f>
        <v>0</v>
      </c>
      <c r="BH53" s="273">
        <f ca="1">MAX(BH10+BH52-BI10-BI52,0)</f>
        <v>0</v>
      </c>
      <c r="BI53" s="273">
        <f ca="1">MAX(BI10+BI52-BH10-BH52,0)</f>
        <v>0</v>
      </c>
      <c r="BJ53" s="273">
        <f ca="1">MAX(BJ10+BJ52-BK10-BK52,0)</f>
        <v>0</v>
      </c>
      <c r="BK53" s="273">
        <f ca="1">MAX(BK10+BK52-BJ10-BJ52,0)</f>
        <v>0</v>
      </c>
      <c r="BL53" s="273">
        <f ca="1">MAX(BL10+BL52-BM10-BM52,0)</f>
        <v>0</v>
      </c>
      <c r="BM53" s="273">
        <f ca="1">MAX(BM10+BM52-BL10-BL52,0)</f>
        <v>40272309</v>
      </c>
      <c r="BN53" s="273">
        <f ca="1">MAX(BN10+BN52-BO10-BO52,0)</f>
        <v>0</v>
      </c>
      <c r="BO53" s="273">
        <f ca="1">MAX(BO10+BO52-BN10-BN52,0)</f>
        <v>6403142</v>
      </c>
      <c r="BP53" s="273">
        <f ca="1">MAX(BP10+BP52-BQ10-BQ52,0)</f>
        <v>0</v>
      </c>
      <c r="BQ53" s="273">
        <f ca="1">MAX(BQ10+BQ52-BP10-BP52,0)</f>
        <v>2761373</v>
      </c>
      <c r="BR53" s="273">
        <f ca="1">MAX(BR10+BR52-BS10-BS52,0)</f>
        <v>0</v>
      </c>
      <c r="BS53" s="273">
        <f ca="1">MAX(BS10+BS52-BR10-BR52,0)</f>
        <v>0</v>
      </c>
      <c r="BT53" s="273">
        <f ca="1">MAX(BT10+BT52-BU10-BU52,0)</f>
        <v>0</v>
      </c>
      <c r="BU53" s="273">
        <f ca="1">MAX(BU10+BU52-BT10-BT52,0)</f>
        <v>2169121879</v>
      </c>
      <c r="BV53" s="273">
        <f ca="1">MAX(BV10+BV52-BW10-BW52,0)</f>
        <v>0</v>
      </c>
      <c r="BW53" s="273">
        <f ca="1">MAX(BW10+BW52-BV10-BV52,0)</f>
        <v>21202920500</v>
      </c>
      <c r="BX53" s="273">
        <f ca="1">MAX(BX10+BX52-BY10-BY52,0)</f>
        <v>0</v>
      </c>
      <c r="BY53" s="273">
        <f ca="1">MAX(BY10+BY52-BX10-BX52,0)</f>
        <v>10000000000</v>
      </c>
      <c r="BZ53" s="273">
        <f ca="1">MAX(BZ10+BZ52-CA10-CA52,0)</f>
        <v>0</v>
      </c>
      <c r="CA53" s="273">
        <f ca="1">MAX(CA10+CA52-BZ10-BZ52,0)</f>
        <v>594397022.00000048</v>
      </c>
      <c r="CB53" s="273">
        <f ca="1">MAX(CB10+CB52-CC10-CC52,0)</f>
        <v>77701001</v>
      </c>
      <c r="CC53" s="273">
        <f ca="1">MAX(CC10+CC52-CB10-CB52,0)</f>
        <v>0</v>
      </c>
      <c r="CD53" s="273">
        <f ca="1">MAX(CD10+CD52-CE10-CE52,0)</f>
        <v>0</v>
      </c>
      <c r="CE53" s="273">
        <f ca="1">MAX(CE10+CE52-CD10-CD52,0)</f>
        <v>0</v>
      </c>
      <c r="CF53" s="273">
        <f ca="1">MAX(CF10+CF52-CG10-CG52,0)</f>
        <v>0</v>
      </c>
      <c r="CG53" s="273">
        <f ca="1">MAX(CG10+CG52-CF10-CF52,0)</f>
        <v>0</v>
      </c>
      <c r="CH53" s="273">
        <f ca="1">MAX(CH10+CH52-CI10-CI52,0)</f>
        <v>0</v>
      </c>
      <c r="CI53" s="273">
        <f ca="1">MAX(CI10+CI52-CH10-CH52,0)</f>
        <v>0</v>
      </c>
      <c r="CJ53" s="273">
        <f ca="1">MAX(CJ10+CJ52-CK10-CK52,0)</f>
        <v>0</v>
      </c>
      <c r="CK53" s="273">
        <f ca="1">MAX(CK10+CK52-CJ10-CJ52,0)</f>
        <v>0</v>
      </c>
      <c r="CL53" s="273">
        <f ca="1">MAX(CL10+CL52-CM10-CM52,0)</f>
        <v>0</v>
      </c>
      <c r="CM53" s="273">
        <f ca="1">MAX(CM10+CM52-CL10-CL52,0)</f>
        <v>0</v>
      </c>
      <c r="CN53" s="273">
        <f ca="1">MAX(CN10+CN52-CO10-CO52,0)</f>
        <v>0</v>
      </c>
      <c r="CO53" s="273">
        <f ca="1">MAX(CO10+CO52-CN10-CN52,0)</f>
        <v>0</v>
      </c>
      <c r="CP53" s="273">
        <f ca="1">MAX(CP10+CP52-CQ10-CQ52,0)</f>
        <v>0</v>
      </c>
      <c r="CQ53" s="273">
        <f ca="1">MAX(CQ10+CQ52-CP10-CP52,0)</f>
        <v>0</v>
      </c>
      <c r="CR53" s="273">
        <f ca="1">MAX(CR10+CR52-CS10-CS52,0)</f>
        <v>0</v>
      </c>
      <c r="CS53" s="273">
        <f ca="1">MAX(CS10+CS52-CR10-CR52,0)</f>
        <v>0</v>
      </c>
      <c r="CT53" s="273">
        <f ca="1">MAX(CT10+CT52-CU10-CU52,0)</f>
        <v>0</v>
      </c>
      <c r="CU53" s="273">
        <f ca="1">MAX(CU10+CU52-CT10-CT52,0)</f>
        <v>0</v>
      </c>
      <c r="CV53" s="273">
        <f ca="1">MAX(CV10+CV52-CW10-CW52,0)</f>
        <v>0</v>
      </c>
      <c r="CW53" s="273">
        <f ca="1">MAX(CW10+CW52-CV10-CV52,0)</f>
        <v>0</v>
      </c>
      <c r="CX53" s="273">
        <f ca="1">MAX(CX10+CX52-CY10-CY52,0)</f>
        <v>0</v>
      </c>
      <c r="CY53" s="273">
        <f ca="1">MAX(CY10+CY52-CX10-CX52,0)</f>
        <v>0</v>
      </c>
      <c r="CZ53" s="273">
        <f ca="1">MAX(CZ10+CZ52-DA10-DA52,0)</f>
        <v>0</v>
      </c>
      <c r="DA53" s="273">
        <f ca="1">MAX(DA10+DA52-CZ10-CZ52,0)</f>
        <v>0</v>
      </c>
    </row>
    <row r="54" spans="1:105" s="262" customFormat="1" ht="15" customHeight="1">
      <c r="A54" s="274"/>
      <c r="B54" s="274"/>
      <c r="C54" s="275"/>
      <c r="D54" s="274"/>
      <c r="E54" s="276" t="s">
        <v>210</v>
      </c>
      <c r="F54" s="274"/>
      <c r="G54" s="277"/>
      <c r="H54" s="277"/>
      <c r="I54" s="274"/>
      <c r="J54" s="278">
        <f ca="1">J52</f>
        <v>0</v>
      </c>
      <c r="K54" s="278">
        <f ca="1">K52</f>
        <v>0</v>
      </c>
      <c r="L54" s="278">
        <f t="shared" ref="L54:BY54" ca="1" si="107">L52</f>
        <v>0</v>
      </c>
      <c r="M54" s="278">
        <f t="shared" ca="1" si="107"/>
        <v>0</v>
      </c>
      <c r="N54" s="278">
        <f t="shared" ca="1" si="107"/>
        <v>0</v>
      </c>
      <c r="O54" s="278">
        <f t="shared" ca="1" si="107"/>
        <v>0</v>
      </c>
      <c r="P54" s="278">
        <f t="shared" ca="1" si="107"/>
        <v>0</v>
      </c>
      <c r="Q54" s="278">
        <f t="shared" ca="1" si="107"/>
        <v>0</v>
      </c>
      <c r="R54" s="278">
        <f t="shared" ca="1" si="107"/>
        <v>0</v>
      </c>
      <c r="S54" s="278">
        <f t="shared" ca="1" si="107"/>
        <v>0</v>
      </c>
      <c r="T54" s="278">
        <f t="shared" ca="1" si="107"/>
        <v>0</v>
      </c>
      <c r="U54" s="278">
        <f t="shared" ca="1" si="107"/>
        <v>0</v>
      </c>
      <c r="V54" s="278">
        <f t="shared" ca="1" si="107"/>
        <v>0</v>
      </c>
      <c r="W54" s="278">
        <f t="shared" ca="1" si="107"/>
        <v>0</v>
      </c>
      <c r="X54" s="278">
        <f t="shared" ca="1" si="107"/>
        <v>0</v>
      </c>
      <c r="Y54" s="278">
        <f t="shared" ca="1" si="107"/>
        <v>0</v>
      </c>
      <c r="Z54" s="278">
        <f t="shared" ca="1" si="107"/>
        <v>0</v>
      </c>
      <c r="AA54" s="278">
        <f t="shared" ca="1" si="107"/>
        <v>0</v>
      </c>
      <c r="AB54" s="278">
        <f t="shared" ca="1" si="107"/>
        <v>0</v>
      </c>
      <c r="AC54" s="278">
        <f t="shared" ca="1" si="107"/>
        <v>0</v>
      </c>
      <c r="AD54" s="278">
        <f t="shared" ca="1" si="107"/>
        <v>0</v>
      </c>
      <c r="AE54" s="278">
        <f t="shared" ca="1" si="107"/>
        <v>0</v>
      </c>
      <c r="AF54" s="278">
        <f t="shared" ca="1" si="107"/>
        <v>0</v>
      </c>
      <c r="AG54" s="278">
        <f t="shared" ca="1" si="107"/>
        <v>0</v>
      </c>
      <c r="AH54" s="278">
        <f t="shared" ca="1" si="107"/>
        <v>0</v>
      </c>
      <c r="AI54" s="278">
        <f t="shared" ca="1" si="107"/>
        <v>0</v>
      </c>
      <c r="AJ54" s="278">
        <f t="shared" ca="1" si="107"/>
        <v>0</v>
      </c>
      <c r="AK54" s="278">
        <f t="shared" ca="1" si="107"/>
        <v>0</v>
      </c>
      <c r="AL54" s="278">
        <f t="shared" ca="1" si="107"/>
        <v>0</v>
      </c>
      <c r="AM54" s="278">
        <f t="shared" ca="1" si="107"/>
        <v>0</v>
      </c>
      <c r="AN54" s="278">
        <f t="shared" ca="1" si="107"/>
        <v>0</v>
      </c>
      <c r="AO54" s="278">
        <f t="shared" ca="1" si="107"/>
        <v>0</v>
      </c>
      <c r="AP54" s="278">
        <f t="shared" ca="1" si="107"/>
        <v>0</v>
      </c>
      <c r="AQ54" s="278">
        <f t="shared" ca="1" si="107"/>
        <v>0</v>
      </c>
      <c r="AR54" s="278">
        <f t="shared" ca="1" si="107"/>
        <v>0</v>
      </c>
      <c r="AS54" s="278">
        <f t="shared" ca="1" si="107"/>
        <v>0</v>
      </c>
      <c r="AT54" s="278">
        <f ca="1">AT52</f>
        <v>0</v>
      </c>
      <c r="AU54" s="278">
        <f ca="1">AU52</f>
        <v>0</v>
      </c>
      <c r="AV54" s="278">
        <f t="shared" ca="1" si="107"/>
        <v>0</v>
      </c>
      <c r="AW54" s="278">
        <f t="shared" ca="1" si="107"/>
        <v>0</v>
      </c>
      <c r="AX54" s="278">
        <f t="shared" ca="1" si="107"/>
        <v>0</v>
      </c>
      <c r="AY54" s="278">
        <f t="shared" ca="1" si="107"/>
        <v>0</v>
      </c>
      <c r="AZ54" s="278">
        <f t="shared" ca="1" si="107"/>
        <v>0</v>
      </c>
      <c r="BA54" s="278">
        <f t="shared" ca="1" si="107"/>
        <v>0</v>
      </c>
      <c r="BB54" s="278">
        <f t="shared" ca="1" si="107"/>
        <v>0</v>
      </c>
      <c r="BC54" s="278">
        <f t="shared" ca="1" si="107"/>
        <v>0</v>
      </c>
      <c r="BD54" s="278">
        <f t="shared" ca="1" si="107"/>
        <v>0</v>
      </c>
      <c r="BE54" s="278">
        <f t="shared" ca="1" si="107"/>
        <v>0</v>
      </c>
      <c r="BF54" s="278">
        <f t="shared" ca="1" si="107"/>
        <v>0</v>
      </c>
      <c r="BG54" s="278">
        <f t="shared" ca="1" si="107"/>
        <v>0</v>
      </c>
      <c r="BH54" s="278">
        <f t="shared" ca="1" si="107"/>
        <v>0</v>
      </c>
      <c r="BI54" s="278">
        <f t="shared" ca="1" si="107"/>
        <v>0</v>
      </c>
      <c r="BJ54" s="278">
        <f t="shared" ca="1" si="107"/>
        <v>0</v>
      </c>
      <c r="BK54" s="278">
        <f t="shared" ca="1" si="107"/>
        <v>0</v>
      </c>
      <c r="BL54" s="278">
        <f t="shared" ca="1" si="107"/>
        <v>0</v>
      </c>
      <c r="BM54" s="278">
        <f t="shared" ca="1" si="107"/>
        <v>0</v>
      </c>
      <c r="BN54" s="278">
        <f t="shared" ca="1" si="107"/>
        <v>0</v>
      </c>
      <c r="BO54" s="278">
        <f t="shared" ca="1" si="107"/>
        <v>0</v>
      </c>
      <c r="BP54" s="278">
        <f t="shared" ca="1" si="107"/>
        <v>0</v>
      </c>
      <c r="BQ54" s="278">
        <f t="shared" ca="1" si="107"/>
        <v>0</v>
      </c>
      <c r="BR54" s="278">
        <f t="shared" ca="1" si="107"/>
        <v>0</v>
      </c>
      <c r="BS54" s="278">
        <f t="shared" ca="1" si="107"/>
        <v>0</v>
      </c>
      <c r="BT54" s="278">
        <f t="shared" ca="1" si="107"/>
        <v>0</v>
      </c>
      <c r="BU54" s="278">
        <f t="shared" ca="1" si="107"/>
        <v>0</v>
      </c>
      <c r="BV54" s="278">
        <f ca="1">BV52</f>
        <v>0</v>
      </c>
      <c r="BW54" s="278">
        <f ca="1">BW52</f>
        <v>0</v>
      </c>
      <c r="BX54" s="278">
        <f t="shared" ca="1" si="107"/>
        <v>0</v>
      </c>
      <c r="BY54" s="278">
        <f t="shared" ca="1" si="107"/>
        <v>0</v>
      </c>
      <c r="BZ54" s="278">
        <f t="shared" ref="BZ54:DA54" ca="1" si="108">BZ52</f>
        <v>0</v>
      </c>
      <c r="CA54" s="278">
        <f t="shared" ca="1" si="108"/>
        <v>107861885.00000048</v>
      </c>
      <c r="CB54" s="278">
        <f t="shared" ca="1" si="108"/>
        <v>107861885.00000048</v>
      </c>
      <c r="CC54" s="278">
        <f t="shared" ca="1" si="108"/>
        <v>0</v>
      </c>
      <c r="CD54" s="278">
        <f t="shared" ca="1" si="108"/>
        <v>0</v>
      </c>
      <c r="CE54" s="278">
        <f t="shared" ca="1" si="108"/>
        <v>0</v>
      </c>
      <c r="CF54" s="278">
        <f t="shared" ca="1" si="108"/>
        <v>0</v>
      </c>
      <c r="CG54" s="278">
        <f t="shared" ca="1" si="108"/>
        <v>0</v>
      </c>
      <c r="CH54" s="278">
        <f t="shared" ca="1" si="108"/>
        <v>0</v>
      </c>
      <c r="CI54" s="278">
        <f t="shared" ca="1" si="108"/>
        <v>0</v>
      </c>
      <c r="CJ54" s="278">
        <f t="shared" ca="1" si="108"/>
        <v>0</v>
      </c>
      <c r="CK54" s="278">
        <f t="shared" ca="1" si="108"/>
        <v>0</v>
      </c>
      <c r="CL54" s="278">
        <f t="shared" ca="1" si="108"/>
        <v>0</v>
      </c>
      <c r="CM54" s="278">
        <f t="shared" ca="1" si="108"/>
        <v>0</v>
      </c>
      <c r="CN54" s="278">
        <f t="shared" ca="1" si="108"/>
        <v>0</v>
      </c>
      <c r="CO54" s="278">
        <f t="shared" ca="1" si="108"/>
        <v>0</v>
      </c>
      <c r="CP54" s="278">
        <f t="shared" ca="1" si="108"/>
        <v>0</v>
      </c>
      <c r="CQ54" s="278">
        <f t="shared" ca="1" si="108"/>
        <v>0</v>
      </c>
      <c r="CR54" s="278">
        <f t="shared" ca="1" si="108"/>
        <v>0</v>
      </c>
      <c r="CS54" s="278">
        <f t="shared" ca="1" si="108"/>
        <v>0</v>
      </c>
      <c r="CT54" s="278">
        <f t="shared" ca="1" si="108"/>
        <v>0</v>
      </c>
      <c r="CU54" s="278">
        <f t="shared" ca="1" si="108"/>
        <v>0</v>
      </c>
      <c r="CV54" s="278">
        <f t="shared" ca="1" si="108"/>
        <v>0</v>
      </c>
      <c r="CW54" s="278">
        <f t="shared" ca="1" si="108"/>
        <v>0</v>
      </c>
      <c r="CX54" s="278">
        <f t="shared" ca="1" si="108"/>
        <v>0</v>
      </c>
      <c r="CY54" s="278">
        <f t="shared" ca="1" si="108"/>
        <v>0</v>
      </c>
      <c r="CZ54" s="278">
        <f t="shared" ca="1" si="108"/>
        <v>0</v>
      </c>
      <c r="DA54" s="278">
        <f t="shared" ca="1" si="108"/>
        <v>0</v>
      </c>
    </row>
    <row r="55" spans="1:105" ht="12" customHeight="1">
      <c r="B55" s="279"/>
      <c r="C55" s="280"/>
      <c r="D55" s="280"/>
      <c r="E55" s="280"/>
      <c r="F55" s="280"/>
      <c r="G55" s="281"/>
      <c r="H55" s="281"/>
      <c r="I55" s="280"/>
      <c r="J55" s="280"/>
      <c r="K55" s="280"/>
    </row>
    <row r="56" spans="1:105">
      <c r="F56" s="282"/>
      <c r="M56" s="282"/>
      <c r="O56" s="282"/>
      <c r="Q56" s="282"/>
      <c r="R56" s="282"/>
      <c r="S56" s="282"/>
      <c r="T56" s="282"/>
      <c r="U56" s="282"/>
      <c r="V56" s="282"/>
      <c r="AN56" s="283" t="s">
        <v>211</v>
      </c>
      <c r="AO56" s="284"/>
      <c r="AP56" s="284"/>
      <c r="AQ56" s="284"/>
      <c r="AR56" s="285"/>
      <c r="AS56" s="285"/>
      <c r="AT56" s="284"/>
    </row>
    <row r="57" spans="1:105">
      <c r="F57" s="282"/>
      <c r="M57" s="282"/>
      <c r="O57" s="282"/>
      <c r="Q57" s="282"/>
      <c r="R57" s="282"/>
      <c r="S57" s="282"/>
      <c r="T57" s="282"/>
      <c r="U57" s="282"/>
      <c r="V57" s="282"/>
      <c r="AN57" s="286" t="s">
        <v>212</v>
      </c>
      <c r="AO57" s="284"/>
      <c r="AP57" s="284"/>
      <c r="AQ57" s="284"/>
      <c r="AR57" s="285"/>
      <c r="AS57" s="285"/>
      <c r="AT57" s="284"/>
    </row>
    <row r="58" spans="1:105">
      <c r="F58" s="282"/>
      <c r="M58" s="282"/>
      <c r="O58" s="282"/>
      <c r="Q58" s="282"/>
      <c r="R58" s="282"/>
      <c r="S58" s="282"/>
      <c r="T58" s="282"/>
      <c r="U58" s="282"/>
      <c r="V58" s="282"/>
      <c r="AN58" s="284"/>
      <c r="AO58" s="284"/>
      <c r="AP58" s="284"/>
      <c r="AQ58" s="284"/>
      <c r="AR58" s="284"/>
      <c r="AS58" s="284"/>
      <c r="AT58" s="285"/>
    </row>
    <row r="59" spans="1:105">
      <c r="F59" s="282"/>
      <c r="AN59" s="284"/>
      <c r="AO59" s="284"/>
      <c r="AP59" s="284"/>
      <c r="AQ59" s="284"/>
      <c r="AR59" s="284"/>
      <c r="AS59" s="284"/>
      <c r="AT59" s="285"/>
      <c r="AZ59" s="287" t="str">
        <f>"Ngày 31 tháng 03 năm 2015 "</f>
        <v xml:space="preserve">Ngày 31 tháng 03 năm 2015 </v>
      </c>
    </row>
    <row r="60" spans="1:105">
      <c r="F60" s="282"/>
      <c r="M60" s="282"/>
      <c r="O60" s="282"/>
      <c r="Q60" s="282"/>
      <c r="R60" s="282"/>
      <c r="S60" s="282"/>
      <c r="T60" s="282"/>
      <c r="U60" s="282"/>
      <c r="V60" s="282"/>
      <c r="AN60" s="284"/>
      <c r="AO60" s="288" t="s">
        <v>11</v>
      </c>
      <c r="AP60" s="284"/>
      <c r="AQ60" s="284"/>
      <c r="AR60" s="284"/>
      <c r="AS60" s="289" t="s">
        <v>12</v>
      </c>
      <c r="AT60" s="285"/>
      <c r="AZ60" s="288" t="s">
        <v>128</v>
      </c>
    </row>
    <row r="61" spans="1:105">
      <c r="F61" s="282"/>
      <c r="M61" s="282"/>
      <c r="O61" s="282"/>
      <c r="Q61" s="282"/>
      <c r="R61" s="282"/>
      <c r="S61" s="282"/>
      <c r="T61" s="282"/>
      <c r="U61" s="282"/>
      <c r="V61" s="282"/>
      <c r="AN61" s="284"/>
      <c r="AO61" s="290" t="s">
        <v>13</v>
      </c>
      <c r="AP61" s="284"/>
      <c r="AQ61" s="284"/>
      <c r="AR61" s="284"/>
      <c r="AS61" s="291" t="s">
        <v>13</v>
      </c>
      <c r="AT61" s="285"/>
      <c r="AZ61" s="290" t="s">
        <v>158</v>
      </c>
    </row>
    <row r="62" spans="1:105">
      <c r="F62" s="282"/>
      <c r="M62" s="282"/>
      <c r="O62" s="282"/>
      <c r="Q62" s="282"/>
      <c r="R62" s="282"/>
      <c r="S62" s="282"/>
      <c r="T62" s="282"/>
      <c r="U62" s="282"/>
      <c r="V62" s="282"/>
      <c r="AL62" s="284"/>
      <c r="AM62" s="284"/>
      <c r="AN62" s="284"/>
      <c r="AO62" s="284"/>
      <c r="AP62" s="284"/>
      <c r="AQ62" s="284"/>
      <c r="AR62" s="284"/>
      <c r="AS62" s="284"/>
      <c r="AT62" s="285"/>
      <c r="AZ62" s="284"/>
    </row>
    <row r="63" spans="1:105">
      <c r="F63" s="282"/>
      <c r="M63" s="282"/>
      <c r="O63" s="282"/>
      <c r="Q63" s="282"/>
      <c r="R63" s="282"/>
      <c r="S63" s="282"/>
      <c r="T63" s="282"/>
      <c r="U63" s="282"/>
      <c r="V63" s="282"/>
      <c r="AZ63" s="284"/>
    </row>
    <row r="64" spans="1:105">
      <c r="F64" s="282"/>
      <c r="M64" s="282"/>
      <c r="O64" s="282"/>
      <c r="Q64" s="282"/>
      <c r="R64" s="282"/>
      <c r="S64" s="282"/>
      <c r="T64" s="282"/>
      <c r="U64" s="282"/>
      <c r="V64" s="282"/>
    </row>
    <row r="65" spans="6:22">
      <c r="F65" s="282"/>
      <c r="M65" s="282"/>
      <c r="O65" s="282"/>
      <c r="Q65" s="282"/>
      <c r="R65" s="282"/>
      <c r="S65" s="282"/>
      <c r="T65" s="282"/>
      <c r="U65" s="282"/>
      <c r="V65" s="282"/>
    </row>
    <row r="66" spans="6:22">
      <c r="F66" s="282"/>
    </row>
    <row r="67" spans="6:22">
      <c r="F67" s="282"/>
      <c r="M67" s="282"/>
      <c r="O67" s="282"/>
      <c r="Q67" s="282"/>
      <c r="R67" s="282"/>
      <c r="S67" s="282"/>
      <c r="T67" s="282"/>
      <c r="U67" s="282"/>
      <c r="V67" s="282"/>
    </row>
    <row r="68" spans="6:22">
      <c r="F68" s="282"/>
      <c r="M68" s="282"/>
      <c r="O68" s="282"/>
      <c r="Q68" s="282"/>
      <c r="R68" s="282"/>
      <c r="S68" s="282"/>
      <c r="T68" s="282"/>
      <c r="U68" s="282"/>
      <c r="V68" s="282"/>
    </row>
    <row r="69" spans="6:22">
      <c r="F69" s="282"/>
      <c r="M69" s="282"/>
      <c r="O69" s="282"/>
      <c r="Q69" s="282"/>
      <c r="R69" s="282"/>
      <c r="S69" s="282"/>
      <c r="T69" s="282"/>
      <c r="U69" s="282"/>
      <c r="V69" s="282"/>
    </row>
    <row r="70" spans="6:22">
      <c r="F70" s="282"/>
      <c r="M70" s="282"/>
      <c r="O70" s="282"/>
      <c r="Q70" s="282"/>
      <c r="R70" s="282"/>
      <c r="S70" s="282"/>
      <c r="T70" s="282"/>
      <c r="U70" s="282"/>
      <c r="V70" s="282"/>
    </row>
    <row r="71" spans="6:22">
      <c r="F71" s="282"/>
      <c r="M71" s="282"/>
      <c r="O71" s="282"/>
      <c r="Q71" s="282"/>
      <c r="R71" s="282"/>
      <c r="S71" s="282"/>
      <c r="T71" s="282"/>
      <c r="U71" s="282"/>
      <c r="V71" s="282"/>
    </row>
    <row r="72" spans="6:22">
      <c r="F72" s="282"/>
      <c r="M72" s="282"/>
      <c r="O72" s="282"/>
      <c r="Q72" s="282"/>
      <c r="R72" s="282"/>
      <c r="S72" s="282"/>
      <c r="T72" s="282"/>
      <c r="U72" s="282"/>
      <c r="V72" s="282"/>
    </row>
    <row r="73" spans="6:22">
      <c r="F73" s="282"/>
      <c r="M73" s="282"/>
      <c r="O73" s="282"/>
      <c r="Q73" s="282"/>
      <c r="R73" s="282"/>
      <c r="S73" s="282"/>
      <c r="T73" s="282"/>
      <c r="U73" s="282"/>
      <c r="V73" s="282"/>
    </row>
    <row r="74" spans="6:22">
      <c r="F74" s="282"/>
      <c r="M74" s="282"/>
      <c r="O74" s="282"/>
      <c r="Q74" s="282"/>
      <c r="R74" s="282"/>
      <c r="S74" s="282"/>
      <c r="T74" s="282"/>
      <c r="U74" s="282"/>
      <c r="V74" s="282"/>
    </row>
    <row r="75" spans="6:22">
      <c r="F75" s="282"/>
      <c r="M75" s="282"/>
      <c r="O75" s="282"/>
      <c r="Q75" s="282"/>
      <c r="R75" s="282"/>
      <c r="S75" s="282"/>
      <c r="T75" s="282"/>
      <c r="U75" s="282"/>
      <c r="V75" s="282"/>
    </row>
    <row r="76" spans="6:22">
      <c r="F76" s="282"/>
      <c r="M76" s="282"/>
      <c r="O76" s="282"/>
      <c r="Q76" s="282"/>
      <c r="R76" s="282"/>
      <c r="S76" s="282"/>
      <c r="T76" s="282"/>
      <c r="U76" s="282"/>
      <c r="V76" s="282"/>
    </row>
    <row r="77" spans="6:22">
      <c r="F77" s="282"/>
      <c r="M77" s="282"/>
      <c r="O77" s="282"/>
      <c r="Q77" s="282"/>
      <c r="R77" s="282"/>
      <c r="S77" s="282"/>
      <c r="T77" s="282"/>
      <c r="U77" s="282"/>
      <c r="V77" s="282"/>
    </row>
    <row r="78" spans="6:22">
      <c r="F78" s="282"/>
      <c r="M78" s="282"/>
      <c r="O78" s="282"/>
      <c r="Q78" s="282"/>
      <c r="R78" s="282"/>
      <c r="S78" s="282"/>
      <c r="T78" s="282"/>
      <c r="U78" s="282"/>
      <c r="V78" s="282"/>
    </row>
    <row r="79" spans="6:22">
      <c r="F79" s="282"/>
      <c r="M79" s="282"/>
      <c r="O79" s="282"/>
      <c r="Q79" s="282"/>
      <c r="R79" s="282"/>
      <c r="S79" s="282"/>
      <c r="T79" s="282"/>
      <c r="U79" s="282"/>
      <c r="V79" s="282"/>
    </row>
    <row r="80" spans="6:22">
      <c r="F80" s="282"/>
      <c r="M80" s="282"/>
      <c r="O80" s="282"/>
      <c r="Q80" s="282"/>
      <c r="R80" s="282"/>
      <c r="S80" s="282"/>
      <c r="T80" s="282"/>
      <c r="U80" s="282"/>
      <c r="V80" s="282"/>
    </row>
    <row r="81" spans="6:22">
      <c r="F81" s="282"/>
      <c r="M81" s="282"/>
      <c r="O81" s="282"/>
      <c r="Q81" s="282"/>
      <c r="R81" s="282"/>
      <c r="S81" s="282"/>
      <c r="T81" s="282"/>
      <c r="U81" s="282"/>
      <c r="V81" s="282"/>
    </row>
    <row r="82" spans="6:22">
      <c r="F82" s="282"/>
      <c r="M82" s="282"/>
      <c r="O82" s="282"/>
      <c r="Q82" s="282"/>
      <c r="R82" s="282"/>
      <c r="S82" s="282"/>
      <c r="T82" s="282"/>
      <c r="U82" s="282"/>
      <c r="V82" s="282"/>
    </row>
    <row r="83" spans="6:22">
      <c r="F83" s="282"/>
      <c r="M83" s="282"/>
      <c r="O83" s="282"/>
      <c r="Q83" s="282"/>
      <c r="R83" s="282"/>
      <c r="S83" s="282"/>
      <c r="T83" s="282"/>
      <c r="U83" s="282"/>
      <c r="V83" s="282"/>
    </row>
    <row r="84" spans="6:22">
      <c r="F84" s="282"/>
      <c r="M84" s="282"/>
      <c r="O84" s="282"/>
      <c r="Q84" s="282"/>
      <c r="R84" s="282"/>
      <c r="S84" s="282"/>
      <c r="T84" s="282"/>
      <c r="U84" s="282"/>
      <c r="V84" s="282"/>
    </row>
    <row r="85" spans="6:22">
      <c r="F85" s="282"/>
      <c r="M85" s="282"/>
      <c r="O85" s="282"/>
      <c r="Q85" s="282"/>
      <c r="R85" s="282"/>
      <c r="S85" s="282"/>
      <c r="T85" s="282"/>
      <c r="U85" s="282"/>
      <c r="V85" s="282"/>
    </row>
    <row r="86" spans="6:22">
      <c r="F86" s="282"/>
      <c r="M86" s="282"/>
      <c r="O86" s="282"/>
      <c r="Q86" s="282"/>
      <c r="R86" s="282"/>
      <c r="S86" s="282"/>
      <c r="T86" s="282"/>
      <c r="U86" s="282"/>
      <c r="V86" s="282"/>
    </row>
    <row r="87" spans="6:22">
      <c r="F87" s="282"/>
      <c r="M87" s="282"/>
      <c r="O87" s="282"/>
      <c r="Q87" s="282"/>
      <c r="R87" s="282"/>
      <c r="S87" s="282"/>
      <c r="T87" s="282"/>
      <c r="U87" s="282"/>
      <c r="V87" s="282"/>
    </row>
    <row r="88" spans="6:22">
      <c r="F88" s="282"/>
      <c r="M88" s="282"/>
      <c r="O88" s="282"/>
      <c r="Q88" s="282"/>
      <c r="R88" s="282"/>
      <c r="S88" s="282"/>
      <c r="T88" s="282"/>
      <c r="U88" s="282"/>
      <c r="V88" s="282"/>
    </row>
    <row r="89" spans="6:22">
      <c r="F89" s="282"/>
      <c r="M89" s="282"/>
      <c r="O89" s="282"/>
      <c r="Q89" s="282"/>
      <c r="R89" s="282"/>
      <c r="S89" s="282"/>
      <c r="T89" s="282"/>
      <c r="U89" s="282"/>
      <c r="V89" s="282"/>
    </row>
    <row r="90" spans="6:22">
      <c r="F90" s="282"/>
      <c r="M90" s="282"/>
      <c r="O90" s="282"/>
      <c r="Q90" s="282"/>
      <c r="R90" s="282"/>
      <c r="S90" s="282"/>
      <c r="T90" s="282"/>
      <c r="U90" s="282"/>
      <c r="V90" s="282"/>
    </row>
    <row r="91" spans="6:22">
      <c r="F91" s="282"/>
      <c r="M91" s="282"/>
      <c r="O91" s="282"/>
      <c r="Q91" s="282"/>
      <c r="R91" s="282"/>
      <c r="S91" s="282"/>
      <c r="T91" s="282"/>
      <c r="U91" s="282"/>
      <c r="V91" s="282"/>
    </row>
    <row r="92" spans="6:22">
      <c r="F92" s="282"/>
      <c r="M92" s="282"/>
      <c r="O92" s="282"/>
      <c r="Q92" s="282"/>
      <c r="R92" s="282"/>
      <c r="S92" s="282"/>
      <c r="T92" s="282"/>
      <c r="U92" s="282"/>
      <c r="V92" s="282"/>
    </row>
    <row r="93" spans="6:22">
      <c r="F93" s="282"/>
      <c r="M93" s="282"/>
      <c r="O93" s="282"/>
      <c r="Q93" s="282"/>
      <c r="R93" s="282"/>
      <c r="S93" s="282"/>
      <c r="T93" s="282"/>
      <c r="U93" s="282"/>
      <c r="V93" s="282"/>
    </row>
    <row r="94" spans="6:22">
      <c r="F94" s="282"/>
      <c r="M94" s="282"/>
      <c r="O94" s="282"/>
      <c r="Q94" s="282"/>
      <c r="R94" s="282"/>
      <c r="S94" s="282"/>
      <c r="T94" s="282"/>
      <c r="U94" s="282"/>
      <c r="V94" s="282"/>
    </row>
    <row r="95" spans="6:22">
      <c r="F95" s="282"/>
      <c r="M95" s="282"/>
      <c r="O95" s="282"/>
      <c r="Q95" s="282"/>
      <c r="R95" s="282"/>
      <c r="S95" s="282"/>
      <c r="T95" s="282"/>
      <c r="U95" s="282"/>
      <c r="V95" s="282"/>
    </row>
    <row r="96" spans="6:22">
      <c r="F96" s="282"/>
      <c r="M96" s="282"/>
      <c r="O96" s="282"/>
      <c r="Q96" s="282"/>
      <c r="R96" s="282"/>
      <c r="S96" s="282"/>
      <c r="T96" s="282"/>
      <c r="U96" s="282"/>
      <c r="V96" s="282"/>
    </row>
    <row r="97" spans="6:22">
      <c r="F97" s="282"/>
      <c r="M97" s="282"/>
      <c r="O97" s="282"/>
      <c r="Q97" s="282"/>
      <c r="R97" s="282"/>
      <c r="S97" s="282"/>
      <c r="T97" s="282"/>
      <c r="U97" s="282"/>
      <c r="V97" s="282"/>
    </row>
    <row r="98" spans="6:22">
      <c r="F98" s="282"/>
      <c r="M98" s="282"/>
      <c r="O98" s="282"/>
      <c r="Q98" s="282"/>
      <c r="R98" s="282"/>
      <c r="S98" s="282"/>
      <c r="T98" s="282"/>
      <c r="U98" s="282"/>
      <c r="V98" s="282"/>
    </row>
    <row r="99" spans="6:22">
      <c r="F99" s="282"/>
      <c r="M99" s="282"/>
      <c r="O99" s="282"/>
      <c r="Q99" s="282"/>
      <c r="R99" s="282"/>
      <c r="S99" s="282"/>
      <c r="T99" s="282"/>
      <c r="U99" s="282"/>
      <c r="V99" s="282"/>
    </row>
    <row r="100" spans="6:22">
      <c r="F100" s="282"/>
      <c r="M100" s="282"/>
      <c r="O100" s="282"/>
      <c r="Q100" s="282"/>
      <c r="R100" s="282"/>
      <c r="S100" s="282"/>
      <c r="T100" s="282"/>
      <c r="U100" s="282"/>
      <c r="V100" s="282"/>
    </row>
    <row r="101" spans="6:22">
      <c r="F101" s="282"/>
      <c r="M101" s="282"/>
      <c r="O101" s="282"/>
      <c r="Q101" s="282"/>
      <c r="R101" s="282"/>
      <c r="S101" s="282"/>
      <c r="T101" s="282"/>
      <c r="U101" s="282"/>
      <c r="V101" s="282"/>
    </row>
    <row r="102" spans="6:22">
      <c r="F102" s="282"/>
      <c r="M102" s="282"/>
      <c r="O102" s="282"/>
      <c r="Q102" s="282"/>
      <c r="R102" s="282"/>
      <c r="S102" s="282"/>
      <c r="T102" s="282"/>
      <c r="U102" s="282"/>
      <c r="V102" s="282"/>
    </row>
    <row r="103" spans="6:22">
      <c r="F103" s="282"/>
      <c r="M103" s="282"/>
      <c r="O103" s="282"/>
      <c r="Q103" s="282"/>
      <c r="R103" s="282"/>
      <c r="S103" s="282"/>
      <c r="T103" s="282"/>
      <c r="U103" s="282"/>
      <c r="V103" s="282"/>
    </row>
    <row r="104" spans="6:22">
      <c r="F104" s="282"/>
      <c r="M104" s="282"/>
      <c r="O104" s="282"/>
      <c r="Q104" s="282"/>
      <c r="R104" s="282"/>
      <c r="S104" s="282"/>
      <c r="T104" s="282"/>
      <c r="U104" s="282"/>
      <c r="V104" s="282"/>
    </row>
    <row r="105" spans="6:22">
      <c r="F105" s="282"/>
      <c r="M105" s="282"/>
      <c r="O105" s="282"/>
      <c r="Q105" s="282"/>
      <c r="R105" s="282"/>
      <c r="S105" s="282"/>
      <c r="T105" s="282"/>
      <c r="U105" s="282"/>
      <c r="V105" s="282"/>
    </row>
    <row r="106" spans="6:22">
      <c r="F106" s="282"/>
      <c r="M106" s="282"/>
      <c r="O106" s="282"/>
      <c r="Q106" s="282"/>
      <c r="R106" s="282"/>
      <c r="S106" s="282"/>
      <c r="T106" s="282"/>
      <c r="U106" s="282"/>
      <c r="V106" s="282"/>
    </row>
    <row r="107" spans="6:22">
      <c r="F107" s="282"/>
      <c r="M107" s="282"/>
      <c r="O107" s="282"/>
      <c r="Q107" s="282"/>
      <c r="R107" s="282"/>
      <c r="S107" s="282"/>
      <c r="T107" s="282"/>
      <c r="U107" s="282"/>
      <c r="V107" s="282"/>
    </row>
    <row r="108" spans="6:22">
      <c r="F108" s="282"/>
      <c r="M108" s="282"/>
      <c r="O108" s="282"/>
      <c r="Q108" s="282"/>
      <c r="R108" s="282"/>
      <c r="S108" s="282"/>
      <c r="T108" s="282"/>
      <c r="U108" s="282"/>
      <c r="V108" s="282"/>
    </row>
    <row r="109" spans="6:22">
      <c r="F109" s="282"/>
      <c r="M109" s="282"/>
      <c r="O109" s="282"/>
      <c r="Q109" s="282"/>
      <c r="R109" s="282"/>
      <c r="S109" s="282"/>
      <c r="T109" s="282"/>
      <c r="U109" s="282"/>
      <c r="V109" s="282"/>
    </row>
    <row r="110" spans="6:22">
      <c r="F110" s="282"/>
      <c r="M110" s="282"/>
      <c r="O110" s="282"/>
      <c r="Q110" s="282"/>
      <c r="R110" s="282"/>
      <c r="S110" s="282"/>
      <c r="T110" s="282"/>
      <c r="U110" s="282"/>
      <c r="V110" s="282"/>
    </row>
    <row r="111" spans="6:22">
      <c r="M111" s="282"/>
      <c r="O111" s="282"/>
      <c r="Q111" s="282"/>
      <c r="R111" s="282"/>
      <c r="S111" s="282"/>
      <c r="T111" s="282"/>
      <c r="U111" s="282"/>
      <c r="V111" s="282"/>
    </row>
    <row r="112" spans="6:22">
      <c r="M112" s="282"/>
      <c r="O112" s="282"/>
      <c r="Q112" s="282"/>
      <c r="R112" s="282"/>
      <c r="S112" s="282"/>
      <c r="T112" s="282"/>
      <c r="U112" s="282"/>
      <c r="V112" s="282"/>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3" customWidth="1"/>
    <col min="2" max="2" width="8.42578125" style="243" customWidth="1"/>
    <col min="3" max="3" width="7.42578125" style="243" customWidth="1"/>
    <col min="4" max="4" width="8.42578125" style="243" customWidth="1"/>
    <col min="5" max="5" width="37.28515625" style="243" customWidth="1"/>
    <col min="6" max="6" width="12.7109375" style="243" customWidth="1"/>
    <col min="7" max="8" width="5.85546875" style="244" customWidth="1"/>
    <col min="9" max="9" width="4.85546875" style="243" customWidth="1"/>
    <col min="10" max="10" width="12.5703125" style="243" customWidth="1"/>
    <col min="11" max="11" width="12.28515625" style="243" customWidth="1"/>
    <col min="12" max="12" width="12.85546875" style="243" customWidth="1"/>
    <col min="13" max="13" width="12.7109375" style="243" customWidth="1"/>
    <col min="14" max="14" width="12.85546875" style="243" customWidth="1"/>
    <col min="15" max="15" width="12.7109375" style="243" customWidth="1"/>
    <col min="16" max="16" width="11.85546875" style="243" customWidth="1"/>
    <col min="17" max="17" width="5" style="243" customWidth="1"/>
    <col min="18" max="18" width="11.28515625" style="243" customWidth="1"/>
    <col min="19" max="19" width="11.42578125" style="243" customWidth="1"/>
    <col min="20" max="20" width="13.140625" style="243" customWidth="1"/>
    <col min="21" max="21" width="6" style="243" customWidth="1"/>
    <col min="22" max="22" width="13.5703125" style="243" customWidth="1"/>
    <col min="23" max="23" width="13.42578125" style="243" customWidth="1"/>
    <col min="24" max="24" width="6.5703125" style="243" customWidth="1"/>
    <col min="25" max="25" width="6.42578125" style="243" customWidth="1"/>
    <col min="26" max="26" width="9.5703125" style="243" customWidth="1"/>
    <col min="27" max="27" width="9.42578125" style="243" customWidth="1"/>
    <col min="28" max="29" width="11.28515625" style="243" customWidth="1"/>
    <col min="30" max="30" width="5.28515625" style="243" customWidth="1"/>
    <col min="31" max="31" width="15" style="243" customWidth="1"/>
    <col min="32" max="32" width="5.28515625" style="243" customWidth="1"/>
    <col min="33" max="33" width="15" style="243" customWidth="1"/>
    <col min="34" max="34" width="4.85546875" style="243" customWidth="1"/>
    <col min="35" max="35" width="13.85546875" style="243" customWidth="1"/>
    <col min="36" max="36" width="11.5703125" style="243" customWidth="1"/>
    <col min="37" max="37" width="5.7109375" style="243" customWidth="1"/>
    <col min="38" max="38" width="12.42578125" style="243" customWidth="1"/>
    <col min="39" max="39" width="10.85546875" style="243" customWidth="1"/>
    <col min="40" max="40" width="9.85546875" style="243" customWidth="1"/>
    <col min="41" max="41" width="9.7109375" style="243" customWidth="1"/>
    <col min="42" max="42" width="13.140625" style="243" customWidth="1"/>
    <col min="43" max="43" width="12.5703125" style="243" customWidth="1"/>
    <col min="44" max="45" width="14.28515625" style="243" customWidth="1"/>
    <col min="46" max="46" width="7" style="243" customWidth="1"/>
    <col min="47" max="47" width="7.5703125" style="243" customWidth="1"/>
    <col min="48" max="48" width="4.7109375" style="243" customWidth="1"/>
    <col min="49" max="49" width="9.5703125" style="243" customWidth="1"/>
    <col min="50" max="51" width="12.28515625" style="243" customWidth="1"/>
    <col min="52" max="52" width="15.7109375" style="243" customWidth="1"/>
    <col min="53" max="53" width="15.85546875" style="243" customWidth="1"/>
    <col min="54" max="16384" width="9.140625" style="243"/>
  </cols>
  <sheetData>
    <row r="1" spans="1:105" ht="12.75" customHeight="1">
      <c r="A1" s="239"/>
      <c r="B1" s="240" t="s">
        <v>119</v>
      </c>
      <c r="C1" s="241"/>
      <c r="D1" s="241"/>
      <c r="E1" s="242"/>
      <c r="I1" s="241"/>
      <c r="M1" s="1374" t="str">
        <f>'SC-I'!M1:S1</f>
        <v>Mẫu số S01-DN</v>
      </c>
      <c r="N1" s="1374"/>
      <c r="O1" s="1374"/>
      <c r="P1" s="1374"/>
      <c r="Q1" s="1374"/>
      <c r="R1" s="1374"/>
      <c r="S1" s="1374"/>
      <c r="X1" s="241"/>
      <c r="Y1" s="241"/>
      <c r="Z1" s="241"/>
      <c r="AA1" s="241"/>
      <c r="AB1" s="242"/>
      <c r="AC1" s="242"/>
      <c r="AD1" s="242"/>
      <c r="AE1" s="242"/>
      <c r="AF1" s="242"/>
      <c r="AG1" s="242"/>
      <c r="AH1" s="242"/>
      <c r="AI1" s="242"/>
      <c r="AJ1" s="242"/>
      <c r="AK1" s="242"/>
      <c r="AL1" s="241"/>
      <c r="AM1" s="241"/>
      <c r="AN1" s="241"/>
      <c r="AO1" s="241"/>
      <c r="AP1" s="241"/>
      <c r="AQ1" s="241"/>
      <c r="AR1" s="241"/>
      <c r="AS1" s="241"/>
      <c r="AT1" s="241"/>
      <c r="AU1" s="241"/>
      <c r="AV1" s="241"/>
      <c r="AW1" s="241"/>
      <c r="AX1" s="241"/>
      <c r="AY1" s="241"/>
      <c r="AZ1" s="241"/>
      <c r="BA1" s="241"/>
    </row>
    <row r="2" spans="1:105" ht="12.75" customHeight="1">
      <c r="A2" s="239"/>
      <c r="B2" s="240" t="s">
        <v>175</v>
      </c>
      <c r="C2" s="241"/>
      <c r="D2" s="241"/>
      <c r="E2" s="241"/>
      <c r="I2" s="245"/>
      <c r="M2" s="1375" t="str">
        <f>'SC-I'!M2:S3</f>
        <v>(Ban hành theo Thông tư số 200/2014/TT-BTC 
 Ngày 22/12/2014 của Bộ Tài chính)</v>
      </c>
      <c r="N2" s="1375"/>
      <c r="O2" s="1375"/>
      <c r="P2" s="1375"/>
      <c r="Q2" s="1375"/>
      <c r="R2" s="1375"/>
      <c r="S2" s="1375"/>
      <c r="X2" s="245"/>
      <c r="Y2" s="245"/>
      <c r="Z2" s="245"/>
      <c r="AA2" s="245"/>
      <c r="AB2" s="246"/>
      <c r="AC2" s="246"/>
      <c r="AD2" s="246"/>
      <c r="AE2" s="246"/>
      <c r="AF2" s="246"/>
      <c r="AG2" s="246"/>
      <c r="AH2" s="246"/>
      <c r="AI2" s="246"/>
      <c r="AJ2" s="246"/>
      <c r="AK2" s="246"/>
      <c r="AL2" s="245"/>
      <c r="AM2" s="245"/>
      <c r="AN2" s="245"/>
      <c r="AO2" s="245"/>
      <c r="AP2" s="245"/>
      <c r="AQ2" s="245"/>
      <c r="AR2" s="245"/>
      <c r="AS2" s="245"/>
      <c r="AT2" s="245"/>
      <c r="AU2" s="245"/>
      <c r="AV2" s="245"/>
      <c r="AW2" s="245"/>
      <c r="AX2" s="245"/>
      <c r="AY2" s="245"/>
      <c r="AZ2" s="245"/>
      <c r="BA2" s="245"/>
    </row>
    <row r="3" spans="1:105" ht="10.5" customHeight="1">
      <c r="A3" s="241"/>
      <c r="B3" s="241"/>
      <c r="C3" s="241"/>
      <c r="D3" s="241"/>
      <c r="E3" s="241"/>
      <c r="F3" s="245"/>
      <c r="G3" s="247"/>
      <c r="H3" s="247"/>
      <c r="I3" s="245"/>
      <c r="M3" s="1375"/>
      <c r="N3" s="1375"/>
      <c r="O3" s="1375"/>
      <c r="P3" s="1375"/>
      <c r="Q3" s="1375"/>
      <c r="R3" s="1375"/>
      <c r="S3" s="1375"/>
      <c r="X3" s="245"/>
      <c r="Y3" s="245"/>
      <c r="Z3" s="245"/>
      <c r="AA3" s="245"/>
      <c r="AB3" s="246"/>
      <c r="AC3" s="246"/>
      <c r="AD3" s="246"/>
      <c r="AE3" s="246"/>
      <c r="AF3" s="246"/>
      <c r="AG3" s="246"/>
      <c r="AH3" s="246"/>
      <c r="AI3" s="246"/>
      <c r="AJ3" s="246"/>
      <c r="AK3" s="246"/>
      <c r="AL3" s="245"/>
      <c r="AM3" s="245"/>
      <c r="AN3" s="245"/>
      <c r="AO3" s="245"/>
      <c r="AP3" s="245"/>
      <c r="AQ3" s="245"/>
      <c r="AR3" s="245"/>
      <c r="AS3" s="245"/>
      <c r="AT3" s="245"/>
      <c r="AU3" s="245"/>
      <c r="AV3" s="245"/>
      <c r="AW3" s="245"/>
      <c r="AX3" s="245"/>
      <c r="AY3" s="245"/>
      <c r="AZ3" s="245"/>
      <c r="BA3" s="245"/>
    </row>
    <row r="4" spans="1:105" ht="19.5" customHeight="1">
      <c r="B4" s="1376" t="s">
        <v>110</v>
      </c>
      <c r="C4" s="1376"/>
      <c r="D4" s="1376"/>
      <c r="E4" s="1376"/>
      <c r="F4" s="1376"/>
      <c r="G4" s="1376"/>
      <c r="H4" s="1376"/>
      <c r="I4" s="1376"/>
      <c r="J4" s="1376"/>
      <c r="K4" s="1376"/>
      <c r="L4" s="1376"/>
      <c r="M4" s="1376"/>
      <c r="N4" s="1376"/>
      <c r="O4" s="1376"/>
      <c r="P4" s="1376"/>
      <c r="Q4" s="1376"/>
      <c r="R4" s="1376"/>
      <c r="S4" s="248"/>
      <c r="T4" s="248"/>
      <c r="U4" s="248"/>
      <c r="V4" s="248"/>
      <c r="W4" s="248"/>
      <c r="X4" s="249"/>
      <c r="Y4" s="249"/>
      <c r="Z4" s="250"/>
      <c r="AA4" s="250"/>
      <c r="AB4" s="248"/>
      <c r="AC4" s="248"/>
      <c r="AD4" s="248"/>
      <c r="AE4" s="248"/>
      <c r="AF4" s="248"/>
      <c r="AG4" s="248"/>
      <c r="AH4" s="248"/>
      <c r="AI4" s="248"/>
      <c r="AJ4" s="248"/>
      <c r="AK4" s="248"/>
      <c r="AL4" s="250"/>
      <c r="AM4" s="250"/>
      <c r="AN4" s="250"/>
      <c r="AO4" s="250"/>
      <c r="AP4" s="250"/>
      <c r="AQ4" s="250"/>
      <c r="AR4" s="250"/>
      <c r="AS4" s="250"/>
      <c r="AT4" s="250"/>
      <c r="AU4" s="250"/>
      <c r="AV4" s="250"/>
      <c r="AW4" s="250"/>
      <c r="AX4" s="250"/>
      <c r="AY4" s="250"/>
      <c r="AZ4" s="250"/>
      <c r="BA4" s="250"/>
    </row>
    <row r="5" spans="1:105" ht="15">
      <c r="B5" s="1377" t="s">
        <v>213</v>
      </c>
      <c r="C5" s="1377"/>
      <c r="D5" s="1377"/>
      <c r="E5" s="1377"/>
      <c r="F5" s="1377"/>
      <c r="G5" s="1377"/>
      <c r="H5" s="1377"/>
      <c r="I5" s="1377"/>
      <c r="J5" s="1377"/>
      <c r="K5" s="1377"/>
      <c r="L5" s="1377"/>
      <c r="M5" s="1377"/>
      <c r="N5" s="1377"/>
      <c r="O5" s="1377"/>
      <c r="P5" s="1377"/>
      <c r="Q5" s="1377"/>
      <c r="R5" s="1377"/>
      <c r="S5" s="251"/>
      <c r="T5" s="251"/>
      <c r="U5" s="251"/>
      <c r="V5" s="251"/>
      <c r="W5" s="251"/>
      <c r="X5" s="252"/>
      <c r="Y5" s="252"/>
      <c r="AB5" s="251"/>
      <c r="AC5" s="251"/>
      <c r="AD5" s="251"/>
      <c r="AE5" s="251"/>
      <c r="AF5" s="251"/>
      <c r="AG5" s="251"/>
      <c r="AH5" s="251"/>
      <c r="AI5" s="251"/>
      <c r="AJ5" s="251"/>
      <c r="AK5" s="251"/>
    </row>
    <row r="6" spans="1:105">
      <c r="P6" s="243" t="s">
        <v>145</v>
      </c>
    </row>
    <row r="7" spans="1:105" ht="13.5" customHeight="1">
      <c r="A7" s="1378" t="s">
        <v>35</v>
      </c>
      <c r="B7" s="1373" t="s">
        <v>21</v>
      </c>
      <c r="C7" s="1380" t="s">
        <v>1</v>
      </c>
      <c r="D7" s="1381"/>
      <c r="E7" s="1373" t="s">
        <v>0</v>
      </c>
      <c r="F7" s="1373" t="s">
        <v>111</v>
      </c>
      <c r="G7" s="1382" t="s">
        <v>112</v>
      </c>
      <c r="H7" s="1382"/>
      <c r="I7" s="1383" t="s">
        <v>35</v>
      </c>
      <c r="J7" s="1373" t="s">
        <v>186</v>
      </c>
      <c r="K7" s="1373"/>
      <c r="L7" s="1373" t="s">
        <v>187</v>
      </c>
      <c r="M7" s="1373"/>
      <c r="N7" s="1373" t="s">
        <v>262</v>
      </c>
      <c r="O7" s="1373"/>
      <c r="P7" s="1373" t="s">
        <v>953</v>
      </c>
      <c r="Q7" s="1373"/>
      <c r="R7" s="1373" t="s">
        <v>188</v>
      </c>
      <c r="S7" s="1373"/>
      <c r="T7" s="1373" t="s">
        <v>189</v>
      </c>
      <c r="U7" s="1373"/>
      <c r="V7" s="1373" t="s">
        <v>954</v>
      </c>
      <c r="W7" s="1373"/>
      <c r="X7" s="1373" t="s">
        <v>955</v>
      </c>
      <c r="Y7" s="1373"/>
      <c r="Z7" s="1373" t="s">
        <v>956</v>
      </c>
      <c r="AA7" s="1373"/>
      <c r="AB7" s="1373" t="s">
        <v>957</v>
      </c>
      <c r="AC7" s="1373"/>
      <c r="AD7" s="1373" t="s">
        <v>958</v>
      </c>
      <c r="AE7" s="1373"/>
      <c r="AF7" s="1373" t="s">
        <v>959</v>
      </c>
      <c r="AG7" s="1373"/>
      <c r="AH7" s="1373" t="s">
        <v>960</v>
      </c>
      <c r="AI7" s="1373"/>
      <c r="AJ7" s="1373" t="s">
        <v>961</v>
      </c>
      <c r="AK7" s="1373"/>
      <c r="AL7" s="1373" t="s">
        <v>962</v>
      </c>
      <c r="AM7" s="1373"/>
      <c r="AN7" s="1373" t="s">
        <v>963</v>
      </c>
      <c r="AO7" s="1373"/>
      <c r="AP7" s="1373" t="s">
        <v>964</v>
      </c>
      <c r="AQ7" s="1373"/>
      <c r="AR7" s="1373" t="s">
        <v>965</v>
      </c>
      <c r="AS7" s="1373"/>
      <c r="AT7" s="1373" t="s">
        <v>190</v>
      </c>
      <c r="AU7" s="1373"/>
      <c r="AV7" s="1373" t="s">
        <v>191</v>
      </c>
      <c r="AW7" s="1373"/>
      <c r="AX7" s="1373" t="s">
        <v>966</v>
      </c>
      <c r="AY7" s="1373"/>
      <c r="AZ7" s="1373" t="s">
        <v>967</v>
      </c>
      <c r="BA7" s="1373"/>
      <c r="BB7" s="1373" t="s">
        <v>968</v>
      </c>
      <c r="BC7" s="1373"/>
      <c r="BD7" s="1373" t="s">
        <v>192</v>
      </c>
      <c r="BE7" s="1373"/>
      <c r="BF7" s="1373" t="s">
        <v>969</v>
      </c>
      <c r="BG7" s="1373"/>
      <c r="BH7" s="1373" t="s">
        <v>193</v>
      </c>
      <c r="BI7" s="1373"/>
      <c r="BJ7" s="1373" t="s">
        <v>970</v>
      </c>
      <c r="BK7" s="1373"/>
      <c r="BL7" s="1373" t="s">
        <v>971</v>
      </c>
      <c r="BM7" s="1373"/>
      <c r="BN7" s="1373" t="s">
        <v>972</v>
      </c>
      <c r="BO7" s="1373"/>
      <c r="BP7" s="1373" t="s">
        <v>973</v>
      </c>
      <c r="BQ7" s="1373"/>
      <c r="BR7" s="1373" t="s">
        <v>194</v>
      </c>
      <c r="BS7" s="1373"/>
      <c r="BT7" s="1373" t="s">
        <v>195</v>
      </c>
      <c r="BU7" s="1373"/>
      <c r="BV7" s="1373" t="s">
        <v>257</v>
      </c>
      <c r="BW7" s="1373"/>
      <c r="BX7" s="1373" t="s">
        <v>196</v>
      </c>
      <c r="BY7" s="1373"/>
      <c r="BZ7" s="1373" t="s">
        <v>197</v>
      </c>
      <c r="CA7" s="1373"/>
      <c r="CB7" s="1373" t="s">
        <v>198</v>
      </c>
      <c r="CC7" s="1373"/>
      <c r="CD7" s="1373" t="s">
        <v>974</v>
      </c>
      <c r="CE7" s="1373"/>
      <c r="CF7" s="1373" t="s">
        <v>975</v>
      </c>
      <c r="CG7" s="1373"/>
      <c r="CH7" s="1373" t="s">
        <v>199</v>
      </c>
      <c r="CI7" s="1373"/>
      <c r="CJ7" s="1373" t="s">
        <v>976</v>
      </c>
      <c r="CK7" s="1373"/>
      <c r="CL7" s="1373" t="s">
        <v>977</v>
      </c>
      <c r="CM7" s="1373"/>
      <c r="CN7" s="1373" t="s">
        <v>200</v>
      </c>
      <c r="CO7" s="1373"/>
      <c r="CP7" s="1373" t="s">
        <v>978</v>
      </c>
      <c r="CQ7" s="1373"/>
      <c r="CR7" s="1373" t="s">
        <v>201</v>
      </c>
      <c r="CS7" s="1373"/>
      <c r="CT7" s="1373" t="s">
        <v>202</v>
      </c>
      <c r="CU7" s="1373"/>
      <c r="CV7" s="1373" t="s">
        <v>203</v>
      </c>
      <c r="CW7" s="1373"/>
      <c r="CX7" s="1373" t="s">
        <v>204</v>
      </c>
      <c r="CY7" s="1373"/>
      <c r="CZ7" s="1373" t="s">
        <v>205</v>
      </c>
      <c r="DA7" s="1373"/>
    </row>
    <row r="8" spans="1:105" ht="22.5" customHeight="1">
      <c r="A8" s="1379"/>
      <c r="B8" s="1373"/>
      <c r="C8" s="939" t="s">
        <v>16</v>
      </c>
      <c r="D8" s="938" t="s">
        <v>32</v>
      </c>
      <c r="E8" s="1373"/>
      <c r="F8" s="1373"/>
      <c r="G8" s="940" t="s">
        <v>23</v>
      </c>
      <c r="H8" s="940" t="s">
        <v>24</v>
      </c>
      <c r="I8" s="1383"/>
      <c r="J8" s="938" t="s">
        <v>23</v>
      </c>
      <c r="K8" s="938" t="s">
        <v>24</v>
      </c>
      <c r="L8" s="938" t="s">
        <v>23</v>
      </c>
      <c r="M8" s="938" t="s">
        <v>24</v>
      </c>
      <c r="N8" s="938" t="s">
        <v>23</v>
      </c>
      <c r="O8" s="938" t="s">
        <v>24</v>
      </c>
      <c r="P8" s="938" t="s">
        <v>23</v>
      </c>
      <c r="Q8" s="938" t="s">
        <v>24</v>
      </c>
      <c r="R8" s="938" t="s">
        <v>23</v>
      </c>
      <c r="S8" s="938" t="s">
        <v>24</v>
      </c>
      <c r="T8" s="938" t="s">
        <v>23</v>
      </c>
      <c r="U8" s="938" t="s">
        <v>24</v>
      </c>
      <c r="V8" s="938" t="s">
        <v>23</v>
      </c>
      <c r="W8" s="938" t="s">
        <v>24</v>
      </c>
      <c r="X8" s="938" t="s">
        <v>23</v>
      </c>
      <c r="Y8" s="938" t="s">
        <v>24</v>
      </c>
      <c r="Z8" s="938" t="s">
        <v>23</v>
      </c>
      <c r="AA8" s="938" t="s">
        <v>24</v>
      </c>
      <c r="AB8" s="938" t="s">
        <v>23</v>
      </c>
      <c r="AC8" s="938" t="s">
        <v>24</v>
      </c>
      <c r="AD8" s="938" t="s">
        <v>23</v>
      </c>
      <c r="AE8" s="938" t="s">
        <v>24</v>
      </c>
      <c r="AF8" s="938" t="s">
        <v>23</v>
      </c>
      <c r="AG8" s="938" t="s">
        <v>24</v>
      </c>
      <c r="AH8" s="938" t="s">
        <v>23</v>
      </c>
      <c r="AI8" s="938" t="s">
        <v>24</v>
      </c>
      <c r="AJ8" s="938" t="s">
        <v>23</v>
      </c>
      <c r="AK8" s="938" t="s">
        <v>24</v>
      </c>
      <c r="AL8" s="938" t="s">
        <v>23</v>
      </c>
      <c r="AM8" s="938" t="s">
        <v>24</v>
      </c>
      <c r="AN8" s="938" t="s">
        <v>23</v>
      </c>
      <c r="AO8" s="938" t="s">
        <v>24</v>
      </c>
      <c r="AP8" s="938" t="s">
        <v>23</v>
      </c>
      <c r="AQ8" s="938" t="s">
        <v>24</v>
      </c>
      <c r="AR8" s="938" t="s">
        <v>23</v>
      </c>
      <c r="AS8" s="938" t="s">
        <v>24</v>
      </c>
      <c r="AT8" s="938" t="s">
        <v>23</v>
      </c>
      <c r="AU8" s="938" t="s">
        <v>24</v>
      </c>
      <c r="AV8" s="938" t="s">
        <v>23</v>
      </c>
      <c r="AW8" s="938" t="s">
        <v>24</v>
      </c>
      <c r="AX8" s="938" t="s">
        <v>23</v>
      </c>
      <c r="AY8" s="938" t="s">
        <v>24</v>
      </c>
      <c r="AZ8" s="938" t="s">
        <v>23</v>
      </c>
      <c r="BA8" s="938" t="s">
        <v>24</v>
      </c>
      <c r="BB8" s="938" t="s">
        <v>23</v>
      </c>
      <c r="BC8" s="938" t="s">
        <v>24</v>
      </c>
      <c r="BD8" s="938" t="s">
        <v>23</v>
      </c>
      <c r="BE8" s="938" t="s">
        <v>24</v>
      </c>
      <c r="BF8" s="938" t="s">
        <v>23</v>
      </c>
      <c r="BG8" s="938" t="s">
        <v>24</v>
      </c>
      <c r="BH8" s="938" t="s">
        <v>23</v>
      </c>
      <c r="BI8" s="938" t="s">
        <v>24</v>
      </c>
      <c r="BJ8" s="938" t="s">
        <v>23</v>
      </c>
      <c r="BK8" s="938" t="s">
        <v>24</v>
      </c>
      <c r="BL8" s="938" t="s">
        <v>23</v>
      </c>
      <c r="BM8" s="938" t="s">
        <v>24</v>
      </c>
      <c r="BN8" s="938" t="s">
        <v>23</v>
      </c>
      <c r="BO8" s="938" t="s">
        <v>24</v>
      </c>
      <c r="BP8" s="938" t="s">
        <v>23</v>
      </c>
      <c r="BQ8" s="938" t="s">
        <v>24</v>
      </c>
      <c r="BR8" s="938" t="s">
        <v>23</v>
      </c>
      <c r="BS8" s="938" t="s">
        <v>24</v>
      </c>
      <c r="BT8" s="938" t="s">
        <v>23</v>
      </c>
      <c r="BU8" s="938" t="s">
        <v>24</v>
      </c>
      <c r="BV8" s="938" t="s">
        <v>23</v>
      </c>
      <c r="BW8" s="938" t="s">
        <v>24</v>
      </c>
      <c r="BX8" s="938" t="s">
        <v>23</v>
      </c>
      <c r="BY8" s="938" t="s">
        <v>24</v>
      </c>
      <c r="BZ8" s="938" t="s">
        <v>23</v>
      </c>
      <c r="CA8" s="938" t="s">
        <v>24</v>
      </c>
      <c r="CB8" s="938" t="s">
        <v>23</v>
      </c>
      <c r="CC8" s="938" t="s">
        <v>24</v>
      </c>
      <c r="CD8" s="938" t="s">
        <v>23</v>
      </c>
      <c r="CE8" s="938" t="s">
        <v>24</v>
      </c>
      <c r="CF8" s="938" t="s">
        <v>23</v>
      </c>
      <c r="CG8" s="938" t="s">
        <v>24</v>
      </c>
      <c r="CH8" s="938" t="s">
        <v>23</v>
      </c>
      <c r="CI8" s="938" t="s">
        <v>24</v>
      </c>
      <c r="CJ8" s="938" t="s">
        <v>23</v>
      </c>
      <c r="CK8" s="938" t="s">
        <v>24</v>
      </c>
      <c r="CL8" s="938" t="s">
        <v>23</v>
      </c>
      <c r="CM8" s="938" t="s">
        <v>24</v>
      </c>
      <c r="CN8" s="938" t="s">
        <v>23</v>
      </c>
      <c r="CO8" s="938" t="s">
        <v>24</v>
      </c>
      <c r="CP8" s="938" t="s">
        <v>23</v>
      </c>
      <c r="CQ8" s="938" t="s">
        <v>24</v>
      </c>
      <c r="CR8" s="938" t="s">
        <v>23</v>
      </c>
      <c r="CS8" s="938" t="s">
        <v>24</v>
      </c>
      <c r="CT8" s="938" t="s">
        <v>23</v>
      </c>
      <c r="CU8" s="938" t="s">
        <v>24</v>
      </c>
      <c r="CV8" s="938" t="s">
        <v>23</v>
      </c>
      <c r="CW8" s="938" t="s">
        <v>24</v>
      </c>
      <c r="CX8" s="938" t="s">
        <v>23</v>
      </c>
      <c r="CY8" s="938" t="s">
        <v>24</v>
      </c>
      <c r="CZ8" s="938" t="s">
        <v>23</v>
      </c>
      <c r="DA8" s="938" t="s">
        <v>24</v>
      </c>
    </row>
    <row r="9" spans="1:105" s="254" customFormat="1" ht="8.25" customHeight="1">
      <c r="A9" s="253">
        <v>1</v>
      </c>
      <c r="B9" s="253">
        <v>2</v>
      </c>
      <c r="C9" s="253">
        <v>3</v>
      </c>
      <c r="D9" s="253">
        <v>4</v>
      </c>
      <c r="E9" s="253">
        <v>5</v>
      </c>
      <c r="F9" s="253">
        <v>6</v>
      </c>
      <c r="G9" s="253">
        <v>7</v>
      </c>
      <c r="H9" s="253">
        <v>8</v>
      </c>
      <c r="I9" s="253">
        <v>9</v>
      </c>
      <c r="J9" s="253">
        <v>10</v>
      </c>
      <c r="K9" s="253">
        <v>11</v>
      </c>
      <c r="L9" s="253">
        <v>12</v>
      </c>
      <c r="M9" s="253">
        <v>13</v>
      </c>
      <c r="N9" s="253">
        <v>14</v>
      </c>
      <c r="O9" s="253">
        <v>15</v>
      </c>
      <c r="P9" s="253">
        <v>16</v>
      </c>
      <c r="Q9" s="253">
        <v>17</v>
      </c>
      <c r="R9" s="253">
        <v>18</v>
      </c>
      <c r="S9" s="253">
        <v>19</v>
      </c>
      <c r="T9" s="253">
        <v>20</v>
      </c>
      <c r="U9" s="253">
        <v>21</v>
      </c>
      <c r="V9" s="253">
        <v>22</v>
      </c>
      <c r="W9" s="253">
        <v>23</v>
      </c>
      <c r="X9" s="253">
        <v>24</v>
      </c>
      <c r="Y9" s="253">
        <v>25</v>
      </c>
      <c r="Z9" s="253">
        <v>26</v>
      </c>
      <c r="AA9" s="253">
        <v>27</v>
      </c>
      <c r="AB9" s="253">
        <v>28</v>
      </c>
      <c r="AC9" s="253">
        <v>29</v>
      </c>
      <c r="AD9" s="253">
        <v>30</v>
      </c>
      <c r="AE9" s="253">
        <v>31</v>
      </c>
      <c r="AF9" s="253">
        <v>32</v>
      </c>
      <c r="AG9" s="253">
        <v>33</v>
      </c>
      <c r="AH9" s="253">
        <v>34</v>
      </c>
      <c r="AI9" s="253">
        <v>35</v>
      </c>
      <c r="AJ9" s="253">
        <v>36</v>
      </c>
      <c r="AK9" s="253">
        <v>37</v>
      </c>
      <c r="AL9" s="253">
        <v>38</v>
      </c>
      <c r="AM9" s="253">
        <v>39</v>
      </c>
      <c r="AN9" s="253">
        <v>40</v>
      </c>
      <c r="AO9" s="253">
        <v>41</v>
      </c>
      <c r="AP9" s="253">
        <v>42</v>
      </c>
      <c r="AQ9" s="253">
        <v>43</v>
      </c>
      <c r="AR9" s="253">
        <v>44</v>
      </c>
      <c r="AS9" s="253">
        <v>45</v>
      </c>
      <c r="AT9" s="253">
        <v>46</v>
      </c>
      <c r="AU9" s="253">
        <v>47</v>
      </c>
      <c r="AV9" s="253">
        <v>48</v>
      </c>
      <c r="AW9" s="253">
        <v>49</v>
      </c>
      <c r="AX9" s="253">
        <v>50</v>
      </c>
      <c r="AY9" s="253">
        <v>51</v>
      </c>
      <c r="AZ9" s="253">
        <v>52</v>
      </c>
      <c r="BA9" s="253">
        <v>53</v>
      </c>
      <c r="BB9" s="253">
        <v>54</v>
      </c>
      <c r="BC9" s="253">
        <v>55</v>
      </c>
      <c r="BD9" s="253">
        <v>56</v>
      </c>
      <c r="BE9" s="253">
        <v>57</v>
      </c>
      <c r="BF9" s="253">
        <v>58</v>
      </c>
      <c r="BG9" s="253">
        <v>59</v>
      </c>
      <c r="BH9" s="253">
        <v>60</v>
      </c>
      <c r="BI9" s="253">
        <v>61</v>
      </c>
      <c r="BJ9" s="253">
        <v>62</v>
      </c>
      <c r="BK9" s="253">
        <v>63</v>
      </c>
      <c r="BL9" s="253">
        <v>64</v>
      </c>
      <c r="BM9" s="253">
        <v>65</v>
      </c>
      <c r="BN9" s="253">
        <v>66</v>
      </c>
      <c r="BO9" s="253">
        <v>67</v>
      </c>
      <c r="BP9" s="253">
        <v>68</v>
      </c>
      <c r="BQ9" s="253">
        <v>69</v>
      </c>
      <c r="BR9" s="253">
        <v>70</v>
      </c>
      <c r="BS9" s="253">
        <v>71</v>
      </c>
      <c r="BT9" s="253">
        <v>72</v>
      </c>
      <c r="BU9" s="253">
        <v>73</v>
      </c>
      <c r="BV9" s="253">
        <v>72</v>
      </c>
      <c r="BW9" s="253">
        <v>73</v>
      </c>
      <c r="BX9" s="253">
        <v>74</v>
      </c>
      <c r="BY9" s="253">
        <v>75</v>
      </c>
      <c r="BZ9" s="253">
        <v>76</v>
      </c>
      <c r="CA9" s="253">
        <v>77</v>
      </c>
      <c r="CB9" s="253">
        <v>78</v>
      </c>
      <c r="CC9" s="253">
        <v>79</v>
      </c>
      <c r="CD9" s="253">
        <v>80</v>
      </c>
      <c r="CE9" s="253">
        <v>81</v>
      </c>
      <c r="CF9" s="253">
        <v>82</v>
      </c>
      <c r="CG9" s="253">
        <v>83</v>
      </c>
      <c r="CH9" s="253">
        <v>84</v>
      </c>
      <c r="CI9" s="253">
        <v>85</v>
      </c>
      <c r="CJ9" s="253">
        <v>86</v>
      </c>
      <c r="CK9" s="253">
        <v>87</v>
      </c>
      <c r="CL9" s="253">
        <v>88</v>
      </c>
      <c r="CM9" s="253">
        <v>89</v>
      </c>
      <c r="CN9" s="253">
        <v>90</v>
      </c>
      <c r="CO9" s="253">
        <v>91</v>
      </c>
      <c r="CP9" s="253">
        <v>92</v>
      </c>
      <c r="CQ9" s="253">
        <v>93</v>
      </c>
      <c r="CR9" s="253">
        <v>94</v>
      </c>
      <c r="CS9" s="253">
        <v>95</v>
      </c>
      <c r="CT9" s="253">
        <v>96</v>
      </c>
      <c r="CU9" s="253">
        <v>97</v>
      </c>
      <c r="CV9" s="253">
        <v>98</v>
      </c>
      <c r="CW9" s="253">
        <v>99</v>
      </c>
      <c r="CX9" s="253">
        <v>100</v>
      </c>
      <c r="CY9" s="253">
        <v>101</v>
      </c>
      <c r="CZ9" s="253">
        <v>102</v>
      </c>
      <c r="DA9" s="253">
        <v>103</v>
      </c>
    </row>
    <row r="10" spans="1:105" s="262" customFormat="1" ht="12.75" customHeight="1">
      <c r="A10" s="63" t="str">
        <f t="array" ref="A10">IF(C10&lt;&gt;0,SUM(($C10:C$16&lt;&gt;0)*1),"")</f>
        <v/>
      </c>
      <c r="B10" s="255"/>
      <c r="C10" s="256"/>
      <c r="D10" s="255"/>
      <c r="E10" s="257" t="s">
        <v>206</v>
      </c>
      <c r="F10" s="258"/>
      <c r="G10" s="259"/>
      <c r="H10" s="259"/>
      <c r="I10" s="260"/>
      <c r="J10" s="261">
        <f ca="1">'SC-I'!J53</f>
        <v>3705039095</v>
      </c>
      <c r="K10" s="261">
        <f ca="1">'SC-I'!K53</f>
        <v>0</v>
      </c>
      <c r="L10" s="261">
        <f ca="1">'SC-I'!L53</f>
        <v>19829295</v>
      </c>
      <c r="M10" s="261">
        <f ca="1">'SC-I'!M53</f>
        <v>0</v>
      </c>
      <c r="N10" s="261">
        <f ca="1">'SC-I'!N53</f>
        <v>2236796790</v>
      </c>
      <c r="O10" s="261">
        <f ca="1">'SC-I'!O53</f>
        <v>0</v>
      </c>
      <c r="P10" s="261">
        <f ca="1">'SC-I'!P53</f>
        <v>3343381600</v>
      </c>
      <c r="Q10" s="261">
        <f ca="1">'SC-I'!Q53</f>
        <v>0</v>
      </c>
      <c r="R10" s="261">
        <f ca="1">'SC-I'!R53</f>
        <v>162420936</v>
      </c>
      <c r="S10" s="261">
        <f ca="1">'SC-I'!S53</f>
        <v>0</v>
      </c>
      <c r="T10" s="261">
        <f ca="1">'SC-I'!T53</f>
        <v>1500000000</v>
      </c>
      <c r="U10" s="261">
        <f ca="1">'SC-I'!U53</f>
        <v>0</v>
      </c>
      <c r="V10" s="261">
        <f ca="1">'SC-I'!V53</f>
        <v>0</v>
      </c>
      <c r="W10" s="261">
        <f ca="1">'SC-I'!W53</f>
        <v>0</v>
      </c>
      <c r="X10" s="261">
        <f ca="1">'SC-I'!X53</f>
        <v>2772400000</v>
      </c>
      <c r="Y10" s="261">
        <f ca="1">'SC-I'!Y53</f>
        <v>0</v>
      </c>
      <c r="Z10" s="261">
        <f ca="1">'SC-I'!Z53</f>
        <v>526519887</v>
      </c>
      <c r="AA10" s="261">
        <f ca="1">'SC-I'!AA53</f>
        <v>0</v>
      </c>
      <c r="AB10" s="261">
        <f ca="1">'SC-I'!AB53</f>
        <v>0</v>
      </c>
      <c r="AC10" s="261">
        <f ca="1">'SC-I'!AC53</f>
        <v>0</v>
      </c>
      <c r="AD10" s="261">
        <f ca="1">'SC-I'!AD53</f>
        <v>0</v>
      </c>
      <c r="AE10" s="261">
        <f ca="1">'SC-I'!AE53</f>
        <v>0</v>
      </c>
      <c r="AF10" s="261">
        <f ca="1">'SC-I'!AF53</f>
        <v>9386323824</v>
      </c>
      <c r="AG10" s="261">
        <f ca="1">'SC-I'!AG53</f>
        <v>0</v>
      </c>
      <c r="AH10" s="261">
        <f ca="1">'SC-I'!AH53</f>
        <v>7490743648</v>
      </c>
      <c r="AI10" s="261">
        <f ca="1">'SC-I'!AI53</f>
        <v>0</v>
      </c>
      <c r="AJ10" s="261">
        <f ca="1">'SC-I'!AJ53</f>
        <v>3807898863</v>
      </c>
      <c r="AK10" s="261">
        <f ca="1">'SC-I'!AK53</f>
        <v>0</v>
      </c>
      <c r="AL10" s="261">
        <f ca="1">'SC-I'!AL53</f>
        <v>3790918485</v>
      </c>
      <c r="AM10" s="261">
        <f ca="1">'SC-I'!AM53</f>
        <v>0</v>
      </c>
      <c r="AN10" s="261">
        <f ca="1">'SC-I'!AN53</f>
        <v>5405781300</v>
      </c>
      <c r="AO10" s="261">
        <f ca="1">'SC-I'!AO53</f>
        <v>0</v>
      </c>
      <c r="AP10" s="261">
        <f ca="1">'SC-I'!AP53</f>
        <v>0</v>
      </c>
      <c r="AQ10" s="261">
        <f ca="1">'SC-I'!AQ53</f>
        <v>9132359256</v>
      </c>
      <c r="AR10" s="261">
        <f ca="1">'SC-I'!AR53</f>
        <v>0</v>
      </c>
      <c r="AS10" s="261">
        <f ca="1">'SC-I'!AS53</f>
        <v>600642360</v>
      </c>
      <c r="AT10" s="261">
        <f ca="1">'SC-I'!AT53</f>
        <v>0</v>
      </c>
      <c r="AU10" s="261">
        <f ca="1">'SC-I'!AU53</f>
        <v>0</v>
      </c>
      <c r="AV10" s="261">
        <f ca="1">'SC-I'!AV53</f>
        <v>0</v>
      </c>
      <c r="AW10" s="261">
        <f ca="1">'SC-I'!AW53</f>
        <v>476953252</v>
      </c>
      <c r="AX10" s="261">
        <f ca="1">'SC-I'!AX53</f>
        <v>0</v>
      </c>
      <c r="AY10" s="261">
        <f ca="1">'SC-I'!AY53</f>
        <v>0</v>
      </c>
      <c r="AZ10" s="261">
        <f ca="1">'SC-I'!AZ53</f>
        <v>0</v>
      </c>
      <c r="BA10" s="261">
        <f ca="1">'SC-I'!BA53</f>
        <v>0</v>
      </c>
      <c r="BB10" s="261">
        <f ca="1">'SC-I'!BB53</f>
        <v>0</v>
      </c>
      <c r="BC10" s="261">
        <f ca="1">'SC-I'!BC53</f>
        <v>0</v>
      </c>
      <c r="BD10" s="261">
        <f ca="1">'SC-I'!BD53</f>
        <v>0</v>
      </c>
      <c r="BE10" s="261">
        <f ca="1">'SC-I'!BE53</f>
        <v>3313435</v>
      </c>
      <c r="BF10" s="261">
        <f ca="1">'SC-I'!BF53</f>
        <v>3389804</v>
      </c>
      <c r="BG10" s="261">
        <f ca="1">'SC-I'!BG53</f>
        <v>0</v>
      </c>
      <c r="BH10" s="261">
        <f ca="1">'SC-I'!BH53</f>
        <v>0</v>
      </c>
      <c r="BI10" s="261">
        <f ca="1">'SC-I'!BI53</f>
        <v>0</v>
      </c>
      <c r="BJ10" s="261">
        <f ca="1">'SC-I'!BJ53</f>
        <v>0</v>
      </c>
      <c r="BK10" s="261">
        <f ca="1">'SC-I'!BK53</f>
        <v>0</v>
      </c>
      <c r="BL10" s="261">
        <f ca="1">'SC-I'!BL53</f>
        <v>0</v>
      </c>
      <c r="BM10" s="261">
        <f ca="1">'SC-I'!BM53</f>
        <v>40272309</v>
      </c>
      <c r="BN10" s="261">
        <f ca="1">'SC-I'!BN53</f>
        <v>0</v>
      </c>
      <c r="BO10" s="261">
        <f ca="1">'SC-I'!BO53</f>
        <v>6403142</v>
      </c>
      <c r="BP10" s="261">
        <f ca="1">'SC-I'!BP53</f>
        <v>0</v>
      </c>
      <c r="BQ10" s="261">
        <f ca="1">'SC-I'!BQ53</f>
        <v>2761373</v>
      </c>
      <c r="BR10" s="261">
        <f ca="1">'SC-I'!BR53</f>
        <v>0</v>
      </c>
      <c r="BS10" s="261">
        <f ca="1">'SC-I'!BS53</f>
        <v>0</v>
      </c>
      <c r="BT10" s="261">
        <f ca="1">'SC-I'!BT53</f>
        <v>0</v>
      </c>
      <c r="BU10" s="261">
        <f ca="1">'SC-I'!BU53</f>
        <v>2169121879</v>
      </c>
      <c r="BV10" s="261">
        <f ca="1">'SC-I'!BV53</f>
        <v>0</v>
      </c>
      <c r="BW10" s="261">
        <f ca="1">'SC-I'!BW53</f>
        <v>21202920500</v>
      </c>
      <c r="BX10" s="261">
        <f ca="1">'SC-I'!BX53</f>
        <v>0</v>
      </c>
      <c r="BY10" s="261">
        <f ca="1">'SC-I'!BY53</f>
        <v>10000000000</v>
      </c>
      <c r="BZ10" s="261">
        <f ca="1">'SC-I'!BZ53</f>
        <v>0</v>
      </c>
      <c r="CA10" s="261">
        <f ca="1">'SC-I'!CA53</f>
        <v>594397022.00000048</v>
      </c>
      <c r="CB10" s="261">
        <f ca="1">'SC-I'!CB53</f>
        <v>77701001</v>
      </c>
      <c r="CC10" s="261">
        <f ca="1">'SC-I'!CC53</f>
        <v>0</v>
      </c>
      <c r="CD10" s="261">
        <f ca="1">'SC-I'!CD53</f>
        <v>0</v>
      </c>
      <c r="CE10" s="261">
        <f ca="1">'SC-I'!CE53</f>
        <v>0</v>
      </c>
      <c r="CF10" s="261">
        <f ca="1">'SC-I'!CF53</f>
        <v>0</v>
      </c>
      <c r="CG10" s="261">
        <f ca="1">'SC-I'!CG53</f>
        <v>0</v>
      </c>
      <c r="CH10" s="261">
        <f ca="1">'SC-I'!CH53</f>
        <v>0</v>
      </c>
      <c r="CI10" s="261">
        <f ca="1">'SC-I'!CI53</f>
        <v>0</v>
      </c>
      <c r="CJ10" s="261">
        <f ca="1">'SC-I'!CJ53</f>
        <v>0</v>
      </c>
      <c r="CK10" s="261">
        <f ca="1">'SC-I'!CK53</f>
        <v>0</v>
      </c>
      <c r="CL10" s="261">
        <f ca="1">'SC-I'!CL53</f>
        <v>0</v>
      </c>
      <c r="CM10" s="261">
        <f ca="1">'SC-I'!CM53</f>
        <v>0</v>
      </c>
      <c r="CN10" s="261">
        <f ca="1">'SC-I'!CN53</f>
        <v>0</v>
      </c>
      <c r="CO10" s="261">
        <f ca="1">'SC-I'!CO53</f>
        <v>0</v>
      </c>
      <c r="CP10" s="261">
        <f ca="1">'SC-I'!CP53</f>
        <v>0</v>
      </c>
      <c r="CQ10" s="261">
        <f ca="1">'SC-I'!CQ53</f>
        <v>0</v>
      </c>
      <c r="CR10" s="261">
        <f ca="1">'SC-I'!CR53</f>
        <v>0</v>
      </c>
      <c r="CS10" s="261">
        <f ca="1">'SC-I'!CS53</f>
        <v>0</v>
      </c>
      <c r="CT10" s="261">
        <f ca="1">'SC-I'!CT53</f>
        <v>0</v>
      </c>
      <c r="CU10" s="261">
        <f ca="1">'SC-I'!CU53</f>
        <v>0</v>
      </c>
      <c r="CV10" s="261">
        <f ca="1">'SC-I'!CV53</f>
        <v>0</v>
      </c>
      <c r="CW10" s="261">
        <f ca="1">'SC-I'!CW53</f>
        <v>0</v>
      </c>
      <c r="CX10" s="261">
        <f ca="1">'SC-I'!CX53</f>
        <v>0</v>
      </c>
      <c r="CY10" s="261">
        <f ca="1">'SC-I'!CY53</f>
        <v>0</v>
      </c>
      <c r="CZ10" s="261">
        <f ca="1">'SC-I'!CZ53</f>
        <v>0</v>
      </c>
      <c r="DA10" s="261">
        <f ca="1">'SC-I'!DA53</f>
        <v>0</v>
      </c>
    </row>
    <row r="11" spans="1:105" s="262" customFormat="1" ht="15" customHeight="1">
      <c r="A11" s="63">
        <f t="array" aca="1" ref="A11" ca="1">IF(C11&lt;&gt;0,SUM(($C$11:C11&lt;&gt;0)*1),"")</f>
        <v>1</v>
      </c>
      <c r="B11" s="263" t="str">
        <f ca="1">IF(ROWS($1:1)&gt;COUNT(Dong7),"",OFFSET(TH!C$1,SMALL(Dong7,ROWS($1:1)),))</f>
        <v/>
      </c>
      <c r="C11" s="263" t="str">
        <f ca="1">IF(ROWS($1:1)&gt;COUNT(Dong7),"",OFFSET(TH!D$1,SMALL(Dong7,ROWS($1:1)),))</f>
        <v/>
      </c>
      <c r="D11" s="263" t="str">
        <f ca="1">IF(ROWS($1:1)&gt;COUNT(Dong7),"",OFFSET(TH!E$1,SMALL(Dong7,ROWS($1:1)),))</f>
        <v/>
      </c>
      <c r="E11" s="344" t="str">
        <f ca="1">IF(ROWS($1:1)&gt;COUNT(Dong7),"",OFFSET(TH!F$1,SMALL(Dong7,ROWS($1:1)),))</f>
        <v/>
      </c>
      <c r="F11" s="314" t="str">
        <f ca="1">IF(ROWS($1:1)&gt;COUNT(Dong7),"",OFFSET(TH!M$1,SMALL(Dong7,ROWS($1:1)),))</f>
        <v/>
      </c>
      <c r="G11" s="316" t="str">
        <f ca="1">IF(ROWS($1:1)&gt;COUNT(Dong7),"",OFFSET(TH!N$1,SMALL(Dong7,ROWS($1:1)),))</f>
        <v/>
      </c>
      <c r="H11" s="316" t="str">
        <f ca="1">IF(ROWS($1:1)&gt;COUNT(Dong7),"",OFFSET(TH!O$1,SMALL(Dong7,ROWS($1:1)),))</f>
        <v/>
      </c>
      <c r="I11" s="63">
        <f t="shared" ref="I11:I21" ca="1" si="0">A11</f>
        <v>1</v>
      </c>
      <c r="J11" s="265">
        <f ca="1">IF($G11="1111",$F11,0)</f>
        <v>0</v>
      </c>
      <c r="K11" s="265">
        <f ca="1">IF($H11="1111",$F11,0)</f>
        <v>0</v>
      </c>
      <c r="L11" s="265">
        <f t="shared" ref="L11:L50" ca="1" si="1">IF($G11="1121",$F11,0)</f>
        <v>0</v>
      </c>
      <c r="M11" s="265">
        <f t="shared" ref="M11:M50" ca="1" si="2">IF($H11="1121",$F11,0)</f>
        <v>0</v>
      </c>
      <c r="N11" s="265">
        <f t="shared" ref="N11:N50" ca="1" si="3">IF($G11="1122",$F11,0)</f>
        <v>0</v>
      </c>
      <c r="O11" s="265">
        <f t="shared" ref="O11:O50" ca="1" si="4">IF($H11="1122",$F11,0)</f>
        <v>0</v>
      </c>
      <c r="P11" s="265">
        <f t="shared" ref="P11:P50" ca="1" si="5">IF($G11="131",$F11,0)</f>
        <v>0</v>
      </c>
      <c r="Q11" s="265">
        <f t="shared" ref="Q11:Q50" ca="1" si="6">IF($H11="131",$F11,0)</f>
        <v>0</v>
      </c>
      <c r="R11" s="265">
        <f t="shared" ref="R11:R50" ca="1" si="7">IF($G11="1331",$F11,0)</f>
        <v>0</v>
      </c>
      <c r="S11" s="265">
        <f t="shared" ref="S11:S50" ca="1" si="8">IF($H11="1331",$F11,0)</f>
        <v>0</v>
      </c>
      <c r="T11" s="265">
        <f t="shared" ref="T11:T50" ca="1" si="9">IF($G11="1388",$F11,0)</f>
        <v>0</v>
      </c>
      <c r="U11" s="265">
        <f t="shared" ref="U11:U50" ca="1" si="10">IF($H11="1388",$F11,0)</f>
        <v>0</v>
      </c>
      <c r="V11" s="265">
        <f t="shared" ref="V11:V50" ca="1" si="11">IF($G11="141",$F11,0)</f>
        <v>0</v>
      </c>
      <c r="W11" s="265">
        <f t="shared" ref="W11:W50" ca="1" si="12">IF($H11="141",$F11,0)</f>
        <v>0</v>
      </c>
      <c r="X11" s="265">
        <f t="shared" ref="X11:X50" ca="1" si="13">IF($G11="1521",$F11,0)</f>
        <v>0</v>
      </c>
      <c r="Y11" s="265">
        <f t="shared" ref="Y11:Y50" ca="1" si="14">IF($H11="1521",$F11,0)</f>
        <v>0</v>
      </c>
      <c r="Z11" s="265">
        <f t="shared" ref="Z11:Z50" ca="1" si="15">IF($G11="1522",$F11,0)</f>
        <v>0</v>
      </c>
      <c r="AA11" s="265">
        <f t="shared" ref="AA11:AA50" ca="1" si="16">IF($H11="1522",$F11,0)</f>
        <v>0</v>
      </c>
      <c r="AB11" s="265">
        <f ca="1">IF($G11="153",$F11,0)</f>
        <v>0</v>
      </c>
      <c r="AC11" s="265">
        <f ca="1">IF($H11="153",$F11,0)</f>
        <v>0</v>
      </c>
      <c r="AD11" s="265">
        <f t="shared" ref="AD11:AD50" ca="1" si="17">IF($G11="154",$F11,0)</f>
        <v>0</v>
      </c>
      <c r="AE11" s="265">
        <f t="shared" ref="AE11:AE50" ca="1" si="18">IF($H11="154",$F11,0)</f>
        <v>0</v>
      </c>
      <c r="AF11" s="265">
        <f t="shared" ref="AF11:AF50" ca="1" si="19">IF($G11="155",$F11,0)</f>
        <v>0</v>
      </c>
      <c r="AG11" s="265">
        <f t="shared" ref="AG11:AG50" ca="1" si="20">IF($H11="155",$F11,0)</f>
        <v>0</v>
      </c>
      <c r="AH11" s="265">
        <f ca="1">IF($G11="2111",$F11,0)</f>
        <v>0</v>
      </c>
      <c r="AI11" s="265">
        <f ca="1">IF($H11="2111",$F11,0)</f>
        <v>0</v>
      </c>
      <c r="AJ11" s="265">
        <f ca="1">IF($G11="2112",$F11,0)</f>
        <v>0</v>
      </c>
      <c r="AK11" s="265">
        <f ca="1">IF($H11="2112",$F11,0)</f>
        <v>0</v>
      </c>
      <c r="AL11" s="265">
        <f ca="1">IF($G11="2113",$F11,0)</f>
        <v>0</v>
      </c>
      <c r="AM11" s="265">
        <f ca="1">IF($H11="2113",$F11,0)</f>
        <v>0</v>
      </c>
      <c r="AN11" s="265">
        <f ca="1">IF($G11="2131",$F11,0)</f>
        <v>0</v>
      </c>
      <c r="AO11" s="265">
        <f ca="1">IF($H11="2131",$F11,0)</f>
        <v>0</v>
      </c>
      <c r="AP11" s="265">
        <f t="shared" ref="AP11:AP50" ca="1" si="21">IF($G11="2141",$F11,0)</f>
        <v>0</v>
      </c>
      <c r="AQ11" s="265">
        <f t="shared" ref="AQ11:AQ50" ca="1" si="22">IF($H11="2141",$F11,0)</f>
        <v>0</v>
      </c>
      <c r="AR11" s="265">
        <f t="shared" ref="AR11:AR50" ca="1" si="23">IF($G11="2143",$F11,0)</f>
        <v>0</v>
      </c>
      <c r="AS11" s="265">
        <f t="shared" ref="AS11:AS50" ca="1" si="24">IF($H11="2143",$F11,0)</f>
        <v>0</v>
      </c>
      <c r="AT11" s="265">
        <f ca="1">IF($G11="2412",$F11,0)</f>
        <v>0</v>
      </c>
      <c r="AU11" s="265">
        <f ca="1">IF($H11="2412",$F11,0)</f>
        <v>0</v>
      </c>
      <c r="AV11" s="265">
        <f t="shared" ref="AV11:AV50" ca="1" si="25">IF($G11="331",$F11,0)</f>
        <v>0</v>
      </c>
      <c r="AW11" s="265">
        <f t="shared" ref="AW11:AW50" ca="1" si="26">IF($H11="331",$F11,0)</f>
        <v>0</v>
      </c>
      <c r="AX11" s="265">
        <f t="shared" ref="AX11:AX50" ca="1" si="27">IF($G11="33311",$F11,0)</f>
        <v>0</v>
      </c>
      <c r="AY11" s="265">
        <f t="shared" ref="AY11:AY50" ca="1" si="28">IF($H11="33311",$F11,0)</f>
        <v>0</v>
      </c>
      <c r="AZ11" s="265">
        <f t="shared" ref="AZ11:AZ50" ca="1" si="29">IF($G11="33312",$F11,0)</f>
        <v>0</v>
      </c>
      <c r="BA11" s="265">
        <f t="shared" ref="BA11:BA50" ca="1" si="30">IF($H11="33312",$F11,0)</f>
        <v>0</v>
      </c>
      <c r="BB11" s="265">
        <f t="shared" ref="BB11:BB50" ca="1" si="31">IF($G11="3333",$F11,0)</f>
        <v>0</v>
      </c>
      <c r="BC11" s="265">
        <f t="shared" ref="BC11:BC50" ca="1" si="32">IF($H11="3333",$F11,0)</f>
        <v>0</v>
      </c>
      <c r="BD11" s="265">
        <f t="shared" ref="BD11:BD50" ca="1" si="33">IF($G11="3334",$F11,0)</f>
        <v>0</v>
      </c>
      <c r="BE11" s="265">
        <f t="shared" ref="BE11:BE50" ca="1" si="34">IF($H11="3334",$F11,0)</f>
        <v>0</v>
      </c>
      <c r="BF11" s="265">
        <f t="shared" ref="BF11:BF50" ca="1" si="35">IF($G11="3335",$F11,0)</f>
        <v>0</v>
      </c>
      <c r="BG11" s="265">
        <f t="shared" ref="BG11:BG50" ca="1" si="36">IF($H11="3335",$F11,0)</f>
        <v>0</v>
      </c>
      <c r="BH11" s="265">
        <f ca="1">IF($G11="33382",$F11,0)</f>
        <v>0</v>
      </c>
      <c r="BI11" s="265">
        <f ca="1">IF($H11="33382",$F11,0)</f>
        <v>0</v>
      </c>
      <c r="BJ11" s="265">
        <f t="shared" ref="BJ11:BJ50" ca="1" si="37">IF($G11="3341",$F11,0)</f>
        <v>0</v>
      </c>
      <c r="BK11" s="265">
        <f t="shared" ref="BK11:BK50" ca="1" si="38">IF($H11="3341",$F11,0)</f>
        <v>0</v>
      </c>
      <c r="BL11" s="265">
        <f t="shared" ref="BL11:BL50" ca="1" si="39">IF($G11="3383",$F11,0)</f>
        <v>0</v>
      </c>
      <c r="BM11" s="265">
        <f t="shared" ref="BM11:BM50" ca="1" si="40">IF($H11="3383",$F11,0)</f>
        <v>0</v>
      </c>
      <c r="BN11" s="265">
        <f t="shared" ref="BN11:BN50" ca="1" si="41">IF($G11="3384",$F11,0)</f>
        <v>0</v>
      </c>
      <c r="BO11" s="265">
        <f t="shared" ref="BO11:BO50" ca="1" si="42">IF($H11="3384",$F11,0)</f>
        <v>0</v>
      </c>
      <c r="BP11" s="265">
        <f ca="1">IF($G11="3386",$F11,0)</f>
        <v>0</v>
      </c>
      <c r="BQ11" s="265">
        <f ca="1">IF($H11="3386",$F11,0)</f>
        <v>0</v>
      </c>
      <c r="BR11" s="265">
        <f t="shared" ref="BR11:BR50" ca="1" si="43">IF($G11="3388",$F11,0)</f>
        <v>0</v>
      </c>
      <c r="BS11" s="265">
        <f t="shared" ref="BS11:BS50" ca="1" si="44">IF($H11="3388",$F11,0)</f>
        <v>0</v>
      </c>
      <c r="BT11" s="265">
        <f ca="1">IF($G11="3411",$F11,0)</f>
        <v>0</v>
      </c>
      <c r="BU11" s="265">
        <f ca="1">IF($H11="3411",$F11,0)</f>
        <v>0</v>
      </c>
      <c r="BV11" s="265">
        <f ca="1">IF($G11="3412",$F11,0)</f>
        <v>0</v>
      </c>
      <c r="BW11" s="265">
        <f ca="1">IF($H11="3412",$F11,0)</f>
        <v>0</v>
      </c>
      <c r="BX11" s="265">
        <f t="shared" ref="BX11:BX50" ca="1" si="45">IF($G11="4111",$F11,0)</f>
        <v>0</v>
      </c>
      <c r="BY11" s="265">
        <f t="shared" ref="BY11:BY50" ca="1" si="46">IF($H11="4111",$F11,0)</f>
        <v>0</v>
      </c>
      <c r="BZ11" s="265">
        <f t="shared" ref="BZ11:BZ50" ca="1" si="47">IF($G11="4211",$F11,0)</f>
        <v>0</v>
      </c>
      <c r="CA11" s="265">
        <f t="shared" ref="CA11:CA50" ca="1" si="48">IF($H11="4211",$F11,0)</f>
        <v>0</v>
      </c>
      <c r="CB11" s="265">
        <f t="shared" ref="CB11:CB50" ca="1" si="49">IF($G11="4212",$F11,0)</f>
        <v>0</v>
      </c>
      <c r="CC11" s="265">
        <f t="shared" ref="CC11:CC50" ca="1" si="50">IF($H11="4212",$F11,0)</f>
        <v>0</v>
      </c>
      <c r="CD11" s="265">
        <f ca="1">IF($G11="5112N",$F11,0)</f>
        <v>0</v>
      </c>
      <c r="CE11" s="265">
        <f ca="1">IF($H11="5112N",$F11,0)</f>
        <v>0</v>
      </c>
      <c r="CF11" s="265">
        <f ca="1">IF($G11="5112X",$F11,0)</f>
        <v>0</v>
      </c>
      <c r="CG11" s="265">
        <f ca="1">IF($H11="5112X",$F11,0)</f>
        <v>0</v>
      </c>
      <c r="CH11" s="265">
        <f t="shared" ref="CH11:CH50" ca="1" si="51">IF($G11="515",$F11,0)</f>
        <v>0</v>
      </c>
      <c r="CI11" s="265">
        <f t="shared" ref="CI11:CI50" ca="1" si="52">IF($H11="515",$F11,0)</f>
        <v>0</v>
      </c>
      <c r="CJ11" s="265">
        <f ca="1">IF($G11="5213",$F11,0)</f>
        <v>0</v>
      </c>
      <c r="CK11" s="265">
        <f ca="1">IF($H11="5213",$F11,0)</f>
        <v>0</v>
      </c>
      <c r="CL11" s="265">
        <f t="shared" ref="CL11:CL50" ca="1" si="53">IF($G11="632",$F11,0)</f>
        <v>0</v>
      </c>
      <c r="CM11" s="265">
        <f t="shared" ref="CM11:CM50" ca="1" si="54">IF($H11="632",$F11,0)</f>
        <v>0</v>
      </c>
      <c r="CN11" s="265">
        <f t="shared" ref="CN11:CN50" ca="1" si="55">IF($G11="635",$F11,0)</f>
        <v>0</v>
      </c>
      <c r="CO11" s="265">
        <f t="shared" ref="CO11:CO50" ca="1" si="56">IF($H11="635",$F11,0)</f>
        <v>0</v>
      </c>
      <c r="CP11" s="265">
        <f ca="1">IF($G11="641",$F11,0)</f>
        <v>0</v>
      </c>
      <c r="CQ11" s="265">
        <f ca="1">IF($H11="641",$F11,0)</f>
        <v>0</v>
      </c>
      <c r="CR11" s="265">
        <f ca="1">IF($G11="642",$F11,0)</f>
        <v>0</v>
      </c>
      <c r="CS11" s="265">
        <f ca="1">IF($H11="642",$F11,0)</f>
        <v>0</v>
      </c>
      <c r="CT11" s="265">
        <f t="shared" ref="CT11:CT50" ca="1" si="57">IF($G11="711",$F11,0)</f>
        <v>0</v>
      </c>
      <c r="CU11" s="265">
        <f t="shared" ref="CU11:CU50" ca="1" si="58">IF($H11="711",$F11,0)</f>
        <v>0</v>
      </c>
      <c r="CV11" s="265">
        <f t="shared" ref="CV11:CV50" ca="1" si="59">IF($G11="811",$F11,0)</f>
        <v>0</v>
      </c>
      <c r="CW11" s="265">
        <f t="shared" ref="CW11:CW50" ca="1" si="60">IF($H11="811",$F11,0)</f>
        <v>0</v>
      </c>
      <c r="CX11" s="265">
        <f ca="1">IF($G11="821",$F11,0)</f>
        <v>0</v>
      </c>
      <c r="CY11" s="265">
        <f ca="1">IF($H11="821",$F11,0)</f>
        <v>0</v>
      </c>
      <c r="CZ11" s="265">
        <f ca="1">IF($G11="911",$F11,0)</f>
        <v>0</v>
      </c>
      <c r="DA11" s="265">
        <f ca="1">IF($H11="911",$F11,0)</f>
        <v>0</v>
      </c>
    </row>
    <row r="12" spans="1:105" s="262" customFormat="1" ht="15" customHeight="1">
      <c r="A12" s="63" t="str">
        <f t="array" ref="A12">IF(C12&lt;&gt;0,SUM(($C$11:C12&lt;&gt;0)*1),"")</f>
        <v/>
      </c>
      <c r="B12" s="263"/>
      <c r="C12" s="263"/>
      <c r="D12" s="263"/>
      <c r="E12" s="344"/>
      <c r="F12" s="314"/>
      <c r="G12" s="316"/>
      <c r="H12" s="316"/>
      <c r="I12" s="63" t="str">
        <f t="shared" si="0"/>
        <v/>
      </c>
      <c r="J12" s="265">
        <f t="shared" ref="J12:J50" si="61">IF($G12="1111",$F12,0)</f>
        <v>0</v>
      </c>
      <c r="K12" s="265">
        <f t="shared" ref="K12:K50" si="62">IF($H12="1111",$F12,0)</f>
        <v>0</v>
      </c>
      <c r="L12" s="265">
        <f t="shared" si="1"/>
        <v>0</v>
      </c>
      <c r="M12" s="265">
        <f t="shared" si="2"/>
        <v>0</v>
      </c>
      <c r="N12" s="265">
        <f t="shared" si="3"/>
        <v>0</v>
      </c>
      <c r="O12" s="265">
        <f t="shared" si="4"/>
        <v>0</v>
      </c>
      <c r="P12" s="265">
        <f t="shared" si="5"/>
        <v>0</v>
      </c>
      <c r="Q12" s="265">
        <f t="shared" si="6"/>
        <v>0</v>
      </c>
      <c r="R12" s="265">
        <f t="shared" si="7"/>
        <v>0</v>
      </c>
      <c r="S12" s="265">
        <f t="shared" si="8"/>
        <v>0</v>
      </c>
      <c r="T12" s="265">
        <f t="shared" si="9"/>
        <v>0</v>
      </c>
      <c r="U12" s="265">
        <f t="shared" si="10"/>
        <v>0</v>
      </c>
      <c r="V12" s="265">
        <f t="shared" si="11"/>
        <v>0</v>
      </c>
      <c r="W12" s="265">
        <f t="shared" si="12"/>
        <v>0</v>
      </c>
      <c r="X12" s="265">
        <f t="shared" si="13"/>
        <v>0</v>
      </c>
      <c r="Y12" s="265">
        <f t="shared" si="14"/>
        <v>0</v>
      </c>
      <c r="Z12" s="265">
        <f t="shared" si="15"/>
        <v>0</v>
      </c>
      <c r="AA12" s="265">
        <f t="shared" si="16"/>
        <v>0</v>
      </c>
      <c r="AB12" s="265">
        <f t="shared" ref="AB12:AB50" si="63">IF($G12="153",$F12,0)</f>
        <v>0</v>
      </c>
      <c r="AC12" s="265">
        <f t="shared" ref="AC12:AC50" si="64">IF($H12="153",$F12,0)</f>
        <v>0</v>
      </c>
      <c r="AD12" s="265">
        <f t="shared" si="17"/>
        <v>0</v>
      </c>
      <c r="AE12" s="265">
        <f t="shared" si="18"/>
        <v>0</v>
      </c>
      <c r="AF12" s="265">
        <f t="shared" si="19"/>
        <v>0</v>
      </c>
      <c r="AG12" s="265">
        <f t="shared" si="20"/>
        <v>0</v>
      </c>
      <c r="AH12" s="265">
        <f t="shared" ref="AH12:AH50" si="65">IF($G12="2111",$F12,0)</f>
        <v>0</v>
      </c>
      <c r="AI12" s="265">
        <f t="shared" ref="AI12:AI50" si="66">IF($H12="2111",$F12,0)</f>
        <v>0</v>
      </c>
      <c r="AJ12" s="265">
        <f t="shared" ref="AJ12:AJ50" si="67">IF($G12="2112",$F12,0)</f>
        <v>0</v>
      </c>
      <c r="AK12" s="265">
        <f t="shared" ref="AK12:AK50" si="68">IF($H12="2112",$F12,0)</f>
        <v>0</v>
      </c>
      <c r="AL12" s="265">
        <f t="shared" ref="AL12:AL50" si="69">IF($G12="2113",$F12,0)</f>
        <v>0</v>
      </c>
      <c r="AM12" s="265">
        <f t="shared" ref="AM12:AM50" si="70">IF($H12="2113",$F12,0)</f>
        <v>0</v>
      </c>
      <c r="AN12" s="265">
        <f t="shared" ref="AN12:AN50" si="71">IF($G12="2131",$F12,0)</f>
        <v>0</v>
      </c>
      <c r="AO12" s="265">
        <f t="shared" ref="AO12:AO50" si="72">IF($H12="2131",$F12,0)</f>
        <v>0</v>
      </c>
      <c r="AP12" s="265">
        <f t="shared" si="21"/>
        <v>0</v>
      </c>
      <c r="AQ12" s="265">
        <f t="shared" si="22"/>
        <v>0</v>
      </c>
      <c r="AR12" s="265">
        <f t="shared" si="23"/>
        <v>0</v>
      </c>
      <c r="AS12" s="265">
        <f t="shared" si="24"/>
        <v>0</v>
      </c>
      <c r="AT12" s="265">
        <f t="shared" ref="AT12:AT50" si="73">IF($G12="2412",$F12,0)</f>
        <v>0</v>
      </c>
      <c r="AU12" s="265">
        <f t="shared" ref="AU12:AU50" si="74">IF($H12="2412",$F12,0)</f>
        <v>0</v>
      </c>
      <c r="AV12" s="265">
        <f t="shared" si="25"/>
        <v>0</v>
      </c>
      <c r="AW12" s="265">
        <f t="shared" si="26"/>
        <v>0</v>
      </c>
      <c r="AX12" s="265">
        <f t="shared" si="27"/>
        <v>0</v>
      </c>
      <c r="AY12" s="265">
        <f t="shared" si="28"/>
        <v>0</v>
      </c>
      <c r="AZ12" s="265">
        <f t="shared" si="29"/>
        <v>0</v>
      </c>
      <c r="BA12" s="265">
        <f t="shared" si="30"/>
        <v>0</v>
      </c>
      <c r="BB12" s="265">
        <f t="shared" si="31"/>
        <v>0</v>
      </c>
      <c r="BC12" s="265">
        <f t="shared" si="32"/>
        <v>0</v>
      </c>
      <c r="BD12" s="265">
        <f t="shared" si="33"/>
        <v>0</v>
      </c>
      <c r="BE12" s="265">
        <f t="shared" si="34"/>
        <v>0</v>
      </c>
      <c r="BF12" s="265">
        <f t="shared" si="35"/>
        <v>0</v>
      </c>
      <c r="BG12" s="265">
        <f t="shared" si="36"/>
        <v>0</v>
      </c>
      <c r="BH12" s="265">
        <f t="shared" ref="BH12:BH50" si="75">IF($G12="33382",$F12,0)</f>
        <v>0</v>
      </c>
      <c r="BI12" s="265">
        <f t="shared" ref="BI12:BI50" si="76">IF($H12="33382",$F12,0)</f>
        <v>0</v>
      </c>
      <c r="BJ12" s="265">
        <f t="shared" si="37"/>
        <v>0</v>
      </c>
      <c r="BK12" s="265">
        <f t="shared" si="38"/>
        <v>0</v>
      </c>
      <c r="BL12" s="265">
        <f t="shared" si="39"/>
        <v>0</v>
      </c>
      <c r="BM12" s="265">
        <f t="shared" si="40"/>
        <v>0</v>
      </c>
      <c r="BN12" s="265">
        <f t="shared" si="41"/>
        <v>0</v>
      </c>
      <c r="BO12" s="265">
        <f t="shared" si="42"/>
        <v>0</v>
      </c>
      <c r="BP12" s="265">
        <f t="shared" ref="BP12:BP50" si="77">IF($G12="3386",$F12,0)</f>
        <v>0</v>
      </c>
      <c r="BQ12" s="265">
        <f t="shared" ref="BQ12:BQ50" si="78">IF($H12="3386",$F12,0)</f>
        <v>0</v>
      </c>
      <c r="BR12" s="265">
        <f t="shared" si="43"/>
        <v>0</v>
      </c>
      <c r="BS12" s="265">
        <f t="shared" si="44"/>
        <v>0</v>
      </c>
      <c r="BT12" s="265">
        <f t="shared" ref="BT12:BT50" si="79">IF($G12="3411",$F12,0)</f>
        <v>0</v>
      </c>
      <c r="BU12" s="265">
        <f t="shared" ref="BU12:BU50" si="80">IF($H12="3411",$F12,0)</f>
        <v>0</v>
      </c>
      <c r="BV12" s="265">
        <f t="shared" ref="BV12:BV50" si="81">IF($G12="3412",$F12,0)</f>
        <v>0</v>
      </c>
      <c r="BW12" s="265">
        <f t="shared" ref="BW12:BW50" si="82">IF($H12="3412",$F12,0)</f>
        <v>0</v>
      </c>
      <c r="BX12" s="265">
        <f t="shared" si="45"/>
        <v>0</v>
      </c>
      <c r="BY12" s="265">
        <f t="shared" si="46"/>
        <v>0</v>
      </c>
      <c r="BZ12" s="265">
        <f t="shared" si="47"/>
        <v>0</v>
      </c>
      <c r="CA12" s="265">
        <f t="shared" si="48"/>
        <v>0</v>
      </c>
      <c r="CB12" s="265">
        <f t="shared" si="49"/>
        <v>0</v>
      </c>
      <c r="CC12" s="265">
        <f t="shared" si="50"/>
        <v>0</v>
      </c>
      <c r="CD12" s="265">
        <f t="shared" ref="CD12:CD50" si="83">IF($G12="5112N",$F12,0)</f>
        <v>0</v>
      </c>
      <c r="CE12" s="265">
        <f t="shared" ref="CE12:CE50" si="84">IF($H12="5112N",$F12,0)</f>
        <v>0</v>
      </c>
      <c r="CF12" s="265">
        <f t="shared" ref="CF12:CF50" si="85">IF($G12="5112X",$F12,0)</f>
        <v>0</v>
      </c>
      <c r="CG12" s="265">
        <f t="shared" ref="CG12:CG50" si="86">IF($H12="5112X",$F12,0)</f>
        <v>0</v>
      </c>
      <c r="CH12" s="265">
        <f t="shared" si="51"/>
        <v>0</v>
      </c>
      <c r="CI12" s="265">
        <f t="shared" si="52"/>
        <v>0</v>
      </c>
      <c r="CJ12" s="265">
        <f t="shared" ref="CJ12:CJ50" si="87">IF($G12="5213",$F12,0)</f>
        <v>0</v>
      </c>
      <c r="CK12" s="265">
        <f t="shared" ref="CK12:CK50" si="88">IF($H12="5213",$F12,0)</f>
        <v>0</v>
      </c>
      <c r="CL12" s="265">
        <f t="shared" si="53"/>
        <v>0</v>
      </c>
      <c r="CM12" s="265">
        <f t="shared" si="54"/>
        <v>0</v>
      </c>
      <c r="CN12" s="265">
        <f t="shared" si="55"/>
        <v>0</v>
      </c>
      <c r="CO12" s="265">
        <f t="shared" si="56"/>
        <v>0</v>
      </c>
      <c r="CP12" s="265">
        <f t="shared" ref="CP12:CP50" si="89">IF($G12="641",$F12,0)</f>
        <v>0</v>
      </c>
      <c r="CQ12" s="265">
        <f t="shared" ref="CQ12:CQ50" si="90">IF($H12="641",$F12,0)</f>
        <v>0</v>
      </c>
      <c r="CR12" s="265">
        <f t="shared" ref="CR12:CR50" si="91">IF($G12="642",$F12,0)</f>
        <v>0</v>
      </c>
      <c r="CS12" s="265">
        <f t="shared" ref="CS12:CS50" si="92">IF($H12="642",$F12,0)</f>
        <v>0</v>
      </c>
      <c r="CT12" s="265">
        <f t="shared" si="57"/>
        <v>0</v>
      </c>
      <c r="CU12" s="265">
        <f t="shared" si="58"/>
        <v>0</v>
      </c>
      <c r="CV12" s="265">
        <f t="shared" si="59"/>
        <v>0</v>
      </c>
      <c r="CW12" s="265">
        <f t="shared" si="60"/>
        <v>0</v>
      </c>
      <c r="CX12" s="265">
        <f t="shared" ref="CX12:CX50" si="93">IF($G12="821",$F12,0)</f>
        <v>0</v>
      </c>
      <c r="CY12" s="265">
        <f t="shared" ref="CY12:CY50" si="94">IF($H12="821",$F12,0)</f>
        <v>0</v>
      </c>
      <c r="CZ12" s="265">
        <f t="shared" ref="CZ12:CZ50" si="95">IF($G12="911",$F12,0)</f>
        <v>0</v>
      </c>
      <c r="DA12" s="265">
        <f t="shared" ref="DA12:DA50" si="96">IF($H12="911",$F12,0)</f>
        <v>0</v>
      </c>
    </row>
    <row r="13" spans="1:105" s="262" customFormat="1" ht="15" customHeight="1">
      <c r="A13" s="63" t="str">
        <f t="array" ref="A13">IF(C13&lt;&gt;0,SUM(($C$11:C13&lt;&gt;0)*1),"")</f>
        <v/>
      </c>
      <c r="B13" s="263"/>
      <c r="C13" s="263"/>
      <c r="D13" s="263"/>
      <c r="E13" s="344"/>
      <c r="F13" s="314"/>
      <c r="G13" s="316"/>
      <c r="H13" s="316"/>
      <c r="I13" s="63" t="str">
        <f t="shared" si="0"/>
        <v/>
      </c>
      <c r="J13" s="265">
        <f t="shared" si="61"/>
        <v>0</v>
      </c>
      <c r="K13" s="265">
        <f t="shared" si="62"/>
        <v>0</v>
      </c>
      <c r="L13" s="265">
        <f t="shared" si="1"/>
        <v>0</v>
      </c>
      <c r="M13" s="265">
        <f t="shared" si="2"/>
        <v>0</v>
      </c>
      <c r="N13" s="265">
        <f t="shared" si="3"/>
        <v>0</v>
      </c>
      <c r="O13" s="265">
        <f t="shared" si="4"/>
        <v>0</v>
      </c>
      <c r="P13" s="265">
        <f t="shared" si="5"/>
        <v>0</v>
      </c>
      <c r="Q13" s="265">
        <f t="shared" si="6"/>
        <v>0</v>
      </c>
      <c r="R13" s="265">
        <f t="shared" si="7"/>
        <v>0</v>
      </c>
      <c r="S13" s="265">
        <f t="shared" si="8"/>
        <v>0</v>
      </c>
      <c r="T13" s="265">
        <f t="shared" si="9"/>
        <v>0</v>
      </c>
      <c r="U13" s="265">
        <f t="shared" si="10"/>
        <v>0</v>
      </c>
      <c r="V13" s="265">
        <f t="shared" si="11"/>
        <v>0</v>
      </c>
      <c r="W13" s="265">
        <f t="shared" si="12"/>
        <v>0</v>
      </c>
      <c r="X13" s="265">
        <f t="shared" si="13"/>
        <v>0</v>
      </c>
      <c r="Y13" s="265">
        <f t="shared" si="14"/>
        <v>0</v>
      </c>
      <c r="Z13" s="265">
        <f t="shared" si="15"/>
        <v>0</v>
      </c>
      <c r="AA13" s="265">
        <f t="shared" si="16"/>
        <v>0</v>
      </c>
      <c r="AB13" s="265">
        <f t="shared" si="63"/>
        <v>0</v>
      </c>
      <c r="AC13" s="265">
        <f t="shared" si="64"/>
        <v>0</v>
      </c>
      <c r="AD13" s="265">
        <f t="shared" si="17"/>
        <v>0</v>
      </c>
      <c r="AE13" s="265">
        <f t="shared" si="18"/>
        <v>0</v>
      </c>
      <c r="AF13" s="265">
        <f t="shared" si="19"/>
        <v>0</v>
      </c>
      <c r="AG13" s="265">
        <f t="shared" si="20"/>
        <v>0</v>
      </c>
      <c r="AH13" s="265">
        <f t="shared" si="65"/>
        <v>0</v>
      </c>
      <c r="AI13" s="265">
        <f t="shared" si="66"/>
        <v>0</v>
      </c>
      <c r="AJ13" s="265">
        <f t="shared" si="67"/>
        <v>0</v>
      </c>
      <c r="AK13" s="265">
        <f t="shared" si="68"/>
        <v>0</v>
      </c>
      <c r="AL13" s="265">
        <f t="shared" si="69"/>
        <v>0</v>
      </c>
      <c r="AM13" s="265">
        <f t="shared" si="70"/>
        <v>0</v>
      </c>
      <c r="AN13" s="265">
        <f t="shared" si="71"/>
        <v>0</v>
      </c>
      <c r="AO13" s="265">
        <f t="shared" si="72"/>
        <v>0</v>
      </c>
      <c r="AP13" s="265">
        <f t="shared" si="21"/>
        <v>0</v>
      </c>
      <c r="AQ13" s="265">
        <f t="shared" si="22"/>
        <v>0</v>
      </c>
      <c r="AR13" s="265">
        <f t="shared" si="23"/>
        <v>0</v>
      </c>
      <c r="AS13" s="265">
        <f t="shared" si="24"/>
        <v>0</v>
      </c>
      <c r="AT13" s="265">
        <f t="shared" si="73"/>
        <v>0</v>
      </c>
      <c r="AU13" s="265">
        <f t="shared" si="74"/>
        <v>0</v>
      </c>
      <c r="AV13" s="265">
        <f t="shared" si="25"/>
        <v>0</v>
      </c>
      <c r="AW13" s="265">
        <f t="shared" si="26"/>
        <v>0</v>
      </c>
      <c r="AX13" s="265">
        <f t="shared" si="27"/>
        <v>0</v>
      </c>
      <c r="AY13" s="265">
        <f t="shared" si="28"/>
        <v>0</v>
      </c>
      <c r="AZ13" s="265">
        <f t="shared" si="29"/>
        <v>0</v>
      </c>
      <c r="BA13" s="265">
        <f t="shared" si="30"/>
        <v>0</v>
      </c>
      <c r="BB13" s="265">
        <f t="shared" si="31"/>
        <v>0</v>
      </c>
      <c r="BC13" s="265">
        <f t="shared" si="32"/>
        <v>0</v>
      </c>
      <c r="BD13" s="265">
        <f t="shared" si="33"/>
        <v>0</v>
      </c>
      <c r="BE13" s="265">
        <f t="shared" si="34"/>
        <v>0</v>
      </c>
      <c r="BF13" s="265">
        <f t="shared" si="35"/>
        <v>0</v>
      </c>
      <c r="BG13" s="265">
        <f t="shared" si="36"/>
        <v>0</v>
      </c>
      <c r="BH13" s="265">
        <f t="shared" si="75"/>
        <v>0</v>
      </c>
      <c r="BI13" s="265">
        <f t="shared" si="76"/>
        <v>0</v>
      </c>
      <c r="BJ13" s="265">
        <f t="shared" si="37"/>
        <v>0</v>
      </c>
      <c r="BK13" s="265">
        <f t="shared" si="38"/>
        <v>0</v>
      </c>
      <c r="BL13" s="265">
        <f t="shared" si="39"/>
        <v>0</v>
      </c>
      <c r="BM13" s="265">
        <f t="shared" si="40"/>
        <v>0</v>
      </c>
      <c r="BN13" s="265">
        <f t="shared" si="41"/>
        <v>0</v>
      </c>
      <c r="BO13" s="265">
        <f t="shared" si="42"/>
        <v>0</v>
      </c>
      <c r="BP13" s="265">
        <f t="shared" si="77"/>
        <v>0</v>
      </c>
      <c r="BQ13" s="265">
        <f t="shared" si="78"/>
        <v>0</v>
      </c>
      <c r="BR13" s="265">
        <f t="shared" si="43"/>
        <v>0</v>
      </c>
      <c r="BS13" s="265">
        <f t="shared" si="44"/>
        <v>0</v>
      </c>
      <c r="BT13" s="265">
        <f t="shared" si="79"/>
        <v>0</v>
      </c>
      <c r="BU13" s="265">
        <f t="shared" si="80"/>
        <v>0</v>
      </c>
      <c r="BV13" s="265">
        <f t="shared" si="81"/>
        <v>0</v>
      </c>
      <c r="BW13" s="265">
        <f t="shared" si="82"/>
        <v>0</v>
      </c>
      <c r="BX13" s="265">
        <f t="shared" si="45"/>
        <v>0</v>
      </c>
      <c r="BY13" s="265">
        <f t="shared" si="46"/>
        <v>0</v>
      </c>
      <c r="BZ13" s="265">
        <f t="shared" si="47"/>
        <v>0</v>
      </c>
      <c r="CA13" s="265">
        <f t="shared" si="48"/>
        <v>0</v>
      </c>
      <c r="CB13" s="265">
        <f t="shared" si="49"/>
        <v>0</v>
      </c>
      <c r="CC13" s="265">
        <f t="shared" si="50"/>
        <v>0</v>
      </c>
      <c r="CD13" s="265">
        <f t="shared" si="83"/>
        <v>0</v>
      </c>
      <c r="CE13" s="265">
        <f t="shared" si="84"/>
        <v>0</v>
      </c>
      <c r="CF13" s="265">
        <f t="shared" si="85"/>
        <v>0</v>
      </c>
      <c r="CG13" s="265">
        <f t="shared" si="86"/>
        <v>0</v>
      </c>
      <c r="CH13" s="265">
        <f t="shared" si="51"/>
        <v>0</v>
      </c>
      <c r="CI13" s="265">
        <f t="shared" si="52"/>
        <v>0</v>
      </c>
      <c r="CJ13" s="265">
        <f t="shared" si="87"/>
        <v>0</v>
      </c>
      <c r="CK13" s="265">
        <f t="shared" si="88"/>
        <v>0</v>
      </c>
      <c r="CL13" s="265">
        <f t="shared" si="53"/>
        <v>0</v>
      </c>
      <c r="CM13" s="265">
        <f t="shared" si="54"/>
        <v>0</v>
      </c>
      <c r="CN13" s="265">
        <f t="shared" si="55"/>
        <v>0</v>
      </c>
      <c r="CO13" s="265">
        <f t="shared" si="56"/>
        <v>0</v>
      </c>
      <c r="CP13" s="265">
        <f t="shared" si="89"/>
        <v>0</v>
      </c>
      <c r="CQ13" s="265">
        <f t="shared" si="90"/>
        <v>0</v>
      </c>
      <c r="CR13" s="265">
        <f t="shared" si="91"/>
        <v>0</v>
      </c>
      <c r="CS13" s="265">
        <f t="shared" si="92"/>
        <v>0</v>
      </c>
      <c r="CT13" s="265">
        <f t="shared" si="57"/>
        <v>0</v>
      </c>
      <c r="CU13" s="265">
        <f t="shared" si="58"/>
        <v>0</v>
      </c>
      <c r="CV13" s="265">
        <f t="shared" si="59"/>
        <v>0</v>
      </c>
      <c r="CW13" s="265">
        <f t="shared" si="60"/>
        <v>0</v>
      </c>
      <c r="CX13" s="265">
        <f t="shared" si="93"/>
        <v>0</v>
      </c>
      <c r="CY13" s="265">
        <f t="shared" si="94"/>
        <v>0</v>
      </c>
      <c r="CZ13" s="265">
        <f t="shared" si="95"/>
        <v>0</v>
      </c>
      <c r="DA13" s="265">
        <f t="shared" si="96"/>
        <v>0</v>
      </c>
    </row>
    <row r="14" spans="1:105" s="262" customFormat="1" ht="15" customHeight="1">
      <c r="A14" s="63" t="str">
        <f t="array" ref="A14">IF(C14&lt;&gt;0,SUM(($C$11:C14&lt;&gt;0)*1),"")</f>
        <v/>
      </c>
      <c r="B14" s="263"/>
      <c r="C14" s="263"/>
      <c r="D14" s="263"/>
      <c r="E14" s="344"/>
      <c r="F14" s="314"/>
      <c r="G14" s="316"/>
      <c r="H14" s="316"/>
      <c r="I14" s="63" t="str">
        <f t="shared" si="0"/>
        <v/>
      </c>
      <c r="J14" s="265">
        <f t="shared" si="61"/>
        <v>0</v>
      </c>
      <c r="K14" s="265">
        <f t="shared" si="62"/>
        <v>0</v>
      </c>
      <c r="L14" s="265">
        <f t="shared" si="1"/>
        <v>0</v>
      </c>
      <c r="M14" s="265">
        <f t="shared" si="2"/>
        <v>0</v>
      </c>
      <c r="N14" s="265">
        <f t="shared" si="3"/>
        <v>0</v>
      </c>
      <c r="O14" s="265">
        <f t="shared" si="4"/>
        <v>0</v>
      </c>
      <c r="P14" s="265">
        <f t="shared" si="5"/>
        <v>0</v>
      </c>
      <c r="Q14" s="265">
        <f t="shared" si="6"/>
        <v>0</v>
      </c>
      <c r="R14" s="265">
        <f t="shared" si="7"/>
        <v>0</v>
      </c>
      <c r="S14" s="265">
        <f t="shared" si="8"/>
        <v>0</v>
      </c>
      <c r="T14" s="265">
        <f t="shared" si="9"/>
        <v>0</v>
      </c>
      <c r="U14" s="265">
        <f t="shared" si="10"/>
        <v>0</v>
      </c>
      <c r="V14" s="265">
        <f t="shared" si="11"/>
        <v>0</v>
      </c>
      <c r="W14" s="265">
        <f t="shared" si="12"/>
        <v>0</v>
      </c>
      <c r="X14" s="265">
        <f t="shared" si="13"/>
        <v>0</v>
      </c>
      <c r="Y14" s="265">
        <f t="shared" si="14"/>
        <v>0</v>
      </c>
      <c r="Z14" s="265">
        <f t="shared" si="15"/>
        <v>0</v>
      </c>
      <c r="AA14" s="265">
        <f t="shared" si="16"/>
        <v>0</v>
      </c>
      <c r="AB14" s="265">
        <f t="shared" si="63"/>
        <v>0</v>
      </c>
      <c r="AC14" s="265">
        <f t="shared" si="64"/>
        <v>0</v>
      </c>
      <c r="AD14" s="265">
        <f t="shared" si="17"/>
        <v>0</v>
      </c>
      <c r="AE14" s="265">
        <f t="shared" si="18"/>
        <v>0</v>
      </c>
      <c r="AF14" s="265">
        <f t="shared" si="19"/>
        <v>0</v>
      </c>
      <c r="AG14" s="265">
        <f t="shared" si="20"/>
        <v>0</v>
      </c>
      <c r="AH14" s="265">
        <f t="shared" si="65"/>
        <v>0</v>
      </c>
      <c r="AI14" s="265">
        <f t="shared" si="66"/>
        <v>0</v>
      </c>
      <c r="AJ14" s="265">
        <f t="shared" si="67"/>
        <v>0</v>
      </c>
      <c r="AK14" s="265">
        <f t="shared" si="68"/>
        <v>0</v>
      </c>
      <c r="AL14" s="265">
        <f t="shared" si="69"/>
        <v>0</v>
      </c>
      <c r="AM14" s="265">
        <f t="shared" si="70"/>
        <v>0</v>
      </c>
      <c r="AN14" s="265">
        <f t="shared" si="71"/>
        <v>0</v>
      </c>
      <c r="AO14" s="265">
        <f t="shared" si="72"/>
        <v>0</v>
      </c>
      <c r="AP14" s="265">
        <f t="shared" si="21"/>
        <v>0</v>
      </c>
      <c r="AQ14" s="265">
        <f t="shared" si="22"/>
        <v>0</v>
      </c>
      <c r="AR14" s="265">
        <f t="shared" si="23"/>
        <v>0</v>
      </c>
      <c r="AS14" s="265">
        <f t="shared" si="24"/>
        <v>0</v>
      </c>
      <c r="AT14" s="265">
        <f t="shared" si="73"/>
        <v>0</v>
      </c>
      <c r="AU14" s="265">
        <f t="shared" si="74"/>
        <v>0</v>
      </c>
      <c r="AV14" s="265">
        <f t="shared" si="25"/>
        <v>0</v>
      </c>
      <c r="AW14" s="265">
        <f t="shared" si="26"/>
        <v>0</v>
      </c>
      <c r="AX14" s="265">
        <f t="shared" si="27"/>
        <v>0</v>
      </c>
      <c r="AY14" s="265">
        <f t="shared" si="28"/>
        <v>0</v>
      </c>
      <c r="AZ14" s="265">
        <f t="shared" si="29"/>
        <v>0</v>
      </c>
      <c r="BA14" s="265">
        <f t="shared" si="30"/>
        <v>0</v>
      </c>
      <c r="BB14" s="265">
        <f t="shared" si="31"/>
        <v>0</v>
      </c>
      <c r="BC14" s="265">
        <f t="shared" si="32"/>
        <v>0</v>
      </c>
      <c r="BD14" s="265">
        <f t="shared" si="33"/>
        <v>0</v>
      </c>
      <c r="BE14" s="265">
        <f t="shared" si="34"/>
        <v>0</v>
      </c>
      <c r="BF14" s="265">
        <f t="shared" si="35"/>
        <v>0</v>
      </c>
      <c r="BG14" s="265">
        <f t="shared" si="36"/>
        <v>0</v>
      </c>
      <c r="BH14" s="265">
        <f t="shared" si="75"/>
        <v>0</v>
      </c>
      <c r="BI14" s="265">
        <f t="shared" si="76"/>
        <v>0</v>
      </c>
      <c r="BJ14" s="265">
        <f t="shared" si="37"/>
        <v>0</v>
      </c>
      <c r="BK14" s="265">
        <f t="shared" si="38"/>
        <v>0</v>
      </c>
      <c r="BL14" s="265">
        <f t="shared" si="39"/>
        <v>0</v>
      </c>
      <c r="BM14" s="265">
        <f t="shared" si="40"/>
        <v>0</v>
      </c>
      <c r="BN14" s="265">
        <f t="shared" si="41"/>
        <v>0</v>
      </c>
      <c r="BO14" s="265">
        <f t="shared" si="42"/>
        <v>0</v>
      </c>
      <c r="BP14" s="265">
        <f t="shared" si="77"/>
        <v>0</v>
      </c>
      <c r="BQ14" s="265">
        <f t="shared" si="78"/>
        <v>0</v>
      </c>
      <c r="BR14" s="265">
        <f t="shared" si="43"/>
        <v>0</v>
      </c>
      <c r="BS14" s="265">
        <f t="shared" si="44"/>
        <v>0</v>
      </c>
      <c r="BT14" s="265">
        <f t="shared" si="79"/>
        <v>0</v>
      </c>
      <c r="BU14" s="265">
        <f t="shared" si="80"/>
        <v>0</v>
      </c>
      <c r="BV14" s="265">
        <f t="shared" si="81"/>
        <v>0</v>
      </c>
      <c r="BW14" s="265">
        <f t="shared" si="82"/>
        <v>0</v>
      </c>
      <c r="BX14" s="265">
        <f t="shared" si="45"/>
        <v>0</v>
      </c>
      <c r="BY14" s="265">
        <f t="shared" si="46"/>
        <v>0</v>
      </c>
      <c r="BZ14" s="265">
        <f t="shared" si="47"/>
        <v>0</v>
      </c>
      <c r="CA14" s="265">
        <f t="shared" si="48"/>
        <v>0</v>
      </c>
      <c r="CB14" s="265">
        <f t="shared" si="49"/>
        <v>0</v>
      </c>
      <c r="CC14" s="265">
        <f t="shared" si="50"/>
        <v>0</v>
      </c>
      <c r="CD14" s="265">
        <f t="shared" si="83"/>
        <v>0</v>
      </c>
      <c r="CE14" s="265">
        <f t="shared" si="84"/>
        <v>0</v>
      </c>
      <c r="CF14" s="265">
        <f t="shared" si="85"/>
        <v>0</v>
      </c>
      <c r="CG14" s="265">
        <f t="shared" si="86"/>
        <v>0</v>
      </c>
      <c r="CH14" s="265">
        <f t="shared" si="51"/>
        <v>0</v>
      </c>
      <c r="CI14" s="265">
        <f t="shared" si="52"/>
        <v>0</v>
      </c>
      <c r="CJ14" s="265">
        <f t="shared" si="87"/>
        <v>0</v>
      </c>
      <c r="CK14" s="265">
        <f t="shared" si="88"/>
        <v>0</v>
      </c>
      <c r="CL14" s="265">
        <f t="shared" si="53"/>
        <v>0</v>
      </c>
      <c r="CM14" s="265">
        <f t="shared" si="54"/>
        <v>0</v>
      </c>
      <c r="CN14" s="265">
        <f t="shared" si="55"/>
        <v>0</v>
      </c>
      <c r="CO14" s="265">
        <f t="shared" si="56"/>
        <v>0</v>
      </c>
      <c r="CP14" s="265">
        <f t="shared" si="89"/>
        <v>0</v>
      </c>
      <c r="CQ14" s="265">
        <f t="shared" si="90"/>
        <v>0</v>
      </c>
      <c r="CR14" s="265">
        <f t="shared" si="91"/>
        <v>0</v>
      </c>
      <c r="CS14" s="265">
        <f t="shared" si="92"/>
        <v>0</v>
      </c>
      <c r="CT14" s="265">
        <f t="shared" si="57"/>
        <v>0</v>
      </c>
      <c r="CU14" s="265">
        <f t="shared" si="58"/>
        <v>0</v>
      </c>
      <c r="CV14" s="265">
        <f t="shared" si="59"/>
        <v>0</v>
      </c>
      <c r="CW14" s="265">
        <f t="shared" si="60"/>
        <v>0</v>
      </c>
      <c r="CX14" s="265">
        <f t="shared" si="93"/>
        <v>0</v>
      </c>
      <c r="CY14" s="265">
        <f t="shared" si="94"/>
        <v>0</v>
      </c>
      <c r="CZ14" s="265">
        <f t="shared" si="95"/>
        <v>0</v>
      </c>
      <c r="DA14" s="265">
        <f t="shared" si="96"/>
        <v>0</v>
      </c>
    </row>
    <row r="15" spans="1:105" s="262" customFormat="1" ht="15" customHeight="1">
      <c r="A15" s="63" t="str">
        <f t="array" ref="A15">IF(C15&lt;&gt;0,SUM(($C$11:C15&lt;&gt;0)*1),"")</f>
        <v/>
      </c>
      <c r="B15" s="263"/>
      <c r="C15" s="263"/>
      <c r="D15" s="263"/>
      <c r="E15" s="344"/>
      <c r="F15" s="314"/>
      <c r="G15" s="316"/>
      <c r="H15" s="316"/>
      <c r="I15" s="63" t="str">
        <f t="shared" si="0"/>
        <v/>
      </c>
      <c r="J15" s="265">
        <f t="shared" si="61"/>
        <v>0</v>
      </c>
      <c r="K15" s="265">
        <f t="shared" si="62"/>
        <v>0</v>
      </c>
      <c r="L15" s="265">
        <f t="shared" si="1"/>
        <v>0</v>
      </c>
      <c r="M15" s="265">
        <f t="shared" si="2"/>
        <v>0</v>
      </c>
      <c r="N15" s="265">
        <f t="shared" si="3"/>
        <v>0</v>
      </c>
      <c r="O15" s="265">
        <f t="shared" si="4"/>
        <v>0</v>
      </c>
      <c r="P15" s="265">
        <f t="shared" si="5"/>
        <v>0</v>
      </c>
      <c r="Q15" s="265">
        <f t="shared" si="6"/>
        <v>0</v>
      </c>
      <c r="R15" s="265">
        <f t="shared" si="7"/>
        <v>0</v>
      </c>
      <c r="S15" s="265">
        <f t="shared" si="8"/>
        <v>0</v>
      </c>
      <c r="T15" s="265">
        <f t="shared" si="9"/>
        <v>0</v>
      </c>
      <c r="U15" s="265">
        <f t="shared" si="10"/>
        <v>0</v>
      </c>
      <c r="V15" s="265">
        <f t="shared" si="11"/>
        <v>0</v>
      </c>
      <c r="W15" s="265">
        <f t="shared" si="12"/>
        <v>0</v>
      </c>
      <c r="X15" s="265">
        <f t="shared" si="13"/>
        <v>0</v>
      </c>
      <c r="Y15" s="265">
        <f t="shared" si="14"/>
        <v>0</v>
      </c>
      <c r="Z15" s="265">
        <f t="shared" si="15"/>
        <v>0</v>
      </c>
      <c r="AA15" s="265">
        <f t="shared" si="16"/>
        <v>0</v>
      </c>
      <c r="AB15" s="265">
        <f t="shared" si="63"/>
        <v>0</v>
      </c>
      <c r="AC15" s="265">
        <f t="shared" si="64"/>
        <v>0</v>
      </c>
      <c r="AD15" s="265">
        <f t="shared" si="17"/>
        <v>0</v>
      </c>
      <c r="AE15" s="265">
        <f t="shared" si="18"/>
        <v>0</v>
      </c>
      <c r="AF15" s="265">
        <f t="shared" si="19"/>
        <v>0</v>
      </c>
      <c r="AG15" s="265">
        <f t="shared" si="20"/>
        <v>0</v>
      </c>
      <c r="AH15" s="265">
        <f t="shared" si="65"/>
        <v>0</v>
      </c>
      <c r="AI15" s="265">
        <f t="shared" si="66"/>
        <v>0</v>
      </c>
      <c r="AJ15" s="265">
        <f t="shared" si="67"/>
        <v>0</v>
      </c>
      <c r="AK15" s="265">
        <f t="shared" si="68"/>
        <v>0</v>
      </c>
      <c r="AL15" s="265">
        <f t="shared" si="69"/>
        <v>0</v>
      </c>
      <c r="AM15" s="265">
        <f t="shared" si="70"/>
        <v>0</v>
      </c>
      <c r="AN15" s="265">
        <f t="shared" si="71"/>
        <v>0</v>
      </c>
      <c r="AO15" s="265">
        <f t="shared" si="72"/>
        <v>0</v>
      </c>
      <c r="AP15" s="265">
        <f t="shared" si="21"/>
        <v>0</v>
      </c>
      <c r="AQ15" s="265">
        <f t="shared" si="22"/>
        <v>0</v>
      </c>
      <c r="AR15" s="265">
        <f t="shared" si="23"/>
        <v>0</v>
      </c>
      <c r="AS15" s="265">
        <f t="shared" si="24"/>
        <v>0</v>
      </c>
      <c r="AT15" s="265">
        <f t="shared" si="73"/>
        <v>0</v>
      </c>
      <c r="AU15" s="265">
        <f t="shared" si="74"/>
        <v>0</v>
      </c>
      <c r="AV15" s="265">
        <f t="shared" si="25"/>
        <v>0</v>
      </c>
      <c r="AW15" s="265">
        <f t="shared" si="26"/>
        <v>0</v>
      </c>
      <c r="AX15" s="265">
        <f t="shared" si="27"/>
        <v>0</v>
      </c>
      <c r="AY15" s="265">
        <f t="shared" si="28"/>
        <v>0</v>
      </c>
      <c r="AZ15" s="265">
        <f t="shared" si="29"/>
        <v>0</v>
      </c>
      <c r="BA15" s="265">
        <f t="shared" si="30"/>
        <v>0</v>
      </c>
      <c r="BB15" s="265">
        <f t="shared" si="31"/>
        <v>0</v>
      </c>
      <c r="BC15" s="265">
        <f t="shared" si="32"/>
        <v>0</v>
      </c>
      <c r="BD15" s="265">
        <f t="shared" si="33"/>
        <v>0</v>
      </c>
      <c r="BE15" s="265">
        <f t="shared" si="34"/>
        <v>0</v>
      </c>
      <c r="BF15" s="265">
        <f t="shared" si="35"/>
        <v>0</v>
      </c>
      <c r="BG15" s="265">
        <f t="shared" si="36"/>
        <v>0</v>
      </c>
      <c r="BH15" s="265">
        <f t="shared" si="75"/>
        <v>0</v>
      </c>
      <c r="BI15" s="265">
        <f t="shared" si="76"/>
        <v>0</v>
      </c>
      <c r="BJ15" s="265">
        <f t="shared" si="37"/>
        <v>0</v>
      </c>
      <c r="BK15" s="265">
        <f t="shared" si="38"/>
        <v>0</v>
      </c>
      <c r="BL15" s="265">
        <f t="shared" si="39"/>
        <v>0</v>
      </c>
      <c r="BM15" s="265">
        <f t="shared" si="40"/>
        <v>0</v>
      </c>
      <c r="BN15" s="265">
        <f t="shared" si="41"/>
        <v>0</v>
      </c>
      <c r="BO15" s="265">
        <f t="shared" si="42"/>
        <v>0</v>
      </c>
      <c r="BP15" s="265">
        <f t="shared" si="77"/>
        <v>0</v>
      </c>
      <c r="BQ15" s="265">
        <f t="shared" si="78"/>
        <v>0</v>
      </c>
      <c r="BR15" s="265">
        <f t="shared" si="43"/>
        <v>0</v>
      </c>
      <c r="BS15" s="265">
        <f t="shared" si="44"/>
        <v>0</v>
      </c>
      <c r="BT15" s="265">
        <f t="shared" si="79"/>
        <v>0</v>
      </c>
      <c r="BU15" s="265">
        <f t="shared" si="80"/>
        <v>0</v>
      </c>
      <c r="BV15" s="265">
        <f t="shared" si="81"/>
        <v>0</v>
      </c>
      <c r="BW15" s="265">
        <f t="shared" si="82"/>
        <v>0</v>
      </c>
      <c r="BX15" s="265">
        <f t="shared" si="45"/>
        <v>0</v>
      </c>
      <c r="BY15" s="265">
        <f t="shared" si="46"/>
        <v>0</v>
      </c>
      <c r="BZ15" s="265">
        <f t="shared" si="47"/>
        <v>0</v>
      </c>
      <c r="CA15" s="265">
        <f t="shared" si="48"/>
        <v>0</v>
      </c>
      <c r="CB15" s="265">
        <f t="shared" si="49"/>
        <v>0</v>
      </c>
      <c r="CC15" s="265">
        <f t="shared" si="50"/>
        <v>0</v>
      </c>
      <c r="CD15" s="265">
        <f t="shared" si="83"/>
        <v>0</v>
      </c>
      <c r="CE15" s="265">
        <f t="shared" si="84"/>
        <v>0</v>
      </c>
      <c r="CF15" s="265">
        <f t="shared" si="85"/>
        <v>0</v>
      </c>
      <c r="CG15" s="265">
        <f t="shared" si="86"/>
        <v>0</v>
      </c>
      <c r="CH15" s="265">
        <f t="shared" si="51"/>
        <v>0</v>
      </c>
      <c r="CI15" s="265">
        <f t="shared" si="52"/>
        <v>0</v>
      </c>
      <c r="CJ15" s="265">
        <f t="shared" si="87"/>
        <v>0</v>
      </c>
      <c r="CK15" s="265">
        <f t="shared" si="88"/>
        <v>0</v>
      </c>
      <c r="CL15" s="265">
        <f t="shared" si="53"/>
        <v>0</v>
      </c>
      <c r="CM15" s="265">
        <f t="shared" si="54"/>
        <v>0</v>
      </c>
      <c r="CN15" s="265">
        <f t="shared" si="55"/>
        <v>0</v>
      </c>
      <c r="CO15" s="265">
        <f t="shared" si="56"/>
        <v>0</v>
      </c>
      <c r="CP15" s="265">
        <f t="shared" si="89"/>
        <v>0</v>
      </c>
      <c r="CQ15" s="265">
        <f t="shared" si="90"/>
        <v>0</v>
      </c>
      <c r="CR15" s="265">
        <f t="shared" si="91"/>
        <v>0</v>
      </c>
      <c r="CS15" s="265">
        <f t="shared" si="92"/>
        <v>0</v>
      </c>
      <c r="CT15" s="265">
        <f t="shared" si="57"/>
        <v>0</v>
      </c>
      <c r="CU15" s="265">
        <f t="shared" si="58"/>
        <v>0</v>
      </c>
      <c r="CV15" s="265">
        <f t="shared" si="59"/>
        <v>0</v>
      </c>
      <c r="CW15" s="265">
        <f t="shared" si="60"/>
        <v>0</v>
      </c>
      <c r="CX15" s="265">
        <f t="shared" si="93"/>
        <v>0</v>
      </c>
      <c r="CY15" s="265">
        <f t="shared" si="94"/>
        <v>0</v>
      </c>
      <c r="CZ15" s="265">
        <f t="shared" si="95"/>
        <v>0</v>
      </c>
      <c r="DA15" s="265">
        <f t="shared" si="96"/>
        <v>0</v>
      </c>
    </row>
    <row r="16" spans="1:105" s="262" customFormat="1" ht="15" customHeight="1">
      <c r="A16" s="63" t="str">
        <f t="array" ref="A16">IF(C16&lt;&gt;0,SUM(($C$11:C16&lt;&gt;0)*1),"")</f>
        <v/>
      </c>
      <c r="B16" s="263"/>
      <c r="C16" s="263"/>
      <c r="D16" s="263"/>
      <c r="E16" s="344"/>
      <c r="F16" s="314"/>
      <c r="G16" s="316"/>
      <c r="H16" s="316"/>
      <c r="I16" s="63" t="str">
        <f t="shared" si="0"/>
        <v/>
      </c>
      <c r="J16" s="265">
        <f t="shared" si="61"/>
        <v>0</v>
      </c>
      <c r="K16" s="265">
        <f t="shared" si="62"/>
        <v>0</v>
      </c>
      <c r="L16" s="265">
        <f t="shared" si="1"/>
        <v>0</v>
      </c>
      <c r="M16" s="265">
        <f t="shared" si="2"/>
        <v>0</v>
      </c>
      <c r="N16" s="265">
        <f t="shared" si="3"/>
        <v>0</v>
      </c>
      <c r="O16" s="265">
        <f t="shared" si="4"/>
        <v>0</v>
      </c>
      <c r="P16" s="265">
        <f t="shared" si="5"/>
        <v>0</v>
      </c>
      <c r="Q16" s="265">
        <f t="shared" si="6"/>
        <v>0</v>
      </c>
      <c r="R16" s="265">
        <f t="shared" si="7"/>
        <v>0</v>
      </c>
      <c r="S16" s="265">
        <f t="shared" si="8"/>
        <v>0</v>
      </c>
      <c r="T16" s="265">
        <f t="shared" si="9"/>
        <v>0</v>
      </c>
      <c r="U16" s="265">
        <f t="shared" si="10"/>
        <v>0</v>
      </c>
      <c r="V16" s="265">
        <f t="shared" si="11"/>
        <v>0</v>
      </c>
      <c r="W16" s="265">
        <f t="shared" si="12"/>
        <v>0</v>
      </c>
      <c r="X16" s="265">
        <f t="shared" si="13"/>
        <v>0</v>
      </c>
      <c r="Y16" s="265">
        <f t="shared" si="14"/>
        <v>0</v>
      </c>
      <c r="Z16" s="265">
        <f t="shared" si="15"/>
        <v>0</v>
      </c>
      <c r="AA16" s="265">
        <f t="shared" si="16"/>
        <v>0</v>
      </c>
      <c r="AB16" s="265">
        <f t="shared" si="63"/>
        <v>0</v>
      </c>
      <c r="AC16" s="265">
        <f t="shared" si="64"/>
        <v>0</v>
      </c>
      <c r="AD16" s="265">
        <f t="shared" si="17"/>
        <v>0</v>
      </c>
      <c r="AE16" s="265">
        <f t="shared" si="18"/>
        <v>0</v>
      </c>
      <c r="AF16" s="265">
        <f t="shared" si="19"/>
        <v>0</v>
      </c>
      <c r="AG16" s="265">
        <f t="shared" si="20"/>
        <v>0</v>
      </c>
      <c r="AH16" s="265">
        <f t="shared" si="65"/>
        <v>0</v>
      </c>
      <c r="AI16" s="265">
        <f t="shared" si="66"/>
        <v>0</v>
      </c>
      <c r="AJ16" s="265">
        <f t="shared" si="67"/>
        <v>0</v>
      </c>
      <c r="AK16" s="265">
        <f t="shared" si="68"/>
        <v>0</v>
      </c>
      <c r="AL16" s="265">
        <f t="shared" si="69"/>
        <v>0</v>
      </c>
      <c r="AM16" s="265">
        <f t="shared" si="70"/>
        <v>0</v>
      </c>
      <c r="AN16" s="265">
        <f t="shared" si="71"/>
        <v>0</v>
      </c>
      <c r="AO16" s="265">
        <f t="shared" si="72"/>
        <v>0</v>
      </c>
      <c r="AP16" s="265">
        <f t="shared" si="21"/>
        <v>0</v>
      </c>
      <c r="AQ16" s="265">
        <f t="shared" si="22"/>
        <v>0</v>
      </c>
      <c r="AR16" s="265">
        <f t="shared" si="23"/>
        <v>0</v>
      </c>
      <c r="AS16" s="265">
        <f t="shared" si="24"/>
        <v>0</v>
      </c>
      <c r="AT16" s="265">
        <f t="shared" si="73"/>
        <v>0</v>
      </c>
      <c r="AU16" s="265">
        <f t="shared" si="74"/>
        <v>0</v>
      </c>
      <c r="AV16" s="265">
        <f t="shared" si="25"/>
        <v>0</v>
      </c>
      <c r="AW16" s="265">
        <f t="shared" si="26"/>
        <v>0</v>
      </c>
      <c r="AX16" s="265">
        <f t="shared" si="27"/>
        <v>0</v>
      </c>
      <c r="AY16" s="265">
        <f t="shared" si="28"/>
        <v>0</v>
      </c>
      <c r="AZ16" s="265">
        <f t="shared" si="29"/>
        <v>0</v>
      </c>
      <c r="BA16" s="265">
        <f t="shared" si="30"/>
        <v>0</v>
      </c>
      <c r="BB16" s="265">
        <f t="shared" si="31"/>
        <v>0</v>
      </c>
      <c r="BC16" s="265">
        <f t="shared" si="32"/>
        <v>0</v>
      </c>
      <c r="BD16" s="265">
        <f t="shared" si="33"/>
        <v>0</v>
      </c>
      <c r="BE16" s="265">
        <f t="shared" si="34"/>
        <v>0</v>
      </c>
      <c r="BF16" s="265">
        <f t="shared" si="35"/>
        <v>0</v>
      </c>
      <c r="BG16" s="265">
        <f t="shared" si="36"/>
        <v>0</v>
      </c>
      <c r="BH16" s="265">
        <f t="shared" si="75"/>
        <v>0</v>
      </c>
      <c r="BI16" s="265">
        <f t="shared" si="76"/>
        <v>0</v>
      </c>
      <c r="BJ16" s="265">
        <f t="shared" si="37"/>
        <v>0</v>
      </c>
      <c r="BK16" s="265">
        <f t="shared" si="38"/>
        <v>0</v>
      </c>
      <c r="BL16" s="265">
        <f t="shared" si="39"/>
        <v>0</v>
      </c>
      <c r="BM16" s="265">
        <f t="shared" si="40"/>
        <v>0</v>
      </c>
      <c r="BN16" s="265">
        <f t="shared" si="41"/>
        <v>0</v>
      </c>
      <c r="BO16" s="265">
        <f t="shared" si="42"/>
        <v>0</v>
      </c>
      <c r="BP16" s="265">
        <f t="shared" si="77"/>
        <v>0</v>
      </c>
      <c r="BQ16" s="265">
        <f t="shared" si="78"/>
        <v>0</v>
      </c>
      <c r="BR16" s="265">
        <f t="shared" si="43"/>
        <v>0</v>
      </c>
      <c r="BS16" s="265">
        <f t="shared" si="44"/>
        <v>0</v>
      </c>
      <c r="BT16" s="265">
        <f t="shared" si="79"/>
        <v>0</v>
      </c>
      <c r="BU16" s="265">
        <f t="shared" si="80"/>
        <v>0</v>
      </c>
      <c r="BV16" s="265">
        <f t="shared" si="81"/>
        <v>0</v>
      </c>
      <c r="BW16" s="265">
        <f t="shared" si="82"/>
        <v>0</v>
      </c>
      <c r="BX16" s="265">
        <f t="shared" si="45"/>
        <v>0</v>
      </c>
      <c r="BY16" s="265">
        <f t="shared" si="46"/>
        <v>0</v>
      </c>
      <c r="BZ16" s="265">
        <f t="shared" si="47"/>
        <v>0</v>
      </c>
      <c r="CA16" s="265">
        <f t="shared" si="48"/>
        <v>0</v>
      </c>
      <c r="CB16" s="265">
        <f t="shared" si="49"/>
        <v>0</v>
      </c>
      <c r="CC16" s="265">
        <f t="shared" si="50"/>
        <v>0</v>
      </c>
      <c r="CD16" s="265">
        <f t="shared" si="83"/>
        <v>0</v>
      </c>
      <c r="CE16" s="265">
        <f t="shared" si="84"/>
        <v>0</v>
      </c>
      <c r="CF16" s="265">
        <f t="shared" si="85"/>
        <v>0</v>
      </c>
      <c r="CG16" s="265">
        <f t="shared" si="86"/>
        <v>0</v>
      </c>
      <c r="CH16" s="265">
        <f t="shared" si="51"/>
        <v>0</v>
      </c>
      <c r="CI16" s="265">
        <f t="shared" si="52"/>
        <v>0</v>
      </c>
      <c r="CJ16" s="265">
        <f t="shared" si="87"/>
        <v>0</v>
      </c>
      <c r="CK16" s="265">
        <f t="shared" si="88"/>
        <v>0</v>
      </c>
      <c r="CL16" s="265">
        <f t="shared" si="53"/>
        <v>0</v>
      </c>
      <c r="CM16" s="265">
        <f t="shared" si="54"/>
        <v>0</v>
      </c>
      <c r="CN16" s="265">
        <f t="shared" si="55"/>
        <v>0</v>
      </c>
      <c r="CO16" s="265">
        <f t="shared" si="56"/>
        <v>0</v>
      </c>
      <c r="CP16" s="265">
        <f t="shared" si="89"/>
        <v>0</v>
      </c>
      <c r="CQ16" s="265">
        <f t="shared" si="90"/>
        <v>0</v>
      </c>
      <c r="CR16" s="265">
        <f t="shared" si="91"/>
        <v>0</v>
      </c>
      <c r="CS16" s="265">
        <f t="shared" si="92"/>
        <v>0</v>
      </c>
      <c r="CT16" s="265">
        <f t="shared" si="57"/>
        <v>0</v>
      </c>
      <c r="CU16" s="265">
        <f t="shared" si="58"/>
        <v>0</v>
      </c>
      <c r="CV16" s="265">
        <f t="shared" si="59"/>
        <v>0</v>
      </c>
      <c r="CW16" s="265">
        <f t="shared" si="60"/>
        <v>0</v>
      </c>
      <c r="CX16" s="265">
        <f t="shared" si="93"/>
        <v>0</v>
      </c>
      <c r="CY16" s="265">
        <f t="shared" si="94"/>
        <v>0</v>
      </c>
      <c r="CZ16" s="265">
        <f t="shared" si="95"/>
        <v>0</v>
      </c>
      <c r="DA16" s="265">
        <f t="shared" si="96"/>
        <v>0</v>
      </c>
    </row>
    <row r="17" spans="1:105" s="262" customFormat="1" ht="15" customHeight="1">
      <c r="A17" s="63" t="str">
        <f t="array" ref="A17">IF(C17&lt;&gt;0,SUM(($C$11:C17&lt;&gt;0)*1),"")</f>
        <v/>
      </c>
      <c r="B17" s="263"/>
      <c r="C17" s="263"/>
      <c r="D17" s="263"/>
      <c r="E17" s="344"/>
      <c r="F17" s="314"/>
      <c r="G17" s="316"/>
      <c r="H17" s="316"/>
      <c r="I17" s="63" t="str">
        <f t="shared" si="0"/>
        <v/>
      </c>
      <c r="J17" s="265">
        <f t="shared" si="61"/>
        <v>0</v>
      </c>
      <c r="K17" s="265">
        <f t="shared" si="62"/>
        <v>0</v>
      </c>
      <c r="L17" s="265">
        <f t="shared" si="1"/>
        <v>0</v>
      </c>
      <c r="M17" s="265">
        <f t="shared" si="2"/>
        <v>0</v>
      </c>
      <c r="N17" s="265">
        <f t="shared" si="3"/>
        <v>0</v>
      </c>
      <c r="O17" s="265">
        <f t="shared" si="4"/>
        <v>0</v>
      </c>
      <c r="P17" s="265">
        <f t="shared" si="5"/>
        <v>0</v>
      </c>
      <c r="Q17" s="265">
        <f t="shared" si="6"/>
        <v>0</v>
      </c>
      <c r="R17" s="265">
        <f t="shared" si="7"/>
        <v>0</v>
      </c>
      <c r="S17" s="265">
        <f t="shared" si="8"/>
        <v>0</v>
      </c>
      <c r="T17" s="265">
        <f t="shared" si="9"/>
        <v>0</v>
      </c>
      <c r="U17" s="265">
        <f t="shared" si="10"/>
        <v>0</v>
      </c>
      <c r="V17" s="265">
        <f t="shared" si="11"/>
        <v>0</v>
      </c>
      <c r="W17" s="265">
        <f t="shared" si="12"/>
        <v>0</v>
      </c>
      <c r="X17" s="265">
        <f t="shared" si="13"/>
        <v>0</v>
      </c>
      <c r="Y17" s="265">
        <f t="shared" si="14"/>
        <v>0</v>
      </c>
      <c r="Z17" s="265">
        <f t="shared" si="15"/>
        <v>0</v>
      </c>
      <c r="AA17" s="265">
        <f t="shared" si="16"/>
        <v>0</v>
      </c>
      <c r="AB17" s="265">
        <f t="shared" si="63"/>
        <v>0</v>
      </c>
      <c r="AC17" s="265">
        <f t="shared" si="64"/>
        <v>0</v>
      </c>
      <c r="AD17" s="265">
        <f t="shared" si="17"/>
        <v>0</v>
      </c>
      <c r="AE17" s="265">
        <f t="shared" si="18"/>
        <v>0</v>
      </c>
      <c r="AF17" s="265">
        <f t="shared" si="19"/>
        <v>0</v>
      </c>
      <c r="AG17" s="265">
        <f t="shared" si="20"/>
        <v>0</v>
      </c>
      <c r="AH17" s="265">
        <f t="shared" si="65"/>
        <v>0</v>
      </c>
      <c r="AI17" s="265">
        <f t="shared" si="66"/>
        <v>0</v>
      </c>
      <c r="AJ17" s="265">
        <f t="shared" si="67"/>
        <v>0</v>
      </c>
      <c r="AK17" s="265">
        <f t="shared" si="68"/>
        <v>0</v>
      </c>
      <c r="AL17" s="265">
        <f t="shared" si="69"/>
        <v>0</v>
      </c>
      <c r="AM17" s="265">
        <f t="shared" si="70"/>
        <v>0</v>
      </c>
      <c r="AN17" s="265">
        <f t="shared" si="71"/>
        <v>0</v>
      </c>
      <c r="AO17" s="265">
        <f t="shared" si="72"/>
        <v>0</v>
      </c>
      <c r="AP17" s="265">
        <f t="shared" si="21"/>
        <v>0</v>
      </c>
      <c r="AQ17" s="265">
        <f t="shared" si="22"/>
        <v>0</v>
      </c>
      <c r="AR17" s="265">
        <f t="shared" si="23"/>
        <v>0</v>
      </c>
      <c r="AS17" s="265">
        <f t="shared" si="24"/>
        <v>0</v>
      </c>
      <c r="AT17" s="265">
        <f t="shared" si="73"/>
        <v>0</v>
      </c>
      <c r="AU17" s="265">
        <f t="shared" si="74"/>
        <v>0</v>
      </c>
      <c r="AV17" s="265">
        <f t="shared" si="25"/>
        <v>0</v>
      </c>
      <c r="AW17" s="265">
        <f t="shared" si="26"/>
        <v>0</v>
      </c>
      <c r="AX17" s="265">
        <f t="shared" si="27"/>
        <v>0</v>
      </c>
      <c r="AY17" s="265">
        <f t="shared" si="28"/>
        <v>0</v>
      </c>
      <c r="AZ17" s="265">
        <f t="shared" si="29"/>
        <v>0</v>
      </c>
      <c r="BA17" s="265">
        <f t="shared" si="30"/>
        <v>0</v>
      </c>
      <c r="BB17" s="265">
        <f t="shared" si="31"/>
        <v>0</v>
      </c>
      <c r="BC17" s="265">
        <f t="shared" si="32"/>
        <v>0</v>
      </c>
      <c r="BD17" s="265">
        <f t="shared" si="33"/>
        <v>0</v>
      </c>
      <c r="BE17" s="265">
        <f t="shared" si="34"/>
        <v>0</v>
      </c>
      <c r="BF17" s="265">
        <f t="shared" si="35"/>
        <v>0</v>
      </c>
      <c r="BG17" s="265">
        <f t="shared" si="36"/>
        <v>0</v>
      </c>
      <c r="BH17" s="265">
        <f t="shared" si="75"/>
        <v>0</v>
      </c>
      <c r="BI17" s="265">
        <f t="shared" si="76"/>
        <v>0</v>
      </c>
      <c r="BJ17" s="265">
        <f t="shared" si="37"/>
        <v>0</v>
      </c>
      <c r="BK17" s="265">
        <f t="shared" si="38"/>
        <v>0</v>
      </c>
      <c r="BL17" s="265">
        <f t="shared" si="39"/>
        <v>0</v>
      </c>
      <c r="BM17" s="265">
        <f t="shared" si="40"/>
        <v>0</v>
      </c>
      <c r="BN17" s="265">
        <f t="shared" si="41"/>
        <v>0</v>
      </c>
      <c r="BO17" s="265">
        <f t="shared" si="42"/>
        <v>0</v>
      </c>
      <c r="BP17" s="265">
        <f t="shared" si="77"/>
        <v>0</v>
      </c>
      <c r="BQ17" s="265">
        <f t="shared" si="78"/>
        <v>0</v>
      </c>
      <c r="BR17" s="265">
        <f t="shared" si="43"/>
        <v>0</v>
      </c>
      <c r="BS17" s="265">
        <f t="shared" si="44"/>
        <v>0</v>
      </c>
      <c r="BT17" s="265">
        <f t="shared" si="79"/>
        <v>0</v>
      </c>
      <c r="BU17" s="265">
        <f t="shared" si="80"/>
        <v>0</v>
      </c>
      <c r="BV17" s="265">
        <f t="shared" si="81"/>
        <v>0</v>
      </c>
      <c r="BW17" s="265">
        <f t="shared" si="82"/>
        <v>0</v>
      </c>
      <c r="BX17" s="265">
        <f t="shared" si="45"/>
        <v>0</v>
      </c>
      <c r="BY17" s="265">
        <f t="shared" si="46"/>
        <v>0</v>
      </c>
      <c r="BZ17" s="265">
        <f t="shared" si="47"/>
        <v>0</v>
      </c>
      <c r="CA17" s="265">
        <f t="shared" si="48"/>
        <v>0</v>
      </c>
      <c r="CB17" s="265">
        <f t="shared" si="49"/>
        <v>0</v>
      </c>
      <c r="CC17" s="265">
        <f t="shared" si="50"/>
        <v>0</v>
      </c>
      <c r="CD17" s="265">
        <f t="shared" si="83"/>
        <v>0</v>
      </c>
      <c r="CE17" s="265">
        <f t="shared" si="84"/>
        <v>0</v>
      </c>
      <c r="CF17" s="265">
        <f t="shared" si="85"/>
        <v>0</v>
      </c>
      <c r="CG17" s="265">
        <f t="shared" si="86"/>
        <v>0</v>
      </c>
      <c r="CH17" s="265">
        <f t="shared" si="51"/>
        <v>0</v>
      </c>
      <c r="CI17" s="265">
        <f t="shared" si="52"/>
        <v>0</v>
      </c>
      <c r="CJ17" s="265">
        <f t="shared" si="87"/>
        <v>0</v>
      </c>
      <c r="CK17" s="265">
        <f t="shared" si="88"/>
        <v>0</v>
      </c>
      <c r="CL17" s="265">
        <f t="shared" si="53"/>
        <v>0</v>
      </c>
      <c r="CM17" s="265">
        <f t="shared" si="54"/>
        <v>0</v>
      </c>
      <c r="CN17" s="265">
        <f t="shared" si="55"/>
        <v>0</v>
      </c>
      <c r="CO17" s="265">
        <f t="shared" si="56"/>
        <v>0</v>
      </c>
      <c r="CP17" s="265">
        <f t="shared" si="89"/>
        <v>0</v>
      </c>
      <c r="CQ17" s="265">
        <f t="shared" si="90"/>
        <v>0</v>
      </c>
      <c r="CR17" s="265">
        <f t="shared" si="91"/>
        <v>0</v>
      </c>
      <c r="CS17" s="265">
        <f t="shared" si="92"/>
        <v>0</v>
      </c>
      <c r="CT17" s="265">
        <f t="shared" si="57"/>
        <v>0</v>
      </c>
      <c r="CU17" s="265">
        <f t="shared" si="58"/>
        <v>0</v>
      </c>
      <c r="CV17" s="265">
        <f t="shared" si="59"/>
        <v>0</v>
      </c>
      <c r="CW17" s="265">
        <f t="shared" si="60"/>
        <v>0</v>
      </c>
      <c r="CX17" s="265">
        <f t="shared" si="93"/>
        <v>0</v>
      </c>
      <c r="CY17" s="265">
        <f t="shared" si="94"/>
        <v>0</v>
      </c>
      <c r="CZ17" s="265">
        <f t="shared" si="95"/>
        <v>0</v>
      </c>
      <c r="DA17" s="265">
        <f t="shared" si="96"/>
        <v>0</v>
      </c>
    </row>
    <row r="18" spans="1:105" s="262" customFormat="1" ht="15" customHeight="1">
      <c r="A18" s="63" t="str">
        <f t="array" ref="A18">IF(C18&lt;&gt;0,SUM(($C$11:C18&lt;&gt;0)*1),"")</f>
        <v/>
      </c>
      <c r="B18" s="263"/>
      <c r="C18" s="263"/>
      <c r="D18" s="263"/>
      <c r="E18" s="344"/>
      <c r="F18" s="314"/>
      <c r="G18" s="316"/>
      <c r="H18" s="316"/>
      <c r="I18" s="63" t="str">
        <f t="shared" si="0"/>
        <v/>
      </c>
      <c r="J18" s="265">
        <f t="shared" si="61"/>
        <v>0</v>
      </c>
      <c r="K18" s="265">
        <f t="shared" si="62"/>
        <v>0</v>
      </c>
      <c r="L18" s="265">
        <f t="shared" si="1"/>
        <v>0</v>
      </c>
      <c r="M18" s="265">
        <f t="shared" si="2"/>
        <v>0</v>
      </c>
      <c r="N18" s="265">
        <f t="shared" si="3"/>
        <v>0</v>
      </c>
      <c r="O18" s="265">
        <f t="shared" si="4"/>
        <v>0</v>
      </c>
      <c r="P18" s="265">
        <f t="shared" si="5"/>
        <v>0</v>
      </c>
      <c r="Q18" s="265">
        <f t="shared" si="6"/>
        <v>0</v>
      </c>
      <c r="R18" s="265">
        <f t="shared" si="7"/>
        <v>0</v>
      </c>
      <c r="S18" s="265">
        <f t="shared" si="8"/>
        <v>0</v>
      </c>
      <c r="T18" s="265">
        <f t="shared" si="9"/>
        <v>0</v>
      </c>
      <c r="U18" s="265">
        <f t="shared" si="10"/>
        <v>0</v>
      </c>
      <c r="V18" s="265">
        <f t="shared" si="11"/>
        <v>0</v>
      </c>
      <c r="W18" s="265">
        <f t="shared" si="12"/>
        <v>0</v>
      </c>
      <c r="X18" s="265">
        <f t="shared" si="13"/>
        <v>0</v>
      </c>
      <c r="Y18" s="265">
        <f t="shared" si="14"/>
        <v>0</v>
      </c>
      <c r="Z18" s="265">
        <f t="shared" si="15"/>
        <v>0</v>
      </c>
      <c r="AA18" s="265">
        <f t="shared" si="16"/>
        <v>0</v>
      </c>
      <c r="AB18" s="265">
        <f t="shared" si="63"/>
        <v>0</v>
      </c>
      <c r="AC18" s="265">
        <f t="shared" si="64"/>
        <v>0</v>
      </c>
      <c r="AD18" s="265">
        <f t="shared" si="17"/>
        <v>0</v>
      </c>
      <c r="AE18" s="265">
        <f t="shared" si="18"/>
        <v>0</v>
      </c>
      <c r="AF18" s="265">
        <f t="shared" si="19"/>
        <v>0</v>
      </c>
      <c r="AG18" s="265">
        <f t="shared" si="20"/>
        <v>0</v>
      </c>
      <c r="AH18" s="265">
        <f t="shared" si="65"/>
        <v>0</v>
      </c>
      <c r="AI18" s="265">
        <f t="shared" si="66"/>
        <v>0</v>
      </c>
      <c r="AJ18" s="265">
        <f t="shared" si="67"/>
        <v>0</v>
      </c>
      <c r="AK18" s="265">
        <f t="shared" si="68"/>
        <v>0</v>
      </c>
      <c r="AL18" s="265">
        <f t="shared" si="69"/>
        <v>0</v>
      </c>
      <c r="AM18" s="265">
        <f t="shared" si="70"/>
        <v>0</v>
      </c>
      <c r="AN18" s="265">
        <f t="shared" si="71"/>
        <v>0</v>
      </c>
      <c r="AO18" s="265">
        <f t="shared" si="72"/>
        <v>0</v>
      </c>
      <c r="AP18" s="265">
        <f t="shared" si="21"/>
        <v>0</v>
      </c>
      <c r="AQ18" s="265">
        <f t="shared" si="22"/>
        <v>0</v>
      </c>
      <c r="AR18" s="265">
        <f t="shared" si="23"/>
        <v>0</v>
      </c>
      <c r="AS18" s="265">
        <f t="shared" si="24"/>
        <v>0</v>
      </c>
      <c r="AT18" s="265">
        <f t="shared" si="73"/>
        <v>0</v>
      </c>
      <c r="AU18" s="265">
        <f t="shared" si="74"/>
        <v>0</v>
      </c>
      <c r="AV18" s="265">
        <f t="shared" si="25"/>
        <v>0</v>
      </c>
      <c r="AW18" s="265">
        <f t="shared" si="26"/>
        <v>0</v>
      </c>
      <c r="AX18" s="265">
        <f t="shared" si="27"/>
        <v>0</v>
      </c>
      <c r="AY18" s="265">
        <f t="shared" si="28"/>
        <v>0</v>
      </c>
      <c r="AZ18" s="265">
        <f t="shared" si="29"/>
        <v>0</v>
      </c>
      <c r="BA18" s="265">
        <f t="shared" si="30"/>
        <v>0</v>
      </c>
      <c r="BB18" s="265">
        <f t="shared" si="31"/>
        <v>0</v>
      </c>
      <c r="BC18" s="265">
        <f t="shared" si="32"/>
        <v>0</v>
      </c>
      <c r="BD18" s="265">
        <f t="shared" si="33"/>
        <v>0</v>
      </c>
      <c r="BE18" s="265">
        <f t="shared" si="34"/>
        <v>0</v>
      </c>
      <c r="BF18" s="265">
        <f t="shared" si="35"/>
        <v>0</v>
      </c>
      <c r="BG18" s="265">
        <f t="shared" si="36"/>
        <v>0</v>
      </c>
      <c r="BH18" s="265">
        <f t="shared" si="75"/>
        <v>0</v>
      </c>
      <c r="BI18" s="265">
        <f t="shared" si="76"/>
        <v>0</v>
      </c>
      <c r="BJ18" s="265">
        <f t="shared" si="37"/>
        <v>0</v>
      </c>
      <c r="BK18" s="265">
        <f t="shared" si="38"/>
        <v>0</v>
      </c>
      <c r="BL18" s="265">
        <f t="shared" si="39"/>
        <v>0</v>
      </c>
      <c r="BM18" s="265">
        <f t="shared" si="40"/>
        <v>0</v>
      </c>
      <c r="BN18" s="265">
        <f t="shared" si="41"/>
        <v>0</v>
      </c>
      <c r="BO18" s="265">
        <f t="shared" si="42"/>
        <v>0</v>
      </c>
      <c r="BP18" s="265">
        <f t="shared" si="77"/>
        <v>0</v>
      </c>
      <c r="BQ18" s="265">
        <f t="shared" si="78"/>
        <v>0</v>
      </c>
      <c r="BR18" s="265">
        <f t="shared" si="43"/>
        <v>0</v>
      </c>
      <c r="BS18" s="265">
        <f t="shared" si="44"/>
        <v>0</v>
      </c>
      <c r="BT18" s="265">
        <f t="shared" si="79"/>
        <v>0</v>
      </c>
      <c r="BU18" s="265">
        <f t="shared" si="80"/>
        <v>0</v>
      </c>
      <c r="BV18" s="265">
        <f t="shared" si="81"/>
        <v>0</v>
      </c>
      <c r="BW18" s="265">
        <f t="shared" si="82"/>
        <v>0</v>
      </c>
      <c r="BX18" s="265">
        <f t="shared" si="45"/>
        <v>0</v>
      </c>
      <c r="BY18" s="265">
        <f t="shared" si="46"/>
        <v>0</v>
      </c>
      <c r="BZ18" s="265">
        <f t="shared" si="47"/>
        <v>0</v>
      </c>
      <c r="CA18" s="265">
        <f t="shared" si="48"/>
        <v>0</v>
      </c>
      <c r="CB18" s="265">
        <f t="shared" si="49"/>
        <v>0</v>
      </c>
      <c r="CC18" s="265">
        <f t="shared" si="50"/>
        <v>0</v>
      </c>
      <c r="CD18" s="265">
        <f t="shared" si="83"/>
        <v>0</v>
      </c>
      <c r="CE18" s="265">
        <f t="shared" si="84"/>
        <v>0</v>
      </c>
      <c r="CF18" s="265">
        <f t="shared" si="85"/>
        <v>0</v>
      </c>
      <c r="CG18" s="265">
        <f t="shared" si="86"/>
        <v>0</v>
      </c>
      <c r="CH18" s="265">
        <f t="shared" si="51"/>
        <v>0</v>
      </c>
      <c r="CI18" s="265">
        <f t="shared" si="52"/>
        <v>0</v>
      </c>
      <c r="CJ18" s="265">
        <f t="shared" si="87"/>
        <v>0</v>
      </c>
      <c r="CK18" s="265">
        <f t="shared" si="88"/>
        <v>0</v>
      </c>
      <c r="CL18" s="265">
        <f t="shared" si="53"/>
        <v>0</v>
      </c>
      <c r="CM18" s="265">
        <f t="shared" si="54"/>
        <v>0</v>
      </c>
      <c r="CN18" s="265">
        <f t="shared" si="55"/>
        <v>0</v>
      </c>
      <c r="CO18" s="265">
        <f t="shared" si="56"/>
        <v>0</v>
      </c>
      <c r="CP18" s="265">
        <f t="shared" si="89"/>
        <v>0</v>
      </c>
      <c r="CQ18" s="265">
        <f t="shared" si="90"/>
        <v>0</v>
      </c>
      <c r="CR18" s="265">
        <f t="shared" si="91"/>
        <v>0</v>
      </c>
      <c r="CS18" s="265">
        <f t="shared" si="92"/>
        <v>0</v>
      </c>
      <c r="CT18" s="265">
        <f t="shared" si="57"/>
        <v>0</v>
      </c>
      <c r="CU18" s="265">
        <f t="shared" si="58"/>
        <v>0</v>
      </c>
      <c r="CV18" s="265">
        <f t="shared" si="59"/>
        <v>0</v>
      </c>
      <c r="CW18" s="265">
        <f t="shared" si="60"/>
        <v>0</v>
      </c>
      <c r="CX18" s="265">
        <f t="shared" si="93"/>
        <v>0</v>
      </c>
      <c r="CY18" s="265">
        <f t="shared" si="94"/>
        <v>0</v>
      </c>
      <c r="CZ18" s="265">
        <f t="shared" si="95"/>
        <v>0</v>
      </c>
      <c r="DA18" s="265">
        <f t="shared" si="96"/>
        <v>0</v>
      </c>
    </row>
    <row r="19" spans="1:105" s="262" customFormat="1" ht="15" customHeight="1">
      <c r="A19" s="63" t="str">
        <f t="array" ref="A19">IF(C19&lt;&gt;0,SUM(($C$11:C19&lt;&gt;0)*1),"")</f>
        <v/>
      </c>
      <c r="B19" s="263"/>
      <c r="C19" s="263"/>
      <c r="D19" s="263"/>
      <c r="E19" s="344"/>
      <c r="F19" s="314"/>
      <c r="G19" s="316"/>
      <c r="H19" s="316"/>
      <c r="I19" s="63" t="str">
        <f t="shared" si="0"/>
        <v/>
      </c>
      <c r="J19" s="265">
        <f t="shared" si="61"/>
        <v>0</v>
      </c>
      <c r="K19" s="265">
        <f t="shared" si="62"/>
        <v>0</v>
      </c>
      <c r="L19" s="265">
        <f t="shared" si="1"/>
        <v>0</v>
      </c>
      <c r="M19" s="265">
        <f t="shared" si="2"/>
        <v>0</v>
      </c>
      <c r="N19" s="265">
        <f t="shared" si="3"/>
        <v>0</v>
      </c>
      <c r="O19" s="265">
        <f t="shared" si="4"/>
        <v>0</v>
      </c>
      <c r="P19" s="265">
        <f t="shared" si="5"/>
        <v>0</v>
      </c>
      <c r="Q19" s="265">
        <f t="shared" si="6"/>
        <v>0</v>
      </c>
      <c r="R19" s="265">
        <f t="shared" si="7"/>
        <v>0</v>
      </c>
      <c r="S19" s="265">
        <f t="shared" si="8"/>
        <v>0</v>
      </c>
      <c r="T19" s="265">
        <f t="shared" si="9"/>
        <v>0</v>
      </c>
      <c r="U19" s="265">
        <f t="shared" si="10"/>
        <v>0</v>
      </c>
      <c r="V19" s="265">
        <f t="shared" si="11"/>
        <v>0</v>
      </c>
      <c r="W19" s="265">
        <f t="shared" si="12"/>
        <v>0</v>
      </c>
      <c r="X19" s="265">
        <f t="shared" si="13"/>
        <v>0</v>
      </c>
      <c r="Y19" s="265">
        <f t="shared" si="14"/>
        <v>0</v>
      </c>
      <c r="Z19" s="265">
        <f t="shared" si="15"/>
        <v>0</v>
      </c>
      <c r="AA19" s="265">
        <f t="shared" si="16"/>
        <v>0</v>
      </c>
      <c r="AB19" s="265">
        <f t="shared" si="63"/>
        <v>0</v>
      </c>
      <c r="AC19" s="265">
        <f t="shared" si="64"/>
        <v>0</v>
      </c>
      <c r="AD19" s="265">
        <f t="shared" si="17"/>
        <v>0</v>
      </c>
      <c r="AE19" s="265">
        <f t="shared" si="18"/>
        <v>0</v>
      </c>
      <c r="AF19" s="265">
        <f t="shared" si="19"/>
        <v>0</v>
      </c>
      <c r="AG19" s="265">
        <f t="shared" si="20"/>
        <v>0</v>
      </c>
      <c r="AH19" s="265">
        <f t="shared" si="65"/>
        <v>0</v>
      </c>
      <c r="AI19" s="265">
        <f t="shared" si="66"/>
        <v>0</v>
      </c>
      <c r="AJ19" s="265">
        <f t="shared" si="67"/>
        <v>0</v>
      </c>
      <c r="AK19" s="265">
        <f t="shared" si="68"/>
        <v>0</v>
      </c>
      <c r="AL19" s="265">
        <f t="shared" si="69"/>
        <v>0</v>
      </c>
      <c r="AM19" s="265">
        <f t="shared" si="70"/>
        <v>0</v>
      </c>
      <c r="AN19" s="265">
        <f t="shared" si="71"/>
        <v>0</v>
      </c>
      <c r="AO19" s="265">
        <f t="shared" si="72"/>
        <v>0</v>
      </c>
      <c r="AP19" s="265">
        <f t="shared" si="21"/>
        <v>0</v>
      </c>
      <c r="AQ19" s="265">
        <f t="shared" si="22"/>
        <v>0</v>
      </c>
      <c r="AR19" s="265">
        <f t="shared" si="23"/>
        <v>0</v>
      </c>
      <c r="AS19" s="265">
        <f t="shared" si="24"/>
        <v>0</v>
      </c>
      <c r="AT19" s="265">
        <f t="shared" si="73"/>
        <v>0</v>
      </c>
      <c r="AU19" s="265">
        <f t="shared" si="74"/>
        <v>0</v>
      </c>
      <c r="AV19" s="265">
        <f t="shared" si="25"/>
        <v>0</v>
      </c>
      <c r="AW19" s="265">
        <f t="shared" si="26"/>
        <v>0</v>
      </c>
      <c r="AX19" s="265">
        <f t="shared" si="27"/>
        <v>0</v>
      </c>
      <c r="AY19" s="265">
        <f t="shared" si="28"/>
        <v>0</v>
      </c>
      <c r="AZ19" s="265">
        <f t="shared" si="29"/>
        <v>0</v>
      </c>
      <c r="BA19" s="265">
        <f t="shared" si="30"/>
        <v>0</v>
      </c>
      <c r="BB19" s="265">
        <f t="shared" si="31"/>
        <v>0</v>
      </c>
      <c r="BC19" s="265">
        <f t="shared" si="32"/>
        <v>0</v>
      </c>
      <c r="BD19" s="265">
        <f t="shared" si="33"/>
        <v>0</v>
      </c>
      <c r="BE19" s="265">
        <f t="shared" si="34"/>
        <v>0</v>
      </c>
      <c r="BF19" s="265">
        <f t="shared" si="35"/>
        <v>0</v>
      </c>
      <c r="BG19" s="265">
        <f t="shared" si="36"/>
        <v>0</v>
      </c>
      <c r="BH19" s="265">
        <f t="shared" si="75"/>
        <v>0</v>
      </c>
      <c r="BI19" s="265">
        <f t="shared" si="76"/>
        <v>0</v>
      </c>
      <c r="BJ19" s="265">
        <f t="shared" si="37"/>
        <v>0</v>
      </c>
      <c r="BK19" s="265">
        <f t="shared" si="38"/>
        <v>0</v>
      </c>
      <c r="BL19" s="265">
        <f t="shared" si="39"/>
        <v>0</v>
      </c>
      <c r="BM19" s="265">
        <f t="shared" si="40"/>
        <v>0</v>
      </c>
      <c r="BN19" s="265">
        <f t="shared" si="41"/>
        <v>0</v>
      </c>
      <c r="BO19" s="265">
        <f t="shared" si="42"/>
        <v>0</v>
      </c>
      <c r="BP19" s="265">
        <f t="shared" si="77"/>
        <v>0</v>
      </c>
      <c r="BQ19" s="265">
        <f t="shared" si="78"/>
        <v>0</v>
      </c>
      <c r="BR19" s="265">
        <f t="shared" si="43"/>
        <v>0</v>
      </c>
      <c r="BS19" s="265">
        <f t="shared" si="44"/>
        <v>0</v>
      </c>
      <c r="BT19" s="265">
        <f t="shared" si="79"/>
        <v>0</v>
      </c>
      <c r="BU19" s="265">
        <f t="shared" si="80"/>
        <v>0</v>
      </c>
      <c r="BV19" s="265">
        <f t="shared" si="81"/>
        <v>0</v>
      </c>
      <c r="BW19" s="265">
        <f t="shared" si="82"/>
        <v>0</v>
      </c>
      <c r="BX19" s="265">
        <f t="shared" si="45"/>
        <v>0</v>
      </c>
      <c r="BY19" s="265">
        <f t="shared" si="46"/>
        <v>0</v>
      </c>
      <c r="BZ19" s="265">
        <f t="shared" si="47"/>
        <v>0</v>
      </c>
      <c r="CA19" s="265">
        <f t="shared" si="48"/>
        <v>0</v>
      </c>
      <c r="CB19" s="265">
        <f t="shared" si="49"/>
        <v>0</v>
      </c>
      <c r="CC19" s="265">
        <f t="shared" si="50"/>
        <v>0</v>
      </c>
      <c r="CD19" s="265">
        <f t="shared" si="83"/>
        <v>0</v>
      </c>
      <c r="CE19" s="265">
        <f t="shared" si="84"/>
        <v>0</v>
      </c>
      <c r="CF19" s="265">
        <f t="shared" si="85"/>
        <v>0</v>
      </c>
      <c r="CG19" s="265">
        <f t="shared" si="86"/>
        <v>0</v>
      </c>
      <c r="CH19" s="265">
        <f t="shared" si="51"/>
        <v>0</v>
      </c>
      <c r="CI19" s="265">
        <f t="shared" si="52"/>
        <v>0</v>
      </c>
      <c r="CJ19" s="265">
        <f t="shared" si="87"/>
        <v>0</v>
      </c>
      <c r="CK19" s="265">
        <f t="shared" si="88"/>
        <v>0</v>
      </c>
      <c r="CL19" s="265">
        <f t="shared" si="53"/>
        <v>0</v>
      </c>
      <c r="CM19" s="265">
        <f t="shared" si="54"/>
        <v>0</v>
      </c>
      <c r="CN19" s="265">
        <f t="shared" si="55"/>
        <v>0</v>
      </c>
      <c r="CO19" s="265">
        <f t="shared" si="56"/>
        <v>0</v>
      </c>
      <c r="CP19" s="265">
        <f t="shared" si="89"/>
        <v>0</v>
      </c>
      <c r="CQ19" s="265">
        <f t="shared" si="90"/>
        <v>0</v>
      </c>
      <c r="CR19" s="265">
        <f t="shared" si="91"/>
        <v>0</v>
      </c>
      <c r="CS19" s="265">
        <f t="shared" si="92"/>
        <v>0</v>
      </c>
      <c r="CT19" s="265">
        <f t="shared" si="57"/>
        <v>0</v>
      </c>
      <c r="CU19" s="265">
        <f t="shared" si="58"/>
        <v>0</v>
      </c>
      <c r="CV19" s="265">
        <f t="shared" si="59"/>
        <v>0</v>
      </c>
      <c r="CW19" s="265">
        <f t="shared" si="60"/>
        <v>0</v>
      </c>
      <c r="CX19" s="265">
        <f t="shared" si="93"/>
        <v>0</v>
      </c>
      <c r="CY19" s="265">
        <f t="shared" si="94"/>
        <v>0</v>
      </c>
      <c r="CZ19" s="265">
        <f t="shared" si="95"/>
        <v>0</v>
      </c>
      <c r="DA19" s="265">
        <f t="shared" si="96"/>
        <v>0</v>
      </c>
    </row>
    <row r="20" spans="1:105" s="262" customFormat="1" ht="15" customHeight="1">
      <c r="A20" s="63" t="str">
        <f t="array" ref="A20">IF(C20&lt;&gt;0,SUM(($C$11:C20&lt;&gt;0)*1),"")</f>
        <v/>
      </c>
      <c r="B20" s="263"/>
      <c r="C20" s="263"/>
      <c r="D20" s="263"/>
      <c r="E20" s="344"/>
      <c r="F20" s="314"/>
      <c r="G20" s="316"/>
      <c r="H20" s="316"/>
      <c r="I20" s="63" t="str">
        <f t="shared" si="0"/>
        <v/>
      </c>
      <c r="J20" s="265">
        <f t="shared" si="61"/>
        <v>0</v>
      </c>
      <c r="K20" s="265">
        <f t="shared" si="62"/>
        <v>0</v>
      </c>
      <c r="L20" s="265">
        <f t="shared" si="1"/>
        <v>0</v>
      </c>
      <c r="M20" s="265">
        <f t="shared" si="2"/>
        <v>0</v>
      </c>
      <c r="N20" s="265">
        <f t="shared" si="3"/>
        <v>0</v>
      </c>
      <c r="O20" s="265">
        <f t="shared" si="4"/>
        <v>0</v>
      </c>
      <c r="P20" s="265">
        <f t="shared" si="5"/>
        <v>0</v>
      </c>
      <c r="Q20" s="265">
        <f t="shared" si="6"/>
        <v>0</v>
      </c>
      <c r="R20" s="265">
        <f t="shared" si="7"/>
        <v>0</v>
      </c>
      <c r="S20" s="265">
        <f t="shared" si="8"/>
        <v>0</v>
      </c>
      <c r="T20" s="265">
        <f t="shared" si="9"/>
        <v>0</v>
      </c>
      <c r="U20" s="265">
        <f t="shared" si="10"/>
        <v>0</v>
      </c>
      <c r="V20" s="265">
        <f t="shared" si="11"/>
        <v>0</v>
      </c>
      <c r="W20" s="265">
        <f t="shared" si="12"/>
        <v>0</v>
      </c>
      <c r="X20" s="265">
        <f t="shared" si="13"/>
        <v>0</v>
      </c>
      <c r="Y20" s="265">
        <f t="shared" si="14"/>
        <v>0</v>
      </c>
      <c r="Z20" s="265">
        <f t="shared" si="15"/>
        <v>0</v>
      </c>
      <c r="AA20" s="265">
        <f t="shared" si="16"/>
        <v>0</v>
      </c>
      <c r="AB20" s="265">
        <f t="shared" si="63"/>
        <v>0</v>
      </c>
      <c r="AC20" s="265">
        <f t="shared" si="64"/>
        <v>0</v>
      </c>
      <c r="AD20" s="265">
        <f t="shared" si="17"/>
        <v>0</v>
      </c>
      <c r="AE20" s="265">
        <f t="shared" si="18"/>
        <v>0</v>
      </c>
      <c r="AF20" s="265">
        <f t="shared" si="19"/>
        <v>0</v>
      </c>
      <c r="AG20" s="265">
        <f t="shared" si="20"/>
        <v>0</v>
      </c>
      <c r="AH20" s="265">
        <f t="shared" si="65"/>
        <v>0</v>
      </c>
      <c r="AI20" s="265">
        <f t="shared" si="66"/>
        <v>0</v>
      </c>
      <c r="AJ20" s="265">
        <f t="shared" si="67"/>
        <v>0</v>
      </c>
      <c r="AK20" s="265">
        <f t="shared" si="68"/>
        <v>0</v>
      </c>
      <c r="AL20" s="265">
        <f t="shared" si="69"/>
        <v>0</v>
      </c>
      <c r="AM20" s="265">
        <f t="shared" si="70"/>
        <v>0</v>
      </c>
      <c r="AN20" s="265">
        <f t="shared" si="71"/>
        <v>0</v>
      </c>
      <c r="AO20" s="265">
        <f t="shared" si="72"/>
        <v>0</v>
      </c>
      <c r="AP20" s="265">
        <f t="shared" si="21"/>
        <v>0</v>
      </c>
      <c r="AQ20" s="265">
        <f t="shared" si="22"/>
        <v>0</v>
      </c>
      <c r="AR20" s="265">
        <f t="shared" si="23"/>
        <v>0</v>
      </c>
      <c r="AS20" s="265">
        <f t="shared" si="24"/>
        <v>0</v>
      </c>
      <c r="AT20" s="265">
        <f t="shared" si="73"/>
        <v>0</v>
      </c>
      <c r="AU20" s="265">
        <f t="shared" si="74"/>
        <v>0</v>
      </c>
      <c r="AV20" s="265">
        <f t="shared" si="25"/>
        <v>0</v>
      </c>
      <c r="AW20" s="265">
        <f t="shared" si="26"/>
        <v>0</v>
      </c>
      <c r="AX20" s="265">
        <f t="shared" si="27"/>
        <v>0</v>
      </c>
      <c r="AY20" s="265">
        <f t="shared" si="28"/>
        <v>0</v>
      </c>
      <c r="AZ20" s="265">
        <f t="shared" si="29"/>
        <v>0</v>
      </c>
      <c r="BA20" s="265">
        <f t="shared" si="30"/>
        <v>0</v>
      </c>
      <c r="BB20" s="265">
        <f t="shared" si="31"/>
        <v>0</v>
      </c>
      <c r="BC20" s="265">
        <f t="shared" si="32"/>
        <v>0</v>
      </c>
      <c r="BD20" s="265">
        <f t="shared" si="33"/>
        <v>0</v>
      </c>
      <c r="BE20" s="265">
        <f t="shared" si="34"/>
        <v>0</v>
      </c>
      <c r="BF20" s="265">
        <f t="shared" si="35"/>
        <v>0</v>
      </c>
      <c r="BG20" s="265">
        <f t="shared" si="36"/>
        <v>0</v>
      </c>
      <c r="BH20" s="265">
        <f t="shared" si="75"/>
        <v>0</v>
      </c>
      <c r="BI20" s="265">
        <f t="shared" si="76"/>
        <v>0</v>
      </c>
      <c r="BJ20" s="265">
        <f t="shared" si="37"/>
        <v>0</v>
      </c>
      <c r="BK20" s="265">
        <f t="shared" si="38"/>
        <v>0</v>
      </c>
      <c r="BL20" s="265">
        <f t="shared" si="39"/>
        <v>0</v>
      </c>
      <c r="BM20" s="265">
        <f t="shared" si="40"/>
        <v>0</v>
      </c>
      <c r="BN20" s="265">
        <f t="shared" si="41"/>
        <v>0</v>
      </c>
      <c r="BO20" s="265">
        <f t="shared" si="42"/>
        <v>0</v>
      </c>
      <c r="BP20" s="265">
        <f t="shared" si="77"/>
        <v>0</v>
      </c>
      <c r="BQ20" s="265">
        <f t="shared" si="78"/>
        <v>0</v>
      </c>
      <c r="BR20" s="265">
        <f t="shared" si="43"/>
        <v>0</v>
      </c>
      <c r="BS20" s="265">
        <f t="shared" si="44"/>
        <v>0</v>
      </c>
      <c r="BT20" s="265">
        <f t="shared" si="79"/>
        <v>0</v>
      </c>
      <c r="BU20" s="265">
        <f t="shared" si="80"/>
        <v>0</v>
      </c>
      <c r="BV20" s="265">
        <f t="shared" si="81"/>
        <v>0</v>
      </c>
      <c r="BW20" s="265">
        <f t="shared" si="82"/>
        <v>0</v>
      </c>
      <c r="BX20" s="265">
        <f t="shared" si="45"/>
        <v>0</v>
      </c>
      <c r="BY20" s="265">
        <f t="shared" si="46"/>
        <v>0</v>
      </c>
      <c r="BZ20" s="265">
        <f t="shared" si="47"/>
        <v>0</v>
      </c>
      <c r="CA20" s="265">
        <f t="shared" si="48"/>
        <v>0</v>
      </c>
      <c r="CB20" s="265">
        <f t="shared" si="49"/>
        <v>0</v>
      </c>
      <c r="CC20" s="265">
        <f t="shared" si="50"/>
        <v>0</v>
      </c>
      <c r="CD20" s="265">
        <f t="shared" si="83"/>
        <v>0</v>
      </c>
      <c r="CE20" s="265">
        <f t="shared" si="84"/>
        <v>0</v>
      </c>
      <c r="CF20" s="265">
        <f t="shared" si="85"/>
        <v>0</v>
      </c>
      <c r="CG20" s="265">
        <f t="shared" si="86"/>
        <v>0</v>
      </c>
      <c r="CH20" s="265">
        <f t="shared" si="51"/>
        <v>0</v>
      </c>
      <c r="CI20" s="265">
        <f t="shared" si="52"/>
        <v>0</v>
      </c>
      <c r="CJ20" s="265">
        <f t="shared" si="87"/>
        <v>0</v>
      </c>
      <c r="CK20" s="265">
        <f t="shared" si="88"/>
        <v>0</v>
      </c>
      <c r="CL20" s="265">
        <f t="shared" si="53"/>
        <v>0</v>
      </c>
      <c r="CM20" s="265">
        <f t="shared" si="54"/>
        <v>0</v>
      </c>
      <c r="CN20" s="265">
        <f t="shared" si="55"/>
        <v>0</v>
      </c>
      <c r="CO20" s="265">
        <f t="shared" si="56"/>
        <v>0</v>
      </c>
      <c r="CP20" s="265">
        <f t="shared" si="89"/>
        <v>0</v>
      </c>
      <c r="CQ20" s="265">
        <f t="shared" si="90"/>
        <v>0</v>
      </c>
      <c r="CR20" s="265">
        <f t="shared" si="91"/>
        <v>0</v>
      </c>
      <c r="CS20" s="265">
        <f t="shared" si="92"/>
        <v>0</v>
      </c>
      <c r="CT20" s="265">
        <f t="shared" si="57"/>
        <v>0</v>
      </c>
      <c r="CU20" s="265">
        <f t="shared" si="58"/>
        <v>0</v>
      </c>
      <c r="CV20" s="265">
        <f t="shared" si="59"/>
        <v>0</v>
      </c>
      <c r="CW20" s="265">
        <f t="shared" si="60"/>
        <v>0</v>
      </c>
      <c r="CX20" s="265">
        <f t="shared" si="93"/>
        <v>0</v>
      </c>
      <c r="CY20" s="265">
        <f t="shared" si="94"/>
        <v>0</v>
      </c>
      <c r="CZ20" s="265">
        <f t="shared" si="95"/>
        <v>0</v>
      </c>
      <c r="DA20" s="265">
        <f t="shared" si="96"/>
        <v>0</v>
      </c>
    </row>
    <row r="21" spans="1:105" s="262" customFormat="1" ht="15" customHeight="1">
      <c r="A21" s="63" t="str">
        <f t="array" ref="A21">IF(C21&lt;&gt;0,SUM(($C$11:C21&lt;&gt;0)*1),"")</f>
        <v/>
      </c>
      <c r="B21" s="263"/>
      <c r="C21" s="263"/>
      <c r="D21" s="263"/>
      <c r="E21" s="344"/>
      <c r="F21" s="314"/>
      <c r="G21" s="316"/>
      <c r="H21" s="316"/>
      <c r="I21" s="63" t="str">
        <f t="shared" si="0"/>
        <v/>
      </c>
      <c r="J21" s="265">
        <f t="shared" si="61"/>
        <v>0</v>
      </c>
      <c r="K21" s="265">
        <f t="shared" si="62"/>
        <v>0</v>
      </c>
      <c r="L21" s="265">
        <f t="shared" si="1"/>
        <v>0</v>
      </c>
      <c r="M21" s="265">
        <f t="shared" si="2"/>
        <v>0</v>
      </c>
      <c r="N21" s="265">
        <f t="shared" si="3"/>
        <v>0</v>
      </c>
      <c r="O21" s="265">
        <f t="shared" si="4"/>
        <v>0</v>
      </c>
      <c r="P21" s="265">
        <f t="shared" si="5"/>
        <v>0</v>
      </c>
      <c r="Q21" s="265">
        <f t="shared" si="6"/>
        <v>0</v>
      </c>
      <c r="R21" s="265">
        <f t="shared" si="7"/>
        <v>0</v>
      </c>
      <c r="S21" s="265">
        <f t="shared" si="8"/>
        <v>0</v>
      </c>
      <c r="T21" s="265">
        <f t="shared" si="9"/>
        <v>0</v>
      </c>
      <c r="U21" s="265">
        <f t="shared" si="10"/>
        <v>0</v>
      </c>
      <c r="V21" s="265">
        <f t="shared" si="11"/>
        <v>0</v>
      </c>
      <c r="W21" s="265">
        <f t="shared" si="12"/>
        <v>0</v>
      </c>
      <c r="X21" s="265">
        <f t="shared" si="13"/>
        <v>0</v>
      </c>
      <c r="Y21" s="265">
        <f t="shared" si="14"/>
        <v>0</v>
      </c>
      <c r="Z21" s="265">
        <f t="shared" si="15"/>
        <v>0</v>
      </c>
      <c r="AA21" s="265">
        <f t="shared" si="16"/>
        <v>0</v>
      </c>
      <c r="AB21" s="265">
        <f t="shared" si="63"/>
        <v>0</v>
      </c>
      <c r="AC21" s="265">
        <f t="shared" si="64"/>
        <v>0</v>
      </c>
      <c r="AD21" s="265">
        <f t="shared" si="17"/>
        <v>0</v>
      </c>
      <c r="AE21" s="265">
        <f t="shared" si="18"/>
        <v>0</v>
      </c>
      <c r="AF21" s="265">
        <f t="shared" si="19"/>
        <v>0</v>
      </c>
      <c r="AG21" s="265">
        <f t="shared" si="20"/>
        <v>0</v>
      </c>
      <c r="AH21" s="265">
        <f t="shared" si="65"/>
        <v>0</v>
      </c>
      <c r="AI21" s="265">
        <f t="shared" si="66"/>
        <v>0</v>
      </c>
      <c r="AJ21" s="265">
        <f t="shared" si="67"/>
        <v>0</v>
      </c>
      <c r="AK21" s="265">
        <f t="shared" si="68"/>
        <v>0</v>
      </c>
      <c r="AL21" s="265">
        <f t="shared" si="69"/>
        <v>0</v>
      </c>
      <c r="AM21" s="265">
        <f t="shared" si="70"/>
        <v>0</v>
      </c>
      <c r="AN21" s="265">
        <f t="shared" si="71"/>
        <v>0</v>
      </c>
      <c r="AO21" s="265">
        <f t="shared" si="72"/>
        <v>0</v>
      </c>
      <c r="AP21" s="265">
        <f t="shared" si="21"/>
        <v>0</v>
      </c>
      <c r="AQ21" s="265">
        <f t="shared" si="22"/>
        <v>0</v>
      </c>
      <c r="AR21" s="265">
        <f t="shared" si="23"/>
        <v>0</v>
      </c>
      <c r="AS21" s="265">
        <f t="shared" si="24"/>
        <v>0</v>
      </c>
      <c r="AT21" s="265">
        <f t="shared" si="73"/>
        <v>0</v>
      </c>
      <c r="AU21" s="265">
        <f t="shared" si="74"/>
        <v>0</v>
      </c>
      <c r="AV21" s="265">
        <f t="shared" si="25"/>
        <v>0</v>
      </c>
      <c r="AW21" s="265">
        <f t="shared" si="26"/>
        <v>0</v>
      </c>
      <c r="AX21" s="265">
        <f t="shared" si="27"/>
        <v>0</v>
      </c>
      <c r="AY21" s="265">
        <f t="shared" si="28"/>
        <v>0</v>
      </c>
      <c r="AZ21" s="265">
        <f t="shared" si="29"/>
        <v>0</v>
      </c>
      <c r="BA21" s="265">
        <f t="shared" si="30"/>
        <v>0</v>
      </c>
      <c r="BB21" s="265">
        <f t="shared" si="31"/>
        <v>0</v>
      </c>
      <c r="BC21" s="265">
        <f t="shared" si="32"/>
        <v>0</v>
      </c>
      <c r="BD21" s="265">
        <f t="shared" si="33"/>
        <v>0</v>
      </c>
      <c r="BE21" s="265">
        <f t="shared" si="34"/>
        <v>0</v>
      </c>
      <c r="BF21" s="265">
        <f t="shared" si="35"/>
        <v>0</v>
      </c>
      <c r="BG21" s="265">
        <f t="shared" si="36"/>
        <v>0</v>
      </c>
      <c r="BH21" s="265">
        <f t="shared" si="75"/>
        <v>0</v>
      </c>
      <c r="BI21" s="265">
        <f t="shared" si="76"/>
        <v>0</v>
      </c>
      <c r="BJ21" s="265">
        <f t="shared" si="37"/>
        <v>0</v>
      </c>
      <c r="BK21" s="265">
        <f t="shared" si="38"/>
        <v>0</v>
      </c>
      <c r="BL21" s="265">
        <f t="shared" si="39"/>
        <v>0</v>
      </c>
      <c r="BM21" s="265">
        <f t="shared" si="40"/>
        <v>0</v>
      </c>
      <c r="BN21" s="265">
        <f t="shared" si="41"/>
        <v>0</v>
      </c>
      <c r="BO21" s="265">
        <f t="shared" si="42"/>
        <v>0</v>
      </c>
      <c r="BP21" s="265">
        <f t="shared" si="77"/>
        <v>0</v>
      </c>
      <c r="BQ21" s="265">
        <f t="shared" si="78"/>
        <v>0</v>
      </c>
      <c r="BR21" s="265">
        <f t="shared" si="43"/>
        <v>0</v>
      </c>
      <c r="BS21" s="265">
        <f t="shared" si="44"/>
        <v>0</v>
      </c>
      <c r="BT21" s="265">
        <f t="shared" si="79"/>
        <v>0</v>
      </c>
      <c r="BU21" s="265">
        <f t="shared" si="80"/>
        <v>0</v>
      </c>
      <c r="BV21" s="265">
        <f t="shared" si="81"/>
        <v>0</v>
      </c>
      <c r="BW21" s="265">
        <f t="shared" si="82"/>
        <v>0</v>
      </c>
      <c r="BX21" s="265">
        <f t="shared" si="45"/>
        <v>0</v>
      </c>
      <c r="BY21" s="265">
        <f t="shared" si="46"/>
        <v>0</v>
      </c>
      <c r="BZ21" s="265">
        <f t="shared" si="47"/>
        <v>0</v>
      </c>
      <c r="CA21" s="265">
        <f t="shared" si="48"/>
        <v>0</v>
      </c>
      <c r="CB21" s="265">
        <f t="shared" si="49"/>
        <v>0</v>
      </c>
      <c r="CC21" s="265">
        <f t="shared" si="50"/>
        <v>0</v>
      </c>
      <c r="CD21" s="265">
        <f t="shared" si="83"/>
        <v>0</v>
      </c>
      <c r="CE21" s="265">
        <f t="shared" si="84"/>
        <v>0</v>
      </c>
      <c r="CF21" s="265">
        <f t="shared" si="85"/>
        <v>0</v>
      </c>
      <c r="CG21" s="265">
        <f t="shared" si="86"/>
        <v>0</v>
      </c>
      <c r="CH21" s="265">
        <f t="shared" si="51"/>
        <v>0</v>
      </c>
      <c r="CI21" s="265">
        <f t="shared" si="52"/>
        <v>0</v>
      </c>
      <c r="CJ21" s="265">
        <f t="shared" si="87"/>
        <v>0</v>
      </c>
      <c r="CK21" s="265">
        <f t="shared" si="88"/>
        <v>0</v>
      </c>
      <c r="CL21" s="265">
        <f t="shared" si="53"/>
        <v>0</v>
      </c>
      <c r="CM21" s="265">
        <f t="shared" si="54"/>
        <v>0</v>
      </c>
      <c r="CN21" s="265">
        <f t="shared" si="55"/>
        <v>0</v>
      </c>
      <c r="CO21" s="265">
        <f t="shared" si="56"/>
        <v>0</v>
      </c>
      <c r="CP21" s="265">
        <f t="shared" si="89"/>
        <v>0</v>
      </c>
      <c r="CQ21" s="265">
        <f t="shared" si="90"/>
        <v>0</v>
      </c>
      <c r="CR21" s="265">
        <f t="shared" si="91"/>
        <v>0</v>
      </c>
      <c r="CS21" s="265">
        <f t="shared" si="92"/>
        <v>0</v>
      </c>
      <c r="CT21" s="265">
        <f t="shared" si="57"/>
        <v>0</v>
      </c>
      <c r="CU21" s="265">
        <f t="shared" si="58"/>
        <v>0</v>
      </c>
      <c r="CV21" s="265">
        <f t="shared" si="59"/>
        <v>0</v>
      </c>
      <c r="CW21" s="265">
        <f t="shared" si="60"/>
        <v>0</v>
      </c>
      <c r="CX21" s="265">
        <f t="shared" si="93"/>
        <v>0</v>
      </c>
      <c r="CY21" s="265">
        <f t="shared" si="94"/>
        <v>0</v>
      </c>
      <c r="CZ21" s="265">
        <f t="shared" si="95"/>
        <v>0</v>
      </c>
      <c r="DA21" s="265">
        <f t="shared" si="96"/>
        <v>0</v>
      </c>
    </row>
    <row r="22" spans="1:105" s="262" customFormat="1" ht="15" customHeight="1">
      <c r="A22" s="63" t="str">
        <f t="array" ref="A22">IF(C22&lt;&gt;0,SUM(($C$11:C22&lt;&gt;0)*1),"")</f>
        <v/>
      </c>
      <c r="B22" s="263"/>
      <c r="C22" s="263"/>
      <c r="D22" s="263"/>
      <c r="E22" s="344"/>
      <c r="F22" s="314"/>
      <c r="G22" s="316"/>
      <c r="H22" s="316"/>
      <c r="I22" s="63" t="str">
        <f t="shared" ref="I22:I50" si="97">A22</f>
        <v/>
      </c>
      <c r="J22" s="265">
        <f t="shared" si="61"/>
        <v>0</v>
      </c>
      <c r="K22" s="265">
        <f t="shared" si="62"/>
        <v>0</v>
      </c>
      <c r="L22" s="265">
        <f t="shared" si="1"/>
        <v>0</v>
      </c>
      <c r="M22" s="265">
        <f t="shared" si="2"/>
        <v>0</v>
      </c>
      <c r="N22" s="265">
        <f t="shared" si="3"/>
        <v>0</v>
      </c>
      <c r="O22" s="265">
        <f t="shared" si="4"/>
        <v>0</v>
      </c>
      <c r="P22" s="265">
        <f t="shared" si="5"/>
        <v>0</v>
      </c>
      <c r="Q22" s="265">
        <f t="shared" si="6"/>
        <v>0</v>
      </c>
      <c r="R22" s="265">
        <f t="shared" si="7"/>
        <v>0</v>
      </c>
      <c r="S22" s="265">
        <f t="shared" si="8"/>
        <v>0</v>
      </c>
      <c r="T22" s="265">
        <f t="shared" si="9"/>
        <v>0</v>
      </c>
      <c r="U22" s="265">
        <f t="shared" si="10"/>
        <v>0</v>
      </c>
      <c r="V22" s="265">
        <f t="shared" si="11"/>
        <v>0</v>
      </c>
      <c r="W22" s="265">
        <f t="shared" si="12"/>
        <v>0</v>
      </c>
      <c r="X22" s="265">
        <f t="shared" si="13"/>
        <v>0</v>
      </c>
      <c r="Y22" s="265">
        <f t="shared" si="14"/>
        <v>0</v>
      </c>
      <c r="Z22" s="265">
        <f t="shared" si="15"/>
        <v>0</v>
      </c>
      <c r="AA22" s="265">
        <f t="shared" si="16"/>
        <v>0</v>
      </c>
      <c r="AB22" s="265">
        <f t="shared" si="63"/>
        <v>0</v>
      </c>
      <c r="AC22" s="265">
        <f t="shared" si="64"/>
        <v>0</v>
      </c>
      <c r="AD22" s="265">
        <f t="shared" si="17"/>
        <v>0</v>
      </c>
      <c r="AE22" s="265">
        <f t="shared" si="18"/>
        <v>0</v>
      </c>
      <c r="AF22" s="265">
        <f t="shared" si="19"/>
        <v>0</v>
      </c>
      <c r="AG22" s="265">
        <f t="shared" si="20"/>
        <v>0</v>
      </c>
      <c r="AH22" s="265">
        <f t="shared" si="65"/>
        <v>0</v>
      </c>
      <c r="AI22" s="265">
        <f t="shared" si="66"/>
        <v>0</v>
      </c>
      <c r="AJ22" s="265">
        <f t="shared" si="67"/>
        <v>0</v>
      </c>
      <c r="AK22" s="265">
        <f t="shared" si="68"/>
        <v>0</v>
      </c>
      <c r="AL22" s="265">
        <f t="shared" si="69"/>
        <v>0</v>
      </c>
      <c r="AM22" s="265">
        <f t="shared" si="70"/>
        <v>0</v>
      </c>
      <c r="AN22" s="265">
        <f t="shared" si="71"/>
        <v>0</v>
      </c>
      <c r="AO22" s="265">
        <f t="shared" si="72"/>
        <v>0</v>
      </c>
      <c r="AP22" s="265">
        <f t="shared" si="21"/>
        <v>0</v>
      </c>
      <c r="AQ22" s="265">
        <f t="shared" si="22"/>
        <v>0</v>
      </c>
      <c r="AR22" s="265">
        <f t="shared" si="23"/>
        <v>0</v>
      </c>
      <c r="AS22" s="265">
        <f t="shared" si="24"/>
        <v>0</v>
      </c>
      <c r="AT22" s="265">
        <f t="shared" si="73"/>
        <v>0</v>
      </c>
      <c r="AU22" s="265">
        <f t="shared" si="74"/>
        <v>0</v>
      </c>
      <c r="AV22" s="265">
        <f t="shared" si="25"/>
        <v>0</v>
      </c>
      <c r="AW22" s="265">
        <f t="shared" si="26"/>
        <v>0</v>
      </c>
      <c r="AX22" s="265">
        <f t="shared" si="27"/>
        <v>0</v>
      </c>
      <c r="AY22" s="265">
        <f t="shared" si="28"/>
        <v>0</v>
      </c>
      <c r="AZ22" s="265">
        <f t="shared" si="29"/>
        <v>0</v>
      </c>
      <c r="BA22" s="265">
        <f t="shared" si="30"/>
        <v>0</v>
      </c>
      <c r="BB22" s="265">
        <f t="shared" si="31"/>
        <v>0</v>
      </c>
      <c r="BC22" s="265">
        <f t="shared" si="32"/>
        <v>0</v>
      </c>
      <c r="BD22" s="265">
        <f t="shared" si="33"/>
        <v>0</v>
      </c>
      <c r="BE22" s="265">
        <f t="shared" si="34"/>
        <v>0</v>
      </c>
      <c r="BF22" s="265">
        <f t="shared" si="35"/>
        <v>0</v>
      </c>
      <c r="BG22" s="265">
        <f t="shared" si="36"/>
        <v>0</v>
      </c>
      <c r="BH22" s="265">
        <f t="shared" si="75"/>
        <v>0</v>
      </c>
      <c r="BI22" s="265">
        <f t="shared" si="76"/>
        <v>0</v>
      </c>
      <c r="BJ22" s="265">
        <f t="shared" si="37"/>
        <v>0</v>
      </c>
      <c r="BK22" s="265">
        <f t="shared" si="38"/>
        <v>0</v>
      </c>
      <c r="BL22" s="265">
        <f t="shared" si="39"/>
        <v>0</v>
      </c>
      <c r="BM22" s="265">
        <f t="shared" si="40"/>
        <v>0</v>
      </c>
      <c r="BN22" s="265">
        <f t="shared" si="41"/>
        <v>0</v>
      </c>
      <c r="BO22" s="265">
        <f t="shared" si="42"/>
        <v>0</v>
      </c>
      <c r="BP22" s="265">
        <f t="shared" si="77"/>
        <v>0</v>
      </c>
      <c r="BQ22" s="265">
        <f t="shared" si="78"/>
        <v>0</v>
      </c>
      <c r="BR22" s="265">
        <f t="shared" si="43"/>
        <v>0</v>
      </c>
      <c r="BS22" s="265">
        <f t="shared" si="44"/>
        <v>0</v>
      </c>
      <c r="BT22" s="265">
        <f t="shared" si="79"/>
        <v>0</v>
      </c>
      <c r="BU22" s="265">
        <f t="shared" si="80"/>
        <v>0</v>
      </c>
      <c r="BV22" s="265">
        <f t="shared" si="81"/>
        <v>0</v>
      </c>
      <c r="BW22" s="265">
        <f t="shared" si="82"/>
        <v>0</v>
      </c>
      <c r="BX22" s="265">
        <f t="shared" si="45"/>
        <v>0</v>
      </c>
      <c r="BY22" s="265">
        <f t="shared" si="46"/>
        <v>0</v>
      </c>
      <c r="BZ22" s="265">
        <f t="shared" si="47"/>
        <v>0</v>
      </c>
      <c r="CA22" s="265">
        <f t="shared" si="48"/>
        <v>0</v>
      </c>
      <c r="CB22" s="265">
        <f t="shared" si="49"/>
        <v>0</v>
      </c>
      <c r="CC22" s="265">
        <f t="shared" si="50"/>
        <v>0</v>
      </c>
      <c r="CD22" s="265">
        <f t="shared" si="83"/>
        <v>0</v>
      </c>
      <c r="CE22" s="265">
        <f t="shared" si="84"/>
        <v>0</v>
      </c>
      <c r="CF22" s="265">
        <f t="shared" si="85"/>
        <v>0</v>
      </c>
      <c r="CG22" s="265">
        <f t="shared" si="86"/>
        <v>0</v>
      </c>
      <c r="CH22" s="265">
        <f t="shared" si="51"/>
        <v>0</v>
      </c>
      <c r="CI22" s="265">
        <f t="shared" si="52"/>
        <v>0</v>
      </c>
      <c r="CJ22" s="265">
        <f t="shared" si="87"/>
        <v>0</v>
      </c>
      <c r="CK22" s="265">
        <f t="shared" si="88"/>
        <v>0</v>
      </c>
      <c r="CL22" s="265">
        <f t="shared" si="53"/>
        <v>0</v>
      </c>
      <c r="CM22" s="265">
        <f t="shared" si="54"/>
        <v>0</v>
      </c>
      <c r="CN22" s="265">
        <f t="shared" si="55"/>
        <v>0</v>
      </c>
      <c r="CO22" s="265">
        <f t="shared" si="56"/>
        <v>0</v>
      </c>
      <c r="CP22" s="265">
        <f t="shared" si="89"/>
        <v>0</v>
      </c>
      <c r="CQ22" s="265">
        <f t="shared" si="90"/>
        <v>0</v>
      </c>
      <c r="CR22" s="265">
        <f t="shared" si="91"/>
        <v>0</v>
      </c>
      <c r="CS22" s="265">
        <f t="shared" si="92"/>
        <v>0</v>
      </c>
      <c r="CT22" s="265">
        <f t="shared" si="57"/>
        <v>0</v>
      </c>
      <c r="CU22" s="265">
        <f t="shared" si="58"/>
        <v>0</v>
      </c>
      <c r="CV22" s="265">
        <f t="shared" si="59"/>
        <v>0</v>
      </c>
      <c r="CW22" s="265">
        <f t="shared" si="60"/>
        <v>0</v>
      </c>
      <c r="CX22" s="265">
        <f t="shared" si="93"/>
        <v>0</v>
      </c>
      <c r="CY22" s="265">
        <f t="shared" si="94"/>
        <v>0</v>
      </c>
      <c r="CZ22" s="265">
        <f t="shared" si="95"/>
        <v>0</v>
      </c>
      <c r="DA22" s="265">
        <f t="shared" si="96"/>
        <v>0</v>
      </c>
    </row>
    <row r="23" spans="1:105" s="262" customFormat="1" ht="15" customHeight="1">
      <c r="A23" s="63" t="str">
        <f t="array" ref="A23">IF(C23&lt;&gt;0,SUM(($C$11:C23&lt;&gt;0)*1),"")</f>
        <v/>
      </c>
      <c r="B23" s="263"/>
      <c r="C23" s="263"/>
      <c r="D23" s="263"/>
      <c r="E23" s="344"/>
      <c r="F23" s="314"/>
      <c r="G23" s="316"/>
      <c r="H23" s="316"/>
      <c r="I23" s="63" t="str">
        <f t="shared" si="97"/>
        <v/>
      </c>
      <c r="J23" s="265">
        <f t="shared" si="61"/>
        <v>0</v>
      </c>
      <c r="K23" s="265">
        <f t="shared" si="62"/>
        <v>0</v>
      </c>
      <c r="L23" s="265">
        <f t="shared" si="1"/>
        <v>0</v>
      </c>
      <c r="M23" s="265">
        <f t="shared" si="2"/>
        <v>0</v>
      </c>
      <c r="N23" s="265">
        <f t="shared" si="3"/>
        <v>0</v>
      </c>
      <c r="O23" s="265">
        <f t="shared" si="4"/>
        <v>0</v>
      </c>
      <c r="P23" s="265">
        <f t="shared" si="5"/>
        <v>0</v>
      </c>
      <c r="Q23" s="265">
        <f t="shared" si="6"/>
        <v>0</v>
      </c>
      <c r="R23" s="265">
        <f t="shared" si="7"/>
        <v>0</v>
      </c>
      <c r="S23" s="265">
        <f t="shared" si="8"/>
        <v>0</v>
      </c>
      <c r="T23" s="265">
        <f t="shared" si="9"/>
        <v>0</v>
      </c>
      <c r="U23" s="265">
        <f t="shared" si="10"/>
        <v>0</v>
      </c>
      <c r="V23" s="265">
        <f t="shared" si="11"/>
        <v>0</v>
      </c>
      <c r="W23" s="265">
        <f t="shared" si="12"/>
        <v>0</v>
      </c>
      <c r="X23" s="265">
        <f t="shared" si="13"/>
        <v>0</v>
      </c>
      <c r="Y23" s="265">
        <f t="shared" si="14"/>
        <v>0</v>
      </c>
      <c r="Z23" s="265">
        <f t="shared" si="15"/>
        <v>0</v>
      </c>
      <c r="AA23" s="265">
        <f t="shared" si="16"/>
        <v>0</v>
      </c>
      <c r="AB23" s="265">
        <f t="shared" si="63"/>
        <v>0</v>
      </c>
      <c r="AC23" s="265">
        <f t="shared" si="64"/>
        <v>0</v>
      </c>
      <c r="AD23" s="265">
        <f t="shared" si="17"/>
        <v>0</v>
      </c>
      <c r="AE23" s="265">
        <f t="shared" si="18"/>
        <v>0</v>
      </c>
      <c r="AF23" s="265">
        <f t="shared" si="19"/>
        <v>0</v>
      </c>
      <c r="AG23" s="265">
        <f t="shared" si="20"/>
        <v>0</v>
      </c>
      <c r="AH23" s="265">
        <f t="shared" si="65"/>
        <v>0</v>
      </c>
      <c r="AI23" s="265">
        <f t="shared" si="66"/>
        <v>0</v>
      </c>
      <c r="AJ23" s="265">
        <f t="shared" si="67"/>
        <v>0</v>
      </c>
      <c r="AK23" s="265">
        <f t="shared" si="68"/>
        <v>0</v>
      </c>
      <c r="AL23" s="265">
        <f t="shared" si="69"/>
        <v>0</v>
      </c>
      <c r="AM23" s="265">
        <f t="shared" si="70"/>
        <v>0</v>
      </c>
      <c r="AN23" s="265">
        <f t="shared" si="71"/>
        <v>0</v>
      </c>
      <c r="AO23" s="265">
        <f t="shared" si="72"/>
        <v>0</v>
      </c>
      <c r="AP23" s="265">
        <f t="shared" si="21"/>
        <v>0</v>
      </c>
      <c r="AQ23" s="265">
        <f t="shared" si="22"/>
        <v>0</v>
      </c>
      <c r="AR23" s="265">
        <f t="shared" si="23"/>
        <v>0</v>
      </c>
      <c r="AS23" s="265">
        <f t="shared" si="24"/>
        <v>0</v>
      </c>
      <c r="AT23" s="265">
        <f t="shared" si="73"/>
        <v>0</v>
      </c>
      <c r="AU23" s="265">
        <f t="shared" si="74"/>
        <v>0</v>
      </c>
      <c r="AV23" s="265">
        <f t="shared" si="25"/>
        <v>0</v>
      </c>
      <c r="AW23" s="265">
        <f t="shared" si="26"/>
        <v>0</v>
      </c>
      <c r="AX23" s="265">
        <f t="shared" si="27"/>
        <v>0</v>
      </c>
      <c r="AY23" s="265">
        <f t="shared" si="28"/>
        <v>0</v>
      </c>
      <c r="AZ23" s="265">
        <f t="shared" si="29"/>
        <v>0</v>
      </c>
      <c r="BA23" s="265">
        <f t="shared" si="30"/>
        <v>0</v>
      </c>
      <c r="BB23" s="265">
        <f t="shared" si="31"/>
        <v>0</v>
      </c>
      <c r="BC23" s="265">
        <f t="shared" si="32"/>
        <v>0</v>
      </c>
      <c r="BD23" s="265">
        <f t="shared" si="33"/>
        <v>0</v>
      </c>
      <c r="BE23" s="265">
        <f t="shared" si="34"/>
        <v>0</v>
      </c>
      <c r="BF23" s="265">
        <f t="shared" si="35"/>
        <v>0</v>
      </c>
      <c r="BG23" s="265">
        <f t="shared" si="36"/>
        <v>0</v>
      </c>
      <c r="BH23" s="265">
        <f t="shared" si="75"/>
        <v>0</v>
      </c>
      <c r="BI23" s="265">
        <f t="shared" si="76"/>
        <v>0</v>
      </c>
      <c r="BJ23" s="265">
        <f t="shared" si="37"/>
        <v>0</v>
      </c>
      <c r="BK23" s="265">
        <f t="shared" si="38"/>
        <v>0</v>
      </c>
      <c r="BL23" s="265">
        <f t="shared" si="39"/>
        <v>0</v>
      </c>
      <c r="BM23" s="265">
        <f t="shared" si="40"/>
        <v>0</v>
      </c>
      <c r="BN23" s="265">
        <f t="shared" si="41"/>
        <v>0</v>
      </c>
      <c r="BO23" s="265">
        <f t="shared" si="42"/>
        <v>0</v>
      </c>
      <c r="BP23" s="265">
        <f t="shared" si="77"/>
        <v>0</v>
      </c>
      <c r="BQ23" s="265">
        <f t="shared" si="78"/>
        <v>0</v>
      </c>
      <c r="BR23" s="265">
        <f t="shared" si="43"/>
        <v>0</v>
      </c>
      <c r="BS23" s="265">
        <f t="shared" si="44"/>
        <v>0</v>
      </c>
      <c r="BT23" s="265">
        <f t="shared" si="79"/>
        <v>0</v>
      </c>
      <c r="BU23" s="265">
        <f t="shared" si="80"/>
        <v>0</v>
      </c>
      <c r="BV23" s="265">
        <f t="shared" si="81"/>
        <v>0</v>
      </c>
      <c r="BW23" s="265">
        <f t="shared" si="82"/>
        <v>0</v>
      </c>
      <c r="BX23" s="265">
        <f t="shared" si="45"/>
        <v>0</v>
      </c>
      <c r="BY23" s="265">
        <f t="shared" si="46"/>
        <v>0</v>
      </c>
      <c r="BZ23" s="265">
        <f t="shared" si="47"/>
        <v>0</v>
      </c>
      <c r="CA23" s="265">
        <f t="shared" si="48"/>
        <v>0</v>
      </c>
      <c r="CB23" s="265">
        <f t="shared" si="49"/>
        <v>0</v>
      </c>
      <c r="CC23" s="265">
        <f t="shared" si="50"/>
        <v>0</v>
      </c>
      <c r="CD23" s="265">
        <f t="shared" si="83"/>
        <v>0</v>
      </c>
      <c r="CE23" s="265">
        <f t="shared" si="84"/>
        <v>0</v>
      </c>
      <c r="CF23" s="265">
        <f t="shared" si="85"/>
        <v>0</v>
      </c>
      <c r="CG23" s="265">
        <f t="shared" si="86"/>
        <v>0</v>
      </c>
      <c r="CH23" s="265">
        <f t="shared" si="51"/>
        <v>0</v>
      </c>
      <c r="CI23" s="265">
        <f t="shared" si="52"/>
        <v>0</v>
      </c>
      <c r="CJ23" s="265">
        <f t="shared" si="87"/>
        <v>0</v>
      </c>
      <c r="CK23" s="265">
        <f t="shared" si="88"/>
        <v>0</v>
      </c>
      <c r="CL23" s="265">
        <f t="shared" si="53"/>
        <v>0</v>
      </c>
      <c r="CM23" s="265">
        <f t="shared" si="54"/>
        <v>0</v>
      </c>
      <c r="CN23" s="265">
        <f t="shared" si="55"/>
        <v>0</v>
      </c>
      <c r="CO23" s="265">
        <f t="shared" si="56"/>
        <v>0</v>
      </c>
      <c r="CP23" s="265">
        <f t="shared" si="89"/>
        <v>0</v>
      </c>
      <c r="CQ23" s="265">
        <f t="shared" si="90"/>
        <v>0</v>
      </c>
      <c r="CR23" s="265">
        <f t="shared" si="91"/>
        <v>0</v>
      </c>
      <c r="CS23" s="265">
        <f t="shared" si="92"/>
        <v>0</v>
      </c>
      <c r="CT23" s="265">
        <f t="shared" si="57"/>
        <v>0</v>
      </c>
      <c r="CU23" s="265">
        <f t="shared" si="58"/>
        <v>0</v>
      </c>
      <c r="CV23" s="265">
        <f t="shared" si="59"/>
        <v>0</v>
      </c>
      <c r="CW23" s="265">
        <f t="shared" si="60"/>
        <v>0</v>
      </c>
      <c r="CX23" s="265">
        <f t="shared" si="93"/>
        <v>0</v>
      </c>
      <c r="CY23" s="265">
        <f t="shared" si="94"/>
        <v>0</v>
      </c>
      <c r="CZ23" s="265">
        <f t="shared" si="95"/>
        <v>0</v>
      </c>
      <c r="DA23" s="265">
        <f t="shared" si="96"/>
        <v>0</v>
      </c>
    </row>
    <row r="24" spans="1:105" s="262" customFormat="1" ht="15" customHeight="1">
      <c r="A24" s="63" t="str">
        <f t="array" ref="A24">IF(C24&lt;&gt;0,SUM(($C$11:C24&lt;&gt;0)*1),"")</f>
        <v/>
      </c>
      <c r="B24" s="263"/>
      <c r="C24" s="263"/>
      <c r="D24" s="263"/>
      <c r="E24" s="344"/>
      <c r="F24" s="314"/>
      <c r="G24" s="316"/>
      <c r="H24" s="316"/>
      <c r="I24" s="63" t="str">
        <f t="shared" si="97"/>
        <v/>
      </c>
      <c r="J24" s="265">
        <f t="shared" si="61"/>
        <v>0</v>
      </c>
      <c r="K24" s="265">
        <f t="shared" si="62"/>
        <v>0</v>
      </c>
      <c r="L24" s="265">
        <f t="shared" si="1"/>
        <v>0</v>
      </c>
      <c r="M24" s="265">
        <f t="shared" si="2"/>
        <v>0</v>
      </c>
      <c r="N24" s="265">
        <f t="shared" si="3"/>
        <v>0</v>
      </c>
      <c r="O24" s="265">
        <f t="shared" si="4"/>
        <v>0</v>
      </c>
      <c r="P24" s="265">
        <f t="shared" si="5"/>
        <v>0</v>
      </c>
      <c r="Q24" s="265">
        <f t="shared" si="6"/>
        <v>0</v>
      </c>
      <c r="R24" s="265">
        <f t="shared" si="7"/>
        <v>0</v>
      </c>
      <c r="S24" s="265">
        <f t="shared" si="8"/>
        <v>0</v>
      </c>
      <c r="T24" s="265">
        <f t="shared" si="9"/>
        <v>0</v>
      </c>
      <c r="U24" s="265">
        <f t="shared" si="10"/>
        <v>0</v>
      </c>
      <c r="V24" s="265">
        <f t="shared" si="11"/>
        <v>0</v>
      </c>
      <c r="W24" s="265">
        <f t="shared" si="12"/>
        <v>0</v>
      </c>
      <c r="X24" s="265">
        <f t="shared" si="13"/>
        <v>0</v>
      </c>
      <c r="Y24" s="265">
        <f t="shared" si="14"/>
        <v>0</v>
      </c>
      <c r="Z24" s="265">
        <f t="shared" si="15"/>
        <v>0</v>
      </c>
      <c r="AA24" s="265">
        <f t="shared" si="16"/>
        <v>0</v>
      </c>
      <c r="AB24" s="265">
        <f t="shared" si="63"/>
        <v>0</v>
      </c>
      <c r="AC24" s="265">
        <f t="shared" si="64"/>
        <v>0</v>
      </c>
      <c r="AD24" s="265">
        <f t="shared" si="17"/>
        <v>0</v>
      </c>
      <c r="AE24" s="265">
        <f t="shared" si="18"/>
        <v>0</v>
      </c>
      <c r="AF24" s="265">
        <f t="shared" si="19"/>
        <v>0</v>
      </c>
      <c r="AG24" s="265">
        <f t="shared" si="20"/>
        <v>0</v>
      </c>
      <c r="AH24" s="265">
        <f t="shared" si="65"/>
        <v>0</v>
      </c>
      <c r="AI24" s="265">
        <f t="shared" si="66"/>
        <v>0</v>
      </c>
      <c r="AJ24" s="265">
        <f t="shared" si="67"/>
        <v>0</v>
      </c>
      <c r="AK24" s="265">
        <f t="shared" si="68"/>
        <v>0</v>
      </c>
      <c r="AL24" s="265">
        <f t="shared" si="69"/>
        <v>0</v>
      </c>
      <c r="AM24" s="265">
        <f t="shared" si="70"/>
        <v>0</v>
      </c>
      <c r="AN24" s="265">
        <f t="shared" si="71"/>
        <v>0</v>
      </c>
      <c r="AO24" s="265">
        <f t="shared" si="72"/>
        <v>0</v>
      </c>
      <c r="AP24" s="265">
        <f t="shared" si="21"/>
        <v>0</v>
      </c>
      <c r="AQ24" s="265">
        <f t="shared" si="22"/>
        <v>0</v>
      </c>
      <c r="AR24" s="265">
        <f t="shared" si="23"/>
        <v>0</v>
      </c>
      <c r="AS24" s="265">
        <f t="shared" si="24"/>
        <v>0</v>
      </c>
      <c r="AT24" s="265">
        <f t="shared" si="73"/>
        <v>0</v>
      </c>
      <c r="AU24" s="265">
        <f t="shared" si="74"/>
        <v>0</v>
      </c>
      <c r="AV24" s="265">
        <f t="shared" si="25"/>
        <v>0</v>
      </c>
      <c r="AW24" s="265">
        <f t="shared" si="26"/>
        <v>0</v>
      </c>
      <c r="AX24" s="265">
        <f t="shared" si="27"/>
        <v>0</v>
      </c>
      <c r="AY24" s="265">
        <f t="shared" si="28"/>
        <v>0</v>
      </c>
      <c r="AZ24" s="265">
        <f t="shared" si="29"/>
        <v>0</v>
      </c>
      <c r="BA24" s="265">
        <f t="shared" si="30"/>
        <v>0</v>
      </c>
      <c r="BB24" s="265">
        <f t="shared" si="31"/>
        <v>0</v>
      </c>
      <c r="BC24" s="265">
        <f t="shared" si="32"/>
        <v>0</v>
      </c>
      <c r="BD24" s="265">
        <f t="shared" si="33"/>
        <v>0</v>
      </c>
      <c r="BE24" s="265">
        <f t="shared" si="34"/>
        <v>0</v>
      </c>
      <c r="BF24" s="265">
        <f t="shared" si="35"/>
        <v>0</v>
      </c>
      <c r="BG24" s="265">
        <f t="shared" si="36"/>
        <v>0</v>
      </c>
      <c r="BH24" s="265">
        <f t="shared" si="75"/>
        <v>0</v>
      </c>
      <c r="BI24" s="265">
        <f t="shared" si="76"/>
        <v>0</v>
      </c>
      <c r="BJ24" s="265">
        <f t="shared" si="37"/>
        <v>0</v>
      </c>
      <c r="BK24" s="265">
        <f t="shared" si="38"/>
        <v>0</v>
      </c>
      <c r="BL24" s="265">
        <f t="shared" si="39"/>
        <v>0</v>
      </c>
      <c r="BM24" s="265">
        <f t="shared" si="40"/>
        <v>0</v>
      </c>
      <c r="BN24" s="265">
        <f t="shared" si="41"/>
        <v>0</v>
      </c>
      <c r="BO24" s="265">
        <f t="shared" si="42"/>
        <v>0</v>
      </c>
      <c r="BP24" s="265">
        <f t="shared" si="77"/>
        <v>0</v>
      </c>
      <c r="BQ24" s="265">
        <f t="shared" si="78"/>
        <v>0</v>
      </c>
      <c r="BR24" s="265">
        <f t="shared" si="43"/>
        <v>0</v>
      </c>
      <c r="BS24" s="265">
        <f t="shared" si="44"/>
        <v>0</v>
      </c>
      <c r="BT24" s="265">
        <f t="shared" si="79"/>
        <v>0</v>
      </c>
      <c r="BU24" s="265">
        <f t="shared" si="80"/>
        <v>0</v>
      </c>
      <c r="BV24" s="265">
        <f t="shared" si="81"/>
        <v>0</v>
      </c>
      <c r="BW24" s="265">
        <f t="shared" si="82"/>
        <v>0</v>
      </c>
      <c r="BX24" s="265">
        <f t="shared" si="45"/>
        <v>0</v>
      </c>
      <c r="BY24" s="265">
        <f t="shared" si="46"/>
        <v>0</v>
      </c>
      <c r="BZ24" s="265">
        <f t="shared" si="47"/>
        <v>0</v>
      </c>
      <c r="CA24" s="265">
        <f t="shared" si="48"/>
        <v>0</v>
      </c>
      <c r="CB24" s="265">
        <f t="shared" si="49"/>
        <v>0</v>
      </c>
      <c r="CC24" s="265">
        <f t="shared" si="50"/>
        <v>0</v>
      </c>
      <c r="CD24" s="265">
        <f t="shared" si="83"/>
        <v>0</v>
      </c>
      <c r="CE24" s="265">
        <f t="shared" si="84"/>
        <v>0</v>
      </c>
      <c r="CF24" s="265">
        <f t="shared" si="85"/>
        <v>0</v>
      </c>
      <c r="CG24" s="265">
        <f t="shared" si="86"/>
        <v>0</v>
      </c>
      <c r="CH24" s="265">
        <f t="shared" si="51"/>
        <v>0</v>
      </c>
      <c r="CI24" s="265">
        <f t="shared" si="52"/>
        <v>0</v>
      </c>
      <c r="CJ24" s="265">
        <f t="shared" si="87"/>
        <v>0</v>
      </c>
      <c r="CK24" s="265">
        <f t="shared" si="88"/>
        <v>0</v>
      </c>
      <c r="CL24" s="265">
        <f t="shared" si="53"/>
        <v>0</v>
      </c>
      <c r="CM24" s="265">
        <f t="shared" si="54"/>
        <v>0</v>
      </c>
      <c r="CN24" s="265">
        <f t="shared" si="55"/>
        <v>0</v>
      </c>
      <c r="CO24" s="265">
        <f t="shared" si="56"/>
        <v>0</v>
      </c>
      <c r="CP24" s="265">
        <f t="shared" si="89"/>
        <v>0</v>
      </c>
      <c r="CQ24" s="265">
        <f t="shared" si="90"/>
        <v>0</v>
      </c>
      <c r="CR24" s="265">
        <f t="shared" si="91"/>
        <v>0</v>
      </c>
      <c r="CS24" s="265">
        <f t="shared" si="92"/>
        <v>0</v>
      </c>
      <c r="CT24" s="265">
        <f t="shared" si="57"/>
        <v>0</v>
      </c>
      <c r="CU24" s="265">
        <f t="shared" si="58"/>
        <v>0</v>
      </c>
      <c r="CV24" s="265">
        <f t="shared" si="59"/>
        <v>0</v>
      </c>
      <c r="CW24" s="265">
        <f t="shared" si="60"/>
        <v>0</v>
      </c>
      <c r="CX24" s="265">
        <f t="shared" si="93"/>
        <v>0</v>
      </c>
      <c r="CY24" s="265">
        <f t="shared" si="94"/>
        <v>0</v>
      </c>
      <c r="CZ24" s="265">
        <f t="shared" si="95"/>
        <v>0</v>
      </c>
      <c r="DA24" s="265">
        <f t="shared" si="96"/>
        <v>0</v>
      </c>
    </row>
    <row r="25" spans="1:105" s="262" customFormat="1" ht="15" customHeight="1">
      <c r="A25" s="63" t="str">
        <f t="array" ref="A25">IF(C25&lt;&gt;0,SUM(($C$11:C25&lt;&gt;0)*1),"")</f>
        <v/>
      </c>
      <c r="B25" s="263"/>
      <c r="C25" s="263"/>
      <c r="D25" s="263"/>
      <c r="E25" s="344"/>
      <c r="F25" s="314"/>
      <c r="G25" s="316"/>
      <c r="H25" s="316"/>
      <c r="I25" s="63" t="str">
        <f t="shared" si="97"/>
        <v/>
      </c>
      <c r="J25" s="265">
        <f t="shared" si="61"/>
        <v>0</v>
      </c>
      <c r="K25" s="265">
        <f t="shared" si="62"/>
        <v>0</v>
      </c>
      <c r="L25" s="265">
        <f t="shared" si="1"/>
        <v>0</v>
      </c>
      <c r="M25" s="265">
        <f t="shared" si="2"/>
        <v>0</v>
      </c>
      <c r="N25" s="265">
        <f t="shared" si="3"/>
        <v>0</v>
      </c>
      <c r="O25" s="265">
        <f t="shared" si="4"/>
        <v>0</v>
      </c>
      <c r="P25" s="265">
        <f t="shared" si="5"/>
        <v>0</v>
      </c>
      <c r="Q25" s="265">
        <f t="shared" si="6"/>
        <v>0</v>
      </c>
      <c r="R25" s="265">
        <f t="shared" si="7"/>
        <v>0</v>
      </c>
      <c r="S25" s="265">
        <f t="shared" si="8"/>
        <v>0</v>
      </c>
      <c r="T25" s="265">
        <f t="shared" si="9"/>
        <v>0</v>
      </c>
      <c r="U25" s="265">
        <f t="shared" si="10"/>
        <v>0</v>
      </c>
      <c r="V25" s="265">
        <f t="shared" si="11"/>
        <v>0</v>
      </c>
      <c r="W25" s="265">
        <f t="shared" si="12"/>
        <v>0</v>
      </c>
      <c r="X25" s="265">
        <f t="shared" si="13"/>
        <v>0</v>
      </c>
      <c r="Y25" s="265">
        <f t="shared" si="14"/>
        <v>0</v>
      </c>
      <c r="Z25" s="265">
        <f t="shared" si="15"/>
        <v>0</v>
      </c>
      <c r="AA25" s="265">
        <f t="shared" si="16"/>
        <v>0</v>
      </c>
      <c r="AB25" s="265">
        <f t="shared" si="63"/>
        <v>0</v>
      </c>
      <c r="AC25" s="265">
        <f t="shared" si="64"/>
        <v>0</v>
      </c>
      <c r="AD25" s="265">
        <f t="shared" si="17"/>
        <v>0</v>
      </c>
      <c r="AE25" s="265">
        <f t="shared" si="18"/>
        <v>0</v>
      </c>
      <c r="AF25" s="265">
        <f t="shared" si="19"/>
        <v>0</v>
      </c>
      <c r="AG25" s="265">
        <f t="shared" si="20"/>
        <v>0</v>
      </c>
      <c r="AH25" s="265">
        <f t="shared" si="65"/>
        <v>0</v>
      </c>
      <c r="AI25" s="265">
        <f t="shared" si="66"/>
        <v>0</v>
      </c>
      <c r="AJ25" s="265">
        <f t="shared" si="67"/>
        <v>0</v>
      </c>
      <c r="AK25" s="265">
        <f t="shared" si="68"/>
        <v>0</v>
      </c>
      <c r="AL25" s="265">
        <f t="shared" si="69"/>
        <v>0</v>
      </c>
      <c r="AM25" s="265">
        <f t="shared" si="70"/>
        <v>0</v>
      </c>
      <c r="AN25" s="265">
        <f t="shared" si="71"/>
        <v>0</v>
      </c>
      <c r="AO25" s="265">
        <f t="shared" si="72"/>
        <v>0</v>
      </c>
      <c r="AP25" s="265">
        <f t="shared" si="21"/>
        <v>0</v>
      </c>
      <c r="AQ25" s="265">
        <f t="shared" si="22"/>
        <v>0</v>
      </c>
      <c r="AR25" s="265">
        <f t="shared" si="23"/>
        <v>0</v>
      </c>
      <c r="AS25" s="265">
        <f t="shared" si="24"/>
        <v>0</v>
      </c>
      <c r="AT25" s="265">
        <f t="shared" si="73"/>
        <v>0</v>
      </c>
      <c r="AU25" s="265">
        <f t="shared" si="74"/>
        <v>0</v>
      </c>
      <c r="AV25" s="265">
        <f t="shared" si="25"/>
        <v>0</v>
      </c>
      <c r="AW25" s="265">
        <f t="shared" si="26"/>
        <v>0</v>
      </c>
      <c r="AX25" s="265">
        <f t="shared" si="27"/>
        <v>0</v>
      </c>
      <c r="AY25" s="265">
        <f t="shared" si="28"/>
        <v>0</v>
      </c>
      <c r="AZ25" s="265">
        <f t="shared" si="29"/>
        <v>0</v>
      </c>
      <c r="BA25" s="265">
        <f t="shared" si="30"/>
        <v>0</v>
      </c>
      <c r="BB25" s="265">
        <f t="shared" si="31"/>
        <v>0</v>
      </c>
      <c r="BC25" s="265">
        <f t="shared" si="32"/>
        <v>0</v>
      </c>
      <c r="BD25" s="265">
        <f t="shared" si="33"/>
        <v>0</v>
      </c>
      <c r="BE25" s="265">
        <f t="shared" si="34"/>
        <v>0</v>
      </c>
      <c r="BF25" s="265">
        <f t="shared" si="35"/>
        <v>0</v>
      </c>
      <c r="BG25" s="265">
        <f t="shared" si="36"/>
        <v>0</v>
      </c>
      <c r="BH25" s="265">
        <f t="shared" si="75"/>
        <v>0</v>
      </c>
      <c r="BI25" s="265">
        <f t="shared" si="76"/>
        <v>0</v>
      </c>
      <c r="BJ25" s="265">
        <f t="shared" si="37"/>
        <v>0</v>
      </c>
      <c r="BK25" s="265">
        <f t="shared" si="38"/>
        <v>0</v>
      </c>
      <c r="BL25" s="265">
        <f t="shared" si="39"/>
        <v>0</v>
      </c>
      <c r="BM25" s="265">
        <f t="shared" si="40"/>
        <v>0</v>
      </c>
      <c r="BN25" s="265">
        <f t="shared" si="41"/>
        <v>0</v>
      </c>
      <c r="BO25" s="265">
        <f t="shared" si="42"/>
        <v>0</v>
      </c>
      <c r="BP25" s="265">
        <f t="shared" si="77"/>
        <v>0</v>
      </c>
      <c r="BQ25" s="265">
        <f t="shared" si="78"/>
        <v>0</v>
      </c>
      <c r="BR25" s="265">
        <f t="shared" si="43"/>
        <v>0</v>
      </c>
      <c r="BS25" s="265">
        <f t="shared" si="44"/>
        <v>0</v>
      </c>
      <c r="BT25" s="265">
        <f t="shared" si="79"/>
        <v>0</v>
      </c>
      <c r="BU25" s="265">
        <f t="shared" si="80"/>
        <v>0</v>
      </c>
      <c r="BV25" s="265">
        <f t="shared" si="81"/>
        <v>0</v>
      </c>
      <c r="BW25" s="265">
        <f t="shared" si="82"/>
        <v>0</v>
      </c>
      <c r="BX25" s="265">
        <f t="shared" si="45"/>
        <v>0</v>
      </c>
      <c r="BY25" s="265">
        <f t="shared" si="46"/>
        <v>0</v>
      </c>
      <c r="BZ25" s="265">
        <f t="shared" si="47"/>
        <v>0</v>
      </c>
      <c r="CA25" s="265">
        <f t="shared" si="48"/>
        <v>0</v>
      </c>
      <c r="CB25" s="265">
        <f t="shared" si="49"/>
        <v>0</v>
      </c>
      <c r="CC25" s="265">
        <f t="shared" si="50"/>
        <v>0</v>
      </c>
      <c r="CD25" s="265">
        <f t="shared" si="83"/>
        <v>0</v>
      </c>
      <c r="CE25" s="265">
        <f t="shared" si="84"/>
        <v>0</v>
      </c>
      <c r="CF25" s="265">
        <f t="shared" si="85"/>
        <v>0</v>
      </c>
      <c r="CG25" s="265">
        <f t="shared" si="86"/>
        <v>0</v>
      </c>
      <c r="CH25" s="265">
        <f t="shared" si="51"/>
        <v>0</v>
      </c>
      <c r="CI25" s="265">
        <f t="shared" si="52"/>
        <v>0</v>
      </c>
      <c r="CJ25" s="265">
        <f t="shared" si="87"/>
        <v>0</v>
      </c>
      <c r="CK25" s="265">
        <f t="shared" si="88"/>
        <v>0</v>
      </c>
      <c r="CL25" s="265">
        <f t="shared" si="53"/>
        <v>0</v>
      </c>
      <c r="CM25" s="265">
        <f t="shared" si="54"/>
        <v>0</v>
      </c>
      <c r="CN25" s="265">
        <f t="shared" si="55"/>
        <v>0</v>
      </c>
      <c r="CO25" s="265">
        <f t="shared" si="56"/>
        <v>0</v>
      </c>
      <c r="CP25" s="265">
        <f t="shared" si="89"/>
        <v>0</v>
      </c>
      <c r="CQ25" s="265">
        <f t="shared" si="90"/>
        <v>0</v>
      </c>
      <c r="CR25" s="265">
        <f t="shared" si="91"/>
        <v>0</v>
      </c>
      <c r="CS25" s="265">
        <f t="shared" si="92"/>
        <v>0</v>
      </c>
      <c r="CT25" s="265">
        <f t="shared" si="57"/>
        <v>0</v>
      </c>
      <c r="CU25" s="265">
        <f t="shared" si="58"/>
        <v>0</v>
      </c>
      <c r="CV25" s="265">
        <f t="shared" si="59"/>
        <v>0</v>
      </c>
      <c r="CW25" s="265">
        <f t="shared" si="60"/>
        <v>0</v>
      </c>
      <c r="CX25" s="265">
        <f t="shared" si="93"/>
        <v>0</v>
      </c>
      <c r="CY25" s="265">
        <f t="shared" si="94"/>
        <v>0</v>
      </c>
      <c r="CZ25" s="265">
        <f t="shared" si="95"/>
        <v>0</v>
      </c>
      <c r="DA25" s="265">
        <f t="shared" si="96"/>
        <v>0</v>
      </c>
    </row>
    <row r="26" spans="1:105" s="262" customFormat="1" ht="15" customHeight="1">
      <c r="A26" s="63" t="str">
        <f t="array" ref="A26">IF(C26&lt;&gt;0,SUM(($C$11:C26&lt;&gt;0)*1),"")</f>
        <v/>
      </c>
      <c r="B26" s="263"/>
      <c r="C26" s="263"/>
      <c r="D26" s="263"/>
      <c r="E26" s="344"/>
      <c r="F26" s="314"/>
      <c r="G26" s="316"/>
      <c r="H26" s="316"/>
      <c r="I26" s="63" t="str">
        <f t="shared" si="97"/>
        <v/>
      </c>
      <c r="J26" s="265">
        <f t="shared" si="61"/>
        <v>0</v>
      </c>
      <c r="K26" s="265">
        <f t="shared" si="62"/>
        <v>0</v>
      </c>
      <c r="L26" s="265">
        <f t="shared" si="1"/>
        <v>0</v>
      </c>
      <c r="M26" s="265">
        <f t="shared" si="2"/>
        <v>0</v>
      </c>
      <c r="N26" s="265">
        <f t="shared" si="3"/>
        <v>0</v>
      </c>
      <c r="O26" s="265">
        <f t="shared" si="4"/>
        <v>0</v>
      </c>
      <c r="P26" s="265">
        <f t="shared" si="5"/>
        <v>0</v>
      </c>
      <c r="Q26" s="265">
        <f t="shared" si="6"/>
        <v>0</v>
      </c>
      <c r="R26" s="265">
        <f t="shared" si="7"/>
        <v>0</v>
      </c>
      <c r="S26" s="265">
        <f t="shared" si="8"/>
        <v>0</v>
      </c>
      <c r="T26" s="265">
        <f t="shared" si="9"/>
        <v>0</v>
      </c>
      <c r="U26" s="265">
        <f t="shared" si="10"/>
        <v>0</v>
      </c>
      <c r="V26" s="265">
        <f t="shared" si="11"/>
        <v>0</v>
      </c>
      <c r="W26" s="265">
        <f t="shared" si="12"/>
        <v>0</v>
      </c>
      <c r="X26" s="265">
        <f t="shared" si="13"/>
        <v>0</v>
      </c>
      <c r="Y26" s="265">
        <f t="shared" si="14"/>
        <v>0</v>
      </c>
      <c r="Z26" s="265">
        <f t="shared" si="15"/>
        <v>0</v>
      </c>
      <c r="AA26" s="265">
        <f t="shared" si="16"/>
        <v>0</v>
      </c>
      <c r="AB26" s="265">
        <f t="shared" si="63"/>
        <v>0</v>
      </c>
      <c r="AC26" s="265">
        <f t="shared" si="64"/>
        <v>0</v>
      </c>
      <c r="AD26" s="265">
        <f t="shared" si="17"/>
        <v>0</v>
      </c>
      <c r="AE26" s="265">
        <f t="shared" si="18"/>
        <v>0</v>
      </c>
      <c r="AF26" s="265">
        <f t="shared" si="19"/>
        <v>0</v>
      </c>
      <c r="AG26" s="265">
        <f t="shared" si="20"/>
        <v>0</v>
      </c>
      <c r="AH26" s="265">
        <f t="shared" si="65"/>
        <v>0</v>
      </c>
      <c r="AI26" s="265">
        <f t="shared" si="66"/>
        <v>0</v>
      </c>
      <c r="AJ26" s="265">
        <f t="shared" si="67"/>
        <v>0</v>
      </c>
      <c r="AK26" s="265">
        <f t="shared" si="68"/>
        <v>0</v>
      </c>
      <c r="AL26" s="265">
        <f t="shared" si="69"/>
        <v>0</v>
      </c>
      <c r="AM26" s="265">
        <f t="shared" si="70"/>
        <v>0</v>
      </c>
      <c r="AN26" s="265">
        <f t="shared" si="71"/>
        <v>0</v>
      </c>
      <c r="AO26" s="265">
        <f t="shared" si="72"/>
        <v>0</v>
      </c>
      <c r="AP26" s="265">
        <f t="shared" si="21"/>
        <v>0</v>
      </c>
      <c r="AQ26" s="265">
        <f t="shared" si="22"/>
        <v>0</v>
      </c>
      <c r="AR26" s="265">
        <f t="shared" si="23"/>
        <v>0</v>
      </c>
      <c r="AS26" s="265">
        <f t="shared" si="24"/>
        <v>0</v>
      </c>
      <c r="AT26" s="265">
        <f t="shared" si="73"/>
        <v>0</v>
      </c>
      <c r="AU26" s="265">
        <f t="shared" si="74"/>
        <v>0</v>
      </c>
      <c r="AV26" s="265">
        <f t="shared" si="25"/>
        <v>0</v>
      </c>
      <c r="AW26" s="265">
        <f t="shared" si="26"/>
        <v>0</v>
      </c>
      <c r="AX26" s="265">
        <f t="shared" si="27"/>
        <v>0</v>
      </c>
      <c r="AY26" s="265">
        <f t="shared" si="28"/>
        <v>0</v>
      </c>
      <c r="AZ26" s="265">
        <f t="shared" si="29"/>
        <v>0</v>
      </c>
      <c r="BA26" s="265">
        <f t="shared" si="30"/>
        <v>0</v>
      </c>
      <c r="BB26" s="265">
        <f t="shared" si="31"/>
        <v>0</v>
      </c>
      <c r="BC26" s="265">
        <f t="shared" si="32"/>
        <v>0</v>
      </c>
      <c r="BD26" s="265">
        <f t="shared" si="33"/>
        <v>0</v>
      </c>
      <c r="BE26" s="265">
        <f t="shared" si="34"/>
        <v>0</v>
      </c>
      <c r="BF26" s="265">
        <f t="shared" si="35"/>
        <v>0</v>
      </c>
      <c r="BG26" s="265">
        <f t="shared" si="36"/>
        <v>0</v>
      </c>
      <c r="BH26" s="265">
        <f t="shared" si="75"/>
        <v>0</v>
      </c>
      <c r="BI26" s="265">
        <f t="shared" si="76"/>
        <v>0</v>
      </c>
      <c r="BJ26" s="265">
        <f t="shared" si="37"/>
        <v>0</v>
      </c>
      <c r="BK26" s="265">
        <f t="shared" si="38"/>
        <v>0</v>
      </c>
      <c r="BL26" s="265">
        <f t="shared" si="39"/>
        <v>0</v>
      </c>
      <c r="BM26" s="265">
        <f t="shared" si="40"/>
        <v>0</v>
      </c>
      <c r="BN26" s="265">
        <f t="shared" si="41"/>
        <v>0</v>
      </c>
      <c r="BO26" s="265">
        <f t="shared" si="42"/>
        <v>0</v>
      </c>
      <c r="BP26" s="265">
        <f t="shared" si="77"/>
        <v>0</v>
      </c>
      <c r="BQ26" s="265">
        <f t="shared" si="78"/>
        <v>0</v>
      </c>
      <c r="BR26" s="265">
        <f t="shared" si="43"/>
        <v>0</v>
      </c>
      <c r="BS26" s="265">
        <f t="shared" si="44"/>
        <v>0</v>
      </c>
      <c r="BT26" s="265">
        <f t="shared" si="79"/>
        <v>0</v>
      </c>
      <c r="BU26" s="265">
        <f t="shared" si="80"/>
        <v>0</v>
      </c>
      <c r="BV26" s="265">
        <f t="shared" si="81"/>
        <v>0</v>
      </c>
      <c r="BW26" s="265">
        <f t="shared" si="82"/>
        <v>0</v>
      </c>
      <c r="BX26" s="265">
        <f t="shared" si="45"/>
        <v>0</v>
      </c>
      <c r="BY26" s="265">
        <f t="shared" si="46"/>
        <v>0</v>
      </c>
      <c r="BZ26" s="265">
        <f t="shared" si="47"/>
        <v>0</v>
      </c>
      <c r="CA26" s="265">
        <f t="shared" si="48"/>
        <v>0</v>
      </c>
      <c r="CB26" s="265">
        <f t="shared" si="49"/>
        <v>0</v>
      </c>
      <c r="CC26" s="265">
        <f t="shared" si="50"/>
        <v>0</v>
      </c>
      <c r="CD26" s="265">
        <f t="shared" si="83"/>
        <v>0</v>
      </c>
      <c r="CE26" s="265">
        <f t="shared" si="84"/>
        <v>0</v>
      </c>
      <c r="CF26" s="265">
        <f t="shared" si="85"/>
        <v>0</v>
      </c>
      <c r="CG26" s="265">
        <f t="shared" si="86"/>
        <v>0</v>
      </c>
      <c r="CH26" s="265">
        <f t="shared" si="51"/>
        <v>0</v>
      </c>
      <c r="CI26" s="265">
        <f t="shared" si="52"/>
        <v>0</v>
      </c>
      <c r="CJ26" s="265">
        <f t="shared" si="87"/>
        <v>0</v>
      </c>
      <c r="CK26" s="265">
        <f t="shared" si="88"/>
        <v>0</v>
      </c>
      <c r="CL26" s="265">
        <f t="shared" si="53"/>
        <v>0</v>
      </c>
      <c r="CM26" s="265">
        <f t="shared" si="54"/>
        <v>0</v>
      </c>
      <c r="CN26" s="265">
        <f t="shared" si="55"/>
        <v>0</v>
      </c>
      <c r="CO26" s="265">
        <f t="shared" si="56"/>
        <v>0</v>
      </c>
      <c r="CP26" s="265">
        <f t="shared" si="89"/>
        <v>0</v>
      </c>
      <c r="CQ26" s="265">
        <f t="shared" si="90"/>
        <v>0</v>
      </c>
      <c r="CR26" s="265">
        <f t="shared" si="91"/>
        <v>0</v>
      </c>
      <c r="CS26" s="265">
        <f t="shared" si="92"/>
        <v>0</v>
      </c>
      <c r="CT26" s="265">
        <f t="shared" si="57"/>
        <v>0</v>
      </c>
      <c r="CU26" s="265">
        <f t="shared" si="58"/>
        <v>0</v>
      </c>
      <c r="CV26" s="265">
        <f t="shared" si="59"/>
        <v>0</v>
      </c>
      <c r="CW26" s="265">
        <f t="shared" si="60"/>
        <v>0</v>
      </c>
      <c r="CX26" s="265">
        <f t="shared" si="93"/>
        <v>0</v>
      </c>
      <c r="CY26" s="265">
        <f t="shared" si="94"/>
        <v>0</v>
      </c>
      <c r="CZ26" s="265">
        <f t="shared" si="95"/>
        <v>0</v>
      </c>
      <c r="DA26" s="265">
        <f t="shared" si="96"/>
        <v>0</v>
      </c>
    </row>
    <row r="27" spans="1:105" s="262" customFormat="1" ht="15" customHeight="1">
      <c r="A27" s="63" t="str">
        <f t="array" ref="A27">IF(C27&lt;&gt;0,SUM(($C$11:C27&lt;&gt;0)*1),"")</f>
        <v/>
      </c>
      <c r="B27" s="263"/>
      <c r="C27" s="263"/>
      <c r="D27" s="263"/>
      <c r="E27" s="344"/>
      <c r="F27" s="314"/>
      <c r="G27" s="316"/>
      <c r="H27" s="316"/>
      <c r="I27" s="63" t="str">
        <f t="shared" si="97"/>
        <v/>
      </c>
      <c r="J27" s="265">
        <f t="shared" si="61"/>
        <v>0</v>
      </c>
      <c r="K27" s="265">
        <f t="shared" si="62"/>
        <v>0</v>
      </c>
      <c r="L27" s="265">
        <f t="shared" si="1"/>
        <v>0</v>
      </c>
      <c r="M27" s="265">
        <f t="shared" si="2"/>
        <v>0</v>
      </c>
      <c r="N27" s="265">
        <f t="shared" si="3"/>
        <v>0</v>
      </c>
      <c r="O27" s="265">
        <f t="shared" si="4"/>
        <v>0</v>
      </c>
      <c r="P27" s="265">
        <f t="shared" si="5"/>
        <v>0</v>
      </c>
      <c r="Q27" s="265">
        <f t="shared" si="6"/>
        <v>0</v>
      </c>
      <c r="R27" s="265">
        <f t="shared" si="7"/>
        <v>0</v>
      </c>
      <c r="S27" s="265">
        <f t="shared" si="8"/>
        <v>0</v>
      </c>
      <c r="T27" s="265">
        <f t="shared" si="9"/>
        <v>0</v>
      </c>
      <c r="U27" s="265">
        <f t="shared" si="10"/>
        <v>0</v>
      </c>
      <c r="V27" s="265">
        <f t="shared" si="11"/>
        <v>0</v>
      </c>
      <c r="W27" s="265">
        <f t="shared" si="12"/>
        <v>0</v>
      </c>
      <c r="X27" s="265">
        <f t="shared" si="13"/>
        <v>0</v>
      </c>
      <c r="Y27" s="265">
        <f t="shared" si="14"/>
        <v>0</v>
      </c>
      <c r="Z27" s="265">
        <f t="shared" si="15"/>
        <v>0</v>
      </c>
      <c r="AA27" s="265">
        <f t="shared" si="16"/>
        <v>0</v>
      </c>
      <c r="AB27" s="265">
        <f t="shared" si="63"/>
        <v>0</v>
      </c>
      <c r="AC27" s="265">
        <f t="shared" si="64"/>
        <v>0</v>
      </c>
      <c r="AD27" s="265">
        <f t="shared" si="17"/>
        <v>0</v>
      </c>
      <c r="AE27" s="265">
        <f t="shared" si="18"/>
        <v>0</v>
      </c>
      <c r="AF27" s="265">
        <f t="shared" si="19"/>
        <v>0</v>
      </c>
      <c r="AG27" s="265">
        <f t="shared" si="20"/>
        <v>0</v>
      </c>
      <c r="AH27" s="265">
        <f t="shared" si="65"/>
        <v>0</v>
      </c>
      <c r="AI27" s="265">
        <f t="shared" si="66"/>
        <v>0</v>
      </c>
      <c r="AJ27" s="265">
        <f t="shared" si="67"/>
        <v>0</v>
      </c>
      <c r="AK27" s="265">
        <f t="shared" si="68"/>
        <v>0</v>
      </c>
      <c r="AL27" s="265">
        <f t="shared" si="69"/>
        <v>0</v>
      </c>
      <c r="AM27" s="265">
        <f t="shared" si="70"/>
        <v>0</v>
      </c>
      <c r="AN27" s="265">
        <f t="shared" si="71"/>
        <v>0</v>
      </c>
      <c r="AO27" s="265">
        <f t="shared" si="72"/>
        <v>0</v>
      </c>
      <c r="AP27" s="265">
        <f t="shared" si="21"/>
        <v>0</v>
      </c>
      <c r="AQ27" s="265">
        <f t="shared" si="22"/>
        <v>0</v>
      </c>
      <c r="AR27" s="265">
        <f t="shared" si="23"/>
        <v>0</v>
      </c>
      <c r="AS27" s="265">
        <f t="shared" si="24"/>
        <v>0</v>
      </c>
      <c r="AT27" s="265">
        <f t="shared" si="73"/>
        <v>0</v>
      </c>
      <c r="AU27" s="265">
        <f t="shared" si="74"/>
        <v>0</v>
      </c>
      <c r="AV27" s="265">
        <f t="shared" si="25"/>
        <v>0</v>
      </c>
      <c r="AW27" s="265">
        <f t="shared" si="26"/>
        <v>0</v>
      </c>
      <c r="AX27" s="265">
        <f t="shared" si="27"/>
        <v>0</v>
      </c>
      <c r="AY27" s="265">
        <f t="shared" si="28"/>
        <v>0</v>
      </c>
      <c r="AZ27" s="265">
        <f t="shared" si="29"/>
        <v>0</v>
      </c>
      <c r="BA27" s="265">
        <f t="shared" si="30"/>
        <v>0</v>
      </c>
      <c r="BB27" s="265">
        <f t="shared" si="31"/>
        <v>0</v>
      </c>
      <c r="BC27" s="265">
        <f t="shared" si="32"/>
        <v>0</v>
      </c>
      <c r="BD27" s="265">
        <f t="shared" si="33"/>
        <v>0</v>
      </c>
      <c r="BE27" s="265">
        <f t="shared" si="34"/>
        <v>0</v>
      </c>
      <c r="BF27" s="265">
        <f t="shared" si="35"/>
        <v>0</v>
      </c>
      <c r="BG27" s="265">
        <f t="shared" si="36"/>
        <v>0</v>
      </c>
      <c r="BH27" s="265">
        <f t="shared" si="75"/>
        <v>0</v>
      </c>
      <c r="BI27" s="265">
        <f t="shared" si="76"/>
        <v>0</v>
      </c>
      <c r="BJ27" s="265">
        <f t="shared" si="37"/>
        <v>0</v>
      </c>
      <c r="BK27" s="265">
        <f t="shared" si="38"/>
        <v>0</v>
      </c>
      <c r="BL27" s="265">
        <f t="shared" si="39"/>
        <v>0</v>
      </c>
      <c r="BM27" s="265">
        <f t="shared" si="40"/>
        <v>0</v>
      </c>
      <c r="BN27" s="265">
        <f t="shared" si="41"/>
        <v>0</v>
      </c>
      <c r="BO27" s="265">
        <f t="shared" si="42"/>
        <v>0</v>
      </c>
      <c r="BP27" s="265">
        <f t="shared" si="77"/>
        <v>0</v>
      </c>
      <c r="BQ27" s="265">
        <f t="shared" si="78"/>
        <v>0</v>
      </c>
      <c r="BR27" s="265">
        <f t="shared" si="43"/>
        <v>0</v>
      </c>
      <c r="BS27" s="265">
        <f t="shared" si="44"/>
        <v>0</v>
      </c>
      <c r="BT27" s="265">
        <f t="shared" si="79"/>
        <v>0</v>
      </c>
      <c r="BU27" s="265">
        <f t="shared" si="80"/>
        <v>0</v>
      </c>
      <c r="BV27" s="265">
        <f t="shared" si="81"/>
        <v>0</v>
      </c>
      <c r="BW27" s="265">
        <f t="shared" si="82"/>
        <v>0</v>
      </c>
      <c r="BX27" s="265">
        <f t="shared" si="45"/>
        <v>0</v>
      </c>
      <c r="BY27" s="265">
        <f t="shared" si="46"/>
        <v>0</v>
      </c>
      <c r="BZ27" s="265">
        <f t="shared" si="47"/>
        <v>0</v>
      </c>
      <c r="CA27" s="265">
        <f t="shared" si="48"/>
        <v>0</v>
      </c>
      <c r="CB27" s="265">
        <f t="shared" si="49"/>
        <v>0</v>
      </c>
      <c r="CC27" s="265">
        <f t="shared" si="50"/>
        <v>0</v>
      </c>
      <c r="CD27" s="265">
        <f t="shared" si="83"/>
        <v>0</v>
      </c>
      <c r="CE27" s="265">
        <f t="shared" si="84"/>
        <v>0</v>
      </c>
      <c r="CF27" s="265">
        <f t="shared" si="85"/>
        <v>0</v>
      </c>
      <c r="CG27" s="265">
        <f t="shared" si="86"/>
        <v>0</v>
      </c>
      <c r="CH27" s="265">
        <f t="shared" si="51"/>
        <v>0</v>
      </c>
      <c r="CI27" s="265">
        <f t="shared" si="52"/>
        <v>0</v>
      </c>
      <c r="CJ27" s="265">
        <f t="shared" si="87"/>
        <v>0</v>
      </c>
      <c r="CK27" s="265">
        <f t="shared" si="88"/>
        <v>0</v>
      </c>
      <c r="CL27" s="265">
        <f t="shared" si="53"/>
        <v>0</v>
      </c>
      <c r="CM27" s="265">
        <f t="shared" si="54"/>
        <v>0</v>
      </c>
      <c r="CN27" s="265">
        <f t="shared" si="55"/>
        <v>0</v>
      </c>
      <c r="CO27" s="265">
        <f t="shared" si="56"/>
        <v>0</v>
      </c>
      <c r="CP27" s="265">
        <f t="shared" si="89"/>
        <v>0</v>
      </c>
      <c r="CQ27" s="265">
        <f t="shared" si="90"/>
        <v>0</v>
      </c>
      <c r="CR27" s="265">
        <f t="shared" si="91"/>
        <v>0</v>
      </c>
      <c r="CS27" s="265">
        <f t="shared" si="92"/>
        <v>0</v>
      </c>
      <c r="CT27" s="265">
        <f t="shared" si="57"/>
        <v>0</v>
      </c>
      <c r="CU27" s="265">
        <f t="shared" si="58"/>
        <v>0</v>
      </c>
      <c r="CV27" s="265">
        <f t="shared" si="59"/>
        <v>0</v>
      </c>
      <c r="CW27" s="265">
        <f t="shared" si="60"/>
        <v>0</v>
      </c>
      <c r="CX27" s="265">
        <f t="shared" si="93"/>
        <v>0</v>
      </c>
      <c r="CY27" s="265">
        <f t="shared" si="94"/>
        <v>0</v>
      </c>
      <c r="CZ27" s="265">
        <f t="shared" si="95"/>
        <v>0</v>
      </c>
      <c r="DA27" s="265">
        <f t="shared" si="96"/>
        <v>0</v>
      </c>
    </row>
    <row r="28" spans="1:105" s="262" customFormat="1" ht="15" customHeight="1">
      <c r="A28" s="63" t="str">
        <f t="array" ref="A28">IF(C28&lt;&gt;0,SUM(($C$11:C28&lt;&gt;0)*1),"")</f>
        <v/>
      </c>
      <c r="B28" s="263"/>
      <c r="C28" s="263"/>
      <c r="D28" s="263"/>
      <c r="E28" s="344"/>
      <c r="F28" s="314"/>
      <c r="G28" s="316"/>
      <c r="H28" s="316"/>
      <c r="I28" s="63" t="str">
        <f t="shared" si="97"/>
        <v/>
      </c>
      <c r="J28" s="265">
        <f t="shared" si="61"/>
        <v>0</v>
      </c>
      <c r="K28" s="265">
        <f t="shared" si="62"/>
        <v>0</v>
      </c>
      <c r="L28" s="265">
        <f t="shared" si="1"/>
        <v>0</v>
      </c>
      <c r="M28" s="265">
        <f t="shared" si="2"/>
        <v>0</v>
      </c>
      <c r="N28" s="265">
        <f t="shared" si="3"/>
        <v>0</v>
      </c>
      <c r="O28" s="265">
        <f t="shared" si="4"/>
        <v>0</v>
      </c>
      <c r="P28" s="265">
        <f t="shared" si="5"/>
        <v>0</v>
      </c>
      <c r="Q28" s="265">
        <f t="shared" si="6"/>
        <v>0</v>
      </c>
      <c r="R28" s="265">
        <f t="shared" si="7"/>
        <v>0</v>
      </c>
      <c r="S28" s="265">
        <f t="shared" si="8"/>
        <v>0</v>
      </c>
      <c r="T28" s="265">
        <f t="shared" si="9"/>
        <v>0</v>
      </c>
      <c r="U28" s="265">
        <f t="shared" si="10"/>
        <v>0</v>
      </c>
      <c r="V28" s="265">
        <f t="shared" si="11"/>
        <v>0</v>
      </c>
      <c r="W28" s="265">
        <f t="shared" si="12"/>
        <v>0</v>
      </c>
      <c r="X28" s="265">
        <f t="shared" si="13"/>
        <v>0</v>
      </c>
      <c r="Y28" s="265">
        <f t="shared" si="14"/>
        <v>0</v>
      </c>
      <c r="Z28" s="265">
        <f t="shared" si="15"/>
        <v>0</v>
      </c>
      <c r="AA28" s="265">
        <f t="shared" si="16"/>
        <v>0</v>
      </c>
      <c r="AB28" s="265">
        <f t="shared" si="63"/>
        <v>0</v>
      </c>
      <c r="AC28" s="265">
        <f t="shared" si="64"/>
        <v>0</v>
      </c>
      <c r="AD28" s="265">
        <f t="shared" si="17"/>
        <v>0</v>
      </c>
      <c r="AE28" s="265">
        <f t="shared" si="18"/>
        <v>0</v>
      </c>
      <c r="AF28" s="265">
        <f t="shared" si="19"/>
        <v>0</v>
      </c>
      <c r="AG28" s="265">
        <f t="shared" si="20"/>
        <v>0</v>
      </c>
      <c r="AH28" s="265">
        <f t="shared" si="65"/>
        <v>0</v>
      </c>
      <c r="AI28" s="265">
        <f t="shared" si="66"/>
        <v>0</v>
      </c>
      <c r="AJ28" s="265">
        <f t="shared" si="67"/>
        <v>0</v>
      </c>
      <c r="AK28" s="265">
        <f t="shared" si="68"/>
        <v>0</v>
      </c>
      <c r="AL28" s="265">
        <f t="shared" si="69"/>
        <v>0</v>
      </c>
      <c r="AM28" s="265">
        <f t="shared" si="70"/>
        <v>0</v>
      </c>
      <c r="AN28" s="265">
        <f t="shared" si="71"/>
        <v>0</v>
      </c>
      <c r="AO28" s="265">
        <f t="shared" si="72"/>
        <v>0</v>
      </c>
      <c r="AP28" s="265">
        <f t="shared" si="21"/>
        <v>0</v>
      </c>
      <c r="AQ28" s="265">
        <f t="shared" si="22"/>
        <v>0</v>
      </c>
      <c r="AR28" s="265">
        <f t="shared" si="23"/>
        <v>0</v>
      </c>
      <c r="AS28" s="265">
        <f t="shared" si="24"/>
        <v>0</v>
      </c>
      <c r="AT28" s="265">
        <f t="shared" si="73"/>
        <v>0</v>
      </c>
      <c r="AU28" s="265">
        <f t="shared" si="74"/>
        <v>0</v>
      </c>
      <c r="AV28" s="265">
        <f t="shared" si="25"/>
        <v>0</v>
      </c>
      <c r="AW28" s="265">
        <f t="shared" si="26"/>
        <v>0</v>
      </c>
      <c r="AX28" s="265">
        <f t="shared" si="27"/>
        <v>0</v>
      </c>
      <c r="AY28" s="265">
        <f t="shared" si="28"/>
        <v>0</v>
      </c>
      <c r="AZ28" s="265">
        <f t="shared" si="29"/>
        <v>0</v>
      </c>
      <c r="BA28" s="265">
        <f t="shared" si="30"/>
        <v>0</v>
      </c>
      <c r="BB28" s="265">
        <f t="shared" si="31"/>
        <v>0</v>
      </c>
      <c r="BC28" s="265">
        <f t="shared" si="32"/>
        <v>0</v>
      </c>
      <c r="BD28" s="265">
        <f t="shared" si="33"/>
        <v>0</v>
      </c>
      <c r="BE28" s="265">
        <f t="shared" si="34"/>
        <v>0</v>
      </c>
      <c r="BF28" s="265">
        <f t="shared" si="35"/>
        <v>0</v>
      </c>
      <c r="BG28" s="265">
        <f t="shared" si="36"/>
        <v>0</v>
      </c>
      <c r="BH28" s="265">
        <f t="shared" si="75"/>
        <v>0</v>
      </c>
      <c r="BI28" s="265">
        <f t="shared" si="76"/>
        <v>0</v>
      </c>
      <c r="BJ28" s="265">
        <f t="shared" si="37"/>
        <v>0</v>
      </c>
      <c r="BK28" s="265">
        <f t="shared" si="38"/>
        <v>0</v>
      </c>
      <c r="BL28" s="265">
        <f t="shared" si="39"/>
        <v>0</v>
      </c>
      <c r="BM28" s="265">
        <f t="shared" si="40"/>
        <v>0</v>
      </c>
      <c r="BN28" s="265">
        <f t="shared" si="41"/>
        <v>0</v>
      </c>
      <c r="BO28" s="265">
        <f t="shared" si="42"/>
        <v>0</v>
      </c>
      <c r="BP28" s="265">
        <f t="shared" si="77"/>
        <v>0</v>
      </c>
      <c r="BQ28" s="265">
        <f t="shared" si="78"/>
        <v>0</v>
      </c>
      <c r="BR28" s="265">
        <f t="shared" si="43"/>
        <v>0</v>
      </c>
      <c r="BS28" s="265">
        <f t="shared" si="44"/>
        <v>0</v>
      </c>
      <c r="BT28" s="265">
        <f t="shared" si="79"/>
        <v>0</v>
      </c>
      <c r="BU28" s="265">
        <f t="shared" si="80"/>
        <v>0</v>
      </c>
      <c r="BV28" s="265">
        <f t="shared" si="81"/>
        <v>0</v>
      </c>
      <c r="BW28" s="265">
        <f t="shared" si="82"/>
        <v>0</v>
      </c>
      <c r="BX28" s="265">
        <f t="shared" si="45"/>
        <v>0</v>
      </c>
      <c r="BY28" s="265">
        <f t="shared" si="46"/>
        <v>0</v>
      </c>
      <c r="BZ28" s="265">
        <f t="shared" si="47"/>
        <v>0</v>
      </c>
      <c r="CA28" s="265">
        <f t="shared" si="48"/>
        <v>0</v>
      </c>
      <c r="CB28" s="265">
        <f t="shared" si="49"/>
        <v>0</v>
      </c>
      <c r="CC28" s="265">
        <f t="shared" si="50"/>
        <v>0</v>
      </c>
      <c r="CD28" s="265">
        <f t="shared" si="83"/>
        <v>0</v>
      </c>
      <c r="CE28" s="265">
        <f t="shared" si="84"/>
        <v>0</v>
      </c>
      <c r="CF28" s="265">
        <f t="shared" si="85"/>
        <v>0</v>
      </c>
      <c r="CG28" s="265">
        <f t="shared" si="86"/>
        <v>0</v>
      </c>
      <c r="CH28" s="265">
        <f t="shared" si="51"/>
        <v>0</v>
      </c>
      <c r="CI28" s="265">
        <f t="shared" si="52"/>
        <v>0</v>
      </c>
      <c r="CJ28" s="265">
        <f t="shared" si="87"/>
        <v>0</v>
      </c>
      <c r="CK28" s="265">
        <f t="shared" si="88"/>
        <v>0</v>
      </c>
      <c r="CL28" s="265">
        <f t="shared" si="53"/>
        <v>0</v>
      </c>
      <c r="CM28" s="265">
        <f t="shared" si="54"/>
        <v>0</v>
      </c>
      <c r="CN28" s="265">
        <f t="shared" si="55"/>
        <v>0</v>
      </c>
      <c r="CO28" s="265">
        <f t="shared" si="56"/>
        <v>0</v>
      </c>
      <c r="CP28" s="265">
        <f t="shared" si="89"/>
        <v>0</v>
      </c>
      <c r="CQ28" s="265">
        <f t="shared" si="90"/>
        <v>0</v>
      </c>
      <c r="CR28" s="265">
        <f t="shared" si="91"/>
        <v>0</v>
      </c>
      <c r="CS28" s="265">
        <f t="shared" si="92"/>
        <v>0</v>
      </c>
      <c r="CT28" s="265">
        <f t="shared" si="57"/>
        <v>0</v>
      </c>
      <c r="CU28" s="265">
        <f t="shared" si="58"/>
        <v>0</v>
      </c>
      <c r="CV28" s="265">
        <f t="shared" si="59"/>
        <v>0</v>
      </c>
      <c r="CW28" s="265">
        <f t="shared" si="60"/>
        <v>0</v>
      </c>
      <c r="CX28" s="265">
        <f t="shared" si="93"/>
        <v>0</v>
      </c>
      <c r="CY28" s="265">
        <f t="shared" si="94"/>
        <v>0</v>
      </c>
      <c r="CZ28" s="265">
        <f t="shared" si="95"/>
        <v>0</v>
      </c>
      <c r="DA28" s="265">
        <f t="shared" si="96"/>
        <v>0</v>
      </c>
    </row>
    <row r="29" spans="1:105" s="262" customFormat="1" ht="15" customHeight="1">
      <c r="A29" s="63" t="str">
        <f t="array" ref="A29">IF(C29&lt;&gt;0,SUM(($C$11:C29&lt;&gt;0)*1),"")</f>
        <v/>
      </c>
      <c r="B29" s="263"/>
      <c r="C29" s="263"/>
      <c r="D29" s="263"/>
      <c r="E29" s="344"/>
      <c r="F29" s="314"/>
      <c r="G29" s="316"/>
      <c r="H29" s="316"/>
      <c r="I29" s="63" t="str">
        <f t="shared" si="97"/>
        <v/>
      </c>
      <c r="J29" s="265">
        <f t="shared" si="61"/>
        <v>0</v>
      </c>
      <c r="K29" s="265">
        <f t="shared" si="62"/>
        <v>0</v>
      </c>
      <c r="L29" s="265">
        <f t="shared" si="1"/>
        <v>0</v>
      </c>
      <c r="M29" s="265">
        <f t="shared" si="2"/>
        <v>0</v>
      </c>
      <c r="N29" s="265">
        <f t="shared" si="3"/>
        <v>0</v>
      </c>
      <c r="O29" s="265">
        <f t="shared" si="4"/>
        <v>0</v>
      </c>
      <c r="P29" s="265">
        <f t="shared" si="5"/>
        <v>0</v>
      </c>
      <c r="Q29" s="265">
        <f t="shared" si="6"/>
        <v>0</v>
      </c>
      <c r="R29" s="265">
        <f t="shared" si="7"/>
        <v>0</v>
      </c>
      <c r="S29" s="265">
        <f t="shared" si="8"/>
        <v>0</v>
      </c>
      <c r="T29" s="265">
        <f t="shared" si="9"/>
        <v>0</v>
      </c>
      <c r="U29" s="265">
        <f t="shared" si="10"/>
        <v>0</v>
      </c>
      <c r="V29" s="265">
        <f t="shared" si="11"/>
        <v>0</v>
      </c>
      <c r="W29" s="265">
        <f t="shared" si="12"/>
        <v>0</v>
      </c>
      <c r="X29" s="265">
        <f t="shared" si="13"/>
        <v>0</v>
      </c>
      <c r="Y29" s="265">
        <f t="shared" si="14"/>
        <v>0</v>
      </c>
      <c r="Z29" s="265">
        <f t="shared" si="15"/>
        <v>0</v>
      </c>
      <c r="AA29" s="265">
        <f t="shared" si="16"/>
        <v>0</v>
      </c>
      <c r="AB29" s="265">
        <f t="shared" si="63"/>
        <v>0</v>
      </c>
      <c r="AC29" s="265">
        <f t="shared" si="64"/>
        <v>0</v>
      </c>
      <c r="AD29" s="265">
        <f t="shared" si="17"/>
        <v>0</v>
      </c>
      <c r="AE29" s="265">
        <f t="shared" si="18"/>
        <v>0</v>
      </c>
      <c r="AF29" s="265">
        <f t="shared" si="19"/>
        <v>0</v>
      </c>
      <c r="AG29" s="265">
        <f t="shared" si="20"/>
        <v>0</v>
      </c>
      <c r="AH29" s="265">
        <f t="shared" si="65"/>
        <v>0</v>
      </c>
      <c r="AI29" s="265">
        <f t="shared" si="66"/>
        <v>0</v>
      </c>
      <c r="AJ29" s="265">
        <f t="shared" si="67"/>
        <v>0</v>
      </c>
      <c r="AK29" s="265">
        <f t="shared" si="68"/>
        <v>0</v>
      </c>
      <c r="AL29" s="265">
        <f t="shared" si="69"/>
        <v>0</v>
      </c>
      <c r="AM29" s="265">
        <f t="shared" si="70"/>
        <v>0</v>
      </c>
      <c r="AN29" s="265">
        <f t="shared" si="71"/>
        <v>0</v>
      </c>
      <c r="AO29" s="265">
        <f t="shared" si="72"/>
        <v>0</v>
      </c>
      <c r="AP29" s="265">
        <f t="shared" si="21"/>
        <v>0</v>
      </c>
      <c r="AQ29" s="265">
        <f t="shared" si="22"/>
        <v>0</v>
      </c>
      <c r="AR29" s="265">
        <f t="shared" si="23"/>
        <v>0</v>
      </c>
      <c r="AS29" s="265">
        <f t="shared" si="24"/>
        <v>0</v>
      </c>
      <c r="AT29" s="265">
        <f t="shared" si="73"/>
        <v>0</v>
      </c>
      <c r="AU29" s="265">
        <f t="shared" si="74"/>
        <v>0</v>
      </c>
      <c r="AV29" s="265">
        <f t="shared" si="25"/>
        <v>0</v>
      </c>
      <c r="AW29" s="265">
        <f t="shared" si="26"/>
        <v>0</v>
      </c>
      <c r="AX29" s="265">
        <f t="shared" si="27"/>
        <v>0</v>
      </c>
      <c r="AY29" s="265">
        <f t="shared" si="28"/>
        <v>0</v>
      </c>
      <c r="AZ29" s="265">
        <f t="shared" si="29"/>
        <v>0</v>
      </c>
      <c r="BA29" s="265">
        <f t="shared" si="30"/>
        <v>0</v>
      </c>
      <c r="BB29" s="265">
        <f t="shared" si="31"/>
        <v>0</v>
      </c>
      <c r="BC29" s="265">
        <f t="shared" si="32"/>
        <v>0</v>
      </c>
      <c r="BD29" s="265">
        <f t="shared" si="33"/>
        <v>0</v>
      </c>
      <c r="BE29" s="265">
        <f t="shared" si="34"/>
        <v>0</v>
      </c>
      <c r="BF29" s="265">
        <f t="shared" si="35"/>
        <v>0</v>
      </c>
      <c r="BG29" s="265">
        <f t="shared" si="36"/>
        <v>0</v>
      </c>
      <c r="BH29" s="265">
        <f t="shared" si="75"/>
        <v>0</v>
      </c>
      <c r="BI29" s="265">
        <f t="shared" si="76"/>
        <v>0</v>
      </c>
      <c r="BJ29" s="265">
        <f t="shared" si="37"/>
        <v>0</v>
      </c>
      <c r="BK29" s="265">
        <f t="shared" si="38"/>
        <v>0</v>
      </c>
      <c r="BL29" s="265">
        <f t="shared" si="39"/>
        <v>0</v>
      </c>
      <c r="BM29" s="265">
        <f t="shared" si="40"/>
        <v>0</v>
      </c>
      <c r="BN29" s="265">
        <f t="shared" si="41"/>
        <v>0</v>
      </c>
      <c r="BO29" s="265">
        <f t="shared" si="42"/>
        <v>0</v>
      </c>
      <c r="BP29" s="265">
        <f t="shared" si="77"/>
        <v>0</v>
      </c>
      <c r="BQ29" s="265">
        <f t="shared" si="78"/>
        <v>0</v>
      </c>
      <c r="BR29" s="265">
        <f t="shared" si="43"/>
        <v>0</v>
      </c>
      <c r="BS29" s="265">
        <f t="shared" si="44"/>
        <v>0</v>
      </c>
      <c r="BT29" s="265">
        <f t="shared" si="79"/>
        <v>0</v>
      </c>
      <c r="BU29" s="265">
        <f t="shared" si="80"/>
        <v>0</v>
      </c>
      <c r="BV29" s="265">
        <f t="shared" si="81"/>
        <v>0</v>
      </c>
      <c r="BW29" s="265">
        <f t="shared" si="82"/>
        <v>0</v>
      </c>
      <c r="BX29" s="265">
        <f t="shared" si="45"/>
        <v>0</v>
      </c>
      <c r="BY29" s="265">
        <f t="shared" si="46"/>
        <v>0</v>
      </c>
      <c r="BZ29" s="265">
        <f t="shared" si="47"/>
        <v>0</v>
      </c>
      <c r="CA29" s="265">
        <f t="shared" si="48"/>
        <v>0</v>
      </c>
      <c r="CB29" s="265">
        <f t="shared" si="49"/>
        <v>0</v>
      </c>
      <c r="CC29" s="265">
        <f t="shared" si="50"/>
        <v>0</v>
      </c>
      <c r="CD29" s="265">
        <f t="shared" si="83"/>
        <v>0</v>
      </c>
      <c r="CE29" s="265">
        <f t="shared" si="84"/>
        <v>0</v>
      </c>
      <c r="CF29" s="265">
        <f t="shared" si="85"/>
        <v>0</v>
      </c>
      <c r="CG29" s="265">
        <f t="shared" si="86"/>
        <v>0</v>
      </c>
      <c r="CH29" s="265">
        <f t="shared" si="51"/>
        <v>0</v>
      </c>
      <c r="CI29" s="265">
        <f t="shared" si="52"/>
        <v>0</v>
      </c>
      <c r="CJ29" s="265">
        <f t="shared" si="87"/>
        <v>0</v>
      </c>
      <c r="CK29" s="265">
        <f t="shared" si="88"/>
        <v>0</v>
      </c>
      <c r="CL29" s="265">
        <f t="shared" si="53"/>
        <v>0</v>
      </c>
      <c r="CM29" s="265">
        <f t="shared" si="54"/>
        <v>0</v>
      </c>
      <c r="CN29" s="265">
        <f t="shared" si="55"/>
        <v>0</v>
      </c>
      <c r="CO29" s="265">
        <f t="shared" si="56"/>
        <v>0</v>
      </c>
      <c r="CP29" s="265">
        <f t="shared" si="89"/>
        <v>0</v>
      </c>
      <c r="CQ29" s="265">
        <f t="shared" si="90"/>
        <v>0</v>
      </c>
      <c r="CR29" s="265">
        <f t="shared" si="91"/>
        <v>0</v>
      </c>
      <c r="CS29" s="265">
        <f t="shared" si="92"/>
        <v>0</v>
      </c>
      <c r="CT29" s="265">
        <f t="shared" si="57"/>
        <v>0</v>
      </c>
      <c r="CU29" s="265">
        <f t="shared" si="58"/>
        <v>0</v>
      </c>
      <c r="CV29" s="265">
        <f t="shared" si="59"/>
        <v>0</v>
      </c>
      <c r="CW29" s="265">
        <f t="shared" si="60"/>
        <v>0</v>
      </c>
      <c r="CX29" s="265">
        <f t="shared" si="93"/>
        <v>0</v>
      </c>
      <c r="CY29" s="265">
        <f t="shared" si="94"/>
        <v>0</v>
      </c>
      <c r="CZ29" s="265">
        <f t="shared" si="95"/>
        <v>0</v>
      </c>
      <c r="DA29" s="265">
        <f t="shared" si="96"/>
        <v>0</v>
      </c>
    </row>
    <row r="30" spans="1:105" s="262" customFormat="1" ht="15" customHeight="1">
      <c r="A30" s="63" t="str">
        <f t="array" ref="A30">IF(C30&lt;&gt;0,SUM(($C$11:C30&lt;&gt;0)*1),"")</f>
        <v/>
      </c>
      <c r="B30" s="263"/>
      <c r="C30" s="263"/>
      <c r="D30" s="263"/>
      <c r="E30" s="344"/>
      <c r="F30" s="314"/>
      <c r="G30" s="316"/>
      <c r="H30" s="316"/>
      <c r="I30" s="63" t="str">
        <f t="shared" si="97"/>
        <v/>
      </c>
      <c r="J30" s="265">
        <f t="shared" si="61"/>
        <v>0</v>
      </c>
      <c r="K30" s="265">
        <f t="shared" si="62"/>
        <v>0</v>
      </c>
      <c r="L30" s="265">
        <f t="shared" si="1"/>
        <v>0</v>
      </c>
      <c r="M30" s="265">
        <f t="shared" si="2"/>
        <v>0</v>
      </c>
      <c r="N30" s="265">
        <f t="shared" si="3"/>
        <v>0</v>
      </c>
      <c r="O30" s="265">
        <f t="shared" si="4"/>
        <v>0</v>
      </c>
      <c r="P30" s="265">
        <f t="shared" si="5"/>
        <v>0</v>
      </c>
      <c r="Q30" s="265">
        <f t="shared" si="6"/>
        <v>0</v>
      </c>
      <c r="R30" s="265">
        <f t="shared" si="7"/>
        <v>0</v>
      </c>
      <c r="S30" s="265">
        <f t="shared" si="8"/>
        <v>0</v>
      </c>
      <c r="T30" s="265">
        <f t="shared" si="9"/>
        <v>0</v>
      </c>
      <c r="U30" s="265">
        <f t="shared" si="10"/>
        <v>0</v>
      </c>
      <c r="V30" s="265">
        <f t="shared" si="11"/>
        <v>0</v>
      </c>
      <c r="W30" s="265">
        <f t="shared" si="12"/>
        <v>0</v>
      </c>
      <c r="X30" s="265">
        <f t="shared" si="13"/>
        <v>0</v>
      </c>
      <c r="Y30" s="265">
        <f t="shared" si="14"/>
        <v>0</v>
      </c>
      <c r="Z30" s="265">
        <f t="shared" si="15"/>
        <v>0</v>
      </c>
      <c r="AA30" s="265">
        <f t="shared" si="16"/>
        <v>0</v>
      </c>
      <c r="AB30" s="265">
        <f t="shared" si="63"/>
        <v>0</v>
      </c>
      <c r="AC30" s="265">
        <f t="shared" si="64"/>
        <v>0</v>
      </c>
      <c r="AD30" s="265">
        <f t="shared" si="17"/>
        <v>0</v>
      </c>
      <c r="AE30" s="265">
        <f t="shared" si="18"/>
        <v>0</v>
      </c>
      <c r="AF30" s="265">
        <f t="shared" si="19"/>
        <v>0</v>
      </c>
      <c r="AG30" s="265">
        <f t="shared" si="20"/>
        <v>0</v>
      </c>
      <c r="AH30" s="265">
        <f t="shared" si="65"/>
        <v>0</v>
      </c>
      <c r="AI30" s="265">
        <f t="shared" si="66"/>
        <v>0</v>
      </c>
      <c r="AJ30" s="265">
        <f t="shared" si="67"/>
        <v>0</v>
      </c>
      <c r="AK30" s="265">
        <f t="shared" si="68"/>
        <v>0</v>
      </c>
      <c r="AL30" s="265">
        <f t="shared" si="69"/>
        <v>0</v>
      </c>
      <c r="AM30" s="265">
        <f t="shared" si="70"/>
        <v>0</v>
      </c>
      <c r="AN30" s="265">
        <f t="shared" si="71"/>
        <v>0</v>
      </c>
      <c r="AO30" s="265">
        <f t="shared" si="72"/>
        <v>0</v>
      </c>
      <c r="AP30" s="265">
        <f t="shared" si="21"/>
        <v>0</v>
      </c>
      <c r="AQ30" s="265">
        <f t="shared" si="22"/>
        <v>0</v>
      </c>
      <c r="AR30" s="265">
        <f t="shared" si="23"/>
        <v>0</v>
      </c>
      <c r="AS30" s="265">
        <f t="shared" si="24"/>
        <v>0</v>
      </c>
      <c r="AT30" s="265">
        <f t="shared" si="73"/>
        <v>0</v>
      </c>
      <c r="AU30" s="265">
        <f t="shared" si="74"/>
        <v>0</v>
      </c>
      <c r="AV30" s="265">
        <f t="shared" si="25"/>
        <v>0</v>
      </c>
      <c r="AW30" s="265">
        <f t="shared" si="26"/>
        <v>0</v>
      </c>
      <c r="AX30" s="265">
        <f t="shared" si="27"/>
        <v>0</v>
      </c>
      <c r="AY30" s="265">
        <f t="shared" si="28"/>
        <v>0</v>
      </c>
      <c r="AZ30" s="265">
        <f t="shared" si="29"/>
        <v>0</v>
      </c>
      <c r="BA30" s="265">
        <f t="shared" si="30"/>
        <v>0</v>
      </c>
      <c r="BB30" s="265">
        <f t="shared" si="31"/>
        <v>0</v>
      </c>
      <c r="BC30" s="265">
        <f t="shared" si="32"/>
        <v>0</v>
      </c>
      <c r="BD30" s="265">
        <f t="shared" si="33"/>
        <v>0</v>
      </c>
      <c r="BE30" s="265">
        <f t="shared" si="34"/>
        <v>0</v>
      </c>
      <c r="BF30" s="265">
        <f t="shared" si="35"/>
        <v>0</v>
      </c>
      <c r="BG30" s="265">
        <f t="shared" si="36"/>
        <v>0</v>
      </c>
      <c r="BH30" s="265">
        <f t="shared" si="75"/>
        <v>0</v>
      </c>
      <c r="BI30" s="265">
        <f t="shared" si="76"/>
        <v>0</v>
      </c>
      <c r="BJ30" s="265">
        <f t="shared" si="37"/>
        <v>0</v>
      </c>
      <c r="BK30" s="265">
        <f t="shared" si="38"/>
        <v>0</v>
      </c>
      <c r="BL30" s="265">
        <f t="shared" si="39"/>
        <v>0</v>
      </c>
      <c r="BM30" s="265">
        <f t="shared" si="40"/>
        <v>0</v>
      </c>
      <c r="BN30" s="265">
        <f t="shared" si="41"/>
        <v>0</v>
      </c>
      <c r="BO30" s="265">
        <f t="shared" si="42"/>
        <v>0</v>
      </c>
      <c r="BP30" s="265">
        <f t="shared" si="77"/>
        <v>0</v>
      </c>
      <c r="BQ30" s="265">
        <f t="shared" si="78"/>
        <v>0</v>
      </c>
      <c r="BR30" s="265">
        <f t="shared" si="43"/>
        <v>0</v>
      </c>
      <c r="BS30" s="265">
        <f t="shared" si="44"/>
        <v>0</v>
      </c>
      <c r="BT30" s="265">
        <f t="shared" si="79"/>
        <v>0</v>
      </c>
      <c r="BU30" s="265">
        <f t="shared" si="80"/>
        <v>0</v>
      </c>
      <c r="BV30" s="265">
        <f t="shared" si="81"/>
        <v>0</v>
      </c>
      <c r="BW30" s="265">
        <f t="shared" si="82"/>
        <v>0</v>
      </c>
      <c r="BX30" s="265">
        <f t="shared" si="45"/>
        <v>0</v>
      </c>
      <c r="BY30" s="265">
        <f t="shared" si="46"/>
        <v>0</v>
      </c>
      <c r="BZ30" s="265">
        <f t="shared" si="47"/>
        <v>0</v>
      </c>
      <c r="CA30" s="265">
        <f t="shared" si="48"/>
        <v>0</v>
      </c>
      <c r="CB30" s="265">
        <f t="shared" si="49"/>
        <v>0</v>
      </c>
      <c r="CC30" s="265">
        <f t="shared" si="50"/>
        <v>0</v>
      </c>
      <c r="CD30" s="265">
        <f t="shared" si="83"/>
        <v>0</v>
      </c>
      <c r="CE30" s="265">
        <f t="shared" si="84"/>
        <v>0</v>
      </c>
      <c r="CF30" s="265">
        <f t="shared" si="85"/>
        <v>0</v>
      </c>
      <c r="CG30" s="265">
        <f t="shared" si="86"/>
        <v>0</v>
      </c>
      <c r="CH30" s="265">
        <f t="shared" si="51"/>
        <v>0</v>
      </c>
      <c r="CI30" s="265">
        <f t="shared" si="52"/>
        <v>0</v>
      </c>
      <c r="CJ30" s="265">
        <f t="shared" si="87"/>
        <v>0</v>
      </c>
      <c r="CK30" s="265">
        <f t="shared" si="88"/>
        <v>0</v>
      </c>
      <c r="CL30" s="265">
        <f t="shared" si="53"/>
        <v>0</v>
      </c>
      <c r="CM30" s="265">
        <f t="shared" si="54"/>
        <v>0</v>
      </c>
      <c r="CN30" s="265">
        <f t="shared" si="55"/>
        <v>0</v>
      </c>
      <c r="CO30" s="265">
        <f t="shared" si="56"/>
        <v>0</v>
      </c>
      <c r="CP30" s="265">
        <f t="shared" si="89"/>
        <v>0</v>
      </c>
      <c r="CQ30" s="265">
        <f t="shared" si="90"/>
        <v>0</v>
      </c>
      <c r="CR30" s="265">
        <f t="shared" si="91"/>
        <v>0</v>
      </c>
      <c r="CS30" s="265">
        <f t="shared" si="92"/>
        <v>0</v>
      </c>
      <c r="CT30" s="265">
        <f t="shared" si="57"/>
        <v>0</v>
      </c>
      <c r="CU30" s="265">
        <f t="shared" si="58"/>
        <v>0</v>
      </c>
      <c r="CV30" s="265">
        <f t="shared" si="59"/>
        <v>0</v>
      </c>
      <c r="CW30" s="265">
        <f t="shared" si="60"/>
        <v>0</v>
      </c>
      <c r="CX30" s="265">
        <f t="shared" si="93"/>
        <v>0</v>
      </c>
      <c r="CY30" s="265">
        <f t="shared" si="94"/>
        <v>0</v>
      </c>
      <c r="CZ30" s="265">
        <f t="shared" si="95"/>
        <v>0</v>
      </c>
      <c r="DA30" s="265">
        <f t="shared" si="96"/>
        <v>0</v>
      </c>
    </row>
    <row r="31" spans="1:105" s="262" customFormat="1" ht="15" customHeight="1">
      <c r="A31" s="63" t="str">
        <f t="array" ref="A31">IF(C31&lt;&gt;0,SUM(($C$11:C31&lt;&gt;0)*1),"")</f>
        <v/>
      </c>
      <c r="B31" s="263"/>
      <c r="C31" s="263"/>
      <c r="D31" s="263"/>
      <c r="E31" s="344"/>
      <c r="F31" s="314"/>
      <c r="G31" s="316"/>
      <c r="H31" s="316"/>
      <c r="I31" s="63" t="str">
        <f t="shared" si="97"/>
        <v/>
      </c>
      <c r="J31" s="265">
        <f t="shared" si="61"/>
        <v>0</v>
      </c>
      <c r="K31" s="265">
        <f t="shared" si="62"/>
        <v>0</v>
      </c>
      <c r="L31" s="265">
        <f t="shared" si="1"/>
        <v>0</v>
      </c>
      <c r="M31" s="265">
        <f t="shared" si="2"/>
        <v>0</v>
      </c>
      <c r="N31" s="265">
        <f t="shared" si="3"/>
        <v>0</v>
      </c>
      <c r="O31" s="265">
        <f t="shared" si="4"/>
        <v>0</v>
      </c>
      <c r="P31" s="265">
        <f t="shared" si="5"/>
        <v>0</v>
      </c>
      <c r="Q31" s="265">
        <f t="shared" si="6"/>
        <v>0</v>
      </c>
      <c r="R31" s="265">
        <f t="shared" si="7"/>
        <v>0</v>
      </c>
      <c r="S31" s="265">
        <f t="shared" si="8"/>
        <v>0</v>
      </c>
      <c r="T31" s="265">
        <f t="shared" si="9"/>
        <v>0</v>
      </c>
      <c r="U31" s="265">
        <f t="shared" si="10"/>
        <v>0</v>
      </c>
      <c r="V31" s="265">
        <f t="shared" si="11"/>
        <v>0</v>
      </c>
      <c r="W31" s="265">
        <f t="shared" si="12"/>
        <v>0</v>
      </c>
      <c r="X31" s="265">
        <f t="shared" si="13"/>
        <v>0</v>
      </c>
      <c r="Y31" s="265">
        <f t="shared" si="14"/>
        <v>0</v>
      </c>
      <c r="Z31" s="265">
        <f t="shared" si="15"/>
        <v>0</v>
      </c>
      <c r="AA31" s="265">
        <f t="shared" si="16"/>
        <v>0</v>
      </c>
      <c r="AB31" s="265">
        <f t="shared" si="63"/>
        <v>0</v>
      </c>
      <c r="AC31" s="265">
        <f t="shared" si="64"/>
        <v>0</v>
      </c>
      <c r="AD31" s="265">
        <f t="shared" si="17"/>
        <v>0</v>
      </c>
      <c r="AE31" s="265">
        <f t="shared" si="18"/>
        <v>0</v>
      </c>
      <c r="AF31" s="265">
        <f t="shared" si="19"/>
        <v>0</v>
      </c>
      <c r="AG31" s="265">
        <f t="shared" si="20"/>
        <v>0</v>
      </c>
      <c r="AH31" s="265">
        <f t="shared" si="65"/>
        <v>0</v>
      </c>
      <c r="AI31" s="265">
        <f t="shared" si="66"/>
        <v>0</v>
      </c>
      <c r="AJ31" s="265">
        <f t="shared" si="67"/>
        <v>0</v>
      </c>
      <c r="AK31" s="265">
        <f t="shared" si="68"/>
        <v>0</v>
      </c>
      <c r="AL31" s="265">
        <f t="shared" si="69"/>
        <v>0</v>
      </c>
      <c r="AM31" s="265">
        <f t="shared" si="70"/>
        <v>0</v>
      </c>
      <c r="AN31" s="265">
        <f t="shared" si="71"/>
        <v>0</v>
      </c>
      <c r="AO31" s="265">
        <f t="shared" si="72"/>
        <v>0</v>
      </c>
      <c r="AP31" s="265">
        <f t="shared" si="21"/>
        <v>0</v>
      </c>
      <c r="AQ31" s="265">
        <f t="shared" si="22"/>
        <v>0</v>
      </c>
      <c r="AR31" s="265">
        <f t="shared" si="23"/>
        <v>0</v>
      </c>
      <c r="AS31" s="265">
        <f t="shared" si="24"/>
        <v>0</v>
      </c>
      <c r="AT31" s="265">
        <f t="shared" si="73"/>
        <v>0</v>
      </c>
      <c r="AU31" s="265">
        <f t="shared" si="74"/>
        <v>0</v>
      </c>
      <c r="AV31" s="265">
        <f t="shared" si="25"/>
        <v>0</v>
      </c>
      <c r="AW31" s="265">
        <f t="shared" si="26"/>
        <v>0</v>
      </c>
      <c r="AX31" s="265">
        <f t="shared" si="27"/>
        <v>0</v>
      </c>
      <c r="AY31" s="265">
        <f t="shared" si="28"/>
        <v>0</v>
      </c>
      <c r="AZ31" s="265">
        <f t="shared" si="29"/>
        <v>0</v>
      </c>
      <c r="BA31" s="265">
        <f t="shared" si="30"/>
        <v>0</v>
      </c>
      <c r="BB31" s="265">
        <f t="shared" si="31"/>
        <v>0</v>
      </c>
      <c r="BC31" s="265">
        <f t="shared" si="32"/>
        <v>0</v>
      </c>
      <c r="BD31" s="265">
        <f t="shared" si="33"/>
        <v>0</v>
      </c>
      <c r="BE31" s="265">
        <f t="shared" si="34"/>
        <v>0</v>
      </c>
      <c r="BF31" s="265">
        <f t="shared" si="35"/>
        <v>0</v>
      </c>
      <c r="BG31" s="265">
        <f t="shared" si="36"/>
        <v>0</v>
      </c>
      <c r="BH31" s="265">
        <f t="shared" si="75"/>
        <v>0</v>
      </c>
      <c r="BI31" s="265">
        <f t="shared" si="76"/>
        <v>0</v>
      </c>
      <c r="BJ31" s="265">
        <f t="shared" si="37"/>
        <v>0</v>
      </c>
      <c r="BK31" s="265">
        <f t="shared" si="38"/>
        <v>0</v>
      </c>
      <c r="BL31" s="265">
        <f t="shared" si="39"/>
        <v>0</v>
      </c>
      <c r="BM31" s="265">
        <f t="shared" si="40"/>
        <v>0</v>
      </c>
      <c r="BN31" s="265">
        <f t="shared" si="41"/>
        <v>0</v>
      </c>
      <c r="BO31" s="265">
        <f t="shared" si="42"/>
        <v>0</v>
      </c>
      <c r="BP31" s="265">
        <f t="shared" si="77"/>
        <v>0</v>
      </c>
      <c r="BQ31" s="265">
        <f t="shared" si="78"/>
        <v>0</v>
      </c>
      <c r="BR31" s="265">
        <f t="shared" si="43"/>
        <v>0</v>
      </c>
      <c r="BS31" s="265">
        <f t="shared" si="44"/>
        <v>0</v>
      </c>
      <c r="BT31" s="265">
        <f t="shared" si="79"/>
        <v>0</v>
      </c>
      <c r="BU31" s="265">
        <f t="shared" si="80"/>
        <v>0</v>
      </c>
      <c r="BV31" s="265">
        <f t="shared" si="81"/>
        <v>0</v>
      </c>
      <c r="BW31" s="265">
        <f t="shared" si="82"/>
        <v>0</v>
      </c>
      <c r="BX31" s="265">
        <f t="shared" si="45"/>
        <v>0</v>
      </c>
      <c r="BY31" s="265">
        <f t="shared" si="46"/>
        <v>0</v>
      </c>
      <c r="BZ31" s="265">
        <f t="shared" si="47"/>
        <v>0</v>
      </c>
      <c r="CA31" s="265">
        <f t="shared" si="48"/>
        <v>0</v>
      </c>
      <c r="CB31" s="265">
        <f t="shared" si="49"/>
        <v>0</v>
      </c>
      <c r="CC31" s="265">
        <f t="shared" si="50"/>
        <v>0</v>
      </c>
      <c r="CD31" s="265">
        <f t="shared" si="83"/>
        <v>0</v>
      </c>
      <c r="CE31" s="265">
        <f t="shared" si="84"/>
        <v>0</v>
      </c>
      <c r="CF31" s="265">
        <f t="shared" si="85"/>
        <v>0</v>
      </c>
      <c r="CG31" s="265">
        <f t="shared" si="86"/>
        <v>0</v>
      </c>
      <c r="CH31" s="265">
        <f t="shared" si="51"/>
        <v>0</v>
      </c>
      <c r="CI31" s="265">
        <f t="shared" si="52"/>
        <v>0</v>
      </c>
      <c r="CJ31" s="265">
        <f t="shared" si="87"/>
        <v>0</v>
      </c>
      <c r="CK31" s="265">
        <f t="shared" si="88"/>
        <v>0</v>
      </c>
      <c r="CL31" s="265">
        <f t="shared" si="53"/>
        <v>0</v>
      </c>
      <c r="CM31" s="265">
        <f t="shared" si="54"/>
        <v>0</v>
      </c>
      <c r="CN31" s="265">
        <f t="shared" si="55"/>
        <v>0</v>
      </c>
      <c r="CO31" s="265">
        <f t="shared" si="56"/>
        <v>0</v>
      </c>
      <c r="CP31" s="265">
        <f t="shared" si="89"/>
        <v>0</v>
      </c>
      <c r="CQ31" s="265">
        <f t="shared" si="90"/>
        <v>0</v>
      </c>
      <c r="CR31" s="265">
        <f t="shared" si="91"/>
        <v>0</v>
      </c>
      <c r="CS31" s="265">
        <f t="shared" si="92"/>
        <v>0</v>
      </c>
      <c r="CT31" s="265">
        <f t="shared" si="57"/>
        <v>0</v>
      </c>
      <c r="CU31" s="265">
        <f t="shared" si="58"/>
        <v>0</v>
      </c>
      <c r="CV31" s="265">
        <f t="shared" si="59"/>
        <v>0</v>
      </c>
      <c r="CW31" s="265">
        <f t="shared" si="60"/>
        <v>0</v>
      </c>
      <c r="CX31" s="265">
        <f t="shared" si="93"/>
        <v>0</v>
      </c>
      <c r="CY31" s="265">
        <f t="shared" si="94"/>
        <v>0</v>
      </c>
      <c r="CZ31" s="265">
        <f t="shared" si="95"/>
        <v>0</v>
      </c>
      <c r="DA31" s="265">
        <f t="shared" si="96"/>
        <v>0</v>
      </c>
    </row>
    <row r="32" spans="1:105" s="262" customFormat="1" ht="15" customHeight="1">
      <c r="A32" s="63" t="str">
        <f t="array" ref="A32">IF(C32&lt;&gt;0,SUM(($C$11:C32&lt;&gt;0)*1),"")</f>
        <v/>
      </c>
      <c r="B32" s="263"/>
      <c r="C32" s="263"/>
      <c r="D32" s="263"/>
      <c r="E32" s="344"/>
      <c r="F32" s="314"/>
      <c r="G32" s="316"/>
      <c r="H32" s="316"/>
      <c r="I32" s="63" t="str">
        <f t="shared" si="97"/>
        <v/>
      </c>
      <c r="J32" s="265">
        <f t="shared" si="61"/>
        <v>0</v>
      </c>
      <c r="K32" s="265">
        <f t="shared" si="62"/>
        <v>0</v>
      </c>
      <c r="L32" s="265">
        <f t="shared" si="1"/>
        <v>0</v>
      </c>
      <c r="M32" s="265">
        <f t="shared" si="2"/>
        <v>0</v>
      </c>
      <c r="N32" s="265">
        <f t="shared" si="3"/>
        <v>0</v>
      </c>
      <c r="O32" s="265">
        <f t="shared" si="4"/>
        <v>0</v>
      </c>
      <c r="P32" s="265">
        <f t="shared" si="5"/>
        <v>0</v>
      </c>
      <c r="Q32" s="265">
        <f t="shared" si="6"/>
        <v>0</v>
      </c>
      <c r="R32" s="265">
        <f t="shared" si="7"/>
        <v>0</v>
      </c>
      <c r="S32" s="265">
        <f t="shared" si="8"/>
        <v>0</v>
      </c>
      <c r="T32" s="265">
        <f t="shared" si="9"/>
        <v>0</v>
      </c>
      <c r="U32" s="265">
        <f t="shared" si="10"/>
        <v>0</v>
      </c>
      <c r="V32" s="265">
        <f t="shared" si="11"/>
        <v>0</v>
      </c>
      <c r="W32" s="265">
        <f t="shared" si="12"/>
        <v>0</v>
      </c>
      <c r="X32" s="265">
        <f t="shared" si="13"/>
        <v>0</v>
      </c>
      <c r="Y32" s="265">
        <f t="shared" si="14"/>
        <v>0</v>
      </c>
      <c r="Z32" s="265">
        <f t="shared" si="15"/>
        <v>0</v>
      </c>
      <c r="AA32" s="265">
        <f t="shared" si="16"/>
        <v>0</v>
      </c>
      <c r="AB32" s="265">
        <f t="shared" si="63"/>
        <v>0</v>
      </c>
      <c r="AC32" s="265">
        <f t="shared" si="64"/>
        <v>0</v>
      </c>
      <c r="AD32" s="265">
        <f t="shared" si="17"/>
        <v>0</v>
      </c>
      <c r="AE32" s="265">
        <f t="shared" si="18"/>
        <v>0</v>
      </c>
      <c r="AF32" s="265">
        <f t="shared" si="19"/>
        <v>0</v>
      </c>
      <c r="AG32" s="265">
        <f t="shared" si="20"/>
        <v>0</v>
      </c>
      <c r="AH32" s="265">
        <f t="shared" si="65"/>
        <v>0</v>
      </c>
      <c r="AI32" s="265">
        <f t="shared" si="66"/>
        <v>0</v>
      </c>
      <c r="AJ32" s="265">
        <f t="shared" si="67"/>
        <v>0</v>
      </c>
      <c r="AK32" s="265">
        <f t="shared" si="68"/>
        <v>0</v>
      </c>
      <c r="AL32" s="265">
        <f t="shared" si="69"/>
        <v>0</v>
      </c>
      <c r="AM32" s="265">
        <f t="shared" si="70"/>
        <v>0</v>
      </c>
      <c r="AN32" s="265">
        <f t="shared" si="71"/>
        <v>0</v>
      </c>
      <c r="AO32" s="265">
        <f t="shared" si="72"/>
        <v>0</v>
      </c>
      <c r="AP32" s="265">
        <f t="shared" si="21"/>
        <v>0</v>
      </c>
      <c r="AQ32" s="265">
        <f t="shared" si="22"/>
        <v>0</v>
      </c>
      <c r="AR32" s="265">
        <f t="shared" si="23"/>
        <v>0</v>
      </c>
      <c r="AS32" s="265">
        <f t="shared" si="24"/>
        <v>0</v>
      </c>
      <c r="AT32" s="265">
        <f t="shared" si="73"/>
        <v>0</v>
      </c>
      <c r="AU32" s="265">
        <f t="shared" si="74"/>
        <v>0</v>
      </c>
      <c r="AV32" s="265">
        <f t="shared" si="25"/>
        <v>0</v>
      </c>
      <c r="AW32" s="265">
        <f t="shared" si="26"/>
        <v>0</v>
      </c>
      <c r="AX32" s="265">
        <f t="shared" si="27"/>
        <v>0</v>
      </c>
      <c r="AY32" s="265">
        <f t="shared" si="28"/>
        <v>0</v>
      </c>
      <c r="AZ32" s="265">
        <f t="shared" si="29"/>
        <v>0</v>
      </c>
      <c r="BA32" s="265">
        <f t="shared" si="30"/>
        <v>0</v>
      </c>
      <c r="BB32" s="265">
        <f t="shared" si="31"/>
        <v>0</v>
      </c>
      <c r="BC32" s="265">
        <f t="shared" si="32"/>
        <v>0</v>
      </c>
      <c r="BD32" s="265">
        <f t="shared" si="33"/>
        <v>0</v>
      </c>
      <c r="BE32" s="265">
        <f t="shared" si="34"/>
        <v>0</v>
      </c>
      <c r="BF32" s="265">
        <f t="shared" si="35"/>
        <v>0</v>
      </c>
      <c r="BG32" s="265">
        <f t="shared" si="36"/>
        <v>0</v>
      </c>
      <c r="BH32" s="265">
        <f t="shared" si="75"/>
        <v>0</v>
      </c>
      <c r="BI32" s="265">
        <f t="shared" si="76"/>
        <v>0</v>
      </c>
      <c r="BJ32" s="265">
        <f t="shared" si="37"/>
        <v>0</v>
      </c>
      <c r="BK32" s="265">
        <f t="shared" si="38"/>
        <v>0</v>
      </c>
      <c r="BL32" s="265">
        <f t="shared" si="39"/>
        <v>0</v>
      </c>
      <c r="BM32" s="265">
        <f t="shared" si="40"/>
        <v>0</v>
      </c>
      <c r="BN32" s="265">
        <f t="shared" si="41"/>
        <v>0</v>
      </c>
      <c r="BO32" s="265">
        <f t="shared" si="42"/>
        <v>0</v>
      </c>
      <c r="BP32" s="265">
        <f t="shared" si="77"/>
        <v>0</v>
      </c>
      <c r="BQ32" s="265">
        <f t="shared" si="78"/>
        <v>0</v>
      </c>
      <c r="BR32" s="265">
        <f t="shared" si="43"/>
        <v>0</v>
      </c>
      <c r="BS32" s="265">
        <f t="shared" si="44"/>
        <v>0</v>
      </c>
      <c r="BT32" s="265">
        <f t="shared" si="79"/>
        <v>0</v>
      </c>
      <c r="BU32" s="265">
        <f t="shared" si="80"/>
        <v>0</v>
      </c>
      <c r="BV32" s="265">
        <f t="shared" si="81"/>
        <v>0</v>
      </c>
      <c r="BW32" s="265">
        <f t="shared" si="82"/>
        <v>0</v>
      </c>
      <c r="BX32" s="265">
        <f t="shared" si="45"/>
        <v>0</v>
      </c>
      <c r="BY32" s="265">
        <f t="shared" si="46"/>
        <v>0</v>
      </c>
      <c r="BZ32" s="265">
        <f t="shared" si="47"/>
        <v>0</v>
      </c>
      <c r="CA32" s="265">
        <f t="shared" si="48"/>
        <v>0</v>
      </c>
      <c r="CB32" s="265">
        <f t="shared" si="49"/>
        <v>0</v>
      </c>
      <c r="CC32" s="265">
        <f t="shared" si="50"/>
        <v>0</v>
      </c>
      <c r="CD32" s="265">
        <f t="shared" si="83"/>
        <v>0</v>
      </c>
      <c r="CE32" s="265">
        <f t="shared" si="84"/>
        <v>0</v>
      </c>
      <c r="CF32" s="265">
        <f t="shared" si="85"/>
        <v>0</v>
      </c>
      <c r="CG32" s="265">
        <f t="shared" si="86"/>
        <v>0</v>
      </c>
      <c r="CH32" s="265">
        <f t="shared" si="51"/>
        <v>0</v>
      </c>
      <c r="CI32" s="265">
        <f t="shared" si="52"/>
        <v>0</v>
      </c>
      <c r="CJ32" s="265">
        <f t="shared" si="87"/>
        <v>0</v>
      </c>
      <c r="CK32" s="265">
        <f t="shared" si="88"/>
        <v>0</v>
      </c>
      <c r="CL32" s="265">
        <f t="shared" si="53"/>
        <v>0</v>
      </c>
      <c r="CM32" s="265">
        <f t="shared" si="54"/>
        <v>0</v>
      </c>
      <c r="CN32" s="265">
        <f t="shared" si="55"/>
        <v>0</v>
      </c>
      <c r="CO32" s="265">
        <f t="shared" si="56"/>
        <v>0</v>
      </c>
      <c r="CP32" s="265">
        <f t="shared" si="89"/>
        <v>0</v>
      </c>
      <c r="CQ32" s="265">
        <f t="shared" si="90"/>
        <v>0</v>
      </c>
      <c r="CR32" s="265">
        <f t="shared" si="91"/>
        <v>0</v>
      </c>
      <c r="CS32" s="265">
        <f t="shared" si="92"/>
        <v>0</v>
      </c>
      <c r="CT32" s="265">
        <f t="shared" si="57"/>
        <v>0</v>
      </c>
      <c r="CU32" s="265">
        <f t="shared" si="58"/>
        <v>0</v>
      </c>
      <c r="CV32" s="265">
        <f t="shared" si="59"/>
        <v>0</v>
      </c>
      <c r="CW32" s="265">
        <f t="shared" si="60"/>
        <v>0</v>
      </c>
      <c r="CX32" s="265">
        <f t="shared" si="93"/>
        <v>0</v>
      </c>
      <c r="CY32" s="265">
        <f t="shared" si="94"/>
        <v>0</v>
      </c>
      <c r="CZ32" s="265">
        <f t="shared" si="95"/>
        <v>0</v>
      </c>
      <c r="DA32" s="265">
        <f t="shared" si="96"/>
        <v>0</v>
      </c>
    </row>
    <row r="33" spans="1:105" s="262" customFormat="1" ht="15" customHeight="1">
      <c r="A33" s="63" t="str">
        <f t="array" ref="A33">IF(C33&lt;&gt;0,SUM(($C$11:C33&lt;&gt;0)*1),"")</f>
        <v/>
      </c>
      <c r="B33" s="263"/>
      <c r="C33" s="263"/>
      <c r="D33" s="263"/>
      <c r="E33" s="344"/>
      <c r="F33" s="314"/>
      <c r="G33" s="316"/>
      <c r="H33" s="316"/>
      <c r="I33" s="63" t="str">
        <f t="shared" si="97"/>
        <v/>
      </c>
      <c r="J33" s="265">
        <f t="shared" si="61"/>
        <v>0</v>
      </c>
      <c r="K33" s="265">
        <f t="shared" si="62"/>
        <v>0</v>
      </c>
      <c r="L33" s="265">
        <f t="shared" si="1"/>
        <v>0</v>
      </c>
      <c r="M33" s="265">
        <f t="shared" si="2"/>
        <v>0</v>
      </c>
      <c r="N33" s="265">
        <f t="shared" si="3"/>
        <v>0</v>
      </c>
      <c r="O33" s="265">
        <f t="shared" si="4"/>
        <v>0</v>
      </c>
      <c r="P33" s="265">
        <f t="shared" si="5"/>
        <v>0</v>
      </c>
      <c r="Q33" s="265">
        <f t="shared" si="6"/>
        <v>0</v>
      </c>
      <c r="R33" s="265">
        <f t="shared" si="7"/>
        <v>0</v>
      </c>
      <c r="S33" s="265">
        <f t="shared" si="8"/>
        <v>0</v>
      </c>
      <c r="T33" s="265">
        <f t="shared" si="9"/>
        <v>0</v>
      </c>
      <c r="U33" s="265">
        <f t="shared" si="10"/>
        <v>0</v>
      </c>
      <c r="V33" s="265">
        <f t="shared" si="11"/>
        <v>0</v>
      </c>
      <c r="W33" s="265">
        <f t="shared" si="12"/>
        <v>0</v>
      </c>
      <c r="X33" s="265">
        <f t="shared" si="13"/>
        <v>0</v>
      </c>
      <c r="Y33" s="265">
        <f t="shared" si="14"/>
        <v>0</v>
      </c>
      <c r="Z33" s="265">
        <f t="shared" si="15"/>
        <v>0</v>
      </c>
      <c r="AA33" s="265">
        <f t="shared" si="16"/>
        <v>0</v>
      </c>
      <c r="AB33" s="265">
        <f t="shared" si="63"/>
        <v>0</v>
      </c>
      <c r="AC33" s="265">
        <f t="shared" si="64"/>
        <v>0</v>
      </c>
      <c r="AD33" s="265">
        <f t="shared" si="17"/>
        <v>0</v>
      </c>
      <c r="AE33" s="265">
        <f t="shared" si="18"/>
        <v>0</v>
      </c>
      <c r="AF33" s="265">
        <f t="shared" si="19"/>
        <v>0</v>
      </c>
      <c r="AG33" s="265">
        <f t="shared" si="20"/>
        <v>0</v>
      </c>
      <c r="AH33" s="265">
        <f t="shared" si="65"/>
        <v>0</v>
      </c>
      <c r="AI33" s="265">
        <f t="shared" si="66"/>
        <v>0</v>
      </c>
      <c r="AJ33" s="265">
        <f t="shared" si="67"/>
        <v>0</v>
      </c>
      <c r="AK33" s="265">
        <f t="shared" si="68"/>
        <v>0</v>
      </c>
      <c r="AL33" s="265">
        <f t="shared" si="69"/>
        <v>0</v>
      </c>
      <c r="AM33" s="265">
        <f t="shared" si="70"/>
        <v>0</v>
      </c>
      <c r="AN33" s="265">
        <f t="shared" si="71"/>
        <v>0</v>
      </c>
      <c r="AO33" s="265">
        <f t="shared" si="72"/>
        <v>0</v>
      </c>
      <c r="AP33" s="265">
        <f t="shared" si="21"/>
        <v>0</v>
      </c>
      <c r="AQ33" s="265">
        <f t="shared" si="22"/>
        <v>0</v>
      </c>
      <c r="AR33" s="265">
        <f t="shared" si="23"/>
        <v>0</v>
      </c>
      <c r="AS33" s="265">
        <f t="shared" si="24"/>
        <v>0</v>
      </c>
      <c r="AT33" s="265">
        <f t="shared" si="73"/>
        <v>0</v>
      </c>
      <c r="AU33" s="265">
        <f t="shared" si="74"/>
        <v>0</v>
      </c>
      <c r="AV33" s="265">
        <f t="shared" si="25"/>
        <v>0</v>
      </c>
      <c r="AW33" s="265">
        <f t="shared" si="26"/>
        <v>0</v>
      </c>
      <c r="AX33" s="265">
        <f t="shared" si="27"/>
        <v>0</v>
      </c>
      <c r="AY33" s="265">
        <f t="shared" si="28"/>
        <v>0</v>
      </c>
      <c r="AZ33" s="265">
        <f t="shared" si="29"/>
        <v>0</v>
      </c>
      <c r="BA33" s="265">
        <f t="shared" si="30"/>
        <v>0</v>
      </c>
      <c r="BB33" s="265">
        <f t="shared" si="31"/>
        <v>0</v>
      </c>
      <c r="BC33" s="265">
        <f t="shared" si="32"/>
        <v>0</v>
      </c>
      <c r="BD33" s="265">
        <f t="shared" si="33"/>
        <v>0</v>
      </c>
      <c r="BE33" s="265">
        <f t="shared" si="34"/>
        <v>0</v>
      </c>
      <c r="BF33" s="265">
        <f t="shared" si="35"/>
        <v>0</v>
      </c>
      <c r="BG33" s="265">
        <f t="shared" si="36"/>
        <v>0</v>
      </c>
      <c r="BH33" s="265">
        <f t="shared" si="75"/>
        <v>0</v>
      </c>
      <c r="BI33" s="265">
        <f t="shared" si="76"/>
        <v>0</v>
      </c>
      <c r="BJ33" s="265">
        <f t="shared" si="37"/>
        <v>0</v>
      </c>
      <c r="BK33" s="265">
        <f t="shared" si="38"/>
        <v>0</v>
      </c>
      <c r="BL33" s="265">
        <f t="shared" si="39"/>
        <v>0</v>
      </c>
      <c r="BM33" s="265">
        <f t="shared" si="40"/>
        <v>0</v>
      </c>
      <c r="BN33" s="265">
        <f t="shared" si="41"/>
        <v>0</v>
      </c>
      <c r="BO33" s="265">
        <f t="shared" si="42"/>
        <v>0</v>
      </c>
      <c r="BP33" s="265">
        <f t="shared" si="77"/>
        <v>0</v>
      </c>
      <c r="BQ33" s="265">
        <f t="shared" si="78"/>
        <v>0</v>
      </c>
      <c r="BR33" s="265">
        <f t="shared" si="43"/>
        <v>0</v>
      </c>
      <c r="BS33" s="265">
        <f t="shared" si="44"/>
        <v>0</v>
      </c>
      <c r="BT33" s="265">
        <f t="shared" si="79"/>
        <v>0</v>
      </c>
      <c r="BU33" s="265">
        <f t="shared" si="80"/>
        <v>0</v>
      </c>
      <c r="BV33" s="265">
        <f t="shared" si="81"/>
        <v>0</v>
      </c>
      <c r="BW33" s="265">
        <f t="shared" si="82"/>
        <v>0</v>
      </c>
      <c r="BX33" s="265">
        <f t="shared" si="45"/>
        <v>0</v>
      </c>
      <c r="BY33" s="265">
        <f t="shared" si="46"/>
        <v>0</v>
      </c>
      <c r="BZ33" s="265">
        <f t="shared" si="47"/>
        <v>0</v>
      </c>
      <c r="CA33" s="265">
        <f t="shared" si="48"/>
        <v>0</v>
      </c>
      <c r="CB33" s="265">
        <f t="shared" si="49"/>
        <v>0</v>
      </c>
      <c r="CC33" s="265">
        <f t="shared" si="50"/>
        <v>0</v>
      </c>
      <c r="CD33" s="265">
        <f t="shared" si="83"/>
        <v>0</v>
      </c>
      <c r="CE33" s="265">
        <f t="shared" si="84"/>
        <v>0</v>
      </c>
      <c r="CF33" s="265">
        <f t="shared" si="85"/>
        <v>0</v>
      </c>
      <c r="CG33" s="265">
        <f t="shared" si="86"/>
        <v>0</v>
      </c>
      <c r="CH33" s="265">
        <f t="shared" si="51"/>
        <v>0</v>
      </c>
      <c r="CI33" s="265">
        <f t="shared" si="52"/>
        <v>0</v>
      </c>
      <c r="CJ33" s="265">
        <f t="shared" si="87"/>
        <v>0</v>
      </c>
      <c r="CK33" s="265">
        <f t="shared" si="88"/>
        <v>0</v>
      </c>
      <c r="CL33" s="265">
        <f t="shared" si="53"/>
        <v>0</v>
      </c>
      <c r="CM33" s="265">
        <f t="shared" si="54"/>
        <v>0</v>
      </c>
      <c r="CN33" s="265">
        <f t="shared" si="55"/>
        <v>0</v>
      </c>
      <c r="CO33" s="265">
        <f t="shared" si="56"/>
        <v>0</v>
      </c>
      <c r="CP33" s="265">
        <f t="shared" si="89"/>
        <v>0</v>
      </c>
      <c r="CQ33" s="265">
        <f t="shared" si="90"/>
        <v>0</v>
      </c>
      <c r="CR33" s="265">
        <f t="shared" si="91"/>
        <v>0</v>
      </c>
      <c r="CS33" s="265">
        <f t="shared" si="92"/>
        <v>0</v>
      </c>
      <c r="CT33" s="265">
        <f t="shared" si="57"/>
        <v>0</v>
      </c>
      <c r="CU33" s="265">
        <f t="shared" si="58"/>
        <v>0</v>
      </c>
      <c r="CV33" s="265">
        <f t="shared" si="59"/>
        <v>0</v>
      </c>
      <c r="CW33" s="265">
        <f t="shared" si="60"/>
        <v>0</v>
      </c>
      <c r="CX33" s="265">
        <f t="shared" si="93"/>
        <v>0</v>
      </c>
      <c r="CY33" s="265">
        <f t="shared" si="94"/>
        <v>0</v>
      </c>
      <c r="CZ33" s="265">
        <f t="shared" si="95"/>
        <v>0</v>
      </c>
      <c r="DA33" s="265">
        <f t="shared" si="96"/>
        <v>0</v>
      </c>
    </row>
    <row r="34" spans="1:105" s="262" customFormat="1" ht="15" customHeight="1">
      <c r="A34" s="63" t="str">
        <f t="array" ref="A34">IF(C34&lt;&gt;0,SUM(($C$11:C34&lt;&gt;0)*1),"")</f>
        <v/>
      </c>
      <c r="B34" s="263"/>
      <c r="C34" s="263"/>
      <c r="D34" s="263"/>
      <c r="E34" s="344"/>
      <c r="F34" s="314"/>
      <c r="G34" s="316"/>
      <c r="H34" s="316"/>
      <c r="I34" s="63" t="str">
        <f t="shared" si="97"/>
        <v/>
      </c>
      <c r="J34" s="265">
        <f t="shared" si="61"/>
        <v>0</v>
      </c>
      <c r="K34" s="265">
        <f t="shared" si="62"/>
        <v>0</v>
      </c>
      <c r="L34" s="265">
        <f t="shared" si="1"/>
        <v>0</v>
      </c>
      <c r="M34" s="265">
        <f t="shared" si="2"/>
        <v>0</v>
      </c>
      <c r="N34" s="265">
        <f t="shared" si="3"/>
        <v>0</v>
      </c>
      <c r="O34" s="265">
        <f t="shared" si="4"/>
        <v>0</v>
      </c>
      <c r="P34" s="265">
        <f t="shared" si="5"/>
        <v>0</v>
      </c>
      <c r="Q34" s="265">
        <f t="shared" si="6"/>
        <v>0</v>
      </c>
      <c r="R34" s="265">
        <f t="shared" si="7"/>
        <v>0</v>
      </c>
      <c r="S34" s="265">
        <f t="shared" si="8"/>
        <v>0</v>
      </c>
      <c r="T34" s="265">
        <f t="shared" si="9"/>
        <v>0</v>
      </c>
      <c r="U34" s="265">
        <f t="shared" si="10"/>
        <v>0</v>
      </c>
      <c r="V34" s="265">
        <f t="shared" si="11"/>
        <v>0</v>
      </c>
      <c r="W34" s="265">
        <f t="shared" si="12"/>
        <v>0</v>
      </c>
      <c r="X34" s="265">
        <f t="shared" si="13"/>
        <v>0</v>
      </c>
      <c r="Y34" s="265">
        <f t="shared" si="14"/>
        <v>0</v>
      </c>
      <c r="Z34" s="265">
        <f t="shared" si="15"/>
        <v>0</v>
      </c>
      <c r="AA34" s="265">
        <f t="shared" si="16"/>
        <v>0</v>
      </c>
      <c r="AB34" s="265">
        <f t="shared" si="63"/>
        <v>0</v>
      </c>
      <c r="AC34" s="265">
        <f t="shared" si="64"/>
        <v>0</v>
      </c>
      <c r="AD34" s="265">
        <f t="shared" si="17"/>
        <v>0</v>
      </c>
      <c r="AE34" s="265">
        <f t="shared" si="18"/>
        <v>0</v>
      </c>
      <c r="AF34" s="265">
        <f t="shared" si="19"/>
        <v>0</v>
      </c>
      <c r="AG34" s="265">
        <f t="shared" si="20"/>
        <v>0</v>
      </c>
      <c r="AH34" s="265">
        <f t="shared" si="65"/>
        <v>0</v>
      </c>
      <c r="AI34" s="265">
        <f t="shared" si="66"/>
        <v>0</v>
      </c>
      <c r="AJ34" s="265">
        <f t="shared" si="67"/>
        <v>0</v>
      </c>
      <c r="AK34" s="265">
        <f t="shared" si="68"/>
        <v>0</v>
      </c>
      <c r="AL34" s="265">
        <f t="shared" si="69"/>
        <v>0</v>
      </c>
      <c r="AM34" s="265">
        <f t="shared" si="70"/>
        <v>0</v>
      </c>
      <c r="AN34" s="265">
        <f t="shared" si="71"/>
        <v>0</v>
      </c>
      <c r="AO34" s="265">
        <f t="shared" si="72"/>
        <v>0</v>
      </c>
      <c r="AP34" s="265">
        <f t="shared" si="21"/>
        <v>0</v>
      </c>
      <c r="AQ34" s="265">
        <f t="shared" si="22"/>
        <v>0</v>
      </c>
      <c r="AR34" s="265">
        <f t="shared" si="23"/>
        <v>0</v>
      </c>
      <c r="AS34" s="265">
        <f t="shared" si="24"/>
        <v>0</v>
      </c>
      <c r="AT34" s="265">
        <f t="shared" si="73"/>
        <v>0</v>
      </c>
      <c r="AU34" s="265">
        <f t="shared" si="74"/>
        <v>0</v>
      </c>
      <c r="AV34" s="265">
        <f t="shared" si="25"/>
        <v>0</v>
      </c>
      <c r="AW34" s="265">
        <f t="shared" si="26"/>
        <v>0</v>
      </c>
      <c r="AX34" s="265">
        <f t="shared" si="27"/>
        <v>0</v>
      </c>
      <c r="AY34" s="265">
        <f t="shared" si="28"/>
        <v>0</v>
      </c>
      <c r="AZ34" s="265">
        <f t="shared" si="29"/>
        <v>0</v>
      </c>
      <c r="BA34" s="265">
        <f t="shared" si="30"/>
        <v>0</v>
      </c>
      <c r="BB34" s="265">
        <f t="shared" si="31"/>
        <v>0</v>
      </c>
      <c r="BC34" s="265">
        <f t="shared" si="32"/>
        <v>0</v>
      </c>
      <c r="BD34" s="265">
        <f t="shared" si="33"/>
        <v>0</v>
      </c>
      <c r="BE34" s="265">
        <f t="shared" si="34"/>
        <v>0</v>
      </c>
      <c r="BF34" s="265">
        <f t="shared" si="35"/>
        <v>0</v>
      </c>
      <c r="BG34" s="265">
        <f t="shared" si="36"/>
        <v>0</v>
      </c>
      <c r="BH34" s="265">
        <f t="shared" si="75"/>
        <v>0</v>
      </c>
      <c r="BI34" s="265">
        <f t="shared" si="76"/>
        <v>0</v>
      </c>
      <c r="BJ34" s="265">
        <f t="shared" si="37"/>
        <v>0</v>
      </c>
      <c r="BK34" s="265">
        <f t="shared" si="38"/>
        <v>0</v>
      </c>
      <c r="BL34" s="265">
        <f t="shared" si="39"/>
        <v>0</v>
      </c>
      <c r="BM34" s="265">
        <f t="shared" si="40"/>
        <v>0</v>
      </c>
      <c r="BN34" s="265">
        <f t="shared" si="41"/>
        <v>0</v>
      </c>
      <c r="BO34" s="265">
        <f t="shared" si="42"/>
        <v>0</v>
      </c>
      <c r="BP34" s="265">
        <f t="shared" si="77"/>
        <v>0</v>
      </c>
      <c r="BQ34" s="265">
        <f t="shared" si="78"/>
        <v>0</v>
      </c>
      <c r="BR34" s="265">
        <f t="shared" si="43"/>
        <v>0</v>
      </c>
      <c r="BS34" s="265">
        <f t="shared" si="44"/>
        <v>0</v>
      </c>
      <c r="BT34" s="265">
        <f t="shared" si="79"/>
        <v>0</v>
      </c>
      <c r="BU34" s="265">
        <f t="shared" si="80"/>
        <v>0</v>
      </c>
      <c r="BV34" s="265">
        <f t="shared" si="81"/>
        <v>0</v>
      </c>
      <c r="BW34" s="265">
        <f t="shared" si="82"/>
        <v>0</v>
      </c>
      <c r="BX34" s="265">
        <f t="shared" si="45"/>
        <v>0</v>
      </c>
      <c r="BY34" s="265">
        <f t="shared" si="46"/>
        <v>0</v>
      </c>
      <c r="BZ34" s="265">
        <f t="shared" si="47"/>
        <v>0</v>
      </c>
      <c r="CA34" s="265">
        <f t="shared" si="48"/>
        <v>0</v>
      </c>
      <c r="CB34" s="265">
        <f t="shared" si="49"/>
        <v>0</v>
      </c>
      <c r="CC34" s="265">
        <f t="shared" si="50"/>
        <v>0</v>
      </c>
      <c r="CD34" s="265">
        <f t="shared" si="83"/>
        <v>0</v>
      </c>
      <c r="CE34" s="265">
        <f t="shared" si="84"/>
        <v>0</v>
      </c>
      <c r="CF34" s="265">
        <f t="shared" si="85"/>
        <v>0</v>
      </c>
      <c r="CG34" s="265">
        <f t="shared" si="86"/>
        <v>0</v>
      </c>
      <c r="CH34" s="265">
        <f t="shared" si="51"/>
        <v>0</v>
      </c>
      <c r="CI34" s="265">
        <f t="shared" si="52"/>
        <v>0</v>
      </c>
      <c r="CJ34" s="265">
        <f t="shared" si="87"/>
        <v>0</v>
      </c>
      <c r="CK34" s="265">
        <f t="shared" si="88"/>
        <v>0</v>
      </c>
      <c r="CL34" s="265">
        <f t="shared" si="53"/>
        <v>0</v>
      </c>
      <c r="CM34" s="265">
        <f t="shared" si="54"/>
        <v>0</v>
      </c>
      <c r="CN34" s="265">
        <f t="shared" si="55"/>
        <v>0</v>
      </c>
      <c r="CO34" s="265">
        <f t="shared" si="56"/>
        <v>0</v>
      </c>
      <c r="CP34" s="265">
        <f t="shared" si="89"/>
        <v>0</v>
      </c>
      <c r="CQ34" s="265">
        <f t="shared" si="90"/>
        <v>0</v>
      </c>
      <c r="CR34" s="265">
        <f t="shared" si="91"/>
        <v>0</v>
      </c>
      <c r="CS34" s="265">
        <f t="shared" si="92"/>
        <v>0</v>
      </c>
      <c r="CT34" s="265">
        <f t="shared" si="57"/>
        <v>0</v>
      </c>
      <c r="CU34" s="265">
        <f t="shared" si="58"/>
        <v>0</v>
      </c>
      <c r="CV34" s="265">
        <f t="shared" si="59"/>
        <v>0</v>
      </c>
      <c r="CW34" s="265">
        <f t="shared" si="60"/>
        <v>0</v>
      </c>
      <c r="CX34" s="265">
        <f t="shared" si="93"/>
        <v>0</v>
      </c>
      <c r="CY34" s="265">
        <f t="shared" si="94"/>
        <v>0</v>
      </c>
      <c r="CZ34" s="265">
        <f t="shared" si="95"/>
        <v>0</v>
      </c>
      <c r="DA34" s="265">
        <f t="shared" si="96"/>
        <v>0</v>
      </c>
    </row>
    <row r="35" spans="1:105" s="262" customFormat="1" ht="15" customHeight="1">
      <c r="A35" s="63" t="str">
        <f t="array" ref="A35">IF(C35&lt;&gt;0,SUM(($C$11:C35&lt;&gt;0)*1),"")</f>
        <v/>
      </c>
      <c r="B35" s="263"/>
      <c r="C35" s="263"/>
      <c r="D35" s="263"/>
      <c r="E35" s="344"/>
      <c r="F35" s="314"/>
      <c r="G35" s="316"/>
      <c r="H35" s="316"/>
      <c r="I35" s="63" t="str">
        <f t="shared" si="97"/>
        <v/>
      </c>
      <c r="J35" s="265">
        <f t="shared" si="61"/>
        <v>0</v>
      </c>
      <c r="K35" s="265">
        <f t="shared" si="62"/>
        <v>0</v>
      </c>
      <c r="L35" s="265">
        <f t="shared" si="1"/>
        <v>0</v>
      </c>
      <c r="M35" s="265">
        <f t="shared" si="2"/>
        <v>0</v>
      </c>
      <c r="N35" s="265">
        <f t="shared" si="3"/>
        <v>0</v>
      </c>
      <c r="O35" s="265">
        <f t="shared" si="4"/>
        <v>0</v>
      </c>
      <c r="P35" s="265">
        <f t="shared" si="5"/>
        <v>0</v>
      </c>
      <c r="Q35" s="265">
        <f t="shared" si="6"/>
        <v>0</v>
      </c>
      <c r="R35" s="265">
        <f t="shared" si="7"/>
        <v>0</v>
      </c>
      <c r="S35" s="265">
        <f t="shared" si="8"/>
        <v>0</v>
      </c>
      <c r="T35" s="265">
        <f t="shared" si="9"/>
        <v>0</v>
      </c>
      <c r="U35" s="265">
        <f t="shared" si="10"/>
        <v>0</v>
      </c>
      <c r="V35" s="265">
        <f t="shared" si="11"/>
        <v>0</v>
      </c>
      <c r="W35" s="265">
        <f t="shared" si="12"/>
        <v>0</v>
      </c>
      <c r="X35" s="265">
        <f t="shared" si="13"/>
        <v>0</v>
      </c>
      <c r="Y35" s="265">
        <f t="shared" si="14"/>
        <v>0</v>
      </c>
      <c r="Z35" s="265">
        <f t="shared" si="15"/>
        <v>0</v>
      </c>
      <c r="AA35" s="265">
        <f t="shared" si="16"/>
        <v>0</v>
      </c>
      <c r="AB35" s="265">
        <f t="shared" si="63"/>
        <v>0</v>
      </c>
      <c r="AC35" s="265">
        <f t="shared" si="64"/>
        <v>0</v>
      </c>
      <c r="AD35" s="265">
        <f t="shared" si="17"/>
        <v>0</v>
      </c>
      <c r="AE35" s="265">
        <f t="shared" si="18"/>
        <v>0</v>
      </c>
      <c r="AF35" s="265">
        <f t="shared" si="19"/>
        <v>0</v>
      </c>
      <c r="AG35" s="265">
        <f t="shared" si="20"/>
        <v>0</v>
      </c>
      <c r="AH35" s="265">
        <f t="shared" si="65"/>
        <v>0</v>
      </c>
      <c r="AI35" s="265">
        <f t="shared" si="66"/>
        <v>0</v>
      </c>
      <c r="AJ35" s="265">
        <f t="shared" si="67"/>
        <v>0</v>
      </c>
      <c r="AK35" s="265">
        <f t="shared" si="68"/>
        <v>0</v>
      </c>
      <c r="AL35" s="265">
        <f t="shared" si="69"/>
        <v>0</v>
      </c>
      <c r="AM35" s="265">
        <f t="shared" si="70"/>
        <v>0</v>
      </c>
      <c r="AN35" s="265">
        <f t="shared" si="71"/>
        <v>0</v>
      </c>
      <c r="AO35" s="265">
        <f t="shared" si="72"/>
        <v>0</v>
      </c>
      <c r="AP35" s="265">
        <f t="shared" si="21"/>
        <v>0</v>
      </c>
      <c r="AQ35" s="265">
        <f t="shared" si="22"/>
        <v>0</v>
      </c>
      <c r="AR35" s="265">
        <f t="shared" si="23"/>
        <v>0</v>
      </c>
      <c r="AS35" s="265">
        <f t="shared" si="24"/>
        <v>0</v>
      </c>
      <c r="AT35" s="265">
        <f t="shared" si="73"/>
        <v>0</v>
      </c>
      <c r="AU35" s="265">
        <f t="shared" si="74"/>
        <v>0</v>
      </c>
      <c r="AV35" s="265">
        <f t="shared" si="25"/>
        <v>0</v>
      </c>
      <c r="AW35" s="265">
        <f t="shared" si="26"/>
        <v>0</v>
      </c>
      <c r="AX35" s="265">
        <f t="shared" si="27"/>
        <v>0</v>
      </c>
      <c r="AY35" s="265">
        <f t="shared" si="28"/>
        <v>0</v>
      </c>
      <c r="AZ35" s="265">
        <f t="shared" si="29"/>
        <v>0</v>
      </c>
      <c r="BA35" s="265">
        <f t="shared" si="30"/>
        <v>0</v>
      </c>
      <c r="BB35" s="265">
        <f t="shared" si="31"/>
        <v>0</v>
      </c>
      <c r="BC35" s="265">
        <f t="shared" si="32"/>
        <v>0</v>
      </c>
      <c r="BD35" s="265">
        <f t="shared" si="33"/>
        <v>0</v>
      </c>
      <c r="BE35" s="265">
        <f t="shared" si="34"/>
        <v>0</v>
      </c>
      <c r="BF35" s="265">
        <f t="shared" si="35"/>
        <v>0</v>
      </c>
      <c r="BG35" s="265">
        <f t="shared" si="36"/>
        <v>0</v>
      </c>
      <c r="BH35" s="265">
        <f t="shared" si="75"/>
        <v>0</v>
      </c>
      <c r="BI35" s="265">
        <f t="shared" si="76"/>
        <v>0</v>
      </c>
      <c r="BJ35" s="265">
        <f t="shared" si="37"/>
        <v>0</v>
      </c>
      <c r="BK35" s="265">
        <f t="shared" si="38"/>
        <v>0</v>
      </c>
      <c r="BL35" s="265">
        <f t="shared" si="39"/>
        <v>0</v>
      </c>
      <c r="BM35" s="265">
        <f t="shared" si="40"/>
        <v>0</v>
      </c>
      <c r="BN35" s="265">
        <f t="shared" si="41"/>
        <v>0</v>
      </c>
      <c r="BO35" s="265">
        <f t="shared" si="42"/>
        <v>0</v>
      </c>
      <c r="BP35" s="265">
        <f t="shared" si="77"/>
        <v>0</v>
      </c>
      <c r="BQ35" s="265">
        <f t="shared" si="78"/>
        <v>0</v>
      </c>
      <c r="BR35" s="265">
        <f t="shared" si="43"/>
        <v>0</v>
      </c>
      <c r="BS35" s="265">
        <f t="shared" si="44"/>
        <v>0</v>
      </c>
      <c r="BT35" s="265">
        <f t="shared" si="79"/>
        <v>0</v>
      </c>
      <c r="BU35" s="265">
        <f t="shared" si="80"/>
        <v>0</v>
      </c>
      <c r="BV35" s="265">
        <f t="shared" si="81"/>
        <v>0</v>
      </c>
      <c r="BW35" s="265">
        <f t="shared" si="82"/>
        <v>0</v>
      </c>
      <c r="BX35" s="265">
        <f t="shared" si="45"/>
        <v>0</v>
      </c>
      <c r="BY35" s="265">
        <f t="shared" si="46"/>
        <v>0</v>
      </c>
      <c r="BZ35" s="265">
        <f t="shared" si="47"/>
        <v>0</v>
      </c>
      <c r="CA35" s="265">
        <f t="shared" si="48"/>
        <v>0</v>
      </c>
      <c r="CB35" s="265">
        <f t="shared" si="49"/>
        <v>0</v>
      </c>
      <c r="CC35" s="265">
        <f t="shared" si="50"/>
        <v>0</v>
      </c>
      <c r="CD35" s="265">
        <f t="shared" si="83"/>
        <v>0</v>
      </c>
      <c r="CE35" s="265">
        <f t="shared" si="84"/>
        <v>0</v>
      </c>
      <c r="CF35" s="265">
        <f t="shared" si="85"/>
        <v>0</v>
      </c>
      <c r="CG35" s="265">
        <f t="shared" si="86"/>
        <v>0</v>
      </c>
      <c r="CH35" s="265">
        <f t="shared" si="51"/>
        <v>0</v>
      </c>
      <c r="CI35" s="265">
        <f t="shared" si="52"/>
        <v>0</v>
      </c>
      <c r="CJ35" s="265">
        <f t="shared" si="87"/>
        <v>0</v>
      </c>
      <c r="CK35" s="265">
        <f t="shared" si="88"/>
        <v>0</v>
      </c>
      <c r="CL35" s="265">
        <f t="shared" si="53"/>
        <v>0</v>
      </c>
      <c r="CM35" s="265">
        <f t="shared" si="54"/>
        <v>0</v>
      </c>
      <c r="CN35" s="265">
        <f t="shared" si="55"/>
        <v>0</v>
      </c>
      <c r="CO35" s="265">
        <f t="shared" si="56"/>
        <v>0</v>
      </c>
      <c r="CP35" s="265">
        <f t="shared" si="89"/>
        <v>0</v>
      </c>
      <c r="CQ35" s="265">
        <f t="shared" si="90"/>
        <v>0</v>
      </c>
      <c r="CR35" s="265">
        <f t="shared" si="91"/>
        <v>0</v>
      </c>
      <c r="CS35" s="265">
        <f t="shared" si="92"/>
        <v>0</v>
      </c>
      <c r="CT35" s="265">
        <f t="shared" si="57"/>
        <v>0</v>
      </c>
      <c r="CU35" s="265">
        <f t="shared" si="58"/>
        <v>0</v>
      </c>
      <c r="CV35" s="265">
        <f t="shared" si="59"/>
        <v>0</v>
      </c>
      <c r="CW35" s="265">
        <f t="shared" si="60"/>
        <v>0</v>
      </c>
      <c r="CX35" s="265">
        <f t="shared" si="93"/>
        <v>0</v>
      </c>
      <c r="CY35" s="265">
        <f t="shared" si="94"/>
        <v>0</v>
      </c>
      <c r="CZ35" s="265">
        <f t="shared" si="95"/>
        <v>0</v>
      </c>
      <c r="DA35" s="265">
        <f t="shared" si="96"/>
        <v>0</v>
      </c>
    </row>
    <row r="36" spans="1:105" s="262" customFormat="1" ht="15" customHeight="1">
      <c r="A36" s="63" t="str">
        <f t="array" ref="A36">IF(C36&lt;&gt;0,SUM(($C$11:C36&lt;&gt;0)*1),"")</f>
        <v/>
      </c>
      <c r="B36" s="263"/>
      <c r="C36" s="263"/>
      <c r="D36" s="263"/>
      <c r="E36" s="344"/>
      <c r="F36" s="314"/>
      <c r="G36" s="316"/>
      <c r="H36" s="316"/>
      <c r="I36" s="63" t="str">
        <f t="shared" si="97"/>
        <v/>
      </c>
      <c r="J36" s="265">
        <f t="shared" si="61"/>
        <v>0</v>
      </c>
      <c r="K36" s="265">
        <f t="shared" si="62"/>
        <v>0</v>
      </c>
      <c r="L36" s="265">
        <f t="shared" si="1"/>
        <v>0</v>
      </c>
      <c r="M36" s="265">
        <f t="shared" si="2"/>
        <v>0</v>
      </c>
      <c r="N36" s="265">
        <f t="shared" si="3"/>
        <v>0</v>
      </c>
      <c r="O36" s="265">
        <f t="shared" si="4"/>
        <v>0</v>
      </c>
      <c r="P36" s="265">
        <f t="shared" si="5"/>
        <v>0</v>
      </c>
      <c r="Q36" s="265">
        <f t="shared" si="6"/>
        <v>0</v>
      </c>
      <c r="R36" s="265">
        <f t="shared" si="7"/>
        <v>0</v>
      </c>
      <c r="S36" s="265">
        <f t="shared" si="8"/>
        <v>0</v>
      </c>
      <c r="T36" s="265">
        <f t="shared" si="9"/>
        <v>0</v>
      </c>
      <c r="U36" s="265">
        <f t="shared" si="10"/>
        <v>0</v>
      </c>
      <c r="V36" s="265">
        <f t="shared" si="11"/>
        <v>0</v>
      </c>
      <c r="W36" s="265">
        <f t="shared" si="12"/>
        <v>0</v>
      </c>
      <c r="X36" s="265">
        <f t="shared" si="13"/>
        <v>0</v>
      </c>
      <c r="Y36" s="265">
        <f t="shared" si="14"/>
        <v>0</v>
      </c>
      <c r="Z36" s="265">
        <f t="shared" si="15"/>
        <v>0</v>
      </c>
      <c r="AA36" s="265">
        <f t="shared" si="16"/>
        <v>0</v>
      </c>
      <c r="AB36" s="265">
        <f t="shared" si="63"/>
        <v>0</v>
      </c>
      <c r="AC36" s="265">
        <f t="shared" si="64"/>
        <v>0</v>
      </c>
      <c r="AD36" s="265">
        <f t="shared" si="17"/>
        <v>0</v>
      </c>
      <c r="AE36" s="265">
        <f t="shared" si="18"/>
        <v>0</v>
      </c>
      <c r="AF36" s="265">
        <f t="shared" si="19"/>
        <v>0</v>
      </c>
      <c r="AG36" s="265">
        <f t="shared" si="20"/>
        <v>0</v>
      </c>
      <c r="AH36" s="265">
        <f t="shared" si="65"/>
        <v>0</v>
      </c>
      <c r="AI36" s="265">
        <f t="shared" si="66"/>
        <v>0</v>
      </c>
      <c r="AJ36" s="265">
        <f t="shared" si="67"/>
        <v>0</v>
      </c>
      <c r="AK36" s="265">
        <f t="shared" si="68"/>
        <v>0</v>
      </c>
      <c r="AL36" s="265">
        <f t="shared" si="69"/>
        <v>0</v>
      </c>
      <c r="AM36" s="265">
        <f t="shared" si="70"/>
        <v>0</v>
      </c>
      <c r="AN36" s="265">
        <f t="shared" si="71"/>
        <v>0</v>
      </c>
      <c r="AO36" s="265">
        <f t="shared" si="72"/>
        <v>0</v>
      </c>
      <c r="AP36" s="265">
        <f t="shared" si="21"/>
        <v>0</v>
      </c>
      <c r="AQ36" s="265">
        <f t="shared" si="22"/>
        <v>0</v>
      </c>
      <c r="AR36" s="265">
        <f t="shared" si="23"/>
        <v>0</v>
      </c>
      <c r="AS36" s="265">
        <f t="shared" si="24"/>
        <v>0</v>
      </c>
      <c r="AT36" s="265">
        <f t="shared" si="73"/>
        <v>0</v>
      </c>
      <c r="AU36" s="265">
        <f t="shared" si="74"/>
        <v>0</v>
      </c>
      <c r="AV36" s="265">
        <f t="shared" si="25"/>
        <v>0</v>
      </c>
      <c r="AW36" s="265">
        <f t="shared" si="26"/>
        <v>0</v>
      </c>
      <c r="AX36" s="265">
        <f t="shared" si="27"/>
        <v>0</v>
      </c>
      <c r="AY36" s="265">
        <f t="shared" si="28"/>
        <v>0</v>
      </c>
      <c r="AZ36" s="265">
        <f t="shared" si="29"/>
        <v>0</v>
      </c>
      <c r="BA36" s="265">
        <f t="shared" si="30"/>
        <v>0</v>
      </c>
      <c r="BB36" s="265">
        <f t="shared" si="31"/>
        <v>0</v>
      </c>
      <c r="BC36" s="265">
        <f t="shared" si="32"/>
        <v>0</v>
      </c>
      <c r="BD36" s="265">
        <f t="shared" si="33"/>
        <v>0</v>
      </c>
      <c r="BE36" s="265">
        <f t="shared" si="34"/>
        <v>0</v>
      </c>
      <c r="BF36" s="265">
        <f t="shared" si="35"/>
        <v>0</v>
      </c>
      <c r="BG36" s="265">
        <f t="shared" si="36"/>
        <v>0</v>
      </c>
      <c r="BH36" s="265">
        <f t="shared" si="75"/>
        <v>0</v>
      </c>
      <c r="BI36" s="265">
        <f t="shared" si="76"/>
        <v>0</v>
      </c>
      <c r="BJ36" s="265">
        <f t="shared" si="37"/>
        <v>0</v>
      </c>
      <c r="BK36" s="265">
        <f t="shared" si="38"/>
        <v>0</v>
      </c>
      <c r="BL36" s="265">
        <f t="shared" si="39"/>
        <v>0</v>
      </c>
      <c r="BM36" s="265">
        <f t="shared" si="40"/>
        <v>0</v>
      </c>
      <c r="BN36" s="265">
        <f t="shared" si="41"/>
        <v>0</v>
      </c>
      <c r="BO36" s="265">
        <f t="shared" si="42"/>
        <v>0</v>
      </c>
      <c r="BP36" s="265">
        <f t="shared" si="77"/>
        <v>0</v>
      </c>
      <c r="BQ36" s="265">
        <f t="shared" si="78"/>
        <v>0</v>
      </c>
      <c r="BR36" s="265">
        <f t="shared" si="43"/>
        <v>0</v>
      </c>
      <c r="BS36" s="265">
        <f t="shared" si="44"/>
        <v>0</v>
      </c>
      <c r="BT36" s="265">
        <f t="shared" si="79"/>
        <v>0</v>
      </c>
      <c r="BU36" s="265">
        <f t="shared" si="80"/>
        <v>0</v>
      </c>
      <c r="BV36" s="265">
        <f t="shared" si="81"/>
        <v>0</v>
      </c>
      <c r="BW36" s="265">
        <f t="shared" si="82"/>
        <v>0</v>
      </c>
      <c r="BX36" s="265">
        <f t="shared" si="45"/>
        <v>0</v>
      </c>
      <c r="BY36" s="265">
        <f t="shared" si="46"/>
        <v>0</v>
      </c>
      <c r="BZ36" s="265">
        <f t="shared" si="47"/>
        <v>0</v>
      </c>
      <c r="CA36" s="265">
        <f t="shared" si="48"/>
        <v>0</v>
      </c>
      <c r="CB36" s="265">
        <f t="shared" si="49"/>
        <v>0</v>
      </c>
      <c r="CC36" s="265">
        <f t="shared" si="50"/>
        <v>0</v>
      </c>
      <c r="CD36" s="265">
        <f t="shared" si="83"/>
        <v>0</v>
      </c>
      <c r="CE36" s="265">
        <f t="shared" si="84"/>
        <v>0</v>
      </c>
      <c r="CF36" s="265">
        <f t="shared" si="85"/>
        <v>0</v>
      </c>
      <c r="CG36" s="265">
        <f t="shared" si="86"/>
        <v>0</v>
      </c>
      <c r="CH36" s="265">
        <f t="shared" si="51"/>
        <v>0</v>
      </c>
      <c r="CI36" s="265">
        <f t="shared" si="52"/>
        <v>0</v>
      </c>
      <c r="CJ36" s="265">
        <f t="shared" si="87"/>
        <v>0</v>
      </c>
      <c r="CK36" s="265">
        <f t="shared" si="88"/>
        <v>0</v>
      </c>
      <c r="CL36" s="265">
        <f t="shared" si="53"/>
        <v>0</v>
      </c>
      <c r="CM36" s="265">
        <f t="shared" si="54"/>
        <v>0</v>
      </c>
      <c r="CN36" s="265">
        <f t="shared" si="55"/>
        <v>0</v>
      </c>
      <c r="CO36" s="265">
        <f t="shared" si="56"/>
        <v>0</v>
      </c>
      <c r="CP36" s="265">
        <f t="shared" si="89"/>
        <v>0</v>
      </c>
      <c r="CQ36" s="265">
        <f t="shared" si="90"/>
        <v>0</v>
      </c>
      <c r="CR36" s="265">
        <f t="shared" si="91"/>
        <v>0</v>
      </c>
      <c r="CS36" s="265">
        <f t="shared" si="92"/>
        <v>0</v>
      </c>
      <c r="CT36" s="265">
        <f t="shared" si="57"/>
        <v>0</v>
      </c>
      <c r="CU36" s="265">
        <f t="shared" si="58"/>
        <v>0</v>
      </c>
      <c r="CV36" s="265">
        <f t="shared" si="59"/>
        <v>0</v>
      </c>
      <c r="CW36" s="265">
        <f t="shared" si="60"/>
        <v>0</v>
      </c>
      <c r="CX36" s="265">
        <f t="shared" si="93"/>
        <v>0</v>
      </c>
      <c r="CY36" s="265">
        <f t="shared" si="94"/>
        <v>0</v>
      </c>
      <c r="CZ36" s="265">
        <f t="shared" si="95"/>
        <v>0</v>
      </c>
      <c r="DA36" s="265">
        <f t="shared" si="96"/>
        <v>0</v>
      </c>
    </row>
    <row r="37" spans="1:105" s="262" customFormat="1" ht="15" customHeight="1">
      <c r="A37" s="63" t="str">
        <f t="array" ref="A37">IF(C37&lt;&gt;0,SUM(($C$11:C37&lt;&gt;0)*1),"")</f>
        <v/>
      </c>
      <c r="B37" s="263"/>
      <c r="C37" s="263"/>
      <c r="D37" s="263"/>
      <c r="E37" s="344"/>
      <c r="F37" s="314"/>
      <c r="G37" s="316"/>
      <c r="H37" s="316"/>
      <c r="I37" s="63" t="str">
        <f t="shared" si="97"/>
        <v/>
      </c>
      <c r="J37" s="265">
        <f t="shared" si="61"/>
        <v>0</v>
      </c>
      <c r="K37" s="265">
        <f t="shared" si="62"/>
        <v>0</v>
      </c>
      <c r="L37" s="265">
        <f t="shared" si="1"/>
        <v>0</v>
      </c>
      <c r="M37" s="265">
        <f t="shared" si="2"/>
        <v>0</v>
      </c>
      <c r="N37" s="265">
        <f t="shared" si="3"/>
        <v>0</v>
      </c>
      <c r="O37" s="265">
        <f t="shared" si="4"/>
        <v>0</v>
      </c>
      <c r="P37" s="265">
        <f t="shared" si="5"/>
        <v>0</v>
      </c>
      <c r="Q37" s="265">
        <f t="shared" si="6"/>
        <v>0</v>
      </c>
      <c r="R37" s="265">
        <f t="shared" si="7"/>
        <v>0</v>
      </c>
      <c r="S37" s="265">
        <f t="shared" si="8"/>
        <v>0</v>
      </c>
      <c r="T37" s="265">
        <f t="shared" si="9"/>
        <v>0</v>
      </c>
      <c r="U37" s="265">
        <f t="shared" si="10"/>
        <v>0</v>
      </c>
      <c r="V37" s="265">
        <f t="shared" si="11"/>
        <v>0</v>
      </c>
      <c r="W37" s="265">
        <f t="shared" si="12"/>
        <v>0</v>
      </c>
      <c r="X37" s="265">
        <f t="shared" si="13"/>
        <v>0</v>
      </c>
      <c r="Y37" s="265">
        <f t="shared" si="14"/>
        <v>0</v>
      </c>
      <c r="Z37" s="265">
        <f t="shared" si="15"/>
        <v>0</v>
      </c>
      <c r="AA37" s="265">
        <f t="shared" si="16"/>
        <v>0</v>
      </c>
      <c r="AB37" s="265">
        <f t="shared" si="63"/>
        <v>0</v>
      </c>
      <c r="AC37" s="265">
        <f t="shared" si="64"/>
        <v>0</v>
      </c>
      <c r="AD37" s="265">
        <f t="shared" si="17"/>
        <v>0</v>
      </c>
      <c r="AE37" s="265">
        <f t="shared" si="18"/>
        <v>0</v>
      </c>
      <c r="AF37" s="265">
        <f t="shared" si="19"/>
        <v>0</v>
      </c>
      <c r="AG37" s="265">
        <f t="shared" si="20"/>
        <v>0</v>
      </c>
      <c r="AH37" s="265">
        <f t="shared" si="65"/>
        <v>0</v>
      </c>
      <c r="AI37" s="265">
        <f t="shared" si="66"/>
        <v>0</v>
      </c>
      <c r="AJ37" s="265">
        <f t="shared" si="67"/>
        <v>0</v>
      </c>
      <c r="AK37" s="265">
        <f t="shared" si="68"/>
        <v>0</v>
      </c>
      <c r="AL37" s="265">
        <f t="shared" si="69"/>
        <v>0</v>
      </c>
      <c r="AM37" s="265">
        <f t="shared" si="70"/>
        <v>0</v>
      </c>
      <c r="AN37" s="265">
        <f t="shared" si="71"/>
        <v>0</v>
      </c>
      <c r="AO37" s="265">
        <f t="shared" si="72"/>
        <v>0</v>
      </c>
      <c r="AP37" s="265">
        <f t="shared" si="21"/>
        <v>0</v>
      </c>
      <c r="AQ37" s="265">
        <f t="shared" si="22"/>
        <v>0</v>
      </c>
      <c r="AR37" s="265">
        <f t="shared" si="23"/>
        <v>0</v>
      </c>
      <c r="AS37" s="265">
        <f t="shared" si="24"/>
        <v>0</v>
      </c>
      <c r="AT37" s="265">
        <f t="shared" si="73"/>
        <v>0</v>
      </c>
      <c r="AU37" s="265">
        <f t="shared" si="74"/>
        <v>0</v>
      </c>
      <c r="AV37" s="265">
        <f t="shared" si="25"/>
        <v>0</v>
      </c>
      <c r="AW37" s="265">
        <f t="shared" si="26"/>
        <v>0</v>
      </c>
      <c r="AX37" s="265">
        <f t="shared" si="27"/>
        <v>0</v>
      </c>
      <c r="AY37" s="265">
        <f t="shared" si="28"/>
        <v>0</v>
      </c>
      <c r="AZ37" s="265">
        <f t="shared" si="29"/>
        <v>0</v>
      </c>
      <c r="BA37" s="265">
        <f t="shared" si="30"/>
        <v>0</v>
      </c>
      <c r="BB37" s="265">
        <f t="shared" si="31"/>
        <v>0</v>
      </c>
      <c r="BC37" s="265">
        <f t="shared" si="32"/>
        <v>0</v>
      </c>
      <c r="BD37" s="265">
        <f t="shared" si="33"/>
        <v>0</v>
      </c>
      <c r="BE37" s="265">
        <f t="shared" si="34"/>
        <v>0</v>
      </c>
      <c r="BF37" s="265">
        <f t="shared" si="35"/>
        <v>0</v>
      </c>
      <c r="BG37" s="265">
        <f t="shared" si="36"/>
        <v>0</v>
      </c>
      <c r="BH37" s="265">
        <f t="shared" si="75"/>
        <v>0</v>
      </c>
      <c r="BI37" s="265">
        <f t="shared" si="76"/>
        <v>0</v>
      </c>
      <c r="BJ37" s="265">
        <f t="shared" si="37"/>
        <v>0</v>
      </c>
      <c r="BK37" s="265">
        <f t="shared" si="38"/>
        <v>0</v>
      </c>
      <c r="BL37" s="265">
        <f t="shared" si="39"/>
        <v>0</v>
      </c>
      <c r="BM37" s="265">
        <f t="shared" si="40"/>
        <v>0</v>
      </c>
      <c r="BN37" s="265">
        <f t="shared" si="41"/>
        <v>0</v>
      </c>
      <c r="BO37" s="265">
        <f t="shared" si="42"/>
        <v>0</v>
      </c>
      <c r="BP37" s="265">
        <f t="shared" si="77"/>
        <v>0</v>
      </c>
      <c r="BQ37" s="265">
        <f t="shared" si="78"/>
        <v>0</v>
      </c>
      <c r="BR37" s="265">
        <f t="shared" si="43"/>
        <v>0</v>
      </c>
      <c r="BS37" s="265">
        <f t="shared" si="44"/>
        <v>0</v>
      </c>
      <c r="BT37" s="265">
        <f t="shared" si="79"/>
        <v>0</v>
      </c>
      <c r="BU37" s="265">
        <f t="shared" si="80"/>
        <v>0</v>
      </c>
      <c r="BV37" s="265">
        <f t="shared" si="81"/>
        <v>0</v>
      </c>
      <c r="BW37" s="265">
        <f t="shared" si="82"/>
        <v>0</v>
      </c>
      <c r="BX37" s="265">
        <f t="shared" si="45"/>
        <v>0</v>
      </c>
      <c r="BY37" s="265">
        <f t="shared" si="46"/>
        <v>0</v>
      </c>
      <c r="BZ37" s="265">
        <f t="shared" si="47"/>
        <v>0</v>
      </c>
      <c r="CA37" s="265">
        <f t="shared" si="48"/>
        <v>0</v>
      </c>
      <c r="CB37" s="265">
        <f t="shared" si="49"/>
        <v>0</v>
      </c>
      <c r="CC37" s="265">
        <f t="shared" si="50"/>
        <v>0</v>
      </c>
      <c r="CD37" s="265">
        <f t="shared" si="83"/>
        <v>0</v>
      </c>
      <c r="CE37" s="265">
        <f t="shared" si="84"/>
        <v>0</v>
      </c>
      <c r="CF37" s="265">
        <f t="shared" si="85"/>
        <v>0</v>
      </c>
      <c r="CG37" s="265">
        <f t="shared" si="86"/>
        <v>0</v>
      </c>
      <c r="CH37" s="265">
        <f t="shared" si="51"/>
        <v>0</v>
      </c>
      <c r="CI37" s="265">
        <f t="shared" si="52"/>
        <v>0</v>
      </c>
      <c r="CJ37" s="265">
        <f t="shared" si="87"/>
        <v>0</v>
      </c>
      <c r="CK37" s="265">
        <f t="shared" si="88"/>
        <v>0</v>
      </c>
      <c r="CL37" s="265">
        <f t="shared" si="53"/>
        <v>0</v>
      </c>
      <c r="CM37" s="265">
        <f t="shared" si="54"/>
        <v>0</v>
      </c>
      <c r="CN37" s="265">
        <f t="shared" si="55"/>
        <v>0</v>
      </c>
      <c r="CO37" s="265">
        <f t="shared" si="56"/>
        <v>0</v>
      </c>
      <c r="CP37" s="265">
        <f t="shared" si="89"/>
        <v>0</v>
      </c>
      <c r="CQ37" s="265">
        <f t="shared" si="90"/>
        <v>0</v>
      </c>
      <c r="CR37" s="265">
        <f t="shared" si="91"/>
        <v>0</v>
      </c>
      <c r="CS37" s="265">
        <f t="shared" si="92"/>
        <v>0</v>
      </c>
      <c r="CT37" s="265">
        <f t="shared" si="57"/>
        <v>0</v>
      </c>
      <c r="CU37" s="265">
        <f t="shared" si="58"/>
        <v>0</v>
      </c>
      <c r="CV37" s="265">
        <f t="shared" si="59"/>
        <v>0</v>
      </c>
      <c r="CW37" s="265">
        <f t="shared" si="60"/>
        <v>0</v>
      </c>
      <c r="CX37" s="265">
        <f t="shared" si="93"/>
        <v>0</v>
      </c>
      <c r="CY37" s="265">
        <f t="shared" si="94"/>
        <v>0</v>
      </c>
      <c r="CZ37" s="265">
        <f t="shared" si="95"/>
        <v>0</v>
      </c>
      <c r="DA37" s="265">
        <f t="shared" si="96"/>
        <v>0</v>
      </c>
    </row>
    <row r="38" spans="1:105" s="262" customFormat="1" ht="15" customHeight="1">
      <c r="A38" s="63" t="str">
        <f t="array" ref="A38">IF(C38&lt;&gt;0,SUM(($C$11:C38&lt;&gt;0)*1),"")</f>
        <v/>
      </c>
      <c r="B38" s="263"/>
      <c r="C38" s="263"/>
      <c r="D38" s="263"/>
      <c r="E38" s="344"/>
      <c r="F38" s="314"/>
      <c r="G38" s="316"/>
      <c r="H38" s="316"/>
      <c r="I38" s="63" t="str">
        <f t="shared" si="97"/>
        <v/>
      </c>
      <c r="J38" s="265">
        <f t="shared" si="61"/>
        <v>0</v>
      </c>
      <c r="K38" s="265">
        <f t="shared" si="62"/>
        <v>0</v>
      </c>
      <c r="L38" s="265">
        <f t="shared" si="1"/>
        <v>0</v>
      </c>
      <c r="M38" s="265">
        <f t="shared" si="2"/>
        <v>0</v>
      </c>
      <c r="N38" s="265">
        <f t="shared" si="3"/>
        <v>0</v>
      </c>
      <c r="O38" s="265">
        <f t="shared" si="4"/>
        <v>0</v>
      </c>
      <c r="P38" s="265">
        <f t="shared" si="5"/>
        <v>0</v>
      </c>
      <c r="Q38" s="265">
        <f t="shared" si="6"/>
        <v>0</v>
      </c>
      <c r="R38" s="265">
        <f t="shared" si="7"/>
        <v>0</v>
      </c>
      <c r="S38" s="265">
        <f t="shared" si="8"/>
        <v>0</v>
      </c>
      <c r="T38" s="265">
        <f t="shared" si="9"/>
        <v>0</v>
      </c>
      <c r="U38" s="265">
        <f t="shared" si="10"/>
        <v>0</v>
      </c>
      <c r="V38" s="265">
        <f t="shared" si="11"/>
        <v>0</v>
      </c>
      <c r="W38" s="265">
        <f t="shared" si="12"/>
        <v>0</v>
      </c>
      <c r="X38" s="265">
        <f t="shared" si="13"/>
        <v>0</v>
      </c>
      <c r="Y38" s="265">
        <f t="shared" si="14"/>
        <v>0</v>
      </c>
      <c r="Z38" s="265">
        <f t="shared" si="15"/>
        <v>0</v>
      </c>
      <c r="AA38" s="265">
        <f t="shared" si="16"/>
        <v>0</v>
      </c>
      <c r="AB38" s="265">
        <f t="shared" si="63"/>
        <v>0</v>
      </c>
      <c r="AC38" s="265">
        <f t="shared" si="64"/>
        <v>0</v>
      </c>
      <c r="AD38" s="265">
        <f t="shared" si="17"/>
        <v>0</v>
      </c>
      <c r="AE38" s="265">
        <f t="shared" si="18"/>
        <v>0</v>
      </c>
      <c r="AF38" s="265">
        <f t="shared" si="19"/>
        <v>0</v>
      </c>
      <c r="AG38" s="265">
        <f t="shared" si="20"/>
        <v>0</v>
      </c>
      <c r="AH38" s="265">
        <f t="shared" si="65"/>
        <v>0</v>
      </c>
      <c r="AI38" s="265">
        <f t="shared" si="66"/>
        <v>0</v>
      </c>
      <c r="AJ38" s="265">
        <f t="shared" si="67"/>
        <v>0</v>
      </c>
      <c r="AK38" s="265">
        <f t="shared" si="68"/>
        <v>0</v>
      </c>
      <c r="AL38" s="265">
        <f t="shared" si="69"/>
        <v>0</v>
      </c>
      <c r="AM38" s="265">
        <f t="shared" si="70"/>
        <v>0</v>
      </c>
      <c r="AN38" s="265">
        <f t="shared" si="71"/>
        <v>0</v>
      </c>
      <c r="AO38" s="265">
        <f t="shared" si="72"/>
        <v>0</v>
      </c>
      <c r="AP38" s="265">
        <f t="shared" si="21"/>
        <v>0</v>
      </c>
      <c r="AQ38" s="265">
        <f t="shared" si="22"/>
        <v>0</v>
      </c>
      <c r="AR38" s="265">
        <f t="shared" si="23"/>
        <v>0</v>
      </c>
      <c r="AS38" s="265">
        <f t="shared" si="24"/>
        <v>0</v>
      </c>
      <c r="AT38" s="265">
        <f t="shared" si="73"/>
        <v>0</v>
      </c>
      <c r="AU38" s="265">
        <f t="shared" si="74"/>
        <v>0</v>
      </c>
      <c r="AV38" s="265">
        <f t="shared" si="25"/>
        <v>0</v>
      </c>
      <c r="AW38" s="265">
        <f t="shared" si="26"/>
        <v>0</v>
      </c>
      <c r="AX38" s="265">
        <f t="shared" si="27"/>
        <v>0</v>
      </c>
      <c r="AY38" s="265">
        <f t="shared" si="28"/>
        <v>0</v>
      </c>
      <c r="AZ38" s="265">
        <f t="shared" si="29"/>
        <v>0</v>
      </c>
      <c r="BA38" s="265">
        <f t="shared" si="30"/>
        <v>0</v>
      </c>
      <c r="BB38" s="265">
        <f t="shared" si="31"/>
        <v>0</v>
      </c>
      <c r="BC38" s="265">
        <f t="shared" si="32"/>
        <v>0</v>
      </c>
      <c r="BD38" s="265">
        <f t="shared" si="33"/>
        <v>0</v>
      </c>
      <c r="BE38" s="265">
        <f t="shared" si="34"/>
        <v>0</v>
      </c>
      <c r="BF38" s="265">
        <f t="shared" si="35"/>
        <v>0</v>
      </c>
      <c r="BG38" s="265">
        <f t="shared" si="36"/>
        <v>0</v>
      </c>
      <c r="BH38" s="265">
        <f t="shared" si="75"/>
        <v>0</v>
      </c>
      <c r="BI38" s="265">
        <f t="shared" si="76"/>
        <v>0</v>
      </c>
      <c r="BJ38" s="265">
        <f t="shared" si="37"/>
        <v>0</v>
      </c>
      <c r="BK38" s="265">
        <f t="shared" si="38"/>
        <v>0</v>
      </c>
      <c r="BL38" s="265">
        <f t="shared" si="39"/>
        <v>0</v>
      </c>
      <c r="BM38" s="265">
        <f t="shared" si="40"/>
        <v>0</v>
      </c>
      <c r="BN38" s="265">
        <f t="shared" si="41"/>
        <v>0</v>
      </c>
      <c r="BO38" s="265">
        <f t="shared" si="42"/>
        <v>0</v>
      </c>
      <c r="BP38" s="265">
        <f t="shared" si="77"/>
        <v>0</v>
      </c>
      <c r="BQ38" s="265">
        <f t="shared" si="78"/>
        <v>0</v>
      </c>
      <c r="BR38" s="265">
        <f t="shared" si="43"/>
        <v>0</v>
      </c>
      <c r="BS38" s="265">
        <f t="shared" si="44"/>
        <v>0</v>
      </c>
      <c r="BT38" s="265">
        <f t="shared" si="79"/>
        <v>0</v>
      </c>
      <c r="BU38" s="265">
        <f t="shared" si="80"/>
        <v>0</v>
      </c>
      <c r="BV38" s="265">
        <f t="shared" si="81"/>
        <v>0</v>
      </c>
      <c r="BW38" s="265">
        <f t="shared" si="82"/>
        <v>0</v>
      </c>
      <c r="BX38" s="265">
        <f t="shared" si="45"/>
        <v>0</v>
      </c>
      <c r="BY38" s="265">
        <f t="shared" si="46"/>
        <v>0</v>
      </c>
      <c r="BZ38" s="265">
        <f t="shared" si="47"/>
        <v>0</v>
      </c>
      <c r="CA38" s="265">
        <f t="shared" si="48"/>
        <v>0</v>
      </c>
      <c r="CB38" s="265">
        <f t="shared" si="49"/>
        <v>0</v>
      </c>
      <c r="CC38" s="265">
        <f t="shared" si="50"/>
        <v>0</v>
      </c>
      <c r="CD38" s="265">
        <f t="shared" si="83"/>
        <v>0</v>
      </c>
      <c r="CE38" s="265">
        <f t="shared" si="84"/>
        <v>0</v>
      </c>
      <c r="CF38" s="265">
        <f t="shared" si="85"/>
        <v>0</v>
      </c>
      <c r="CG38" s="265">
        <f t="shared" si="86"/>
        <v>0</v>
      </c>
      <c r="CH38" s="265">
        <f t="shared" si="51"/>
        <v>0</v>
      </c>
      <c r="CI38" s="265">
        <f t="shared" si="52"/>
        <v>0</v>
      </c>
      <c r="CJ38" s="265">
        <f t="shared" si="87"/>
        <v>0</v>
      </c>
      <c r="CK38" s="265">
        <f t="shared" si="88"/>
        <v>0</v>
      </c>
      <c r="CL38" s="265">
        <f t="shared" si="53"/>
        <v>0</v>
      </c>
      <c r="CM38" s="265">
        <f t="shared" si="54"/>
        <v>0</v>
      </c>
      <c r="CN38" s="265">
        <f t="shared" si="55"/>
        <v>0</v>
      </c>
      <c r="CO38" s="265">
        <f t="shared" si="56"/>
        <v>0</v>
      </c>
      <c r="CP38" s="265">
        <f t="shared" si="89"/>
        <v>0</v>
      </c>
      <c r="CQ38" s="265">
        <f t="shared" si="90"/>
        <v>0</v>
      </c>
      <c r="CR38" s="265">
        <f t="shared" si="91"/>
        <v>0</v>
      </c>
      <c r="CS38" s="265">
        <f t="shared" si="92"/>
        <v>0</v>
      </c>
      <c r="CT38" s="265">
        <f t="shared" si="57"/>
        <v>0</v>
      </c>
      <c r="CU38" s="265">
        <f t="shared" si="58"/>
        <v>0</v>
      </c>
      <c r="CV38" s="265">
        <f t="shared" si="59"/>
        <v>0</v>
      </c>
      <c r="CW38" s="265">
        <f t="shared" si="60"/>
        <v>0</v>
      </c>
      <c r="CX38" s="265">
        <f t="shared" si="93"/>
        <v>0</v>
      </c>
      <c r="CY38" s="265">
        <f t="shared" si="94"/>
        <v>0</v>
      </c>
      <c r="CZ38" s="265">
        <f t="shared" si="95"/>
        <v>0</v>
      </c>
      <c r="DA38" s="265">
        <f t="shared" si="96"/>
        <v>0</v>
      </c>
    </row>
    <row r="39" spans="1:105" s="262" customFormat="1" ht="15" customHeight="1">
      <c r="A39" s="63" t="str">
        <f t="array" ref="A39">IF(C39&lt;&gt;0,SUM(($C$11:C39&lt;&gt;0)*1),"")</f>
        <v/>
      </c>
      <c r="B39" s="263"/>
      <c r="C39" s="263"/>
      <c r="D39" s="263"/>
      <c r="E39" s="344"/>
      <c r="F39" s="314"/>
      <c r="G39" s="316"/>
      <c r="H39" s="316"/>
      <c r="I39" s="63" t="str">
        <f t="shared" si="97"/>
        <v/>
      </c>
      <c r="J39" s="265">
        <f t="shared" si="61"/>
        <v>0</v>
      </c>
      <c r="K39" s="265">
        <f t="shared" si="62"/>
        <v>0</v>
      </c>
      <c r="L39" s="265">
        <f t="shared" si="1"/>
        <v>0</v>
      </c>
      <c r="M39" s="265">
        <f t="shared" si="2"/>
        <v>0</v>
      </c>
      <c r="N39" s="265">
        <f t="shared" si="3"/>
        <v>0</v>
      </c>
      <c r="O39" s="265">
        <f t="shared" si="4"/>
        <v>0</v>
      </c>
      <c r="P39" s="265">
        <f t="shared" si="5"/>
        <v>0</v>
      </c>
      <c r="Q39" s="265">
        <f t="shared" si="6"/>
        <v>0</v>
      </c>
      <c r="R39" s="265">
        <f t="shared" si="7"/>
        <v>0</v>
      </c>
      <c r="S39" s="265">
        <f t="shared" si="8"/>
        <v>0</v>
      </c>
      <c r="T39" s="265">
        <f t="shared" si="9"/>
        <v>0</v>
      </c>
      <c r="U39" s="265">
        <f t="shared" si="10"/>
        <v>0</v>
      </c>
      <c r="V39" s="265">
        <f t="shared" si="11"/>
        <v>0</v>
      </c>
      <c r="W39" s="265">
        <f t="shared" si="12"/>
        <v>0</v>
      </c>
      <c r="X39" s="265">
        <f t="shared" si="13"/>
        <v>0</v>
      </c>
      <c r="Y39" s="265">
        <f t="shared" si="14"/>
        <v>0</v>
      </c>
      <c r="Z39" s="265">
        <f t="shared" si="15"/>
        <v>0</v>
      </c>
      <c r="AA39" s="265">
        <f t="shared" si="16"/>
        <v>0</v>
      </c>
      <c r="AB39" s="265">
        <f t="shared" si="63"/>
        <v>0</v>
      </c>
      <c r="AC39" s="265">
        <f t="shared" si="64"/>
        <v>0</v>
      </c>
      <c r="AD39" s="265">
        <f t="shared" si="17"/>
        <v>0</v>
      </c>
      <c r="AE39" s="265">
        <f t="shared" si="18"/>
        <v>0</v>
      </c>
      <c r="AF39" s="265">
        <f t="shared" si="19"/>
        <v>0</v>
      </c>
      <c r="AG39" s="265">
        <f t="shared" si="20"/>
        <v>0</v>
      </c>
      <c r="AH39" s="265">
        <f t="shared" si="65"/>
        <v>0</v>
      </c>
      <c r="AI39" s="265">
        <f t="shared" si="66"/>
        <v>0</v>
      </c>
      <c r="AJ39" s="265">
        <f t="shared" si="67"/>
        <v>0</v>
      </c>
      <c r="AK39" s="265">
        <f t="shared" si="68"/>
        <v>0</v>
      </c>
      <c r="AL39" s="265">
        <f t="shared" si="69"/>
        <v>0</v>
      </c>
      <c r="AM39" s="265">
        <f t="shared" si="70"/>
        <v>0</v>
      </c>
      <c r="AN39" s="265">
        <f t="shared" si="71"/>
        <v>0</v>
      </c>
      <c r="AO39" s="265">
        <f t="shared" si="72"/>
        <v>0</v>
      </c>
      <c r="AP39" s="265">
        <f t="shared" si="21"/>
        <v>0</v>
      </c>
      <c r="AQ39" s="265">
        <f t="shared" si="22"/>
        <v>0</v>
      </c>
      <c r="AR39" s="265">
        <f t="shared" si="23"/>
        <v>0</v>
      </c>
      <c r="AS39" s="265">
        <f t="shared" si="24"/>
        <v>0</v>
      </c>
      <c r="AT39" s="265">
        <f t="shared" si="73"/>
        <v>0</v>
      </c>
      <c r="AU39" s="265">
        <f t="shared" si="74"/>
        <v>0</v>
      </c>
      <c r="AV39" s="265">
        <f t="shared" si="25"/>
        <v>0</v>
      </c>
      <c r="AW39" s="265">
        <f t="shared" si="26"/>
        <v>0</v>
      </c>
      <c r="AX39" s="265">
        <f t="shared" si="27"/>
        <v>0</v>
      </c>
      <c r="AY39" s="265">
        <f t="shared" si="28"/>
        <v>0</v>
      </c>
      <c r="AZ39" s="265">
        <f t="shared" si="29"/>
        <v>0</v>
      </c>
      <c r="BA39" s="265">
        <f t="shared" si="30"/>
        <v>0</v>
      </c>
      <c r="BB39" s="265">
        <f t="shared" si="31"/>
        <v>0</v>
      </c>
      <c r="BC39" s="265">
        <f t="shared" si="32"/>
        <v>0</v>
      </c>
      <c r="BD39" s="265">
        <f t="shared" si="33"/>
        <v>0</v>
      </c>
      <c r="BE39" s="265">
        <f t="shared" si="34"/>
        <v>0</v>
      </c>
      <c r="BF39" s="265">
        <f t="shared" si="35"/>
        <v>0</v>
      </c>
      <c r="BG39" s="265">
        <f t="shared" si="36"/>
        <v>0</v>
      </c>
      <c r="BH39" s="265">
        <f t="shared" si="75"/>
        <v>0</v>
      </c>
      <c r="BI39" s="265">
        <f t="shared" si="76"/>
        <v>0</v>
      </c>
      <c r="BJ39" s="265">
        <f t="shared" si="37"/>
        <v>0</v>
      </c>
      <c r="BK39" s="265">
        <f t="shared" si="38"/>
        <v>0</v>
      </c>
      <c r="BL39" s="265">
        <f t="shared" si="39"/>
        <v>0</v>
      </c>
      <c r="BM39" s="265">
        <f t="shared" si="40"/>
        <v>0</v>
      </c>
      <c r="BN39" s="265">
        <f t="shared" si="41"/>
        <v>0</v>
      </c>
      <c r="BO39" s="265">
        <f t="shared" si="42"/>
        <v>0</v>
      </c>
      <c r="BP39" s="265">
        <f t="shared" si="77"/>
        <v>0</v>
      </c>
      <c r="BQ39" s="265">
        <f t="shared" si="78"/>
        <v>0</v>
      </c>
      <c r="BR39" s="265">
        <f t="shared" si="43"/>
        <v>0</v>
      </c>
      <c r="BS39" s="265">
        <f t="shared" si="44"/>
        <v>0</v>
      </c>
      <c r="BT39" s="265">
        <f t="shared" si="79"/>
        <v>0</v>
      </c>
      <c r="BU39" s="265">
        <f t="shared" si="80"/>
        <v>0</v>
      </c>
      <c r="BV39" s="265">
        <f t="shared" si="81"/>
        <v>0</v>
      </c>
      <c r="BW39" s="265">
        <f t="shared" si="82"/>
        <v>0</v>
      </c>
      <c r="BX39" s="265">
        <f t="shared" si="45"/>
        <v>0</v>
      </c>
      <c r="BY39" s="265">
        <f t="shared" si="46"/>
        <v>0</v>
      </c>
      <c r="BZ39" s="265">
        <f t="shared" si="47"/>
        <v>0</v>
      </c>
      <c r="CA39" s="265">
        <f t="shared" si="48"/>
        <v>0</v>
      </c>
      <c r="CB39" s="265">
        <f t="shared" si="49"/>
        <v>0</v>
      </c>
      <c r="CC39" s="265">
        <f t="shared" si="50"/>
        <v>0</v>
      </c>
      <c r="CD39" s="265">
        <f t="shared" si="83"/>
        <v>0</v>
      </c>
      <c r="CE39" s="265">
        <f t="shared" si="84"/>
        <v>0</v>
      </c>
      <c r="CF39" s="265">
        <f t="shared" si="85"/>
        <v>0</v>
      </c>
      <c r="CG39" s="265">
        <f t="shared" si="86"/>
        <v>0</v>
      </c>
      <c r="CH39" s="265">
        <f t="shared" si="51"/>
        <v>0</v>
      </c>
      <c r="CI39" s="265">
        <f t="shared" si="52"/>
        <v>0</v>
      </c>
      <c r="CJ39" s="265">
        <f t="shared" si="87"/>
        <v>0</v>
      </c>
      <c r="CK39" s="265">
        <f t="shared" si="88"/>
        <v>0</v>
      </c>
      <c r="CL39" s="265">
        <f t="shared" si="53"/>
        <v>0</v>
      </c>
      <c r="CM39" s="265">
        <f t="shared" si="54"/>
        <v>0</v>
      </c>
      <c r="CN39" s="265">
        <f t="shared" si="55"/>
        <v>0</v>
      </c>
      <c r="CO39" s="265">
        <f t="shared" si="56"/>
        <v>0</v>
      </c>
      <c r="CP39" s="265">
        <f t="shared" si="89"/>
        <v>0</v>
      </c>
      <c r="CQ39" s="265">
        <f t="shared" si="90"/>
        <v>0</v>
      </c>
      <c r="CR39" s="265">
        <f t="shared" si="91"/>
        <v>0</v>
      </c>
      <c r="CS39" s="265">
        <f t="shared" si="92"/>
        <v>0</v>
      </c>
      <c r="CT39" s="265">
        <f t="shared" si="57"/>
        <v>0</v>
      </c>
      <c r="CU39" s="265">
        <f t="shared" si="58"/>
        <v>0</v>
      </c>
      <c r="CV39" s="265">
        <f t="shared" si="59"/>
        <v>0</v>
      </c>
      <c r="CW39" s="265">
        <f t="shared" si="60"/>
        <v>0</v>
      </c>
      <c r="CX39" s="265">
        <f t="shared" si="93"/>
        <v>0</v>
      </c>
      <c r="CY39" s="265">
        <f t="shared" si="94"/>
        <v>0</v>
      </c>
      <c r="CZ39" s="265">
        <f t="shared" si="95"/>
        <v>0</v>
      </c>
      <c r="DA39" s="265">
        <f t="shared" si="96"/>
        <v>0</v>
      </c>
    </row>
    <row r="40" spans="1:105" s="262" customFormat="1" ht="15" customHeight="1">
      <c r="A40" s="63">
        <f t="array" aca="1" ref="A40" ca="1">IF(C40&lt;&gt;0,SUM(($C$11:C40&lt;&gt;0)*1),"")</f>
        <v>2</v>
      </c>
      <c r="B40" s="263">
        <v>42551</v>
      </c>
      <c r="C40" s="266" t="s">
        <v>113</v>
      </c>
      <c r="D40" s="266">
        <f t="shared" ref="D40:D50" si="98">B40</f>
        <v>42551</v>
      </c>
      <c r="E40" s="919" t="s">
        <v>910</v>
      </c>
      <c r="F40" s="920">
        <f ca="1">AY52</f>
        <v>0</v>
      </c>
      <c r="G40" s="921" t="s">
        <v>915</v>
      </c>
      <c r="H40" s="921" t="s">
        <v>9</v>
      </c>
      <c r="I40" s="63">
        <f t="shared" ca="1" si="97"/>
        <v>2</v>
      </c>
      <c r="J40" s="265">
        <f t="shared" si="61"/>
        <v>0</v>
      </c>
      <c r="K40" s="265">
        <f t="shared" si="62"/>
        <v>0</v>
      </c>
      <c r="L40" s="265">
        <f t="shared" si="1"/>
        <v>0</v>
      </c>
      <c r="M40" s="265">
        <f t="shared" si="2"/>
        <v>0</v>
      </c>
      <c r="N40" s="265">
        <f t="shared" si="3"/>
        <v>0</v>
      </c>
      <c r="O40" s="265">
        <f t="shared" si="4"/>
        <v>0</v>
      </c>
      <c r="P40" s="265">
        <f t="shared" si="5"/>
        <v>0</v>
      </c>
      <c r="Q40" s="265">
        <f t="shared" si="6"/>
        <v>0</v>
      </c>
      <c r="R40" s="265">
        <f t="shared" si="7"/>
        <v>0</v>
      </c>
      <c r="S40" s="265">
        <f t="shared" ca="1" si="8"/>
        <v>0</v>
      </c>
      <c r="T40" s="265">
        <f t="shared" si="9"/>
        <v>0</v>
      </c>
      <c r="U40" s="265">
        <f t="shared" si="10"/>
        <v>0</v>
      </c>
      <c r="V40" s="265">
        <f t="shared" si="11"/>
        <v>0</v>
      </c>
      <c r="W40" s="265">
        <f t="shared" si="12"/>
        <v>0</v>
      </c>
      <c r="X40" s="265">
        <f t="shared" si="13"/>
        <v>0</v>
      </c>
      <c r="Y40" s="265">
        <f t="shared" si="14"/>
        <v>0</v>
      </c>
      <c r="Z40" s="265">
        <f t="shared" si="15"/>
        <v>0</v>
      </c>
      <c r="AA40" s="265">
        <f t="shared" si="16"/>
        <v>0</v>
      </c>
      <c r="AB40" s="265">
        <f t="shared" si="63"/>
        <v>0</v>
      </c>
      <c r="AC40" s="265">
        <f t="shared" si="64"/>
        <v>0</v>
      </c>
      <c r="AD40" s="265">
        <f t="shared" si="17"/>
        <v>0</v>
      </c>
      <c r="AE40" s="265">
        <f t="shared" si="18"/>
        <v>0</v>
      </c>
      <c r="AF40" s="265">
        <f t="shared" si="19"/>
        <v>0</v>
      </c>
      <c r="AG40" s="265">
        <f t="shared" si="20"/>
        <v>0</v>
      </c>
      <c r="AH40" s="265">
        <f t="shared" si="65"/>
        <v>0</v>
      </c>
      <c r="AI40" s="265">
        <f t="shared" si="66"/>
        <v>0</v>
      </c>
      <c r="AJ40" s="265">
        <f t="shared" si="67"/>
        <v>0</v>
      </c>
      <c r="AK40" s="265">
        <f t="shared" si="68"/>
        <v>0</v>
      </c>
      <c r="AL40" s="265">
        <f t="shared" si="69"/>
        <v>0</v>
      </c>
      <c r="AM40" s="265">
        <f t="shared" si="70"/>
        <v>0</v>
      </c>
      <c r="AN40" s="265">
        <f t="shared" si="71"/>
        <v>0</v>
      </c>
      <c r="AO40" s="265">
        <f t="shared" si="72"/>
        <v>0</v>
      </c>
      <c r="AP40" s="265">
        <f t="shared" si="21"/>
        <v>0</v>
      </c>
      <c r="AQ40" s="265">
        <f t="shared" si="22"/>
        <v>0</v>
      </c>
      <c r="AR40" s="265">
        <f t="shared" si="23"/>
        <v>0</v>
      </c>
      <c r="AS40" s="265">
        <f t="shared" si="24"/>
        <v>0</v>
      </c>
      <c r="AT40" s="265">
        <f t="shared" si="73"/>
        <v>0</v>
      </c>
      <c r="AU40" s="265">
        <f t="shared" si="74"/>
        <v>0</v>
      </c>
      <c r="AV40" s="265">
        <f t="shared" si="25"/>
        <v>0</v>
      </c>
      <c r="AW40" s="265">
        <f t="shared" si="26"/>
        <v>0</v>
      </c>
      <c r="AX40" s="265">
        <f t="shared" ca="1" si="27"/>
        <v>0</v>
      </c>
      <c r="AY40" s="265">
        <f t="shared" si="28"/>
        <v>0</v>
      </c>
      <c r="AZ40" s="265">
        <f t="shared" si="29"/>
        <v>0</v>
      </c>
      <c r="BA40" s="265">
        <f t="shared" si="30"/>
        <v>0</v>
      </c>
      <c r="BB40" s="265">
        <f t="shared" si="31"/>
        <v>0</v>
      </c>
      <c r="BC40" s="265">
        <f t="shared" si="32"/>
        <v>0</v>
      </c>
      <c r="BD40" s="265">
        <f t="shared" si="33"/>
        <v>0</v>
      </c>
      <c r="BE40" s="265">
        <f t="shared" si="34"/>
        <v>0</v>
      </c>
      <c r="BF40" s="265">
        <f t="shared" si="35"/>
        <v>0</v>
      </c>
      <c r="BG40" s="265">
        <f t="shared" si="36"/>
        <v>0</v>
      </c>
      <c r="BH40" s="265">
        <f t="shared" si="75"/>
        <v>0</v>
      </c>
      <c r="BI40" s="265">
        <f t="shared" si="76"/>
        <v>0</v>
      </c>
      <c r="BJ40" s="265">
        <f t="shared" si="37"/>
        <v>0</v>
      </c>
      <c r="BK40" s="265">
        <f t="shared" si="38"/>
        <v>0</v>
      </c>
      <c r="BL40" s="265">
        <f t="shared" si="39"/>
        <v>0</v>
      </c>
      <c r="BM40" s="265">
        <f t="shared" si="40"/>
        <v>0</v>
      </c>
      <c r="BN40" s="265">
        <f t="shared" si="41"/>
        <v>0</v>
      </c>
      <c r="BO40" s="265">
        <f t="shared" si="42"/>
        <v>0</v>
      </c>
      <c r="BP40" s="265">
        <f t="shared" si="77"/>
        <v>0</v>
      </c>
      <c r="BQ40" s="265">
        <f t="shared" si="78"/>
        <v>0</v>
      </c>
      <c r="BR40" s="265">
        <f t="shared" si="43"/>
        <v>0</v>
      </c>
      <c r="BS40" s="265">
        <f t="shared" si="44"/>
        <v>0</v>
      </c>
      <c r="BT40" s="265">
        <f t="shared" si="79"/>
        <v>0</v>
      </c>
      <c r="BU40" s="265">
        <f t="shared" si="80"/>
        <v>0</v>
      </c>
      <c r="BV40" s="265">
        <f t="shared" si="81"/>
        <v>0</v>
      </c>
      <c r="BW40" s="265">
        <f t="shared" si="82"/>
        <v>0</v>
      </c>
      <c r="BX40" s="265">
        <f t="shared" si="45"/>
        <v>0</v>
      </c>
      <c r="BY40" s="265">
        <f t="shared" si="46"/>
        <v>0</v>
      </c>
      <c r="BZ40" s="265">
        <f t="shared" si="47"/>
        <v>0</v>
      </c>
      <c r="CA40" s="265">
        <f t="shared" si="48"/>
        <v>0</v>
      </c>
      <c r="CB40" s="265">
        <f t="shared" si="49"/>
        <v>0</v>
      </c>
      <c r="CC40" s="265">
        <f t="shared" si="50"/>
        <v>0</v>
      </c>
      <c r="CD40" s="265">
        <f t="shared" si="83"/>
        <v>0</v>
      </c>
      <c r="CE40" s="265">
        <f t="shared" si="84"/>
        <v>0</v>
      </c>
      <c r="CF40" s="265">
        <f t="shared" si="85"/>
        <v>0</v>
      </c>
      <c r="CG40" s="265">
        <f t="shared" si="86"/>
        <v>0</v>
      </c>
      <c r="CH40" s="265">
        <f t="shared" si="51"/>
        <v>0</v>
      </c>
      <c r="CI40" s="265">
        <f t="shared" si="52"/>
        <v>0</v>
      </c>
      <c r="CJ40" s="265">
        <f t="shared" si="87"/>
        <v>0</v>
      </c>
      <c r="CK40" s="265">
        <f t="shared" si="88"/>
        <v>0</v>
      </c>
      <c r="CL40" s="265">
        <f t="shared" si="53"/>
        <v>0</v>
      </c>
      <c r="CM40" s="265">
        <f t="shared" si="54"/>
        <v>0</v>
      </c>
      <c r="CN40" s="265">
        <f t="shared" si="55"/>
        <v>0</v>
      </c>
      <c r="CO40" s="265">
        <f t="shared" si="56"/>
        <v>0</v>
      </c>
      <c r="CP40" s="265">
        <f t="shared" si="89"/>
        <v>0</v>
      </c>
      <c r="CQ40" s="265">
        <f t="shared" si="90"/>
        <v>0</v>
      </c>
      <c r="CR40" s="265">
        <f t="shared" si="91"/>
        <v>0</v>
      </c>
      <c r="CS40" s="265">
        <f t="shared" si="92"/>
        <v>0</v>
      </c>
      <c r="CT40" s="265">
        <f t="shared" si="57"/>
        <v>0</v>
      </c>
      <c r="CU40" s="265">
        <f t="shared" si="58"/>
        <v>0</v>
      </c>
      <c r="CV40" s="265">
        <f t="shared" si="59"/>
        <v>0</v>
      </c>
      <c r="CW40" s="265">
        <f t="shared" si="60"/>
        <v>0</v>
      </c>
      <c r="CX40" s="265">
        <f t="shared" si="93"/>
        <v>0</v>
      </c>
      <c r="CY40" s="265">
        <f t="shared" si="94"/>
        <v>0</v>
      </c>
      <c r="CZ40" s="265">
        <f t="shared" si="95"/>
        <v>0</v>
      </c>
      <c r="DA40" s="265">
        <f t="shared" si="96"/>
        <v>0</v>
      </c>
    </row>
    <row r="41" spans="1:105" s="262" customFormat="1" ht="15" customHeight="1">
      <c r="A41" s="63">
        <f t="array" aca="1" ref="A41" ca="1">IF(C41&lt;&gt;0,SUM(($C$11:C41&lt;&gt;0)*1),"")</f>
        <v>3</v>
      </c>
      <c r="B41" s="263">
        <v>42551</v>
      </c>
      <c r="C41" s="266" t="s">
        <v>113</v>
      </c>
      <c r="D41" s="266">
        <f t="shared" si="98"/>
        <v>42551</v>
      </c>
      <c r="E41" s="919" t="s">
        <v>911</v>
      </c>
      <c r="F41" s="920">
        <f ca="1">CL52</f>
        <v>0</v>
      </c>
      <c r="G41" s="921" t="s">
        <v>107</v>
      </c>
      <c r="H41" s="921" t="s">
        <v>288</v>
      </c>
      <c r="I41" s="63">
        <f t="shared" ca="1" si="97"/>
        <v>3</v>
      </c>
      <c r="J41" s="265">
        <f t="shared" si="61"/>
        <v>0</v>
      </c>
      <c r="K41" s="265">
        <f t="shared" si="62"/>
        <v>0</v>
      </c>
      <c r="L41" s="265">
        <f t="shared" si="1"/>
        <v>0</v>
      </c>
      <c r="M41" s="265">
        <f t="shared" si="2"/>
        <v>0</v>
      </c>
      <c r="N41" s="265">
        <f t="shared" si="3"/>
        <v>0</v>
      </c>
      <c r="O41" s="265">
        <f t="shared" si="4"/>
        <v>0</v>
      </c>
      <c r="P41" s="265">
        <f t="shared" si="5"/>
        <v>0</v>
      </c>
      <c r="Q41" s="265">
        <f t="shared" si="6"/>
        <v>0</v>
      </c>
      <c r="R41" s="265">
        <f t="shared" si="7"/>
        <v>0</v>
      </c>
      <c r="S41" s="265">
        <f t="shared" si="8"/>
        <v>0</v>
      </c>
      <c r="T41" s="265">
        <f t="shared" si="9"/>
        <v>0</v>
      </c>
      <c r="U41" s="265">
        <f t="shared" si="10"/>
        <v>0</v>
      </c>
      <c r="V41" s="265">
        <f t="shared" si="11"/>
        <v>0</v>
      </c>
      <c r="W41" s="265">
        <f t="shared" si="12"/>
        <v>0</v>
      </c>
      <c r="X41" s="265">
        <f t="shared" si="13"/>
        <v>0</v>
      </c>
      <c r="Y41" s="265">
        <f t="shared" si="14"/>
        <v>0</v>
      </c>
      <c r="Z41" s="265">
        <f t="shared" si="15"/>
        <v>0</v>
      </c>
      <c r="AA41" s="265">
        <f t="shared" si="16"/>
        <v>0</v>
      </c>
      <c r="AB41" s="265">
        <f t="shared" si="63"/>
        <v>0</v>
      </c>
      <c r="AC41" s="265">
        <f t="shared" si="64"/>
        <v>0</v>
      </c>
      <c r="AD41" s="265">
        <f t="shared" si="17"/>
        <v>0</v>
      </c>
      <c r="AE41" s="265">
        <f t="shared" si="18"/>
        <v>0</v>
      </c>
      <c r="AF41" s="265">
        <f t="shared" si="19"/>
        <v>0</v>
      </c>
      <c r="AG41" s="265">
        <f t="shared" si="20"/>
        <v>0</v>
      </c>
      <c r="AH41" s="265">
        <f t="shared" si="65"/>
        <v>0</v>
      </c>
      <c r="AI41" s="265">
        <f t="shared" si="66"/>
        <v>0</v>
      </c>
      <c r="AJ41" s="265">
        <f t="shared" si="67"/>
        <v>0</v>
      </c>
      <c r="AK41" s="265">
        <f t="shared" si="68"/>
        <v>0</v>
      </c>
      <c r="AL41" s="265">
        <f t="shared" si="69"/>
        <v>0</v>
      </c>
      <c r="AM41" s="265">
        <f t="shared" si="70"/>
        <v>0</v>
      </c>
      <c r="AN41" s="265">
        <f t="shared" si="71"/>
        <v>0</v>
      </c>
      <c r="AO41" s="265">
        <f t="shared" si="72"/>
        <v>0</v>
      </c>
      <c r="AP41" s="265">
        <f t="shared" si="21"/>
        <v>0</v>
      </c>
      <c r="AQ41" s="265">
        <f t="shared" si="22"/>
        <v>0</v>
      </c>
      <c r="AR41" s="265">
        <f t="shared" si="23"/>
        <v>0</v>
      </c>
      <c r="AS41" s="265">
        <f t="shared" si="24"/>
        <v>0</v>
      </c>
      <c r="AT41" s="265">
        <f t="shared" si="73"/>
        <v>0</v>
      </c>
      <c r="AU41" s="265">
        <f t="shared" si="74"/>
        <v>0</v>
      </c>
      <c r="AV41" s="265">
        <f t="shared" si="25"/>
        <v>0</v>
      </c>
      <c r="AW41" s="265">
        <f t="shared" si="26"/>
        <v>0</v>
      </c>
      <c r="AX41" s="265">
        <f t="shared" si="27"/>
        <v>0</v>
      </c>
      <c r="AY41" s="265">
        <f t="shared" si="28"/>
        <v>0</v>
      </c>
      <c r="AZ41" s="265">
        <f t="shared" si="29"/>
        <v>0</v>
      </c>
      <c r="BA41" s="265">
        <f t="shared" si="30"/>
        <v>0</v>
      </c>
      <c r="BB41" s="265">
        <f t="shared" si="31"/>
        <v>0</v>
      </c>
      <c r="BC41" s="265">
        <f t="shared" si="32"/>
        <v>0</v>
      </c>
      <c r="BD41" s="265">
        <f t="shared" si="33"/>
        <v>0</v>
      </c>
      <c r="BE41" s="265">
        <f t="shared" si="34"/>
        <v>0</v>
      </c>
      <c r="BF41" s="265">
        <f t="shared" si="35"/>
        <v>0</v>
      </c>
      <c r="BG41" s="265">
        <f t="shared" si="36"/>
        <v>0</v>
      </c>
      <c r="BH41" s="265">
        <f t="shared" si="75"/>
        <v>0</v>
      </c>
      <c r="BI41" s="265">
        <f t="shared" si="76"/>
        <v>0</v>
      </c>
      <c r="BJ41" s="265">
        <f t="shared" si="37"/>
        <v>0</v>
      </c>
      <c r="BK41" s="265">
        <f t="shared" si="38"/>
        <v>0</v>
      </c>
      <c r="BL41" s="265">
        <f t="shared" si="39"/>
        <v>0</v>
      </c>
      <c r="BM41" s="265">
        <f t="shared" si="40"/>
        <v>0</v>
      </c>
      <c r="BN41" s="265">
        <f t="shared" si="41"/>
        <v>0</v>
      </c>
      <c r="BO41" s="265">
        <f t="shared" si="42"/>
        <v>0</v>
      </c>
      <c r="BP41" s="265">
        <f t="shared" si="77"/>
        <v>0</v>
      </c>
      <c r="BQ41" s="265">
        <f t="shared" si="78"/>
        <v>0</v>
      </c>
      <c r="BR41" s="265">
        <f t="shared" si="43"/>
        <v>0</v>
      </c>
      <c r="BS41" s="265">
        <f t="shared" si="44"/>
        <v>0</v>
      </c>
      <c r="BT41" s="265">
        <f t="shared" si="79"/>
        <v>0</v>
      </c>
      <c r="BU41" s="265">
        <f t="shared" si="80"/>
        <v>0</v>
      </c>
      <c r="BV41" s="265">
        <f t="shared" si="81"/>
        <v>0</v>
      </c>
      <c r="BW41" s="265">
        <f t="shared" si="82"/>
        <v>0</v>
      </c>
      <c r="BX41" s="265">
        <f t="shared" si="45"/>
        <v>0</v>
      </c>
      <c r="BY41" s="265">
        <f t="shared" si="46"/>
        <v>0</v>
      </c>
      <c r="BZ41" s="265">
        <f t="shared" si="47"/>
        <v>0</v>
      </c>
      <c r="CA41" s="265">
        <f t="shared" si="48"/>
        <v>0</v>
      </c>
      <c r="CB41" s="265">
        <f t="shared" si="49"/>
        <v>0</v>
      </c>
      <c r="CC41" s="265">
        <f t="shared" si="50"/>
        <v>0</v>
      </c>
      <c r="CD41" s="265">
        <f t="shared" si="83"/>
        <v>0</v>
      </c>
      <c r="CE41" s="265">
        <f t="shared" si="84"/>
        <v>0</v>
      </c>
      <c r="CF41" s="265">
        <f t="shared" si="85"/>
        <v>0</v>
      </c>
      <c r="CG41" s="265">
        <f t="shared" si="86"/>
        <v>0</v>
      </c>
      <c r="CH41" s="265">
        <f t="shared" si="51"/>
        <v>0</v>
      </c>
      <c r="CI41" s="265">
        <f t="shared" si="52"/>
        <v>0</v>
      </c>
      <c r="CJ41" s="265">
        <f t="shared" si="87"/>
        <v>0</v>
      </c>
      <c r="CK41" s="265">
        <f t="shared" si="88"/>
        <v>0</v>
      </c>
      <c r="CL41" s="265">
        <f t="shared" si="53"/>
        <v>0</v>
      </c>
      <c r="CM41" s="265">
        <f t="shared" ca="1" si="54"/>
        <v>0</v>
      </c>
      <c r="CN41" s="265">
        <f t="shared" si="55"/>
        <v>0</v>
      </c>
      <c r="CO41" s="265">
        <f t="shared" si="56"/>
        <v>0</v>
      </c>
      <c r="CP41" s="265">
        <f t="shared" si="89"/>
        <v>0</v>
      </c>
      <c r="CQ41" s="265">
        <f t="shared" si="90"/>
        <v>0</v>
      </c>
      <c r="CR41" s="265">
        <f t="shared" si="91"/>
        <v>0</v>
      </c>
      <c r="CS41" s="265">
        <f t="shared" si="92"/>
        <v>0</v>
      </c>
      <c r="CT41" s="265">
        <f t="shared" si="57"/>
        <v>0</v>
      </c>
      <c r="CU41" s="265">
        <f t="shared" si="58"/>
        <v>0</v>
      </c>
      <c r="CV41" s="265">
        <f t="shared" si="59"/>
        <v>0</v>
      </c>
      <c r="CW41" s="265">
        <f t="shared" si="60"/>
        <v>0</v>
      </c>
      <c r="CX41" s="265">
        <f t="shared" si="93"/>
        <v>0</v>
      </c>
      <c r="CY41" s="265">
        <f t="shared" si="94"/>
        <v>0</v>
      </c>
      <c r="CZ41" s="265">
        <f t="shared" ca="1" si="95"/>
        <v>0</v>
      </c>
      <c r="DA41" s="265">
        <f t="shared" si="96"/>
        <v>0</v>
      </c>
    </row>
    <row r="42" spans="1:105" s="262" customFormat="1" ht="15" customHeight="1">
      <c r="A42" s="63">
        <f t="array" aca="1" ref="A42" ca="1">IF(C42&lt;&gt;0,SUM(($C$11:C42&lt;&gt;0)*1),"")</f>
        <v>4</v>
      </c>
      <c r="B42" s="263">
        <v>42551</v>
      </c>
      <c r="C42" s="266" t="s">
        <v>113</v>
      </c>
      <c r="D42" s="266">
        <f t="shared" si="98"/>
        <v>42551</v>
      </c>
      <c r="E42" s="919" t="s">
        <v>114</v>
      </c>
      <c r="F42" s="920">
        <f ca="1">CN52</f>
        <v>0</v>
      </c>
      <c r="G42" s="921" t="s">
        <v>107</v>
      </c>
      <c r="H42" s="921" t="s">
        <v>97</v>
      </c>
      <c r="I42" s="63">
        <f t="shared" ca="1" si="97"/>
        <v>4</v>
      </c>
      <c r="J42" s="265">
        <f t="shared" si="61"/>
        <v>0</v>
      </c>
      <c r="K42" s="265">
        <f t="shared" si="62"/>
        <v>0</v>
      </c>
      <c r="L42" s="265">
        <f t="shared" si="1"/>
        <v>0</v>
      </c>
      <c r="M42" s="265">
        <f t="shared" si="2"/>
        <v>0</v>
      </c>
      <c r="N42" s="265">
        <f t="shared" si="3"/>
        <v>0</v>
      </c>
      <c r="O42" s="265">
        <f t="shared" si="4"/>
        <v>0</v>
      </c>
      <c r="P42" s="265">
        <f t="shared" si="5"/>
        <v>0</v>
      </c>
      <c r="Q42" s="265">
        <f t="shared" si="6"/>
        <v>0</v>
      </c>
      <c r="R42" s="265">
        <f t="shared" si="7"/>
        <v>0</v>
      </c>
      <c r="S42" s="265">
        <f t="shared" si="8"/>
        <v>0</v>
      </c>
      <c r="T42" s="265">
        <f t="shared" si="9"/>
        <v>0</v>
      </c>
      <c r="U42" s="265">
        <f t="shared" si="10"/>
        <v>0</v>
      </c>
      <c r="V42" s="265">
        <f t="shared" si="11"/>
        <v>0</v>
      </c>
      <c r="W42" s="265">
        <f t="shared" si="12"/>
        <v>0</v>
      </c>
      <c r="X42" s="265">
        <f t="shared" si="13"/>
        <v>0</v>
      </c>
      <c r="Y42" s="265">
        <f t="shared" si="14"/>
        <v>0</v>
      </c>
      <c r="Z42" s="265">
        <f t="shared" si="15"/>
        <v>0</v>
      </c>
      <c r="AA42" s="265">
        <f t="shared" si="16"/>
        <v>0</v>
      </c>
      <c r="AB42" s="265">
        <f t="shared" si="63"/>
        <v>0</v>
      </c>
      <c r="AC42" s="265">
        <f t="shared" si="64"/>
        <v>0</v>
      </c>
      <c r="AD42" s="265">
        <f t="shared" si="17"/>
        <v>0</v>
      </c>
      <c r="AE42" s="265">
        <f t="shared" si="18"/>
        <v>0</v>
      </c>
      <c r="AF42" s="265">
        <f t="shared" si="19"/>
        <v>0</v>
      </c>
      <c r="AG42" s="265">
        <f t="shared" si="20"/>
        <v>0</v>
      </c>
      <c r="AH42" s="265">
        <f t="shared" si="65"/>
        <v>0</v>
      </c>
      <c r="AI42" s="265">
        <f t="shared" si="66"/>
        <v>0</v>
      </c>
      <c r="AJ42" s="265">
        <f t="shared" si="67"/>
        <v>0</v>
      </c>
      <c r="AK42" s="265">
        <f t="shared" si="68"/>
        <v>0</v>
      </c>
      <c r="AL42" s="265">
        <f t="shared" si="69"/>
        <v>0</v>
      </c>
      <c r="AM42" s="265">
        <f t="shared" si="70"/>
        <v>0</v>
      </c>
      <c r="AN42" s="265">
        <f t="shared" si="71"/>
        <v>0</v>
      </c>
      <c r="AO42" s="265">
        <f t="shared" si="72"/>
        <v>0</v>
      </c>
      <c r="AP42" s="265">
        <f t="shared" si="21"/>
        <v>0</v>
      </c>
      <c r="AQ42" s="265">
        <f t="shared" si="22"/>
        <v>0</v>
      </c>
      <c r="AR42" s="265">
        <f t="shared" si="23"/>
        <v>0</v>
      </c>
      <c r="AS42" s="265">
        <f t="shared" si="24"/>
        <v>0</v>
      </c>
      <c r="AT42" s="265">
        <f t="shared" si="73"/>
        <v>0</v>
      </c>
      <c r="AU42" s="265">
        <f t="shared" si="74"/>
        <v>0</v>
      </c>
      <c r="AV42" s="265">
        <f t="shared" si="25"/>
        <v>0</v>
      </c>
      <c r="AW42" s="265">
        <f t="shared" si="26"/>
        <v>0</v>
      </c>
      <c r="AX42" s="265">
        <f t="shared" si="27"/>
        <v>0</v>
      </c>
      <c r="AY42" s="265">
        <f t="shared" si="28"/>
        <v>0</v>
      </c>
      <c r="AZ42" s="265">
        <f t="shared" si="29"/>
        <v>0</v>
      </c>
      <c r="BA42" s="265">
        <f t="shared" si="30"/>
        <v>0</v>
      </c>
      <c r="BB42" s="265">
        <f t="shared" si="31"/>
        <v>0</v>
      </c>
      <c r="BC42" s="265">
        <f t="shared" si="32"/>
        <v>0</v>
      </c>
      <c r="BD42" s="265">
        <f t="shared" si="33"/>
        <v>0</v>
      </c>
      <c r="BE42" s="265">
        <f t="shared" si="34"/>
        <v>0</v>
      </c>
      <c r="BF42" s="265">
        <f t="shared" si="35"/>
        <v>0</v>
      </c>
      <c r="BG42" s="265">
        <f t="shared" si="36"/>
        <v>0</v>
      </c>
      <c r="BH42" s="265">
        <f t="shared" si="75"/>
        <v>0</v>
      </c>
      <c r="BI42" s="265">
        <f t="shared" si="76"/>
        <v>0</v>
      </c>
      <c r="BJ42" s="265">
        <f t="shared" si="37"/>
        <v>0</v>
      </c>
      <c r="BK42" s="265">
        <f t="shared" si="38"/>
        <v>0</v>
      </c>
      <c r="BL42" s="265">
        <f t="shared" si="39"/>
        <v>0</v>
      </c>
      <c r="BM42" s="265">
        <f t="shared" si="40"/>
        <v>0</v>
      </c>
      <c r="BN42" s="265">
        <f t="shared" si="41"/>
        <v>0</v>
      </c>
      <c r="BO42" s="265">
        <f t="shared" si="42"/>
        <v>0</v>
      </c>
      <c r="BP42" s="265">
        <f t="shared" si="77"/>
        <v>0</v>
      </c>
      <c r="BQ42" s="265">
        <f t="shared" si="78"/>
        <v>0</v>
      </c>
      <c r="BR42" s="265">
        <f t="shared" si="43"/>
        <v>0</v>
      </c>
      <c r="BS42" s="265">
        <f t="shared" si="44"/>
        <v>0</v>
      </c>
      <c r="BT42" s="265">
        <f t="shared" si="79"/>
        <v>0</v>
      </c>
      <c r="BU42" s="265">
        <f t="shared" si="80"/>
        <v>0</v>
      </c>
      <c r="BV42" s="265">
        <f t="shared" si="81"/>
        <v>0</v>
      </c>
      <c r="BW42" s="265">
        <f t="shared" si="82"/>
        <v>0</v>
      </c>
      <c r="BX42" s="265">
        <f t="shared" si="45"/>
        <v>0</v>
      </c>
      <c r="BY42" s="265">
        <f t="shared" si="46"/>
        <v>0</v>
      </c>
      <c r="BZ42" s="265">
        <f t="shared" si="47"/>
        <v>0</v>
      </c>
      <c r="CA42" s="265">
        <f t="shared" si="48"/>
        <v>0</v>
      </c>
      <c r="CB42" s="265">
        <f t="shared" si="49"/>
        <v>0</v>
      </c>
      <c r="CC42" s="265">
        <f t="shared" si="50"/>
        <v>0</v>
      </c>
      <c r="CD42" s="265">
        <f t="shared" si="83"/>
        <v>0</v>
      </c>
      <c r="CE42" s="265">
        <f t="shared" si="84"/>
        <v>0</v>
      </c>
      <c r="CF42" s="265">
        <f t="shared" si="85"/>
        <v>0</v>
      </c>
      <c r="CG42" s="265">
        <f t="shared" si="86"/>
        <v>0</v>
      </c>
      <c r="CH42" s="265">
        <f t="shared" si="51"/>
        <v>0</v>
      </c>
      <c r="CI42" s="265">
        <f t="shared" si="52"/>
        <v>0</v>
      </c>
      <c r="CJ42" s="265">
        <f t="shared" si="87"/>
        <v>0</v>
      </c>
      <c r="CK42" s="265">
        <f t="shared" si="88"/>
        <v>0</v>
      </c>
      <c r="CL42" s="265">
        <f t="shared" si="53"/>
        <v>0</v>
      </c>
      <c r="CM42" s="265">
        <f t="shared" si="54"/>
        <v>0</v>
      </c>
      <c r="CN42" s="265">
        <f t="shared" si="55"/>
        <v>0</v>
      </c>
      <c r="CO42" s="265">
        <f t="shared" ca="1" si="56"/>
        <v>0</v>
      </c>
      <c r="CP42" s="265">
        <f t="shared" si="89"/>
        <v>0</v>
      </c>
      <c r="CQ42" s="265">
        <f t="shared" si="90"/>
        <v>0</v>
      </c>
      <c r="CR42" s="265">
        <f t="shared" si="91"/>
        <v>0</v>
      </c>
      <c r="CS42" s="265">
        <f t="shared" si="92"/>
        <v>0</v>
      </c>
      <c r="CT42" s="265">
        <f t="shared" si="57"/>
        <v>0</v>
      </c>
      <c r="CU42" s="265">
        <f t="shared" si="58"/>
        <v>0</v>
      </c>
      <c r="CV42" s="265">
        <f t="shared" si="59"/>
        <v>0</v>
      </c>
      <c r="CW42" s="265">
        <f t="shared" si="60"/>
        <v>0</v>
      </c>
      <c r="CX42" s="265">
        <f t="shared" si="93"/>
        <v>0</v>
      </c>
      <c r="CY42" s="265">
        <f t="shared" si="94"/>
        <v>0</v>
      </c>
      <c r="CZ42" s="265">
        <f t="shared" ca="1" si="95"/>
        <v>0</v>
      </c>
      <c r="DA42" s="265">
        <f t="shared" si="96"/>
        <v>0</v>
      </c>
    </row>
    <row r="43" spans="1:105" s="262" customFormat="1" ht="15" customHeight="1">
      <c r="A43" s="63">
        <f t="array" aca="1" ref="A43" ca="1">IF(C43&lt;&gt;0,SUM(($C$11:C43&lt;&gt;0)*1),"")</f>
        <v>5</v>
      </c>
      <c r="B43" s="263">
        <v>42551</v>
      </c>
      <c r="C43" s="266" t="s">
        <v>113</v>
      </c>
      <c r="D43" s="266">
        <f t="shared" si="98"/>
        <v>42551</v>
      </c>
      <c r="E43" s="919" t="s">
        <v>912</v>
      </c>
      <c r="F43" s="920">
        <f ca="1">CP52</f>
        <v>0</v>
      </c>
      <c r="G43" s="921" t="s">
        <v>107</v>
      </c>
      <c r="H43" s="921" t="s">
        <v>579</v>
      </c>
      <c r="I43" s="63">
        <f t="shared" ca="1" si="97"/>
        <v>5</v>
      </c>
      <c r="J43" s="265">
        <f t="shared" si="61"/>
        <v>0</v>
      </c>
      <c r="K43" s="265">
        <f t="shared" si="62"/>
        <v>0</v>
      </c>
      <c r="L43" s="265">
        <f t="shared" si="1"/>
        <v>0</v>
      </c>
      <c r="M43" s="265">
        <f t="shared" si="2"/>
        <v>0</v>
      </c>
      <c r="N43" s="265">
        <f t="shared" si="3"/>
        <v>0</v>
      </c>
      <c r="O43" s="265">
        <f t="shared" si="4"/>
        <v>0</v>
      </c>
      <c r="P43" s="265">
        <f t="shared" si="5"/>
        <v>0</v>
      </c>
      <c r="Q43" s="265">
        <f t="shared" si="6"/>
        <v>0</v>
      </c>
      <c r="R43" s="265">
        <f t="shared" si="7"/>
        <v>0</v>
      </c>
      <c r="S43" s="265">
        <f t="shared" si="8"/>
        <v>0</v>
      </c>
      <c r="T43" s="265">
        <f t="shared" si="9"/>
        <v>0</v>
      </c>
      <c r="U43" s="265">
        <f t="shared" si="10"/>
        <v>0</v>
      </c>
      <c r="V43" s="265">
        <f t="shared" si="11"/>
        <v>0</v>
      </c>
      <c r="W43" s="265">
        <f t="shared" si="12"/>
        <v>0</v>
      </c>
      <c r="X43" s="265">
        <f t="shared" si="13"/>
        <v>0</v>
      </c>
      <c r="Y43" s="265">
        <f t="shared" si="14"/>
        <v>0</v>
      </c>
      <c r="Z43" s="265">
        <f t="shared" si="15"/>
        <v>0</v>
      </c>
      <c r="AA43" s="265">
        <f t="shared" si="16"/>
        <v>0</v>
      </c>
      <c r="AB43" s="265">
        <f t="shared" si="63"/>
        <v>0</v>
      </c>
      <c r="AC43" s="265">
        <f t="shared" si="64"/>
        <v>0</v>
      </c>
      <c r="AD43" s="265">
        <f t="shared" si="17"/>
        <v>0</v>
      </c>
      <c r="AE43" s="265">
        <f t="shared" si="18"/>
        <v>0</v>
      </c>
      <c r="AF43" s="265">
        <f t="shared" si="19"/>
        <v>0</v>
      </c>
      <c r="AG43" s="265">
        <f t="shared" si="20"/>
        <v>0</v>
      </c>
      <c r="AH43" s="265">
        <f t="shared" si="65"/>
        <v>0</v>
      </c>
      <c r="AI43" s="265">
        <f t="shared" si="66"/>
        <v>0</v>
      </c>
      <c r="AJ43" s="265">
        <f t="shared" si="67"/>
        <v>0</v>
      </c>
      <c r="AK43" s="265">
        <f t="shared" si="68"/>
        <v>0</v>
      </c>
      <c r="AL43" s="265">
        <f t="shared" si="69"/>
        <v>0</v>
      </c>
      <c r="AM43" s="265">
        <f t="shared" si="70"/>
        <v>0</v>
      </c>
      <c r="AN43" s="265">
        <f t="shared" si="71"/>
        <v>0</v>
      </c>
      <c r="AO43" s="265">
        <f t="shared" si="72"/>
        <v>0</v>
      </c>
      <c r="AP43" s="265">
        <f t="shared" si="21"/>
        <v>0</v>
      </c>
      <c r="AQ43" s="265">
        <f t="shared" si="22"/>
        <v>0</v>
      </c>
      <c r="AR43" s="265">
        <f t="shared" si="23"/>
        <v>0</v>
      </c>
      <c r="AS43" s="265">
        <f t="shared" si="24"/>
        <v>0</v>
      </c>
      <c r="AT43" s="265">
        <f t="shared" si="73"/>
        <v>0</v>
      </c>
      <c r="AU43" s="265">
        <f t="shared" si="74"/>
        <v>0</v>
      </c>
      <c r="AV43" s="265">
        <f t="shared" si="25"/>
        <v>0</v>
      </c>
      <c r="AW43" s="265">
        <f t="shared" si="26"/>
        <v>0</v>
      </c>
      <c r="AX43" s="265">
        <f t="shared" si="27"/>
        <v>0</v>
      </c>
      <c r="AY43" s="265">
        <f t="shared" si="28"/>
        <v>0</v>
      </c>
      <c r="AZ43" s="265">
        <f t="shared" si="29"/>
        <v>0</v>
      </c>
      <c r="BA43" s="265">
        <f t="shared" si="30"/>
        <v>0</v>
      </c>
      <c r="BB43" s="265">
        <f t="shared" si="31"/>
        <v>0</v>
      </c>
      <c r="BC43" s="265">
        <f t="shared" si="32"/>
        <v>0</v>
      </c>
      <c r="BD43" s="265">
        <f t="shared" si="33"/>
        <v>0</v>
      </c>
      <c r="BE43" s="265">
        <f t="shared" si="34"/>
        <v>0</v>
      </c>
      <c r="BF43" s="265">
        <f t="shared" si="35"/>
        <v>0</v>
      </c>
      <c r="BG43" s="265">
        <f t="shared" si="36"/>
        <v>0</v>
      </c>
      <c r="BH43" s="265">
        <f t="shared" si="75"/>
        <v>0</v>
      </c>
      <c r="BI43" s="265">
        <f t="shared" si="76"/>
        <v>0</v>
      </c>
      <c r="BJ43" s="265">
        <f t="shared" si="37"/>
        <v>0</v>
      </c>
      <c r="BK43" s="265">
        <f t="shared" si="38"/>
        <v>0</v>
      </c>
      <c r="BL43" s="265">
        <f t="shared" si="39"/>
        <v>0</v>
      </c>
      <c r="BM43" s="265">
        <f t="shared" si="40"/>
        <v>0</v>
      </c>
      <c r="BN43" s="265">
        <f t="shared" si="41"/>
        <v>0</v>
      </c>
      <c r="BO43" s="265">
        <f t="shared" si="42"/>
        <v>0</v>
      </c>
      <c r="BP43" s="265">
        <f t="shared" si="77"/>
        <v>0</v>
      </c>
      <c r="BQ43" s="265">
        <f t="shared" si="78"/>
        <v>0</v>
      </c>
      <c r="BR43" s="265">
        <f t="shared" si="43"/>
        <v>0</v>
      </c>
      <c r="BS43" s="265">
        <f t="shared" si="44"/>
        <v>0</v>
      </c>
      <c r="BT43" s="265">
        <f t="shared" si="79"/>
        <v>0</v>
      </c>
      <c r="BU43" s="265">
        <f t="shared" si="80"/>
        <v>0</v>
      </c>
      <c r="BV43" s="265">
        <f t="shared" si="81"/>
        <v>0</v>
      </c>
      <c r="BW43" s="265">
        <f t="shared" si="82"/>
        <v>0</v>
      </c>
      <c r="BX43" s="265">
        <f t="shared" si="45"/>
        <v>0</v>
      </c>
      <c r="BY43" s="265">
        <f t="shared" si="46"/>
        <v>0</v>
      </c>
      <c r="BZ43" s="265">
        <f t="shared" si="47"/>
        <v>0</v>
      </c>
      <c r="CA43" s="265">
        <f t="shared" si="48"/>
        <v>0</v>
      </c>
      <c r="CB43" s="265">
        <f t="shared" si="49"/>
        <v>0</v>
      </c>
      <c r="CC43" s="265">
        <f t="shared" si="50"/>
        <v>0</v>
      </c>
      <c r="CD43" s="265">
        <f t="shared" si="83"/>
        <v>0</v>
      </c>
      <c r="CE43" s="265">
        <f t="shared" si="84"/>
        <v>0</v>
      </c>
      <c r="CF43" s="265">
        <f t="shared" si="85"/>
        <v>0</v>
      </c>
      <c r="CG43" s="265">
        <f t="shared" si="86"/>
        <v>0</v>
      </c>
      <c r="CH43" s="265">
        <f t="shared" si="51"/>
        <v>0</v>
      </c>
      <c r="CI43" s="265">
        <f t="shared" si="52"/>
        <v>0</v>
      </c>
      <c r="CJ43" s="265">
        <f t="shared" si="87"/>
        <v>0</v>
      </c>
      <c r="CK43" s="265">
        <f t="shared" si="88"/>
        <v>0</v>
      </c>
      <c r="CL43" s="265">
        <f t="shared" si="53"/>
        <v>0</v>
      </c>
      <c r="CM43" s="265">
        <f t="shared" si="54"/>
        <v>0</v>
      </c>
      <c r="CN43" s="265">
        <f t="shared" si="55"/>
        <v>0</v>
      </c>
      <c r="CO43" s="265">
        <f t="shared" si="56"/>
        <v>0</v>
      </c>
      <c r="CP43" s="265">
        <f t="shared" si="89"/>
        <v>0</v>
      </c>
      <c r="CQ43" s="265">
        <f t="shared" ca="1" si="90"/>
        <v>0</v>
      </c>
      <c r="CR43" s="265">
        <f t="shared" si="91"/>
        <v>0</v>
      </c>
      <c r="CS43" s="265">
        <f t="shared" si="92"/>
        <v>0</v>
      </c>
      <c r="CT43" s="265">
        <f t="shared" si="57"/>
        <v>0</v>
      </c>
      <c r="CU43" s="265">
        <f t="shared" si="58"/>
        <v>0</v>
      </c>
      <c r="CV43" s="265">
        <f t="shared" si="59"/>
        <v>0</v>
      </c>
      <c r="CW43" s="265">
        <f t="shared" si="60"/>
        <v>0</v>
      </c>
      <c r="CX43" s="265">
        <f t="shared" si="93"/>
        <v>0</v>
      </c>
      <c r="CY43" s="265">
        <f t="shared" si="94"/>
        <v>0</v>
      </c>
      <c r="CZ43" s="265">
        <f t="shared" ca="1" si="95"/>
        <v>0</v>
      </c>
      <c r="DA43" s="265">
        <f t="shared" si="96"/>
        <v>0</v>
      </c>
    </row>
    <row r="44" spans="1:105" s="262" customFormat="1" ht="15" customHeight="1">
      <c r="A44" s="63">
        <f t="array" aca="1" ref="A44" ca="1">IF(C44&lt;&gt;0,SUM(($C$11:C44&lt;&gt;0)*1),"")</f>
        <v>6</v>
      </c>
      <c r="B44" s="263">
        <v>42551</v>
      </c>
      <c r="C44" s="266" t="s">
        <v>113</v>
      </c>
      <c r="D44" s="266">
        <f t="shared" si="98"/>
        <v>42551</v>
      </c>
      <c r="E44" s="919" t="s">
        <v>115</v>
      </c>
      <c r="F44" s="920">
        <f ca="1">CR52</f>
        <v>0</v>
      </c>
      <c r="G44" s="921" t="s">
        <v>107</v>
      </c>
      <c r="H44" s="921" t="s">
        <v>99</v>
      </c>
      <c r="I44" s="63">
        <f t="shared" ca="1" si="97"/>
        <v>6</v>
      </c>
      <c r="J44" s="265">
        <f t="shared" si="61"/>
        <v>0</v>
      </c>
      <c r="K44" s="265">
        <f t="shared" si="62"/>
        <v>0</v>
      </c>
      <c r="L44" s="265">
        <f t="shared" si="1"/>
        <v>0</v>
      </c>
      <c r="M44" s="265">
        <f t="shared" si="2"/>
        <v>0</v>
      </c>
      <c r="N44" s="265">
        <f t="shared" si="3"/>
        <v>0</v>
      </c>
      <c r="O44" s="265">
        <f t="shared" si="4"/>
        <v>0</v>
      </c>
      <c r="P44" s="265">
        <f t="shared" si="5"/>
        <v>0</v>
      </c>
      <c r="Q44" s="265">
        <f t="shared" si="6"/>
        <v>0</v>
      </c>
      <c r="R44" s="265">
        <f t="shared" si="7"/>
        <v>0</v>
      </c>
      <c r="S44" s="265">
        <f t="shared" si="8"/>
        <v>0</v>
      </c>
      <c r="T44" s="265">
        <f t="shared" si="9"/>
        <v>0</v>
      </c>
      <c r="U44" s="265">
        <f t="shared" si="10"/>
        <v>0</v>
      </c>
      <c r="V44" s="265">
        <f t="shared" si="11"/>
        <v>0</v>
      </c>
      <c r="W44" s="265">
        <f t="shared" si="12"/>
        <v>0</v>
      </c>
      <c r="X44" s="265">
        <f t="shared" si="13"/>
        <v>0</v>
      </c>
      <c r="Y44" s="265">
        <f t="shared" si="14"/>
        <v>0</v>
      </c>
      <c r="Z44" s="265">
        <f t="shared" si="15"/>
        <v>0</v>
      </c>
      <c r="AA44" s="265">
        <f t="shared" si="16"/>
        <v>0</v>
      </c>
      <c r="AB44" s="265">
        <f t="shared" si="63"/>
        <v>0</v>
      </c>
      <c r="AC44" s="265">
        <f t="shared" si="64"/>
        <v>0</v>
      </c>
      <c r="AD44" s="265">
        <f t="shared" si="17"/>
        <v>0</v>
      </c>
      <c r="AE44" s="265">
        <f t="shared" si="18"/>
        <v>0</v>
      </c>
      <c r="AF44" s="265">
        <f t="shared" si="19"/>
        <v>0</v>
      </c>
      <c r="AG44" s="265">
        <f t="shared" si="20"/>
        <v>0</v>
      </c>
      <c r="AH44" s="265">
        <f t="shared" si="65"/>
        <v>0</v>
      </c>
      <c r="AI44" s="265">
        <f t="shared" si="66"/>
        <v>0</v>
      </c>
      <c r="AJ44" s="265">
        <f t="shared" si="67"/>
        <v>0</v>
      </c>
      <c r="AK44" s="265">
        <f t="shared" si="68"/>
        <v>0</v>
      </c>
      <c r="AL44" s="265">
        <f t="shared" si="69"/>
        <v>0</v>
      </c>
      <c r="AM44" s="265">
        <f t="shared" si="70"/>
        <v>0</v>
      </c>
      <c r="AN44" s="265">
        <f t="shared" si="71"/>
        <v>0</v>
      </c>
      <c r="AO44" s="265">
        <f t="shared" si="72"/>
        <v>0</v>
      </c>
      <c r="AP44" s="265">
        <f t="shared" si="21"/>
        <v>0</v>
      </c>
      <c r="AQ44" s="265">
        <f t="shared" si="22"/>
        <v>0</v>
      </c>
      <c r="AR44" s="265">
        <f t="shared" si="23"/>
        <v>0</v>
      </c>
      <c r="AS44" s="265">
        <f t="shared" si="24"/>
        <v>0</v>
      </c>
      <c r="AT44" s="265">
        <f t="shared" si="73"/>
        <v>0</v>
      </c>
      <c r="AU44" s="265">
        <f t="shared" si="74"/>
        <v>0</v>
      </c>
      <c r="AV44" s="265">
        <f t="shared" si="25"/>
        <v>0</v>
      </c>
      <c r="AW44" s="265">
        <f t="shared" si="26"/>
        <v>0</v>
      </c>
      <c r="AX44" s="265">
        <f t="shared" si="27"/>
        <v>0</v>
      </c>
      <c r="AY44" s="265">
        <f t="shared" si="28"/>
        <v>0</v>
      </c>
      <c r="AZ44" s="265">
        <f t="shared" si="29"/>
        <v>0</v>
      </c>
      <c r="BA44" s="265">
        <f t="shared" si="30"/>
        <v>0</v>
      </c>
      <c r="BB44" s="265">
        <f t="shared" si="31"/>
        <v>0</v>
      </c>
      <c r="BC44" s="265">
        <f t="shared" si="32"/>
        <v>0</v>
      </c>
      <c r="BD44" s="265">
        <f t="shared" si="33"/>
        <v>0</v>
      </c>
      <c r="BE44" s="265">
        <f t="shared" si="34"/>
        <v>0</v>
      </c>
      <c r="BF44" s="265">
        <f t="shared" si="35"/>
        <v>0</v>
      </c>
      <c r="BG44" s="265">
        <f t="shared" si="36"/>
        <v>0</v>
      </c>
      <c r="BH44" s="265">
        <f t="shared" si="75"/>
        <v>0</v>
      </c>
      <c r="BI44" s="265">
        <f t="shared" si="76"/>
        <v>0</v>
      </c>
      <c r="BJ44" s="265">
        <f t="shared" si="37"/>
        <v>0</v>
      </c>
      <c r="BK44" s="265">
        <f t="shared" si="38"/>
        <v>0</v>
      </c>
      <c r="BL44" s="265">
        <f t="shared" si="39"/>
        <v>0</v>
      </c>
      <c r="BM44" s="265">
        <f t="shared" si="40"/>
        <v>0</v>
      </c>
      <c r="BN44" s="265">
        <f t="shared" si="41"/>
        <v>0</v>
      </c>
      <c r="BO44" s="265">
        <f t="shared" si="42"/>
        <v>0</v>
      </c>
      <c r="BP44" s="265">
        <f t="shared" si="77"/>
        <v>0</v>
      </c>
      <c r="BQ44" s="265">
        <f t="shared" si="78"/>
        <v>0</v>
      </c>
      <c r="BR44" s="265">
        <f t="shared" si="43"/>
        <v>0</v>
      </c>
      <c r="BS44" s="265">
        <f t="shared" si="44"/>
        <v>0</v>
      </c>
      <c r="BT44" s="265">
        <f t="shared" si="79"/>
        <v>0</v>
      </c>
      <c r="BU44" s="265">
        <f t="shared" si="80"/>
        <v>0</v>
      </c>
      <c r="BV44" s="265">
        <f t="shared" si="81"/>
        <v>0</v>
      </c>
      <c r="BW44" s="265">
        <f t="shared" si="82"/>
        <v>0</v>
      </c>
      <c r="BX44" s="265">
        <f t="shared" si="45"/>
        <v>0</v>
      </c>
      <c r="BY44" s="265">
        <f t="shared" si="46"/>
        <v>0</v>
      </c>
      <c r="BZ44" s="265">
        <f t="shared" si="47"/>
        <v>0</v>
      </c>
      <c r="CA44" s="265">
        <f t="shared" si="48"/>
        <v>0</v>
      </c>
      <c r="CB44" s="265">
        <f t="shared" si="49"/>
        <v>0</v>
      </c>
      <c r="CC44" s="265">
        <f t="shared" si="50"/>
        <v>0</v>
      </c>
      <c r="CD44" s="265">
        <f t="shared" si="83"/>
        <v>0</v>
      </c>
      <c r="CE44" s="265">
        <f t="shared" si="84"/>
        <v>0</v>
      </c>
      <c r="CF44" s="265">
        <f t="shared" si="85"/>
        <v>0</v>
      </c>
      <c r="CG44" s="265">
        <f t="shared" si="86"/>
        <v>0</v>
      </c>
      <c r="CH44" s="265">
        <f t="shared" si="51"/>
        <v>0</v>
      </c>
      <c r="CI44" s="265">
        <f t="shared" si="52"/>
        <v>0</v>
      </c>
      <c r="CJ44" s="265">
        <f t="shared" si="87"/>
        <v>0</v>
      </c>
      <c r="CK44" s="265">
        <f t="shared" si="88"/>
        <v>0</v>
      </c>
      <c r="CL44" s="265">
        <f t="shared" si="53"/>
        <v>0</v>
      </c>
      <c r="CM44" s="265">
        <f t="shared" si="54"/>
        <v>0</v>
      </c>
      <c r="CN44" s="265">
        <f t="shared" si="55"/>
        <v>0</v>
      </c>
      <c r="CO44" s="265">
        <f t="shared" si="56"/>
        <v>0</v>
      </c>
      <c r="CP44" s="265">
        <f t="shared" si="89"/>
        <v>0</v>
      </c>
      <c r="CQ44" s="265">
        <f t="shared" si="90"/>
        <v>0</v>
      </c>
      <c r="CR44" s="265">
        <f t="shared" si="91"/>
        <v>0</v>
      </c>
      <c r="CS44" s="265">
        <f t="shared" ca="1" si="92"/>
        <v>0</v>
      </c>
      <c r="CT44" s="265">
        <f t="shared" si="57"/>
        <v>0</v>
      </c>
      <c r="CU44" s="265">
        <f t="shared" si="58"/>
        <v>0</v>
      </c>
      <c r="CV44" s="265">
        <f t="shared" si="59"/>
        <v>0</v>
      </c>
      <c r="CW44" s="265">
        <f t="shared" si="60"/>
        <v>0</v>
      </c>
      <c r="CX44" s="265">
        <f t="shared" si="93"/>
        <v>0</v>
      </c>
      <c r="CY44" s="265">
        <f t="shared" si="94"/>
        <v>0</v>
      </c>
      <c r="CZ44" s="265">
        <f t="shared" ca="1" si="95"/>
        <v>0</v>
      </c>
      <c r="DA44" s="265">
        <f t="shared" si="96"/>
        <v>0</v>
      </c>
    </row>
    <row r="45" spans="1:105" s="262" customFormat="1" ht="15" customHeight="1">
      <c r="A45" s="63">
        <f t="array" aca="1" ref="A45" ca="1">IF(C45&lt;&gt;0,SUM(($C$11:C45&lt;&gt;0)*1),"")</f>
        <v>7</v>
      </c>
      <c r="B45" s="263">
        <v>42551</v>
      </c>
      <c r="C45" s="266" t="s">
        <v>113</v>
      </c>
      <c r="D45" s="266">
        <f t="shared" si="98"/>
        <v>42551</v>
      </c>
      <c r="E45" s="919" t="s">
        <v>208</v>
      </c>
      <c r="F45" s="920"/>
      <c r="G45" s="921" t="s">
        <v>107</v>
      </c>
      <c r="H45" s="921" t="s">
        <v>92</v>
      </c>
      <c r="I45" s="63">
        <f t="shared" ca="1" si="97"/>
        <v>7</v>
      </c>
      <c r="J45" s="265">
        <f t="shared" si="61"/>
        <v>0</v>
      </c>
      <c r="K45" s="265">
        <f t="shared" si="62"/>
        <v>0</v>
      </c>
      <c r="L45" s="265">
        <f t="shared" si="1"/>
        <v>0</v>
      </c>
      <c r="M45" s="265">
        <f t="shared" si="2"/>
        <v>0</v>
      </c>
      <c r="N45" s="265">
        <f t="shared" si="3"/>
        <v>0</v>
      </c>
      <c r="O45" s="265">
        <f t="shared" si="4"/>
        <v>0</v>
      </c>
      <c r="P45" s="265">
        <f t="shared" si="5"/>
        <v>0</v>
      </c>
      <c r="Q45" s="265">
        <f t="shared" si="6"/>
        <v>0</v>
      </c>
      <c r="R45" s="265">
        <f t="shared" si="7"/>
        <v>0</v>
      </c>
      <c r="S45" s="265">
        <f t="shared" si="8"/>
        <v>0</v>
      </c>
      <c r="T45" s="265">
        <f t="shared" si="9"/>
        <v>0</v>
      </c>
      <c r="U45" s="265">
        <f t="shared" si="10"/>
        <v>0</v>
      </c>
      <c r="V45" s="265">
        <f t="shared" si="11"/>
        <v>0</v>
      </c>
      <c r="W45" s="265">
        <f t="shared" si="12"/>
        <v>0</v>
      </c>
      <c r="X45" s="265">
        <f t="shared" si="13"/>
        <v>0</v>
      </c>
      <c r="Y45" s="265">
        <f t="shared" si="14"/>
        <v>0</v>
      </c>
      <c r="Z45" s="265">
        <f t="shared" si="15"/>
        <v>0</v>
      </c>
      <c r="AA45" s="265">
        <f t="shared" si="16"/>
        <v>0</v>
      </c>
      <c r="AB45" s="265">
        <f t="shared" si="63"/>
        <v>0</v>
      </c>
      <c r="AC45" s="265">
        <f t="shared" si="64"/>
        <v>0</v>
      </c>
      <c r="AD45" s="265">
        <f t="shared" si="17"/>
        <v>0</v>
      </c>
      <c r="AE45" s="265">
        <f t="shared" si="18"/>
        <v>0</v>
      </c>
      <c r="AF45" s="265">
        <f t="shared" si="19"/>
        <v>0</v>
      </c>
      <c r="AG45" s="265">
        <f t="shared" si="20"/>
        <v>0</v>
      </c>
      <c r="AH45" s="265">
        <f t="shared" si="65"/>
        <v>0</v>
      </c>
      <c r="AI45" s="265">
        <f t="shared" si="66"/>
        <v>0</v>
      </c>
      <c r="AJ45" s="265">
        <f t="shared" si="67"/>
        <v>0</v>
      </c>
      <c r="AK45" s="265">
        <f t="shared" si="68"/>
        <v>0</v>
      </c>
      <c r="AL45" s="265">
        <f t="shared" si="69"/>
        <v>0</v>
      </c>
      <c r="AM45" s="265">
        <f t="shared" si="70"/>
        <v>0</v>
      </c>
      <c r="AN45" s="265">
        <f t="shared" si="71"/>
        <v>0</v>
      </c>
      <c r="AO45" s="265">
        <f t="shared" si="72"/>
        <v>0</v>
      </c>
      <c r="AP45" s="265">
        <f t="shared" si="21"/>
        <v>0</v>
      </c>
      <c r="AQ45" s="265">
        <f t="shared" si="22"/>
        <v>0</v>
      </c>
      <c r="AR45" s="265">
        <f t="shared" si="23"/>
        <v>0</v>
      </c>
      <c r="AS45" s="265">
        <f t="shared" si="24"/>
        <v>0</v>
      </c>
      <c r="AT45" s="265">
        <f t="shared" si="73"/>
        <v>0</v>
      </c>
      <c r="AU45" s="265">
        <f t="shared" si="74"/>
        <v>0</v>
      </c>
      <c r="AV45" s="265">
        <f t="shared" si="25"/>
        <v>0</v>
      </c>
      <c r="AW45" s="265">
        <f t="shared" si="26"/>
        <v>0</v>
      </c>
      <c r="AX45" s="265">
        <f t="shared" si="27"/>
        <v>0</v>
      </c>
      <c r="AY45" s="265">
        <f t="shared" si="28"/>
        <v>0</v>
      </c>
      <c r="AZ45" s="265">
        <f t="shared" si="29"/>
        <v>0</v>
      </c>
      <c r="BA45" s="265">
        <f t="shared" si="30"/>
        <v>0</v>
      </c>
      <c r="BB45" s="265">
        <f t="shared" si="31"/>
        <v>0</v>
      </c>
      <c r="BC45" s="265">
        <f t="shared" si="32"/>
        <v>0</v>
      </c>
      <c r="BD45" s="265">
        <f t="shared" si="33"/>
        <v>0</v>
      </c>
      <c r="BE45" s="265">
        <f t="shared" si="34"/>
        <v>0</v>
      </c>
      <c r="BF45" s="265">
        <f t="shared" si="35"/>
        <v>0</v>
      </c>
      <c r="BG45" s="265">
        <f t="shared" si="36"/>
        <v>0</v>
      </c>
      <c r="BH45" s="265">
        <f t="shared" si="75"/>
        <v>0</v>
      </c>
      <c r="BI45" s="265">
        <f t="shared" si="76"/>
        <v>0</v>
      </c>
      <c r="BJ45" s="265">
        <f t="shared" si="37"/>
        <v>0</v>
      </c>
      <c r="BK45" s="265">
        <f t="shared" si="38"/>
        <v>0</v>
      </c>
      <c r="BL45" s="265">
        <f t="shared" si="39"/>
        <v>0</v>
      </c>
      <c r="BM45" s="265">
        <f t="shared" si="40"/>
        <v>0</v>
      </c>
      <c r="BN45" s="265">
        <f t="shared" si="41"/>
        <v>0</v>
      </c>
      <c r="BO45" s="265">
        <f t="shared" si="42"/>
        <v>0</v>
      </c>
      <c r="BP45" s="265">
        <f t="shared" si="77"/>
        <v>0</v>
      </c>
      <c r="BQ45" s="265">
        <f t="shared" si="78"/>
        <v>0</v>
      </c>
      <c r="BR45" s="265">
        <f t="shared" si="43"/>
        <v>0</v>
      </c>
      <c r="BS45" s="265">
        <f t="shared" si="44"/>
        <v>0</v>
      </c>
      <c r="BT45" s="265">
        <f t="shared" si="79"/>
        <v>0</v>
      </c>
      <c r="BU45" s="265">
        <f t="shared" si="80"/>
        <v>0</v>
      </c>
      <c r="BV45" s="265">
        <f t="shared" si="81"/>
        <v>0</v>
      </c>
      <c r="BW45" s="265">
        <f t="shared" si="82"/>
        <v>0</v>
      </c>
      <c r="BX45" s="265">
        <f t="shared" si="45"/>
        <v>0</v>
      </c>
      <c r="BY45" s="265">
        <f t="shared" si="46"/>
        <v>0</v>
      </c>
      <c r="BZ45" s="265">
        <f t="shared" si="47"/>
        <v>0</v>
      </c>
      <c r="CA45" s="265">
        <f t="shared" si="48"/>
        <v>0</v>
      </c>
      <c r="CB45" s="265">
        <f t="shared" si="49"/>
        <v>0</v>
      </c>
      <c r="CC45" s="265">
        <f t="shared" si="50"/>
        <v>0</v>
      </c>
      <c r="CD45" s="265">
        <f t="shared" si="83"/>
        <v>0</v>
      </c>
      <c r="CE45" s="265">
        <f t="shared" si="84"/>
        <v>0</v>
      </c>
      <c r="CF45" s="265">
        <f t="shared" si="85"/>
        <v>0</v>
      </c>
      <c r="CG45" s="265">
        <f t="shared" si="86"/>
        <v>0</v>
      </c>
      <c r="CH45" s="265">
        <f t="shared" si="51"/>
        <v>0</v>
      </c>
      <c r="CI45" s="265">
        <f t="shared" si="52"/>
        <v>0</v>
      </c>
      <c r="CJ45" s="265">
        <f t="shared" si="87"/>
        <v>0</v>
      </c>
      <c r="CK45" s="265">
        <f t="shared" si="88"/>
        <v>0</v>
      </c>
      <c r="CL45" s="265">
        <f t="shared" si="53"/>
        <v>0</v>
      </c>
      <c r="CM45" s="265">
        <f t="shared" si="54"/>
        <v>0</v>
      </c>
      <c r="CN45" s="265">
        <f t="shared" si="55"/>
        <v>0</v>
      </c>
      <c r="CO45" s="265">
        <f t="shared" si="56"/>
        <v>0</v>
      </c>
      <c r="CP45" s="265">
        <f t="shared" si="89"/>
        <v>0</v>
      </c>
      <c r="CQ45" s="265">
        <f t="shared" si="90"/>
        <v>0</v>
      </c>
      <c r="CR45" s="265">
        <f t="shared" si="91"/>
        <v>0</v>
      </c>
      <c r="CS45" s="265">
        <f t="shared" si="92"/>
        <v>0</v>
      </c>
      <c r="CT45" s="265">
        <f t="shared" si="57"/>
        <v>0</v>
      </c>
      <c r="CU45" s="265">
        <f t="shared" si="58"/>
        <v>0</v>
      </c>
      <c r="CV45" s="265">
        <f t="shared" si="59"/>
        <v>0</v>
      </c>
      <c r="CW45" s="265">
        <f t="shared" si="60"/>
        <v>0</v>
      </c>
      <c r="CX45" s="265">
        <f t="shared" si="93"/>
        <v>0</v>
      </c>
      <c r="CY45" s="265">
        <f t="shared" si="94"/>
        <v>0</v>
      </c>
      <c r="CZ45" s="265">
        <f t="shared" si="95"/>
        <v>0</v>
      </c>
      <c r="DA45" s="265">
        <f t="shared" si="96"/>
        <v>0</v>
      </c>
    </row>
    <row r="46" spans="1:105" s="262" customFormat="1" ht="15" customHeight="1">
      <c r="A46" s="63">
        <f t="array" aca="1" ref="A46" ca="1">IF(C46&lt;&gt;0,SUM(($C$11:C46&lt;&gt;0)*1),"")</f>
        <v>8</v>
      </c>
      <c r="B46" s="263">
        <v>42551</v>
      </c>
      <c r="C46" s="266" t="s">
        <v>113</v>
      </c>
      <c r="D46" s="266">
        <f t="shared" si="98"/>
        <v>42551</v>
      </c>
      <c r="E46" s="919" t="s">
        <v>116</v>
      </c>
      <c r="F46" s="920">
        <f ca="1">CI52</f>
        <v>0</v>
      </c>
      <c r="G46" s="921" t="s">
        <v>41</v>
      </c>
      <c r="H46" s="921" t="s">
        <v>107</v>
      </c>
      <c r="I46" s="63">
        <f t="shared" ca="1" si="97"/>
        <v>8</v>
      </c>
      <c r="J46" s="265">
        <f t="shared" si="61"/>
        <v>0</v>
      </c>
      <c r="K46" s="265">
        <f t="shared" si="62"/>
        <v>0</v>
      </c>
      <c r="L46" s="265">
        <f t="shared" si="1"/>
        <v>0</v>
      </c>
      <c r="M46" s="265">
        <f t="shared" si="2"/>
        <v>0</v>
      </c>
      <c r="N46" s="265">
        <f t="shared" si="3"/>
        <v>0</v>
      </c>
      <c r="O46" s="265">
        <f t="shared" si="4"/>
        <v>0</v>
      </c>
      <c r="P46" s="265">
        <f t="shared" si="5"/>
        <v>0</v>
      </c>
      <c r="Q46" s="265">
        <f t="shared" si="6"/>
        <v>0</v>
      </c>
      <c r="R46" s="265">
        <f t="shared" si="7"/>
        <v>0</v>
      </c>
      <c r="S46" s="265">
        <f t="shared" si="8"/>
        <v>0</v>
      </c>
      <c r="T46" s="265">
        <f t="shared" si="9"/>
        <v>0</v>
      </c>
      <c r="U46" s="265">
        <f t="shared" si="10"/>
        <v>0</v>
      </c>
      <c r="V46" s="265">
        <f t="shared" si="11"/>
        <v>0</v>
      </c>
      <c r="W46" s="265">
        <f t="shared" si="12"/>
        <v>0</v>
      </c>
      <c r="X46" s="265">
        <f t="shared" si="13"/>
        <v>0</v>
      </c>
      <c r="Y46" s="265">
        <f t="shared" si="14"/>
        <v>0</v>
      </c>
      <c r="Z46" s="265">
        <f t="shared" si="15"/>
        <v>0</v>
      </c>
      <c r="AA46" s="265">
        <f t="shared" si="16"/>
        <v>0</v>
      </c>
      <c r="AB46" s="265">
        <f t="shared" si="63"/>
        <v>0</v>
      </c>
      <c r="AC46" s="265">
        <f t="shared" si="64"/>
        <v>0</v>
      </c>
      <c r="AD46" s="265">
        <f t="shared" si="17"/>
        <v>0</v>
      </c>
      <c r="AE46" s="265">
        <f t="shared" si="18"/>
        <v>0</v>
      </c>
      <c r="AF46" s="265">
        <f t="shared" si="19"/>
        <v>0</v>
      </c>
      <c r="AG46" s="265">
        <f t="shared" si="20"/>
        <v>0</v>
      </c>
      <c r="AH46" s="265">
        <f t="shared" si="65"/>
        <v>0</v>
      </c>
      <c r="AI46" s="265">
        <f t="shared" si="66"/>
        <v>0</v>
      </c>
      <c r="AJ46" s="265">
        <f t="shared" si="67"/>
        <v>0</v>
      </c>
      <c r="AK46" s="265">
        <f t="shared" si="68"/>
        <v>0</v>
      </c>
      <c r="AL46" s="265">
        <f t="shared" si="69"/>
        <v>0</v>
      </c>
      <c r="AM46" s="265">
        <f t="shared" si="70"/>
        <v>0</v>
      </c>
      <c r="AN46" s="265">
        <f t="shared" si="71"/>
        <v>0</v>
      </c>
      <c r="AO46" s="265">
        <f t="shared" si="72"/>
        <v>0</v>
      </c>
      <c r="AP46" s="265">
        <f t="shared" si="21"/>
        <v>0</v>
      </c>
      <c r="AQ46" s="265">
        <f t="shared" si="22"/>
        <v>0</v>
      </c>
      <c r="AR46" s="265">
        <f t="shared" si="23"/>
        <v>0</v>
      </c>
      <c r="AS46" s="265">
        <f t="shared" si="24"/>
        <v>0</v>
      </c>
      <c r="AT46" s="265">
        <f t="shared" si="73"/>
        <v>0</v>
      </c>
      <c r="AU46" s="265">
        <f t="shared" si="74"/>
        <v>0</v>
      </c>
      <c r="AV46" s="265">
        <f t="shared" si="25"/>
        <v>0</v>
      </c>
      <c r="AW46" s="265">
        <f t="shared" si="26"/>
        <v>0</v>
      </c>
      <c r="AX46" s="265">
        <f t="shared" si="27"/>
        <v>0</v>
      </c>
      <c r="AY46" s="265">
        <f t="shared" si="28"/>
        <v>0</v>
      </c>
      <c r="AZ46" s="265">
        <f t="shared" si="29"/>
        <v>0</v>
      </c>
      <c r="BA46" s="265">
        <f t="shared" si="30"/>
        <v>0</v>
      </c>
      <c r="BB46" s="265">
        <f t="shared" si="31"/>
        <v>0</v>
      </c>
      <c r="BC46" s="265">
        <f t="shared" si="32"/>
        <v>0</v>
      </c>
      <c r="BD46" s="265">
        <f t="shared" si="33"/>
        <v>0</v>
      </c>
      <c r="BE46" s="265">
        <f t="shared" si="34"/>
        <v>0</v>
      </c>
      <c r="BF46" s="265">
        <f t="shared" si="35"/>
        <v>0</v>
      </c>
      <c r="BG46" s="265">
        <f t="shared" si="36"/>
        <v>0</v>
      </c>
      <c r="BH46" s="265">
        <f t="shared" si="75"/>
        <v>0</v>
      </c>
      <c r="BI46" s="265">
        <f t="shared" si="76"/>
        <v>0</v>
      </c>
      <c r="BJ46" s="265">
        <f t="shared" si="37"/>
        <v>0</v>
      </c>
      <c r="BK46" s="265">
        <f t="shared" si="38"/>
        <v>0</v>
      </c>
      <c r="BL46" s="265">
        <f t="shared" si="39"/>
        <v>0</v>
      </c>
      <c r="BM46" s="265">
        <f t="shared" si="40"/>
        <v>0</v>
      </c>
      <c r="BN46" s="265">
        <f t="shared" si="41"/>
        <v>0</v>
      </c>
      <c r="BO46" s="265">
        <f t="shared" si="42"/>
        <v>0</v>
      </c>
      <c r="BP46" s="265">
        <f t="shared" si="77"/>
        <v>0</v>
      </c>
      <c r="BQ46" s="265">
        <f t="shared" si="78"/>
        <v>0</v>
      </c>
      <c r="BR46" s="265">
        <f t="shared" si="43"/>
        <v>0</v>
      </c>
      <c r="BS46" s="265">
        <f t="shared" si="44"/>
        <v>0</v>
      </c>
      <c r="BT46" s="265">
        <f t="shared" si="79"/>
        <v>0</v>
      </c>
      <c r="BU46" s="265">
        <f t="shared" si="80"/>
        <v>0</v>
      </c>
      <c r="BV46" s="265">
        <f t="shared" si="81"/>
        <v>0</v>
      </c>
      <c r="BW46" s="265">
        <f t="shared" si="82"/>
        <v>0</v>
      </c>
      <c r="BX46" s="265">
        <f t="shared" si="45"/>
        <v>0</v>
      </c>
      <c r="BY46" s="265">
        <f t="shared" si="46"/>
        <v>0</v>
      </c>
      <c r="BZ46" s="265">
        <f t="shared" si="47"/>
        <v>0</v>
      </c>
      <c r="CA46" s="265">
        <f t="shared" si="48"/>
        <v>0</v>
      </c>
      <c r="CB46" s="265">
        <f t="shared" si="49"/>
        <v>0</v>
      </c>
      <c r="CC46" s="265">
        <f t="shared" si="50"/>
        <v>0</v>
      </c>
      <c r="CD46" s="265">
        <f t="shared" si="83"/>
        <v>0</v>
      </c>
      <c r="CE46" s="265">
        <f t="shared" si="84"/>
        <v>0</v>
      </c>
      <c r="CF46" s="265">
        <f t="shared" si="85"/>
        <v>0</v>
      </c>
      <c r="CG46" s="265">
        <f t="shared" si="86"/>
        <v>0</v>
      </c>
      <c r="CH46" s="265">
        <f t="shared" ca="1" si="51"/>
        <v>0</v>
      </c>
      <c r="CI46" s="265">
        <f t="shared" si="52"/>
        <v>0</v>
      </c>
      <c r="CJ46" s="265">
        <f t="shared" si="87"/>
        <v>0</v>
      </c>
      <c r="CK46" s="265">
        <f t="shared" si="88"/>
        <v>0</v>
      </c>
      <c r="CL46" s="265">
        <f t="shared" si="53"/>
        <v>0</v>
      </c>
      <c r="CM46" s="265">
        <f t="shared" si="54"/>
        <v>0</v>
      </c>
      <c r="CN46" s="265">
        <f t="shared" si="55"/>
        <v>0</v>
      </c>
      <c r="CO46" s="265">
        <f t="shared" si="56"/>
        <v>0</v>
      </c>
      <c r="CP46" s="265">
        <f t="shared" si="89"/>
        <v>0</v>
      </c>
      <c r="CQ46" s="265">
        <f t="shared" si="90"/>
        <v>0</v>
      </c>
      <c r="CR46" s="265">
        <f t="shared" si="91"/>
        <v>0</v>
      </c>
      <c r="CS46" s="265">
        <f t="shared" si="92"/>
        <v>0</v>
      </c>
      <c r="CT46" s="265">
        <f t="shared" si="57"/>
        <v>0</v>
      </c>
      <c r="CU46" s="265">
        <f t="shared" si="58"/>
        <v>0</v>
      </c>
      <c r="CV46" s="265">
        <f t="shared" si="59"/>
        <v>0</v>
      </c>
      <c r="CW46" s="265">
        <f t="shared" si="60"/>
        <v>0</v>
      </c>
      <c r="CX46" s="265">
        <f t="shared" si="93"/>
        <v>0</v>
      </c>
      <c r="CY46" s="265">
        <f t="shared" si="94"/>
        <v>0</v>
      </c>
      <c r="CZ46" s="265">
        <f t="shared" si="95"/>
        <v>0</v>
      </c>
      <c r="DA46" s="265">
        <f t="shared" ca="1" si="96"/>
        <v>0</v>
      </c>
    </row>
    <row r="47" spans="1:105" s="262" customFormat="1" ht="15" customHeight="1">
      <c r="A47" s="63">
        <f t="array" aca="1" ref="A47" ca="1">IF(C47&lt;&gt;0,SUM(($C$11:C47&lt;&gt;0)*1),"")</f>
        <v>9</v>
      </c>
      <c r="B47" s="263">
        <v>42551</v>
      </c>
      <c r="C47" s="266" t="s">
        <v>113</v>
      </c>
      <c r="D47" s="266">
        <f t="shared" si="98"/>
        <v>42551</v>
      </c>
      <c r="E47" s="919" t="s">
        <v>913</v>
      </c>
      <c r="F47" s="920">
        <f ca="1">CE52</f>
        <v>0</v>
      </c>
      <c r="G47" s="921" t="s">
        <v>290</v>
      </c>
      <c r="H47" s="921" t="s">
        <v>107</v>
      </c>
      <c r="I47" s="63">
        <f t="shared" ca="1" si="97"/>
        <v>9</v>
      </c>
      <c r="J47" s="265">
        <f t="shared" si="61"/>
        <v>0</v>
      </c>
      <c r="K47" s="265">
        <f t="shared" si="62"/>
        <v>0</v>
      </c>
      <c r="L47" s="265">
        <f t="shared" si="1"/>
        <v>0</v>
      </c>
      <c r="M47" s="265">
        <f t="shared" si="2"/>
        <v>0</v>
      </c>
      <c r="N47" s="265">
        <f t="shared" si="3"/>
        <v>0</v>
      </c>
      <c r="O47" s="265">
        <f t="shared" si="4"/>
        <v>0</v>
      </c>
      <c r="P47" s="265">
        <f t="shared" si="5"/>
        <v>0</v>
      </c>
      <c r="Q47" s="265">
        <f t="shared" si="6"/>
        <v>0</v>
      </c>
      <c r="R47" s="265">
        <f t="shared" si="7"/>
        <v>0</v>
      </c>
      <c r="S47" s="265">
        <f t="shared" si="8"/>
        <v>0</v>
      </c>
      <c r="T47" s="265">
        <f t="shared" si="9"/>
        <v>0</v>
      </c>
      <c r="U47" s="265">
        <f t="shared" si="10"/>
        <v>0</v>
      </c>
      <c r="V47" s="265">
        <f t="shared" si="11"/>
        <v>0</v>
      </c>
      <c r="W47" s="265">
        <f t="shared" si="12"/>
        <v>0</v>
      </c>
      <c r="X47" s="265">
        <f t="shared" si="13"/>
        <v>0</v>
      </c>
      <c r="Y47" s="265">
        <f t="shared" si="14"/>
        <v>0</v>
      </c>
      <c r="Z47" s="265">
        <f t="shared" si="15"/>
        <v>0</v>
      </c>
      <c r="AA47" s="265">
        <f t="shared" si="16"/>
        <v>0</v>
      </c>
      <c r="AB47" s="265">
        <f t="shared" si="63"/>
        <v>0</v>
      </c>
      <c r="AC47" s="265">
        <f t="shared" si="64"/>
        <v>0</v>
      </c>
      <c r="AD47" s="265">
        <f t="shared" si="17"/>
        <v>0</v>
      </c>
      <c r="AE47" s="265">
        <f t="shared" si="18"/>
        <v>0</v>
      </c>
      <c r="AF47" s="265">
        <f t="shared" si="19"/>
        <v>0</v>
      </c>
      <c r="AG47" s="265">
        <f t="shared" si="20"/>
        <v>0</v>
      </c>
      <c r="AH47" s="265">
        <f t="shared" si="65"/>
        <v>0</v>
      </c>
      <c r="AI47" s="265">
        <f t="shared" si="66"/>
        <v>0</v>
      </c>
      <c r="AJ47" s="265">
        <f t="shared" si="67"/>
        <v>0</v>
      </c>
      <c r="AK47" s="265">
        <f t="shared" si="68"/>
        <v>0</v>
      </c>
      <c r="AL47" s="265">
        <f t="shared" si="69"/>
        <v>0</v>
      </c>
      <c r="AM47" s="265">
        <f t="shared" si="70"/>
        <v>0</v>
      </c>
      <c r="AN47" s="265">
        <f t="shared" si="71"/>
        <v>0</v>
      </c>
      <c r="AO47" s="265">
        <f t="shared" si="72"/>
        <v>0</v>
      </c>
      <c r="AP47" s="265">
        <f t="shared" si="21"/>
        <v>0</v>
      </c>
      <c r="AQ47" s="265">
        <f t="shared" si="22"/>
        <v>0</v>
      </c>
      <c r="AR47" s="265">
        <f t="shared" si="23"/>
        <v>0</v>
      </c>
      <c r="AS47" s="265">
        <f t="shared" si="24"/>
        <v>0</v>
      </c>
      <c r="AT47" s="265">
        <f t="shared" si="73"/>
        <v>0</v>
      </c>
      <c r="AU47" s="265">
        <f t="shared" si="74"/>
        <v>0</v>
      </c>
      <c r="AV47" s="265">
        <f t="shared" si="25"/>
        <v>0</v>
      </c>
      <c r="AW47" s="265">
        <f t="shared" si="26"/>
        <v>0</v>
      </c>
      <c r="AX47" s="265">
        <f t="shared" si="27"/>
        <v>0</v>
      </c>
      <c r="AY47" s="265">
        <f t="shared" si="28"/>
        <v>0</v>
      </c>
      <c r="AZ47" s="265">
        <f t="shared" si="29"/>
        <v>0</v>
      </c>
      <c r="BA47" s="265">
        <f t="shared" si="30"/>
        <v>0</v>
      </c>
      <c r="BB47" s="265">
        <f t="shared" si="31"/>
        <v>0</v>
      </c>
      <c r="BC47" s="265">
        <f t="shared" si="32"/>
        <v>0</v>
      </c>
      <c r="BD47" s="265">
        <f t="shared" si="33"/>
        <v>0</v>
      </c>
      <c r="BE47" s="265">
        <f t="shared" si="34"/>
        <v>0</v>
      </c>
      <c r="BF47" s="265">
        <f t="shared" si="35"/>
        <v>0</v>
      </c>
      <c r="BG47" s="265">
        <f t="shared" si="36"/>
        <v>0</v>
      </c>
      <c r="BH47" s="265">
        <f t="shared" si="75"/>
        <v>0</v>
      </c>
      <c r="BI47" s="265">
        <f t="shared" si="76"/>
        <v>0</v>
      </c>
      <c r="BJ47" s="265">
        <f t="shared" si="37"/>
        <v>0</v>
      </c>
      <c r="BK47" s="265">
        <f t="shared" si="38"/>
        <v>0</v>
      </c>
      <c r="BL47" s="265">
        <f t="shared" si="39"/>
        <v>0</v>
      </c>
      <c r="BM47" s="265">
        <f t="shared" si="40"/>
        <v>0</v>
      </c>
      <c r="BN47" s="265">
        <f t="shared" si="41"/>
        <v>0</v>
      </c>
      <c r="BO47" s="265">
        <f t="shared" si="42"/>
        <v>0</v>
      </c>
      <c r="BP47" s="265">
        <f t="shared" si="77"/>
        <v>0</v>
      </c>
      <c r="BQ47" s="265">
        <f t="shared" si="78"/>
        <v>0</v>
      </c>
      <c r="BR47" s="265">
        <f t="shared" si="43"/>
        <v>0</v>
      </c>
      <c r="BS47" s="265">
        <f t="shared" si="44"/>
        <v>0</v>
      </c>
      <c r="BT47" s="265">
        <f t="shared" si="79"/>
        <v>0</v>
      </c>
      <c r="BU47" s="265">
        <f t="shared" si="80"/>
        <v>0</v>
      </c>
      <c r="BV47" s="265">
        <f t="shared" si="81"/>
        <v>0</v>
      </c>
      <c r="BW47" s="265">
        <f t="shared" si="82"/>
        <v>0</v>
      </c>
      <c r="BX47" s="265">
        <f t="shared" si="45"/>
        <v>0</v>
      </c>
      <c r="BY47" s="265">
        <f t="shared" si="46"/>
        <v>0</v>
      </c>
      <c r="BZ47" s="265">
        <f t="shared" si="47"/>
        <v>0</v>
      </c>
      <c r="CA47" s="265">
        <f t="shared" si="48"/>
        <v>0</v>
      </c>
      <c r="CB47" s="265">
        <f t="shared" si="49"/>
        <v>0</v>
      </c>
      <c r="CC47" s="265">
        <f t="shared" si="50"/>
        <v>0</v>
      </c>
      <c r="CD47" s="265">
        <f t="shared" ca="1" si="83"/>
        <v>0</v>
      </c>
      <c r="CE47" s="265">
        <f t="shared" si="84"/>
        <v>0</v>
      </c>
      <c r="CF47" s="265">
        <f t="shared" si="85"/>
        <v>0</v>
      </c>
      <c r="CG47" s="265">
        <f t="shared" si="86"/>
        <v>0</v>
      </c>
      <c r="CH47" s="265">
        <f t="shared" si="51"/>
        <v>0</v>
      </c>
      <c r="CI47" s="265">
        <f t="shared" si="52"/>
        <v>0</v>
      </c>
      <c r="CJ47" s="265">
        <f t="shared" si="87"/>
        <v>0</v>
      </c>
      <c r="CK47" s="265">
        <f t="shared" si="88"/>
        <v>0</v>
      </c>
      <c r="CL47" s="265">
        <f t="shared" si="53"/>
        <v>0</v>
      </c>
      <c r="CM47" s="265">
        <f t="shared" si="54"/>
        <v>0</v>
      </c>
      <c r="CN47" s="265">
        <f t="shared" si="55"/>
        <v>0</v>
      </c>
      <c r="CO47" s="265">
        <f t="shared" si="56"/>
        <v>0</v>
      </c>
      <c r="CP47" s="265">
        <f t="shared" si="89"/>
        <v>0</v>
      </c>
      <c r="CQ47" s="265">
        <f t="shared" si="90"/>
        <v>0</v>
      </c>
      <c r="CR47" s="265">
        <f t="shared" si="91"/>
        <v>0</v>
      </c>
      <c r="CS47" s="265">
        <f t="shared" si="92"/>
        <v>0</v>
      </c>
      <c r="CT47" s="265">
        <f t="shared" si="57"/>
        <v>0</v>
      </c>
      <c r="CU47" s="265">
        <f t="shared" si="58"/>
        <v>0</v>
      </c>
      <c r="CV47" s="265">
        <f t="shared" si="59"/>
        <v>0</v>
      </c>
      <c r="CW47" s="265">
        <f t="shared" si="60"/>
        <v>0</v>
      </c>
      <c r="CX47" s="265">
        <f t="shared" si="93"/>
        <v>0</v>
      </c>
      <c r="CY47" s="265">
        <f t="shared" si="94"/>
        <v>0</v>
      </c>
      <c r="CZ47" s="265">
        <f t="shared" si="95"/>
        <v>0</v>
      </c>
      <c r="DA47" s="265">
        <f t="shared" ca="1" si="96"/>
        <v>0</v>
      </c>
    </row>
    <row r="48" spans="1:105" s="262" customFormat="1" ht="15" customHeight="1">
      <c r="A48" s="63">
        <f t="array" aca="1" ref="A48" ca="1">IF(C48&lt;&gt;0,SUM(($C$11:C48&lt;&gt;0)*1),"")</f>
        <v>10</v>
      </c>
      <c r="B48" s="263">
        <v>42551</v>
      </c>
      <c r="C48" s="266" t="s">
        <v>113</v>
      </c>
      <c r="D48" s="266">
        <f t="shared" si="98"/>
        <v>42551</v>
      </c>
      <c r="E48" s="919" t="s">
        <v>914</v>
      </c>
      <c r="F48" s="920">
        <f ca="1">CG52</f>
        <v>0</v>
      </c>
      <c r="G48" s="921" t="s">
        <v>292</v>
      </c>
      <c r="H48" s="921" t="s">
        <v>107</v>
      </c>
      <c r="I48" s="63">
        <f t="shared" ca="1" si="97"/>
        <v>10</v>
      </c>
      <c r="J48" s="265">
        <f t="shared" si="61"/>
        <v>0</v>
      </c>
      <c r="K48" s="265">
        <f t="shared" si="62"/>
        <v>0</v>
      </c>
      <c r="L48" s="265">
        <f t="shared" si="1"/>
        <v>0</v>
      </c>
      <c r="M48" s="265">
        <f t="shared" si="2"/>
        <v>0</v>
      </c>
      <c r="N48" s="265">
        <f t="shared" si="3"/>
        <v>0</v>
      </c>
      <c r="O48" s="265">
        <f t="shared" si="4"/>
        <v>0</v>
      </c>
      <c r="P48" s="265">
        <f t="shared" si="5"/>
        <v>0</v>
      </c>
      <c r="Q48" s="265">
        <f t="shared" si="6"/>
        <v>0</v>
      </c>
      <c r="R48" s="265">
        <f t="shared" si="7"/>
        <v>0</v>
      </c>
      <c r="S48" s="265">
        <f t="shared" si="8"/>
        <v>0</v>
      </c>
      <c r="T48" s="265">
        <f t="shared" si="9"/>
        <v>0</v>
      </c>
      <c r="U48" s="265">
        <f t="shared" si="10"/>
        <v>0</v>
      </c>
      <c r="V48" s="265">
        <f t="shared" si="11"/>
        <v>0</v>
      </c>
      <c r="W48" s="265">
        <f t="shared" si="12"/>
        <v>0</v>
      </c>
      <c r="X48" s="265">
        <f t="shared" si="13"/>
        <v>0</v>
      </c>
      <c r="Y48" s="265">
        <f t="shared" si="14"/>
        <v>0</v>
      </c>
      <c r="Z48" s="265">
        <f t="shared" si="15"/>
        <v>0</v>
      </c>
      <c r="AA48" s="265">
        <f t="shared" si="16"/>
        <v>0</v>
      </c>
      <c r="AB48" s="265">
        <f t="shared" si="63"/>
        <v>0</v>
      </c>
      <c r="AC48" s="265">
        <f t="shared" si="64"/>
        <v>0</v>
      </c>
      <c r="AD48" s="265">
        <f t="shared" si="17"/>
        <v>0</v>
      </c>
      <c r="AE48" s="265">
        <f t="shared" si="18"/>
        <v>0</v>
      </c>
      <c r="AF48" s="265">
        <f t="shared" si="19"/>
        <v>0</v>
      </c>
      <c r="AG48" s="265">
        <f t="shared" si="20"/>
        <v>0</v>
      </c>
      <c r="AH48" s="265">
        <f t="shared" si="65"/>
        <v>0</v>
      </c>
      <c r="AI48" s="265">
        <f t="shared" si="66"/>
        <v>0</v>
      </c>
      <c r="AJ48" s="265">
        <f t="shared" si="67"/>
        <v>0</v>
      </c>
      <c r="AK48" s="265">
        <f t="shared" si="68"/>
        <v>0</v>
      </c>
      <c r="AL48" s="265">
        <f t="shared" si="69"/>
        <v>0</v>
      </c>
      <c r="AM48" s="265">
        <f t="shared" si="70"/>
        <v>0</v>
      </c>
      <c r="AN48" s="265">
        <f t="shared" si="71"/>
        <v>0</v>
      </c>
      <c r="AO48" s="265">
        <f t="shared" si="72"/>
        <v>0</v>
      </c>
      <c r="AP48" s="265">
        <f t="shared" si="21"/>
        <v>0</v>
      </c>
      <c r="AQ48" s="265">
        <f t="shared" si="22"/>
        <v>0</v>
      </c>
      <c r="AR48" s="265">
        <f t="shared" si="23"/>
        <v>0</v>
      </c>
      <c r="AS48" s="265">
        <f t="shared" si="24"/>
        <v>0</v>
      </c>
      <c r="AT48" s="265">
        <f t="shared" si="73"/>
        <v>0</v>
      </c>
      <c r="AU48" s="265">
        <f t="shared" si="74"/>
        <v>0</v>
      </c>
      <c r="AV48" s="265">
        <f t="shared" si="25"/>
        <v>0</v>
      </c>
      <c r="AW48" s="265">
        <f t="shared" si="26"/>
        <v>0</v>
      </c>
      <c r="AX48" s="265">
        <f t="shared" si="27"/>
        <v>0</v>
      </c>
      <c r="AY48" s="265">
        <f t="shared" si="28"/>
        <v>0</v>
      </c>
      <c r="AZ48" s="265">
        <f t="shared" si="29"/>
        <v>0</v>
      </c>
      <c r="BA48" s="265">
        <f t="shared" si="30"/>
        <v>0</v>
      </c>
      <c r="BB48" s="265">
        <f t="shared" si="31"/>
        <v>0</v>
      </c>
      <c r="BC48" s="265">
        <f t="shared" si="32"/>
        <v>0</v>
      </c>
      <c r="BD48" s="265">
        <f t="shared" si="33"/>
        <v>0</v>
      </c>
      <c r="BE48" s="265">
        <f t="shared" si="34"/>
        <v>0</v>
      </c>
      <c r="BF48" s="265">
        <f t="shared" si="35"/>
        <v>0</v>
      </c>
      <c r="BG48" s="265">
        <f t="shared" si="36"/>
        <v>0</v>
      </c>
      <c r="BH48" s="265">
        <f t="shared" si="75"/>
        <v>0</v>
      </c>
      <c r="BI48" s="265">
        <f t="shared" si="76"/>
        <v>0</v>
      </c>
      <c r="BJ48" s="265">
        <f t="shared" si="37"/>
        <v>0</v>
      </c>
      <c r="BK48" s="265">
        <f t="shared" si="38"/>
        <v>0</v>
      </c>
      <c r="BL48" s="265">
        <f t="shared" si="39"/>
        <v>0</v>
      </c>
      <c r="BM48" s="265">
        <f t="shared" si="40"/>
        <v>0</v>
      </c>
      <c r="BN48" s="265">
        <f t="shared" si="41"/>
        <v>0</v>
      </c>
      <c r="BO48" s="265">
        <f t="shared" si="42"/>
        <v>0</v>
      </c>
      <c r="BP48" s="265">
        <f t="shared" si="77"/>
        <v>0</v>
      </c>
      <c r="BQ48" s="265">
        <f t="shared" si="78"/>
        <v>0</v>
      </c>
      <c r="BR48" s="265">
        <f t="shared" si="43"/>
        <v>0</v>
      </c>
      <c r="BS48" s="265">
        <f t="shared" si="44"/>
        <v>0</v>
      </c>
      <c r="BT48" s="265">
        <f t="shared" si="79"/>
        <v>0</v>
      </c>
      <c r="BU48" s="265">
        <f t="shared" si="80"/>
        <v>0</v>
      </c>
      <c r="BV48" s="265">
        <f t="shared" si="81"/>
        <v>0</v>
      </c>
      <c r="BW48" s="265">
        <f t="shared" si="82"/>
        <v>0</v>
      </c>
      <c r="BX48" s="265">
        <f t="shared" si="45"/>
        <v>0</v>
      </c>
      <c r="BY48" s="265">
        <f t="shared" si="46"/>
        <v>0</v>
      </c>
      <c r="BZ48" s="265">
        <f t="shared" si="47"/>
        <v>0</v>
      </c>
      <c r="CA48" s="265">
        <f t="shared" si="48"/>
        <v>0</v>
      </c>
      <c r="CB48" s="265">
        <f t="shared" si="49"/>
        <v>0</v>
      </c>
      <c r="CC48" s="265">
        <f t="shared" si="50"/>
        <v>0</v>
      </c>
      <c r="CD48" s="265">
        <f t="shared" si="83"/>
        <v>0</v>
      </c>
      <c r="CE48" s="265">
        <f t="shared" si="84"/>
        <v>0</v>
      </c>
      <c r="CF48" s="265">
        <f t="shared" ca="1" si="85"/>
        <v>0</v>
      </c>
      <c r="CG48" s="265">
        <f t="shared" si="86"/>
        <v>0</v>
      </c>
      <c r="CH48" s="265">
        <f t="shared" si="51"/>
        <v>0</v>
      </c>
      <c r="CI48" s="265">
        <f t="shared" si="52"/>
        <v>0</v>
      </c>
      <c r="CJ48" s="265">
        <f t="shared" si="87"/>
        <v>0</v>
      </c>
      <c r="CK48" s="265">
        <f t="shared" si="88"/>
        <v>0</v>
      </c>
      <c r="CL48" s="265">
        <f t="shared" si="53"/>
        <v>0</v>
      </c>
      <c r="CM48" s="265">
        <f t="shared" si="54"/>
        <v>0</v>
      </c>
      <c r="CN48" s="265">
        <f t="shared" si="55"/>
        <v>0</v>
      </c>
      <c r="CO48" s="265">
        <f t="shared" si="56"/>
        <v>0</v>
      </c>
      <c r="CP48" s="265">
        <f t="shared" si="89"/>
        <v>0</v>
      </c>
      <c r="CQ48" s="265">
        <f t="shared" si="90"/>
        <v>0</v>
      </c>
      <c r="CR48" s="265">
        <f t="shared" si="91"/>
        <v>0</v>
      </c>
      <c r="CS48" s="265">
        <f t="shared" si="92"/>
        <v>0</v>
      </c>
      <c r="CT48" s="265">
        <f t="shared" si="57"/>
        <v>0</v>
      </c>
      <c r="CU48" s="265">
        <f t="shared" si="58"/>
        <v>0</v>
      </c>
      <c r="CV48" s="265">
        <f t="shared" si="59"/>
        <v>0</v>
      </c>
      <c r="CW48" s="265">
        <f t="shared" si="60"/>
        <v>0</v>
      </c>
      <c r="CX48" s="265">
        <f t="shared" si="93"/>
        <v>0</v>
      </c>
      <c r="CY48" s="265">
        <f t="shared" si="94"/>
        <v>0</v>
      </c>
      <c r="CZ48" s="265">
        <f t="shared" si="95"/>
        <v>0</v>
      </c>
      <c r="DA48" s="265">
        <f t="shared" ca="1" si="96"/>
        <v>0</v>
      </c>
    </row>
    <row r="49" spans="1:105" s="262" customFormat="1" ht="15" customHeight="1">
      <c r="A49" s="63">
        <f t="array" aca="1" ref="A49" ca="1">IF(C49&lt;&gt;0,SUM(($C$11:C49&lt;&gt;0)*1),"")</f>
        <v>11</v>
      </c>
      <c r="B49" s="263">
        <v>42551</v>
      </c>
      <c r="C49" s="266" t="s">
        <v>113</v>
      </c>
      <c r="D49" s="266">
        <f t="shared" si="98"/>
        <v>42551</v>
      </c>
      <c r="E49" s="919" t="s">
        <v>117</v>
      </c>
      <c r="F49" s="920">
        <f ca="1">CU52</f>
        <v>0</v>
      </c>
      <c r="G49" s="921" t="s">
        <v>101</v>
      </c>
      <c r="H49" s="921" t="s">
        <v>107</v>
      </c>
      <c r="I49" s="63">
        <f t="shared" ca="1" si="97"/>
        <v>11</v>
      </c>
      <c r="J49" s="265">
        <f t="shared" si="61"/>
        <v>0</v>
      </c>
      <c r="K49" s="265">
        <f t="shared" si="62"/>
        <v>0</v>
      </c>
      <c r="L49" s="265">
        <f t="shared" si="1"/>
        <v>0</v>
      </c>
      <c r="M49" s="265">
        <f t="shared" si="2"/>
        <v>0</v>
      </c>
      <c r="N49" s="265">
        <f t="shared" si="3"/>
        <v>0</v>
      </c>
      <c r="O49" s="265">
        <f t="shared" si="4"/>
        <v>0</v>
      </c>
      <c r="P49" s="265">
        <f t="shared" si="5"/>
        <v>0</v>
      </c>
      <c r="Q49" s="265">
        <f t="shared" si="6"/>
        <v>0</v>
      </c>
      <c r="R49" s="265">
        <f t="shared" si="7"/>
        <v>0</v>
      </c>
      <c r="S49" s="265">
        <f t="shared" si="8"/>
        <v>0</v>
      </c>
      <c r="T49" s="265">
        <f t="shared" si="9"/>
        <v>0</v>
      </c>
      <c r="U49" s="265">
        <f t="shared" si="10"/>
        <v>0</v>
      </c>
      <c r="V49" s="265">
        <f t="shared" si="11"/>
        <v>0</v>
      </c>
      <c r="W49" s="265">
        <f t="shared" si="12"/>
        <v>0</v>
      </c>
      <c r="X49" s="265">
        <f t="shared" si="13"/>
        <v>0</v>
      </c>
      <c r="Y49" s="265">
        <f t="shared" si="14"/>
        <v>0</v>
      </c>
      <c r="Z49" s="265">
        <f t="shared" si="15"/>
        <v>0</v>
      </c>
      <c r="AA49" s="265">
        <f t="shared" si="16"/>
        <v>0</v>
      </c>
      <c r="AB49" s="265">
        <f t="shared" si="63"/>
        <v>0</v>
      </c>
      <c r="AC49" s="265">
        <f t="shared" si="64"/>
        <v>0</v>
      </c>
      <c r="AD49" s="265">
        <f t="shared" si="17"/>
        <v>0</v>
      </c>
      <c r="AE49" s="265">
        <f t="shared" si="18"/>
        <v>0</v>
      </c>
      <c r="AF49" s="265">
        <f t="shared" si="19"/>
        <v>0</v>
      </c>
      <c r="AG49" s="265">
        <f t="shared" si="20"/>
        <v>0</v>
      </c>
      <c r="AH49" s="265">
        <f t="shared" si="65"/>
        <v>0</v>
      </c>
      <c r="AI49" s="265">
        <f t="shared" si="66"/>
        <v>0</v>
      </c>
      <c r="AJ49" s="265">
        <f t="shared" si="67"/>
        <v>0</v>
      </c>
      <c r="AK49" s="265">
        <f t="shared" si="68"/>
        <v>0</v>
      </c>
      <c r="AL49" s="265">
        <f t="shared" si="69"/>
        <v>0</v>
      </c>
      <c r="AM49" s="265">
        <f t="shared" si="70"/>
        <v>0</v>
      </c>
      <c r="AN49" s="265">
        <f t="shared" si="71"/>
        <v>0</v>
      </c>
      <c r="AO49" s="265">
        <f t="shared" si="72"/>
        <v>0</v>
      </c>
      <c r="AP49" s="265">
        <f t="shared" si="21"/>
        <v>0</v>
      </c>
      <c r="AQ49" s="265">
        <f t="shared" si="22"/>
        <v>0</v>
      </c>
      <c r="AR49" s="265">
        <f t="shared" si="23"/>
        <v>0</v>
      </c>
      <c r="AS49" s="265">
        <f t="shared" si="24"/>
        <v>0</v>
      </c>
      <c r="AT49" s="265">
        <f t="shared" si="73"/>
        <v>0</v>
      </c>
      <c r="AU49" s="265">
        <f t="shared" si="74"/>
        <v>0</v>
      </c>
      <c r="AV49" s="265">
        <f t="shared" si="25"/>
        <v>0</v>
      </c>
      <c r="AW49" s="265">
        <f t="shared" si="26"/>
        <v>0</v>
      </c>
      <c r="AX49" s="265">
        <f t="shared" si="27"/>
        <v>0</v>
      </c>
      <c r="AY49" s="265">
        <f t="shared" si="28"/>
        <v>0</v>
      </c>
      <c r="AZ49" s="265">
        <f t="shared" si="29"/>
        <v>0</v>
      </c>
      <c r="BA49" s="265">
        <f t="shared" si="30"/>
        <v>0</v>
      </c>
      <c r="BB49" s="265">
        <f t="shared" si="31"/>
        <v>0</v>
      </c>
      <c r="BC49" s="265">
        <f t="shared" si="32"/>
        <v>0</v>
      </c>
      <c r="BD49" s="265">
        <f t="shared" si="33"/>
        <v>0</v>
      </c>
      <c r="BE49" s="265">
        <f t="shared" si="34"/>
        <v>0</v>
      </c>
      <c r="BF49" s="265">
        <f t="shared" si="35"/>
        <v>0</v>
      </c>
      <c r="BG49" s="265">
        <f t="shared" si="36"/>
        <v>0</v>
      </c>
      <c r="BH49" s="265">
        <f t="shared" si="75"/>
        <v>0</v>
      </c>
      <c r="BI49" s="265">
        <f t="shared" si="76"/>
        <v>0</v>
      </c>
      <c r="BJ49" s="265">
        <f t="shared" si="37"/>
        <v>0</v>
      </c>
      <c r="BK49" s="265">
        <f t="shared" si="38"/>
        <v>0</v>
      </c>
      <c r="BL49" s="265">
        <f t="shared" si="39"/>
        <v>0</v>
      </c>
      <c r="BM49" s="265">
        <f t="shared" si="40"/>
        <v>0</v>
      </c>
      <c r="BN49" s="265">
        <f t="shared" si="41"/>
        <v>0</v>
      </c>
      <c r="BO49" s="265">
        <f t="shared" si="42"/>
        <v>0</v>
      </c>
      <c r="BP49" s="265">
        <f t="shared" si="77"/>
        <v>0</v>
      </c>
      <c r="BQ49" s="265">
        <f t="shared" si="78"/>
        <v>0</v>
      </c>
      <c r="BR49" s="265">
        <f t="shared" si="43"/>
        <v>0</v>
      </c>
      <c r="BS49" s="265">
        <f t="shared" si="44"/>
        <v>0</v>
      </c>
      <c r="BT49" s="265">
        <f t="shared" si="79"/>
        <v>0</v>
      </c>
      <c r="BU49" s="265">
        <f t="shared" si="80"/>
        <v>0</v>
      </c>
      <c r="BV49" s="265">
        <f t="shared" si="81"/>
        <v>0</v>
      </c>
      <c r="BW49" s="265">
        <f t="shared" si="82"/>
        <v>0</v>
      </c>
      <c r="BX49" s="265">
        <f t="shared" si="45"/>
        <v>0</v>
      </c>
      <c r="BY49" s="265">
        <f t="shared" si="46"/>
        <v>0</v>
      </c>
      <c r="BZ49" s="265">
        <f t="shared" si="47"/>
        <v>0</v>
      </c>
      <c r="CA49" s="265">
        <f t="shared" si="48"/>
        <v>0</v>
      </c>
      <c r="CB49" s="265">
        <f t="shared" si="49"/>
        <v>0</v>
      </c>
      <c r="CC49" s="265">
        <f t="shared" si="50"/>
        <v>0</v>
      </c>
      <c r="CD49" s="265">
        <f t="shared" si="83"/>
        <v>0</v>
      </c>
      <c r="CE49" s="265">
        <f t="shared" si="84"/>
        <v>0</v>
      </c>
      <c r="CF49" s="265">
        <f t="shared" si="85"/>
        <v>0</v>
      </c>
      <c r="CG49" s="265">
        <f t="shared" si="86"/>
        <v>0</v>
      </c>
      <c r="CH49" s="265">
        <f t="shared" si="51"/>
        <v>0</v>
      </c>
      <c r="CI49" s="265">
        <f t="shared" si="52"/>
        <v>0</v>
      </c>
      <c r="CJ49" s="265">
        <f t="shared" si="87"/>
        <v>0</v>
      </c>
      <c r="CK49" s="265">
        <f t="shared" si="88"/>
        <v>0</v>
      </c>
      <c r="CL49" s="265">
        <f t="shared" si="53"/>
        <v>0</v>
      </c>
      <c r="CM49" s="265">
        <f t="shared" si="54"/>
        <v>0</v>
      </c>
      <c r="CN49" s="265">
        <f t="shared" si="55"/>
        <v>0</v>
      </c>
      <c r="CO49" s="265">
        <f t="shared" si="56"/>
        <v>0</v>
      </c>
      <c r="CP49" s="265">
        <f t="shared" si="89"/>
        <v>0</v>
      </c>
      <c r="CQ49" s="265">
        <f t="shared" si="90"/>
        <v>0</v>
      </c>
      <c r="CR49" s="265">
        <f t="shared" si="91"/>
        <v>0</v>
      </c>
      <c r="CS49" s="265">
        <f t="shared" si="92"/>
        <v>0</v>
      </c>
      <c r="CT49" s="265">
        <f t="shared" ca="1" si="57"/>
        <v>0</v>
      </c>
      <c r="CU49" s="265">
        <f t="shared" si="58"/>
        <v>0</v>
      </c>
      <c r="CV49" s="265">
        <f t="shared" si="59"/>
        <v>0</v>
      </c>
      <c r="CW49" s="265">
        <f t="shared" si="60"/>
        <v>0</v>
      </c>
      <c r="CX49" s="265">
        <f t="shared" si="93"/>
        <v>0</v>
      </c>
      <c r="CY49" s="265">
        <f t="shared" si="94"/>
        <v>0</v>
      </c>
      <c r="CZ49" s="265">
        <f t="shared" si="95"/>
        <v>0</v>
      </c>
      <c r="DA49" s="265">
        <f t="shared" ca="1" si="96"/>
        <v>0</v>
      </c>
    </row>
    <row r="50" spans="1:105" s="262" customFormat="1" ht="15" customHeight="1">
      <c r="A50" s="63">
        <f t="array" aca="1" ref="A50" ca="1">IF(C50&lt;&gt;0,SUM(($C$11:C50&lt;&gt;0)*1),"")</f>
        <v>12</v>
      </c>
      <c r="B50" s="263">
        <v>42551</v>
      </c>
      <c r="C50" s="266" t="s">
        <v>113</v>
      </c>
      <c r="D50" s="266">
        <f t="shared" si="98"/>
        <v>42551</v>
      </c>
      <c r="E50" s="919" t="s">
        <v>118</v>
      </c>
      <c r="F50" s="920">
        <f ca="1">CV52</f>
        <v>0</v>
      </c>
      <c r="G50" s="921" t="s">
        <v>107</v>
      </c>
      <c r="H50" s="921" t="s">
        <v>103</v>
      </c>
      <c r="I50" s="63">
        <f t="shared" ca="1" si="97"/>
        <v>12</v>
      </c>
      <c r="J50" s="265">
        <f t="shared" si="61"/>
        <v>0</v>
      </c>
      <c r="K50" s="265">
        <f t="shared" si="62"/>
        <v>0</v>
      </c>
      <c r="L50" s="265">
        <f t="shared" si="1"/>
        <v>0</v>
      </c>
      <c r="M50" s="265">
        <f t="shared" si="2"/>
        <v>0</v>
      </c>
      <c r="N50" s="265">
        <f t="shared" si="3"/>
        <v>0</v>
      </c>
      <c r="O50" s="265">
        <f t="shared" si="4"/>
        <v>0</v>
      </c>
      <c r="P50" s="265">
        <f t="shared" si="5"/>
        <v>0</v>
      </c>
      <c r="Q50" s="265">
        <f t="shared" si="6"/>
        <v>0</v>
      </c>
      <c r="R50" s="265">
        <f t="shared" si="7"/>
        <v>0</v>
      </c>
      <c r="S50" s="265">
        <f t="shared" si="8"/>
        <v>0</v>
      </c>
      <c r="T50" s="265">
        <f t="shared" si="9"/>
        <v>0</v>
      </c>
      <c r="U50" s="265">
        <f t="shared" si="10"/>
        <v>0</v>
      </c>
      <c r="V50" s="265">
        <f t="shared" si="11"/>
        <v>0</v>
      </c>
      <c r="W50" s="265">
        <f t="shared" si="12"/>
        <v>0</v>
      </c>
      <c r="X50" s="265">
        <f t="shared" si="13"/>
        <v>0</v>
      </c>
      <c r="Y50" s="265">
        <f t="shared" si="14"/>
        <v>0</v>
      </c>
      <c r="Z50" s="265">
        <f t="shared" si="15"/>
        <v>0</v>
      </c>
      <c r="AA50" s="265">
        <f t="shared" si="16"/>
        <v>0</v>
      </c>
      <c r="AB50" s="265">
        <f t="shared" si="63"/>
        <v>0</v>
      </c>
      <c r="AC50" s="265">
        <f t="shared" si="64"/>
        <v>0</v>
      </c>
      <c r="AD50" s="265">
        <f t="shared" si="17"/>
        <v>0</v>
      </c>
      <c r="AE50" s="265">
        <f t="shared" si="18"/>
        <v>0</v>
      </c>
      <c r="AF50" s="265">
        <f t="shared" si="19"/>
        <v>0</v>
      </c>
      <c r="AG50" s="265">
        <f t="shared" si="20"/>
        <v>0</v>
      </c>
      <c r="AH50" s="265">
        <f t="shared" si="65"/>
        <v>0</v>
      </c>
      <c r="AI50" s="265">
        <f t="shared" si="66"/>
        <v>0</v>
      </c>
      <c r="AJ50" s="265">
        <f t="shared" si="67"/>
        <v>0</v>
      </c>
      <c r="AK50" s="265">
        <f t="shared" si="68"/>
        <v>0</v>
      </c>
      <c r="AL50" s="265">
        <f t="shared" si="69"/>
        <v>0</v>
      </c>
      <c r="AM50" s="265">
        <f t="shared" si="70"/>
        <v>0</v>
      </c>
      <c r="AN50" s="265">
        <f t="shared" si="71"/>
        <v>0</v>
      </c>
      <c r="AO50" s="265">
        <f t="shared" si="72"/>
        <v>0</v>
      </c>
      <c r="AP50" s="265">
        <f t="shared" si="21"/>
        <v>0</v>
      </c>
      <c r="AQ50" s="265">
        <f t="shared" si="22"/>
        <v>0</v>
      </c>
      <c r="AR50" s="265">
        <f t="shared" si="23"/>
        <v>0</v>
      </c>
      <c r="AS50" s="265">
        <f t="shared" si="24"/>
        <v>0</v>
      </c>
      <c r="AT50" s="265">
        <f t="shared" si="73"/>
        <v>0</v>
      </c>
      <c r="AU50" s="265">
        <f t="shared" si="74"/>
        <v>0</v>
      </c>
      <c r="AV50" s="265">
        <f t="shared" si="25"/>
        <v>0</v>
      </c>
      <c r="AW50" s="265">
        <f t="shared" si="26"/>
        <v>0</v>
      </c>
      <c r="AX50" s="265">
        <f t="shared" si="27"/>
        <v>0</v>
      </c>
      <c r="AY50" s="265">
        <f t="shared" si="28"/>
        <v>0</v>
      </c>
      <c r="AZ50" s="265">
        <f t="shared" si="29"/>
        <v>0</v>
      </c>
      <c r="BA50" s="265">
        <f t="shared" si="30"/>
        <v>0</v>
      </c>
      <c r="BB50" s="265">
        <f t="shared" si="31"/>
        <v>0</v>
      </c>
      <c r="BC50" s="265">
        <f t="shared" si="32"/>
        <v>0</v>
      </c>
      <c r="BD50" s="265">
        <f t="shared" si="33"/>
        <v>0</v>
      </c>
      <c r="BE50" s="265">
        <f t="shared" si="34"/>
        <v>0</v>
      </c>
      <c r="BF50" s="265">
        <f t="shared" si="35"/>
        <v>0</v>
      </c>
      <c r="BG50" s="265">
        <f t="shared" si="36"/>
        <v>0</v>
      </c>
      <c r="BH50" s="265">
        <f t="shared" si="75"/>
        <v>0</v>
      </c>
      <c r="BI50" s="265">
        <f t="shared" si="76"/>
        <v>0</v>
      </c>
      <c r="BJ50" s="265">
        <f t="shared" si="37"/>
        <v>0</v>
      </c>
      <c r="BK50" s="265">
        <f t="shared" si="38"/>
        <v>0</v>
      </c>
      <c r="BL50" s="265">
        <f t="shared" si="39"/>
        <v>0</v>
      </c>
      <c r="BM50" s="265">
        <f t="shared" si="40"/>
        <v>0</v>
      </c>
      <c r="BN50" s="265">
        <f t="shared" si="41"/>
        <v>0</v>
      </c>
      <c r="BO50" s="265">
        <f t="shared" si="42"/>
        <v>0</v>
      </c>
      <c r="BP50" s="265">
        <f t="shared" si="77"/>
        <v>0</v>
      </c>
      <c r="BQ50" s="265">
        <f t="shared" si="78"/>
        <v>0</v>
      </c>
      <c r="BR50" s="265">
        <f t="shared" si="43"/>
        <v>0</v>
      </c>
      <c r="BS50" s="265">
        <f t="shared" si="44"/>
        <v>0</v>
      </c>
      <c r="BT50" s="265">
        <f t="shared" si="79"/>
        <v>0</v>
      </c>
      <c r="BU50" s="265">
        <f t="shared" si="80"/>
        <v>0</v>
      </c>
      <c r="BV50" s="265">
        <f t="shared" si="81"/>
        <v>0</v>
      </c>
      <c r="BW50" s="265">
        <f t="shared" si="82"/>
        <v>0</v>
      </c>
      <c r="BX50" s="265">
        <f t="shared" si="45"/>
        <v>0</v>
      </c>
      <c r="BY50" s="265">
        <f t="shared" si="46"/>
        <v>0</v>
      </c>
      <c r="BZ50" s="265">
        <f t="shared" si="47"/>
        <v>0</v>
      </c>
      <c r="CA50" s="265">
        <f t="shared" si="48"/>
        <v>0</v>
      </c>
      <c r="CB50" s="265">
        <f t="shared" si="49"/>
        <v>0</v>
      </c>
      <c r="CC50" s="265">
        <f t="shared" si="50"/>
        <v>0</v>
      </c>
      <c r="CD50" s="265">
        <f t="shared" si="83"/>
        <v>0</v>
      </c>
      <c r="CE50" s="265">
        <f t="shared" si="84"/>
        <v>0</v>
      </c>
      <c r="CF50" s="265">
        <f t="shared" si="85"/>
        <v>0</v>
      </c>
      <c r="CG50" s="265">
        <f t="shared" si="86"/>
        <v>0</v>
      </c>
      <c r="CH50" s="265">
        <f t="shared" si="51"/>
        <v>0</v>
      </c>
      <c r="CI50" s="265">
        <f t="shared" si="52"/>
        <v>0</v>
      </c>
      <c r="CJ50" s="265">
        <f t="shared" si="87"/>
        <v>0</v>
      </c>
      <c r="CK50" s="265">
        <f t="shared" si="88"/>
        <v>0</v>
      </c>
      <c r="CL50" s="265">
        <f t="shared" si="53"/>
        <v>0</v>
      </c>
      <c r="CM50" s="265">
        <f t="shared" si="54"/>
        <v>0</v>
      </c>
      <c r="CN50" s="265">
        <f t="shared" si="55"/>
        <v>0</v>
      </c>
      <c r="CO50" s="265">
        <f t="shared" si="56"/>
        <v>0</v>
      </c>
      <c r="CP50" s="265">
        <f t="shared" si="89"/>
        <v>0</v>
      </c>
      <c r="CQ50" s="265">
        <f t="shared" si="90"/>
        <v>0</v>
      </c>
      <c r="CR50" s="265">
        <f t="shared" si="91"/>
        <v>0</v>
      </c>
      <c r="CS50" s="265">
        <f t="shared" si="92"/>
        <v>0</v>
      </c>
      <c r="CT50" s="265">
        <f t="shared" si="57"/>
        <v>0</v>
      </c>
      <c r="CU50" s="265">
        <f t="shared" si="58"/>
        <v>0</v>
      </c>
      <c r="CV50" s="265">
        <f t="shared" si="59"/>
        <v>0</v>
      </c>
      <c r="CW50" s="265">
        <f t="shared" ca="1" si="60"/>
        <v>0</v>
      </c>
      <c r="CX50" s="265">
        <f t="shared" si="93"/>
        <v>0</v>
      </c>
      <c r="CY50" s="265">
        <f t="shared" si="94"/>
        <v>0</v>
      </c>
      <c r="CZ50" s="265">
        <f t="shared" ca="1" si="95"/>
        <v>0</v>
      </c>
      <c r="DA50" s="265">
        <f t="shared" si="96"/>
        <v>0</v>
      </c>
    </row>
    <row r="51" spans="1:105" s="262" customFormat="1" ht="15" customHeight="1">
      <c r="A51" s="63" t="str">
        <f t="array" ref="A51">IF(C51&lt;&gt;0,SUM(($C$11:C51&lt;&gt;0)*1),"")</f>
        <v/>
      </c>
      <c r="B51" s="229"/>
      <c r="C51" s="267"/>
      <c r="D51" s="229"/>
      <c r="E51" s="264"/>
      <c r="F51" s="65"/>
      <c r="G51" s="268"/>
      <c r="H51" s="268"/>
      <c r="I51" s="63" t="str">
        <f>A51</f>
        <v/>
      </c>
      <c r="J51" s="265">
        <f>IF($G51="1111",$F51,0)</f>
        <v>0</v>
      </c>
      <c r="K51" s="265">
        <f>IF($H51="1111",$F51,0)</f>
        <v>0</v>
      </c>
      <c r="L51" s="265">
        <f>IF($G51="1121",$F51,0)</f>
        <v>0</v>
      </c>
      <c r="M51" s="265">
        <f>IF($H51="1121",$F51,0)</f>
        <v>0</v>
      </c>
      <c r="N51" s="265">
        <f>IF($G51="1122",$F51,0)</f>
        <v>0</v>
      </c>
      <c r="O51" s="265">
        <f>IF($H51="1122",$F51,0)</f>
        <v>0</v>
      </c>
      <c r="P51" s="265">
        <f>IF($G51="131",$F51,0)</f>
        <v>0</v>
      </c>
      <c r="Q51" s="265">
        <f>IF($H51="131",$F51,0)</f>
        <v>0</v>
      </c>
      <c r="R51" s="265">
        <f>IF($G51="1331",$F51,0)</f>
        <v>0</v>
      </c>
      <c r="S51" s="265">
        <f>IF($H51="1331",$F51,0)</f>
        <v>0</v>
      </c>
      <c r="T51" s="265">
        <f>IF($G51="1388",$F51,0)</f>
        <v>0</v>
      </c>
      <c r="U51" s="265">
        <f>IF($H51="1388",$F51,0)</f>
        <v>0</v>
      </c>
      <c r="V51" s="265">
        <f>IF($G51="141",$F51,0)</f>
        <v>0</v>
      </c>
      <c r="W51" s="265">
        <f>IF($H51="141",$F51,0)</f>
        <v>0</v>
      </c>
      <c r="X51" s="265">
        <f>IF($G51="1521",$F51,0)</f>
        <v>0</v>
      </c>
      <c r="Y51" s="265">
        <f>IF($H51="1521",$F51,0)</f>
        <v>0</v>
      </c>
      <c r="Z51" s="265">
        <f>IF($G51="1522",$F51,0)</f>
        <v>0</v>
      </c>
      <c r="AA51" s="265">
        <f>IF($H51="1522",$F51,0)</f>
        <v>0</v>
      </c>
      <c r="AB51" s="265">
        <f>IF($G51="153",$F51,0)</f>
        <v>0</v>
      </c>
      <c r="AC51" s="265">
        <f>IF($H51="153",$F51,0)</f>
        <v>0</v>
      </c>
      <c r="AD51" s="265">
        <f>IF($G51="154",$F51,0)</f>
        <v>0</v>
      </c>
      <c r="AE51" s="265">
        <f>IF($H51="154",$F51,0)</f>
        <v>0</v>
      </c>
      <c r="AF51" s="265">
        <f>IF($G51="155",$F51,0)</f>
        <v>0</v>
      </c>
      <c r="AG51" s="265">
        <f>IF($H51="155",$F51,0)</f>
        <v>0</v>
      </c>
      <c r="AH51" s="265">
        <f>IF($G51="2111",$F51,0)</f>
        <v>0</v>
      </c>
      <c r="AI51" s="265">
        <f>IF($H51="2111",$F51,0)</f>
        <v>0</v>
      </c>
      <c r="AJ51" s="265">
        <f>IF($G51="2112",$F51,0)</f>
        <v>0</v>
      </c>
      <c r="AK51" s="265">
        <f>IF($H51="2112",$F51,0)</f>
        <v>0</v>
      </c>
      <c r="AL51" s="265">
        <f>IF($G51="2113",$F51,0)</f>
        <v>0</v>
      </c>
      <c r="AM51" s="265">
        <f>IF($H51="2113",$F51,0)</f>
        <v>0</v>
      </c>
      <c r="AN51" s="265">
        <f>IF($G51="2131",$F51,0)</f>
        <v>0</v>
      </c>
      <c r="AO51" s="265">
        <f>IF($H51="2131",$F51,0)</f>
        <v>0</v>
      </c>
      <c r="AP51" s="265">
        <f>IF($G51="2141",$F51,0)</f>
        <v>0</v>
      </c>
      <c r="AQ51" s="265">
        <f>IF($H51="2141",$F51,0)</f>
        <v>0</v>
      </c>
      <c r="AR51" s="265">
        <f>IF($G51="2143",$F51,0)</f>
        <v>0</v>
      </c>
      <c r="AS51" s="265">
        <f>IF($H51="2143",$F51,0)</f>
        <v>0</v>
      </c>
      <c r="AT51" s="265">
        <f>IF($G51="2412",$F51,0)</f>
        <v>0</v>
      </c>
      <c r="AU51" s="265">
        <f>IF($H51="2412",$F51,0)</f>
        <v>0</v>
      </c>
      <c r="AV51" s="265">
        <f>IF($G51="331",$F51,0)</f>
        <v>0</v>
      </c>
      <c r="AW51" s="265">
        <f>IF($H51="331",$F51,0)</f>
        <v>0</v>
      </c>
      <c r="AX51" s="265">
        <f>IF($G51="33311",$F51,0)</f>
        <v>0</v>
      </c>
      <c r="AY51" s="265">
        <f>IF($H51="33311",$F51,0)</f>
        <v>0</v>
      </c>
      <c r="AZ51" s="265">
        <f>IF($G51="33312",$F51,0)</f>
        <v>0</v>
      </c>
      <c r="BA51" s="265">
        <f>IF($H51="33312",$F51,0)</f>
        <v>0</v>
      </c>
      <c r="BB51" s="265">
        <f>IF($G51="3333",$F51,0)</f>
        <v>0</v>
      </c>
      <c r="BC51" s="265">
        <f>IF($H51="3333",$F51,0)</f>
        <v>0</v>
      </c>
      <c r="BD51" s="265">
        <f>IF($G51="3334",$F51,0)</f>
        <v>0</v>
      </c>
      <c r="BE51" s="265">
        <f>IF($H51="3334",$F51,0)</f>
        <v>0</v>
      </c>
      <c r="BF51" s="265">
        <f>IF($G51="3335",$F51,0)</f>
        <v>0</v>
      </c>
      <c r="BG51" s="265">
        <f>IF($H51="3335",$F51,0)</f>
        <v>0</v>
      </c>
      <c r="BH51" s="265">
        <f>IF($G51="33382",$F51,0)</f>
        <v>0</v>
      </c>
      <c r="BI51" s="265">
        <f>IF($H51="33382",$F51,0)</f>
        <v>0</v>
      </c>
      <c r="BJ51" s="265">
        <f>IF($G51="3341",$F51,0)</f>
        <v>0</v>
      </c>
      <c r="BK51" s="265">
        <f>IF($H51="3341",$F51,0)</f>
        <v>0</v>
      </c>
      <c r="BL51" s="265">
        <f>IF($G51="3383",$F51,0)</f>
        <v>0</v>
      </c>
      <c r="BM51" s="265">
        <f>IF($H51="3383",$F51,0)</f>
        <v>0</v>
      </c>
      <c r="BN51" s="265">
        <f>IF($G51="3384",$F51,0)</f>
        <v>0</v>
      </c>
      <c r="BO51" s="265">
        <f>IF($H51="3384",$F51,0)</f>
        <v>0</v>
      </c>
      <c r="BP51" s="265">
        <f>IF($G51="3386",$F51,0)</f>
        <v>0</v>
      </c>
      <c r="BQ51" s="265">
        <f>IF($H51="3386",$F51,0)</f>
        <v>0</v>
      </c>
      <c r="BR51" s="265">
        <f>IF($G51="3388",$F51,0)</f>
        <v>0</v>
      </c>
      <c r="BS51" s="265">
        <f>IF($H51="3388",$F51,0)</f>
        <v>0</v>
      </c>
      <c r="BT51" s="265">
        <f>IF($G51="3411",$F51,0)</f>
        <v>0</v>
      </c>
      <c r="BU51" s="265">
        <f>IF($H51="3411",$F51,0)</f>
        <v>0</v>
      </c>
      <c r="BV51" s="265">
        <f>IF($G51="3412",$F51,0)</f>
        <v>0</v>
      </c>
      <c r="BW51" s="265">
        <f>IF($H51="3412",$F51,0)</f>
        <v>0</v>
      </c>
      <c r="BX51" s="265">
        <f>IF($G51="4111",$F51,0)</f>
        <v>0</v>
      </c>
      <c r="BY51" s="265">
        <f>IF($H51="4111",$F51,0)</f>
        <v>0</v>
      </c>
      <c r="BZ51" s="265">
        <f>IF($G51="4211",$F51,0)</f>
        <v>0</v>
      </c>
      <c r="CA51" s="265">
        <f>IF($H51="4211",$F51,0)</f>
        <v>0</v>
      </c>
      <c r="CB51" s="265">
        <f>IF($G51="4212",$F51,0)</f>
        <v>0</v>
      </c>
      <c r="CC51" s="265">
        <f>IF($H51="4212",$F51,0)</f>
        <v>0</v>
      </c>
      <c r="CD51" s="265">
        <f>IF($G51="5112N",$F51,0)</f>
        <v>0</v>
      </c>
      <c r="CE51" s="265">
        <f>IF($H51="5112N",$F51,0)</f>
        <v>0</v>
      </c>
      <c r="CF51" s="265">
        <f>IF($G51="5112X",$F51,0)</f>
        <v>0</v>
      </c>
      <c r="CG51" s="265">
        <f>IF($H51="5112X",$F51,0)</f>
        <v>0</v>
      </c>
      <c r="CH51" s="265">
        <f>IF($G51="515",$F51,0)</f>
        <v>0</v>
      </c>
      <c r="CI51" s="265">
        <f>IF($H51="515",$F51,0)</f>
        <v>0</v>
      </c>
      <c r="CJ51" s="265">
        <f>IF($G51="5213",$F51,0)</f>
        <v>0</v>
      </c>
      <c r="CK51" s="265">
        <f>IF($H51="5213",$F51,0)</f>
        <v>0</v>
      </c>
      <c r="CL51" s="265">
        <f>IF($G51="632",$F51,0)</f>
        <v>0</v>
      </c>
      <c r="CM51" s="265">
        <f>IF($H51="632",$F51,0)</f>
        <v>0</v>
      </c>
      <c r="CN51" s="265">
        <f>IF($G51="635",$F51,0)</f>
        <v>0</v>
      </c>
      <c r="CO51" s="265">
        <f>IF($H51="635",$F51,0)</f>
        <v>0</v>
      </c>
      <c r="CP51" s="265">
        <f>IF($G51="641",$F51,0)</f>
        <v>0</v>
      </c>
      <c r="CQ51" s="265">
        <f>IF($H51="641",$F51,0)</f>
        <v>0</v>
      </c>
      <c r="CR51" s="265">
        <f>IF($G51="642",$F51,0)</f>
        <v>0</v>
      </c>
      <c r="CS51" s="265">
        <f>IF($H51="642",$F51,0)</f>
        <v>0</v>
      </c>
      <c r="CT51" s="265">
        <f>IF($G51="711",$F51,0)</f>
        <v>0</v>
      </c>
      <c r="CU51" s="265">
        <f>IF($H51="711",$F51,0)</f>
        <v>0</v>
      </c>
      <c r="CV51" s="265">
        <f>IF($G51="811",$F51,0)</f>
        <v>0</v>
      </c>
      <c r="CW51" s="265">
        <f>IF($H51="811",$F51,0)</f>
        <v>0</v>
      </c>
      <c r="CX51" s="265">
        <f>IF($G51="821",$F51,0)</f>
        <v>0</v>
      </c>
      <c r="CY51" s="265">
        <f>IF($H51="821",$F51,0)</f>
        <v>0</v>
      </c>
      <c r="CZ51" s="265">
        <f>IF($G51="911",$F51,0)</f>
        <v>0</v>
      </c>
      <c r="DA51" s="265">
        <f>IF($H51="911",$F51,0)</f>
        <v>0</v>
      </c>
    </row>
    <row r="52" spans="1:105" s="262" customFormat="1" ht="15" customHeight="1">
      <c r="A52" s="269"/>
      <c r="B52" s="269"/>
      <c r="C52" s="269"/>
      <c r="D52" s="269"/>
      <c r="E52" s="264" t="s">
        <v>171</v>
      </c>
      <c r="F52" s="269"/>
      <c r="G52" s="268"/>
      <c r="H52" s="268"/>
      <c r="I52" s="269"/>
      <c r="J52" s="269">
        <f t="shared" ref="J52:AO52" ca="1" si="99">SUM(J11:J51)</f>
        <v>0</v>
      </c>
      <c r="K52" s="269">
        <f t="shared" ca="1" si="99"/>
        <v>0</v>
      </c>
      <c r="L52" s="269">
        <f t="shared" ca="1" si="99"/>
        <v>0</v>
      </c>
      <c r="M52" s="269">
        <f t="shared" ca="1" si="99"/>
        <v>0</v>
      </c>
      <c r="N52" s="269">
        <f t="shared" ca="1" si="99"/>
        <v>0</v>
      </c>
      <c r="O52" s="269">
        <f t="shared" ca="1" si="99"/>
        <v>0</v>
      </c>
      <c r="P52" s="269">
        <f t="shared" ca="1" si="99"/>
        <v>0</v>
      </c>
      <c r="Q52" s="269">
        <f t="shared" ca="1" si="99"/>
        <v>0</v>
      </c>
      <c r="R52" s="269">
        <f t="shared" ca="1" si="99"/>
        <v>0</v>
      </c>
      <c r="S52" s="269">
        <f t="shared" ca="1" si="99"/>
        <v>0</v>
      </c>
      <c r="T52" s="269">
        <f t="shared" ca="1" si="99"/>
        <v>0</v>
      </c>
      <c r="U52" s="269">
        <f t="shared" ca="1" si="99"/>
        <v>0</v>
      </c>
      <c r="V52" s="269">
        <f t="shared" ca="1" si="99"/>
        <v>0</v>
      </c>
      <c r="W52" s="269">
        <f t="shared" ca="1" si="99"/>
        <v>0</v>
      </c>
      <c r="X52" s="269">
        <f t="shared" ca="1" si="99"/>
        <v>0</v>
      </c>
      <c r="Y52" s="269">
        <f t="shared" ca="1" si="99"/>
        <v>0</v>
      </c>
      <c r="Z52" s="269">
        <f t="shared" ca="1" si="99"/>
        <v>0</v>
      </c>
      <c r="AA52" s="269">
        <f t="shared" ca="1" si="99"/>
        <v>0</v>
      </c>
      <c r="AB52" s="269">
        <f t="shared" ca="1" si="99"/>
        <v>0</v>
      </c>
      <c r="AC52" s="269">
        <f t="shared" ca="1" si="99"/>
        <v>0</v>
      </c>
      <c r="AD52" s="269">
        <f t="shared" ca="1" si="99"/>
        <v>0</v>
      </c>
      <c r="AE52" s="269">
        <f t="shared" ca="1" si="99"/>
        <v>0</v>
      </c>
      <c r="AF52" s="269">
        <f t="shared" ca="1" si="99"/>
        <v>0</v>
      </c>
      <c r="AG52" s="269">
        <f t="shared" ca="1" si="99"/>
        <v>0</v>
      </c>
      <c r="AH52" s="269">
        <f t="shared" ca="1" si="99"/>
        <v>0</v>
      </c>
      <c r="AI52" s="269">
        <f t="shared" ca="1" si="99"/>
        <v>0</v>
      </c>
      <c r="AJ52" s="269">
        <f t="shared" ca="1" si="99"/>
        <v>0</v>
      </c>
      <c r="AK52" s="269">
        <f t="shared" ca="1" si="99"/>
        <v>0</v>
      </c>
      <c r="AL52" s="269">
        <f t="shared" ca="1" si="99"/>
        <v>0</v>
      </c>
      <c r="AM52" s="269">
        <f t="shared" ca="1" si="99"/>
        <v>0</v>
      </c>
      <c r="AN52" s="269">
        <f t="shared" ca="1" si="99"/>
        <v>0</v>
      </c>
      <c r="AO52" s="269">
        <f t="shared" ca="1" si="99"/>
        <v>0</v>
      </c>
      <c r="AP52" s="269">
        <f t="shared" ref="AP52:BU52" ca="1" si="100">SUM(AP11:AP51)</f>
        <v>0</v>
      </c>
      <c r="AQ52" s="269">
        <f t="shared" ca="1" si="100"/>
        <v>0</v>
      </c>
      <c r="AR52" s="269">
        <f t="shared" ca="1" si="100"/>
        <v>0</v>
      </c>
      <c r="AS52" s="269">
        <f t="shared" ca="1" si="100"/>
        <v>0</v>
      </c>
      <c r="AT52" s="269">
        <f t="shared" ca="1" si="100"/>
        <v>0</v>
      </c>
      <c r="AU52" s="269">
        <f t="shared" ca="1" si="100"/>
        <v>0</v>
      </c>
      <c r="AV52" s="269">
        <f t="shared" ca="1" si="100"/>
        <v>0</v>
      </c>
      <c r="AW52" s="269">
        <f t="shared" ca="1" si="100"/>
        <v>0</v>
      </c>
      <c r="AX52" s="269">
        <f t="shared" ca="1" si="100"/>
        <v>0</v>
      </c>
      <c r="AY52" s="269">
        <f t="shared" ca="1" si="100"/>
        <v>0</v>
      </c>
      <c r="AZ52" s="269">
        <f t="shared" ca="1" si="100"/>
        <v>0</v>
      </c>
      <c r="BA52" s="269">
        <f t="shared" ca="1" si="100"/>
        <v>0</v>
      </c>
      <c r="BB52" s="269">
        <f t="shared" ca="1" si="100"/>
        <v>0</v>
      </c>
      <c r="BC52" s="269">
        <f t="shared" ca="1" si="100"/>
        <v>0</v>
      </c>
      <c r="BD52" s="269">
        <f t="shared" ca="1" si="100"/>
        <v>0</v>
      </c>
      <c r="BE52" s="269">
        <f t="shared" ca="1" si="100"/>
        <v>0</v>
      </c>
      <c r="BF52" s="269">
        <f t="shared" ca="1" si="100"/>
        <v>0</v>
      </c>
      <c r="BG52" s="269">
        <f t="shared" ca="1" si="100"/>
        <v>0</v>
      </c>
      <c r="BH52" s="269">
        <f t="shared" ca="1" si="100"/>
        <v>0</v>
      </c>
      <c r="BI52" s="269">
        <f t="shared" ca="1" si="100"/>
        <v>0</v>
      </c>
      <c r="BJ52" s="269">
        <f t="shared" ca="1" si="100"/>
        <v>0</v>
      </c>
      <c r="BK52" s="269">
        <f t="shared" ca="1" si="100"/>
        <v>0</v>
      </c>
      <c r="BL52" s="269">
        <f t="shared" ca="1" si="100"/>
        <v>0</v>
      </c>
      <c r="BM52" s="269">
        <f t="shared" ca="1" si="100"/>
        <v>0</v>
      </c>
      <c r="BN52" s="269">
        <f t="shared" ca="1" si="100"/>
        <v>0</v>
      </c>
      <c r="BO52" s="269">
        <f t="shared" ca="1" si="100"/>
        <v>0</v>
      </c>
      <c r="BP52" s="269">
        <f t="shared" ca="1" si="100"/>
        <v>0</v>
      </c>
      <c r="BQ52" s="269">
        <f t="shared" ca="1" si="100"/>
        <v>0</v>
      </c>
      <c r="BR52" s="269">
        <f t="shared" ca="1" si="100"/>
        <v>0</v>
      </c>
      <c r="BS52" s="269">
        <f t="shared" ca="1" si="100"/>
        <v>0</v>
      </c>
      <c r="BT52" s="269">
        <f t="shared" ca="1" si="100"/>
        <v>0</v>
      </c>
      <c r="BU52" s="269">
        <f t="shared" ca="1" si="100"/>
        <v>0</v>
      </c>
      <c r="BV52" s="269">
        <f t="shared" ref="BV52:DA52" ca="1" si="101">SUM(BV11:BV51)</f>
        <v>0</v>
      </c>
      <c r="BW52" s="269">
        <f t="shared" ca="1" si="101"/>
        <v>0</v>
      </c>
      <c r="BX52" s="269">
        <f t="shared" ca="1" si="101"/>
        <v>0</v>
      </c>
      <c r="BY52" s="269">
        <f t="shared" ca="1" si="101"/>
        <v>0</v>
      </c>
      <c r="BZ52" s="269">
        <f t="shared" ca="1" si="101"/>
        <v>0</v>
      </c>
      <c r="CA52" s="269">
        <f t="shared" ca="1" si="101"/>
        <v>0</v>
      </c>
      <c r="CB52" s="269">
        <f t="shared" ca="1" si="101"/>
        <v>0</v>
      </c>
      <c r="CC52" s="269">
        <f t="shared" ca="1" si="101"/>
        <v>0</v>
      </c>
      <c r="CD52" s="269">
        <f t="shared" ca="1" si="101"/>
        <v>0</v>
      </c>
      <c r="CE52" s="269">
        <f t="shared" ca="1" si="101"/>
        <v>0</v>
      </c>
      <c r="CF52" s="269">
        <f t="shared" ca="1" si="101"/>
        <v>0</v>
      </c>
      <c r="CG52" s="269">
        <f t="shared" ca="1" si="101"/>
        <v>0</v>
      </c>
      <c r="CH52" s="269">
        <f t="shared" ca="1" si="101"/>
        <v>0</v>
      </c>
      <c r="CI52" s="269">
        <f t="shared" ca="1" si="101"/>
        <v>0</v>
      </c>
      <c r="CJ52" s="269">
        <f t="shared" ca="1" si="101"/>
        <v>0</v>
      </c>
      <c r="CK52" s="269">
        <f t="shared" ca="1" si="101"/>
        <v>0</v>
      </c>
      <c r="CL52" s="269">
        <f t="shared" ca="1" si="101"/>
        <v>0</v>
      </c>
      <c r="CM52" s="269">
        <f t="shared" ca="1" si="101"/>
        <v>0</v>
      </c>
      <c r="CN52" s="269">
        <f t="shared" ca="1" si="101"/>
        <v>0</v>
      </c>
      <c r="CO52" s="269">
        <f t="shared" ca="1" si="101"/>
        <v>0</v>
      </c>
      <c r="CP52" s="269">
        <f t="shared" ca="1" si="101"/>
        <v>0</v>
      </c>
      <c r="CQ52" s="269">
        <f t="shared" ca="1" si="101"/>
        <v>0</v>
      </c>
      <c r="CR52" s="269">
        <f t="shared" ca="1" si="101"/>
        <v>0</v>
      </c>
      <c r="CS52" s="269">
        <f t="shared" ca="1" si="101"/>
        <v>0</v>
      </c>
      <c r="CT52" s="269">
        <f t="shared" ca="1" si="101"/>
        <v>0</v>
      </c>
      <c r="CU52" s="269">
        <f t="shared" ca="1" si="101"/>
        <v>0</v>
      </c>
      <c r="CV52" s="269">
        <f t="shared" ca="1" si="101"/>
        <v>0</v>
      </c>
      <c r="CW52" s="269">
        <f t="shared" ca="1" si="101"/>
        <v>0</v>
      </c>
      <c r="CX52" s="269">
        <f t="shared" ca="1" si="101"/>
        <v>0</v>
      </c>
      <c r="CY52" s="269">
        <f t="shared" ca="1" si="101"/>
        <v>0</v>
      </c>
      <c r="CZ52" s="269">
        <f t="shared" ca="1" si="101"/>
        <v>0</v>
      </c>
      <c r="DA52" s="269">
        <f t="shared" ca="1" si="101"/>
        <v>0</v>
      </c>
    </row>
    <row r="53" spans="1:105" s="262" customFormat="1" ht="15" customHeight="1">
      <c r="A53" s="270"/>
      <c r="B53" s="270"/>
      <c r="C53" s="270"/>
      <c r="D53" s="270"/>
      <c r="E53" s="271" t="s">
        <v>209</v>
      </c>
      <c r="F53" s="270"/>
      <c r="G53" s="272"/>
      <c r="H53" s="272"/>
      <c r="I53" s="270"/>
      <c r="J53" s="292">
        <f ca="1">MAX(J10+J52-K10-K52,0)</f>
        <v>3705039095</v>
      </c>
      <c r="K53" s="292">
        <f ca="1">MAX(K10+K52-J10-J52,0)</f>
        <v>0</v>
      </c>
      <c r="L53" s="292">
        <f ca="1">MAX(L10+L52-M10-M52,0)</f>
        <v>19829295</v>
      </c>
      <c r="M53" s="292">
        <f ca="1">MAX(M10+M52-L10-L52,0)</f>
        <v>0</v>
      </c>
      <c r="N53" s="292">
        <f ca="1">MAX(N10+N52-O10-O52,0)</f>
        <v>2236796790</v>
      </c>
      <c r="O53" s="292">
        <f ca="1">MAX(O10+O52-N10-N52,0)</f>
        <v>0</v>
      </c>
      <c r="P53" s="292">
        <f ca="1">MAX(P10+P52-Q10-Q52,0)</f>
        <v>3343381600</v>
      </c>
      <c r="Q53" s="292">
        <f ca="1">MAX(Q10+Q52-P10-P52,0)</f>
        <v>0</v>
      </c>
      <c r="R53" s="292">
        <f ca="1">MAX(R10+R52-S10-S52,0)</f>
        <v>162420936</v>
      </c>
      <c r="S53" s="292">
        <f ca="1">MAX(S10+S52-R10-R52,0)</f>
        <v>0</v>
      </c>
      <c r="T53" s="292">
        <f ca="1">MAX(T10+T52-U10-U52,0)</f>
        <v>1500000000</v>
      </c>
      <c r="U53" s="292">
        <f ca="1">MAX(U10+U52-T10-T52,0)</f>
        <v>0</v>
      </c>
      <c r="V53" s="292">
        <f ca="1">MAX(V10+V52-W10-W52,0)</f>
        <v>0</v>
      </c>
      <c r="W53" s="292">
        <f ca="1">MAX(W10+W52-V10-V52,0)</f>
        <v>0</v>
      </c>
      <c r="X53" s="292">
        <f ca="1">MAX(X10+X52-Y10-Y52,0)</f>
        <v>2772400000</v>
      </c>
      <c r="Y53" s="292">
        <f ca="1">MAX(Y10+Y52-X10-X52,0)</f>
        <v>0</v>
      </c>
      <c r="Z53" s="292">
        <f ca="1">MAX(Z10+Z52-AA10-AA52,0)</f>
        <v>526519887</v>
      </c>
      <c r="AA53" s="292">
        <f ca="1">MAX(AA10+AA52-Z10-Z52,0)</f>
        <v>0</v>
      </c>
      <c r="AB53" s="292">
        <f ca="1">MAX(AB10+AB52-AC10-AC52,0)</f>
        <v>0</v>
      </c>
      <c r="AC53" s="292">
        <f ca="1">MAX(AC10+AC52-AB10-AB52,0)</f>
        <v>0</v>
      </c>
      <c r="AD53" s="292">
        <f ca="1">MAX(AD10+AD52-AE10-AE52,0)</f>
        <v>0</v>
      </c>
      <c r="AE53" s="292">
        <f ca="1">MAX(AE10+AE52-AD10-AD52,0)</f>
        <v>0</v>
      </c>
      <c r="AF53" s="292">
        <f ca="1">MAX(AF10+AF52-AG10-AG52,0)</f>
        <v>9386323824</v>
      </c>
      <c r="AG53" s="292">
        <f ca="1">MAX(AG10+AG52-AF10-AF52,0)</f>
        <v>0</v>
      </c>
      <c r="AH53" s="292">
        <f ca="1">MAX(AH10+AH52-AI10-AI52,0)</f>
        <v>7490743648</v>
      </c>
      <c r="AI53" s="292">
        <f ca="1">MAX(AI10+AI52-AH10-AH52,0)</f>
        <v>0</v>
      </c>
      <c r="AJ53" s="292">
        <f ca="1">MAX(AJ10+AJ52-AK10-AK52,0)</f>
        <v>3807898863</v>
      </c>
      <c r="AK53" s="292">
        <f ca="1">MAX(AK10+AK52-AJ10-AJ52,0)</f>
        <v>0</v>
      </c>
      <c r="AL53" s="292">
        <f ca="1">MAX(AL10+AL52-AM10-AM52,0)</f>
        <v>3790918485</v>
      </c>
      <c r="AM53" s="292">
        <f ca="1">MAX(AM10+AM52-AL10-AL52,0)</f>
        <v>0</v>
      </c>
      <c r="AN53" s="292">
        <f ca="1">MAX(AN10+AN52-AO10-AO52,0)</f>
        <v>5405781300</v>
      </c>
      <c r="AO53" s="292">
        <f ca="1">MAX(AO10+AO52-AN10-AN52,0)</f>
        <v>0</v>
      </c>
      <c r="AP53" s="292">
        <f ca="1">MAX(AP10+AP52-AQ10-AQ52,0)</f>
        <v>0</v>
      </c>
      <c r="AQ53" s="292">
        <f ca="1">MAX(AQ10+AQ52-AP10-AP52,0)</f>
        <v>9132359256</v>
      </c>
      <c r="AR53" s="292">
        <f ca="1">MAX(AR10+AR52-AS10-AS52,0)</f>
        <v>0</v>
      </c>
      <c r="AS53" s="292">
        <f ca="1">MAX(AS10+AS52-AR10-AR52,0)</f>
        <v>600642360</v>
      </c>
      <c r="AT53" s="292">
        <f ca="1">MAX(AT10+AT52-AU10-AU52,0)</f>
        <v>0</v>
      </c>
      <c r="AU53" s="292">
        <f ca="1">MAX(AU10+AU52-AT10-AT52,0)</f>
        <v>0</v>
      </c>
      <c r="AV53" s="292">
        <f ca="1">MAX(AV10+AV52-AW10-AW52,0)</f>
        <v>0</v>
      </c>
      <c r="AW53" s="292">
        <f ca="1">MAX(AW10+AW52-AV10-AV52,0)</f>
        <v>476953252</v>
      </c>
      <c r="AX53" s="292">
        <f ca="1">MAX(AX10+AX52-AY10-AY52,0)</f>
        <v>0</v>
      </c>
      <c r="AY53" s="292">
        <f ca="1">MAX(AY10+AY52-AX10-AX52,0)</f>
        <v>0</v>
      </c>
      <c r="AZ53" s="292">
        <f ca="1">MAX(AZ10+AZ52-BA10-BA52,0)</f>
        <v>0</v>
      </c>
      <c r="BA53" s="292">
        <f ca="1">MAX(BA10+BA52-AZ10-AZ52,0)</f>
        <v>0</v>
      </c>
      <c r="BB53" s="292">
        <f ca="1">MAX(BB10+BB52-BC10-BC52,0)</f>
        <v>0</v>
      </c>
      <c r="BC53" s="292">
        <f ca="1">MAX(BC10+BC52-BB10-BB52,0)</f>
        <v>0</v>
      </c>
      <c r="BD53" s="292">
        <f ca="1">MAX(BD10+BD52-BE10-BE52,0)</f>
        <v>0</v>
      </c>
      <c r="BE53" s="292">
        <f ca="1">MAX(BE10+BE52-BD10-BD52,0)</f>
        <v>3313435</v>
      </c>
      <c r="BF53" s="292">
        <f ca="1">MAX(BF10+BF52-BG10-BG52,0)</f>
        <v>3389804</v>
      </c>
      <c r="BG53" s="292">
        <f ca="1">MAX(BG10+BG52-BF10-BF52,0)</f>
        <v>0</v>
      </c>
      <c r="BH53" s="292">
        <f ca="1">MAX(BH10+BH52-BI10-BI52,0)</f>
        <v>0</v>
      </c>
      <c r="BI53" s="292">
        <f ca="1">MAX(BI10+BI52-BH10-BH52,0)</f>
        <v>0</v>
      </c>
      <c r="BJ53" s="292">
        <f ca="1">MAX(BJ10+BJ52-BK10-BK52,0)</f>
        <v>0</v>
      </c>
      <c r="BK53" s="292">
        <f ca="1">MAX(BK10+BK52-BJ10-BJ52,0)</f>
        <v>0</v>
      </c>
      <c r="BL53" s="292">
        <f ca="1">MAX(BL10+BL52-BM10-BM52,0)</f>
        <v>0</v>
      </c>
      <c r="BM53" s="292">
        <f ca="1">MAX(BM10+BM52-BL10-BL52,0)</f>
        <v>40272309</v>
      </c>
      <c r="BN53" s="292">
        <f ca="1">MAX(BN10+BN52-BO10-BO52,0)</f>
        <v>0</v>
      </c>
      <c r="BO53" s="292">
        <f ca="1">MAX(BO10+BO52-BN10-BN52,0)</f>
        <v>6403142</v>
      </c>
      <c r="BP53" s="292">
        <f ca="1">MAX(BP10+BP52-BQ10-BQ52,0)</f>
        <v>0</v>
      </c>
      <c r="BQ53" s="292">
        <f ca="1">MAX(BQ10+BQ52-BP10-BP52,0)</f>
        <v>2761373</v>
      </c>
      <c r="BR53" s="292">
        <f ca="1">MAX(BR10+BR52-BS10-BS52,0)</f>
        <v>0</v>
      </c>
      <c r="BS53" s="292">
        <f ca="1">MAX(BS10+BS52-BR10-BR52,0)</f>
        <v>0</v>
      </c>
      <c r="BT53" s="292">
        <f ca="1">MAX(BT10+BT52-BU10-BU52,0)</f>
        <v>0</v>
      </c>
      <c r="BU53" s="292">
        <f ca="1">MAX(BU10+BU52-BT10-BT52,0)</f>
        <v>2169121879</v>
      </c>
      <c r="BV53" s="292">
        <f ca="1">MAX(BV10+BV52-BW10-BW52,0)</f>
        <v>0</v>
      </c>
      <c r="BW53" s="292">
        <f ca="1">MAX(BW10+BW52-BV10-BV52,0)</f>
        <v>21202920500</v>
      </c>
      <c r="BX53" s="292">
        <f ca="1">MAX(BX10+BX52-BY10-BY52,0)</f>
        <v>0</v>
      </c>
      <c r="BY53" s="292">
        <f ca="1">MAX(BY10+BY52-BX10-BX52,0)</f>
        <v>10000000000</v>
      </c>
      <c r="BZ53" s="292">
        <f ca="1">MAX(BZ10+BZ52-CA10-CA52,0)</f>
        <v>0</v>
      </c>
      <c r="CA53" s="292">
        <f ca="1">MAX(CA10+CA52-BZ10-BZ52,0)</f>
        <v>594397022.00000048</v>
      </c>
      <c r="CB53" s="292">
        <f ca="1">MAX(CB10+CB52-CC10-CC52,0)</f>
        <v>77701001</v>
      </c>
      <c r="CC53" s="292">
        <f ca="1">MAX(CC10+CC52-CB10-CB52,0)</f>
        <v>0</v>
      </c>
      <c r="CD53" s="292">
        <f ca="1">MAX(CD10+CD52-CE10-CE52,0)</f>
        <v>0</v>
      </c>
      <c r="CE53" s="292">
        <f ca="1">MAX(CE10+CE52-CD10-CD52,0)</f>
        <v>0</v>
      </c>
      <c r="CF53" s="292">
        <f ca="1">MAX(CF10+CF52-CG10-CG52,0)</f>
        <v>0</v>
      </c>
      <c r="CG53" s="292">
        <f ca="1">MAX(CG10+CG52-CF10-CF52,0)</f>
        <v>0</v>
      </c>
      <c r="CH53" s="292">
        <f ca="1">MAX(CH10+CH52-CI10-CI52,0)</f>
        <v>0</v>
      </c>
      <c r="CI53" s="292">
        <f ca="1">MAX(CI10+CI52-CH10-CH52,0)</f>
        <v>0</v>
      </c>
      <c r="CJ53" s="292">
        <f ca="1">MAX(CJ10+CJ52-CK10-CK52,0)</f>
        <v>0</v>
      </c>
      <c r="CK53" s="292">
        <f ca="1">MAX(CK10+CK52-CJ10-CJ52,0)</f>
        <v>0</v>
      </c>
      <c r="CL53" s="292">
        <f ca="1">MAX(CL10+CL52-CM10-CM52,0)</f>
        <v>0</v>
      </c>
      <c r="CM53" s="292">
        <f ca="1">MAX(CM10+CM52-CL10-CL52,0)</f>
        <v>0</v>
      </c>
      <c r="CN53" s="292">
        <f ca="1">MAX(CN10+CN52-CO10-CO52,0)</f>
        <v>0</v>
      </c>
      <c r="CO53" s="292">
        <f ca="1">MAX(CO10+CO52-CN10-CN52,0)</f>
        <v>0</v>
      </c>
      <c r="CP53" s="292">
        <f ca="1">MAX(CP10+CP52-CQ10-CQ52,0)</f>
        <v>0</v>
      </c>
      <c r="CQ53" s="292">
        <f ca="1">MAX(CQ10+CQ52-CP10-CP52,0)</f>
        <v>0</v>
      </c>
      <c r="CR53" s="292">
        <f ca="1">MAX(CR10+CR52-CS10-CS52,0)</f>
        <v>0</v>
      </c>
      <c r="CS53" s="292">
        <f ca="1">MAX(CS10+CS52-CR10-CR52,0)</f>
        <v>0</v>
      </c>
      <c r="CT53" s="292">
        <f ca="1">MAX(CT10+CT52-CU10-CU52,0)</f>
        <v>0</v>
      </c>
      <c r="CU53" s="292">
        <f ca="1">MAX(CU10+CU52-CT10-CT52,0)</f>
        <v>0</v>
      </c>
      <c r="CV53" s="292">
        <f ca="1">MAX(CV10+CV52-CW10-CW52,0)</f>
        <v>0</v>
      </c>
      <c r="CW53" s="292">
        <f ca="1">MAX(CW10+CW52-CV10-CV52,0)</f>
        <v>0</v>
      </c>
      <c r="CX53" s="292">
        <f ca="1">MAX(CX10+CX52-CY10-CY52,0)</f>
        <v>0</v>
      </c>
      <c r="CY53" s="292">
        <f ca="1">MAX(CY10+CY52-CX10-CX52,0)</f>
        <v>0</v>
      </c>
      <c r="CZ53" s="292">
        <f ca="1">MAX(CZ10+CZ52-DA10-DA52,0)</f>
        <v>0</v>
      </c>
      <c r="DA53" s="292">
        <f ca="1">MAX(DA10+DA52-CZ10-CZ52,0)</f>
        <v>0</v>
      </c>
    </row>
    <row r="54" spans="1:105" s="262" customFormat="1" ht="15" customHeight="1">
      <c r="A54" s="274"/>
      <c r="B54" s="274"/>
      <c r="C54" s="275"/>
      <c r="D54" s="274"/>
      <c r="E54" s="276" t="s">
        <v>210</v>
      </c>
      <c r="F54" s="274"/>
      <c r="G54" s="277"/>
      <c r="H54" s="277"/>
      <c r="I54" s="274"/>
      <c r="J54" s="274">
        <f ca="1">J52+'SC-I'!J54</f>
        <v>0</v>
      </c>
      <c r="K54" s="274">
        <f ca="1">K52+'SC-I'!K54</f>
        <v>0</v>
      </c>
      <c r="L54" s="274">
        <f ca="1">L52+'SC-I'!L54</f>
        <v>0</v>
      </c>
      <c r="M54" s="274">
        <f ca="1">M52+'SC-I'!M54</f>
        <v>0</v>
      </c>
      <c r="N54" s="274">
        <f ca="1">N52+'SC-I'!N54</f>
        <v>0</v>
      </c>
      <c r="O54" s="274">
        <f ca="1">O52+'SC-I'!O54</f>
        <v>0</v>
      </c>
      <c r="P54" s="274">
        <f ca="1">P52+'SC-I'!P54</f>
        <v>0</v>
      </c>
      <c r="Q54" s="274">
        <f ca="1">Q52+'SC-I'!Q54</f>
        <v>0</v>
      </c>
      <c r="R54" s="274">
        <f ca="1">R52+'SC-I'!R54</f>
        <v>0</v>
      </c>
      <c r="S54" s="274">
        <f ca="1">S52+'SC-I'!S54</f>
        <v>0</v>
      </c>
      <c r="T54" s="274">
        <f ca="1">T52+'SC-I'!T54</f>
        <v>0</v>
      </c>
      <c r="U54" s="274">
        <f ca="1">U52+'SC-I'!U54</f>
        <v>0</v>
      </c>
      <c r="V54" s="274">
        <f ca="1">V52+'SC-I'!V54</f>
        <v>0</v>
      </c>
      <c r="W54" s="274">
        <f ca="1">W52+'SC-I'!W54</f>
        <v>0</v>
      </c>
      <c r="X54" s="274">
        <f ca="1">X52+'SC-I'!X54</f>
        <v>0</v>
      </c>
      <c r="Y54" s="274">
        <f ca="1">Y52+'SC-I'!Y54</f>
        <v>0</v>
      </c>
      <c r="Z54" s="274">
        <f ca="1">Z52+'SC-I'!Z54</f>
        <v>0</v>
      </c>
      <c r="AA54" s="274">
        <f ca="1">AA52+'SC-I'!AA54</f>
        <v>0</v>
      </c>
      <c r="AB54" s="274">
        <f ca="1">AB52+'SC-I'!AB54</f>
        <v>0</v>
      </c>
      <c r="AC54" s="274">
        <f ca="1">AC52+'SC-I'!AC54</f>
        <v>0</v>
      </c>
      <c r="AD54" s="274">
        <f ca="1">AD52+'SC-I'!AD54</f>
        <v>0</v>
      </c>
      <c r="AE54" s="274">
        <f ca="1">AE52+'SC-I'!AE54</f>
        <v>0</v>
      </c>
      <c r="AF54" s="274">
        <f ca="1">AF52+'SC-I'!AF54</f>
        <v>0</v>
      </c>
      <c r="AG54" s="274">
        <f ca="1">AG52+'SC-I'!AG54</f>
        <v>0</v>
      </c>
      <c r="AH54" s="274">
        <f ca="1">AH52+'SC-I'!AH54</f>
        <v>0</v>
      </c>
      <c r="AI54" s="274">
        <f ca="1">AI52+'SC-I'!AI54</f>
        <v>0</v>
      </c>
      <c r="AJ54" s="274">
        <f ca="1">AJ52+'SC-I'!AJ54</f>
        <v>0</v>
      </c>
      <c r="AK54" s="274">
        <f ca="1">AK52+'SC-I'!AK54</f>
        <v>0</v>
      </c>
      <c r="AL54" s="274">
        <f ca="1">AL52+'SC-I'!AL54</f>
        <v>0</v>
      </c>
      <c r="AM54" s="274">
        <f ca="1">AM52+'SC-I'!AM54</f>
        <v>0</v>
      </c>
      <c r="AN54" s="274">
        <f ca="1">AN52+'SC-I'!AN54</f>
        <v>0</v>
      </c>
      <c r="AO54" s="274">
        <f ca="1">AO52+'SC-I'!AO54</f>
        <v>0</v>
      </c>
      <c r="AP54" s="274">
        <f ca="1">AP52+'SC-I'!AP54</f>
        <v>0</v>
      </c>
      <c r="AQ54" s="274">
        <f ca="1">AQ52+'SC-I'!AQ54</f>
        <v>0</v>
      </c>
      <c r="AR54" s="274">
        <f ca="1">AR52+'SC-I'!AR54</f>
        <v>0</v>
      </c>
      <c r="AS54" s="274">
        <f ca="1">AS52+'SC-I'!AS54</f>
        <v>0</v>
      </c>
      <c r="AT54" s="274">
        <f ca="1">AT52+'SC-I'!AT54</f>
        <v>0</v>
      </c>
      <c r="AU54" s="274">
        <f ca="1">AU52+'SC-I'!AU54</f>
        <v>0</v>
      </c>
      <c r="AV54" s="274">
        <f ca="1">AV52+'SC-I'!AV54</f>
        <v>0</v>
      </c>
      <c r="AW54" s="274">
        <f ca="1">AW52+'SC-I'!AW54</f>
        <v>0</v>
      </c>
      <c r="AX54" s="274">
        <f ca="1">AX52+'SC-I'!AX54</f>
        <v>0</v>
      </c>
      <c r="AY54" s="274">
        <f ca="1">AY52+'SC-I'!AY54</f>
        <v>0</v>
      </c>
      <c r="AZ54" s="274">
        <f ca="1">AZ52+'SC-I'!AZ54</f>
        <v>0</v>
      </c>
      <c r="BA54" s="274">
        <f ca="1">BA52+'SC-I'!BA54</f>
        <v>0</v>
      </c>
      <c r="BB54" s="274">
        <f ca="1">BB52+'SC-I'!BB54</f>
        <v>0</v>
      </c>
      <c r="BC54" s="274">
        <f ca="1">BC52+'SC-I'!BC54</f>
        <v>0</v>
      </c>
      <c r="BD54" s="274">
        <f ca="1">BD52+'SC-I'!BD54</f>
        <v>0</v>
      </c>
      <c r="BE54" s="274">
        <f ca="1">BE52+'SC-I'!BE54</f>
        <v>0</v>
      </c>
      <c r="BF54" s="274">
        <f ca="1">BF52+'SC-I'!BF54</f>
        <v>0</v>
      </c>
      <c r="BG54" s="274">
        <f ca="1">BG52+'SC-I'!BG54</f>
        <v>0</v>
      </c>
      <c r="BH54" s="274">
        <f ca="1">BH52+'SC-I'!BH54</f>
        <v>0</v>
      </c>
      <c r="BI54" s="274">
        <f ca="1">BI52+'SC-I'!BI54</f>
        <v>0</v>
      </c>
      <c r="BJ54" s="274">
        <f ca="1">BJ52+'SC-I'!BJ54</f>
        <v>0</v>
      </c>
      <c r="BK54" s="274">
        <f ca="1">BK52+'SC-I'!BK54</f>
        <v>0</v>
      </c>
      <c r="BL54" s="274">
        <f ca="1">BL52+'SC-I'!BL54</f>
        <v>0</v>
      </c>
      <c r="BM54" s="274">
        <f ca="1">BM52+'SC-I'!BM54</f>
        <v>0</v>
      </c>
      <c r="BN54" s="274">
        <f ca="1">BN52+'SC-I'!BN54</f>
        <v>0</v>
      </c>
      <c r="BO54" s="274">
        <f ca="1">BO52+'SC-I'!BO54</f>
        <v>0</v>
      </c>
      <c r="BP54" s="274">
        <f ca="1">BP52+'SC-I'!BP54</f>
        <v>0</v>
      </c>
      <c r="BQ54" s="274">
        <f ca="1">BQ52+'SC-I'!BQ54</f>
        <v>0</v>
      </c>
      <c r="BR54" s="274">
        <f ca="1">BR52+'SC-I'!BR54</f>
        <v>0</v>
      </c>
      <c r="BS54" s="274">
        <f ca="1">BS52+'SC-I'!BS54</f>
        <v>0</v>
      </c>
      <c r="BT54" s="274">
        <f ca="1">BT52+'SC-I'!BT54</f>
        <v>0</v>
      </c>
      <c r="BU54" s="274">
        <f ca="1">BU52+'SC-I'!BU54</f>
        <v>0</v>
      </c>
      <c r="BV54" s="274">
        <f ca="1">BV52+'SC-I'!BV54</f>
        <v>0</v>
      </c>
      <c r="BW54" s="274">
        <f ca="1">BW52+'SC-I'!BW54</f>
        <v>0</v>
      </c>
      <c r="BX54" s="274">
        <f ca="1">BX52+'SC-I'!BX54</f>
        <v>0</v>
      </c>
      <c r="BY54" s="274">
        <f ca="1">BY52+'SC-I'!BY54</f>
        <v>0</v>
      </c>
      <c r="BZ54" s="274">
        <f ca="1">BZ52+'SC-I'!BZ54</f>
        <v>0</v>
      </c>
      <c r="CA54" s="274">
        <f ca="1">CA52+'SC-I'!CA54</f>
        <v>107861885.00000048</v>
      </c>
      <c r="CB54" s="274">
        <f ca="1">CB52+'SC-I'!CB54</f>
        <v>107861885.00000048</v>
      </c>
      <c r="CC54" s="274">
        <f ca="1">CC52+'SC-I'!CC54</f>
        <v>0</v>
      </c>
      <c r="CD54" s="274">
        <f ca="1">CD52+'SC-I'!CD54</f>
        <v>0</v>
      </c>
      <c r="CE54" s="274">
        <f ca="1">CE52+'SC-I'!CE54</f>
        <v>0</v>
      </c>
      <c r="CF54" s="274">
        <f ca="1">CF52+'SC-I'!CF54</f>
        <v>0</v>
      </c>
      <c r="CG54" s="274">
        <f ca="1">CG52+'SC-I'!CG54</f>
        <v>0</v>
      </c>
      <c r="CH54" s="274">
        <f ca="1">CH52+'SC-I'!CH54</f>
        <v>0</v>
      </c>
      <c r="CI54" s="274">
        <f ca="1">CI52+'SC-I'!CI54</f>
        <v>0</v>
      </c>
      <c r="CJ54" s="274">
        <f ca="1">CJ52+'SC-I'!CJ54</f>
        <v>0</v>
      </c>
      <c r="CK54" s="274">
        <f ca="1">CK52+'SC-I'!CK54</f>
        <v>0</v>
      </c>
      <c r="CL54" s="274">
        <f ca="1">CL52+'SC-I'!CL54</f>
        <v>0</v>
      </c>
      <c r="CM54" s="274">
        <f ca="1">CM52+'SC-I'!CM54</f>
        <v>0</v>
      </c>
      <c r="CN54" s="274">
        <f ca="1">CN52+'SC-I'!CN54</f>
        <v>0</v>
      </c>
      <c r="CO54" s="274">
        <f ca="1">CO52+'SC-I'!CO54</f>
        <v>0</v>
      </c>
      <c r="CP54" s="274">
        <f ca="1">CP52+'SC-I'!CP54</f>
        <v>0</v>
      </c>
      <c r="CQ54" s="274">
        <f ca="1">CQ52+'SC-I'!CQ54</f>
        <v>0</v>
      </c>
      <c r="CR54" s="274">
        <f ca="1">CR52+'SC-I'!CR54</f>
        <v>0</v>
      </c>
      <c r="CS54" s="274">
        <f ca="1">CS52+'SC-I'!CS54</f>
        <v>0</v>
      </c>
      <c r="CT54" s="274">
        <f ca="1">CT52+'SC-I'!CT54</f>
        <v>0</v>
      </c>
      <c r="CU54" s="274">
        <f ca="1">CU52+'SC-I'!CU54</f>
        <v>0</v>
      </c>
      <c r="CV54" s="274">
        <f ca="1">CV52+'SC-I'!CV54</f>
        <v>0</v>
      </c>
      <c r="CW54" s="274">
        <f ca="1">CW52+'SC-I'!CW54</f>
        <v>0</v>
      </c>
      <c r="CX54" s="274">
        <f ca="1">CX52+'SC-I'!CX54</f>
        <v>0</v>
      </c>
      <c r="CY54" s="274">
        <f ca="1">CY52+'SC-I'!CY54</f>
        <v>0</v>
      </c>
      <c r="CZ54" s="274">
        <f ca="1">CZ52+'SC-I'!CZ54</f>
        <v>0</v>
      </c>
      <c r="DA54" s="274">
        <f ca="1">DA52+'SC-I'!DA54</f>
        <v>0</v>
      </c>
    </row>
    <row r="55" spans="1:105" ht="12" customHeight="1">
      <c r="B55" s="279"/>
      <c r="C55" s="280"/>
      <c r="D55" s="280"/>
      <c r="E55" s="280"/>
      <c r="F55" s="280"/>
      <c r="G55" s="281"/>
      <c r="H55" s="281"/>
      <c r="I55" s="280"/>
      <c r="J55" s="280"/>
      <c r="K55" s="280"/>
    </row>
    <row r="56" spans="1:105">
      <c r="M56" s="282"/>
      <c r="O56" s="282"/>
      <c r="Q56" s="282"/>
      <c r="R56" s="282"/>
      <c r="S56" s="282"/>
      <c r="T56" s="282"/>
      <c r="U56" s="282"/>
      <c r="V56" s="282"/>
      <c r="AM56" s="284"/>
      <c r="AN56" s="283" t="s">
        <v>224</v>
      </c>
      <c r="AO56" s="284"/>
      <c r="AP56" s="284"/>
      <c r="AQ56" s="284"/>
      <c r="AR56" s="285"/>
      <c r="AS56" s="285"/>
      <c r="AT56" s="284"/>
    </row>
    <row r="57" spans="1:105">
      <c r="M57" s="282"/>
      <c r="O57" s="282"/>
      <c r="Q57" s="282"/>
      <c r="R57" s="282"/>
      <c r="S57" s="282"/>
      <c r="T57" s="282"/>
      <c r="U57" s="282"/>
      <c r="V57" s="282"/>
      <c r="AM57" s="284"/>
      <c r="AN57" s="286" t="s">
        <v>214</v>
      </c>
      <c r="AO57" s="284"/>
      <c r="AP57" s="284"/>
      <c r="AQ57" s="284"/>
      <c r="AR57" s="285"/>
      <c r="AS57" s="285"/>
      <c r="AT57" s="284"/>
    </row>
    <row r="58" spans="1:105">
      <c r="M58" s="282"/>
      <c r="O58" s="282"/>
      <c r="Q58" s="282"/>
      <c r="R58" s="282"/>
      <c r="S58" s="282"/>
      <c r="T58" s="282"/>
      <c r="U58" s="282"/>
      <c r="V58" s="282"/>
      <c r="AL58" s="284"/>
      <c r="AM58" s="284"/>
      <c r="AN58" s="284"/>
      <c r="AO58" s="284"/>
      <c r="AP58" s="284"/>
      <c r="AQ58" s="284"/>
      <c r="AR58" s="284"/>
      <c r="AS58" s="284"/>
      <c r="AT58" s="285"/>
    </row>
    <row r="59" spans="1:105">
      <c r="M59" s="282"/>
      <c r="O59" s="282"/>
      <c r="Q59" s="282"/>
      <c r="R59" s="282"/>
      <c r="S59" s="282"/>
      <c r="T59" s="282"/>
      <c r="U59" s="282"/>
      <c r="V59" s="282"/>
      <c r="AL59" s="284"/>
      <c r="AM59" s="284"/>
      <c r="AN59" s="284"/>
      <c r="AO59" s="288" t="s">
        <v>11</v>
      </c>
      <c r="AQ59" s="284"/>
      <c r="AR59" s="284"/>
      <c r="AS59" s="284"/>
      <c r="AT59" s="285"/>
      <c r="AZ59" s="287" t="str">
        <f>"Ngày 30 tháng 06 năm 2015 "</f>
        <v xml:space="preserve">Ngày 30 tháng 06 năm 2015 </v>
      </c>
    </row>
    <row r="60" spans="1:105">
      <c r="M60" s="282"/>
      <c r="O60" s="282"/>
      <c r="Q60" s="282"/>
      <c r="R60" s="282"/>
      <c r="S60" s="282"/>
      <c r="T60" s="282"/>
      <c r="U60" s="282"/>
      <c r="V60" s="282"/>
      <c r="AL60" s="284"/>
      <c r="AN60" s="284"/>
      <c r="AO60" s="290" t="s">
        <v>13</v>
      </c>
      <c r="AQ60" s="284"/>
      <c r="AR60" s="284"/>
      <c r="AS60" s="289" t="s">
        <v>12</v>
      </c>
      <c r="AT60" s="285"/>
      <c r="AZ60" s="288" t="s">
        <v>128</v>
      </c>
    </row>
    <row r="61" spans="1:105">
      <c r="M61" s="282"/>
      <c r="O61" s="282"/>
      <c r="Q61" s="282"/>
      <c r="R61" s="282"/>
      <c r="S61" s="282"/>
      <c r="T61" s="282"/>
      <c r="U61" s="282"/>
      <c r="V61" s="282"/>
      <c r="AL61" s="284"/>
      <c r="AN61" s="284"/>
      <c r="AO61" s="284"/>
      <c r="AQ61" s="284"/>
      <c r="AR61" s="284"/>
      <c r="AS61" s="291" t="s">
        <v>13</v>
      </c>
      <c r="AT61" s="285"/>
      <c r="AZ61" s="290" t="s">
        <v>158</v>
      </c>
    </row>
    <row r="62" spans="1:105">
      <c r="M62" s="282"/>
      <c r="O62" s="282"/>
      <c r="Q62" s="282"/>
      <c r="R62" s="282"/>
      <c r="S62" s="282"/>
      <c r="T62" s="282"/>
      <c r="U62" s="282"/>
      <c r="V62" s="282"/>
      <c r="AL62" s="284"/>
      <c r="AN62" s="284"/>
      <c r="AO62" s="284"/>
      <c r="AP62" s="284"/>
      <c r="AQ62" s="284"/>
      <c r="AR62" s="284"/>
      <c r="AS62" s="284"/>
      <c r="AT62" s="285"/>
      <c r="AZ62" s="284"/>
    </row>
    <row r="63" spans="1:105">
      <c r="M63" s="282"/>
      <c r="O63" s="282"/>
      <c r="Q63" s="282"/>
      <c r="R63" s="282"/>
      <c r="S63" s="282"/>
      <c r="T63" s="282"/>
      <c r="U63" s="282"/>
      <c r="V63" s="282"/>
      <c r="AZ63" s="284"/>
    </row>
    <row r="64" spans="1:105">
      <c r="M64" s="282"/>
      <c r="O64" s="282"/>
      <c r="Q64" s="282"/>
      <c r="R64" s="282"/>
      <c r="S64" s="282"/>
      <c r="T64" s="282"/>
      <c r="U64" s="282"/>
      <c r="V64" s="282"/>
    </row>
    <row r="65" spans="13:22">
      <c r="M65" s="282"/>
      <c r="O65" s="282"/>
      <c r="Q65" s="282"/>
      <c r="R65" s="282"/>
      <c r="S65" s="282"/>
      <c r="T65" s="282"/>
      <c r="U65" s="282"/>
      <c r="V65" s="282"/>
    </row>
    <row r="66" spans="13:22">
      <c r="M66" s="282"/>
      <c r="O66" s="282"/>
      <c r="Q66" s="282"/>
      <c r="R66" s="282"/>
      <c r="S66" s="282"/>
      <c r="T66" s="282"/>
      <c r="U66" s="282"/>
      <c r="V66" s="282"/>
    </row>
    <row r="67" spans="13:22">
      <c r="M67" s="282"/>
      <c r="O67" s="282"/>
      <c r="Q67" s="282"/>
      <c r="R67" s="282"/>
      <c r="S67" s="282"/>
      <c r="T67" s="282"/>
      <c r="U67" s="282"/>
      <c r="V67" s="282"/>
    </row>
    <row r="68" spans="13:22">
      <c r="M68" s="282"/>
      <c r="O68" s="282"/>
      <c r="Q68" s="282"/>
      <c r="R68" s="282"/>
      <c r="S68" s="282"/>
      <c r="T68" s="282"/>
      <c r="U68" s="282"/>
      <c r="V68" s="282"/>
    </row>
    <row r="69" spans="13:22">
      <c r="M69" s="282"/>
      <c r="O69" s="282"/>
      <c r="Q69" s="282"/>
      <c r="R69" s="282"/>
      <c r="S69" s="282"/>
      <c r="T69" s="282"/>
      <c r="U69" s="282"/>
      <c r="V69" s="282"/>
    </row>
    <row r="70" spans="13:22">
      <c r="M70" s="282"/>
      <c r="O70" s="282"/>
      <c r="Q70" s="282"/>
      <c r="R70" s="282"/>
      <c r="S70" s="282"/>
      <c r="T70" s="282"/>
      <c r="U70" s="282"/>
      <c r="V70" s="282"/>
    </row>
    <row r="71" spans="13:22">
      <c r="M71" s="282"/>
      <c r="O71" s="282"/>
      <c r="Q71" s="282"/>
      <c r="R71" s="282"/>
      <c r="S71" s="282"/>
      <c r="T71" s="282"/>
      <c r="U71" s="282"/>
      <c r="V71" s="282"/>
    </row>
    <row r="72" spans="13:22">
      <c r="M72" s="282"/>
      <c r="O72" s="282"/>
      <c r="Q72" s="282"/>
      <c r="R72" s="282"/>
      <c r="S72" s="282"/>
      <c r="T72" s="282"/>
      <c r="U72" s="282"/>
      <c r="V72" s="282"/>
    </row>
    <row r="73" spans="13:22">
      <c r="M73" s="282"/>
      <c r="O73" s="282"/>
      <c r="Q73" s="282"/>
      <c r="R73" s="282"/>
      <c r="S73" s="282"/>
      <c r="T73" s="282"/>
      <c r="U73" s="282"/>
      <c r="V73" s="282"/>
    </row>
    <row r="74" spans="13:22">
      <c r="M74" s="282"/>
      <c r="O74" s="282"/>
      <c r="Q74" s="282"/>
      <c r="R74" s="282"/>
      <c r="S74" s="282"/>
      <c r="T74" s="282"/>
      <c r="U74" s="282"/>
      <c r="V74" s="282"/>
    </row>
    <row r="75" spans="13:22">
      <c r="M75" s="282"/>
      <c r="O75" s="282"/>
      <c r="Q75" s="282"/>
      <c r="R75" s="282"/>
      <c r="S75" s="282"/>
      <c r="T75" s="282"/>
      <c r="U75" s="282"/>
      <c r="V75" s="282"/>
    </row>
    <row r="76" spans="13:22">
      <c r="M76" s="282"/>
      <c r="O76" s="282"/>
      <c r="Q76" s="282"/>
      <c r="R76" s="282"/>
      <c r="S76" s="282"/>
      <c r="T76" s="282"/>
      <c r="U76" s="282"/>
      <c r="V76" s="282"/>
    </row>
    <row r="77" spans="13:22">
      <c r="M77" s="282"/>
      <c r="O77" s="282"/>
      <c r="Q77" s="282"/>
      <c r="R77" s="282"/>
      <c r="S77" s="282"/>
      <c r="T77" s="282"/>
      <c r="U77" s="282"/>
      <c r="V77" s="282"/>
    </row>
    <row r="78" spans="13:22">
      <c r="M78" s="282"/>
      <c r="O78" s="282"/>
      <c r="Q78" s="282"/>
      <c r="R78" s="282"/>
      <c r="S78" s="282"/>
      <c r="T78" s="282"/>
      <c r="U78" s="282"/>
      <c r="V78" s="282"/>
    </row>
    <row r="79" spans="13:22">
      <c r="M79" s="282"/>
      <c r="O79" s="282"/>
      <c r="Q79" s="282"/>
      <c r="R79" s="282"/>
      <c r="S79" s="282"/>
      <c r="T79" s="282"/>
      <c r="U79" s="282"/>
      <c r="V79" s="282"/>
    </row>
    <row r="80" spans="13:22">
      <c r="M80" s="282"/>
      <c r="O80" s="282"/>
      <c r="Q80" s="282"/>
      <c r="R80" s="282"/>
      <c r="S80" s="282"/>
      <c r="T80" s="282"/>
      <c r="U80" s="282"/>
      <c r="V80" s="282"/>
    </row>
    <row r="81" spans="13:22">
      <c r="M81" s="282"/>
      <c r="O81" s="282"/>
      <c r="Q81" s="282"/>
      <c r="R81" s="282"/>
      <c r="S81" s="282"/>
      <c r="T81" s="282"/>
      <c r="U81" s="282"/>
      <c r="V81" s="282"/>
    </row>
    <row r="82" spans="13:22">
      <c r="M82" s="282"/>
      <c r="O82" s="282"/>
      <c r="Q82" s="282"/>
      <c r="R82" s="282"/>
      <c r="S82" s="282"/>
      <c r="T82" s="282"/>
      <c r="U82" s="282"/>
      <c r="V82" s="282"/>
    </row>
    <row r="83" spans="13:22">
      <c r="M83" s="282"/>
      <c r="O83" s="282"/>
      <c r="Q83" s="282"/>
      <c r="R83" s="282"/>
      <c r="S83" s="282"/>
      <c r="T83" s="282"/>
      <c r="U83" s="282"/>
      <c r="V83" s="282"/>
    </row>
    <row r="84" spans="13:22">
      <c r="M84" s="282"/>
      <c r="O84" s="282"/>
      <c r="Q84" s="282"/>
      <c r="R84" s="282"/>
      <c r="S84" s="282"/>
      <c r="T84" s="282"/>
      <c r="U84" s="282"/>
      <c r="V84" s="282"/>
    </row>
    <row r="85" spans="13:22">
      <c r="M85" s="282"/>
      <c r="O85" s="282"/>
      <c r="Q85" s="282"/>
      <c r="R85" s="282"/>
      <c r="S85" s="282"/>
      <c r="T85" s="282"/>
      <c r="U85" s="282"/>
      <c r="V85" s="282"/>
    </row>
    <row r="86" spans="13:22">
      <c r="M86" s="282"/>
      <c r="O86" s="282"/>
      <c r="Q86" s="282"/>
      <c r="R86" s="282"/>
      <c r="S86" s="282"/>
      <c r="T86" s="282"/>
      <c r="U86" s="282"/>
      <c r="V86" s="282"/>
    </row>
    <row r="87" spans="13:22">
      <c r="M87" s="282"/>
      <c r="O87" s="282"/>
      <c r="Q87" s="282"/>
      <c r="R87" s="282"/>
      <c r="S87" s="282"/>
      <c r="T87" s="282"/>
      <c r="U87" s="282"/>
      <c r="V87" s="282"/>
    </row>
    <row r="88" spans="13:22">
      <c r="M88" s="282"/>
      <c r="O88" s="282"/>
      <c r="Q88" s="282"/>
      <c r="R88" s="282"/>
      <c r="S88" s="282"/>
      <c r="T88" s="282"/>
      <c r="U88" s="282"/>
      <c r="V88" s="282"/>
    </row>
    <row r="89" spans="13:22">
      <c r="M89" s="282"/>
      <c r="O89" s="282"/>
      <c r="Q89" s="282"/>
      <c r="R89" s="282"/>
      <c r="S89" s="282"/>
      <c r="T89" s="282"/>
      <c r="U89" s="282"/>
      <c r="V89" s="282"/>
    </row>
    <row r="90" spans="13:22">
      <c r="M90" s="282"/>
      <c r="O90" s="282"/>
      <c r="Q90" s="282"/>
      <c r="R90" s="282"/>
      <c r="S90" s="282"/>
      <c r="T90" s="282"/>
      <c r="U90" s="282"/>
      <c r="V90" s="282"/>
    </row>
    <row r="91" spans="13:22">
      <c r="M91" s="282"/>
      <c r="O91" s="282"/>
      <c r="Q91" s="282"/>
      <c r="R91" s="282"/>
      <c r="S91" s="282"/>
      <c r="T91" s="282"/>
      <c r="U91" s="282"/>
      <c r="V91" s="282"/>
    </row>
    <row r="92" spans="13:22">
      <c r="M92" s="282"/>
      <c r="O92" s="282"/>
      <c r="Q92" s="282"/>
      <c r="R92" s="282"/>
      <c r="S92" s="282"/>
      <c r="T92" s="282"/>
      <c r="U92" s="282"/>
      <c r="V92" s="282"/>
    </row>
    <row r="93" spans="13:22">
      <c r="M93" s="282"/>
      <c r="O93" s="282"/>
      <c r="Q93" s="282"/>
      <c r="R93" s="282"/>
      <c r="S93" s="282"/>
      <c r="T93" s="282"/>
      <c r="U93" s="282"/>
      <c r="V93" s="282"/>
    </row>
    <row r="94" spans="13:22">
      <c r="M94" s="282"/>
      <c r="O94" s="282"/>
      <c r="Q94" s="282"/>
      <c r="R94" s="282"/>
      <c r="S94" s="282"/>
      <c r="T94" s="282"/>
      <c r="U94" s="282"/>
      <c r="V94" s="282"/>
    </row>
    <row r="95" spans="13:22">
      <c r="M95" s="282"/>
      <c r="O95" s="282"/>
      <c r="Q95" s="282"/>
      <c r="R95" s="282"/>
      <c r="S95" s="282"/>
      <c r="T95" s="282"/>
      <c r="U95" s="282"/>
      <c r="V95" s="282"/>
    </row>
    <row r="96" spans="13:22">
      <c r="M96" s="282"/>
      <c r="O96" s="282"/>
      <c r="Q96" s="282"/>
      <c r="R96" s="282"/>
      <c r="S96" s="282"/>
      <c r="T96" s="282"/>
      <c r="U96" s="282"/>
      <c r="V96" s="282"/>
    </row>
    <row r="97" spans="13:22">
      <c r="M97" s="282"/>
      <c r="O97" s="282"/>
      <c r="Q97" s="282"/>
      <c r="R97" s="282"/>
      <c r="S97" s="282"/>
      <c r="T97" s="282"/>
      <c r="U97" s="282"/>
      <c r="V97" s="282"/>
    </row>
    <row r="98" spans="13:22">
      <c r="M98" s="282"/>
      <c r="O98" s="282"/>
      <c r="Q98" s="282"/>
      <c r="R98" s="282"/>
      <c r="S98" s="282"/>
      <c r="T98" s="282"/>
      <c r="U98" s="282"/>
      <c r="V98" s="282"/>
    </row>
    <row r="99" spans="13:22">
      <c r="M99" s="282"/>
      <c r="O99" s="282"/>
      <c r="Q99" s="282"/>
      <c r="R99" s="282"/>
      <c r="S99" s="282"/>
      <c r="T99" s="282"/>
      <c r="U99" s="282"/>
      <c r="V99" s="282"/>
    </row>
    <row r="100" spans="13:22">
      <c r="M100" s="282"/>
      <c r="O100" s="282"/>
      <c r="Q100" s="282"/>
      <c r="R100" s="282"/>
      <c r="S100" s="282"/>
      <c r="T100" s="282"/>
      <c r="U100" s="282"/>
      <c r="V100" s="282"/>
    </row>
    <row r="101" spans="13:22">
      <c r="M101" s="282"/>
      <c r="O101" s="282"/>
      <c r="Q101" s="282"/>
      <c r="R101" s="282"/>
      <c r="S101" s="282"/>
      <c r="T101" s="282"/>
      <c r="U101" s="282"/>
      <c r="V101" s="282"/>
    </row>
    <row r="102" spans="13:22">
      <c r="M102" s="282"/>
      <c r="O102" s="282"/>
      <c r="Q102" s="282"/>
      <c r="R102" s="282"/>
      <c r="S102" s="282"/>
      <c r="T102" s="282"/>
      <c r="U102" s="282"/>
      <c r="V102" s="282"/>
    </row>
    <row r="103" spans="13:22">
      <c r="M103" s="282"/>
      <c r="O103" s="282"/>
      <c r="Q103" s="282"/>
      <c r="R103" s="282"/>
      <c r="S103" s="282"/>
      <c r="T103" s="282"/>
      <c r="U103" s="282"/>
      <c r="V103" s="282"/>
    </row>
    <row r="104" spans="13:22">
      <c r="M104" s="282"/>
      <c r="O104" s="282"/>
      <c r="Q104" s="282"/>
      <c r="R104" s="282"/>
      <c r="S104" s="282"/>
      <c r="T104" s="282"/>
      <c r="U104" s="282"/>
      <c r="V104" s="282"/>
    </row>
    <row r="105" spans="13:22">
      <c r="M105" s="282"/>
      <c r="O105" s="282"/>
      <c r="Q105" s="282"/>
      <c r="R105" s="282"/>
      <c r="S105" s="282"/>
      <c r="T105" s="282"/>
      <c r="U105" s="282"/>
      <c r="V105" s="282"/>
    </row>
    <row r="106" spans="13:22">
      <c r="M106" s="282"/>
      <c r="O106" s="282"/>
      <c r="Q106" s="282"/>
      <c r="R106" s="282"/>
      <c r="S106" s="282"/>
      <c r="T106" s="282"/>
      <c r="U106" s="282"/>
      <c r="V106" s="282"/>
    </row>
    <row r="107" spans="13:22">
      <c r="M107" s="282"/>
      <c r="O107" s="282"/>
      <c r="Q107" s="282"/>
      <c r="R107" s="282"/>
      <c r="S107" s="282"/>
      <c r="T107" s="282"/>
      <c r="U107" s="282"/>
      <c r="V107" s="282"/>
    </row>
    <row r="108" spans="13:22">
      <c r="M108" s="282"/>
      <c r="O108" s="282"/>
      <c r="Q108" s="282"/>
      <c r="R108" s="282"/>
      <c r="S108" s="282"/>
      <c r="T108" s="282"/>
      <c r="U108" s="282"/>
      <c r="V108" s="282"/>
    </row>
    <row r="109" spans="13:22">
      <c r="M109" s="282"/>
      <c r="O109" s="282"/>
      <c r="Q109" s="282"/>
      <c r="R109" s="282"/>
      <c r="S109" s="282"/>
      <c r="T109" s="282"/>
      <c r="U109" s="282"/>
      <c r="V109" s="282"/>
    </row>
    <row r="110" spans="13:22">
      <c r="M110" s="282"/>
      <c r="O110" s="282"/>
      <c r="Q110" s="282"/>
      <c r="R110" s="282"/>
      <c r="S110" s="282"/>
      <c r="T110" s="282"/>
      <c r="U110" s="282"/>
      <c r="V110" s="282"/>
    </row>
    <row r="111" spans="13:22">
      <c r="M111" s="282"/>
      <c r="O111" s="282"/>
      <c r="Q111" s="282"/>
      <c r="R111" s="282"/>
      <c r="S111" s="282"/>
      <c r="T111" s="282"/>
      <c r="U111" s="282"/>
      <c r="V111" s="282"/>
    </row>
    <row r="112" spans="13:22">
      <c r="M112" s="282"/>
      <c r="O112" s="282"/>
      <c r="Q112" s="282"/>
      <c r="R112" s="282"/>
      <c r="S112" s="282"/>
      <c r="T112" s="282"/>
      <c r="U112" s="282"/>
      <c r="V112" s="282"/>
    </row>
    <row r="113" spans="13:22">
      <c r="M113" s="282"/>
      <c r="O113" s="282"/>
      <c r="Q113" s="282"/>
      <c r="R113" s="282"/>
      <c r="S113" s="282"/>
      <c r="T113" s="282"/>
      <c r="U113" s="282"/>
      <c r="V113" s="282"/>
    </row>
    <row r="114" spans="13:22">
      <c r="M114" s="282"/>
      <c r="O114" s="282"/>
      <c r="Q114" s="282"/>
      <c r="R114" s="282"/>
      <c r="S114" s="282"/>
      <c r="T114" s="282"/>
      <c r="U114" s="282"/>
      <c r="V114" s="28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3" customWidth="1"/>
    <col min="2" max="2" width="8.28515625" style="243" customWidth="1"/>
    <col min="3" max="3" width="7.85546875" style="243" customWidth="1"/>
    <col min="4" max="4" width="8.28515625" style="243" customWidth="1"/>
    <col min="5" max="5" width="44.7109375" style="243" customWidth="1"/>
    <col min="6" max="6" width="15.140625" style="293" customWidth="1"/>
    <col min="7" max="8" width="5.85546875" style="244" customWidth="1"/>
    <col min="9" max="9" width="4.85546875" style="243" customWidth="1"/>
    <col min="10" max="10" width="13.28515625" style="243" customWidth="1"/>
    <col min="11" max="11" width="12.85546875" style="243" customWidth="1"/>
    <col min="12" max="15" width="13.42578125" style="243" customWidth="1"/>
    <col min="16" max="16" width="13.5703125" style="243" customWidth="1"/>
    <col min="17" max="17" width="13.28515625" style="243" customWidth="1"/>
    <col min="18" max="18" width="13.5703125" style="243" customWidth="1"/>
    <col min="19" max="19" width="11.42578125" style="243" customWidth="1"/>
    <col min="20" max="20" width="13.7109375" style="243" customWidth="1"/>
    <col min="21" max="21" width="4.42578125" style="243" customWidth="1"/>
    <col min="22" max="22" width="14.140625" style="243" customWidth="1"/>
    <col min="23" max="23" width="13.85546875" style="243" customWidth="1"/>
    <col min="24" max="24" width="5.42578125" style="243" customWidth="1"/>
    <col min="25" max="25" width="6.140625" style="243" customWidth="1"/>
    <col min="26" max="26" width="9.5703125" style="243" customWidth="1"/>
    <col min="27" max="27" width="9.7109375" style="243" customWidth="1"/>
    <col min="28" max="28" width="13" style="243" customWidth="1"/>
    <col min="29" max="29" width="12.85546875" style="243" customWidth="1"/>
    <col min="30" max="30" width="4.5703125" style="243" customWidth="1"/>
    <col min="31" max="31" width="13.85546875" style="243" customWidth="1"/>
    <col min="32" max="32" width="4.5703125" style="243" customWidth="1"/>
    <col min="33" max="33" width="13.85546875" style="243" customWidth="1"/>
    <col min="34" max="34" width="4.7109375" style="243" customWidth="1"/>
    <col min="35" max="35" width="12.5703125" style="243" customWidth="1"/>
    <col min="36" max="36" width="11.7109375" style="243" customWidth="1"/>
    <col min="37" max="37" width="5.28515625" style="243" customWidth="1"/>
    <col min="38" max="38" width="11.140625" style="243" customWidth="1"/>
    <col min="39" max="39" width="10.28515625" style="243" customWidth="1"/>
    <col min="40" max="40" width="9.5703125" style="243" customWidth="1"/>
    <col min="41" max="41" width="9.140625" style="243" customWidth="1"/>
    <col min="42" max="42" width="12.7109375" style="243" customWidth="1"/>
    <col min="43" max="43" width="12.5703125" style="243" customWidth="1"/>
    <col min="44" max="44" width="15.140625" style="243" customWidth="1"/>
    <col min="45" max="45" width="15.5703125" style="243" customWidth="1"/>
    <col min="46" max="47" width="10.85546875" style="243" customWidth="1"/>
    <col min="48" max="48" width="7" style="243" customWidth="1"/>
    <col min="49" max="49" width="7.7109375" style="243" customWidth="1"/>
    <col min="50" max="50" width="7.140625" style="243" customWidth="1"/>
    <col min="51" max="51" width="6.7109375" style="243" customWidth="1"/>
    <col min="52" max="52" width="14.7109375" style="243" customWidth="1"/>
    <col min="53" max="53" width="15.140625" style="243" customWidth="1"/>
    <col min="54" max="16384" width="9.140625" style="243"/>
  </cols>
  <sheetData>
    <row r="1" spans="1:105" ht="12.75" customHeight="1">
      <c r="A1" s="239"/>
      <c r="B1" s="240" t="s">
        <v>119</v>
      </c>
      <c r="C1" s="241"/>
      <c r="D1" s="241"/>
      <c r="E1" s="242"/>
      <c r="I1" s="241"/>
      <c r="K1" s="1374" t="s">
        <v>184</v>
      </c>
      <c r="L1" s="1374"/>
      <c r="M1" s="1374"/>
      <c r="N1" s="1374"/>
      <c r="O1" s="1374"/>
      <c r="P1" s="1374"/>
      <c r="Q1" s="1374"/>
      <c r="R1" s="242"/>
      <c r="T1" s="241"/>
      <c r="U1" s="241"/>
      <c r="V1" s="241"/>
      <c r="W1" s="241"/>
      <c r="X1" s="241"/>
      <c r="Y1" s="241"/>
      <c r="Z1" s="241"/>
      <c r="AA1" s="241"/>
      <c r="AB1" s="241"/>
      <c r="AC1" s="241"/>
      <c r="AD1" s="241"/>
      <c r="AE1" s="241"/>
      <c r="AF1" s="395"/>
      <c r="AG1" s="395"/>
      <c r="AH1" s="241"/>
      <c r="AI1" s="241"/>
      <c r="AJ1" s="241"/>
      <c r="AK1" s="241"/>
      <c r="AL1" s="241"/>
      <c r="AM1" s="241"/>
      <c r="AN1" s="241"/>
      <c r="AO1" s="241"/>
      <c r="AP1" s="242"/>
      <c r="AQ1" s="242"/>
      <c r="AR1" s="241"/>
      <c r="AS1" s="241"/>
      <c r="AT1" s="241"/>
      <c r="AU1" s="241"/>
      <c r="AV1" s="241"/>
      <c r="AW1" s="241"/>
      <c r="AX1" s="241"/>
      <c r="AY1" s="241"/>
      <c r="AZ1" s="241"/>
      <c r="BA1" s="241"/>
    </row>
    <row r="2" spans="1:105" ht="12.75" customHeight="1">
      <c r="A2" s="239"/>
      <c r="B2" s="240" t="s">
        <v>175</v>
      </c>
      <c r="C2" s="241"/>
      <c r="D2" s="241"/>
      <c r="E2" s="241"/>
      <c r="I2" s="245"/>
      <c r="K2" s="1375" t="s">
        <v>141</v>
      </c>
      <c r="L2" s="1375"/>
      <c r="M2" s="1375"/>
      <c r="N2" s="1375"/>
      <c r="O2" s="1375"/>
      <c r="P2" s="1375"/>
      <c r="Q2" s="1375"/>
      <c r="R2" s="246"/>
      <c r="T2" s="245"/>
      <c r="U2" s="245"/>
      <c r="V2" s="245"/>
      <c r="W2" s="245"/>
      <c r="X2" s="245"/>
      <c r="Y2" s="245"/>
      <c r="Z2" s="245"/>
      <c r="AA2" s="245"/>
      <c r="AB2" s="245"/>
      <c r="AC2" s="245"/>
      <c r="AD2" s="245"/>
      <c r="AE2" s="245"/>
      <c r="AF2" s="396"/>
      <c r="AG2" s="396"/>
      <c r="AH2" s="245"/>
      <c r="AI2" s="245"/>
      <c r="AJ2" s="245"/>
      <c r="AK2" s="245"/>
      <c r="AL2" s="245"/>
      <c r="AM2" s="245"/>
      <c r="AN2" s="245"/>
      <c r="AO2" s="245"/>
      <c r="AP2" s="246"/>
      <c r="AQ2" s="246"/>
      <c r="AR2" s="245"/>
      <c r="AS2" s="245"/>
      <c r="AT2" s="245"/>
      <c r="AU2" s="245"/>
      <c r="AV2" s="245"/>
      <c r="AW2" s="245"/>
      <c r="AX2" s="245"/>
      <c r="AY2" s="245"/>
      <c r="AZ2" s="245"/>
      <c r="BA2" s="245"/>
    </row>
    <row r="3" spans="1:105" ht="10.5" customHeight="1">
      <c r="A3" s="241"/>
      <c r="B3" s="241"/>
      <c r="C3" s="241"/>
      <c r="D3" s="241"/>
      <c r="E3" s="241"/>
      <c r="F3" s="294"/>
      <c r="G3" s="247"/>
      <c r="H3" s="247"/>
      <c r="I3" s="245"/>
      <c r="K3" s="1375"/>
      <c r="L3" s="1375"/>
      <c r="M3" s="1375"/>
      <c r="N3" s="1375"/>
      <c r="O3" s="1375"/>
      <c r="P3" s="1375"/>
      <c r="Q3" s="1375"/>
      <c r="R3" s="246"/>
      <c r="T3" s="245"/>
      <c r="U3" s="245"/>
      <c r="V3" s="245"/>
      <c r="W3" s="245"/>
      <c r="X3" s="245"/>
      <c r="Y3" s="245"/>
      <c r="Z3" s="245"/>
      <c r="AA3" s="245"/>
      <c r="AB3" s="245"/>
      <c r="AC3" s="245"/>
      <c r="AD3" s="245"/>
      <c r="AE3" s="245"/>
      <c r="AF3" s="396"/>
      <c r="AG3" s="396"/>
      <c r="AH3" s="245"/>
      <c r="AI3" s="245"/>
      <c r="AJ3" s="245"/>
      <c r="AK3" s="245"/>
      <c r="AL3" s="245"/>
      <c r="AM3" s="245"/>
      <c r="AN3" s="245"/>
      <c r="AO3" s="245"/>
      <c r="AP3" s="246"/>
      <c r="AQ3" s="246"/>
      <c r="AR3" s="245"/>
      <c r="AS3" s="245"/>
      <c r="AT3" s="245"/>
      <c r="AU3" s="245"/>
      <c r="AV3" s="245"/>
      <c r="AW3" s="245"/>
      <c r="AX3" s="245"/>
      <c r="AY3" s="245"/>
      <c r="AZ3" s="245"/>
      <c r="BA3" s="245"/>
    </row>
    <row r="4" spans="1:105" ht="19.5" customHeight="1">
      <c r="B4" s="1376" t="s">
        <v>110</v>
      </c>
      <c r="C4" s="1376"/>
      <c r="D4" s="1376"/>
      <c r="E4" s="1376"/>
      <c r="F4" s="1376"/>
      <c r="G4" s="1376"/>
      <c r="H4" s="1376"/>
      <c r="I4" s="1376"/>
      <c r="J4" s="1376"/>
      <c r="K4" s="1376"/>
      <c r="L4" s="1376"/>
      <c r="M4" s="1376"/>
      <c r="N4" s="1376"/>
      <c r="O4" s="1376"/>
      <c r="P4" s="1376"/>
      <c r="Q4" s="1376"/>
      <c r="R4" s="1376"/>
      <c r="S4" s="248"/>
      <c r="T4" s="250"/>
      <c r="U4" s="250"/>
      <c r="V4" s="250"/>
      <c r="W4" s="250"/>
      <c r="X4" s="250"/>
      <c r="Y4" s="250"/>
      <c r="Z4" s="250"/>
      <c r="AA4" s="250"/>
      <c r="AB4" s="250"/>
      <c r="AC4" s="250"/>
      <c r="AD4" s="250"/>
      <c r="AE4" s="250"/>
      <c r="AF4" s="250"/>
      <c r="AG4" s="250"/>
      <c r="AH4" s="250"/>
      <c r="AI4" s="250"/>
      <c r="AJ4" s="250"/>
      <c r="AK4" s="250"/>
      <c r="AL4" s="250"/>
      <c r="AM4" s="250"/>
      <c r="AN4" s="250"/>
      <c r="AO4" s="250"/>
      <c r="AP4" s="295"/>
      <c r="AQ4" s="295"/>
      <c r="AR4" s="250"/>
      <c r="AS4" s="250"/>
      <c r="AT4" s="250"/>
      <c r="AU4" s="250"/>
      <c r="AV4" s="250"/>
      <c r="AW4" s="250"/>
      <c r="AX4" s="250"/>
      <c r="AY4" s="250"/>
      <c r="AZ4" s="250"/>
      <c r="BA4" s="250"/>
    </row>
    <row r="5" spans="1:105" ht="15">
      <c r="B5" s="1377" t="s">
        <v>215</v>
      </c>
      <c r="C5" s="1377"/>
      <c r="D5" s="1377"/>
      <c r="E5" s="1377"/>
      <c r="F5" s="1377"/>
      <c r="G5" s="1377"/>
      <c r="H5" s="1377"/>
      <c r="I5" s="1377"/>
      <c r="J5" s="1377"/>
      <c r="K5" s="1377"/>
      <c r="L5" s="1377"/>
      <c r="M5" s="1377"/>
      <c r="N5" s="1377"/>
      <c r="O5" s="1377"/>
      <c r="P5" s="1377"/>
      <c r="Q5" s="1377"/>
      <c r="R5" s="1377"/>
      <c r="S5" s="251"/>
      <c r="AP5" s="251"/>
      <c r="AQ5" s="251"/>
    </row>
    <row r="7" spans="1:105" ht="13.5" customHeight="1">
      <c r="A7" s="1378" t="s">
        <v>35</v>
      </c>
      <c r="B7" s="1373" t="s">
        <v>21</v>
      </c>
      <c r="C7" s="1380" t="s">
        <v>1</v>
      </c>
      <c r="D7" s="1381"/>
      <c r="E7" s="1373" t="s">
        <v>0</v>
      </c>
      <c r="F7" s="1373" t="s">
        <v>111</v>
      </c>
      <c r="G7" s="1382" t="s">
        <v>112</v>
      </c>
      <c r="H7" s="1382"/>
      <c r="I7" s="1383" t="s">
        <v>35</v>
      </c>
      <c r="J7" s="1373" t="s">
        <v>186</v>
      </c>
      <c r="K7" s="1373"/>
      <c r="L7" s="1373" t="s">
        <v>187</v>
      </c>
      <c r="M7" s="1373"/>
      <c r="N7" s="1373" t="s">
        <v>262</v>
      </c>
      <c r="O7" s="1373"/>
      <c r="P7" s="1373" t="s">
        <v>953</v>
      </c>
      <c r="Q7" s="1373"/>
      <c r="R7" s="1373" t="s">
        <v>188</v>
      </c>
      <c r="S7" s="1373"/>
      <c r="T7" s="1373" t="s">
        <v>189</v>
      </c>
      <c r="U7" s="1373"/>
      <c r="V7" s="1373" t="s">
        <v>954</v>
      </c>
      <c r="W7" s="1373"/>
      <c r="X7" s="1373" t="s">
        <v>955</v>
      </c>
      <c r="Y7" s="1373"/>
      <c r="Z7" s="1373" t="s">
        <v>956</v>
      </c>
      <c r="AA7" s="1373"/>
      <c r="AB7" s="1373" t="s">
        <v>957</v>
      </c>
      <c r="AC7" s="1373"/>
      <c r="AD7" s="1373" t="s">
        <v>958</v>
      </c>
      <c r="AE7" s="1373"/>
      <c r="AF7" s="1373" t="s">
        <v>959</v>
      </c>
      <c r="AG7" s="1373"/>
      <c r="AH7" s="1373" t="s">
        <v>960</v>
      </c>
      <c r="AI7" s="1373"/>
      <c r="AJ7" s="1373" t="s">
        <v>961</v>
      </c>
      <c r="AK7" s="1373"/>
      <c r="AL7" s="1373" t="s">
        <v>962</v>
      </c>
      <c r="AM7" s="1373"/>
      <c r="AN7" s="1373" t="s">
        <v>963</v>
      </c>
      <c r="AO7" s="1373"/>
      <c r="AP7" s="1373" t="s">
        <v>964</v>
      </c>
      <c r="AQ7" s="1373"/>
      <c r="AR7" s="1373" t="s">
        <v>965</v>
      </c>
      <c r="AS7" s="1373"/>
      <c r="AT7" s="1373" t="s">
        <v>190</v>
      </c>
      <c r="AU7" s="1373"/>
      <c r="AV7" s="1373" t="s">
        <v>191</v>
      </c>
      <c r="AW7" s="1373"/>
      <c r="AX7" s="1373" t="s">
        <v>966</v>
      </c>
      <c r="AY7" s="1373"/>
      <c r="AZ7" s="1373" t="s">
        <v>967</v>
      </c>
      <c r="BA7" s="1373"/>
      <c r="BB7" s="1373" t="s">
        <v>968</v>
      </c>
      <c r="BC7" s="1373"/>
      <c r="BD7" s="1373" t="s">
        <v>192</v>
      </c>
      <c r="BE7" s="1373"/>
      <c r="BF7" s="1373" t="s">
        <v>969</v>
      </c>
      <c r="BG7" s="1373"/>
      <c r="BH7" s="1373" t="s">
        <v>193</v>
      </c>
      <c r="BI7" s="1373"/>
      <c r="BJ7" s="1373" t="s">
        <v>970</v>
      </c>
      <c r="BK7" s="1373"/>
      <c r="BL7" s="1373" t="s">
        <v>971</v>
      </c>
      <c r="BM7" s="1373"/>
      <c r="BN7" s="1373" t="s">
        <v>972</v>
      </c>
      <c r="BO7" s="1373"/>
      <c r="BP7" s="1373" t="s">
        <v>973</v>
      </c>
      <c r="BQ7" s="1373"/>
      <c r="BR7" s="1373" t="s">
        <v>194</v>
      </c>
      <c r="BS7" s="1373"/>
      <c r="BT7" s="1373" t="s">
        <v>195</v>
      </c>
      <c r="BU7" s="1373"/>
      <c r="BV7" s="1373" t="s">
        <v>257</v>
      </c>
      <c r="BW7" s="1373"/>
      <c r="BX7" s="1373" t="s">
        <v>196</v>
      </c>
      <c r="BY7" s="1373"/>
      <c r="BZ7" s="1373" t="s">
        <v>197</v>
      </c>
      <c r="CA7" s="1373"/>
      <c r="CB7" s="1373" t="s">
        <v>198</v>
      </c>
      <c r="CC7" s="1373"/>
      <c r="CD7" s="1373" t="s">
        <v>974</v>
      </c>
      <c r="CE7" s="1373"/>
      <c r="CF7" s="1373" t="s">
        <v>975</v>
      </c>
      <c r="CG7" s="1373"/>
      <c r="CH7" s="1373" t="s">
        <v>199</v>
      </c>
      <c r="CI7" s="1373"/>
      <c r="CJ7" s="1373" t="s">
        <v>976</v>
      </c>
      <c r="CK7" s="1373"/>
      <c r="CL7" s="1373" t="s">
        <v>977</v>
      </c>
      <c r="CM7" s="1373"/>
      <c r="CN7" s="1373" t="s">
        <v>200</v>
      </c>
      <c r="CO7" s="1373"/>
      <c r="CP7" s="1373" t="s">
        <v>978</v>
      </c>
      <c r="CQ7" s="1373"/>
      <c r="CR7" s="1373" t="s">
        <v>201</v>
      </c>
      <c r="CS7" s="1373"/>
      <c r="CT7" s="1373" t="s">
        <v>202</v>
      </c>
      <c r="CU7" s="1373"/>
      <c r="CV7" s="1373" t="s">
        <v>203</v>
      </c>
      <c r="CW7" s="1373"/>
      <c r="CX7" s="1373" t="s">
        <v>204</v>
      </c>
      <c r="CY7" s="1373"/>
      <c r="CZ7" s="1373" t="s">
        <v>205</v>
      </c>
      <c r="DA7" s="1373"/>
    </row>
    <row r="8" spans="1:105" ht="22.5" customHeight="1">
      <c r="A8" s="1379"/>
      <c r="B8" s="1373"/>
      <c r="C8" s="939" t="s">
        <v>16</v>
      </c>
      <c r="D8" s="938" t="s">
        <v>32</v>
      </c>
      <c r="E8" s="1373"/>
      <c r="F8" s="1373"/>
      <c r="G8" s="940" t="s">
        <v>23</v>
      </c>
      <c r="H8" s="940" t="s">
        <v>24</v>
      </c>
      <c r="I8" s="1383"/>
      <c r="J8" s="938" t="s">
        <v>23</v>
      </c>
      <c r="K8" s="938" t="s">
        <v>24</v>
      </c>
      <c r="L8" s="938" t="s">
        <v>23</v>
      </c>
      <c r="M8" s="938" t="s">
        <v>24</v>
      </c>
      <c r="N8" s="938" t="s">
        <v>23</v>
      </c>
      <c r="O8" s="938" t="s">
        <v>24</v>
      </c>
      <c r="P8" s="938" t="s">
        <v>23</v>
      </c>
      <c r="Q8" s="938" t="s">
        <v>24</v>
      </c>
      <c r="R8" s="938" t="s">
        <v>23</v>
      </c>
      <c r="S8" s="938" t="s">
        <v>24</v>
      </c>
      <c r="T8" s="938" t="s">
        <v>23</v>
      </c>
      <c r="U8" s="938" t="s">
        <v>24</v>
      </c>
      <c r="V8" s="938" t="s">
        <v>23</v>
      </c>
      <c r="W8" s="938" t="s">
        <v>24</v>
      </c>
      <c r="X8" s="938" t="s">
        <v>23</v>
      </c>
      <c r="Y8" s="938" t="s">
        <v>24</v>
      </c>
      <c r="Z8" s="938" t="s">
        <v>23</v>
      </c>
      <c r="AA8" s="938" t="s">
        <v>24</v>
      </c>
      <c r="AB8" s="938" t="s">
        <v>23</v>
      </c>
      <c r="AC8" s="938" t="s">
        <v>24</v>
      </c>
      <c r="AD8" s="938" t="s">
        <v>23</v>
      </c>
      <c r="AE8" s="938" t="s">
        <v>24</v>
      </c>
      <c r="AF8" s="938" t="s">
        <v>23</v>
      </c>
      <c r="AG8" s="938" t="s">
        <v>24</v>
      </c>
      <c r="AH8" s="938" t="s">
        <v>23</v>
      </c>
      <c r="AI8" s="938" t="s">
        <v>24</v>
      </c>
      <c r="AJ8" s="938" t="s">
        <v>23</v>
      </c>
      <c r="AK8" s="938" t="s">
        <v>24</v>
      </c>
      <c r="AL8" s="938" t="s">
        <v>23</v>
      </c>
      <c r="AM8" s="938" t="s">
        <v>24</v>
      </c>
      <c r="AN8" s="938" t="s">
        <v>23</v>
      </c>
      <c r="AO8" s="938" t="s">
        <v>24</v>
      </c>
      <c r="AP8" s="938" t="s">
        <v>23</v>
      </c>
      <c r="AQ8" s="938" t="s">
        <v>24</v>
      </c>
      <c r="AR8" s="938" t="s">
        <v>23</v>
      </c>
      <c r="AS8" s="938" t="s">
        <v>24</v>
      </c>
      <c r="AT8" s="938" t="s">
        <v>23</v>
      </c>
      <c r="AU8" s="938" t="s">
        <v>24</v>
      </c>
      <c r="AV8" s="938" t="s">
        <v>23</v>
      </c>
      <c r="AW8" s="938" t="s">
        <v>24</v>
      </c>
      <c r="AX8" s="938" t="s">
        <v>23</v>
      </c>
      <c r="AY8" s="938" t="s">
        <v>24</v>
      </c>
      <c r="AZ8" s="938" t="s">
        <v>23</v>
      </c>
      <c r="BA8" s="938" t="s">
        <v>24</v>
      </c>
      <c r="BB8" s="938" t="s">
        <v>23</v>
      </c>
      <c r="BC8" s="938" t="s">
        <v>24</v>
      </c>
      <c r="BD8" s="938" t="s">
        <v>23</v>
      </c>
      <c r="BE8" s="938" t="s">
        <v>24</v>
      </c>
      <c r="BF8" s="938" t="s">
        <v>23</v>
      </c>
      <c r="BG8" s="938" t="s">
        <v>24</v>
      </c>
      <c r="BH8" s="938" t="s">
        <v>23</v>
      </c>
      <c r="BI8" s="938" t="s">
        <v>24</v>
      </c>
      <c r="BJ8" s="938" t="s">
        <v>23</v>
      </c>
      <c r="BK8" s="938" t="s">
        <v>24</v>
      </c>
      <c r="BL8" s="938" t="s">
        <v>23</v>
      </c>
      <c r="BM8" s="938" t="s">
        <v>24</v>
      </c>
      <c r="BN8" s="938" t="s">
        <v>23</v>
      </c>
      <c r="BO8" s="938" t="s">
        <v>24</v>
      </c>
      <c r="BP8" s="938" t="s">
        <v>23</v>
      </c>
      <c r="BQ8" s="938" t="s">
        <v>24</v>
      </c>
      <c r="BR8" s="938" t="s">
        <v>23</v>
      </c>
      <c r="BS8" s="938" t="s">
        <v>24</v>
      </c>
      <c r="BT8" s="938" t="s">
        <v>23</v>
      </c>
      <c r="BU8" s="938" t="s">
        <v>24</v>
      </c>
      <c r="BV8" s="938" t="s">
        <v>23</v>
      </c>
      <c r="BW8" s="938" t="s">
        <v>24</v>
      </c>
      <c r="BX8" s="938" t="s">
        <v>23</v>
      </c>
      <c r="BY8" s="938" t="s">
        <v>24</v>
      </c>
      <c r="BZ8" s="938" t="s">
        <v>23</v>
      </c>
      <c r="CA8" s="938" t="s">
        <v>24</v>
      </c>
      <c r="CB8" s="938" t="s">
        <v>23</v>
      </c>
      <c r="CC8" s="938" t="s">
        <v>24</v>
      </c>
      <c r="CD8" s="938" t="s">
        <v>23</v>
      </c>
      <c r="CE8" s="938" t="s">
        <v>24</v>
      </c>
      <c r="CF8" s="938" t="s">
        <v>23</v>
      </c>
      <c r="CG8" s="938" t="s">
        <v>24</v>
      </c>
      <c r="CH8" s="938" t="s">
        <v>23</v>
      </c>
      <c r="CI8" s="938" t="s">
        <v>24</v>
      </c>
      <c r="CJ8" s="938" t="s">
        <v>23</v>
      </c>
      <c r="CK8" s="938" t="s">
        <v>24</v>
      </c>
      <c r="CL8" s="938" t="s">
        <v>23</v>
      </c>
      <c r="CM8" s="938" t="s">
        <v>24</v>
      </c>
      <c r="CN8" s="938" t="s">
        <v>23</v>
      </c>
      <c r="CO8" s="938" t="s">
        <v>24</v>
      </c>
      <c r="CP8" s="938" t="s">
        <v>23</v>
      </c>
      <c r="CQ8" s="938" t="s">
        <v>24</v>
      </c>
      <c r="CR8" s="938" t="s">
        <v>23</v>
      </c>
      <c r="CS8" s="938" t="s">
        <v>24</v>
      </c>
      <c r="CT8" s="938" t="s">
        <v>23</v>
      </c>
      <c r="CU8" s="938" t="s">
        <v>24</v>
      </c>
      <c r="CV8" s="938" t="s">
        <v>23</v>
      </c>
      <c r="CW8" s="938" t="s">
        <v>24</v>
      </c>
      <c r="CX8" s="938" t="s">
        <v>23</v>
      </c>
      <c r="CY8" s="938" t="s">
        <v>24</v>
      </c>
      <c r="CZ8" s="938" t="s">
        <v>23</v>
      </c>
      <c r="DA8" s="938" t="s">
        <v>24</v>
      </c>
    </row>
    <row r="9" spans="1:105" s="254" customFormat="1" ht="8.25" customHeight="1">
      <c r="A9" s="253">
        <v>1</v>
      </c>
      <c r="B9" s="253">
        <v>2</v>
      </c>
      <c r="C9" s="253">
        <v>3</v>
      </c>
      <c r="D9" s="253">
        <v>4</v>
      </c>
      <c r="E9" s="253">
        <v>5</v>
      </c>
      <c r="F9" s="253">
        <v>6</v>
      </c>
      <c r="G9" s="253">
        <v>7</v>
      </c>
      <c r="H9" s="253">
        <v>8</v>
      </c>
      <c r="I9" s="253">
        <v>9</v>
      </c>
      <c r="J9" s="253">
        <v>10</v>
      </c>
      <c r="K9" s="253">
        <v>11</v>
      </c>
      <c r="L9" s="253">
        <v>12</v>
      </c>
      <c r="M9" s="253">
        <v>13</v>
      </c>
      <c r="N9" s="253">
        <v>14</v>
      </c>
      <c r="O9" s="253">
        <v>15</v>
      </c>
      <c r="P9" s="253">
        <v>16</v>
      </c>
      <c r="Q9" s="253">
        <v>17</v>
      </c>
      <c r="R9" s="253">
        <v>18</v>
      </c>
      <c r="S9" s="253">
        <v>19</v>
      </c>
      <c r="T9" s="253">
        <v>20</v>
      </c>
      <c r="U9" s="253">
        <v>21</v>
      </c>
      <c r="V9" s="253">
        <v>22</v>
      </c>
      <c r="W9" s="253">
        <v>23</v>
      </c>
      <c r="X9" s="253">
        <v>24</v>
      </c>
      <c r="Y9" s="253">
        <v>25</v>
      </c>
      <c r="Z9" s="253">
        <v>26</v>
      </c>
      <c r="AA9" s="253">
        <v>27</v>
      </c>
      <c r="AB9" s="253">
        <v>28</v>
      </c>
      <c r="AC9" s="253">
        <v>29</v>
      </c>
      <c r="AD9" s="253">
        <v>30</v>
      </c>
      <c r="AE9" s="253">
        <v>31</v>
      </c>
      <c r="AF9" s="253">
        <v>32</v>
      </c>
      <c r="AG9" s="253">
        <v>33</v>
      </c>
      <c r="AH9" s="253">
        <v>34</v>
      </c>
      <c r="AI9" s="253">
        <v>35</v>
      </c>
      <c r="AJ9" s="253">
        <v>36</v>
      </c>
      <c r="AK9" s="253">
        <v>37</v>
      </c>
      <c r="AL9" s="253">
        <v>38</v>
      </c>
      <c r="AM9" s="253">
        <v>39</v>
      </c>
      <c r="AN9" s="253">
        <v>40</v>
      </c>
      <c r="AO9" s="253">
        <v>41</v>
      </c>
      <c r="AP9" s="253">
        <v>42</v>
      </c>
      <c r="AQ9" s="253">
        <v>43</v>
      </c>
      <c r="AR9" s="253">
        <v>44</v>
      </c>
      <c r="AS9" s="253">
        <v>45</v>
      </c>
      <c r="AT9" s="253">
        <v>46</v>
      </c>
      <c r="AU9" s="253">
        <v>47</v>
      </c>
      <c r="AV9" s="253">
        <v>48</v>
      </c>
      <c r="AW9" s="253">
        <v>49</v>
      </c>
      <c r="AX9" s="253">
        <v>50</v>
      </c>
      <c r="AY9" s="253">
        <v>51</v>
      </c>
      <c r="AZ9" s="253">
        <v>52</v>
      </c>
      <c r="BA9" s="253">
        <v>53</v>
      </c>
      <c r="BB9" s="253">
        <v>54</v>
      </c>
      <c r="BC9" s="253">
        <v>55</v>
      </c>
      <c r="BD9" s="253">
        <v>56</v>
      </c>
      <c r="BE9" s="253">
        <v>57</v>
      </c>
      <c r="BF9" s="253">
        <v>58</v>
      </c>
      <c r="BG9" s="253">
        <v>59</v>
      </c>
      <c r="BH9" s="253">
        <v>60</v>
      </c>
      <c r="BI9" s="253">
        <v>61</v>
      </c>
      <c r="BJ9" s="253">
        <v>62</v>
      </c>
      <c r="BK9" s="253">
        <v>63</v>
      </c>
      <c r="BL9" s="253">
        <v>64</v>
      </c>
      <c r="BM9" s="253">
        <v>65</v>
      </c>
      <c r="BN9" s="253">
        <v>66</v>
      </c>
      <c r="BO9" s="253">
        <v>67</v>
      </c>
      <c r="BP9" s="253">
        <v>68</v>
      </c>
      <c r="BQ9" s="253">
        <v>69</v>
      </c>
      <c r="BR9" s="253">
        <v>70</v>
      </c>
      <c r="BS9" s="253">
        <v>71</v>
      </c>
      <c r="BT9" s="253">
        <v>72</v>
      </c>
      <c r="BU9" s="253">
        <v>73</v>
      </c>
      <c r="BV9" s="253">
        <v>72</v>
      </c>
      <c r="BW9" s="253">
        <v>73</v>
      </c>
      <c r="BX9" s="253">
        <v>74</v>
      </c>
      <c r="BY9" s="253">
        <v>75</v>
      </c>
      <c r="BZ9" s="253">
        <v>76</v>
      </c>
      <c r="CA9" s="253">
        <v>77</v>
      </c>
      <c r="CB9" s="253">
        <v>78</v>
      </c>
      <c r="CC9" s="253">
        <v>79</v>
      </c>
      <c r="CD9" s="253">
        <v>80</v>
      </c>
      <c r="CE9" s="253">
        <v>81</v>
      </c>
      <c r="CF9" s="253">
        <v>82</v>
      </c>
      <c r="CG9" s="253">
        <v>83</v>
      </c>
      <c r="CH9" s="253">
        <v>84</v>
      </c>
      <c r="CI9" s="253">
        <v>85</v>
      </c>
      <c r="CJ9" s="253">
        <v>86</v>
      </c>
      <c r="CK9" s="253">
        <v>87</v>
      </c>
      <c r="CL9" s="253">
        <v>88</v>
      </c>
      <c r="CM9" s="253">
        <v>89</v>
      </c>
      <c r="CN9" s="253">
        <v>90</v>
      </c>
      <c r="CO9" s="253">
        <v>91</v>
      </c>
      <c r="CP9" s="253">
        <v>92</v>
      </c>
      <c r="CQ9" s="253">
        <v>93</v>
      </c>
      <c r="CR9" s="253">
        <v>94</v>
      </c>
      <c r="CS9" s="253">
        <v>95</v>
      </c>
      <c r="CT9" s="253">
        <v>96</v>
      </c>
      <c r="CU9" s="253">
        <v>97</v>
      </c>
      <c r="CV9" s="253">
        <v>98</v>
      </c>
      <c r="CW9" s="253">
        <v>99</v>
      </c>
      <c r="CX9" s="253">
        <v>100</v>
      </c>
      <c r="CY9" s="253">
        <v>101</v>
      </c>
      <c r="CZ9" s="253">
        <v>102</v>
      </c>
      <c r="DA9" s="253">
        <v>103</v>
      </c>
    </row>
    <row r="10" spans="1:105" s="262" customFormat="1" ht="12.75" customHeight="1">
      <c r="A10" s="63" t="str">
        <f t="array" ref="A10">IF(C10&lt;&gt;0,SUM(($C10:C$16&lt;&gt;0)*1),"")</f>
        <v/>
      </c>
      <c r="B10" s="255"/>
      <c r="C10" s="256"/>
      <c r="D10" s="255"/>
      <c r="E10" s="257" t="s">
        <v>206</v>
      </c>
      <c r="F10" s="258"/>
      <c r="G10" s="259"/>
      <c r="H10" s="259"/>
      <c r="I10" s="260"/>
      <c r="J10" s="261">
        <f ca="1">'SC-II'!J53</f>
        <v>3705039095</v>
      </c>
      <c r="K10" s="261">
        <f ca="1">'SC-II'!K53</f>
        <v>0</v>
      </c>
      <c r="L10" s="261">
        <f ca="1">'SC-II'!L53</f>
        <v>19829295</v>
      </c>
      <c r="M10" s="261">
        <f ca="1">'SC-II'!M53</f>
        <v>0</v>
      </c>
      <c r="N10" s="261">
        <f ca="1">'SC-II'!N53</f>
        <v>2236796790</v>
      </c>
      <c r="O10" s="261">
        <f ca="1">'SC-II'!O53</f>
        <v>0</v>
      </c>
      <c r="P10" s="261">
        <f ca="1">'SC-II'!P53</f>
        <v>3343381600</v>
      </c>
      <c r="Q10" s="261">
        <f ca="1">'SC-II'!Q53</f>
        <v>0</v>
      </c>
      <c r="R10" s="261">
        <f ca="1">'SC-II'!R53</f>
        <v>162420936</v>
      </c>
      <c r="S10" s="261">
        <f ca="1">'SC-II'!S53</f>
        <v>0</v>
      </c>
      <c r="T10" s="261">
        <f ca="1">'SC-II'!T53</f>
        <v>1500000000</v>
      </c>
      <c r="U10" s="261">
        <f ca="1">'SC-II'!U53</f>
        <v>0</v>
      </c>
      <c r="V10" s="261">
        <f ca="1">'SC-II'!V53</f>
        <v>0</v>
      </c>
      <c r="W10" s="261">
        <f ca="1">'SC-II'!W53</f>
        <v>0</v>
      </c>
      <c r="X10" s="261">
        <f ca="1">'SC-II'!X53</f>
        <v>2772400000</v>
      </c>
      <c r="Y10" s="261">
        <f ca="1">'SC-II'!Y53</f>
        <v>0</v>
      </c>
      <c r="Z10" s="261">
        <f ca="1">'SC-II'!Z53</f>
        <v>526519887</v>
      </c>
      <c r="AA10" s="261">
        <f ca="1">'SC-II'!AA53</f>
        <v>0</v>
      </c>
      <c r="AB10" s="261">
        <f ca="1">'SC-II'!AB53</f>
        <v>0</v>
      </c>
      <c r="AC10" s="261">
        <f ca="1">'SC-II'!AC53</f>
        <v>0</v>
      </c>
      <c r="AD10" s="261">
        <f ca="1">'SC-II'!AD53</f>
        <v>0</v>
      </c>
      <c r="AE10" s="261">
        <f ca="1">'SC-II'!AE53</f>
        <v>0</v>
      </c>
      <c r="AF10" s="261">
        <f ca="1">'SC-II'!AF53</f>
        <v>9386323824</v>
      </c>
      <c r="AG10" s="261">
        <f ca="1">'SC-II'!AG53</f>
        <v>0</v>
      </c>
      <c r="AH10" s="261">
        <f ca="1">'SC-II'!AH53</f>
        <v>7490743648</v>
      </c>
      <c r="AI10" s="261">
        <f ca="1">'SC-II'!AI53</f>
        <v>0</v>
      </c>
      <c r="AJ10" s="261">
        <f ca="1">'SC-II'!AJ53</f>
        <v>3807898863</v>
      </c>
      <c r="AK10" s="261">
        <f ca="1">'SC-II'!AK53</f>
        <v>0</v>
      </c>
      <c r="AL10" s="261">
        <f ca="1">'SC-II'!AL53</f>
        <v>3790918485</v>
      </c>
      <c r="AM10" s="261">
        <f ca="1">'SC-II'!AM53</f>
        <v>0</v>
      </c>
      <c r="AN10" s="261">
        <f ca="1">'SC-II'!AN53</f>
        <v>5405781300</v>
      </c>
      <c r="AO10" s="261">
        <f ca="1">'SC-II'!AO53</f>
        <v>0</v>
      </c>
      <c r="AP10" s="261">
        <f ca="1">'SC-II'!AP53</f>
        <v>0</v>
      </c>
      <c r="AQ10" s="261">
        <f ca="1">'SC-II'!AQ53</f>
        <v>9132359256</v>
      </c>
      <c r="AR10" s="261">
        <f ca="1">'SC-II'!AR53</f>
        <v>0</v>
      </c>
      <c r="AS10" s="261">
        <f ca="1">'SC-II'!AS53</f>
        <v>600642360</v>
      </c>
      <c r="AT10" s="261">
        <f ca="1">'SC-II'!AT53</f>
        <v>0</v>
      </c>
      <c r="AU10" s="261">
        <f ca="1">'SC-II'!AU53</f>
        <v>0</v>
      </c>
      <c r="AV10" s="261">
        <f ca="1">'SC-II'!AV53</f>
        <v>0</v>
      </c>
      <c r="AW10" s="261">
        <f ca="1">'SC-II'!AW53</f>
        <v>476953252</v>
      </c>
      <c r="AX10" s="261">
        <f ca="1">'SC-II'!AX53</f>
        <v>0</v>
      </c>
      <c r="AY10" s="261">
        <f ca="1">'SC-II'!AY53</f>
        <v>0</v>
      </c>
      <c r="AZ10" s="261">
        <f ca="1">'SC-II'!AZ53</f>
        <v>0</v>
      </c>
      <c r="BA10" s="261">
        <f ca="1">'SC-II'!BA53</f>
        <v>0</v>
      </c>
      <c r="BB10" s="261">
        <f ca="1">'SC-II'!BB53</f>
        <v>0</v>
      </c>
      <c r="BC10" s="261">
        <f ca="1">'SC-II'!BC53</f>
        <v>0</v>
      </c>
      <c r="BD10" s="261">
        <f ca="1">'SC-II'!BD53</f>
        <v>0</v>
      </c>
      <c r="BE10" s="261">
        <f ca="1">'SC-II'!BE53</f>
        <v>3313435</v>
      </c>
      <c r="BF10" s="261">
        <f ca="1">'SC-II'!BF53</f>
        <v>3389804</v>
      </c>
      <c r="BG10" s="261">
        <f ca="1">'SC-II'!BG53</f>
        <v>0</v>
      </c>
      <c r="BH10" s="261">
        <f ca="1">'SC-II'!BH53</f>
        <v>0</v>
      </c>
      <c r="BI10" s="261">
        <f ca="1">'SC-II'!BI53</f>
        <v>0</v>
      </c>
      <c r="BJ10" s="261">
        <f ca="1">'SC-II'!BJ53</f>
        <v>0</v>
      </c>
      <c r="BK10" s="261">
        <f ca="1">'SC-II'!BK53</f>
        <v>0</v>
      </c>
      <c r="BL10" s="261">
        <f ca="1">'SC-II'!BL53</f>
        <v>0</v>
      </c>
      <c r="BM10" s="261">
        <f ca="1">'SC-II'!BM53</f>
        <v>40272309</v>
      </c>
      <c r="BN10" s="261">
        <f ca="1">'SC-II'!BN53</f>
        <v>0</v>
      </c>
      <c r="BO10" s="261">
        <f ca="1">'SC-II'!BO53</f>
        <v>6403142</v>
      </c>
      <c r="BP10" s="261">
        <f ca="1">'SC-II'!BP53</f>
        <v>0</v>
      </c>
      <c r="BQ10" s="261">
        <f ca="1">'SC-II'!BQ53</f>
        <v>2761373</v>
      </c>
      <c r="BR10" s="261">
        <f ca="1">'SC-II'!BR53</f>
        <v>0</v>
      </c>
      <c r="BS10" s="261">
        <f ca="1">'SC-II'!BS53</f>
        <v>0</v>
      </c>
      <c r="BT10" s="261">
        <f ca="1">'SC-II'!BT53</f>
        <v>0</v>
      </c>
      <c r="BU10" s="261">
        <f ca="1">'SC-II'!BU53</f>
        <v>2169121879</v>
      </c>
      <c r="BV10" s="261">
        <f ca="1">'SC-II'!BV53</f>
        <v>0</v>
      </c>
      <c r="BW10" s="261">
        <f ca="1">'SC-II'!BW53</f>
        <v>21202920500</v>
      </c>
      <c r="BX10" s="261">
        <f ca="1">'SC-II'!BX53</f>
        <v>0</v>
      </c>
      <c r="BY10" s="261">
        <f ca="1">'SC-II'!BY53</f>
        <v>10000000000</v>
      </c>
      <c r="BZ10" s="261">
        <f ca="1">'SC-II'!BZ53</f>
        <v>0</v>
      </c>
      <c r="CA10" s="261">
        <f ca="1">'SC-II'!CA53</f>
        <v>594397022.00000048</v>
      </c>
      <c r="CB10" s="261">
        <f ca="1">'SC-II'!CB53</f>
        <v>77701001</v>
      </c>
      <c r="CC10" s="261">
        <f ca="1">'SC-II'!CC53</f>
        <v>0</v>
      </c>
      <c r="CD10" s="261">
        <f ca="1">'SC-II'!CD53</f>
        <v>0</v>
      </c>
      <c r="CE10" s="261">
        <f ca="1">'SC-II'!CE53</f>
        <v>0</v>
      </c>
      <c r="CF10" s="261">
        <f ca="1">'SC-II'!CF53</f>
        <v>0</v>
      </c>
      <c r="CG10" s="261">
        <f ca="1">'SC-II'!CG53</f>
        <v>0</v>
      </c>
      <c r="CH10" s="261">
        <f ca="1">'SC-II'!CH53</f>
        <v>0</v>
      </c>
      <c r="CI10" s="261">
        <f ca="1">'SC-II'!CI53</f>
        <v>0</v>
      </c>
      <c r="CJ10" s="261">
        <f ca="1">'SC-II'!CJ53</f>
        <v>0</v>
      </c>
      <c r="CK10" s="261">
        <f ca="1">'SC-II'!CK53</f>
        <v>0</v>
      </c>
      <c r="CL10" s="261">
        <f ca="1">'SC-II'!CL53</f>
        <v>0</v>
      </c>
      <c r="CM10" s="261">
        <f ca="1">'SC-II'!CM53</f>
        <v>0</v>
      </c>
      <c r="CN10" s="261">
        <f ca="1">'SC-II'!CN53</f>
        <v>0</v>
      </c>
      <c r="CO10" s="261">
        <f ca="1">'SC-II'!CO53</f>
        <v>0</v>
      </c>
      <c r="CP10" s="261">
        <f ca="1">'SC-II'!CP53</f>
        <v>0</v>
      </c>
      <c r="CQ10" s="261">
        <f ca="1">'SC-II'!CQ53</f>
        <v>0</v>
      </c>
      <c r="CR10" s="261">
        <f ca="1">'SC-II'!CR53</f>
        <v>0</v>
      </c>
      <c r="CS10" s="261">
        <f ca="1">'SC-II'!CS53</f>
        <v>0</v>
      </c>
      <c r="CT10" s="261">
        <f ca="1">'SC-II'!CT53</f>
        <v>0</v>
      </c>
      <c r="CU10" s="261">
        <f ca="1">'SC-II'!CU53</f>
        <v>0</v>
      </c>
      <c r="CV10" s="261">
        <f ca="1">'SC-II'!CV53</f>
        <v>0</v>
      </c>
      <c r="CW10" s="261">
        <f ca="1">'SC-II'!CW53</f>
        <v>0</v>
      </c>
      <c r="CX10" s="261">
        <f ca="1">'SC-II'!CX53</f>
        <v>0</v>
      </c>
      <c r="CY10" s="261">
        <f ca="1">'SC-II'!CY53</f>
        <v>0</v>
      </c>
      <c r="CZ10" s="261">
        <f ca="1">'SC-II'!CZ53</f>
        <v>0</v>
      </c>
      <c r="DA10" s="261">
        <f ca="1">'SC-II'!DA53</f>
        <v>0</v>
      </c>
    </row>
    <row r="11" spans="1:105" s="262" customFormat="1" ht="15.75" customHeight="1">
      <c r="A11" s="63">
        <f t="array" aca="1" ref="A11" ca="1">IF(C11&lt;&gt;0,SUM(($C$11:C11&lt;&gt;0)*1),"")</f>
        <v>1</v>
      </c>
      <c r="B11" s="263" t="str">
        <f ca="1">IF(ROWS($1:1)&gt;COUNT(Dong8),"",OFFSET(TH!C$1,SMALL(Dong8,ROWS($1:1)),))</f>
        <v/>
      </c>
      <c r="C11" s="263" t="str">
        <f ca="1">IF(ROWS($1:1)&gt;COUNT(Dong8),"",OFFSET(TH!D$1,SMALL(Dong8,ROWS($1:1)),))</f>
        <v/>
      </c>
      <c r="D11" s="263" t="str">
        <f ca="1">IF(ROWS($1:1)&gt;COUNT(Dong8),"",OFFSET(TH!E$1,SMALL(Dong8,ROWS($1:1)),))</f>
        <v/>
      </c>
      <c r="E11" s="344" t="str">
        <f ca="1">IF(ROWS($1:1)&gt;COUNT(Dong8),"",OFFSET(TH!F$1,SMALL(Dong8,ROWS($1:1)),))</f>
        <v/>
      </c>
      <c r="F11" s="314" t="str">
        <f ca="1">IF(ROWS($1:1)&gt;COUNT(Dong8),"",OFFSET(TH!M$1,SMALL(Dong8,ROWS($1:1)),))</f>
        <v/>
      </c>
      <c r="G11" s="316" t="str">
        <f ca="1">IF(ROWS($1:1)&gt;COUNT(Dong8),"",OFFSET(TH!N$1,SMALL(Dong8,ROWS($1:1)),))</f>
        <v/>
      </c>
      <c r="H11" s="316" t="str">
        <f ca="1">IF(ROWS($1:1)&gt;COUNT(Dong8),"",OFFSET(TH!O$1,SMALL(Dong8,ROWS($1:1)),))</f>
        <v/>
      </c>
      <c r="I11" s="63">
        <f t="shared" ref="I11:I26" ca="1" si="0">A11</f>
        <v>1</v>
      </c>
      <c r="J11" s="265">
        <f ca="1">IF($G11="1111",$F11,0)</f>
        <v>0</v>
      </c>
      <c r="K11" s="265">
        <f ca="1">IF($H11="1111",$F11,0)</f>
        <v>0</v>
      </c>
      <c r="L11" s="265">
        <f t="shared" ref="L11:L50" ca="1" si="1">IF($G11="1121",$F11,0)</f>
        <v>0</v>
      </c>
      <c r="M11" s="265">
        <f t="shared" ref="M11:M50" ca="1" si="2">IF($H11="1121",$F11,0)</f>
        <v>0</v>
      </c>
      <c r="N11" s="265">
        <f t="shared" ref="N11:N50" ca="1" si="3">IF($G11="1122",$F11,0)</f>
        <v>0</v>
      </c>
      <c r="O11" s="265">
        <f t="shared" ref="O11:O50" ca="1" si="4">IF($H11="1122",$F11,0)</f>
        <v>0</v>
      </c>
      <c r="P11" s="265">
        <f t="shared" ref="P11:P50" ca="1" si="5">IF($G11="131",$F11,0)</f>
        <v>0</v>
      </c>
      <c r="Q11" s="265">
        <f t="shared" ref="Q11:Q50" ca="1" si="6">IF($H11="131",$F11,0)</f>
        <v>0</v>
      </c>
      <c r="R11" s="265">
        <f t="shared" ref="R11:R50" ca="1" si="7">IF($G11="1331",$F11,0)</f>
        <v>0</v>
      </c>
      <c r="S11" s="265">
        <f t="shared" ref="S11:S50" ca="1" si="8">IF($H11="1331",$F11,0)</f>
        <v>0</v>
      </c>
      <c r="T11" s="265">
        <f t="shared" ref="T11:T50" ca="1" si="9">IF($G11="1388",$F11,0)</f>
        <v>0</v>
      </c>
      <c r="U11" s="265">
        <f t="shared" ref="U11:U50" ca="1" si="10">IF($H11="1388",$F11,0)</f>
        <v>0</v>
      </c>
      <c r="V11" s="265">
        <f t="shared" ref="V11:V50" ca="1" si="11">IF($G11="141",$F11,0)</f>
        <v>0</v>
      </c>
      <c r="W11" s="265">
        <f t="shared" ref="W11:W50" ca="1" si="12">IF($H11="141",$F11,0)</f>
        <v>0</v>
      </c>
      <c r="X11" s="265">
        <f t="shared" ref="X11:X50" ca="1" si="13">IF($G11="1521",$F11,0)</f>
        <v>0</v>
      </c>
      <c r="Y11" s="265">
        <f t="shared" ref="Y11:Y50" ca="1" si="14">IF($H11="1521",$F11,0)</f>
        <v>0</v>
      </c>
      <c r="Z11" s="265">
        <f t="shared" ref="Z11:Z50" ca="1" si="15">IF($G11="1522",$F11,0)</f>
        <v>0</v>
      </c>
      <c r="AA11" s="265">
        <f t="shared" ref="AA11:AA50" ca="1" si="16">IF($H11="1522",$F11,0)</f>
        <v>0</v>
      </c>
      <c r="AB11" s="265">
        <f ca="1">IF($G11="153",$F11,0)</f>
        <v>0</v>
      </c>
      <c r="AC11" s="265">
        <f ca="1">IF($H11="153",$F11,0)</f>
        <v>0</v>
      </c>
      <c r="AD11" s="265">
        <f t="shared" ref="AD11:AD50" ca="1" si="17">IF($G11="154",$F11,0)</f>
        <v>0</v>
      </c>
      <c r="AE11" s="265">
        <f t="shared" ref="AE11:AE50" ca="1" si="18">IF($H11="154",$F11,0)</f>
        <v>0</v>
      </c>
      <c r="AF11" s="265">
        <f t="shared" ref="AF11:AF50" ca="1" si="19">IF($G11="155",$F11,0)</f>
        <v>0</v>
      </c>
      <c r="AG11" s="265">
        <f t="shared" ref="AG11:AG50" ca="1" si="20">IF($H11="155",$F11,0)</f>
        <v>0</v>
      </c>
      <c r="AH11" s="265">
        <f ca="1">IF($G11="2111",$F11,0)</f>
        <v>0</v>
      </c>
      <c r="AI11" s="265">
        <f ca="1">IF($H11="2111",$F11,0)</f>
        <v>0</v>
      </c>
      <c r="AJ11" s="265">
        <f ca="1">IF($G11="2112",$F11,0)</f>
        <v>0</v>
      </c>
      <c r="AK11" s="265">
        <f ca="1">IF($H11="2112",$F11,0)</f>
        <v>0</v>
      </c>
      <c r="AL11" s="265">
        <f ca="1">IF($G11="2113",$F11,0)</f>
        <v>0</v>
      </c>
      <c r="AM11" s="265">
        <f ca="1">IF($H11="2113",$F11,0)</f>
        <v>0</v>
      </c>
      <c r="AN11" s="265">
        <f ca="1">IF($G11="2131",$F11,0)</f>
        <v>0</v>
      </c>
      <c r="AO11" s="265">
        <f ca="1">IF($H11="2131",$F11,0)</f>
        <v>0</v>
      </c>
      <c r="AP11" s="265">
        <f t="shared" ref="AP11:AP50" ca="1" si="21">IF($G11="2141",$F11,0)</f>
        <v>0</v>
      </c>
      <c r="AQ11" s="265">
        <f t="shared" ref="AQ11:AQ50" ca="1" si="22">IF($H11="2141",$F11,0)</f>
        <v>0</v>
      </c>
      <c r="AR11" s="265">
        <f t="shared" ref="AR11:AR50" ca="1" si="23">IF($G11="2143",$F11,0)</f>
        <v>0</v>
      </c>
      <c r="AS11" s="265">
        <f t="shared" ref="AS11:AS50" ca="1" si="24">IF($H11="2143",$F11,0)</f>
        <v>0</v>
      </c>
      <c r="AT11" s="265">
        <f ca="1">IF($G11="2412",$F11,0)</f>
        <v>0</v>
      </c>
      <c r="AU11" s="265">
        <f ca="1">IF($H11="2412",$F11,0)</f>
        <v>0</v>
      </c>
      <c r="AV11" s="265">
        <f t="shared" ref="AV11:AV50" ca="1" si="25">IF($G11="331",$F11,0)</f>
        <v>0</v>
      </c>
      <c r="AW11" s="265">
        <f t="shared" ref="AW11:AW50" ca="1" si="26">IF($H11="331",$F11,0)</f>
        <v>0</v>
      </c>
      <c r="AX11" s="265">
        <f t="shared" ref="AX11:AX50" ca="1" si="27">IF($G11="33311",$F11,0)</f>
        <v>0</v>
      </c>
      <c r="AY11" s="265">
        <f t="shared" ref="AY11:AY50" ca="1" si="28">IF($H11="33311",$F11,0)</f>
        <v>0</v>
      </c>
      <c r="AZ11" s="265">
        <f t="shared" ref="AZ11:AZ50" ca="1" si="29">IF($G11="33312",$F11,0)</f>
        <v>0</v>
      </c>
      <c r="BA11" s="265">
        <f t="shared" ref="BA11:BA50" ca="1" si="30">IF($H11="33312",$F11,0)</f>
        <v>0</v>
      </c>
      <c r="BB11" s="265">
        <f t="shared" ref="BB11:BB50" ca="1" si="31">IF($G11="3333",$F11,0)</f>
        <v>0</v>
      </c>
      <c r="BC11" s="265">
        <f t="shared" ref="BC11:BC50" ca="1" si="32">IF($H11="3333",$F11,0)</f>
        <v>0</v>
      </c>
      <c r="BD11" s="265">
        <f t="shared" ref="BD11:BD50" ca="1" si="33">IF($G11="3334",$F11,0)</f>
        <v>0</v>
      </c>
      <c r="BE11" s="265">
        <f t="shared" ref="BE11:BE50" ca="1" si="34">IF($H11="3334",$F11,0)</f>
        <v>0</v>
      </c>
      <c r="BF11" s="265">
        <f t="shared" ref="BF11:BF50" ca="1" si="35">IF($G11="3335",$F11,0)</f>
        <v>0</v>
      </c>
      <c r="BG11" s="265">
        <f t="shared" ref="BG11:BG50" ca="1" si="36">IF($H11="3335",$F11,0)</f>
        <v>0</v>
      </c>
      <c r="BH11" s="265">
        <f ca="1">IF($G11="33382",$F11,0)</f>
        <v>0</v>
      </c>
      <c r="BI11" s="265">
        <f ca="1">IF($H11="33382",$F11,0)</f>
        <v>0</v>
      </c>
      <c r="BJ11" s="265">
        <f t="shared" ref="BJ11:BJ50" ca="1" si="37">IF($G11="3341",$F11,0)</f>
        <v>0</v>
      </c>
      <c r="BK11" s="265">
        <f t="shared" ref="BK11:BK50" ca="1" si="38">IF($H11="3341",$F11,0)</f>
        <v>0</v>
      </c>
      <c r="BL11" s="265">
        <f t="shared" ref="BL11:BL50" ca="1" si="39">IF($G11="3383",$F11,0)</f>
        <v>0</v>
      </c>
      <c r="BM11" s="265">
        <f t="shared" ref="BM11:BM50" ca="1" si="40">IF($H11="3383",$F11,0)</f>
        <v>0</v>
      </c>
      <c r="BN11" s="265">
        <f t="shared" ref="BN11:BN50" ca="1" si="41">IF($G11="3384",$F11,0)</f>
        <v>0</v>
      </c>
      <c r="BO11" s="265">
        <f t="shared" ref="BO11:BO50" ca="1" si="42">IF($H11="3384",$F11,0)</f>
        <v>0</v>
      </c>
      <c r="BP11" s="265">
        <f ca="1">IF($G11="3386",$F11,0)</f>
        <v>0</v>
      </c>
      <c r="BQ11" s="265">
        <f ca="1">IF($H11="3386",$F11,0)</f>
        <v>0</v>
      </c>
      <c r="BR11" s="265">
        <f t="shared" ref="BR11:BR50" ca="1" si="43">IF($G11="3388",$F11,0)</f>
        <v>0</v>
      </c>
      <c r="BS11" s="265">
        <f t="shared" ref="BS11:BS50" ca="1" si="44">IF($H11="3388",$F11,0)</f>
        <v>0</v>
      </c>
      <c r="BT11" s="265">
        <f ca="1">IF($G11="3411",$F11,0)</f>
        <v>0</v>
      </c>
      <c r="BU11" s="265">
        <f ca="1">IF($H11="3411",$F11,0)</f>
        <v>0</v>
      </c>
      <c r="BV11" s="265">
        <f ca="1">IF($G11="3412",$F11,0)</f>
        <v>0</v>
      </c>
      <c r="BW11" s="265">
        <f ca="1">IF($H11="3412",$F11,0)</f>
        <v>0</v>
      </c>
      <c r="BX11" s="265">
        <f t="shared" ref="BX11:BX50" ca="1" si="45">IF($G11="4111",$F11,0)</f>
        <v>0</v>
      </c>
      <c r="BY11" s="265">
        <f t="shared" ref="BY11:BY50" ca="1" si="46">IF($H11="4111",$F11,0)</f>
        <v>0</v>
      </c>
      <c r="BZ11" s="265">
        <f t="shared" ref="BZ11:BZ50" ca="1" si="47">IF($G11="4211",$F11,0)</f>
        <v>0</v>
      </c>
      <c r="CA11" s="265">
        <f t="shared" ref="CA11:CA50" ca="1" si="48">IF($H11="4211",$F11,0)</f>
        <v>0</v>
      </c>
      <c r="CB11" s="265">
        <f t="shared" ref="CB11:CB50" ca="1" si="49">IF($G11="4212",$F11,0)</f>
        <v>0</v>
      </c>
      <c r="CC11" s="265">
        <f t="shared" ref="CC11:CC50" ca="1" si="50">IF($H11="4212",$F11,0)</f>
        <v>0</v>
      </c>
      <c r="CD11" s="265">
        <f ca="1">IF($G11="5112N",$F11,0)</f>
        <v>0</v>
      </c>
      <c r="CE11" s="265">
        <f ca="1">IF($H11="5112N",$F11,0)</f>
        <v>0</v>
      </c>
      <c r="CF11" s="265">
        <f ca="1">IF($G11="5112X",$F11,0)</f>
        <v>0</v>
      </c>
      <c r="CG11" s="265">
        <f ca="1">IF($H11="5112X",$F11,0)</f>
        <v>0</v>
      </c>
      <c r="CH11" s="265">
        <f t="shared" ref="CH11:CH50" ca="1" si="51">IF($G11="515",$F11,0)</f>
        <v>0</v>
      </c>
      <c r="CI11" s="265">
        <f t="shared" ref="CI11:CI50" ca="1" si="52">IF($H11="515",$F11,0)</f>
        <v>0</v>
      </c>
      <c r="CJ11" s="265">
        <f ca="1">IF($G11="5213",$F11,0)</f>
        <v>0</v>
      </c>
      <c r="CK11" s="265">
        <f ca="1">IF($H11="5213",$F11,0)</f>
        <v>0</v>
      </c>
      <c r="CL11" s="265">
        <f t="shared" ref="CL11:CL50" ca="1" si="53">IF($G11="632",$F11,0)</f>
        <v>0</v>
      </c>
      <c r="CM11" s="265">
        <f t="shared" ref="CM11:CM50" ca="1" si="54">IF($H11="632",$F11,0)</f>
        <v>0</v>
      </c>
      <c r="CN11" s="265">
        <f t="shared" ref="CN11:CN50" ca="1" si="55">IF($G11="635",$F11,0)</f>
        <v>0</v>
      </c>
      <c r="CO11" s="265">
        <f t="shared" ref="CO11:CO50" ca="1" si="56">IF($H11="635",$F11,0)</f>
        <v>0</v>
      </c>
      <c r="CP11" s="265">
        <f ca="1">IF($G11="641",$F11,0)</f>
        <v>0</v>
      </c>
      <c r="CQ11" s="265">
        <f ca="1">IF($H11="641",$F11,0)</f>
        <v>0</v>
      </c>
      <c r="CR11" s="265">
        <f ca="1">IF($G11="642",$F11,0)</f>
        <v>0</v>
      </c>
      <c r="CS11" s="265">
        <f ca="1">IF($H11="642",$F11,0)</f>
        <v>0</v>
      </c>
      <c r="CT11" s="265">
        <f t="shared" ref="CT11:CT50" ca="1" si="57">IF($G11="711",$F11,0)</f>
        <v>0</v>
      </c>
      <c r="CU11" s="265">
        <f t="shared" ref="CU11:CU50" ca="1" si="58">IF($H11="711",$F11,0)</f>
        <v>0</v>
      </c>
      <c r="CV11" s="265">
        <f t="shared" ref="CV11:CV50" ca="1" si="59">IF($G11="811",$F11,0)</f>
        <v>0</v>
      </c>
      <c r="CW11" s="265">
        <f t="shared" ref="CW11:CW50" ca="1" si="60">IF($H11="811",$F11,0)</f>
        <v>0</v>
      </c>
      <c r="CX11" s="265">
        <f ca="1">IF($G11="821",$F11,0)</f>
        <v>0</v>
      </c>
      <c r="CY11" s="265">
        <f ca="1">IF($H11="821",$F11,0)</f>
        <v>0</v>
      </c>
      <c r="CZ11" s="265">
        <f ca="1">IF($G11="911",$F11,0)</f>
        <v>0</v>
      </c>
      <c r="DA11" s="265">
        <f ca="1">IF($H11="911",$F11,0)</f>
        <v>0</v>
      </c>
    </row>
    <row r="12" spans="1:105" s="262" customFormat="1" ht="15.75" customHeight="1">
      <c r="A12" s="63" t="str">
        <f t="array" ref="A12">IF(C12&lt;&gt;0,SUM(($C$11:C12&lt;&gt;0)*1),"")</f>
        <v/>
      </c>
      <c r="B12" s="263"/>
      <c r="C12" s="263"/>
      <c r="D12" s="263"/>
      <c r="E12" s="344"/>
      <c r="F12" s="314"/>
      <c r="G12" s="316"/>
      <c r="H12" s="316"/>
      <c r="I12" s="63" t="str">
        <f t="shared" si="0"/>
        <v/>
      </c>
      <c r="J12" s="265">
        <f t="shared" ref="J12:J50" si="61">IF($G12="1111",$F12,0)</f>
        <v>0</v>
      </c>
      <c r="K12" s="265">
        <f t="shared" ref="K12:K50" si="62">IF($H12="1111",$F12,0)</f>
        <v>0</v>
      </c>
      <c r="L12" s="265">
        <f t="shared" si="1"/>
        <v>0</v>
      </c>
      <c r="M12" s="265">
        <f t="shared" si="2"/>
        <v>0</v>
      </c>
      <c r="N12" s="265">
        <f t="shared" si="3"/>
        <v>0</v>
      </c>
      <c r="O12" s="265">
        <f t="shared" si="4"/>
        <v>0</v>
      </c>
      <c r="P12" s="265">
        <f t="shared" si="5"/>
        <v>0</v>
      </c>
      <c r="Q12" s="265">
        <f t="shared" si="6"/>
        <v>0</v>
      </c>
      <c r="R12" s="265">
        <f t="shared" si="7"/>
        <v>0</v>
      </c>
      <c r="S12" s="265">
        <f t="shared" si="8"/>
        <v>0</v>
      </c>
      <c r="T12" s="265">
        <f t="shared" si="9"/>
        <v>0</v>
      </c>
      <c r="U12" s="265">
        <f t="shared" si="10"/>
        <v>0</v>
      </c>
      <c r="V12" s="265">
        <f t="shared" si="11"/>
        <v>0</v>
      </c>
      <c r="W12" s="265">
        <f t="shared" si="12"/>
        <v>0</v>
      </c>
      <c r="X12" s="265">
        <f t="shared" si="13"/>
        <v>0</v>
      </c>
      <c r="Y12" s="265">
        <f t="shared" si="14"/>
        <v>0</v>
      </c>
      <c r="Z12" s="265">
        <f t="shared" si="15"/>
        <v>0</v>
      </c>
      <c r="AA12" s="265">
        <f t="shared" si="16"/>
        <v>0</v>
      </c>
      <c r="AB12" s="265">
        <f t="shared" ref="AB12:AB50" si="63">IF($G12="153",$F12,0)</f>
        <v>0</v>
      </c>
      <c r="AC12" s="265">
        <f t="shared" ref="AC12:AC50" si="64">IF($H12="153",$F12,0)</f>
        <v>0</v>
      </c>
      <c r="AD12" s="265">
        <f t="shared" si="17"/>
        <v>0</v>
      </c>
      <c r="AE12" s="265">
        <f t="shared" si="18"/>
        <v>0</v>
      </c>
      <c r="AF12" s="265">
        <f t="shared" si="19"/>
        <v>0</v>
      </c>
      <c r="AG12" s="265">
        <f t="shared" si="20"/>
        <v>0</v>
      </c>
      <c r="AH12" s="265">
        <f t="shared" ref="AH12:AH50" si="65">IF($G12="2111",$F12,0)</f>
        <v>0</v>
      </c>
      <c r="AI12" s="265">
        <f t="shared" ref="AI12:AI50" si="66">IF($H12="2111",$F12,0)</f>
        <v>0</v>
      </c>
      <c r="AJ12" s="265">
        <f t="shared" ref="AJ12:AJ50" si="67">IF($G12="2112",$F12,0)</f>
        <v>0</v>
      </c>
      <c r="AK12" s="265">
        <f t="shared" ref="AK12:AK50" si="68">IF($H12="2112",$F12,0)</f>
        <v>0</v>
      </c>
      <c r="AL12" s="265">
        <f t="shared" ref="AL12:AL50" si="69">IF($G12="2113",$F12,0)</f>
        <v>0</v>
      </c>
      <c r="AM12" s="265">
        <f t="shared" ref="AM12:AM50" si="70">IF($H12="2113",$F12,0)</f>
        <v>0</v>
      </c>
      <c r="AN12" s="265">
        <f t="shared" ref="AN12:AN50" si="71">IF($G12="2131",$F12,0)</f>
        <v>0</v>
      </c>
      <c r="AO12" s="265">
        <f t="shared" ref="AO12:AO50" si="72">IF($H12="2131",$F12,0)</f>
        <v>0</v>
      </c>
      <c r="AP12" s="265">
        <f t="shared" si="21"/>
        <v>0</v>
      </c>
      <c r="AQ12" s="265">
        <f t="shared" si="22"/>
        <v>0</v>
      </c>
      <c r="AR12" s="265">
        <f t="shared" si="23"/>
        <v>0</v>
      </c>
      <c r="AS12" s="265">
        <f t="shared" si="24"/>
        <v>0</v>
      </c>
      <c r="AT12" s="265">
        <f t="shared" ref="AT12:AT50" si="73">IF($G12="2412",$F12,0)</f>
        <v>0</v>
      </c>
      <c r="AU12" s="265">
        <f t="shared" ref="AU12:AU50" si="74">IF($H12="2412",$F12,0)</f>
        <v>0</v>
      </c>
      <c r="AV12" s="265">
        <f t="shared" si="25"/>
        <v>0</v>
      </c>
      <c r="AW12" s="265">
        <f t="shared" si="26"/>
        <v>0</v>
      </c>
      <c r="AX12" s="265">
        <f t="shared" si="27"/>
        <v>0</v>
      </c>
      <c r="AY12" s="265">
        <f t="shared" si="28"/>
        <v>0</v>
      </c>
      <c r="AZ12" s="265">
        <f t="shared" si="29"/>
        <v>0</v>
      </c>
      <c r="BA12" s="265">
        <f t="shared" si="30"/>
        <v>0</v>
      </c>
      <c r="BB12" s="265">
        <f t="shared" si="31"/>
        <v>0</v>
      </c>
      <c r="BC12" s="265">
        <f t="shared" si="32"/>
        <v>0</v>
      </c>
      <c r="BD12" s="265">
        <f t="shared" si="33"/>
        <v>0</v>
      </c>
      <c r="BE12" s="265">
        <f t="shared" si="34"/>
        <v>0</v>
      </c>
      <c r="BF12" s="265">
        <f t="shared" si="35"/>
        <v>0</v>
      </c>
      <c r="BG12" s="265">
        <f t="shared" si="36"/>
        <v>0</v>
      </c>
      <c r="BH12" s="265">
        <f t="shared" ref="BH12:BH50" si="75">IF($G12="33382",$F12,0)</f>
        <v>0</v>
      </c>
      <c r="BI12" s="265">
        <f t="shared" ref="BI12:BI50" si="76">IF($H12="33382",$F12,0)</f>
        <v>0</v>
      </c>
      <c r="BJ12" s="265">
        <f t="shared" si="37"/>
        <v>0</v>
      </c>
      <c r="BK12" s="265">
        <f t="shared" si="38"/>
        <v>0</v>
      </c>
      <c r="BL12" s="265">
        <f t="shared" si="39"/>
        <v>0</v>
      </c>
      <c r="BM12" s="265">
        <f t="shared" si="40"/>
        <v>0</v>
      </c>
      <c r="BN12" s="265">
        <f t="shared" si="41"/>
        <v>0</v>
      </c>
      <c r="BO12" s="265">
        <f t="shared" si="42"/>
        <v>0</v>
      </c>
      <c r="BP12" s="265">
        <f t="shared" ref="BP12:BP50" si="77">IF($G12="3386",$F12,0)</f>
        <v>0</v>
      </c>
      <c r="BQ12" s="265">
        <f t="shared" ref="BQ12:BQ50" si="78">IF($H12="3386",$F12,0)</f>
        <v>0</v>
      </c>
      <c r="BR12" s="265">
        <f t="shared" si="43"/>
        <v>0</v>
      </c>
      <c r="BS12" s="265">
        <f t="shared" si="44"/>
        <v>0</v>
      </c>
      <c r="BT12" s="265">
        <f t="shared" ref="BT12:BT50" si="79">IF($G12="3411",$F12,0)</f>
        <v>0</v>
      </c>
      <c r="BU12" s="265">
        <f t="shared" ref="BU12:BU50" si="80">IF($H12="3411",$F12,0)</f>
        <v>0</v>
      </c>
      <c r="BV12" s="265">
        <f t="shared" ref="BV12:BV50" si="81">IF($G12="3412",$F12,0)</f>
        <v>0</v>
      </c>
      <c r="BW12" s="265">
        <f t="shared" ref="BW12:BW50" si="82">IF($H12="3412",$F12,0)</f>
        <v>0</v>
      </c>
      <c r="BX12" s="265">
        <f t="shared" si="45"/>
        <v>0</v>
      </c>
      <c r="BY12" s="265">
        <f t="shared" si="46"/>
        <v>0</v>
      </c>
      <c r="BZ12" s="265">
        <f t="shared" si="47"/>
        <v>0</v>
      </c>
      <c r="CA12" s="265">
        <f t="shared" si="48"/>
        <v>0</v>
      </c>
      <c r="CB12" s="265">
        <f t="shared" si="49"/>
        <v>0</v>
      </c>
      <c r="CC12" s="265">
        <f t="shared" si="50"/>
        <v>0</v>
      </c>
      <c r="CD12" s="265">
        <f t="shared" ref="CD12:CD50" si="83">IF($G12="5112N",$F12,0)</f>
        <v>0</v>
      </c>
      <c r="CE12" s="265">
        <f t="shared" ref="CE12:CE50" si="84">IF($H12="5112N",$F12,0)</f>
        <v>0</v>
      </c>
      <c r="CF12" s="265">
        <f t="shared" ref="CF12:CF50" si="85">IF($G12="5112X",$F12,0)</f>
        <v>0</v>
      </c>
      <c r="CG12" s="265">
        <f t="shared" ref="CG12:CG50" si="86">IF($H12="5112X",$F12,0)</f>
        <v>0</v>
      </c>
      <c r="CH12" s="265">
        <f t="shared" si="51"/>
        <v>0</v>
      </c>
      <c r="CI12" s="265">
        <f t="shared" si="52"/>
        <v>0</v>
      </c>
      <c r="CJ12" s="265">
        <f t="shared" ref="CJ12:CJ50" si="87">IF($G12="5213",$F12,0)</f>
        <v>0</v>
      </c>
      <c r="CK12" s="265">
        <f t="shared" ref="CK12:CK50" si="88">IF($H12="5213",$F12,0)</f>
        <v>0</v>
      </c>
      <c r="CL12" s="265">
        <f t="shared" si="53"/>
        <v>0</v>
      </c>
      <c r="CM12" s="265">
        <f t="shared" si="54"/>
        <v>0</v>
      </c>
      <c r="CN12" s="265">
        <f t="shared" si="55"/>
        <v>0</v>
      </c>
      <c r="CO12" s="265">
        <f t="shared" si="56"/>
        <v>0</v>
      </c>
      <c r="CP12" s="265">
        <f t="shared" ref="CP12:CP50" si="89">IF($G12="641",$F12,0)</f>
        <v>0</v>
      </c>
      <c r="CQ12" s="265">
        <f t="shared" ref="CQ12:CQ50" si="90">IF($H12="641",$F12,0)</f>
        <v>0</v>
      </c>
      <c r="CR12" s="265">
        <f t="shared" ref="CR12:CR50" si="91">IF($G12="642",$F12,0)</f>
        <v>0</v>
      </c>
      <c r="CS12" s="265">
        <f t="shared" ref="CS12:CS50" si="92">IF($H12="642",$F12,0)</f>
        <v>0</v>
      </c>
      <c r="CT12" s="265">
        <f t="shared" si="57"/>
        <v>0</v>
      </c>
      <c r="CU12" s="265">
        <f t="shared" si="58"/>
        <v>0</v>
      </c>
      <c r="CV12" s="265">
        <f t="shared" si="59"/>
        <v>0</v>
      </c>
      <c r="CW12" s="265">
        <f t="shared" si="60"/>
        <v>0</v>
      </c>
      <c r="CX12" s="265">
        <f t="shared" ref="CX12:CX50" si="93">IF($G12="821",$F12,0)</f>
        <v>0</v>
      </c>
      <c r="CY12" s="265">
        <f t="shared" ref="CY12:CY50" si="94">IF($H12="821",$F12,0)</f>
        <v>0</v>
      </c>
      <c r="CZ12" s="265">
        <f t="shared" ref="CZ12:CZ50" si="95">IF($G12="911",$F12,0)</f>
        <v>0</v>
      </c>
      <c r="DA12" s="265">
        <f t="shared" ref="DA12:DA50" si="96">IF($H12="911",$F12,0)</f>
        <v>0</v>
      </c>
    </row>
    <row r="13" spans="1:105" s="262" customFormat="1" ht="15.75" customHeight="1">
      <c r="A13" s="63" t="str">
        <f t="array" ref="A13">IF(C13&lt;&gt;0,SUM(($C$11:C13&lt;&gt;0)*1),"")</f>
        <v/>
      </c>
      <c r="B13" s="263"/>
      <c r="C13" s="263"/>
      <c r="D13" s="263"/>
      <c r="E13" s="344"/>
      <c r="F13" s="314"/>
      <c r="G13" s="316"/>
      <c r="H13" s="316"/>
      <c r="I13" s="63" t="str">
        <f t="shared" si="0"/>
        <v/>
      </c>
      <c r="J13" s="265">
        <f t="shared" si="61"/>
        <v>0</v>
      </c>
      <c r="K13" s="265">
        <f t="shared" si="62"/>
        <v>0</v>
      </c>
      <c r="L13" s="265">
        <f t="shared" si="1"/>
        <v>0</v>
      </c>
      <c r="M13" s="265">
        <f t="shared" si="2"/>
        <v>0</v>
      </c>
      <c r="N13" s="265">
        <f t="shared" si="3"/>
        <v>0</v>
      </c>
      <c r="O13" s="265">
        <f t="shared" si="4"/>
        <v>0</v>
      </c>
      <c r="P13" s="265">
        <f t="shared" si="5"/>
        <v>0</v>
      </c>
      <c r="Q13" s="265">
        <f t="shared" si="6"/>
        <v>0</v>
      </c>
      <c r="R13" s="265">
        <f t="shared" si="7"/>
        <v>0</v>
      </c>
      <c r="S13" s="265">
        <f t="shared" si="8"/>
        <v>0</v>
      </c>
      <c r="T13" s="265">
        <f t="shared" si="9"/>
        <v>0</v>
      </c>
      <c r="U13" s="265">
        <f t="shared" si="10"/>
        <v>0</v>
      </c>
      <c r="V13" s="265">
        <f t="shared" si="11"/>
        <v>0</v>
      </c>
      <c r="W13" s="265">
        <f t="shared" si="12"/>
        <v>0</v>
      </c>
      <c r="X13" s="265">
        <f t="shared" si="13"/>
        <v>0</v>
      </c>
      <c r="Y13" s="265">
        <f t="shared" si="14"/>
        <v>0</v>
      </c>
      <c r="Z13" s="265">
        <f t="shared" si="15"/>
        <v>0</v>
      </c>
      <c r="AA13" s="265">
        <f t="shared" si="16"/>
        <v>0</v>
      </c>
      <c r="AB13" s="265">
        <f t="shared" si="63"/>
        <v>0</v>
      </c>
      <c r="AC13" s="265">
        <f t="shared" si="64"/>
        <v>0</v>
      </c>
      <c r="AD13" s="265">
        <f t="shared" si="17"/>
        <v>0</v>
      </c>
      <c r="AE13" s="265">
        <f t="shared" si="18"/>
        <v>0</v>
      </c>
      <c r="AF13" s="265">
        <f t="shared" si="19"/>
        <v>0</v>
      </c>
      <c r="AG13" s="265">
        <f t="shared" si="20"/>
        <v>0</v>
      </c>
      <c r="AH13" s="265">
        <f t="shared" si="65"/>
        <v>0</v>
      </c>
      <c r="AI13" s="265">
        <f t="shared" si="66"/>
        <v>0</v>
      </c>
      <c r="AJ13" s="265">
        <f t="shared" si="67"/>
        <v>0</v>
      </c>
      <c r="AK13" s="265">
        <f t="shared" si="68"/>
        <v>0</v>
      </c>
      <c r="AL13" s="265">
        <f t="shared" si="69"/>
        <v>0</v>
      </c>
      <c r="AM13" s="265">
        <f t="shared" si="70"/>
        <v>0</v>
      </c>
      <c r="AN13" s="265">
        <f t="shared" si="71"/>
        <v>0</v>
      </c>
      <c r="AO13" s="265">
        <f t="shared" si="72"/>
        <v>0</v>
      </c>
      <c r="AP13" s="265">
        <f t="shared" si="21"/>
        <v>0</v>
      </c>
      <c r="AQ13" s="265">
        <f t="shared" si="22"/>
        <v>0</v>
      </c>
      <c r="AR13" s="265">
        <f t="shared" si="23"/>
        <v>0</v>
      </c>
      <c r="AS13" s="265">
        <f t="shared" si="24"/>
        <v>0</v>
      </c>
      <c r="AT13" s="265">
        <f t="shared" si="73"/>
        <v>0</v>
      </c>
      <c r="AU13" s="265">
        <f t="shared" si="74"/>
        <v>0</v>
      </c>
      <c r="AV13" s="265">
        <f t="shared" si="25"/>
        <v>0</v>
      </c>
      <c r="AW13" s="265">
        <f t="shared" si="26"/>
        <v>0</v>
      </c>
      <c r="AX13" s="265">
        <f t="shared" si="27"/>
        <v>0</v>
      </c>
      <c r="AY13" s="265">
        <f t="shared" si="28"/>
        <v>0</v>
      </c>
      <c r="AZ13" s="265">
        <f t="shared" si="29"/>
        <v>0</v>
      </c>
      <c r="BA13" s="265">
        <f t="shared" si="30"/>
        <v>0</v>
      </c>
      <c r="BB13" s="265">
        <f t="shared" si="31"/>
        <v>0</v>
      </c>
      <c r="BC13" s="265">
        <f t="shared" si="32"/>
        <v>0</v>
      </c>
      <c r="BD13" s="265">
        <f t="shared" si="33"/>
        <v>0</v>
      </c>
      <c r="BE13" s="265">
        <f t="shared" si="34"/>
        <v>0</v>
      </c>
      <c r="BF13" s="265">
        <f t="shared" si="35"/>
        <v>0</v>
      </c>
      <c r="BG13" s="265">
        <f t="shared" si="36"/>
        <v>0</v>
      </c>
      <c r="BH13" s="265">
        <f t="shared" si="75"/>
        <v>0</v>
      </c>
      <c r="BI13" s="265">
        <f t="shared" si="76"/>
        <v>0</v>
      </c>
      <c r="BJ13" s="265">
        <f t="shared" si="37"/>
        <v>0</v>
      </c>
      <c r="BK13" s="265">
        <f t="shared" si="38"/>
        <v>0</v>
      </c>
      <c r="BL13" s="265">
        <f t="shared" si="39"/>
        <v>0</v>
      </c>
      <c r="BM13" s="265">
        <f t="shared" si="40"/>
        <v>0</v>
      </c>
      <c r="BN13" s="265">
        <f t="shared" si="41"/>
        <v>0</v>
      </c>
      <c r="BO13" s="265">
        <f t="shared" si="42"/>
        <v>0</v>
      </c>
      <c r="BP13" s="265">
        <f t="shared" si="77"/>
        <v>0</v>
      </c>
      <c r="BQ13" s="265">
        <f t="shared" si="78"/>
        <v>0</v>
      </c>
      <c r="BR13" s="265">
        <f t="shared" si="43"/>
        <v>0</v>
      </c>
      <c r="BS13" s="265">
        <f t="shared" si="44"/>
        <v>0</v>
      </c>
      <c r="BT13" s="265">
        <f t="shared" si="79"/>
        <v>0</v>
      </c>
      <c r="BU13" s="265">
        <f t="shared" si="80"/>
        <v>0</v>
      </c>
      <c r="BV13" s="265">
        <f t="shared" si="81"/>
        <v>0</v>
      </c>
      <c r="BW13" s="265">
        <f t="shared" si="82"/>
        <v>0</v>
      </c>
      <c r="BX13" s="265">
        <f t="shared" si="45"/>
        <v>0</v>
      </c>
      <c r="BY13" s="265">
        <f t="shared" si="46"/>
        <v>0</v>
      </c>
      <c r="BZ13" s="265">
        <f t="shared" si="47"/>
        <v>0</v>
      </c>
      <c r="CA13" s="265">
        <f t="shared" si="48"/>
        <v>0</v>
      </c>
      <c r="CB13" s="265">
        <f t="shared" si="49"/>
        <v>0</v>
      </c>
      <c r="CC13" s="265">
        <f t="shared" si="50"/>
        <v>0</v>
      </c>
      <c r="CD13" s="265">
        <f t="shared" si="83"/>
        <v>0</v>
      </c>
      <c r="CE13" s="265">
        <f t="shared" si="84"/>
        <v>0</v>
      </c>
      <c r="CF13" s="265">
        <f t="shared" si="85"/>
        <v>0</v>
      </c>
      <c r="CG13" s="265">
        <f t="shared" si="86"/>
        <v>0</v>
      </c>
      <c r="CH13" s="265">
        <f t="shared" si="51"/>
        <v>0</v>
      </c>
      <c r="CI13" s="265">
        <f t="shared" si="52"/>
        <v>0</v>
      </c>
      <c r="CJ13" s="265">
        <f t="shared" si="87"/>
        <v>0</v>
      </c>
      <c r="CK13" s="265">
        <f t="shared" si="88"/>
        <v>0</v>
      </c>
      <c r="CL13" s="265">
        <f t="shared" si="53"/>
        <v>0</v>
      </c>
      <c r="CM13" s="265">
        <f t="shared" si="54"/>
        <v>0</v>
      </c>
      <c r="CN13" s="265">
        <f t="shared" si="55"/>
        <v>0</v>
      </c>
      <c r="CO13" s="265">
        <f t="shared" si="56"/>
        <v>0</v>
      </c>
      <c r="CP13" s="265">
        <f t="shared" si="89"/>
        <v>0</v>
      </c>
      <c r="CQ13" s="265">
        <f t="shared" si="90"/>
        <v>0</v>
      </c>
      <c r="CR13" s="265">
        <f t="shared" si="91"/>
        <v>0</v>
      </c>
      <c r="CS13" s="265">
        <f t="shared" si="92"/>
        <v>0</v>
      </c>
      <c r="CT13" s="265">
        <f t="shared" si="57"/>
        <v>0</v>
      </c>
      <c r="CU13" s="265">
        <f t="shared" si="58"/>
        <v>0</v>
      </c>
      <c r="CV13" s="265">
        <f t="shared" si="59"/>
        <v>0</v>
      </c>
      <c r="CW13" s="265">
        <f t="shared" si="60"/>
        <v>0</v>
      </c>
      <c r="CX13" s="265">
        <f t="shared" si="93"/>
        <v>0</v>
      </c>
      <c r="CY13" s="265">
        <f t="shared" si="94"/>
        <v>0</v>
      </c>
      <c r="CZ13" s="265">
        <f t="shared" si="95"/>
        <v>0</v>
      </c>
      <c r="DA13" s="265">
        <f t="shared" si="96"/>
        <v>0</v>
      </c>
    </row>
    <row r="14" spans="1:105" s="262" customFormat="1" ht="15.75" customHeight="1">
      <c r="A14" s="63" t="str">
        <f t="array" ref="A14">IF(C14&lt;&gt;0,SUM(($C$11:C14&lt;&gt;0)*1),"")</f>
        <v/>
      </c>
      <c r="B14" s="263"/>
      <c r="C14" s="263"/>
      <c r="D14" s="263"/>
      <c r="E14" s="344"/>
      <c r="F14" s="314"/>
      <c r="G14" s="316"/>
      <c r="H14" s="316"/>
      <c r="I14" s="63" t="str">
        <f t="shared" si="0"/>
        <v/>
      </c>
      <c r="J14" s="265">
        <f t="shared" si="61"/>
        <v>0</v>
      </c>
      <c r="K14" s="265">
        <f t="shared" si="62"/>
        <v>0</v>
      </c>
      <c r="L14" s="265">
        <f t="shared" si="1"/>
        <v>0</v>
      </c>
      <c r="M14" s="265">
        <f t="shared" si="2"/>
        <v>0</v>
      </c>
      <c r="N14" s="265">
        <f t="shared" si="3"/>
        <v>0</v>
      </c>
      <c r="O14" s="265">
        <f t="shared" si="4"/>
        <v>0</v>
      </c>
      <c r="P14" s="265">
        <f t="shared" si="5"/>
        <v>0</v>
      </c>
      <c r="Q14" s="265">
        <f t="shared" si="6"/>
        <v>0</v>
      </c>
      <c r="R14" s="265">
        <f t="shared" si="7"/>
        <v>0</v>
      </c>
      <c r="S14" s="265">
        <f t="shared" si="8"/>
        <v>0</v>
      </c>
      <c r="T14" s="265">
        <f t="shared" si="9"/>
        <v>0</v>
      </c>
      <c r="U14" s="265">
        <f t="shared" si="10"/>
        <v>0</v>
      </c>
      <c r="V14" s="265">
        <f t="shared" si="11"/>
        <v>0</v>
      </c>
      <c r="W14" s="265">
        <f t="shared" si="12"/>
        <v>0</v>
      </c>
      <c r="X14" s="265">
        <f t="shared" si="13"/>
        <v>0</v>
      </c>
      <c r="Y14" s="265">
        <f t="shared" si="14"/>
        <v>0</v>
      </c>
      <c r="Z14" s="265">
        <f t="shared" si="15"/>
        <v>0</v>
      </c>
      <c r="AA14" s="265">
        <f t="shared" si="16"/>
        <v>0</v>
      </c>
      <c r="AB14" s="265">
        <f t="shared" si="63"/>
        <v>0</v>
      </c>
      <c r="AC14" s="265">
        <f t="shared" si="64"/>
        <v>0</v>
      </c>
      <c r="AD14" s="265">
        <f t="shared" si="17"/>
        <v>0</v>
      </c>
      <c r="AE14" s="265">
        <f t="shared" si="18"/>
        <v>0</v>
      </c>
      <c r="AF14" s="265">
        <f t="shared" si="19"/>
        <v>0</v>
      </c>
      <c r="AG14" s="265">
        <f t="shared" si="20"/>
        <v>0</v>
      </c>
      <c r="AH14" s="265">
        <f t="shared" si="65"/>
        <v>0</v>
      </c>
      <c r="AI14" s="265">
        <f t="shared" si="66"/>
        <v>0</v>
      </c>
      <c r="AJ14" s="265">
        <f t="shared" si="67"/>
        <v>0</v>
      </c>
      <c r="AK14" s="265">
        <f t="shared" si="68"/>
        <v>0</v>
      </c>
      <c r="AL14" s="265">
        <f t="shared" si="69"/>
        <v>0</v>
      </c>
      <c r="AM14" s="265">
        <f t="shared" si="70"/>
        <v>0</v>
      </c>
      <c r="AN14" s="265">
        <f t="shared" si="71"/>
        <v>0</v>
      </c>
      <c r="AO14" s="265">
        <f t="shared" si="72"/>
        <v>0</v>
      </c>
      <c r="AP14" s="265">
        <f t="shared" si="21"/>
        <v>0</v>
      </c>
      <c r="AQ14" s="265">
        <f t="shared" si="22"/>
        <v>0</v>
      </c>
      <c r="AR14" s="265">
        <f t="shared" si="23"/>
        <v>0</v>
      </c>
      <c r="AS14" s="265">
        <f t="shared" si="24"/>
        <v>0</v>
      </c>
      <c r="AT14" s="265">
        <f t="shared" si="73"/>
        <v>0</v>
      </c>
      <c r="AU14" s="265">
        <f t="shared" si="74"/>
        <v>0</v>
      </c>
      <c r="AV14" s="265">
        <f t="shared" si="25"/>
        <v>0</v>
      </c>
      <c r="AW14" s="265">
        <f t="shared" si="26"/>
        <v>0</v>
      </c>
      <c r="AX14" s="265">
        <f t="shared" si="27"/>
        <v>0</v>
      </c>
      <c r="AY14" s="265">
        <f t="shared" si="28"/>
        <v>0</v>
      </c>
      <c r="AZ14" s="265">
        <f t="shared" si="29"/>
        <v>0</v>
      </c>
      <c r="BA14" s="265">
        <f t="shared" si="30"/>
        <v>0</v>
      </c>
      <c r="BB14" s="265">
        <f t="shared" si="31"/>
        <v>0</v>
      </c>
      <c r="BC14" s="265">
        <f t="shared" si="32"/>
        <v>0</v>
      </c>
      <c r="BD14" s="265">
        <f t="shared" si="33"/>
        <v>0</v>
      </c>
      <c r="BE14" s="265">
        <f t="shared" si="34"/>
        <v>0</v>
      </c>
      <c r="BF14" s="265">
        <f t="shared" si="35"/>
        <v>0</v>
      </c>
      <c r="BG14" s="265">
        <f t="shared" si="36"/>
        <v>0</v>
      </c>
      <c r="BH14" s="265">
        <f t="shared" si="75"/>
        <v>0</v>
      </c>
      <c r="BI14" s="265">
        <f t="shared" si="76"/>
        <v>0</v>
      </c>
      <c r="BJ14" s="265">
        <f t="shared" si="37"/>
        <v>0</v>
      </c>
      <c r="BK14" s="265">
        <f t="shared" si="38"/>
        <v>0</v>
      </c>
      <c r="BL14" s="265">
        <f t="shared" si="39"/>
        <v>0</v>
      </c>
      <c r="BM14" s="265">
        <f t="shared" si="40"/>
        <v>0</v>
      </c>
      <c r="BN14" s="265">
        <f t="shared" si="41"/>
        <v>0</v>
      </c>
      <c r="BO14" s="265">
        <f t="shared" si="42"/>
        <v>0</v>
      </c>
      <c r="BP14" s="265">
        <f t="shared" si="77"/>
        <v>0</v>
      </c>
      <c r="BQ14" s="265">
        <f t="shared" si="78"/>
        <v>0</v>
      </c>
      <c r="BR14" s="265">
        <f t="shared" si="43"/>
        <v>0</v>
      </c>
      <c r="BS14" s="265">
        <f t="shared" si="44"/>
        <v>0</v>
      </c>
      <c r="BT14" s="265">
        <f t="shared" si="79"/>
        <v>0</v>
      </c>
      <c r="BU14" s="265">
        <f t="shared" si="80"/>
        <v>0</v>
      </c>
      <c r="BV14" s="265">
        <f t="shared" si="81"/>
        <v>0</v>
      </c>
      <c r="BW14" s="265">
        <f t="shared" si="82"/>
        <v>0</v>
      </c>
      <c r="BX14" s="265">
        <f t="shared" si="45"/>
        <v>0</v>
      </c>
      <c r="BY14" s="265">
        <f t="shared" si="46"/>
        <v>0</v>
      </c>
      <c r="BZ14" s="265">
        <f t="shared" si="47"/>
        <v>0</v>
      </c>
      <c r="CA14" s="265">
        <f t="shared" si="48"/>
        <v>0</v>
      </c>
      <c r="CB14" s="265">
        <f t="shared" si="49"/>
        <v>0</v>
      </c>
      <c r="CC14" s="265">
        <f t="shared" si="50"/>
        <v>0</v>
      </c>
      <c r="CD14" s="265">
        <f t="shared" si="83"/>
        <v>0</v>
      </c>
      <c r="CE14" s="265">
        <f t="shared" si="84"/>
        <v>0</v>
      </c>
      <c r="CF14" s="265">
        <f t="shared" si="85"/>
        <v>0</v>
      </c>
      <c r="CG14" s="265">
        <f t="shared" si="86"/>
        <v>0</v>
      </c>
      <c r="CH14" s="265">
        <f t="shared" si="51"/>
        <v>0</v>
      </c>
      <c r="CI14" s="265">
        <f t="shared" si="52"/>
        <v>0</v>
      </c>
      <c r="CJ14" s="265">
        <f t="shared" si="87"/>
        <v>0</v>
      </c>
      <c r="CK14" s="265">
        <f t="shared" si="88"/>
        <v>0</v>
      </c>
      <c r="CL14" s="265">
        <f t="shared" si="53"/>
        <v>0</v>
      </c>
      <c r="CM14" s="265">
        <f t="shared" si="54"/>
        <v>0</v>
      </c>
      <c r="CN14" s="265">
        <f t="shared" si="55"/>
        <v>0</v>
      </c>
      <c r="CO14" s="265">
        <f t="shared" si="56"/>
        <v>0</v>
      </c>
      <c r="CP14" s="265">
        <f t="shared" si="89"/>
        <v>0</v>
      </c>
      <c r="CQ14" s="265">
        <f t="shared" si="90"/>
        <v>0</v>
      </c>
      <c r="CR14" s="265">
        <f t="shared" si="91"/>
        <v>0</v>
      </c>
      <c r="CS14" s="265">
        <f t="shared" si="92"/>
        <v>0</v>
      </c>
      <c r="CT14" s="265">
        <f t="shared" si="57"/>
        <v>0</v>
      </c>
      <c r="CU14" s="265">
        <f t="shared" si="58"/>
        <v>0</v>
      </c>
      <c r="CV14" s="265">
        <f t="shared" si="59"/>
        <v>0</v>
      </c>
      <c r="CW14" s="265">
        <f t="shared" si="60"/>
        <v>0</v>
      </c>
      <c r="CX14" s="265">
        <f t="shared" si="93"/>
        <v>0</v>
      </c>
      <c r="CY14" s="265">
        <f t="shared" si="94"/>
        <v>0</v>
      </c>
      <c r="CZ14" s="265">
        <f t="shared" si="95"/>
        <v>0</v>
      </c>
      <c r="DA14" s="265">
        <f t="shared" si="96"/>
        <v>0</v>
      </c>
    </row>
    <row r="15" spans="1:105" s="262" customFormat="1" ht="15.75" customHeight="1">
      <c r="A15" s="63" t="str">
        <f t="array" ref="A15">IF(C15&lt;&gt;0,SUM(($C$11:C15&lt;&gt;0)*1),"")</f>
        <v/>
      </c>
      <c r="B15" s="263"/>
      <c r="C15" s="263"/>
      <c r="D15" s="263"/>
      <c r="E15" s="344"/>
      <c r="F15" s="314"/>
      <c r="G15" s="316"/>
      <c r="H15" s="316"/>
      <c r="I15" s="63" t="str">
        <f t="shared" si="0"/>
        <v/>
      </c>
      <c r="J15" s="265">
        <f t="shared" si="61"/>
        <v>0</v>
      </c>
      <c r="K15" s="265">
        <f t="shared" si="62"/>
        <v>0</v>
      </c>
      <c r="L15" s="265">
        <f t="shared" si="1"/>
        <v>0</v>
      </c>
      <c r="M15" s="265">
        <f t="shared" si="2"/>
        <v>0</v>
      </c>
      <c r="N15" s="265">
        <f t="shared" si="3"/>
        <v>0</v>
      </c>
      <c r="O15" s="265">
        <f t="shared" si="4"/>
        <v>0</v>
      </c>
      <c r="P15" s="265">
        <f t="shared" si="5"/>
        <v>0</v>
      </c>
      <c r="Q15" s="265">
        <f t="shared" si="6"/>
        <v>0</v>
      </c>
      <c r="R15" s="265">
        <f t="shared" si="7"/>
        <v>0</v>
      </c>
      <c r="S15" s="265">
        <f t="shared" si="8"/>
        <v>0</v>
      </c>
      <c r="T15" s="265">
        <f t="shared" si="9"/>
        <v>0</v>
      </c>
      <c r="U15" s="265">
        <f t="shared" si="10"/>
        <v>0</v>
      </c>
      <c r="V15" s="265">
        <f t="shared" si="11"/>
        <v>0</v>
      </c>
      <c r="W15" s="265">
        <f t="shared" si="12"/>
        <v>0</v>
      </c>
      <c r="X15" s="265">
        <f t="shared" si="13"/>
        <v>0</v>
      </c>
      <c r="Y15" s="265">
        <f t="shared" si="14"/>
        <v>0</v>
      </c>
      <c r="Z15" s="265">
        <f t="shared" si="15"/>
        <v>0</v>
      </c>
      <c r="AA15" s="265">
        <f t="shared" si="16"/>
        <v>0</v>
      </c>
      <c r="AB15" s="265">
        <f t="shared" si="63"/>
        <v>0</v>
      </c>
      <c r="AC15" s="265">
        <f t="shared" si="64"/>
        <v>0</v>
      </c>
      <c r="AD15" s="265">
        <f t="shared" si="17"/>
        <v>0</v>
      </c>
      <c r="AE15" s="265">
        <f t="shared" si="18"/>
        <v>0</v>
      </c>
      <c r="AF15" s="265">
        <f t="shared" si="19"/>
        <v>0</v>
      </c>
      <c r="AG15" s="265">
        <f t="shared" si="20"/>
        <v>0</v>
      </c>
      <c r="AH15" s="265">
        <f t="shared" si="65"/>
        <v>0</v>
      </c>
      <c r="AI15" s="265">
        <f t="shared" si="66"/>
        <v>0</v>
      </c>
      <c r="AJ15" s="265">
        <f t="shared" si="67"/>
        <v>0</v>
      </c>
      <c r="AK15" s="265">
        <f t="shared" si="68"/>
        <v>0</v>
      </c>
      <c r="AL15" s="265">
        <f t="shared" si="69"/>
        <v>0</v>
      </c>
      <c r="AM15" s="265">
        <f t="shared" si="70"/>
        <v>0</v>
      </c>
      <c r="AN15" s="265">
        <f t="shared" si="71"/>
        <v>0</v>
      </c>
      <c r="AO15" s="265">
        <f t="shared" si="72"/>
        <v>0</v>
      </c>
      <c r="AP15" s="265">
        <f t="shared" si="21"/>
        <v>0</v>
      </c>
      <c r="AQ15" s="265">
        <f t="shared" si="22"/>
        <v>0</v>
      </c>
      <c r="AR15" s="265">
        <f t="shared" si="23"/>
        <v>0</v>
      </c>
      <c r="AS15" s="265">
        <f t="shared" si="24"/>
        <v>0</v>
      </c>
      <c r="AT15" s="265">
        <f t="shared" si="73"/>
        <v>0</v>
      </c>
      <c r="AU15" s="265">
        <f t="shared" si="74"/>
        <v>0</v>
      </c>
      <c r="AV15" s="265">
        <f t="shared" si="25"/>
        <v>0</v>
      </c>
      <c r="AW15" s="265">
        <f t="shared" si="26"/>
        <v>0</v>
      </c>
      <c r="AX15" s="265">
        <f t="shared" si="27"/>
        <v>0</v>
      </c>
      <c r="AY15" s="265">
        <f t="shared" si="28"/>
        <v>0</v>
      </c>
      <c r="AZ15" s="265">
        <f t="shared" si="29"/>
        <v>0</v>
      </c>
      <c r="BA15" s="265">
        <f t="shared" si="30"/>
        <v>0</v>
      </c>
      <c r="BB15" s="265">
        <f t="shared" si="31"/>
        <v>0</v>
      </c>
      <c r="BC15" s="265">
        <f t="shared" si="32"/>
        <v>0</v>
      </c>
      <c r="BD15" s="265">
        <f t="shared" si="33"/>
        <v>0</v>
      </c>
      <c r="BE15" s="265">
        <f t="shared" si="34"/>
        <v>0</v>
      </c>
      <c r="BF15" s="265">
        <f t="shared" si="35"/>
        <v>0</v>
      </c>
      <c r="BG15" s="265">
        <f t="shared" si="36"/>
        <v>0</v>
      </c>
      <c r="BH15" s="265">
        <f t="shared" si="75"/>
        <v>0</v>
      </c>
      <c r="BI15" s="265">
        <f t="shared" si="76"/>
        <v>0</v>
      </c>
      <c r="BJ15" s="265">
        <f t="shared" si="37"/>
        <v>0</v>
      </c>
      <c r="BK15" s="265">
        <f t="shared" si="38"/>
        <v>0</v>
      </c>
      <c r="BL15" s="265">
        <f t="shared" si="39"/>
        <v>0</v>
      </c>
      <c r="BM15" s="265">
        <f t="shared" si="40"/>
        <v>0</v>
      </c>
      <c r="BN15" s="265">
        <f t="shared" si="41"/>
        <v>0</v>
      </c>
      <c r="BO15" s="265">
        <f t="shared" si="42"/>
        <v>0</v>
      </c>
      <c r="BP15" s="265">
        <f t="shared" si="77"/>
        <v>0</v>
      </c>
      <c r="BQ15" s="265">
        <f t="shared" si="78"/>
        <v>0</v>
      </c>
      <c r="BR15" s="265">
        <f t="shared" si="43"/>
        <v>0</v>
      </c>
      <c r="BS15" s="265">
        <f t="shared" si="44"/>
        <v>0</v>
      </c>
      <c r="BT15" s="265">
        <f t="shared" si="79"/>
        <v>0</v>
      </c>
      <c r="BU15" s="265">
        <f t="shared" si="80"/>
        <v>0</v>
      </c>
      <c r="BV15" s="265">
        <f t="shared" si="81"/>
        <v>0</v>
      </c>
      <c r="BW15" s="265">
        <f t="shared" si="82"/>
        <v>0</v>
      </c>
      <c r="BX15" s="265">
        <f t="shared" si="45"/>
        <v>0</v>
      </c>
      <c r="BY15" s="265">
        <f t="shared" si="46"/>
        <v>0</v>
      </c>
      <c r="BZ15" s="265">
        <f t="shared" si="47"/>
        <v>0</v>
      </c>
      <c r="CA15" s="265">
        <f t="shared" si="48"/>
        <v>0</v>
      </c>
      <c r="CB15" s="265">
        <f t="shared" si="49"/>
        <v>0</v>
      </c>
      <c r="CC15" s="265">
        <f t="shared" si="50"/>
        <v>0</v>
      </c>
      <c r="CD15" s="265">
        <f t="shared" si="83"/>
        <v>0</v>
      </c>
      <c r="CE15" s="265">
        <f t="shared" si="84"/>
        <v>0</v>
      </c>
      <c r="CF15" s="265">
        <f t="shared" si="85"/>
        <v>0</v>
      </c>
      <c r="CG15" s="265">
        <f t="shared" si="86"/>
        <v>0</v>
      </c>
      <c r="CH15" s="265">
        <f t="shared" si="51"/>
        <v>0</v>
      </c>
      <c r="CI15" s="265">
        <f t="shared" si="52"/>
        <v>0</v>
      </c>
      <c r="CJ15" s="265">
        <f t="shared" si="87"/>
        <v>0</v>
      </c>
      <c r="CK15" s="265">
        <f t="shared" si="88"/>
        <v>0</v>
      </c>
      <c r="CL15" s="265">
        <f t="shared" si="53"/>
        <v>0</v>
      </c>
      <c r="CM15" s="265">
        <f t="shared" si="54"/>
        <v>0</v>
      </c>
      <c r="CN15" s="265">
        <f t="shared" si="55"/>
        <v>0</v>
      </c>
      <c r="CO15" s="265">
        <f t="shared" si="56"/>
        <v>0</v>
      </c>
      <c r="CP15" s="265">
        <f t="shared" si="89"/>
        <v>0</v>
      </c>
      <c r="CQ15" s="265">
        <f t="shared" si="90"/>
        <v>0</v>
      </c>
      <c r="CR15" s="265">
        <f t="shared" si="91"/>
        <v>0</v>
      </c>
      <c r="CS15" s="265">
        <f t="shared" si="92"/>
        <v>0</v>
      </c>
      <c r="CT15" s="265">
        <f t="shared" si="57"/>
        <v>0</v>
      </c>
      <c r="CU15" s="265">
        <f t="shared" si="58"/>
        <v>0</v>
      </c>
      <c r="CV15" s="265">
        <f t="shared" si="59"/>
        <v>0</v>
      </c>
      <c r="CW15" s="265">
        <f t="shared" si="60"/>
        <v>0</v>
      </c>
      <c r="CX15" s="265">
        <f t="shared" si="93"/>
        <v>0</v>
      </c>
      <c r="CY15" s="265">
        <f t="shared" si="94"/>
        <v>0</v>
      </c>
      <c r="CZ15" s="265">
        <f t="shared" si="95"/>
        <v>0</v>
      </c>
      <c r="DA15" s="265">
        <f t="shared" si="96"/>
        <v>0</v>
      </c>
    </row>
    <row r="16" spans="1:105" s="262" customFormat="1" ht="15.75" customHeight="1">
      <c r="A16" s="63" t="str">
        <f t="array" ref="A16">IF(C16&lt;&gt;0,SUM(($C$11:C16&lt;&gt;0)*1),"")</f>
        <v/>
      </c>
      <c r="B16" s="263"/>
      <c r="C16" s="263"/>
      <c r="D16" s="263"/>
      <c r="E16" s="344"/>
      <c r="F16" s="314"/>
      <c r="G16" s="316"/>
      <c r="H16" s="316"/>
      <c r="I16" s="63" t="str">
        <f t="shared" si="0"/>
        <v/>
      </c>
      <c r="J16" s="265">
        <f t="shared" si="61"/>
        <v>0</v>
      </c>
      <c r="K16" s="265">
        <f t="shared" si="62"/>
        <v>0</v>
      </c>
      <c r="L16" s="265">
        <f t="shared" si="1"/>
        <v>0</v>
      </c>
      <c r="M16" s="265">
        <f t="shared" si="2"/>
        <v>0</v>
      </c>
      <c r="N16" s="265">
        <f t="shared" si="3"/>
        <v>0</v>
      </c>
      <c r="O16" s="265">
        <f t="shared" si="4"/>
        <v>0</v>
      </c>
      <c r="P16" s="265">
        <f t="shared" si="5"/>
        <v>0</v>
      </c>
      <c r="Q16" s="265">
        <f t="shared" si="6"/>
        <v>0</v>
      </c>
      <c r="R16" s="265">
        <f t="shared" si="7"/>
        <v>0</v>
      </c>
      <c r="S16" s="265">
        <f t="shared" si="8"/>
        <v>0</v>
      </c>
      <c r="T16" s="265">
        <f t="shared" si="9"/>
        <v>0</v>
      </c>
      <c r="U16" s="265">
        <f t="shared" si="10"/>
        <v>0</v>
      </c>
      <c r="V16" s="265">
        <f t="shared" si="11"/>
        <v>0</v>
      </c>
      <c r="W16" s="265">
        <f t="shared" si="12"/>
        <v>0</v>
      </c>
      <c r="X16" s="265">
        <f t="shared" si="13"/>
        <v>0</v>
      </c>
      <c r="Y16" s="265">
        <f t="shared" si="14"/>
        <v>0</v>
      </c>
      <c r="Z16" s="265">
        <f t="shared" si="15"/>
        <v>0</v>
      </c>
      <c r="AA16" s="265">
        <f t="shared" si="16"/>
        <v>0</v>
      </c>
      <c r="AB16" s="265">
        <f t="shared" si="63"/>
        <v>0</v>
      </c>
      <c r="AC16" s="265">
        <f t="shared" si="64"/>
        <v>0</v>
      </c>
      <c r="AD16" s="265">
        <f t="shared" si="17"/>
        <v>0</v>
      </c>
      <c r="AE16" s="265">
        <f t="shared" si="18"/>
        <v>0</v>
      </c>
      <c r="AF16" s="265">
        <f t="shared" si="19"/>
        <v>0</v>
      </c>
      <c r="AG16" s="265">
        <f t="shared" si="20"/>
        <v>0</v>
      </c>
      <c r="AH16" s="265">
        <f t="shared" si="65"/>
        <v>0</v>
      </c>
      <c r="AI16" s="265">
        <f t="shared" si="66"/>
        <v>0</v>
      </c>
      <c r="AJ16" s="265">
        <f t="shared" si="67"/>
        <v>0</v>
      </c>
      <c r="AK16" s="265">
        <f t="shared" si="68"/>
        <v>0</v>
      </c>
      <c r="AL16" s="265">
        <f t="shared" si="69"/>
        <v>0</v>
      </c>
      <c r="AM16" s="265">
        <f t="shared" si="70"/>
        <v>0</v>
      </c>
      <c r="AN16" s="265">
        <f t="shared" si="71"/>
        <v>0</v>
      </c>
      <c r="AO16" s="265">
        <f t="shared" si="72"/>
        <v>0</v>
      </c>
      <c r="AP16" s="265">
        <f t="shared" si="21"/>
        <v>0</v>
      </c>
      <c r="AQ16" s="265">
        <f t="shared" si="22"/>
        <v>0</v>
      </c>
      <c r="AR16" s="265">
        <f t="shared" si="23"/>
        <v>0</v>
      </c>
      <c r="AS16" s="265">
        <f t="shared" si="24"/>
        <v>0</v>
      </c>
      <c r="AT16" s="265">
        <f t="shared" si="73"/>
        <v>0</v>
      </c>
      <c r="AU16" s="265">
        <f t="shared" si="74"/>
        <v>0</v>
      </c>
      <c r="AV16" s="265">
        <f t="shared" si="25"/>
        <v>0</v>
      </c>
      <c r="AW16" s="265">
        <f t="shared" si="26"/>
        <v>0</v>
      </c>
      <c r="AX16" s="265">
        <f t="shared" si="27"/>
        <v>0</v>
      </c>
      <c r="AY16" s="265">
        <f t="shared" si="28"/>
        <v>0</v>
      </c>
      <c r="AZ16" s="265">
        <f t="shared" si="29"/>
        <v>0</v>
      </c>
      <c r="BA16" s="265">
        <f t="shared" si="30"/>
        <v>0</v>
      </c>
      <c r="BB16" s="265">
        <f t="shared" si="31"/>
        <v>0</v>
      </c>
      <c r="BC16" s="265">
        <f t="shared" si="32"/>
        <v>0</v>
      </c>
      <c r="BD16" s="265">
        <f t="shared" si="33"/>
        <v>0</v>
      </c>
      <c r="BE16" s="265">
        <f t="shared" si="34"/>
        <v>0</v>
      </c>
      <c r="BF16" s="265">
        <f t="shared" si="35"/>
        <v>0</v>
      </c>
      <c r="BG16" s="265">
        <f t="shared" si="36"/>
        <v>0</v>
      </c>
      <c r="BH16" s="265">
        <f t="shared" si="75"/>
        <v>0</v>
      </c>
      <c r="BI16" s="265">
        <f t="shared" si="76"/>
        <v>0</v>
      </c>
      <c r="BJ16" s="265">
        <f t="shared" si="37"/>
        <v>0</v>
      </c>
      <c r="BK16" s="265">
        <f t="shared" si="38"/>
        <v>0</v>
      </c>
      <c r="BL16" s="265">
        <f t="shared" si="39"/>
        <v>0</v>
      </c>
      <c r="BM16" s="265">
        <f t="shared" si="40"/>
        <v>0</v>
      </c>
      <c r="BN16" s="265">
        <f t="shared" si="41"/>
        <v>0</v>
      </c>
      <c r="BO16" s="265">
        <f t="shared" si="42"/>
        <v>0</v>
      </c>
      <c r="BP16" s="265">
        <f t="shared" si="77"/>
        <v>0</v>
      </c>
      <c r="BQ16" s="265">
        <f t="shared" si="78"/>
        <v>0</v>
      </c>
      <c r="BR16" s="265">
        <f t="shared" si="43"/>
        <v>0</v>
      </c>
      <c r="BS16" s="265">
        <f t="shared" si="44"/>
        <v>0</v>
      </c>
      <c r="BT16" s="265">
        <f t="shared" si="79"/>
        <v>0</v>
      </c>
      <c r="BU16" s="265">
        <f t="shared" si="80"/>
        <v>0</v>
      </c>
      <c r="BV16" s="265">
        <f t="shared" si="81"/>
        <v>0</v>
      </c>
      <c r="BW16" s="265">
        <f t="shared" si="82"/>
        <v>0</v>
      </c>
      <c r="BX16" s="265">
        <f t="shared" si="45"/>
        <v>0</v>
      </c>
      <c r="BY16" s="265">
        <f t="shared" si="46"/>
        <v>0</v>
      </c>
      <c r="BZ16" s="265">
        <f t="shared" si="47"/>
        <v>0</v>
      </c>
      <c r="CA16" s="265">
        <f t="shared" si="48"/>
        <v>0</v>
      </c>
      <c r="CB16" s="265">
        <f t="shared" si="49"/>
        <v>0</v>
      </c>
      <c r="CC16" s="265">
        <f t="shared" si="50"/>
        <v>0</v>
      </c>
      <c r="CD16" s="265">
        <f t="shared" si="83"/>
        <v>0</v>
      </c>
      <c r="CE16" s="265">
        <f t="shared" si="84"/>
        <v>0</v>
      </c>
      <c r="CF16" s="265">
        <f t="shared" si="85"/>
        <v>0</v>
      </c>
      <c r="CG16" s="265">
        <f t="shared" si="86"/>
        <v>0</v>
      </c>
      <c r="CH16" s="265">
        <f t="shared" si="51"/>
        <v>0</v>
      </c>
      <c r="CI16" s="265">
        <f t="shared" si="52"/>
        <v>0</v>
      </c>
      <c r="CJ16" s="265">
        <f t="shared" si="87"/>
        <v>0</v>
      </c>
      <c r="CK16" s="265">
        <f t="shared" si="88"/>
        <v>0</v>
      </c>
      <c r="CL16" s="265">
        <f t="shared" si="53"/>
        <v>0</v>
      </c>
      <c r="CM16" s="265">
        <f t="shared" si="54"/>
        <v>0</v>
      </c>
      <c r="CN16" s="265">
        <f t="shared" si="55"/>
        <v>0</v>
      </c>
      <c r="CO16" s="265">
        <f t="shared" si="56"/>
        <v>0</v>
      </c>
      <c r="CP16" s="265">
        <f t="shared" si="89"/>
        <v>0</v>
      </c>
      <c r="CQ16" s="265">
        <f t="shared" si="90"/>
        <v>0</v>
      </c>
      <c r="CR16" s="265">
        <f t="shared" si="91"/>
        <v>0</v>
      </c>
      <c r="CS16" s="265">
        <f t="shared" si="92"/>
        <v>0</v>
      </c>
      <c r="CT16" s="265">
        <f t="shared" si="57"/>
        <v>0</v>
      </c>
      <c r="CU16" s="265">
        <f t="shared" si="58"/>
        <v>0</v>
      </c>
      <c r="CV16" s="265">
        <f t="shared" si="59"/>
        <v>0</v>
      </c>
      <c r="CW16" s="265">
        <f t="shared" si="60"/>
        <v>0</v>
      </c>
      <c r="CX16" s="265">
        <f t="shared" si="93"/>
        <v>0</v>
      </c>
      <c r="CY16" s="265">
        <f t="shared" si="94"/>
        <v>0</v>
      </c>
      <c r="CZ16" s="265">
        <f t="shared" si="95"/>
        <v>0</v>
      </c>
      <c r="DA16" s="265">
        <f t="shared" si="96"/>
        <v>0</v>
      </c>
    </row>
    <row r="17" spans="1:105" s="262" customFormat="1" ht="15.75" customHeight="1">
      <c r="A17" s="63" t="str">
        <f t="array" ref="A17">IF(C17&lt;&gt;0,SUM(($C$11:C17&lt;&gt;0)*1),"")</f>
        <v/>
      </c>
      <c r="B17" s="263"/>
      <c r="C17" s="263"/>
      <c r="D17" s="263"/>
      <c r="E17" s="344"/>
      <c r="F17" s="314"/>
      <c r="G17" s="316"/>
      <c r="H17" s="316"/>
      <c r="I17" s="63" t="str">
        <f t="shared" si="0"/>
        <v/>
      </c>
      <c r="J17" s="265">
        <f t="shared" si="61"/>
        <v>0</v>
      </c>
      <c r="K17" s="265">
        <f t="shared" si="62"/>
        <v>0</v>
      </c>
      <c r="L17" s="265">
        <f t="shared" si="1"/>
        <v>0</v>
      </c>
      <c r="M17" s="265">
        <f t="shared" si="2"/>
        <v>0</v>
      </c>
      <c r="N17" s="265">
        <f t="shared" si="3"/>
        <v>0</v>
      </c>
      <c r="O17" s="265">
        <f t="shared" si="4"/>
        <v>0</v>
      </c>
      <c r="P17" s="265">
        <f t="shared" si="5"/>
        <v>0</v>
      </c>
      <c r="Q17" s="265">
        <f t="shared" si="6"/>
        <v>0</v>
      </c>
      <c r="R17" s="265">
        <f t="shared" si="7"/>
        <v>0</v>
      </c>
      <c r="S17" s="265">
        <f t="shared" si="8"/>
        <v>0</v>
      </c>
      <c r="T17" s="265">
        <f t="shared" si="9"/>
        <v>0</v>
      </c>
      <c r="U17" s="265">
        <f t="shared" si="10"/>
        <v>0</v>
      </c>
      <c r="V17" s="265">
        <f t="shared" si="11"/>
        <v>0</v>
      </c>
      <c r="W17" s="265">
        <f t="shared" si="12"/>
        <v>0</v>
      </c>
      <c r="X17" s="265">
        <f t="shared" si="13"/>
        <v>0</v>
      </c>
      <c r="Y17" s="265">
        <f t="shared" si="14"/>
        <v>0</v>
      </c>
      <c r="Z17" s="265">
        <f t="shared" si="15"/>
        <v>0</v>
      </c>
      <c r="AA17" s="265">
        <f t="shared" si="16"/>
        <v>0</v>
      </c>
      <c r="AB17" s="265">
        <f t="shared" si="63"/>
        <v>0</v>
      </c>
      <c r="AC17" s="265">
        <f t="shared" si="64"/>
        <v>0</v>
      </c>
      <c r="AD17" s="265">
        <f t="shared" si="17"/>
        <v>0</v>
      </c>
      <c r="AE17" s="265">
        <f t="shared" si="18"/>
        <v>0</v>
      </c>
      <c r="AF17" s="265">
        <f t="shared" si="19"/>
        <v>0</v>
      </c>
      <c r="AG17" s="265">
        <f t="shared" si="20"/>
        <v>0</v>
      </c>
      <c r="AH17" s="265">
        <f t="shared" si="65"/>
        <v>0</v>
      </c>
      <c r="AI17" s="265">
        <f t="shared" si="66"/>
        <v>0</v>
      </c>
      <c r="AJ17" s="265">
        <f t="shared" si="67"/>
        <v>0</v>
      </c>
      <c r="AK17" s="265">
        <f t="shared" si="68"/>
        <v>0</v>
      </c>
      <c r="AL17" s="265">
        <f t="shared" si="69"/>
        <v>0</v>
      </c>
      <c r="AM17" s="265">
        <f t="shared" si="70"/>
        <v>0</v>
      </c>
      <c r="AN17" s="265">
        <f t="shared" si="71"/>
        <v>0</v>
      </c>
      <c r="AO17" s="265">
        <f t="shared" si="72"/>
        <v>0</v>
      </c>
      <c r="AP17" s="265">
        <f t="shared" si="21"/>
        <v>0</v>
      </c>
      <c r="AQ17" s="265">
        <f t="shared" si="22"/>
        <v>0</v>
      </c>
      <c r="AR17" s="265">
        <f t="shared" si="23"/>
        <v>0</v>
      </c>
      <c r="AS17" s="265">
        <f t="shared" si="24"/>
        <v>0</v>
      </c>
      <c r="AT17" s="265">
        <f t="shared" si="73"/>
        <v>0</v>
      </c>
      <c r="AU17" s="265">
        <f t="shared" si="74"/>
        <v>0</v>
      </c>
      <c r="AV17" s="265">
        <f t="shared" si="25"/>
        <v>0</v>
      </c>
      <c r="AW17" s="265">
        <f t="shared" si="26"/>
        <v>0</v>
      </c>
      <c r="AX17" s="265">
        <f t="shared" si="27"/>
        <v>0</v>
      </c>
      <c r="AY17" s="265">
        <f t="shared" si="28"/>
        <v>0</v>
      </c>
      <c r="AZ17" s="265">
        <f t="shared" si="29"/>
        <v>0</v>
      </c>
      <c r="BA17" s="265">
        <f t="shared" si="30"/>
        <v>0</v>
      </c>
      <c r="BB17" s="265">
        <f t="shared" si="31"/>
        <v>0</v>
      </c>
      <c r="BC17" s="265">
        <f t="shared" si="32"/>
        <v>0</v>
      </c>
      <c r="BD17" s="265">
        <f t="shared" si="33"/>
        <v>0</v>
      </c>
      <c r="BE17" s="265">
        <f t="shared" si="34"/>
        <v>0</v>
      </c>
      <c r="BF17" s="265">
        <f t="shared" si="35"/>
        <v>0</v>
      </c>
      <c r="BG17" s="265">
        <f t="shared" si="36"/>
        <v>0</v>
      </c>
      <c r="BH17" s="265">
        <f t="shared" si="75"/>
        <v>0</v>
      </c>
      <c r="BI17" s="265">
        <f t="shared" si="76"/>
        <v>0</v>
      </c>
      <c r="BJ17" s="265">
        <f t="shared" si="37"/>
        <v>0</v>
      </c>
      <c r="BK17" s="265">
        <f t="shared" si="38"/>
        <v>0</v>
      </c>
      <c r="BL17" s="265">
        <f t="shared" si="39"/>
        <v>0</v>
      </c>
      <c r="BM17" s="265">
        <f t="shared" si="40"/>
        <v>0</v>
      </c>
      <c r="BN17" s="265">
        <f t="shared" si="41"/>
        <v>0</v>
      </c>
      <c r="BO17" s="265">
        <f t="shared" si="42"/>
        <v>0</v>
      </c>
      <c r="BP17" s="265">
        <f t="shared" si="77"/>
        <v>0</v>
      </c>
      <c r="BQ17" s="265">
        <f t="shared" si="78"/>
        <v>0</v>
      </c>
      <c r="BR17" s="265">
        <f t="shared" si="43"/>
        <v>0</v>
      </c>
      <c r="BS17" s="265">
        <f t="shared" si="44"/>
        <v>0</v>
      </c>
      <c r="BT17" s="265">
        <f t="shared" si="79"/>
        <v>0</v>
      </c>
      <c r="BU17" s="265">
        <f t="shared" si="80"/>
        <v>0</v>
      </c>
      <c r="BV17" s="265">
        <f t="shared" si="81"/>
        <v>0</v>
      </c>
      <c r="BW17" s="265">
        <f t="shared" si="82"/>
        <v>0</v>
      </c>
      <c r="BX17" s="265">
        <f t="shared" si="45"/>
        <v>0</v>
      </c>
      <c r="BY17" s="265">
        <f t="shared" si="46"/>
        <v>0</v>
      </c>
      <c r="BZ17" s="265">
        <f t="shared" si="47"/>
        <v>0</v>
      </c>
      <c r="CA17" s="265">
        <f t="shared" si="48"/>
        <v>0</v>
      </c>
      <c r="CB17" s="265">
        <f t="shared" si="49"/>
        <v>0</v>
      </c>
      <c r="CC17" s="265">
        <f t="shared" si="50"/>
        <v>0</v>
      </c>
      <c r="CD17" s="265">
        <f t="shared" si="83"/>
        <v>0</v>
      </c>
      <c r="CE17" s="265">
        <f t="shared" si="84"/>
        <v>0</v>
      </c>
      <c r="CF17" s="265">
        <f t="shared" si="85"/>
        <v>0</v>
      </c>
      <c r="CG17" s="265">
        <f t="shared" si="86"/>
        <v>0</v>
      </c>
      <c r="CH17" s="265">
        <f t="shared" si="51"/>
        <v>0</v>
      </c>
      <c r="CI17" s="265">
        <f t="shared" si="52"/>
        <v>0</v>
      </c>
      <c r="CJ17" s="265">
        <f t="shared" si="87"/>
        <v>0</v>
      </c>
      <c r="CK17" s="265">
        <f t="shared" si="88"/>
        <v>0</v>
      </c>
      <c r="CL17" s="265">
        <f t="shared" si="53"/>
        <v>0</v>
      </c>
      <c r="CM17" s="265">
        <f t="shared" si="54"/>
        <v>0</v>
      </c>
      <c r="CN17" s="265">
        <f t="shared" si="55"/>
        <v>0</v>
      </c>
      <c r="CO17" s="265">
        <f t="shared" si="56"/>
        <v>0</v>
      </c>
      <c r="CP17" s="265">
        <f t="shared" si="89"/>
        <v>0</v>
      </c>
      <c r="CQ17" s="265">
        <f t="shared" si="90"/>
        <v>0</v>
      </c>
      <c r="CR17" s="265">
        <f t="shared" si="91"/>
        <v>0</v>
      </c>
      <c r="CS17" s="265">
        <f t="shared" si="92"/>
        <v>0</v>
      </c>
      <c r="CT17" s="265">
        <f t="shared" si="57"/>
        <v>0</v>
      </c>
      <c r="CU17" s="265">
        <f t="shared" si="58"/>
        <v>0</v>
      </c>
      <c r="CV17" s="265">
        <f t="shared" si="59"/>
        <v>0</v>
      </c>
      <c r="CW17" s="265">
        <f t="shared" si="60"/>
        <v>0</v>
      </c>
      <c r="CX17" s="265">
        <f t="shared" si="93"/>
        <v>0</v>
      </c>
      <c r="CY17" s="265">
        <f t="shared" si="94"/>
        <v>0</v>
      </c>
      <c r="CZ17" s="265">
        <f t="shared" si="95"/>
        <v>0</v>
      </c>
      <c r="DA17" s="265">
        <f t="shared" si="96"/>
        <v>0</v>
      </c>
    </row>
    <row r="18" spans="1:105" s="262" customFormat="1" ht="15.75" customHeight="1">
      <c r="A18" s="63" t="str">
        <f t="array" ref="A18">IF(C18&lt;&gt;0,SUM(($C$11:C18&lt;&gt;0)*1),"")</f>
        <v/>
      </c>
      <c r="B18" s="263"/>
      <c r="C18" s="263"/>
      <c r="D18" s="263"/>
      <c r="E18" s="344"/>
      <c r="F18" s="314"/>
      <c r="G18" s="316"/>
      <c r="H18" s="316"/>
      <c r="I18" s="63" t="str">
        <f t="shared" si="0"/>
        <v/>
      </c>
      <c r="J18" s="265">
        <f t="shared" si="61"/>
        <v>0</v>
      </c>
      <c r="K18" s="265">
        <f t="shared" si="62"/>
        <v>0</v>
      </c>
      <c r="L18" s="265">
        <f t="shared" si="1"/>
        <v>0</v>
      </c>
      <c r="M18" s="265">
        <f t="shared" si="2"/>
        <v>0</v>
      </c>
      <c r="N18" s="265">
        <f t="shared" si="3"/>
        <v>0</v>
      </c>
      <c r="O18" s="265">
        <f t="shared" si="4"/>
        <v>0</v>
      </c>
      <c r="P18" s="265">
        <f t="shared" si="5"/>
        <v>0</v>
      </c>
      <c r="Q18" s="265">
        <f t="shared" si="6"/>
        <v>0</v>
      </c>
      <c r="R18" s="265">
        <f t="shared" si="7"/>
        <v>0</v>
      </c>
      <c r="S18" s="265">
        <f t="shared" si="8"/>
        <v>0</v>
      </c>
      <c r="T18" s="265">
        <f t="shared" si="9"/>
        <v>0</v>
      </c>
      <c r="U18" s="265">
        <f t="shared" si="10"/>
        <v>0</v>
      </c>
      <c r="V18" s="265">
        <f t="shared" si="11"/>
        <v>0</v>
      </c>
      <c r="W18" s="265">
        <f t="shared" si="12"/>
        <v>0</v>
      </c>
      <c r="X18" s="265">
        <f t="shared" si="13"/>
        <v>0</v>
      </c>
      <c r="Y18" s="265">
        <f t="shared" si="14"/>
        <v>0</v>
      </c>
      <c r="Z18" s="265">
        <f t="shared" si="15"/>
        <v>0</v>
      </c>
      <c r="AA18" s="265">
        <f t="shared" si="16"/>
        <v>0</v>
      </c>
      <c r="AB18" s="265">
        <f t="shared" si="63"/>
        <v>0</v>
      </c>
      <c r="AC18" s="265">
        <f t="shared" si="64"/>
        <v>0</v>
      </c>
      <c r="AD18" s="265">
        <f t="shared" si="17"/>
        <v>0</v>
      </c>
      <c r="AE18" s="265">
        <f t="shared" si="18"/>
        <v>0</v>
      </c>
      <c r="AF18" s="265">
        <f t="shared" si="19"/>
        <v>0</v>
      </c>
      <c r="AG18" s="265">
        <f t="shared" si="20"/>
        <v>0</v>
      </c>
      <c r="AH18" s="265">
        <f t="shared" si="65"/>
        <v>0</v>
      </c>
      <c r="AI18" s="265">
        <f t="shared" si="66"/>
        <v>0</v>
      </c>
      <c r="AJ18" s="265">
        <f t="shared" si="67"/>
        <v>0</v>
      </c>
      <c r="AK18" s="265">
        <f t="shared" si="68"/>
        <v>0</v>
      </c>
      <c r="AL18" s="265">
        <f t="shared" si="69"/>
        <v>0</v>
      </c>
      <c r="AM18" s="265">
        <f t="shared" si="70"/>
        <v>0</v>
      </c>
      <c r="AN18" s="265">
        <f t="shared" si="71"/>
        <v>0</v>
      </c>
      <c r="AO18" s="265">
        <f t="shared" si="72"/>
        <v>0</v>
      </c>
      <c r="AP18" s="265">
        <f t="shared" si="21"/>
        <v>0</v>
      </c>
      <c r="AQ18" s="265">
        <f t="shared" si="22"/>
        <v>0</v>
      </c>
      <c r="AR18" s="265">
        <f t="shared" si="23"/>
        <v>0</v>
      </c>
      <c r="AS18" s="265">
        <f t="shared" si="24"/>
        <v>0</v>
      </c>
      <c r="AT18" s="265">
        <f t="shared" si="73"/>
        <v>0</v>
      </c>
      <c r="AU18" s="265">
        <f t="shared" si="74"/>
        <v>0</v>
      </c>
      <c r="AV18" s="265">
        <f t="shared" si="25"/>
        <v>0</v>
      </c>
      <c r="AW18" s="265">
        <f t="shared" si="26"/>
        <v>0</v>
      </c>
      <c r="AX18" s="265">
        <f t="shared" si="27"/>
        <v>0</v>
      </c>
      <c r="AY18" s="265">
        <f t="shared" si="28"/>
        <v>0</v>
      </c>
      <c r="AZ18" s="265">
        <f t="shared" si="29"/>
        <v>0</v>
      </c>
      <c r="BA18" s="265">
        <f t="shared" si="30"/>
        <v>0</v>
      </c>
      <c r="BB18" s="265">
        <f t="shared" si="31"/>
        <v>0</v>
      </c>
      <c r="BC18" s="265">
        <f t="shared" si="32"/>
        <v>0</v>
      </c>
      <c r="BD18" s="265">
        <f t="shared" si="33"/>
        <v>0</v>
      </c>
      <c r="BE18" s="265">
        <f t="shared" si="34"/>
        <v>0</v>
      </c>
      <c r="BF18" s="265">
        <f t="shared" si="35"/>
        <v>0</v>
      </c>
      <c r="BG18" s="265">
        <f t="shared" si="36"/>
        <v>0</v>
      </c>
      <c r="BH18" s="265">
        <f t="shared" si="75"/>
        <v>0</v>
      </c>
      <c r="BI18" s="265">
        <f t="shared" si="76"/>
        <v>0</v>
      </c>
      <c r="BJ18" s="265">
        <f t="shared" si="37"/>
        <v>0</v>
      </c>
      <c r="BK18" s="265">
        <f t="shared" si="38"/>
        <v>0</v>
      </c>
      <c r="BL18" s="265">
        <f t="shared" si="39"/>
        <v>0</v>
      </c>
      <c r="BM18" s="265">
        <f t="shared" si="40"/>
        <v>0</v>
      </c>
      <c r="BN18" s="265">
        <f t="shared" si="41"/>
        <v>0</v>
      </c>
      <c r="BO18" s="265">
        <f t="shared" si="42"/>
        <v>0</v>
      </c>
      <c r="BP18" s="265">
        <f t="shared" si="77"/>
        <v>0</v>
      </c>
      <c r="BQ18" s="265">
        <f t="shared" si="78"/>
        <v>0</v>
      </c>
      <c r="BR18" s="265">
        <f t="shared" si="43"/>
        <v>0</v>
      </c>
      <c r="BS18" s="265">
        <f t="shared" si="44"/>
        <v>0</v>
      </c>
      <c r="BT18" s="265">
        <f t="shared" si="79"/>
        <v>0</v>
      </c>
      <c r="BU18" s="265">
        <f t="shared" si="80"/>
        <v>0</v>
      </c>
      <c r="BV18" s="265">
        <f t="shared" si="81"/>
        <v>0</v>
      </c>
      <c r="BW18" s="265">
        <f t="shared" si="82"/>
        <v>0</v>
      </c>
      <c r="BX18" s="265">
        <f t="shared" si="45"/>
        <v>0</v>
      </c>
      <c r="BY18" s="265">
        <f t="shared" si="46"/>
        <v>0</v>
      </c>
      <c r="BZ18" s="265">
        <f t="shared" si="47"/>
        <v>0</v>
      </c>
      <c r="CA18" s="265">
        <f t="shared" si="48"/>
        <v>0</v>
      </c>
      <c r="CB18" s="265">
        <f t="shared" si="49"/>
        <v>0</v>
      </c>
      <c r="CC18" s="265">
        <f t="shared" si="50"/>
        <v>0</v>
      </c>
      <c r="CD18" s="265">
        <f t="shared" si="83"/>
        <v>0</v>
      </c>
      <c r="CE18" s="265">
        <f t="shared" si="84"/>
        <v>0</v>
      </c>
      <c r="CF18" s="265">
        <f t="shared" si="85"/>
        <v>0</v>
      </c>
      <c r="CG18" s="265">
        <f t="shared" si="86"/>
        <v>0</v>
      </c>
      <c r="CH18" s="265">
        <f t="shared" si="51"/>
        <v>0</v>
      </c>
      <c r="CI18" s="265">
        <f t="shared" si="52"/>
        <v>0</v>
      </c>
      <c r="CJ18" s="265">
        <f t="shared" si="87"/>
        <v>0</v>
      </c>
      <c r="CK18" s="265">
        <f t="shared" si="88"/>
        <v>0</v>
      </c>
      <c r="CL18" s="265">
        <f t="shared" si="53"/>
        <v>0</v>
      </c>
      <c r="CM18" s="265">
        <f t="shared" si="54"/>
        <v>0</v>
      </c>
      <c r="CN18" s="265">
        <f t="shared" si="55"/>
        <v>0</v>
      </c>
      <c r="CO18" s="265">
        <f t="shared" si="56"/>
        <v>0</v>
      </c>
      <c r="CP18" s="265">
        <f t="shared" si="89"/>
        <v>0</v>
      </c>
      <c r="CQ18" s="265">
        <f t="shared" si="90"/>
        <v>0</v>
      </c>
      <c r="CR18" s="265">
        <f t="shared" si="91"/>
        <v>0</v>
      </c>
      <c r="CS18" s="265">
        <f t="shared" si="92"/>
        <v>0</v>
      </c>
      <c r="CT18" s="265">
        <f t="shared" si="57"/>
        <v>0</v>
      </c>
      <c r="CU18" s="265">
        <f t="shared" si="58"/>
        <v>0</v>
      </c>
      <c r="CV18" s="265">
        <f t="shared" si="59"/>
        <v>0</v>
      </c>
      <c r="CW18" s="265">
        <f t="shared" si="60"/>
        <v>0</v>
      </c>
      <c r="CX18" s="265">
        <f t="shared" si="93"/>
        <v>0</v>
      </c>
      <c r="CY18" s="265">
        <f t="shared" si="94"/>
        <v>0</v>
      </c>
      <c r="CZ18" s="265">
        <f t="shared" si="95"/>
        <v>0</v>
      </c>
      <c r="DA18" s="265">
        <f t="shared" si="96"/>
        <v>0</v>
      </c>
    </row>
    <row r="19" spans="1:105" s="262" customFormat="1" ht="15.75" customHeight="1">
      <c r="A19" s="63" t="str">
        <f t="array" ref="A19">IF(C19&lt;&gt;0,SUM(($C$11:C19&lt;&gt;0)*1),"")</f>
        <v/>
      </c>
      <c r="B19" s="263"/>
      <c r="C19" s="263"/>
      <c r="D19" s="263"/>
      <c r="E19" s="344"/>
      <c r="F19" s="314"/>
      <c r="G19" s="316"/>
      <c r="H19" s="316"/>
      <c r="I19" s="63" t="str">
        <f t="shared" si="0"/>
        <v/>
      </c>
      <c r="J19" s="265">
        <f t="shared" si="61"/>
        <v>0</v>
      </c>
      <c r="K19" s="265">
        <f t="shared" si="62"/>
        <v>0</v>
      </c>
      <c r="L19" s="265">
        <f t="shared" si="1"/>
        <v>0</v>
      </c>
      <c r="M19" s="265">
        <f t="shared" si="2"/>
        <v>0</v>
      </c>
      <c r="N19" s="265">
        <f t="shared" si="3"/>
        <v>0</v>
      </c>
      <c r="O19" s="265">
        <f t="shared" si="4"/>
        <v>0</v>
      </c>
      <c r="P19" s="265">
        <f t="shared" si="5"/>
        <v>0</v>
      </c>
      <c r="Q19" s="265">
        <f t="shared" si="6"/>
        <v>0</v>
      </c>
      <c r="R19" s="265">
        <f t="shared" si="7"/>
        <v>0</v>
      </c>
      <c r="S19" s="265">
        <f t="shared" si="8"/>
        <v>0</v>
      </c>
      <c r="T19" s="265">
        <f t="shared" si="9"/>
        <v>0</v>
      </c>
      <c r="U19" s="265">
        <f t="shared" si="10"/>
        <v>0</v>
      </c>
      <c r="V19" s="265">
        <f t="shared" si="11"/>
        <v>0</v>
      </c>
      <c r="W19" s="265">
        <f t="shared" si="12"/>
        <v>0</v>
      </c>
      <c r="X19" s="265">
        <f t="shared" si="13"/>
        <v>0</v>
      </c>
      <c r="Y19" s="265">
        <f t="shared" si="14"/>
        <v>0</v>
      </c>
      <c r="Z19" s="265">
        <f t="shared" si="15"/>
        <v>0</v>
      </c>
      <c r="AA19" s="265">
        <f t="shared" si="16"/>
        <v>0</v>
      </c>
      <c r="AB19" s="265">
        <f t="shared" si="63"/>
        <v>0</v>
      </c>
      <c r="AC19" s="265">
        <f t="shared" si="64"/>
        <v>0</v>
      </c>
      <c r="AD19" s="265">
        <f t="shared" si="17"/>
        <v>0</v>
      </c>
      <c r="AE19" s="265">
        <f t="shared" si="18"/>
        <v>0</v>
      </c>
      <c r="AF19" s="265">
        <f t="shared" si="19"/>
        <v>0</v>
      </c>
      <c r="AG19" s="265">
        <f t="shared" si="20"/>
        <v>0</v>
      </c>
      <c r="AH19" s="265">
        <f t="shared" si="65"/>
        <v>0</v>
      </c>
      <c r="AI19" s="265">
        <f t="shared" si="66"/>
        <v>0</v>
      </c>
      <c r="AJ19" s="265">
        <f t="shared" si="67"/>
        <v>0</v>
      </c>
      <c r="AK19" s="265">
        <f t="shared" si="68"/>
        <v>0</v>
      </c>
      <c r="AL19" s="265">
        <f t="shared" si="69"/>
        <v>0</v>
      </c>
      <c r="AM19" s="265">
        <f t="shared" si="70"/>
        <v>0</v>
      </c>
      <c r="AN19" s="265">
        <f t="shared" si="71"/>
        <v>0</v>
      </c>
      <c r="AO19" s="265">
        <f t="shared" si="72"/>
        <v>0</v>
      </c>
      <c r="AP19" s="265">
        <f t="shared" si="21"/>
        <v>0</v>
      </c>
      <c r="AQ19" s="265">
        <f t="shared" si="22"/>
        <v>0</v>
      </c>
      <c r="AR19" s="265">
        <f t="shared" si="23"/>
        <v>0</v>
      </c>
      <c r="AS19" s="265">
        <f t="shared" si="24"/>
        <v>0</v>
      </c>
      <c r="AT19" s="265">
        <f t="shared" si="73"/>
        <v>0</v>
      </c>
      <c r="AU19" s="265">
        <f t="shared" si="74"/>
        <v>0</v>
      </c>
      <c r="AV19" s="265">
        <f t="shared" si="25"/>
        <v>0</v>
      </c>
      <c r="AW19" s="265">
        <f t="shared" si="26"/>
        <v>0</v>
      </c>
      <c r="AX19" s="265">
        <f t="shared" si="27"/>
        <v>0</v>
      </c>
      <c r="AY19" s="265">
        <f t="shared" si="28"/>
        <v>0</v>
      </c>
      <c r="AZ19" s="265">
        <f t="shared" si="29"/>
        <v>0</v>
      </c>
      <c r="BA19" s="265">
        <f t="shared" si="30"/>
        <v>0</v>
      </c>
      <c r="BB19" s="265">
        <f t="shared" si="31"/>
        <v>0</v>
      </c>
      <c r="BC19" s="265">
        <f t="shared" si="32"/>
        <v>0</v>
      </c>
      <c r="BD19" s="265">
        <f t="shared" si="33"/>
        <v>0</v>
      </c>
      <c r="BE19" s="265">
        <f t="shared" si="34"/>
        <v>0</v>
      </c>
      <c r="BF19" s="265">
        <f t="shared" si="35"/>
        <v>0</v>
      </c>
      <c r="BG19" s="265">
        <f t="shared" si="36"/>
        <v>0</v>
      </c>
      <c r="BH19" s="265">
        <f t="shared" si="75"/>
        <v>0</v>
      </c>
      <c r="BI19" s="265">
        <f t="shared" si="76"/>
        <v>0</v>
      </c>
      <c r="BJ19" s="265">
        <f t="shared" si="37"/>
        <v>0</v>
      </c>
      <c r="BK19" s="265">
        <f t="shared" si="38"/>
        <v>0</v>
      </c>
      <c r="BL19" s="265">
        <f t="shared" si="39"/>
        <v>0</v>
      </c>
      <c r="BM19" s="265">
        <f t="shared" si="40"/>
        <v>0</v>
      </c>
      <c r="BN19" s="265">
        <f t="shared" si="41"/>
        <v>0</v>
      </c>
      <c r="BO19" s="265">
        <f t="shared" si="42"/>
        <v>0</v>
      </c>
      <c r="BP19" s="265">
        <f t="shared" si="77"/>
        <v>0</v>
      </c>
      <c r="BQ19" s="265">
        <f t="shared" si="78"/>
        <v>0</v>
      </c>
      <c r="BR19" s="265">
        <f t="shared" si="43"/>
        <v>0</v>
      </c>
      <c r="BS19" s="265">
        <f t="shared" si="44"/>
        <v>0</v>
      </c>
      <c r="BT19" s="265">
        <f t="shared" si="79"/>
        <v>0</v>
      </c>
      <c r="BU19" s="265">
        <f t="shared" si="80"/>
        <v>0</v>
      </c>
      <c r="BV19" s="265">
        <f t="shared" si="81"/>
        <v>0</v>
      </c>
      <c r="BW19" s="265">
        <f t="shared" si="82"/>
        <v>0</v>
      </c>
      <c r="BX19" s="265">
        <f t="shared" si="45"/>
        <v>0</v>
      </c>
      <c r="BY19" s="265">
        <f t="shared" si="46"/>
        <v>0</v>
      </c>
      <c r="BZ19" s="265">
        <f t="shared" si="47"/>
        <v>0</v>
      </c>
      <c r="CA19" s="265">
        <f t="shared" si="48"/>
        <v>0</v>
      </c>
      <c r="CB19" s="265">
        <f t="shared" si="49"/>
        <v>0</v>
      </c>
      <c r="CC19" s="265">
        <f t="shared" si="50"/>
        <v>0</v>
      </c>
      <c r="CD19" s="265">
        <f t="shared" si="83"/>
        <v>0</v>
      </c>
      <c r="CE19" s="265">
        <f t="shared" si="84"/>
        <v>0</v>
      </c>
      <c r="CF19" s="265">
        <f t="shared" si="85"/>
        <v>0</v>
      </c>
      <c r="CG19" s="265">
        <f t="shared" si="86"/>
        <v>0</v>
      </c>
      <c r="CH19" s="265">
        <f t="shared" si="51"/>
        <v>0</v>
      </c>
      <c r="CI19" s="265">
        <f t="shared" si="52"/>
        <v>0</v>
      </c>
      <c r="CJ19" s="265">
        <f t="shared" si="87"/>
        <v>0</v>
      </c>
      <c r="CK19" s="265">
        <f t="shared" si="88"/>
        <v>0</v>
      </c>
      <c r="CL19" s="265">
        <f t="shared" si="53"/>
        <v>0</v>
      </c>
      <c r="CM19" s="265">
        <f t="shared" si="54"/>
        <v>0</v>
      </c>
      <c r="CN19" s="265">
        <f t="shared" si="55"/>
        <v>0</v>
      </c>
      <c r="CO19" s="265">
        <f t="shared" si="56"/>
        <v>0</v>
      </c>
      <c r="CP19" s="265">
        <f t="shared" si="89"/>
        <v>0</v>
      </c>
      <c r="CQ19" s="265">
        <f t="shared" si="90"/>
        <v>0</v>
      </c>
      <c r="CR19" s="265">
        <f t="shared" si="91"/>
        <v>0</v>
      </c>
      <c r="CS19" s="265">
        <f t="shared" si="92"/>
        <v>0</v>
      </c>
      <c r="CT19" s="265">
        <f t="shared" si="57"/>
        <v>0</v>
      </c>
      <c r="CU19" s="265">
        <f t="shared" si="58"/>
        <v>0</v>
      </c>
      <c r="CV19" s="265">
        <f t="shared" si="59"/>
        <v>0</v>
      </c>
      <c r="CW19" s="265">
        <f t="shared" si="60"/>
        <v>0</v>
      </c>
      <c r="CX19" s="265">
        <f t="shared" si="93"/>
        <v>0</v>
      </c>
      <c r="CY19" s="265">
        <f t="shared" si="94"/>
        <v>0</v>
      </c>
      <c r="CZ19" s="265">
        <f t="shared" si="95"/>
        <v>0</v>
      </c>
      <c r="DA19" s="265">
        <f t="shared" si="96"/>
        <v>0</v>
      </c>
    </row>
    <row r="20" spans="1:105" s="262" customFormat="1" ht="15.75" customHeight="1">
      <c r="A20" s="63" t="str">
        <f t="array" ref="A20">IF(C20&lt;&gt;0,SUM(($C$11:C20&lt;&gt;0)*1),"")</f>
        <v/>
      </c>
      <c r="B20" s="263"/>
      <c r="C20" s="263"/>
      <c r="D20" s="263"/>
      <c r="E20" s="344"/>
      <c r="F20" s="314"/>
      <c r="G20" s="316"/>
      <c r="H20" s="316"/>
      <c r="I20" s="63" t="str">
        <f t="shared" si="0"/>
        <v/>
      </c>
      <c r="J20" s="265">
        <f t="shared" si="61"/>
        <v>0</v>
      </c>
      <c r="K20" s="265">
        <f t="shared" si="62"/>
        <v>0</v>
      </c>
      <c r="L20" s="265">
        <f t="shared" si="1"/>
        <v>0</v>
      </c>
      <c r="M20" s="265">
        <f t="shared" si="2"/>
        <v>0</v>
      </c>
      <c r="N20" s="265">
        <f t="shared" si="3"/>
        <v>0</v>
      </c>
      <c r="O20" s="265">
        <f t="shared" si="4"/>
        <v>0</v>
      </c>
      <c r="P20" s="265">
        <f t="shared" si="5"/>
        <v>0</v>
      </c>
      <c r="Q20" s="265">
        <f t="shared" si="6"/>
        <v>0</v>
      </c>
      <c r="R20" s="265">
        <f t="shared" si="7"/>
        <v>0</v>
      </c>
      <c r="S20" s="265">
        <f t="shared" si="8"/>
        <v>0</v>
      </c>
      <c r="T20" s="265">
        <f t="shared" si="9"/>
        <v>0</v>
      </c>
      <c r="U20" s="265">
        <f t="shared" si="10"/>
        <v>0</v>
      </c>
      <c r="V20" s="265">
        <f t="shared" si="11"/>
        <v>0</v>
      </c>
      <c r="W20" s="265">
        <f t="shared" si="12"/>
        <v>0</v>
      </c>
      <c r="X20" s="265">
        <f t="shared" si="13"/>
        <v>0</v>
      </c>
      <c r="Y20" s="265">
        <f t="shared" si="14"/>
        <v>0</v>
      </c>
      <c r="Z20" s="265">
        <f t="shared" si="15"/>
        <v>0</v>
      </c>
      <c r="AA20" s="265">
        <f t="shared" si="16"/>
        <v>0</v>
      </c>
      <c r="AB20" s="265">
        <f t="shared" si="63"/>
        <v>0</v>
      </c>
      <c r="AC20" s="265">
        <f t="shared" si="64"/>
        <v>0</v>
      </c>
      <c r="AD20" s="265">
        <f t="shared" si="17"/>
        <v>0</v>
      </c>
      <c r="AE20" s="265">
        <f t="shared" si="18"/>
        <v>0</v>
      </c>
      <c r="AF20" s="265">
        <f t="shared" si="19"/>
        <v>0</v>
      </c>
      <c r="AG20" s="265">
        <f t="shared" si="20"/>
        <v>0</v>
      </c>
      <c r="AH20" s="265">
        <f t="shared" si="65"/>
        <v>0</v>
      </c>
      <c r="AI20" s="265">
        <f t="shared" si="66"/>
        <v>0</v>
      </c>
      <c r="AJ20" s="265">
        <f t="shared" si="67"/>
        <v>0</v>
      </c>
      <c r="AK20" s="265">
        <f t="shared" si="68"/>
        <v>0</v>
      </c>
      <c r="AL20" s="265">
        <f t="shared" si="69"/>
        <v>0</v>
      </c>
      <c r="AM20" s="265">
        <f t="shared" si="70"/>
        <v>0</v>
      </c>
      <c r="AN20" s="265">
        <f t="shared" si="71"/>
        <v>0</v>
      </c>
      <c r="AO20" s="265">
        <f t="shared" si="72"/>
        <v>0</v>
      </c>
      <c r="AP20" s="265">
        <f t="shared" si="21"/>
        <v>0</v>
      </c>
      <c r="AQ20" s="265">
        <f t="shared" si="22"/>
        <v>0</v>
      </c>
      <c r="AR20" s="265">
        <f t="shared" si="23"/>
        <v>0</v>
      </c>
      <c r="AS20" s="265">
        <f t="shared" si="24"/>
        <v>0</v>
      </c>
      <c r="AT20" s="265">
        <f t="shared" si="73"/>
        <v>0</v>
      </c>
      <c r="AU20" s="265">
        <f t="shared" si="74"/>
        <v>0</v>
      </c>
      <c r="AV20" s="265">
        <f t="shared" si="25"/>
        <v>0</v>
      </c>
      <c r="AW20" s="265">
        <f t="shared" si="26"/>
        <v>0</v>
      </c>
      <c r="AX20" s="265">
        <f t="shared" si="27"/>
        <v>0</v>
      </c>
      <c r="AY20" s="265">
        <f t="shared" si="28"/>
        <v>0</v>
      </c>
      <c r="AZ20" s="265">
        <f t="shared" si="29"/>
        <v>0</v>
      </c>
      <c r="BA20" s="265">
        <f t="shared" si="30"/>
        <v>0</v>
      </c>
      <c r="BB20" s="265">
        <f t="shared" si="31"/>
        <v>0</v>
      </c>
      <c r="BC20" s="265">
        <f t="shared" si="32"/>
        <v>0</v>
      </c>
      <c r="BD20" s="265">
        <f t="shared" si="33"/>
        <v>0</v>
      </c>
      <c r="BE20" s="265">
        <f t="shared" si="34"/>
        <v>0</v>
      </c>
      <c r="BF20" s="265">
        <f t="shared" si="35"/>
        <v>0</v>
      </c>
      <c r="BG20" s="265">
        <f t="shared" si="36"/>
        <v>0</v>
      </c>
      <c r="BH20" s="265">
        <f t="shared" si="75"/>
        <v>0</v>
      </c>
      <c r="BI20" s="265">
        <f t="shared" si="76"/>
        <v>0</v>
      </c>
      <c r="BJ20" s="265">
        <f t="shared" si="37"/>
        <v>0</v>
      </c>
      <c r="BK20" s="265">
        <f t="shared" si="38"/>
        <v>0</v>
      </c>
      <c r="BL20" s="265">
        <f t="shared" si="39"/>
        <v>0</v>
      </c>
      <c r="BM20" s="265">
        <f t="shared" si="40"/>
        <v>0</v>
      </c>
      <c r="BN20" s="265">
        <f t="shared" si="41"/>
        <v>0</v>
      </c>
      <c r="BO20" s="265">
        <f t="shared" si="42"/>
        <v>0</v>
      </c>
      <c r="BP20" s="265">
        <f t="shared" si="77"/>
        <v>0</v>
      </c>
      <c r="BQ20" s="265">
        <f t="shared" si="78"/>
        <v>0</v>
      </c>
      <c r="BR20" s="265">
        <f t="shared" si="43"/>
        <v>0</v>
      </c>
      <c r="BS20" s="265">
        <f t="shared" si="44"/>
        <v>0</v>
      </c>
      <c r="BT20" s="265">
        <f t="shared" si="79"/>
        <v>0</v>
      </c>
      <c r="BU20" s="265">
        <f t="shared" si="80"/>
        <v>0</v>
      </c>
      <c r="BV20" s="265">
        <f t="shared" si="81"/>
        <v>0</v>
      </c>
      <c r="BW20" s="265">
        <f t="shared" si="82"/>
        <v>0</v>
      </c>
      <c r="BX20" s="265">
        <f t="shared" si="45"/>
        <v>0</v>
      </c>
      <c r="BY20" s="265">
        <f t="shared" si="46"/>
        <v>0</v>
      </c>
      <c r="BZ20" s="265">
        <f t="shared" si="47"/>
        <v>0</v>
      </c>
      <c r="CA20" s="265">
        <f t="shared" si="48"/>
        <v>0</v>
      </c>
      <c r="CB20" s="265">
        <f t="shared" si="49"/>
        <v>0</v>
      </c>
      <c r="CC20" s="265">
        <f t="shared" si="50"/>
        <v>0</v>
      </c>
      <c r="CD20" s="265">
        <f t="shared" si="83"/>
        <v>0</v>
      </c>
      <c r="CE20" s="265">
        <f t="shared" si="84"/>
        <v>0</v>
      </c>
      <c r="CF20" s="265">
        <f t="shared" si="85"/>
        <v>0</v>
      </c>
      <c r="CG20" s="265">
        <f t="shared" si="86"/>
        <v>0</v>
      </c>
      <c r="CH20" s="265">
        <f t="shared" si="51"/>
        <v>0</v>
      </c>
      <c r="CI20" s="265">
        <f t="shared" si="52"/>
        <v>0</v>
      </c>
      <c r="CJ20" s="265">
        <f t="shared" si="87"/>
        <v>0</v>
      </c>
      <c r="CK20" s="265">
        <f t="shared" si="88"/>
        <v>0</v>
      </c>
      <c r="CL20" s="265">
        <f t="shared" si="53"/>
        <v>0</v>
      </c>
      <c r="CM20" s="265">
        <f t="shared" si="54"/>
        <v>0</v>
      </c>
      <c r="CN20" s="265">
        <f t="shared" si="55"/>
        <v>0</v>
      </c>
      <c r="CO20" s="265">
        <f t="shared" si="56"/>
        <v>0</v>
      </c>
      <c r="CP20" s="265">
        <f t="shared" si="89"/>
        <v>0</v>
      </c>
      <c r="CQ20" s="265">
        <f t="shared" si="90"/>
        <v>0</v>
      </c>
      <c r="CR20" s="265">
        <f t="shared" si="91"/>
        <v>0</v>
      </c>
      <c r="CS20" s="265">
        <f t="shared" si="92"/>
        <v>0</v>
      </c>
      <c r="CT20" s="265">
        <f t="shared" si="57"/>
        <v>0</v>
      </c>
      <c r="CU20" s="265">
        <f t="shared" si="58"/>
        <v>0</v>
      </c>
      <c r="CV20" s="265">
        <f t="shared" si="59"/>
        <v>0</v>
      </c>
      <c r="CW20" s="265">
        <f t="shared" si="60"/>
        <v>0</v>
      </c>
      <c r="CX20" s="265">
        <f t="shared" si="93"/>
        <v>0</v>
      </c>
      <c r="CY20" s="265">
        <f t="shared" si="94"/>
        <v>0</v>
      </c>
      <c r="CZ20" s="265">
        <f t="shared" si="95"/>
        <v>0</v>
      </c>
      <c r="DA20" s="265">
        <f t="shared" si="96"/>
        <v>0</v>
      </c>
    </row>
    <row r="21" spans="1:105" s="262" customFormat="1" ht="15.75" customHeight="1">
      <c r="A21" s="63" t="str">
        <f t="array" ref="A21">IF(C21&lt;&gt;0,SUM(($C$11:C21&lt;&gt;0)*1),"")</f>
        <v/>
      </c>
      <c r="B21" s="263"/>
      <c r="C21" s="263"/>
      <c r="D21" s="263"/>
      <c r="E21" s="344"/>
      <c r="F21" s="314"/>
      <c r="G21" s="316"/>
      <c r="H21" s="316"/>
      <c r="I21" s="63" t="str">
        <f t="shared" si="0"/>
        <v/>
      </c>
      <c r="J21" s="265">
        <f t="shared" si="61"/>
        <v>0</v>
      </c>
      <c r="K21" s="265">
        <f t="shared" si="62"/>
        <v>0</v>
      </c>
      <c r="L21" s="265">
        <f t="shared" si="1"/>
        <v>0</v>
      </c>
      <c r="M21" s="265">
        <f t="shared" si="2"/>
        <v>0</v>
      </c>
      <c r="N21" s="265">
        <f t="shared" si="3"/>
        <v>0</v>
      </c>
      <c r="O21" s="265">
        <f t="shared" si="4"/>
        <v>0</v>
      </c>
      <c r="P21" s="265">
        <f t="shared" si="5"/>
        <v>0</v>
      </c>
      <c r="Q21" s="265">
        <f t="shared" si="6"/>
        <v>0</v>
      </c>
      <c r="R21" s="265">
        <f t="shared" si="7"/>
        <v>0</v>
      </c>
      <c r="S21" s="265">
        <f t="shared" si="8"/>
        <v>0</v>
      </c>
      <c r="T21" s="265">
        <f t="shared" si="9"/>
        <v>0</v>
      </c>
      <c r="U21" s="265">
        <f t="shared" si="10"/>
        <v>0</v>
      </c>
      <c r="V21" s="265">
        <f t="shared" si="11"/>
        <v>0</v>
      </c>
      <c r="W21" s="265">
        <f t="shared" si="12"/>
        <v>0</v>
      </c>
      <c r="X21" s="265">
        <f t="shared" si="13"/>
        <v>0</v>
      </c>
      <c r="Y21" s="265">
        <f t="shared" si="14"/>
        <v>0</v>
      </c>
      <c r="Z21" s="265">
        <f t="shared" si="15"/>
        <v>0</v>
      </c>
      <c r="AA21" s="265">
        <f t="shared" si="16"/>
        <v>0</v>
      </c>
      <c r="AB21" s="265">
        <f t="shared" si="63"/>
        <v>0</v>
      </c>
      <c r="AC21" s="265">
        <f t="shared" si="64"/>
        <v>0</v>
      </c>
      <c r="AD21" s="265">
        <f t="shared" si="17"/>
        <v>0</v>
      </c>
      <c r="AE21" s="265">
        <f t="shared" si="18"/>
        <v>0</v>
      </c>
      <c r="AF21" s="265">
        <f t="shared" si="19"/>
        <v>0</v>
      </c>
      <c r="AG21" s="265">
        <f t="shared" si="20"/>
        <v>0</v>
      </c>
      <c r="AH21" s="265">
        <f t="shared" si="65"/>
        <v>0</v>
      </c>
      <c r="AI21" s="265">
        <f t="shared" si="66"/>
        <v>0</v>
      </c>
      <c r="AJ21" s="265">
        <f t="shared" si="67"/>
        <v>0</v>
      </c>
      <c r="AK21" s="265">
        <f t="shared" si="68"/>
        <v>0</v>
      </c>
      <c r="AL21" s="265">
        <f t="shared" si="69"/>
        <v>0</v>
      </c>
      <c r="AM21" s="265">
        <f t="shared" si="70"/>
        <v>0</v>
      </c>
      <c r="AN21" s="265">
        <f t="shared" si="71"/>
        <v>0</v>
      </c>
      <c r="AO21" s="265">
        <f t="shared" si="72"/>
        <v>0</v>
      </c>
      <c r="AP21" s="265">
        <f t="shared" si="21"/>
        <v>0</v>
      </c>
      <c r="AQ21" s="265">
        <f t="shared" si="22"/>
        <v>0</v>
      </c>
      <c r="AR21" s="265">
        <f t="shared" si="23"/>
        <v>0</v>
      </c>
      <c r="AS21" s="265">
        <f t="shared" si="24"/>
        <v>0</v>
      </c>
      <c r="AT21" s="265">
        <f t="shared" si="73"/>
        <v>0</v>
      </c>
      <c r="AU21" s="265">
        <f t="shared" si="74"/>
        <v>0</v>
      </c>
      <c r="AV21" s="265">
        <f t="shared" si="25"/>
        <v>0</v>
      </c>
      <c r="AW21" s="265">
        <f t="shared" si="26"/>
        <v>0</v>
      </c>
      <c r="AX21" s="265">
        <f t="shared" si="27"/>
        <v>0</v>
      </c>
      <c r="AY21" s="265">
        <f t="shared" si="28"/>
        <v>0</v>
      </c>
      <c r="AZ21" s="265">
        <f t="shared" si="29"/>
        <v>0</v>
      </c>
      <c r="BA21" s="265">
        <f t="shared" si="30"/>
        <v>0</v>
      </c>
      <c r="BB21" s="265">
        <f t="shared" si="31"/>
        <v>0</v>
      </c>
      <c r="BC21" s="265">
        <f t="shared" si="32"/>
        <v>0</v>
      </c>
      <c r="BD21" s="265">
        <f t="shared" si="33"/>
        <v>0</v>
      </c>
      <c r="BE21" s="265">
        <f t="shared" si="34"/>
        <v>0</v>
      </c>
      <c r="BF21" s="265">
        <f t="shared" si="35"/>
        <v>0</v>
      </c>
      <c r="BG21" s="265">
        <f t="shared" si="36"/>
        <v>0</v>
      </c>
      <c r="BH21" s="265">
        <f t="shared" si="75"/>
        <v>0</v>
      </c>
      <c r="BI21" s="265">
        <f t="shared" si="76"/>
        <v>0</v>
      </c>
      <c r="BJ21" s="265">
        <f t="shared" si="37"/>
        <v>0</v>
      </c>
      <c r="BK21" s="265">
        <f t="shared" si="38"/>
        <v>0</v>
      </c>
      <c r="BL21" s="265">
        <f t="shared" si="39"/>
        <v>0</v>
      </c>
      <c r="BM21" s="265">
        <f t="shared" si="40"/>
        <v>0</v>
      </c>
      <c r="BN21" s="265">
        <f t="shared" si="41"/>
        <v>0</v>
      </c>
      <c r="BO21" s="265">
        <f t="shared" si="42"/>
        <v>0</v>
      </c>
      <c r="BP21" s="265">
        <f t="shared" si="77"/>
        <v>0</v>
      </c>
      <c r="BQ21" s="265">
        <f t="shared" si="78"/>
        <v>0</v>
      </c>
      <c r="BR21" s="265">
        <f t="shared" si="43"/>
        <v>0</v>
      </c>
      <c r="BS21" s="265">
        <f t="shared" si="44"/>
        <v>0</v>
      </c>
      <c r="BT21" s="265">
        <f t="shared" si="79"/>
        <v>0</v>
      </c>
      <c r="BU21" s="265">
        <f t="shared" si="80"/>
        <v>0</v>
      </c>
      <c r="BV21" s="265">
        <f t="shared" si="81"/>
        <v>0</v>
      </c>
      <c r="BW21" s="265">
        <f t="shared" si="82"/>
        <v>0</v>
      </c>
      <c r="BX21" s="265">
        <f t="shared" si="45"/>
        <v>0</v>
      </c>
      <c r="BY21" s="265">
        <f t="shared" si="46"/>
        <v>0</v>
      </c>
      <c r="BZ21" s="265">
        <f t="shared" si="47"/>
        <v>0</v>
      </c>
      <c r="CA21" s="265">
        <f t="shared" si="48"/>
        <v>0</v>
      </c>
      <c r="CB21" s="265">
        <f t="shared" si="49"/>
        <v>0</v>
      </c>
      <c r="CC21" s="265">
        <f t="shared" si="50"/>
        <v>0</v>
      </c>
      <c r="CD21" s="265">
        <f t="shared" si="83"/>
        <v>0</v>
      </c>
      <c r="CE21" s="265">
        <f t="shared" si="84"/>
        <v>0</v>
      </c>
      <c r="CF21" s="265">
        <f t="shared" si="85"/>
        <v>0</v>
      </c>
      <c r="CG21" s="265">
        <f t="shared" si="86"/>
        <v>0</v>
      </c>
      <c r="CH21" s="265">
        <f t="shared" si="51"/>
        <v>0</v>
      </c>
      <c r="CI21" s="265">
        <f t="shared" si="52"/>
        <v>0</v>
      </c>
      <c r="CJ21" s="265">
        <f t="shared" si="87"/>
        <v>0</v>
      </c>
      <c r="CK21" s="265">
        <f t="shared" si="88"/>
        <v>0</v>
      </c>
      <c r="CL21" s="265">
        <f t="shared" si="53"/>
        <v>0</v>
      </c>
      <c r="CM21" s="265">
        <f t="shared" si="54"/>
        <v>0</v>
      </c>
      <c r="CN21" s="265">
        <f t="shared" si="55"/>
        <v>0</v>
      </c>
      <c r="CO21" s="265">
        <f t="shared" si="56"/>
        <v>0</v>
      </c>
      <c r="CP21" s="265">
        <f t="shared" si="89"/>
        <v>0</v>
      </c>
      <c r="CQ21" s="265">
        <f t="shared" si="90"/>
        <v>0</v>
      </c>
      <c r="CR21" s="265">
        <f t="shared" si="91"/>
        <v>0</v>
      </c>
      <c r="CS21" s="265">
        <f t="shared" si="92"/>
        <v>0</v>
      </c>
      <c r="CT21" s="265">
        <f t="shared" si="57"/>
        <v>0</v>
      </c>
      <c r="CU21" s="265">
        <f t="shared" si="58"/>
        <v>0</v>
      </c>
      <c r="CV21" s="265">
        <f t="shared" si="59"/>
        <v>0</v>
      </c>
      <c r="CW21" s="265">
        <f t="shared" si="60"/>
        <v>0</v>
      </c>
      <c r="CX21" s="265">
        <f t="shared" si="93"/>
        <v>0</v>
      </c>
      <c r="CY21" s="265">
        <f t="shared" si="94"/>
        <v>0</v>
      </c>
      <c r="CZ21" s="265">
        <f t="shared" si="95"/>
        <v>0</v>
      </c>
      <c r="DA21" s="265">
        <f t="shared" si="96"/>
        <v>0</v>
      </c>
    </row>
    <row r="22" spans="1:105" s="262" customFormat="1" ht="15.75" customHeight="1">
      <c r="A22" s="63" t="str">
        <f t="array" ref="A22">IF(C22&lt;&gt;0,SUM(($C$11:C22&lt;&gt;0)*1),"")</f>
        <v/>
      </c>
      <c r="B22" s="263"/>
      <c r="C22" s="263"/>
      <c r="D22" s="263"/>
      <c r="E22" s="344"/>
      <c r="F22" s="314"/>
      <c r="G22" s="316"/>
      <c r="H22" s="316"/>
      <c r="I22" s="63" t="str">
        <f t="shared" si="0"/>
        <v/>
      </c>
      <c r="J22" s="265">
        <f t="shared" si="61"/>
        <v>0</v>
      </c>
      <c r="K22" s="265">
        <f t="shared" si="62"/>
        <v>0</v>
      </c>
      <c r="L22" s="265">
        <f t="shared" si="1"/>
        <v>0</v>
      </c>
      <c r="M22" s="265">
        <f t="shared" si="2"/>
        <v>0</v>
      </c>
      <c r="N22" s="265">
        <f t="shared" si="3"/>
        <v>0</v>
      </c>
      <c r="O22" s="265">
        <f t="shared" si="4"/>
        <v>0</v>
      </c>
      <c r="P22" s="265">
        <f t="shared" si="5"/>
        <v>0</v>
      </c>
      <c r="Q22" s="265">
        <f t="shared" si="6"/>
        <v>0</v>
      </c>
      <c r="R22" s="265">
        <f t="shared" si="7"/>
        <v>0</v>
      </c>
      <c r="S22" s="265">
        <f t="shared" si="8"/>
        <v>0</v>
      </c>
      <c r="T22" s="265">
        <f t="shared" si="9"/>
        <v>0</v>
      </c>
      <c r="U22" s="265">
        <f t="shared" si="10"/>
        <v>0</v>
      </c>
      <c r="V22" s="265">
        <f t="shared" si="11"/>
        <v>0</v>
      </c>
      <c r="W22" s="265">
        <f t="shared" si="12"/>
        <v>0</v>
      </c>
      <c r="X22" s="265">
        <f t="shared" si="13"/>
        <v>0</v>
      </c>
      <c r="Y22" s="265">
        <f t="shared" si="14"/>
        <v>0</v>
      </c>
      <c r="Z22" s="265">
        <f t="shared" si="15"/>
        <v>0</v>
      </c>
      <c r="AA22" s="265">
        <f t="shared" si="16"/>
        <v>0</v>
      </c>
      <c r="AB22" s="265">
        <f t="shared" si="63"/>
        <v>0</v>
      </c>
      <c r="AC22" s="265">
        <f t="shared" si="64"/>
        <v>0</v>
      </c>
      <c r="AD22" s="265">
        <f t="shared" si="17"/>
        <v>0</v>
      </c>
      <c r="AE22" s="265">
        <f t="shared" si="18"/>
        <v>0</v>
      </c>
      <c r="AF22" s="265">
        <f t="shared" si="19"/>
        <v>0</v>
      </c>
      <c r="AG22" s="265">
        <f t="shared" si="20"/>
        <v>0</v>
      </c>
      <c r="AH22" s="265">
        <f t="shared" si="65"/>
        <v>0</v>
      </c>
      <c r="AI22" s="265">
        <f t="shared" si="66"/>
        <v>0</v>
      </c>
      <c r="AJ22" s="265">
        <f t="shared" si="67"/>
        <v>0</v>
      </c>
      <c r="AK22" s="265">
        <f t="shared" si="68"/>
        <v>0</v>
      </c>
      <c r="AL22" s="265">
        <f t="shared" si="69"/>
        <v>0</v>
      </c>
      <c r="AM22" s="265">
        <f t="shared" si="70"/>
        <v>0</v>
      </c>
      <c r="AN22" s="265">
        <f t="shared" si="71"/>
        <v>0</v>
      </c>
      <c r="AO22" s="265">
        <f t="shared" si="72"/>
        <v>0</v>
      </c>
      <c r="AP22" s="265">
        <f t="shared" si="21"/>
        <v>0</v>
      </c>
      <c r="AQ22" s="265">
        <f t="shared" si="22"/>
        <v>0</v>
      </c>
      <c r="AR22" s="265">
        <f t="shared" si="23"/>
        <v>0</v>
      </c>
      <c r="AS22" s="265">
        <f t="shared" si="24"/>
        <v>0</v>
      </c>
      <c r="AT22" s="265">
        <f t="shared" si="73"/>
        <v>0</v>
      </c>
      <c r="AU22" s="265">
        <f t="shared" si="74"/>
        <v>0</v>
      </c>
      <c r="AV22" s="265">
        <f t="shared" si="25"/>
        <v>0</v>
      </c>
      <c r="AW22" s="265">
        <f t="shared" si="26"/>
        <v>0</v>
      </c>
      <c r="AX22" s="265">
        <f t="shared" si="27"/>
        <v>0</v>
      </c>
      <c r="AY22" s="265">
        <f t="shared" si="28"/>
        <v>0</v>
      </c>
      <c r="AZ22" s="265">
        <f t="shared" si="29"/>
        <v>0</v>
      </c>
      <c r="BA22" s="265">
        <f t="shared" si="30"/>
        <v>0</v>
      </c>
      <c r="BB22" s="265">
        <f t="shared" si="31"/>
        <v>0</v>
      </c>
      <c r="BC22" s="265">
        <f t="shared" si="32"/>
        <v>0</v>
      </c>
      <c r="BD22" s="265">
        <f t="shared" si="33"/>
        <v>0</v>
      </c>
      <c r="BE22" s="265">
        <f t="shared" si="34"/>
        <v>0</v>
      </c>
      <c r="BF22" s="265">
        <f t="shared" si="35"/>
        <v>0</v>
      </c>
      <c r="BG22" s="265">
        <f t="shared" si="36"/>
        <v>0</v>
      </c>
      <c r="BH22" s="265">
        <f t="shared" si="75"/>
        <v>0</v>
      </c>
      <c r="BI22" s="265">
        <f t="shared" si="76"/>
        <v>0</v>
      </c>
      <c r="BJ22" s="265">
        <f t="shared" si="37"/>
        <v>0</v>
      </c>
      <c r="BK22" s="265">
        <f t="shared" si="38"/>
        <v>0</v>
      </c>
      <c r="BL22" s="265">
        <f t="shared" si="39"/>
        <v>0</v>
      </c>
      <c r="BM22" s="265">
        <f t="shared" si="40"/>
        <v>0</v>
      </c>
      <c r="BN22" s="265">
        <f t="shared" si="41"/>
        <v>0</v>
      </c>
      <c r="BO22" s="265">
        <f t="shared" si="42"/>
        <v>0</v>
      </c>
      <c r="BP22" s="265">
        <f t="shared" si="77"/>
        <v>0</v>
      </c>
      <c r="BQ22" s="265">
        <f t="shared" si="78"/>
        <v>0</v>
      </c>
      <c r="BR22" s="265">
        <f t="shared" si="43"/>
        <v>0</v>
      </c>
      <c r="BS22" s="265">
        <f t="shared" si="44"/>
        <v>0</v>
      </c>
      <c r="BT22" s="265">
        <f t="shared" si="79"/>
        <v>0</v>
      </c>
      <c r="BU22" s="265">
        <f t="shared" si="80"/>
        <v>0</v>
      </c>
      <c r="BV22" s="265">
        <f t="shared" si="81"/>
        <v>0</v>
      </c>
      <c r="BW22" s="265">
        <f t="shared" si="82"/>
        <v>0</v>
      </c>
      <c r="BX22" s="265">
        <f t="shared" si="45"/>
        <v>0</v>
      </c>
      <c r="BY22" s="265">
        <f t="shared" si="46"/>
        <v>0</v>
      </c>
      <c r="BZ22" s="265">
        <f t="shared" si="47"/>
        <v>0</v>
      </c>
      <c r="CA22" s="265">
        <f t="shared" si="48"/>
        <v>0</v>
      </c>
      <c r="CB22" s="265">
        <f t="shared" si="49"/>
        <v>0</v>
      </c>
      <c r="CC22" s="265">
        <f t="shared" si="50"/>
        <v>0</v>
      </c>
      <c r="CD22" s="265">
        <f t="shared" si="83"/>
        <v>0</v>
      </c>
      <c r="CE22" s="265">
        <f t="shared" si="84"/>
        <v>0</v>
      </c>
      <c r="CF22" s="265">
        <f t="shared" si="85"/>
        <v>0</v>
      </c>
      <c r="CG22" s="265">
        <f t="shared" si="86"/>
        <v>0</v>
      </c>
      <c r="CH22" s="265">
        <f t="shared" si="51"/>
        <v>0</v>
      </c>
      <c r="CI22" s="265">
        <f t="shared" si="52"/>
        <v>0</v>
      </c>
      <c r="CJ22" s="265">
        <f t="shared" si="87"/>
        <v>0</v>
      </c>
      <c r="CK22" s="265">
        <f t="shared" si="88"/>
        <v>0</v>
      </c>
      <c r="CL22" s="265">
        <f t="shared" si="53"/>
        <v>0</v>
      </c>
      <c r="CM22" s="265">
        <f t="shared" si="54"/>
        <v>0</v>
      </c>
      <c r="CN22" s="265">
        <f t="shared" si="55"/>
        <v>0</v>
      </c>
      <c r="CO22" s="265">
        <f t="shared" si="56"/>
        <v>0</v>
      </c>
      <c r="CP22" s="265">
        <f t="shared" si="89"/>
        <v>0</v>
      </c>
      <c r="CQ22" s="265">
        <f t="shared" si="90"/>
        <v>0</v>
      </c>
      <c r="CR22" s="265">
        <f t="shared" si="91"/>
        <v>0</v>
      </c>
      <c r="CS22" s="265">
        <f t="shared" si="92"/>
        <v>0</v>
      </c>
      <c r="CT22" s="265">
        <f t="shared" si="57"/>
        <v>0</v>
      </c>
      <c r="CU22" s="265">
        <f t="shared" si="58"/>
        <v>0</v>
      </c>
      <c r="CV22" s="265">
        <f t="shared" si="59"/>
        <v>0</v>
      </c>
      <c r="CW22" s="265">
        <f t="shared" si="60"/>
        <v>0</v>
      </c>
      <c r="CX22" s="265">
        <f t="shared" si="93"/>
        <v>0</v>
      </c>
      <c r="CY22" s="265">
        <f t="shared" si="94"/>
        <v>0</v>
      </c>
      <c r="CZ22" s="265">
        <f t="shared" si="95"/>
        <v>0</v>
      </c>
      <c r="DA22" s="265">
        <f t="shared" si="96"/>
        <v>0</v>
      </c>
    </row>
    <row r="23" spans="1:105" s="262" customFormat="1" ht="15.75" customHeight="1">
      <c r="A23" s="63" t="str">
        <f t="array" ref="A23">IF(C23&lt;&gt;0,SUM(($C$11:C23&lt;&gt;0)*1),"")</f>
        <v/>
      </c>
      <c r="B23" s="263"/>
      <c r="C23" s="263"/>
      <c r="D23" s="263"/>
      <c r="E23" s="344"/>
      <c r="F23" s="314"/>
      <c r="G23" s="316"/>
      <c r="H23" s="316"/>
      <c r="I23" s="63" t="str">
        <f t="shared" si="0"/>
        <v/>
      </c>
      <c r="J23" s="265">
        <f t="shared" si="61"/>
        <v>0</v>
      </c>
      <c r="K23" s="265">
        <f t="shared" si="62"/>
        <v>0</v>
      </c>
      <c r="L23" s="265">
        <f t="shared" si="1"/>
        <v>0</v>
      </c>
      <c r="M23" s="265">
        <f t="shared" si="2"/>
        <v>0</v>
      </c>
      <c r="N23" s="265">
        <f t="shared" si="3"/>
        <v>0</v>
      </c>
      <c r="O23" s="265">
        <f t="shared" si="4"/>
        <v>0</v>
      </c>
      <c r="P23" s="265">
        <f t="shared" si="5"/>
        <v>0</v>
      </c>
      <c r="Q23" s="265">
        <f t="shared" si="6"/>
        <v>0</v>
      </c>
      <c r="R23" s="265">
        <f t="shared" si="7"/>
        <v>0</v>
      </c>
      <c r="S23" s="265">
        <f t="shared" si="8"/>
        <v>0</v>
      </c>
      <c r="T23" s="265">
        <f t="shared" si="9"/>
        <v>0</v>
      </c>
      <c r="U23" s="265">
        <f t="shared" si="10"/>
        <v>0</v>
      </c>
      <c r="V23" s="265">
        <f t="shared" si="11"/>
        <v>0</v>
      </c>
      <c r="W23" s="265">
        <f t="shared" si="12"/>
        <v>0</v>
      </c>
      <c r="X23" s="265">
        <f t="shared" si="13"/>
        <v>0</v>
      </c>
      <c r="Y23" s="265">
        <f t="shared" si="14"/>
        <v>0</v>
      </c>
      <c r="Z23" s="265">
        <f t="shared" si="15"/>
        <v>0</v>
      </c>
      <c r="AA23" s="265">
        <f t="shared" si="16"/>
        <v>0</v>
      </c>
      <c r="AB23" s="265">
        <f t="shared" si="63"/>
        <v>0</v>
      </c>
      <c r="AC23" s="265">
        <f t="shared" si="64"/>
        <v>0</v>
      </c>
      <c r="AD23" s="265">
        <f t="shared" si="17"/>
        <v>0</v>
      </c>
      <c r="AE23" s="265">
        <f t="shared" si="18"/>
        <v>0</v>
      </c>
      <c r="AF23" s="265">
        <f t="shared" si="19"/>
        <v>0</v>
      </c>
      <c r="AG23" s="265">
        <f t="shared" si="20"/>
        <v>0</v>
      </c>
      <c r="AH23" s="265">
        <f t="shared" si="65"/>
        <v>0</v>
      </c>
      <c r="AI23" s="265">
        <f t="shared" si="66"/>
        <v>0</v>
      </c>
      <c r="AJ23" s="265">
        <f t="shared" si="67"/>
        <v>0</v>
      </c>
      <c r="AK23" s="265">
        <f t="shared" si="68"/>
        <v>0</v>
      </c>
      <c r="AL23" s="265">
        <f t="shared" si="69"/>
        <v>0</v>
      </c>
      <c r="AM23" s="265">
        <f t="shared" si="70"/>
        <v>0</v>
      </c>
      <c r="AN23" s="265">
        <f t="shared" si="71"/>
        <v>0</v>
      </c>
      <c r="AO23" s="265">
        <f t="shared" si="72"/>
        <v>0</v>
      </c>
      <c r="AP23" s="265">
        <f t="shared" si="21"/>
        <v>0</v>
      </c>
      <c r="AQ23" s="265">
        <f t="shared" si="22"/>
        <v>0</v>
      </c>
      <c r="AR23" s="265">
        <f t="shared" si="23"/>
        <v>0</v>
      </c>
      <c r="AS23" s="265">
        <f t="shared" si="24"/>
        <v>0</v>
      </c>
      <c r="AT23" s="265">
        <f t="shared" si="73"/>
        <v>0</v>
      </c>
      <c r="AU23" s="265">
        <f t="shared" si="74"/>
        <v>0</v>
      </c>
      <c r="AV23" s="265">
        <f t="shared" si="25"/>
        <v>0</v>
      </c>
      <c r="AW23" s="265">
        <f t="shared" si="26"/>
        <v>0</v>
      </c>
      <c r="AX23" s="265">
        <f t="shared" si="27"/>
        <v>0</v>
      </c>
      <c r="AY23" s="265">
        <f t="shared" si="28"/>
        <v>0</v>
      </c>
      <c r="AZ23" s="265">
        <f t="shared" si="29"/>
        <v>0</v>
      </c>
      <c r="BA23" s="265">
        <f t="shared" si="30"/>
        <v>0</v>
      </c>
      <c r="BB23" s="265">
        <f t="shared" si="31"/>
        <v>0</v>
      </c>
      <c r="BC23" s="265">
        <f t="shared" si="32"/>
        <v>0</v>
      </c>
      <c r="BD23" s="265">
        <f t="shared" si="33"/>
        <v>0</v>
      </c>
      <c r="BE23" s="265">
        <f t="shared" si="34"/>
        <v>0</v>
      </c>
      <c r="BF23" s="265">
        <f t="shared" si="35"/>
        <v>0</v>
      </c>
      <c r="BG23" s="265">
        <f t="shared" si="36"/>
        <v>0</v>
      </c>
      <c r="BH23" s="265">
        <f t="shared" si="75"/>
        <v>0</v>
      </c>
      <c r="BI23" s="265">
        <f t="shared" si="76"/>
        <v>0</v>
      </c>
      <c r="BJ23" s="265">
        <f t="shared" si="37"/>
        <v>0</v>
      </c>
      <c r="BK23" s="265">
        <f t="shared" si="38"/>
        <v>0</v>
      </c>
      <c r="BL23" s="265">
        <f t="shared" si="39"/>
        <v>0</v>
      </c>
      <c r="BM23" s="265">
        <f t="shared" si="40"/>
        <v>0</v>
      </c>
      <c r="BN23" s="265">
        <f t="shared" si="41"/>
        <v>0</v>
      </c>
      <c r="BO23" s="265">
        <f t="shared" si="42"/>
        <v>0</v>
      </c>
      <c r="BP23" s="265">
        <f t="shared" si="77"/>
        <v>0</v>
      </c>
      <c r="BQ23" s="265">
        <f t="shared" si="78"/>
        <v>0</v>
      </c>
      <c r="BR23" s="265">
        <f t="shared" si="43"/>
        <v>0</v>
      </c>
      <c r="BS23" s="265">
        <f t="shared" si="44"/>
        <v>0</v>
      </c>
      <c r="BT23" s="265">
        <f t="shared" si="79"/>
        <v>0</v>
      </c>
      <c r="BU23" s="265">
        <f t="shared" si="80"/>
        <v>0</v>
      </c>
      <c r="BV23" s="265">
        <f t="shared" si="81"/>
        <v>0</v>
      </c>
      <c r="BW23" s="265">
        <f t="shared" si="82"/>
        <v>0</v>
      </c>
      <c r="BX23" s="265">
        <f t="shared" si="45"/>
        <v>0</v>
      </c>
      <c r="BY23" s="265">
        <f t="shared" si="46"/>
        <v>0</v>
      </c>
      <c r="BZ23" s="265">
        <f t="shared" si="47"/>
        <v>0</v>
      </c>
      <c r="CA23" s="265">
        <f t="shared" si="48"/>
        <v>0</v>
      </c>
      <c r="CB23" s="265">
        <f t="shared" si="49"/>
        <v>0</v>
      </c>
      <c r="CC23" s="265">
        <f t="shared" si="50"/>
        <v>0</v>
      </c>
      <c r="CD23" s="265">
        <f t="shared" si="83"/>
        <v>0</v>
      </c>
      <c r="CE23" s="265">
        <f t="shared" si="84"/>
        <v>0</v>
      </c>
      <c r="CF23" s="265">
        <f t="shared" si="85"/>
        <v>0</v>
      </c>
      <c r="CG23" s="265">
        <f t="shared" si="86"/>
        <v>0</v>
      </c>
      <c r="CH23" s="265">
        <f t="shared" si="51"/>
        <v>0</v>
      </c>
      <c r="CI23" s="265">
        <f t="shared" si="52"/>
        <v>0</v>
      </c>
      <c r="CJ23" s="265">
        <f t="shared" si="87"/>
        <v>0</v>
      </c>
      <c r="CK23" s="265">
        <f t="shared" si="88"/>
        <v>0</v>
      </c>
      <c r="CL23" s="265">
        <f t="shared" si="53"/>
        <v>0</v>
      </c>
      <c r="CM23" s="265">
        <f t="shared" si="54"/>
        <v>0</v>
      </c>
      <c r="CN23" s="265">
        <f t="shared" si="55"/>
        <v>0</v>
      </c>
      <c r="CO23" s="265">
        <f t="shared" si="56"/>
        <v>0</v>
      </c>
      <c r="CP23" s="265">
        <f t="shared" si="89"/>
        <v>0</v>
      </c>
      <c r="CQ23" s="265">
        <f t="shared" si="90"/>
        <v>0</v>
      </c>
      <c r="CR23" s="265">
        <f t="shared" si="91"/>
        <v>0</v>
      </c>
      <c r="CS23" s="265">
        <f t="shared" si="92"/>
        <v>0</v>
      </c>
      <c r="CT23" s="265">
        <f t="shared" si="57"/>
        <v>0</v>
      </c>
      <c r="CU23" s="265">
        <f t="shared" si="58"/>
        <v>0</v>
      </c>
      <c r="CV23" s="265">
        <f t="shared" si="59"/>
        <v>0</v>
      </c>
      <c r="CW23" s="265">
        <f t="shared" si="60"/>
        <v>0</v>
      </c>
      <c r="CX23" s="265">
        <f t="shared" si="93"/>
        <v>0</v>
      </c>
      <c r="CY23" s="265">
        <f t="shared" si="94"/>
        <v>0</v>
      </c>
      <c r="CZ23" s="265">
        <f t="shared" si="95"/>
        <v>0</v>
      </c>
      <c r="DA23" s="265">
        <f t="shared" si="96"/>
        <v>0</v>
      </c>
    </row>
    <row r="24" spans="1:105" s="262" customFormat="1" ht="15.75" customHeight="1">
      <c r="A24" s="63" t="str">
        <f t="array" ref="A24">IF(C24&lt;&gt;0,SUM(($C$11:C24&lt;&gt;0)*1),"")</f>
        <v/>
      </c>
      <c r="B24" s="263"/>
      <c r="C24" s="263"/>
      <c r="D24" s="263"/>
      <c r="E24" s="344"/>
      <c r="F24" s="314"/>
      <c r="G24" s="316"/>
      <c r="H24" s="316"/>
      <c r="I24" s="63" t="str">
        <f t="shared" si="0"/>
        <v/>
      </c>
      <c r="J24" s="265">
        <f t="shared" si="61"/>
        <v>0</v>
      </c>
      <c r="K24" s="265">
        <f t="shared" si="62"/>
        <v>0</v>
      </c>
      <c r="L24" s="265">
        <f t="shared" si="1"/>
        <v>0</v>
      </c>
      <c r="M24" s="265">
        <f t="shared" si="2"/>
        <v>0</v>
      </c>
      <c r="N24" s="265">
        <f t="shared" si="3"/>
        <v>0</v>
      </c>
      <c r="O24" s="265">
        <f t="shared" si="4"/>
        <v>0</v>
      </c>
      <c r="P24" s="265">
        <f t="shared" si="5"/>
        <v>0</v>
      </c>
      <c r="Q24" s="265">
        <f t="shared" si="6"/>
        <v>0</v>
      </c>
      <c r="R24" s="265">
        <f t="shared" si="7"/>
        <v>0</v>
      </c>
      <c r="S24" s="265">
        <f t="shared" si="8"/>
        <v>0</v>
      </c>
      <c r="T24" s="265">
        <f t="shared" si="9"/>
        <v>0</v>
      </c>
      <c r="U24" s="265">
        <f t="shared" si="10"/>
        <v>0</v>
      </c>
      <c r="V24" s="265">
        <f t="shared" si="11"/>
        <v>0</v>
      </c>
      <c r="W24" s="265">
        <f t="shared" si="12"/>
        <v>0</v>
      </c>
      <c r="X24" s="265">
        <f t="shared" si="13"/>
        <v>0</v>
      </c>
      <c r="Y24" s="265">
        <f t="shared" si="14"/>
        <v>0</v>
      </c>
      <c r="Z24" s="265">
        <f t="shared" si="15"/>
        <v>0</v>
      </c>
      <c r="AA24" s="265">
        <f t="shared" si="16"/>
        <v>0</v>
      </c>
      <c r="AB24" s="265">
        <f t="shared" si="63"/>
        <v>0</v>
      </c>
      <c r="AC24" s="265">
        <f t="shared" si="64"/>
        <v>0</v>
      </c>
      <c r="AD24" s="265">
        <f t="shared" si="17"/>
        <v>0</v>
      </c>
      <c r="AE24" s="265">
        <f t="shared" si="18"/>
        <v>0</v>
      </c>
      <c r="AF24" s="265">
        <f t="shared" si="19"/>
        <v>0</v>
      </c>
      <c r="AG24" s="265">
        <f t="shared" si="20"/>
        <v>0</v>
      </c>
      <c r="AH24" s="265">
        <f t="shared" si="65"/>
        <v>0</v>
      </c>
      <c r="AI24" s="265">
        <f t="shared" si="66"/>
        <v>0</v>
      </c>
      <c r="AJ24" s="265">
        <f t="shared" si="67"/>
        <v>0</v>
      </c>
      <c r="AK24" s="265">
        <f t="shared" si="68"/>
        <v>0</v>
      </c>
      <c r="AL24" s="265">
        <f t="shared" si="69"/>
        <v>0</v>
      </c>
      <c r="AM24" s="265">
        <f t="shared" si="70"/>
        <v>0</v>
      </c>
      <c r="AN24" s="265">
        <f t="shared" si="71"/>
        <v>0</v>
      </c>
      <c r="AO24" s="265">
        <f t="shared" si="72"/>
        <v>0</v>
      </c>
      <c r="AP24" s="265">
        <f t="shared" si="21"/>
        <v>0</v>
      </c>
      <c r="AQ24" s="265">
        <f t="shared" si="22"/>
        <v>0</v>
      </c>
      <c r="AR24" s="265">
        <f t="shared" si="23"/>
        <v>0</v>
      </c>
      <c r="AS24" s="265">
        <f t="shared" si="24"/>
        <v>0</v>
      </c>
      <c r="AT24" s="265">
        <f t="shared" si="73"/>
        <v>0</v>
      </c>
      <c r="AU24" s="265">
        <f t="shared" si="74"/>
        <v>0</v>
      </c>
      <c r="AV24" s="265">
        <f t="shared" si="25"/>
        <v>0</v>
      </c>
      <c r="AW24" s="265">
        <f t="shared" si="26"/>
        <v>0</v>
      </c>
      <c r="AX24" s="265">
        <f t="shared" si="27"/>
        <v>0</v>
      </c>
      <c r="AY24" s="265">
        <f t="shared" si="28"/>
        <v>0</v>
      </c>
      <c r="AZ24" s="265">
        <f t="shared" si="29"/>
        <v>0</v>
      </c>
      <c r="BA24" s="265">
        <f t="shared" si="30"/>
        <v>0</v>
      </c>
      <c r="BB24" s="265">
        <f t="shared" si="31"/>
        <v>0</v>
      </c>
      <c r="BC24" s="265">
        <f t="shared" si="32"/>
        <v>0</v>
      </c>
      <c r="BD24" s="265">
        <f t="shared" si="33"/>
        <v>0</v>
      </c>
      <c r="BE24" s="265">
        <f t="shared" si="34"/>
        <v>0</v>
      </c>
      <c r="BF24" s="265">
        <f t="shared" si="35"/>
        <v>0</v>
      </c>
      <c r="BG24" s="265">
        <f t="shared" si="36"/>
        <v>0</v>
      </c>
      <c r="BH24" s="265">
        <f t="shared" si="75"/>
        <v>0</v>
      </c>
      <c r="BI24" s="265">
        <f t="shared" si="76"/>
        <v>0</v>
      </c>
      <c r="BJ24" s="265">
        <f t="shared" si="37"/>
        <v>0</v>
      </c>
      <c r="BK24" s="265">
        <f t="shared" si="38"/>
        <v>0</v>
      </c>
      <c r="BL24" s="265">
        <f t="shared" si="39"/>
        <v>0</v>
      </c>
      <c r="BM24" s="265">
        <f t="shared" si="40"/>
        <v>0</v>
      </c>
      <c r="BN24" s="265">
        <f t="shared" si="41"/>
        <v>0</v>
      </c>
      <c r="BO24" s="265">
        <f t="shared" si="42"/>
        <v>0</v>
      </c>
      <c r="BP24" s="265">
        <f t="shared" si="77"/>
        <v>0</v>
      </c>
      <c r="BQ24" s="265">
        <f t="shared" si="78"/>
        <v>0</v>
      </c>
      <c r="BR24" s="265">
        <f t="shared" si="43"/>
        <v>0</v>
      </c>
      <c r="BS24" s="265">
        <f t="shared" si="44"/>
        <v>0</v>
      </c>
      <c r="BT24" s="265">
        <f t="shared" si="79"/>
        <v>0</v>
      </c>
      <c r="BU24" s="265">
        <f t="shared" si="80"/>
        <v>0</v>
      </c>
      <c r="BV24" s="265">
        <f t="shared" si="81"/>
        <v>0</v>
      </c>
      <c r="BW24" s="265">
        <f t="shared" si="82"/>
        <v>0</v>
      </c>
      <c r="BX24" s="265">
        <f t="shared" si="45"/>
        <v>0</v>
      </c>
      <c r="BY24" s="265">
        <f t="shared" si="46"/>
        <v>0</v>
      </c>
      <c r="BZ24" s="265">
        <f t="shared" si="47"/>
        <v>0</v>
      </c>
      <c r="CA24" s="265">
        <f t="shared" si="48"/>
        <v>0</v>
      </c>
      <c r="CB24" s="265">
        <f t="shared" si="49"/>
        <v>0</v>
      </c>
      <c r="CC24" s="265">
        <f t="shared" si="50"/>
        <v>0</v>
      </c>
      <c r="CD24" s="265">
        <f t="shared" si="83"/>
        <v>0</v>
      </c>
      <c r="CE24" s="265">
        <f t="shared" si="84"/>
        <v>0</v>
      </c>
      <c r="CF24" s="265">
        <f t="shared" si="85"/>
        <v>0</v>
      </c>
      <c r="CG24" s="265">
        <f t="shared" si="86"/>
        <v>0</v>
      </c>
      <c r="CH24" s="265">
        <f t="shared" si="51"/>
        <v>0</v>
      </c>
      <c r="CI24" s="265">
        <f t="shared" si="52"/>
        <v>0</v>
      </c>
      <c r="CJ24" s="265">
        <f t="shared" si="87"/>
        <v>0</v>
      </c>
      <c r="CK24" s="265">
        <f t="shared" si="88"/>
        <v>0</v>
      </c>
      <c r="CL24" s="265">
        <f t="shared" si="53"/>
        <v>0</v>
      </c>
      <c r="CM24" s="265">
        <f t="shared" si="54"/>
        <v>0</v>
      </c>
      <c r="CN24" s="265">
        <f t="shared" si="55"/>
        <v>0</v>
      </c>
      <c r="CO24" s="265">
        <f t="shared" si="56"/>
        <v>0</v>
      </c>
      <c r="CP24" s="265">
        <f t="shared" si="89"/>
        <v>0</v>
      </c>
      <c r="CQ24" s="265">
        <f t="shared" si="90"/>
        <v>0</v>
      </c>
      <c r="CR24" s="265">
        <f t="shared" si="91"/>
        <v>0</v>
      </c>
      <c r="CS24" s="265">
        <f t="shared" si="92"/>
        <v>0</v>
      </c>
      <c r="CT24" s="265">
        <f t="shared" si="57"/>
        <v>0</v>
      </c>
      <c r="CU24" s="265">
        <f t="shared" si="58"/>
        <v>0</v>
      </c>
      <c r="CV24" s="265">
        <f t="shared" si="59"/>
        <v>0</v>
      </c>
      <c r="CW24" s="265">
        <f t="shared" si="60"/>
        <v>0</v>
      </c>
      <c r="CX24" s="265">
        <f t="shared" si="93"/>
        <v>0</v>
      </c>
      <c r="CY24" s="265">
        <f t="shared" si="94"/>
        <v>0</v>
      </c>
      <c r="CZ24" s="265">
        <f t="shared" si="95"/>
        <v>0</v>
      </c>
      <c r="DA24" s="265">
        <f t="shared" si="96"/>
        <v>0</v>
      </c>
    </row>
    <row r="25" spans="1:105" s="262" customFormat="1" ht="15.75" customHeight="1">
      <c r="A25" s="63" t="str">
        <f t="array" ref="A25">IF(C25&lt;&gt;0,SUM(($C$11:C25&lt;&gt;0)*1),"")</f>
        <v/>
      </c>
      <c r="B25" s="263"/>
      <c r="C25" s="263"/>
      <c r="D25" s="263"/>
      <c r="E25" s="344"/>
      <c r="F25" s="314"/>
      <c r="G25" s="316"/>
      <c r="H25" s="316"/>
      <c r="I25" s="63" t="str">
        <f t="shared" si="0"/>
        <v/>
      </c>
      <c r="J25" s="265">
        <f t="shared" si="61"/>
        <v>0</v>
      </c>
      <c r="K25" s="265">
        <f t="shared" si="62"/>
        <v>0</v>
      </c>
      <c r="L25" s="265">
        <f t="shared" si="1"/>
        <v>0</v>
      </c>
      <c r="M25" s="265">
        <f t="shared" si="2"/>
        <v>0</v>
      </c>
      <c r="N25" s="265">
        <f t="shared" si="3"/>
        <v>0</v>
      </c>
      <c r="O25" s="265">
        <f t="shared" si="4"/>
        <v>0</v>
      </c>
      <c r="P25" s="265">
        <f t="shared" si="5"/>
        <v>0</v>
      </c>
      <c r="Q25" s="265">
        <f t="shared" si="6"/>
        <v>0</v>
      </c>
      <c r="R25" s="265">
        <f t="shared" si="7"/>
        <v>0</v>
      </c>
      <c r="S25" s="265">
        <f t="shared" si="8"/>
        <v>0</v>
      </c>
      <c r="T25" s="265">
        <f t="shared" si="9"/>
        <v>0</v>
      </c>
      <c r="U25" s="265">
        <f t="shared" si="10"/>
        <v>0</v>
      </c>
      <c r="V25" s="265">
        <f t="shared" si="11"/>
        <v>0</v>
      </c>
      <c r="W25" s="265">
        <f t="shared" si="12"/>
        <v>0</v>
      </c>
      <c r="X25" s="265">
        <f t="shared" si="13"/>
        <v>0</v>
      </c>
      <c r="Y25" s="265">
        <f t="shared" si="14"/>
        <v>0</v>
      </c>
      <c r="Z25" s="265">
        <f t="shared" si="15"/>
        <v>0</v>
      </c>
      <c r="AA25" s="265">
        <f t="shared" si="16"/>
        <v>0</v>
      </c>
      <c r="AB25" s="265">
        <f t="shared" si="63"/>
        <v>0</v>
      </c>
      <c r="AC25" s="265">
        <f t="shared" si="64"/>
        <v>0</v>
      </c>
      <c r="AD25" s="265">
        <f t="shared" si="17"/>
        <v>0</v>
      </c>
      <c r="AE25" s="265">
        <f t="shared" si="18"/>
        <v>0</v>
      </c>
      <c r="AF25" s="265">
        <f t="shared" si="19"/>
        <v>0</v>
      </c>
      <c r="AG25" s="265">
        <f t="shared" si="20"/>
        <v>0</v>
      </c>
      <c r="AH25" s="265">
        <f t="shared" si="65"/>
        <v>0</v>
      </c>
      <c r="AI25" s="265">
        <f t="shared" si="66"/>
        <v>0</v>
      </c>
      <c r="AJ25" s="265">
        <f t="shared" si="67"/>
        <v>0</v>
      </c>
      <c r="AK25" s="265">
        <f t="shared" si="68"/>
        <v>0</v>
      </c>
      <c r="AL25" s="265">
        <f t="shared" si="69"/>
        <v>0</v>
      </c>
      <c r="AM25" s="265">
        <f t="shared" si="70"/>
        <v>0</v>
      </c>
      <c r="AN25" s="265">
        <f t="shared" si="71"/>
        <v>0</v>
      </c>
      <c r="AO25" s="265">
        <f t="shared" si="72"/>
        <v>0</v>
      </c>
      <c r="AP25" s="265">
        <f t="shared" si="21"/>
        <v>0</v>
      </c>
      <c r="AQ25" s="265">
        <f t="shared" si="22"/>
        <v>0</v>
      </c>
      <c r="AR25" s="265">
        <f t="shared" si="23"/>
        <v>0</v>
      </c>
      <c r="AS25" s="265">
        <f t="shared" si="24"/>
        <v>0</v>
      </c>
      <c r="AT25" s="265">
        <f t="shared" si="73"/>
        <v>0</v>
      </c>
      <c r="AU25" s="265">
        <f t="shared" si="74"/>
        <v>0</v>
      </c>
      <c r="AV25" s="265">
        <f t="shared" si="25"/>
        <v>0</v>
      </c>
      <c r="AW25" s="265">
        <f t="shared" si="26"/>
        <v>0</v>
      </c>
      <c r="AX25" s="265">
        <f t="shared" si="27"/>
        <v>0</v>
      </c>
      <c r="AY25" s="265">
        <f t="shared" si="28"/>
        <v>0</v>
      </c>
      <c r="AZ25" s="265">
        <f t="shared" si="29"/>
        <v>0</v>
      </c>
      <c r="BA25" s="265">
        <f t="shared" si="30"/>
        <v>0</v>
      </c>
      <c r="BB25" s="265">
        <f t="shared" si="31"/>
        <v>0</v>
      </c>
      <c r="BC25" s="265">
        <f t="shared" si="32"/>
        <v>0</v>
      </c>
      <c r="BD25" s="265">
        <f t="shared" si="33"/>
        <v>0</v>
      </c>
      <c r="BE25" s="265">
        <f t="shared" si="34"/>
        <v>0</v>
      </c>
      <c r="BF25" s="265">
        <f t="shared" si="35"/>
        <v>0</v>
      </c>
      <c r="BG25" s="265">
        <f t="shared" si="36"/>
        <v>0</v>
      </c>
      <c r="BH25" s="265">
        <f t="shared" si="75"/>
        <v>0</v>
      </c>
      <c r="BI25" s="265">
        <f t="shared" si="76"/>
        <v>0</v>
      </c>
      <c r="BJ25" s="265">
        <f t="shared" si="37"/>
        <v>0</v>
      </c>
      <c r="BK25" s="265">
        <f t="shared" si="38"/>
        <v>0</v>
      </c>
      <c r="BL25" s="265">
        <f t="shared" si="39"/>
        <v>0</v>
      </c>
      <c r="BM25" s="265">
        <f t="shared" si="40"/>
        <v>0</v>
      </c>
      <c r="BN25" s="265">
        <f t="shared" si="41"/>
        <v>0</v>
      </c>
      <c r="BO25" s="265">
        <f t="shared" si="42"/>
        <v>0</v>
      </c>
      <c r="BP25" s="265">
        <f t="shared" si="77"/>
        <v>0</v>
      </c>
      <c r="BQ25" s="265">
        <f t="shared" si="78"/>
        <v>0</v>
      </c>
      <c r="BR25" s="265">
        <f t="shared" si="43"/>
        <v>0</v>
      </c>
      <c r="BS25" s="265">
        <f t="shared" si="44"/>
        <v>0</v>
      </c>
      <c r="BT25" s="265">
        <f t="shared" si="79"/>
        <v>0</v>
      </c>
      <c r="BU25" s="265">
        <f t="shared" si="80"/>
        <v>0</v>
      </c>
      <c r="BV25" s="265">
        <f t="shared" si="81"/>
        <v>0</v>
      </c>
      <c r="BW25" s="265">
        <f t="shared" si="82"/>
        <v>0</v>
      </c>
      <c r="BX25" s="265">
        <f t="shared" si="45"/>
        <v>0</v>
      </c>
      <c r="BY25" s="265">
        <f t="shared" si="46"/>
        <v>0</v>
      </c>
      <c r="BZ25" s="265">
        <f t="shared" si="47"/>
        <v>0</v>
      </c>
      <c r="CA25" s="265">
        <f t="shared" si="48"/>
        <v>0</v>
      </c>
      <c r="CB25" s="265">
        <f t="shared" si="49"/>
        <v>0</v>
      </c>
      <c r="CC25" s="265">
        <f t="shared" si="50"/>
        <v>0</v>
      </c>
      <c r="CD25" s="265">
        <f t="shared" si="83"/>
        <v>0</v>
      </c>
      <c r="CE25" s="265">
        <f t="shared" si="84"/>
        <v>0</v>
      </c>
      <c r="CF25" s="265">
        <f t="shared" si="85"/>
        <v>0</v>
      </c>
      <c r="CG25" s="265">
        <f t="shared" si="86"/>
        <v>0</v>
      </c>
      <c r="CH25" s="265">
        <f t="shared" si="51"/>
        <v>0</v>
      </c>
      <c r="CI25" s="265">
        <f t="shared" si="52"/>
        <v>0</v>
      </c>
      <c r="CJ25" s="265">
        <f t="shared" si="87"/>
        <v>0</v>
      </c>
      <c r="CK25" s="265">
        <f t="shared" si="88"/>
        <v>0</v>
      </c>
      <c r="CL25" s="265">
        <f t="shared" si="53"/>
        <v>0</v>
      </c>
      <c r="CM25" s="265">
        <f t="shared" si="54"/>
        <v>0</v>
      </c>
      <c r="CN25" s="265">
        <f t="shared" si="55"/>
        <v>0</v>
      </c>
      <c r="CO25" s="265">
        <f t="shared" si="56"/>
        <v>0</v>
      </c>
      <c r="CP25" s="265">
        <f t="shared" si="89"/>
        <v>0</v>
      </c>
      <c r="CQ25" s="265">
        <f t="shared" si="90"/>
        <v>0</v>
      </c>
      <c r="CR25" s="265">
        <f t="shared" si="91"/>
        <v>0</v>
      </c>
      <c r="CS25" s="265">
        <f t="shared" si="92"/>
        <v>0</v>
      </c>
      <c r="CT25" s="265">
        <f t="shared" si="57"/>
        <v>0</v>
      </c>
      <c r="CU25" s="265">
        <f t="shared" si="58"/>
        <v>0</v>
      </c>
      <c r="CV25" s="265">
        <f t="shared" si="59"/>
        <v>0</v>
      </c>
      <c r="CW25" s="265">
        <f t="shared" si="60"/>
        <v>0</v>
      </c>
      <c r="CX25" s="265">
        <f t="shared" si="93"/>
        <v>0</v>
      </c>
      <c r="CY25" s="265">
        <f t="shared" si="94"/>
        <v>0</v>
      </c>
      <c r="CZ25" s="265">
        <f t="shared" si="95"/>
        <v>0</v>
      </c>
      <c r="DA25" s="265">
        <f t="shared" si="96"/>
        <v>0</v>
      </c>
    </row>
    <row r="26" spans="1:105" s="262" customFormat="1" ht="15.75" customHeight="1">
      <c r="A26" s="63" t="str">
        <f t="array" ref="A26">IF(C26&lt;&gt;0,SUM(($C$11:C26&lt;&gt;0)*1),"")</f>
        <v/>
      </c>
      <c r="B26" s="263"/>
      <c r="C26" s="263"/>
      <c r="D26" s="263"/>
      <c r="E26" s="344"/>
      <c r="F26" s="314"/>
      <c r="G26" s="316"/>
      <c r="H26" s="316"/>
      <c r="I26" s="63" t="str">
        <f t="shared" si="0"/>
        <v/>
      </c>
      <c r="J26" s="265">
        <f t="shared" si="61"/>
        <v>0</v>
      </c>
      <c r="K26" s="265">
        <f t="shared" si="62"/>
        <v>0</v>
      </c>
      <c r="L26" s="265">
        <f t="shared" si="1"/>
        <v>0</v>
      </c>
      <c r="M26" s="265">
        <f t="shared" si="2"/>
        <v>0</v>
      </c>
      <c r="N26" s="265">
        <f t="shared" si="3"/>
        <v>0</v>
      </c>
      <c r="O26" s="265">
        <f t="shared" si="4"/>
        <v>0</v>
      </c>
      <c r="P26" s="265">
        <f t="shared" si="5"/>
        <v>0</v>
      </c>
      <c r="Q26" s="265">
        <f t="shared" si="6"/>
        <v>0</v>
      </c>
      <c r="R26" s="265">
        <f t="shared" si="7"/>
        <v>0</v>
      </c>
      <c r="S26" s="265">
        <f t="shared" si="8"/>
        <v>0</v>
      </c>
      <c r="T26" s="265">
        <f t="shared" si="9"/>
        <v>0</v>
      </c>
      <c r="U26" s="265">
        <f t="shared" si="10"/>
        <v>0</v>
      </c>
      <c r="V26" s="265">
        <f t="shared" si="11"/>
        <v>0</v>
      </c>
      <c r="W26" s="265">
        <f t="shared" si="12"/>
        <v>0</v>
      </c>
      <c r="X26" s="265">
        <f t="shared" si="13"/>
        <v>0</v>
      </c>
      <c r="Y26" s="265">
        <f t="shared" si="14"/>
        <v>0</v>
      </c>
      <c r="Z26" s="265">
        <f t="shared" si="15"/>
        <v>0</v>
      </c>
      <c r="AA26" s="265">
        <f t="shared" si="16"/>
        <v>0</v>
      </c>
      <c r="AB26" s="265">
        <f t="shared" si="63"/>
        <v>0</v>
      </c>
      <c r="AC26" s="265">
        <f t="shared" si="64"/>
        <v>0</v>
      </c>
      <c r="AD26" s="265">
        <f t="shared" si="17"/>
        <v>0</v>
      </c>
      <c r="AE26" s="265">
        <f t="shared" si="18"/>
        <v>0</v>
      </c>
      <c r="AF26" s="265">
        <f t="shared" si="19"/>
        <v>0</v>
      </c>
      <c r="AG26" s="265">
        <f t="shared" si="20"/>
        <v>0</v>
      </c>
      <c r="AH26" s="265">
        <f t="shared" si="65"/>
        <v>0</v>
      </c>
      <c r="AI26" s="265">
        <f t="shared" si="66"/>
        <v>0</v>
      </c>
      <c r="AJ26" s="265">
        <f t="shared" si="67"/>
        <v>0</v>
      </c>
      <c r="AK26" s="265">
        <f t="shared" si="68"/>
        <v>0</v>
      </c>
      <c r="AL26" s="265">
        <f t="shared" si="69"/>
        <v>0</v>
      </c>
      <c r="AM26" s="265">
        <f t="shared" si="70"/>
        <v>0</v>
      </c>
      <c r="AN26" s="265">
        <f t="shared" si="71"/>
        <v>0</v>
      </c>
      <c r="AO26" s="265">
        <f t="shared" si="72"/>
        <v>0</v>
      </c>
      <c r="AP26" s="265">
        <f t="shared" si="21"/>
        <v>0</v>
      </c>
      <c r="AQ26" s="265">
        <f t="shared" si="22"/>
        <v>0</v>
      </c>
      <c r="AR26" s="265">
        <f t="shared" si="23"/>
        <v>0</v>
      </c>
      <c r="AS26" s="265">
        <f t="shared" si="24"/>
        <v>0</v>
      </c>
      <c r="AT26" s="265">
        <f t="shared" si="73"/>
        <v>0</v>
      </c>
      <c r="AU26" s="265">
        <f t="shared" si="74"/>
        <v>0</v>
      </c>
      <c r="AV26" s="265">
        <f t="shared" si="25"/>
        <v>0</v>
      </c>
      <c r="AW26" s="265">
        <f t="shared" si="26"/>
        <v>0</v>
      </c>
      <c r="AX26" s="265">
        <f t="shared" si="27"/>
        <v>0</v>
      </c>
      <c r="AY26" s="265">
        <f t="shared" si="28"/>
        <v>0</v>
      </c>
      <c r="AZ26" s="265">
        <f t="shared" si="29"/>
        <v>0</v>
      </c>
      <c r="BA26" s="265">
        <f t="shared" si="30"/>
        <v>0</v>
      </c>
      <c r="BB26" s="265">
        <f t="shared" si="31"/>
        <v>0</v>
      </c>
      <c r="BC26" s="265">
        <f t="shared" si="32"/>
        <v>0</v>
      </c>
      <c r="BD26" s="265">
        <f t="shared" si="33"/>
        <v>0</v>
      </c>
      <c r="BE26" s="265">
        <f t="shared" si="34"/>
        <v>0</v>
      </c>
      <c r="BF26" s="265">
        <f t="shared" si="35"/>
        <v>0</v>
      </c>
      <c r="BG26" s="265">
        <f t="shared" si="36"/>
        <v>0</v>
      </c>
      <c r="BH26" s="265">
        <f t="shared" si="75"/>
        <v>0</v>
      </c>
      <c r="BI26" s="265">
        <f t="shared" si="76"/>
        <v>0</v>
      </c>
      <c r="BJ26" s="265">
        <f t="shared" si="37"/>
        <v>0</v>
      </c>
      <c r="BK26" s="265">
        <f t="shared" si="38"/>
        <v>0</v>
      </c>
      <c r="BL26" s="265">
        <f t="shared" si="39"/>
        <v>0</v>
      </c>
      <c r="BM26" s="265">
        <f t="shared" si="40"/>
        <v>0</v>
      </c>
      <c r="BN26" s="265">
        <f t="shared" si="41"/>
        <v>0</v>
      </c>
      <c r="BO26" s="265">
        <f t="shared" si="42"/>
        <v>0</v>
      </c>
      <c r="BP26" s="265">
        <f t="shared" si="77"/>
        <v>0</v>
      </c>
      <c r="BQ26" s="265">
        <f t="shared" si="78"/>
        <v>0</v>
      </c>
      <c r="BR26" s="265">
        <f t="shared" si="43"/>
        <v>0</v>
      </c>
      <c r="BS26" s="265">
        <f t="shared" si="44"/>
        <v>0</v>
      </c>
      <c r="BT26" s="265">
        <f t="shared" si="79"/>
        <v>0</v>
      </c>
      <c r="BU26" s="265">
        <f t="shared" si="80"/>
        <v>0</v>
      </c>
      <c r="BV26" s="265">
        <f t="shared" si="81"/>
        <v>0</v>
      </c>
      <c r="BW26" s="265">
        <f t="shared" si="82"/>
        <v>0</v>
      </c>
      <c r="BX26" s="265">
        <f t="shared" si="45"/>
        <v>0</v>
      </c>
      <c r="BY26" s="265">
        <f t="shared" si="46"/>
        <v>0</v>
      </c>
      <c r="BZ26" s="265">
        <f t="shared" si="47"/>
        <v>0</v>
      </c>
      <c r="CA26" s="265">
        <f t="shared" si="48"/>
        <v>0</v>
      </c>
      <c r="CB26" s="265">
        <f t="shared" si="49"/>
        <v>0</v>
      </c>
      <c r="CC26" s="265">
        <f t="shared" si="50"/>
        <v>0</v>
      </c>
      <c r="CD26" s="265">
        <f t="shared" si="83"/>
        <v>0</v>
      </c>
      <c r="CE26" s="265">
        <f t="shared" si="84"/>
        <v>0</v>
      </c>
      <c r="CF26" s="265">
        <f t="shared" si="85"/>
        <v>0</v>
      </c>
      <c r="CG26" s="265">
        <f t="shared" si="86"/>
        <v>0</v>
      </c>
      <c r="CH26" s="265">
        <f t="shared" si="51"/>
        <v>0</v>
      </c>
      <c r="CI26" s="265">
        <f t="shared" si="52"/>
        <v>0</v>
      </c>
      <c r="CJ26" s="265">
        <f t="shared" si="87"/>
        <v>0</v>
      </c>
      <c r="CK26" s="265">
        <f t="shared" si="88"/>
        <v>0</v>
      </c>
      <c r="CL26" s="265">
        <f t="shared" si="53"/>
        <v>0</v>
      </c>
      <c r="CM26" s="265">
        <f t="shared" si="54"/>
        <v>0</v>
      </c>
      <c r="CN26" s="265">
        <f t="shared" si="55"/>
        <v>0</v>
      </c>
      <c r="CO26" s="265">
        <f t="shared" si="56"/>
        <v>0</v>
      </c>
      <c r="CP26" s="265">
        <f t="shared" si="89"/>
        <v>0</v>
      </c>
      <c r="CQ26" s="265">
        <f t="shared" si="90"/>
        <v>0</v>
      </c>
      <c r="CR26" s="265">
        <f t="shared" si="91"/>
        <v>0</v>
      </c>
      <c r="CS26" s="265">
        <f t="shared" si="92"/>
        <v>0</v>
      </c>
      <c r="CT26" s="265">
        <f t="shared" si="57"/>
        <v>0</v>
      </c>
      <c r="CU26" s="265">
        <f t="shared" si="58"/>
        <v>0</v>
      </c>
      <c r="CV26" s="265">
        <f t="shared" si="59"/>
        <v>0</v>
      </c>
      <c r="CW26" s="265">
        <f t="shared" si="60"/>
        <v>0</v>
      </c>
      <c r="CX26" s="265">
        <f t="shared" si="93"/>
        <v>0</v>
      </c>
      <c r="CY26" s="265">
        <f t="shared" si="94"/>
        <v>0</v>
      </c>
      <c r="CZ26" s="265">
        <f t="shared" si="95"/>
        <v>0</v>
      </c>
      <c r="DA26" s="265">
        <f t="shared" si="96"/>
        <v>0</v>
      </c>
    </row>
    <row r="27" spans="1:105" s="262" customFormat="1" ht="15.75" customHeight="1">
      <c r="A27" s="63" t="str">
        <f t="array" ref="A27">IF(C27&lt;&gt;0,SUM(($C$11:C27&lt;&gt;0)*1),"")</f>
        <v/>
      </c>
      <c r="B27" s="263"/>
      <c r="C27" s="263"/>
      <c r="D27" s="263"/>
      <c r="E27" s="344"/>
      <c r="F27" s="314"/>
      <c r="G27" s="316"/>
      <c r="H27" s="316"/>
      <c r="I27" s="63" t="str">
        <f>A27</f>
        <v/>
      </c>
      <c r="J27" s="265">
        <f t="shared" si="61"/>
        <v>0</v>
      </c>
      <c r="K27" s="265">
        <f t="shared" si="62"/>
        <v>0</v>
      </c>
      <c r="L27" s="265">
        <f t="shared" si="1"/>
        <v>0</v>
      </c>
      <c r="M27" s="265">
        <f t="shared" si="2"/>
        <v>0</v>
      </c>
      <c r="N27" s="265">
        <f t="shared" si="3"/>
        <v>0</v>
      </c>
      <c r="O27" s="265">
        <f t="shared" si="4"/>
        <v>0</v>
      </c>
      <c r="P27" s="265">
        <f t="shared" si="5"/>
        <v>0</v>
      </c>
      <c r="Q27" s="265">
        <f t="shared" si="6"/>
        <v>0</v>
      </c>
      <c r="R27" s="265">
        <f t="shared" si="7"/>
        <v>0</v>
      </c>
      <c r="S27" s="265">
        <f t="shared" si="8"/>
        <v>0</v>
      </c>
      <c r="T27" s="265">
        <f t="shared" si="9"/>
        <v>0</v>
      </c>
      <c r="U27" s="265">
        <f t="shared" si="10"/>
        <v>0</v>
      </c>
      <c r="V27" s="265">
        <f t="shared" si="11"/>
        <v>0</v>
      </c>
      <c r="W27" s="265">
        <f t="shared" si="12"/>
        <v>0</v>
      </c>
      <c r="X27" s="265">
        <f t="shared" si="13"/>
        <v>0</v>
      </c>
      <c r="Y27" s="265">
        <f t="shared" si="14"/>
        <v>0</v>
      </c>
      <c r="Z27" s="265">
        <f t="shared" si="15"/>
        <v>0</v>
      </c>
      <c r="AA27" s="265">
        <f t="shared" si="16"/>
        <v>0</v>
      </c>
      <c r="AB27" s="265">
        <f t="shared" si="63"/>
        <v>0</v>
      </c>
      <c r="AC27" s="265">
        <f t="shared" si="64"/>
        <v>0</v>
      </c>
      <c r="AD27" s="265">
        <f t="shared" si="17"/>
        <v>0</v>
      </c>
      <c r="AE27" s="265">
        <f t="shared" si="18"/>
        <v>0</v>
      </c>
      <c r="AF27" s="265">
        <f t="shared" si="19"/>
        <v>0</v>
      </c>
      <c r="AG27" s="265">
        <f t="shared" si="20"/>
        <v>0</v>
      </c>
      <c r="AH27" s="265">
        <f t="shared" si="65"/>
        <v>0</v>
      </c>
      <c r="AI27" s="265">
        <f t="shared" si="66"/>
        <v>0</v>
      </c>
      <c r="AJ27" s="265">
        <f t="shared" si="67"/>
        <v>0</v>
      </c>
      <c r="AK27" s="265">
        <f t="shared" si="68"/>
        <v>0</v>
      </c>
      <c r="AL27" s="265">
        <f t="shared" si="69"/>
        <v>0</v>
      </c>
      <c r="AM27" s="265">
        <f t="shared" si="70"/>
        <v>0</v>
      </c>
      <c r="AN27" s="265">
        <f t="shared" si="71"/>
        <v>0</v>
      </c>
      <c r="AO27" s="265">
        <f t="shared" si="72"/>
        <v>0</v>
      </c>
      <c r="AP27" s="265">
        <f t="shared" si="21"/>
        <v>0</v>
      </c>
      <c r="AQ27" s="265">
        <f t="shared" si="22"/>
        <v>0</v>
      </c>
      <c r="AR27" s="265">
        <f t="shared" si="23"/>
        <v>0</v>
      </c>
      <c r="AS27" s="265">
        <f t="shared" si="24"/>
        <v>0</v>
      </c>
      <c r="AT27" s="265">
        <f t="shared" si="73"/>
        <v>0</v>
      </c>
      <c r="AU27" s="265">
        <f t="shared" si="74"/>
        <v>0</v>
      </c>
      <c r="AV27" s="265">
        <f t="shared" si="25"/>
        <v>0</v>
      </c>
      <c r="AW27" s="265">
        <f t="shared" si="26"/>
        <v>0</v>
      </c>
      <c r="AX27" s="265">
        <f t="shared" si="27"/>
        <v>0</v>
      </c>
      <c r="AY27" s="265">
        <f t="shared" si="28"/>
        <v>0</v>
      </c>
      <c r="AZ27" s="265">
        <f t="shared" si="29"/>
        <v>0</v>
      </c>
      <c r="BA27" s="265">
        <f t="shared" si="30"/>
        <v>0</v>
      </c>
      <c r="BB27" s="265">
        <f t="shared" si="31"/>
        <v>0</v>
      </c>
      <c r="BC27" s="265">
        <f t="shared" si="32"/>
        <v>0</v>
      </c>
      <c r="BD27" s="265">
        <f t="shared" si="33"/>
        <v>0</v>
      </c>
      <c r="BE27" s="265">
        <f t="shared" si="34"/>
        <v>0</v>
      </c>
      <c r="BF27" s="265">
        <f t="shared" si="35"/>
        <v>0</v>
      </c>
      <c r="BG27" s="265">
        <f t="shared" si="36"/>
        <v>0</v>
      </c>
      <c r="BH27" s="265">
        <f t="shared" si="75"/>
        <v>0</v>
      </c>
      <c r="BI27" s="265">
        <f t="shared" si="76"/>
        <v>0</v>
      </c>
      <c r="BJ27" s="265">
        <f t="shared" si="37"/>
        <v>0</v>
      </c>
      <c r="BK27" s="265">
        <f t="shared" si="38"/>
        <v>0</v>
      </c>
      <c r="BL27" s="265">
        <f t="shared" si="39"/>
        <v>0</v>
      </c>
      <c r="BM27" s="265">
        <f t="shared" si="40"/>
        <v>0</v>
      </c>
      <c r="BN27" s="265">
        <f t="shared" si="41"/>
        <v>0</v>
      </c>
      <c r="BO27" s="265">
        <f t="shared" si="42"/>
        <v>0</v>
      </c>
      <c r="BP27" s="265">
        <f t="shared" si="77"/>
        <v>0</v>
      </c>
      <c r="BQ27" s="265">
        <f t="shared" si="78"/>
        <v>0</v>
      </c>
      <c r="BR27" s="265">
        <f t="shared" si="43"/>
        <v>0</v>
      </c>
      <c r="BS27" s="265">
        <f t="shared" si="44"/>
        <v>0</v>
      </c>
      <c r="BT27" s="265">
        <f t="shared" si="79"/>
        <v>0</v>
      </c>
      <c r="BU27" s="265">
        <f t="shared" si="80"/>
        <v>0</v>
      </c>
      <c r="BV27" s="265">
        <f t="shared" si="81"/>
        <v>0</v>
      </c>
      <c r="BW27" s="265">
        <f t="shared" si="82"/>
        <v>0</v>
      </c>
      <c r="BX27" s="265">
        <f t="shared" si="45"/>
        <v>0</v>
      </c>
      <c r="BY27" s="265">
        <f t="shared" si="46"/>
        <v>0</v>
      </c>
      <c r="BZ27" s="265">
        <f t="shared" si="47"/>
        <v>0</v>
      </c>
      <c r="CA27" s="265">
        <f t="shared" si="48"/>
        <v>0</v>
      </c>
      <c r="CB27" s="265">
        <f t="shared" si="49"/>
        <v>0</v>
      </c>
      <c r="CC27" s="265">
        <f t="shared" si="50"/>
        <v>0</v>
      </c>
      <c r="CD27" s="265">
        <f t="shared" si="83"/>
        <v>0</v>
      </c>
      <c r="CE27" s="265">
        <f t="shared" si="84"/>
        <v>0</v>
      </c>
      <c r="CF27" s="265">
        <f t="shared" si="85"/>
        <v>0</v>
      </c>
      <c r="CG27" s="265">
        <f t="shared" si="86"/>
        <v>0</v>
      </c>
      <c r="CH27" s="265">
        <f t="shared" si="51"/>
        <v>0</v>
      </c>
      <c r="CI27" s="265">
        <f t="shared" si="52"/>
        <v>0</v>
      </c>
      <c r="CJ27" s="265">
        <f t="shared" si="87"/>
        <v>0</v>
      </c>
      <c r="CK27" s="265">
        <f t="shared" si="88"/>
        <v>0</v>
      </c>
      <c r="CL27" s="265">
        <f t="shared" si="53"/>
        <v>0</v>
      </c>
      <c r="CM27" s="265">
        <f t="shared" si="54"/>
        <v>0</v>
      </c>
      <c r="CN27" s="265">
        <f t="shared" si="55"/>
        <v>0</v>
      </c>
      <c r="CO27" s="265">
        <f t="shared" si="56"/>
        <v>0</v>
      </c>
      <c r="CP27" s="265">
        <f t="shared" si="89"/>
        <v>0</v>
      </c>
      <c r="CQ27" s="265">
        <f t="shared" si="90"/>
        <v>0</v>
      </c>
      <c r="CR27" s="265">
        <f t="shared" si="91"/>
        <v>0</v>
      </c>
      <c r="CS27" s="265">
        <f t="shared" si="92"/>
        <v>0</v>
      </c>
      <c r="CT27" s="265">
        <f t="shared" si="57"/>
        <v>0</v>
      </c>
      <c r="CU27" s="265">
        <f t="shared" si="58"/>
        <v>0</v>
      </c>
      <c r="CV27" s="265">
        <f t="shared" si="59"/>
        <v>0</v>
      </c>
      <c r="CW27" s="265">
        <f t="shared" si="60"/>
        <v>0</v>
      </c>
      <c r="CX27" s="265">
        <f t="shared" si="93"/>
        <v>0</v>
      </c>
      <c r="CY27" s="265">
        <f t="shared" si="94"/>
        <v>0</v>
      </c>
      <c r="CZ27" s="265">
        <f t="shared" si="95"/>
        <v>0</v>
      </c>
      <c r="DA27" s="265">
        <f t="shared" si="96"/>
        <v>0</v>
      </c>
    </row>
    <row r="28" spans="1:105" s="262" customFormat="1" ht="15.75" customHeight="1">
      <c r="A28" s="63" t="str">
        <f t="array" ref="A28">IF(C28&lt;&gt;0,SUM(($C$11:C28&lt;&gt;0)*1),"")</f>
        <v/>
      </c>
      <c r="B28" s="263"/>
      <c r="C28" s="263"/>
      <c r="D28" s="263"/>
      <c r="E28" s="344"/>
      <c r="F28" s="314"/>
      <c r="G28" s="316"/>
      <c r="H28" s="316"/>
      <c r="I28" s="63" t="str">
        <f t="shared" ref="I28:I50" si="97">A28</f>
        <v/>
      </c>
      <c r="J28" s="265">
        <f t="shared" si="61"/>
        <v>0</v>
      </c>
      <c r="K28" s="265">
        <f t="shared" si="62"/>
        <v>0</v>
      </c>
      <c r="L28" s="265">
        <f t="shared" si="1"/>
        <v>0</v>
      </c>
      <c r="M28" s="265">
        <f t="shared" si="2"/>
        <v>0</v>
      </c>
      <c r="N28" s="265">
        <f t="shared" si="3"/>
        <v>0</v>
      </c>
      <c r="O28" s="265">
        <f t="shared" si="4"/>
        <v>0</v>
      </c>
      <c r="P28" s="265">
        <f t="shared" si="5"/>
        <v>0</v>
      </c>
      <c r="Q28" s="265">
        <f t="shared" si="6"/>
        <v>0</v>
      </c>
      <c r="R28" s="265">
        <f t="shared" si="7"/>
        <v>0</v>
      </c>
      <c r="S28" s="265">
        <f t="shared" si="8"/>
        <v>0</v>
      </c>
      <c r="T28" s="265">
        <f t="shared" si="9"/>
        <v>0</v>
      </c>
      <c r="U28" s="265">
        <f t="shared" si="10"/>
        <v>0</v>
      </c>
      <c r="V28" s="265">
        <f t="shared" si="11"/>
        <v>0</v>
      </c>
      <c r="W28" s="265">
        <f t="shared" si="12"/>
        <v>0</v>
      </c>
      <c r="X28" s="265">
        <f t="shared" si="13"/>
        <v>0</v>
      </c>
      <c r="Y28" s="265">
        <f t="shared" si="14"/>
        <v>0</v>
      </c>
      <c r="Z28" s="265">
        <f t="shared" si="15"/>
        <v>0</v>
      </c>
      <c r="AA28" s="265">
        <f t="shared" si="16"/>
        <v>0</v>
      </c>
      <c r="AB28" s="265">
        <f t="shared" si="63"/>
        <v>0</v>
      </c>
      <c r="AC28" s="265">
        <f t="shared" si="64"/>
        <v>0</v>
      </c>
      <c r="AD28" s="265">
        <f t="shared" si="17"/>
        <v>0</v>
      </c>
      <c r="AE28" s="265">
        <f t="shared" si="18"/>
        <v>0</v>
      </c>
      <c r="AF28" s="265">
        <f t="shared" si="19"/>
        <v>0</v>
      </c>
      <c r="AG28" s="265">
        <f t="shared" si="20"/>
        <v>0</v>
      </c>
      <c r="AH28" s="265">
        <f t="shared" si="65"/>
        <v>0</v>
      </c>
      <c r="AI28" s="265">
        <f t="shared" si="66"/>
        <v>0</v>
      </c>
      <c r="AJ28" s="265">
        <f t="shared" si="67"/>
        <v>0</v>
      </c>
      <c r="AK28" s="265">
        <f t="shared" si="68"/>
        <v>0</v>
      </c>
      <c r="AL28" s="265">
        <f t="shared" si="69"/>
        <v>0</v>
      </c>
      <c r="AM28" s="265">
        <f t="shared" si="70"/>
        <v>0</v>
      </c>
      <c r="AN28" s="265">
        <f t="shared" si="71"/>
        <v>0</v>
      </c>
      <c r="AO28" s="265">
        <f t="shared" si="72"/>
        <v>0</v>
      </c>
      <c r="AP28" s="265">
        <f t="shared" si="21"/>
        <v>0</v>
      </c>
      <c r="AQ28" s="265">
        <f t="shared" si="22"/>
        <v>0</v>
      </c>
      <c r="AR28" s="265">
        <f t="shared" si="23"/>
        <v>0</v>
      </c>
      <c r="AS28" s="265">
        <f t="shared" si="24"/>
        <v>0</v>
      </c>
      <c r="AT28" s="265">
        <f t="shared" si="73"/>
        <v>0</v>
      </c>
      <c r="AU28" s="265">
        <f t="shared" si="74"/>
        <v>0</v>
      </c>
      <c r="AV28" s="265">
        <f t="shared" si="25"/>
        <v>0</v>
      </c>
      <c r="AW28" s="265">
        <f t="shared" si="26"/>
        <v>0</v>
      </c>
      <c r="AX28" s="265">
        <f t="shared" si="27"/>
        <v>0</v>
      </c>
      <c r="AY28" s="265">
        <f t="shared" si="28"/>
        <v>0</v>
      </c>
      <c r="AZ28" s="265">
        <f t="shared" si="29"/>
        <v>0</v>
      </c>
      <c r="BA28" s="265">
        <f t="shared" si="30"/>
        <v>0</v>
      </c>
      <c r="BB28" s="265">
        <f t="shared" si="31"/>
        <v>0</v>
      </c>
      <c r="BC28" s="265">
        <f t="shared" si="32"/>
        <v>0</v>
      </c>
      <c r="BD28" s="265">
        <f t="shared" si="33"/>
        <v>0</v>
      </c>
      <c r="BE28" s="265">
        <f t="shared" si="34"/>
        <v>0</v>
      </c>
      <c r="BF28" s="265">
        <f t="shared" si="35"/>
        <v>0</v>
      </c>
      <c r="BG28" s="265">
        <f t="shared" si="36"/>
        <v>0</v>
      </c>
      <c r="BH28" s="265">
        <f t="shared" si="75"/>
        <v>0</v>
      </c>
      <c r="BI28" s="265">
        <f t="shared" si="76"/>
        <v>0</v>
      </c>
      <c r="BJ28" s="265">
        <f t="shared" si="37"/>
        <v>0</v>
      </c>
      <c r="BK28" s="265">
        <f t="shared" si="38"/>
        <v>0</v>
      </c>
      <c r="BL28" s="265">
        <f t="shared" si="39"/>
        <v>0</v>
      </c>
      <c r="BM28" s="265">
        <f t="shared" si="40"/>
        <v>0</v>
      </c>
      <c r="BN28" s="265">
        <f t="shared" si="41"/>
        <v>0</v>
      </c>
      <c r="BO28" s="265">
        <f t="shared" si="42"/>
        <v>0</v>
      </c>
      <c r="BP28" s="265">
        <f t="shared" si="77"/>
        <v>0</v>
      </c>
      <c r="BQ28" s="265">
        <f t="shared" si="78"/>
        <v>0</v>
      </c>
      <c r="BR28" s="265">
        <f t="shared" si="43"/>
        <v>0</v>
      </c>
      <c r="BS28" s="265">
        <f t="shared" si="44"/>
        <v>0</v>
      </c>
      <c r="BT28" s="265">
        <f t="shared" si="79"/>
        <v>0</v>
      </c>
      <c r="BU28" s="265">
        <f t="shared" si="80"/>
        <v>0</v>
      </c>
      <c r="BV28" s="265">
        <f t="shared" si="81"/>
        <v>0</v>
      </c>
      <c r="BW28" s="265">
        <f t="shared" si="82"/>
        <v>0</v>
      </c>
      <c r="BX28" s="265">
        <f t="shared" si="45"/>
        <v>0</v>
      </c>
      <c r="BY28" s="265">
        <f t="shared" si="46"/>
        <v>0</v>
      </c>
      <c r="BZ28" s="265">
        <f t="shared" si="47"/>
        <v>0</v>
      </c>
      <c r="CA28" s="265">
        <f t="shared" si="48"/>
        <v>0</v>
      </c>
      <c r="CB28" s="265">
        <f t="shared" si="49"/>
        <v>0</v>
      </c>
      <c r="CC28" s="265">
        <f t="shared" si="50"/>
        <v>0</v>
      </c>
      <c r="CD28" s="265">
        <f t="shared" si="83"/>
        <v>0</v>
      </c>
      <c r="CE28" s="265">
        <f t="shared" si="84"/>
        <v>0</v>
      </c>
      <c r="CF28" s="265">
        <f t="shared" si="85"/>
        <v>0</v>
      </c>
      <c r="CG28" s="265">
        <f t="shared" si="86"/>
        <v>0</v>
      </c>
      <c r="CH28" s="265">
        <f t="shared" si="51"/>
        <v>0</v>
      </c>
      <c r="CI28" s="265">
        <f t="shared" si="52"/>
        <v>0</v>
      </c>
      <c r="CJ28" s="265">
        <f t="shared" si="87"/>
        <v>0</v>
      </c>
      <c r="CK28" s="265">
        <f t="shared" si="88"/>
        <v>0</v>
      </c>
      <c r="CL28" s="265">
        <f t="shared" si="53"/>
        <v>0</v>
      </c>
      <c r="CM28" s="265">
        <f t="shared" si="54"/>
        <v>0</v>
      </c>
      <c r="CN28" s="265">
        <f t="shared" si="55"/>
        <v>0</v>
      </c>
      <c r="CO28" s="265">
        <f t="shared" si="56"/>
        <v>0</v>
      </c>
      <c r="CP28" s="265">
        <f t="shared" si="89"/>
        <v>0</v>
      </c>
      <c r="CQ28" s="265">
        <f t="shared" si="90"/>
        <v>0</v>
      </c>
      <c r="CR28" s="265">
        <f t="shared" si="91"/>
        <v>0</v>
      </c>
      <c r="CS28" s="265">
        <f t="shared" si="92"/>
        <v>0</v>
      </c>
      <c r="CT28" s="265">
        <f t="shared" si="57"/>
        <v>0</v>
      </c>
      <c r="CU28" s="265">
        <f t="shared" si="58"/>
        <v>0</v>
      </c>
      <c r="CV28" s="265">
        <f t="shared" si="59"/>
        <v>0</v>
      </c>
      <c r="CW28" s="265">
        <f t="shared" si="60"/>
        <v>0</v>
      </c>
      <c r="CX28" s="265">
        <f t="shared" si="93"/>
        <v>0</v>
      </c>
      <c r="CY28" s="265">
        <f t="shared" si="94"/>
        <v>0</v>
      </c>
      <c r="CZ28" s="265">
        <f t="shared" si="95"/>
        <v>0</v>
      </c>
      <c r="DA28" s="265">
        <f t="shared" si="96"/>
        <v>0</v>
      </c>
    </row>
    <row r="29" spans="1:105" s="262" customFormat="1" ht="15.75" customHeight="1">
      <c r="A29" s="63" t="str">
        <f t="array" ref="A29">IF(C29&lt;&gt;0,SUM(($C$11:C29&lt;&gt;0)*1),"")</f>
        <v/>
      </c>
      <c r="B29" s="263"/>
      <c r="C29" s="263"/>
      <c r="D29" s="263"/>
      <c r="E29" s="344"/>
      <c r="F29" s="314"/>
      <c r="G29" s="316"/>
      <c r="H29" s="316"/>
      <c r="I29" s="63" t="str">
        <f t="shared" si="97"/>
        <v/>
      </c>
      <c r="J29" s="265">
        <f t="shared" si="61"/>
        <v>0</v>
      </c>
      <c r="K29" s="265">
        <f t="shared" si="62"/>
        <v>0</v>
      </c>
      <c r="L29" s="265">
        <f t="shared" si="1"/>
        <v>0</v>
      </c>
      <c r="M29" s="265">
        <f t="shared" si="2"/>
        <v>0</v>
      </c>
      <c r="N29" s="265">
        <f t="shared" si="3"/>
        <v>0</v>
      </c>
      <c r="O29" s="265">
        <f t="shared" si="4"/>
        <v>0</v>
      </c>
      <c r="P29" s="265">
        <f t="shared" si="5"/>
        <v>0</v>
      </c>
      <c r="Q29" s="265">
        <f t="shared" si="6"/>
        <v>0</v>
      </c>
      <c r="R29" s="265">
        <f t="shared" si="7"/>
        <v>0</v>
      </c>
      <c r="S29" s="265">
        <f t="shared" si="8"/>
        <v>0</v>
      </c>
      <c r="T29" s="265">
        <f t="shared" si="9"/>
        <v>0</v>
      </c>
      <c r="U29" s="265">
        <f t="shared" si="10"/>
        <v>0</v>
      </c>
      <c r="V29" s="265">
        <f t="shared" si="11"/>
        <v>0</v>
      </c>
      <c r="W29" s="265">
        <f t="shared" si="12"/>
        <v>0</v>
      </c>
      <c r="X29" s="265">
        <f t="shared" si="13"/>
        <v>0</v>
      </c>
      <c r="Y29" s="265">
        <f t="shared" si="14"/>
        <v>0</v>
      </c>
      <c r="Z29" s="265">
        <f t="shared" si="15"/>
        <v>0</v>
      </c>
      <c r="AA29" s="265">
        <f t="shared" si="16"/>
        <v>0</v>
      </c>
      <c r="AB29" s="265">
        <f t="shared" si="63"/>
        <v>0</v>
      </c>
      <c r="AC29" s="265">
        <f t="shared" si="64"/>
        <v>0</v>
      </c>
      <c r="AD29" s="265">
        <f t="shared" si="17"/>
        <v>0</v>
      </c>
      <c r="AE29" s="265">
        <f t="shared" si="18"/>
        <v>0</v>
      </c>
      <c r="AF29" s="265">
        <f t="shared" si="19"/>
        <v>0</v>
      </c>
      <c r="AG29" s="265">
        <f t="shared" si="20"/>
        <v>0</v>
      </c>
      <c r="AH29" s="265">
        <f t="shared" si="65"/>
        <v>0</v>
      </c>
      <c r="AI29" s="265">
        <f t="shared" si="66"/>
        <v>0</v>
      </c>
      <c r="AJ29" s="265">
        <f t="shared" si="67"/>
        <v>0</v>
      </c>
      <c r="AK29" s="265">
        <f t="shared" si="68"/>
        <v>0</v>
      </c>
      <c r="AL29" s="265">
        <f t="shared" si="69"/>
        <v>0</v>
      </c>
      <c r="AM29" s="265">
        <f t="shared" si="70"/>
        <v>0</v>
      </c>
      <c r="AN29" s="265">
        <f t="shared" si="71"/>
        <v>0</v>
      </c>
      <c r="AO29" s="265">
        <f t="shared" si="72"/>
        <v>0</v>
      </c>
      <c r="AP29" s="265">
        <f t="shared" si="21"/>
        <v>0</v>
      </c>
      <c r="AQ29" s="265">
        <f t="shared" si="22"/>
        <v>0</v>
      </c>
      <c r="AR29" s="265">
        <f t="shared" si="23"/>
        <v>0</v>
      </c>
      <c r="AS29" s="265">
        <f t="shared" si="24"/>
        <v>0</v>
      </c>
      <c r="AT29" s="265">
        <f t="shared" si="73"/>
        <v>0</v>
      </c>
      <c r="AU29" s="265">
        <f t="shared" si="74"/>
        <v>0</v>
      </c>
      <c r="AV29" s="265">
        <f t="shared" si="25"/>
        <v>0</v>
      </c>
      <c r="AW29" s="265">
        <f t="shared" si="26"/>
        <v>0</v>
      </c>
      <c r="AX29" s="265">
        <f t="shared" si="27"/>
        <v>0</v>
      </c>
      <c r="AY29" s="265">
        <f t="shared" si="28"/>
        <v>0</v>
      </c>
      <c r="AZ29" s="265">
        <f t="shared" si="29"/>
        <v>0</v>
      </c>
      <c r="BA29" s="265">
        <f t="shared" si="30"/>
        <v>0</v>
      </c>
      <c r="BB29" s="265">
        <f t="shared" si="31"/>
        <v>0</v>
      </c>
      <c r="BC29" s="265">
        <f t="shared" si="32"/>
        <v>0</v>
      </c>
      <c r="BD29" s="265">
        <f t="shared" si="33"/>
        <v>0</v>
      </c>
      <c r="BE29" s="265">
        <f t="shared" si="34"/>
        <v>0</v>
      </c>
      <c r="BF29" s="265">
        <f t="shared" si="35"/>
        <v>0</v>
      </c>
      <c r="BG29" s="265">
        <f t="shared" si="36"/>
        <v>0</v>
      </c>
      <c r="BH29" s="265">
        <f t="shared" si="75"/>
        <v>0</v>
      </c>
      <c r="BI29" s="265">
        <f t="shared" si="76"/>
        <v>0</v>
      </c>
      <c r="BJ29" s="265">
        <f t="shared" si="37"/>
        <v>0</v>
      </c>
      <c r="BK29" s="265">
        <f t="shared" si="38"/>
        <v>0</v>
      </c>
      <c r="BL29" s="265">
        <f t="shared" si="39"/>
        <v>0</v>
      </c>
      <c r="BM29" s="265">
        <f t="shared" si="40"/>
        <v>0</v>
      </c>
      <c r="BN29" s="265">
        <f t="shared" si="41"/>
        <v>0</v>
      </c>
      <c r="BO29" s="265">
        <f t="shared" si="42"/>
        <v>0</v>
      </c>
      <c r="BP29" s="265">
        <f t="shared" si="77"/>
        <v>0</v>
      </c>
      <c r="BQ29" s="265">
        <f t="shared" si="78"/>
        <v>0</v>
      </c>
      <c r="BR29" s="265">
        <f t="shared" si="43"/>
        <v>0</v>
      </c>
      <c r="BS29" s="265">
        <f t="shared" si="44"/>
        <v>0</v>
      </c>
      <c r="BT29" s="265">
        <f t="shared" si="79"/>
        <v>0</v>
      </c>
      <c r="BU29" s="265">
        <f t="shared" si="80"/>
        <v>0</v>
      </c>
      <c r="BV29" s="265">
        <f t="shared" si="81"/>
        <v>0</v>
      </c>
      <c r="BW29" s="265">
        <f t="shared" si="82"/>
        <v>0</v>
      </c>
      <c r="BX29" s="265">
        <f t="shared" si="45"/>
        <v>0</v>
      </c>
      <c r="BY29" s="265">
        <f t="shared" si="46"/>
        <v>0</v>
      </c>
      <c r="BZ29" s="265">
        <f t="shared" si="47"/>
        <v>0</v>
      </c>
      <c r="CA29" s="265">
        <f t="shared" si="48"/>
        <v>0</v>
      </c>
      <c r="CB29" s="265">
        <f t="shared" si="49"/>
        <v>0</v>
      </c>
      <c r="CC29" s="265">
        <f t="shared" si="50"/>
        <v>0</v>
      </c>
      <c r="CD29" s="265">
        <f t="shared" si="83"/>
        <v>0</v>
      </c>
      <c r="CE29" s="265">
        <f t="shared" si="84"/>
        <v>0</v>
      </c>
      <c r="CF29" s="265">
        <f t="shared" si="85"/>
        <v>0</v>
      </c>
      <c r="CG29" s="265">
        <f t="shared" si="86"/>
        <v>0</v>
      </c>
      <c r="CH29" s="265">
        <f t="shared" si="51"/>
        <v>0</v>
      </c>
      <c r="CI29" s="265">
        <f t="shared" si="52"/>
        <v>0</v>
      </c>
      <c r="CJ29" s="265">
        <f t="shared" si="87"/>
        <v>0</v>
      </c>
      <c r="CK29" s="265">
        <f t="shared" si="88"/>
        <v>0</v>
      </c>
      <c r="CL29" s="265">
        <f t="shared" si="53"/>
        <v>0</v>
      </c>
      <c r="CM29" s="265">
        <f t="shared" si="54"/>
        <v>0</v>
      </c>
      <c r="CN29" s="265">
        <f t="shared" si="55"/>
        <v>0</v>
      </c>
      <c r="CO29" s="265">
        <f t="shared" si="56"/>
        <v>0</v>
      </c>
      <c r="CP29" s="265">
        <f t="shared" si="89"/>
        <v>0</v>
      </c>
      <c r="CQ29" s="265">
        <f t="shared" si="90"/>
        <v>0</v>
      </c>
      <c r="CR29" s="265">
        <f t="shared" si="91"/>
        <v>0</v>
      </c>
      <c r="CS29" s="265">
        <f t="shared" si="92"/>
        <v>0</v>
      </c>
      <c r="CT29" s="265">
        <f t="shared" si="57"/>
        <v>0</v>
      </c>
      <c r="CU29" s="265">
        <f t="shared" si="58"/>
        <v>0</v>
      </c>
      <c r="CV29" s="265">
        <f t="shared" si="59"/>
        <v>0</v>
      </c>
      <c r="CW29" s="265">
        <f t="shared" si="60"/>
        <v>0</v>
      </c>
      <c r="CX29" s="265">
        <f t="shared" si="93"/>
        <v>0</v>
      </c>
      <c r="CY29" s="265">
        <f t="shared" si="94"/>
        <v>0</v>
      </c>
      <c r="CZ29" s="265">
        <f t="shared" si="95"/>
        <v>0</v>
      </c>
      <c r="DA29" s="265">
        <f t="shared" si="96"/>
        <v>0</v>
      </c>
    </row>
    <row r="30" spans="1:105" s="262" customFormat="1" ht="15.75" customHeight="1">
      <c r="A30" s="63" t="str">
        <f t="array" ref="A30">IF(C30&lt;&gt;0,SUM(($C$11:C30&lt;&gt;0)*1),"")</f>
        <v/>
      </c>
      <c r="B30" s="263"/>
      <c r="C30" s="263"/>
      <c r="D30" s="263"/>
      <c r="E30" s="344"/>
      <c r="F30" s="314"/>
      <c r="G30" s="316"/>
      <c r="H30" s="316"/>
      <c r="I30" s="63" t="str">
        <f t="shared" si="97"/>
        <v/>
      </c>
      <c r="J30" s="265">
        <f t="shared" si="61"/>
        <v>0</v>
      </c>
      <c r="K30" s="265">
        <f t="shared" si="62"/>
        <v>0</v>
      </c>
      <c r="L30" s="265">
        <f t="shared" si="1"/>
        <v>0</v>
      </c>
      <c r="M30" s="265">
        <f t="shared" si="2"/>
        <v>0</v>
      </c>
      <c r="N30" s="265">
        <f t="shared" si="3"/>
        <v>0</v>
      </c>
      <c r="O30" s="265">
        <f t="shared" si="4"/>
        <v>0</v>
      </c>
      <c r="P30" s="265">
        <f t="shared" si="5"/>
        <v>0</v>
      </c>
      <c r="Q30" s="265">
        <f t="shared" si="6"/>
        <v>0</v>
      </c>
      <c r="R30" s="265">
        <f t="shared" si="7"/>
        <v>0</v>
      </c>
      <c r="S30" s="265">
        <f t="shared" si="8"/>
        <v>0</v>
      </c>
      <c r="T30" s="265">
        <f t="shared" si="9"/>
        <v>0</v>
      </c>
      <c r="U30" s="265">
        <f t="shared" si="10"/>
        <v>0</v>
      </c>
      <c r="V30" s="265">
        <f t="shared" si="11"/>
        <v>0</v>
      </c>
      <c r="W30" s="265">
        <f t="shared" si="12"/>
        <v>0</v>
      </c>
      <c r="X30" s="265">
        <f t="shared" si="13"/>
        <v>0</v>
      </c>
      <c r="Y30" s="265">
        <f t="shared" si="14"/>
        <v>0</v>
      </c>
      <c r="Z30" s="265">
        <f t="shared" si="15"/>
        <v>0</v>
      </c>
      <c r="AA30" s="265">
        <f t="shared" si="16"/>
        <v>0</v>
      </c>
      <c r="AB30" s="265">
        <f t="shared" si="63"/>
        <v>0</v>
      </c>
      <c r="AC30" s="265">
        <f t="shared" si="64"/>
        <v>0</v>
      </c>
      <c r="AD30" s="265">
        <f t="shared" si="17"/>
        <v>0</v>
      </c>
      <c r="AE30" s="265">
        <f t="shared" si="18"/>
        <v>0</v>
      </c>
      <c r="AF30" s="265">
        <f t="shared" si="19"/>
        <v>0</v>
      </c>
      <c r="AG30" s="265">
        <f t="shared" si="20"/>
        <v>0</v>
      </c>
      <c r="AH30" s="265">
        <f t="shared" si="65"/>
        <v>0</v>
      </c>
      <c r="AI30" s="265">
        <f t="shared" si="66"/>
        <v>0</v>
      </c>
      <c r="AJ30" s="265">
        <f t="shared" si="67"/>
        <v>0</v>
      </c>
      <c r="AK30" s="265">
        <f t="shared" si="68"/>
        <v>0</v>
      </c>
      <c r="AL30" s="265">
        <f t="shared" si="69"/>
        <v>0</v>
      </c>
      <c r="AM30" s="265">
        <f t="shared" si="70"/>
        <v>0</v>
      </c>
      <c r="AN30" s="265">
        <f t="shared" si="71"/>
        <v>0</v>
      </c>
      <c r="AO30" s="265">
        <f t="shared" si="72"/>
        <v>0</v>
      </c>
      <c r="AP30" s="265">
        <f t="shared" si="21"/>
        <v>0</v>
      </c>
      <c r="AQ30" s="265">
        <f t="shared" si="22"/>
        <v>0</v>
      </c>
      <c r="AR30" s="265">
        <f t="shared" si="23"/>
        <v>0</v>
      </c>
      <c r="AS30" s="265">
        <f t="shared" si="24"/>
        <v>0</v>
      </c>
      <c r="AT30" s="265">
        <f t="shared" si="73"/>
        <v>0</v>
      </c>
      <c r="AU30" s="265">
        <f t="shared" si="74"/>
        <v>0</v>
      </c>
      <c r="AV30" s="265">
        <f t="shared" si="25"/>
        <v>0</v>
      </c>
      <c r="AW30" s="265">
        <f t="shared" si="26"/>
        <v>0</v>
      </c>
      <c r="AX30" s="265">
        <f t="shared" si="27"/>
        <v>0</v>
      </c>
      <c r="AY30" s="265">
        <f t="shared" si="28"/>
        <v>0</v>
      </c>
      <c r="AZ30" s="265">
        <f t="shared" si="29"/>
        <v>0</v>
      </c>
      <c r="BA30" s="265">
        <f t="shared" si="30"/>
        <v>0</v>
      </c>
      <c r="BB30" s="265">
        <f t="shared" si="31"/>
        <v>0</v>
      </c>
      <c r="BC30" s="265">
        <f t="shared" si="32"/>
        <v>0</v>
      </c>
      <c r="BD30" s="265">
        <f t="shared" si="33"/>
        <v>0</v>
      </c>
      <c r="BE30" s="265">
        <f t="shared" si="34"/>
        <v>0</v>
      </c>
      <c r="BF30" s="265">
        <f t="shared" si="35"/>
        <v>0</v>
      </c>
      <c r="BG30" s="265">
        <f t="shared" si="36"/>
        <v>0</v>
      </c>
      <c r="BH30" s="265">
        <f t="shared" si="75"/>
        <v>0</v>
      </c>
      <c r="BI30" s="265">
        <f t="shared" si="76"/>
        <v>0</v>
      </c>
      <c r="BJ30" s="265">
        <f t="shared" si="37"/>
        <v>0</v>
      </c>
      <c r="BK30" s="265">
        <f t="shared" si="38"/>
        <v>0</v>
      </c>
      <c r="BL30" s="265">
        <f t="shared" si="39"/>
        <v>0</v>
      </c>
      <c r="BM30" s="265">
        <f t="shared" si="40"/>
        <v>0</v>
      </c>
      <c r="BN30" s="265">
        <f t="shared" si="41"/>
        <v>0</v>
      </c>
      <c r="BO30" s="265">
        <f t="shared" si="42"/>
        <v>0</v>
      </c>
      <c r="BP30" s="265">
        <f t="shared" si="77"/>
        <v>0</v>
      </c>
      <c r="BQ30" s="265">
        <f t="shared" si="78"/>
        <v>0</v>
      </c>
      <c r="BR30" s="265">
        <f t="shared" si="43"/>
        <v>0</v>
      </c>
      <c r="BS30" s="265">
        <f t="shared" si="44"/>
        <v>0</v>
      </c>
      <c r="BT30" s="265">
        <f t="shared" si="79"/>
        <v>0</v>
      </c>
      <c r="BU30" s="265">
        <f t="shared" si="80"/>
        <v>0</v>
      </c>
      <c r="BV30" s="265">
        <f t="shared" si="81"/>
        <v>0</v>
      </c>
      <c r="BW30" s="265">
        <f t="shared" si="82"/>
        <v>0</v>
      </c>
      <c r="BX30" s="265">
        <f t="shared" si="45"/>
        <v>0</v>
      </c>
      <c r="BY30" s="265">
        <f t="shared" si="46"/>
        <v>0</v>
      </c>
      <c r="BZ30" s="265">
        <f t="shared" si="47"/>
        <v>0</v>
      </c>
      <c r="CA30" s="265">
        <f t="shared" si="48"/>
        <v>0</v>
      </c>
      <c r="CB30" s="265">
        <f t="shared" si="49"/>
        <v>0</v>
      </c>
      <c r="CC30" s="265">
        <f t="shared" si="50"/>
        <v>0</v>
      </c>
      <c r="CD30" s="265">
        <f t="shared" si="83"/>
        <v>0</v>
      </c>
      <c r="CE30" s="265">
        <f t="shared" si="84"/>
        <v>0</v>
      </c>
      <c r="CF30" s="265">
        <f t="shared" si="85"/>
        <v>0</v>
      </c>
      <c r="CG30" s="265">
        <f t="shared" si="86"/>
        <v>0</v>
      </c>
      <c r="CH30" s="265">
        <f t="shared" si="51"/>
        <v>0</v>
      </c>
      <c r="CI30" s="265">
        <f t="shared" si="52"/>
        <v>0</v>
      </c>
      <c r="CJ30" s="265">
        <f t="shared" si="87"/>
        <v>0</v>
      </c>
      <c r="CK30" s="265">
        <f t="shared" si="88"/>
        <v>0</v>
      </c>
      <c r="CL30" s="265">
        <f t="shared" si="53"/>
        <v>0</v>
      </c>
      <c r="CM30" s="265">
        <f t="shared" si="54"/>
        <v>0</v>
      </c>
      <c r="CN30" s="265">
        <f t="shared" si="55"/>
        <v>0</v>
      </c>
      <c r="CO30" s="265">
        <f t="shared" si="56"/>
        <v>0</v>
      </c>
      <c r="CP30" s="265">
        <f t="shared" si="89"/>
        <v>0</v>
      </c>
      <c r="CQ30" s="265">
        <f t="shared" si="90"/>
        <v>0</v>
      </c>
      <c r="CR30" s="265">
        <f t="shared" si="91"/>
        <v>0</v>
      </c>
      <c r="CS30" s="265">
        <f t="shared" si="92"/>
        <v>0</v>
      </c>
      <c r="CT30" s="265">
        <f t="shared" si="57"/>
        <v>0</v>
      </c>
      <c r="CU30" s="265">
        <f t="shared" si="58"/>
        <v>0</v>
      </c>
      <c r="CV30" s="265">
        <f t="shared" si="59"/>
        <v>0</v>
      </c>
      <c r="CW30" s="265">
        <f t="shared" si="60"/>
        <v>0</v>
      </c>
      <c r="CX30" s="265">
        <f t="shared" si="93"/>
        <v>0</v>
      </c>
      <c r="CY30" s="265">
        <f t="shared" si="94"/>
        <v>0</v>
      </c>
      <c r="CZ30" s="265">
        <f t="shared" si="95"/>
        <v>0</v>
      </c>
      <c r="DA30" s="265">
        <f t="shared" si="96"/>
        <v>0</v>
      </c>
    </row>
    <row r="31" spans="1:105" s="262" customFormat="1" ht="15.75" customHeight="1">
      <c r="A31" s="63" t="str">
        <f t="array" ref="A31">IF(C31&lt;&gt;0,SUM(($C$11:C31&lt;&gt;0)*1),"")</f>
        <v/>
      </c>
      <c r="B31" s="263"/>
      <c r="C31" s="263"/>
      <c r="D31" s="263"/>
      <c r="E31" s="344"/>
      <c r="F31" s="314"/>
      <c r="G31" s="316"/>
      <c r="H31" s="316"/>
      <c r="I31" s="63" t="str">
        <f t="shared" si="97"/>
        <v/>
      </c>
      <c r="J31" s="265">
        <f t="shared" si="61"/>
        <v>0</v>
      </c>
      <c r="K31" s="265">
        <f t="shared" si="62"/>
        <v>0</v>
      </c>
      <c r="L31" s="265">
        <f t="shared" si="1"/>
        <v>0</v>
      </c>
      <c r="M31" s="265">
        <f t="shared" si="2"/>
        <v>0</v>
      </c>
      <c r="N31" s="265">
        <f t="shared" si="3"/>
        <v>0</v>
      </c>
      <c r="O31" s="265">
        <f t="shared" si="4"/>
        <v>0</v>
      </c>
      <c r="P31" s="265">
        <f t="shared" si="5"/>
        <v>0</v>
      </c>
      <c r="Q31" s="265">
        <f t="shared" si="6"/>
        <v>0</v>
      </c>
      <c r="R31" s="265">
        <f t="shared" si="7"/>
        <v>0</v>
      </c>
      <c r="S31" s="265">
        <f t="shared" si="8"/>
        <v>0</v>
      </c>
      <c r="T31" s="265">
        <f t="shared" si="9"/>
        <v>0</v>
      </c>
      <c r="U31" s="265">
        <f t="shared" si="10"/>
        <v>0</v>
      </c>
      <c r="V31" s="265">
        <f t="shared" si="11"/>
        <v>0</v>
      </c>
      <c r="W31" s="265">
        <f t="shared" si="12"/>
        <v>0</v>
      </c>
      <c r="X31" s="265">
        <f t="shared" si="13"/>
        <v>0</v>
      </c>
      <c r="Y31" s="265">
        <f t="shared" si="14"/>
        <v>0</v>
      </c>
      <c r="Z31" s="265">
        <f t="shared" si="15"/>
        <v>0</v>
      </c>
      <c r="AA31" s="265">
        <f t="shared" si="16"/>
        <v>0</v>
      </c>
      <c r="AB31" s="265">
        <f t="shared" si="63"/>
        <v>0</v>
      </c>
      <c r="AC31" s="265">
        <f t="shared" si="64"/>
        <v>0</v>
      </c>
      <c r="AD31" s="265">
        <f t="shared" si="17"/>
        <v>0</v>
      </c>
      <c r="AE31" s="265">
        <f t="shared" si="18"/>
        <v>0</v>
      </c>
      <c r="AF31" s="265">
        <f t="shared" si="19"/>
        <v>0</v>
      </c>
      <c r="AG31" s="265">
        <f t="shared" si="20"/>
        <v>0</v>
      </c>
      <c r="AH31" s="265">
        <f t="shared" si="65"/>
        <v>0</v>
      </c>
      <c r="AI31" s="265">
        <f t="shared" si="66"/>
        <v>0</v>
      </c>
      <c r="AJ31" s="265">
        <f t="shared" si="67"/>
        <v>0</v>
      </c>
      <c r="AK31" s="265">
        <f t="shared" si="68"/>
        <v>0</v>
      </c>
      <c r="AL31" s="265">
        <f t="shared" si="69"/>
        <v>0</v>
      </c>
      <c r="AM31" s="265">
        <f t="shared" si="70"/>
        <v>0</v>
      </c>
      <c r="AN31" s="265">
        <f t="shared" si="71"/>
        <v>0</v>
      </c>
      <c r="AO31" s="265">
        <f t="shared" si="72"/>
        <v>0</v>
      </c>
      <c r="AP31" s="265">
        <f t="shared" si="21"/>
        <v>0</v>
      </c>
      <c r="AQ31" s="265">
        <f t="shared" si="22"/>
        <v>0</v>
      </c>
      <c r="AR31" s="265">
        <f t="shared" si="23"/>
        <v>0</v>
      </c>
      <c r="AS31" s="265">
        <f t="shared" si="24"/>
        <v>0</v>
      </c>
      <c r="AT31" s="265">
        <f t="shared" si="73"/>
        <v>0</v>
      </c>
      <c r="AU31" s="265">
        <f t="shared" si="74"/>
        <v>0</v>
      </c>
      <c r="AV31" s="265">
        <f t="shared" si="25"/>
        <v>0</v>
      </c>
      <c r="AW31" s="265">
        <f t="shared" si="26"/>
        <v>0</v>
      </c>
      <c r="AX31" s="265">
        <f t="shared" si="27"/>
        <v>0</v>
      </c>
      <c r="AY31" s="265">
        <f t="shared" si="28"/>
        <v>0</v>
      </c>
      <c r="AZ31" s="265">
        <f t="shared" si="29"/>
        <v>0</v>
      </c>
      <c r="BA31" s="265">
        <f t="shared" si="30"/>
        <v>0</v>
      </c>
      <c r="BB31" s="265">
        <f t="shared" si="31"/>
        <v>0</v>
      </c>
      <c r="BC31" s="265">
        <f t="shared" si="32"/>
        <v>0</v>
      </c>
      <c r="BD31" s="265">
        <f t="shared" si="33"/>
        <v>0</v>
      </c>
      <c r="BE31" s="265">
        <f t="shared" si="34"/>
        <v>0</v>
      </c>
      <c r="BF31" s="265">
        <f t="shared" si="35"/>
        <v>0</v>
      </c>
      <c r="BG31" s="265">
        <f t="shared" si="36"/>
        <v>0</v>
      </c>
      <c r="BH31" s="265">
        <f t="shared" si="75"/>
        <v>0</v>
      </c>
      <c r="BI31" s="265">
        <f t="shared" si="76"/>
        <v>0</v>
      </c>
      <c r="BJ31" s="265">
        <f t="shared" si="37"/>
        <v>0</v>
      </c>
      <c r="BK31" s="265">
        <f t="shared" si="38"/>
        <v>0</v>
      </c>
      <c r="BL31" s="265">
        <f t="shared" si="39"/>
        <v>0</v>
      </c>
      <c r="BM31" s="265">
        <f t="shared" si="40"/>
        <v>0</v>
      </c>
      <c r="BN31" s="265">
        <f t="shared" si="41"/>
        <v>0</v>
      </c>
      <c r="BO31" s="265">
        <f t="shared" si="42"/>
        <v>0</v>
      </c>
      <c r="BP31" s="265">
        <f t="shared" si="77"/>
        <v>0</v>
      </c>
      <c r="BQ31" s="265">
        <f t="shared" si="78"/>
        <v>0</v>
      </c>
      <c r="BR31" s="265">
        <f t="shared" si="43"/>
        <v>0</v>
      </c>
      <c r="BS31" s="265">
        <f t="shared" si="44"/>
        <v>0</v>
      </c>
      <c r="BT31" s="265">
        <f t="shared" si="79"/>
        <v>0</v>
      </c>
      <c r="BU31" s="265">
        <f t="shared" si="80"/>
        <v>0</v>
      </c>
      <c r="BV31" s="265">
        <f t="shared" si="81"/>
        <v>0</v>
      </c>
      <c r="BW31" s="265">
        <f t="shared" si="82"/>
        <v>0</v>
      </c>
      <c r="BX31" s="265">
        <f t="shared" si="45"/>
        <v>0</v>
      </c>
      <c r="BY31" s="265">
        <f t="shared" si="46"/>
        <v>0</v>
      </c>
      <c r="BZ31" s="265">
        <f t="shared" si="47"/>
        <v>0</v>
      </c>
      <c r="CA31" s="265">
        <f t="shared" si="48"/>
        <v>0</v>
      </c>
      <c r="CB31" s="265">
        <f t="shared" si="49"/>
        <v>0</v>
      </c>
      <c r="CC31" s="265">
        <f t="shared" si="50"/>
        <v>0</v>
      </c>
      <c r="CD31" s="265">
        <f t="shared" si="83"/>
        <v>0</v>
      </c>
      <c r="CE31" s="265">
        <f t="shared" si="84"/>
        <v>0</v>
      </c>
      <c r="CF31" s="265">
        <f t="shared" si="85"/>
        <v>0</v>
      </c>
      <c r="CG31" s="265">
        <f t="shared" si="86"/>
        <v>0</v>
      </c>
      <c r="CH31" s="265">
        <f t="shared" si="51"/>
        <v>0</v>
      </c>
      <c r="CI31" s="265">
        <f t="shared" si="52"/>
        <v>0</v>
      </c>
      <c r="CJ31" s="265">
        <f t="shared" si="87"/>
        <v>0</v>
      </c>
      <c r="CK31" s="265">
        <f t="shared" si="88"/>
        <v>0</v>
      </c>
      <c r="CL31" s="265">
        <f t="shared" si="53"/>
        <v>0</v>
      </c>
      <c r="CM31" s="265">
        <f t="shared" si="54"/>
        <v>0</v>
      </c>
      <c r="CN31" s="265">
        <f t="shared" si="55"/>
        <v>0</v>
      </c>
      <c r="CO31" s="265">
        <f t="shared" si="56"/>
        <v>0</v>
      </c>
      <c r="CP31" s="265">
        <f t="shared" si="89"/>
        <v>0</v>
      </c>
      <c r="CQ31" s="265">
        <f t="shared" si="90"/>
        <v>0</v>
      </c>
      <c r="CR31" s="265">
        <f t="shared" si="91"/>
        <v>0</v>
      </c>
      <c r="CS31" s="265">
        <f t="shared" si="92"/>
        <v>0</v>
      </c>
      <c r="CT31" s="265">
        <f t="shared" si="57"/>
        <v>0</v>
      </c>
      <c r="CU31" s="265">
        <f t="shared" si="58"/>
        <v>0</v>
      </c>
      <c r="CV31" s="265">
        <f t="shared" si="59"/>
        <v>0</v>
      </c>
      <c r="CW31" s="265">
        <f t="shared" si="60"/>
        <v>0</v>
      </c>
      <c r="CX31" s="265">
        <f t="shared" si="93"/>
        <v>0</v>
      </c>
      <c r="CY31" s="265">
        <f t="shared" si="94"/>
        <v>0</v>
      </c>
      <c r="CZ31" s="265">
        <f t="shared" si="95"/>
        <v>0</v>
      </c>
      <c r="DA31" s="265">
        <f t="shared" si="96"/>
        <v>0</v>
      </c>
    </row>
    <row r="32" spans="1:105" s="262" customFormat="1" ht="15.75" customHeight="1">
      <c r="A32" s="63" t="str">
        <f t="array" ref="A32">IF(C32&lt;&gt;0,SUM(($C$11:C32&lt;&gt;0)*1),"")</f>
        <v/>
      </c>
      <c r="B32" s="263"/>
      <c r="C32" s="263"/>
      <c r="D32" s="263"/>
      <c r="E32" s="344"/>
      <c r="F32" s="314"/>
      <c r="G32" s="316"/>
      <c r="H32" s="316"/>
      <c r="I32" s="63" t="str">
        <f t="shared" si="97"/>
        <v/>
      </c>
      <c r="J32" s="265">
        <f t="shared" si="61"/>
        <v>0</v>
      </c>
      <c r="K32" s="265">
        <f t="shared" si="62"/>
        <v>0</v>
      </c>
      <c r="L32" s="265">
        <f t="shared" si="1"/>
        <v>0</v>
      </c>
      <c r="M32" s="265">
        <f t="shared" si="2"/>
        <v>0</v>
      </c>
      <c r="N32" s="265">
        <f t="shared" si="3"/>
        <v>0</v>
      </c>
      <c r="O32" s="265">
        <f t="shared" si="4"/>
        <v>0</v>
      </c>
      <c r="P32" s="265">
        <f t="shared" si="5"/>
        <v>0</v>
      </c>
      <c r="Q32" s="265">
        <f t="shared" si="6"/>
        <v>0</v>
      </c>
      <c r="R32" s="265">
        <f t="shared" si="7"/>
        <v>0</v>
      </c>
      <c r="S32" s="265">
        <f t="shared" si="8"/>
        <v>0</v>
      </c>
      <c r="T32" s="265">
        <f t="shared" si="9"/>
        <v>0</v>
      </c>
      <c r="U32" s="265">
        <f t="shared" si="10"/>
        <v>0</v>
      </c>
      <c r="V32" s="265">
        <f t="shared" si="11"/>
        <v>0</v>
      </c>
      <c r="W32" s="265">
        <f t="shared" si="12"/>
        <v>0</v>
      </c>
      <c r="X32" s="265">
        <f t="shared" si="13"/>
        <v>0</v>
      </c>
      <c r="Y32" s="265">
        <f t="shared" si="14"/>
        <v>0</v>
      </c>
      <c r="Z32" s="265">
        <f t="shared" si="15"/>
        <v>0</v>
      </c>
      <c r="AA32" s="265">
        <f t="shared" si="16"/>
        <v>0</v>
      </c>
      <c r="AB32" s="265">
        <f t="shared" si="63"/>
        <v>0</v>
      </c>
      <c r="AC32" s="265">
        <f t="shared" si="64"/>
        <v>0</v>
      </c>
      <c r="AD32" s="265">
        <f t="shared" si="17"/>
        <v>0</v>
      </c>
      <c r="AE32" s="265">
        <f t="shared" si="18"/>
        <v>0</v>
      </c>
      <c r="AF32" s="265">
        <f t="shared" si="19"/>
        <v>0</v>
      </c>
      <c r="AG32" s="265">
        <f t="shared" si="20"/>
        <v>0</v>
      </c>
      <c r="AH32" s="265">
        <f t="shared" si="65"/>
        <v>0</v>
      </c>
      <c r="AI32" s="265">
        <f t="shared" si="66"/>
        <v>0</v>
      </c>
      <c r="AJ32" s="265">
        <f t="shared" si="67"/>
        <v>0</v>
      </c>
      <c r="AK32" s="265">
        <f t="shared" si="68"/>
        <v>0</v>
      </c>
      <c r="AL32" s="265">
        <f t="shared" si="69"/>
        <v>0</v>
      </c>
      <c r="AM32" s="265">
        <f t="shared" si="70"/>
        <v>0</v>
      </c>
      <c r="AN32" s="265">
        <f t="shared" si="71"/>
        <v>0</v>
      </c>
      <c r="AO32" s="265">
        <f t="shared" si="72"/>
        <v>0</v>
      </c>
      <c r="AP32" s="265">
        <f t="shared" si="21"/>
        <v>0</v>
      </c>
      <c r="AQ32" s="265">
        <f t="shared" si="22"/>
        <v>0</v>
      </c>
      <c r="AR32" s="265">
        <f t="shared" si="23"/>
        <v>0</v>
      </c>
      <c r="AS32" s="265">
        <f t="shared" si="24"/>
        <v>0</v>
      </c>
      <c r="AT32" s="265">
        <f t="shared" si="73"/>
        <v>0</v>
      </c>
      <c r="AU32" s="265">
        <f t="shared" si="74"/>
        <v>0</v>
      </c>
      <c r="AV32" s="265">
        <f t="shared" si="25"/>
        <v>0</v>
      </c>
      <c r="AW32" s="265">
        <f t="shared" si="26"/>
        <v>0</v>
      </c>
      <c r="AX32" s="265">
        <f t="shared" si="27"/>
        <v>0</v>
      </c>
      <c r="AY32" s="265">
        <f t="shared" si="28"/>
        <v>0</v>
      </c>
      <c r="AZ32" s="265">
        <f t="shared" si="29"/>
        <v>0</v>
      </c>
      <c r="BA32" s="265">
        <f t="shared" si="30"/>
        <v>0</v>
      </c>
      <c r="BB32" s="265">
        <f t="shared" si="31"/>
        <v>0</v>
      </c>
      <c r="BC32" s="265">
        <f t="shared" si="32"/>
        <v>0</v>
      </c>
      <c r="BD32" s="265">
        <f t="shared" si="33"/>
        <v>0</v>
      </c>
      <c r="BE32" s="265">
        <f t="shared" si="34"/>
        <v>0</v>
      </c>
      <c r="BF32" s="265">
        <f t="shared" si="35"/>
        <v>0</v>
      </c>
      <c r="BG32" s="265">
        <f t="shared" si="36"/>
        <v>0</v>
      </c>
      <c r="BH32" s="265">
        <f t="shared" si="75"/>
        <v>0</v>
      </c>
      <c r="BI32" s="265">
        <f t="shared" si="76"/>
        <v>0</v>
      </c>
      <c r="BJ32" s="265">
        <f t="shared" si="37"/>
        <v>0</v>
      </c>
      <c r="BK32" s="265">
        <f t="shared" si="38"/>
        <v>0</v>
      </c>
      <c r="BL32" s="265">
        <f t="shared" si="39"/>
        <v>0</v>
      </c>
      <c r="BM32" s="265">
        <f t="shared" si="40"/>
        <v>0</v>
      </c>
      <c r="BN32" s="265">
        <f t="shared" si="41"/>
        <v>0</v>
      </c>
      <c r="BO32" s="265">
        <f t="shared" si="42"/>
        <v>0</v>
      </c>
      <c r="BP32" s="265">
        <f t="shared" si="77"/>
        <v>0</v>
      </c>
      <c r="BQ32" s="265">
        <f t="shared" si="78"/>
        <v>0</v>
      </c>
      <c r="BR32" s="265">
        <f t="shared" si="43"/>
        <v>0</v>
      </c>
      <c r="BS32" s="265">
        <f t="shared" si="44"/>
        <v>0</v>
      </c>
      <c r="BT32" s="265">
        <f t="shared" si="79"/>
        <v>0</v>
      </c>
      <c r="BU32" s="265">
        <f t="shared" si="80"/>
        <v>0</v>
      </c>
      <c r="BV32" s="265">
        <f t="shared" si="81"/>
        <v>0</v>
      </c>
      <c r="BW32" s="265">
        <f t="shared" si="82"/>
        <v>0</v>
      </c>
      <c r="BX32" s="265">
        <f t="shared" si="45"/>
        <v>0</v>
      </c>
      <c r="BY32" s="265">
        <f t="shared" si="46"/>
        <v>0</v>
      </c>
      <c r="BZ32" s="265">
        <f t="shared" si="47"/>
        <v>0</v>
      </c>
      <c r="CA32" s="265">
        <f t="shared" si="48"/>
        <v>0</v>
      </c>
      <c r="CB32" s="265">
        <f t="shared" si="49"/>
        <v>0</v>
      </c>
      <c r="CC32" s="265">
        <f t="shared" si="50"/>
        <v>0</v>
      </c>
      <c r="CD32" s="265">
        <f t="shared" si="83"/>
        <v>0</v>
      </c>
      <c r="CE32" s="265">
        <f t="shared" si="84"/>
        <v>0</v>
      </c>
      <c r="CF32" s="265">
        <f t="shared" si="85"/>
        <v>0</v>
      </c>
      <c r="CG32" s="265">
        <f t="shared" si="86"/>
        <v>0</v>
      </c>
      <c r="CH32" s="265">
        <f t="shared" si="51"/>
        <v>0</v>
      </c>
      <c r="CI32" s="265">
        <f t="shared" si="52"/>
        <v>0</v>
      </c>
      <c r="CJ32" s="265">
        <f t="shared" si="87"/>
        <v>0</v>
      </c>
      <c r="CK32" s="265">
        <f t="shared" si="88"/>
        <v>0</v>
      </c>
      <c r="CL32" s="265">
        <f t="shared" si="53"/>
        <v>0</v>
      </c>
      <c r="CM32" s="265">
        <f t="shared" si="54"/>
        <v>0</v>
      </c>
      <c r="CN32" s="265">
        <f t="shared" si="55"/>
        <v>0</v>
      </c>
      <c r="CO32" s="265">
        <f t="shared" si="56"/>
        <v>0</v>
      </c>
      <c r="CP32" s="265">
        <f t="shared" si="89"/>
        <v>0</v>
      </c>
      <c r="CQ32" s="265">
        <f t="shared" si="90"/>
        <v>0</v>
      </c>
      <c r="CR32" s="265">
        <f t="shared" si="91"/>
        <v>0</v>
      </c>
      <c r="CS32" s="265">
        <f t="shared" si="92"/>
        <v>0</v>
      </c>
      <c r="CT32" s="265">
        <f t="shared" si="57"/>
        <v>0</v>
      </c>
      <c r="CU32" s="265">
        <f t="shared" si="58"/>
        <v>0</v>
      </c>
      <c r="CV32" s="265">
        <f t="shared" si="59"/>
        <v>0</v>
      </c>
      <c r="CW32" s="265">
        <f t="shared" si="60"/>
        <v>0</v>
      </c>
      <c r="CX32" s="265">
        <f t="shared" si="93"/>
        <v>0</v>
      </c>
      <c r="CY32" s="265">
        <f t="shared" si="94"/>
        <v>0</v>
      </c>
      <c r="CZ32" s="265">
        <f t="shared" si="95"/>
        <v>0</v>
      </c>
      <c r="DA32" s="265">
        <f t="shared" si="96"/>
        <v>0</v>
      </c>
    </row>
    <row r="33" spans="1:105" s="262" customFormat="1" ht="15.75" customHeight="1">
      <c r="A33" s="63" t="str">
        <f t="array" ref="A33">IF(C33&lt;&gt;0,SUM(($C$11:C33&lt;&gt;0)*1),"")</f>
        <v/>
      </c>
      <c r="B33" s="263"/>
      <c r="C33" s="263"/>
      <c r="D33" s="263"/>
      <c r="E33" s="344"/>
      <c r="F33" s="314"/>
      <c r="G33" s="316"/>
      <c r="H33" s="316"/>
      <c r="I33" s="63" t="str">
        <f t="shared" si="97"/>
        <v/>
      </c>
      <c r="J33" s="265">
        <f t="shared" si="61"/>
        <v>0</v>
      </c>
      <c r="K33" s="265">
        <f t="shared" si="62"/>
        <v>0</v>
      </c>
      <c r="L33" s="265">
        <f t="shared" si="1"/>
        <v>0</v>
      </c>
      <c r="M33" s="265">
        <f t="shared" si="2"/>
        <v>0</v>
      </c>
      <c r="N33" s="265">
        <f t="shared" si="3"/>
        <v>0</v>
      </c>
      <c r="O33" s="265">
        <f t="shared" si="4"/>
        <v>0</v>
      </c>
      <c r="P33" s="265">
        <f t="shared" si="5"/>
        <v>0</v>
      </c>
      <c r="Q33" s="265">
        <f t="shared" si="6"/>
        <v>0</v>
      </c>
      <c r="R33" s="265">
        <f t="shared" si="7"/>
        <v>0</v>
      </c>
      <c r="S33" s="265">
        <f t="shared" si="8"/>
        <v>0</v>
      </c>
      <c r="T33" s="265">
        <f t="shared" si="9"/>
        <v>0</v>
      </c>
      <c r="U33" s="265">
        <f t="shared" si="10"/>
        <v>0</v>
      </c>
      <c r="V33" s="265">
        <f t="shared" si="11"/>
        <v>0</v>
      </c>
      <c r="W33" s="265">
        <f t="shared" si="12"/>
        <v>0</v>
      </c>
      <c r="X33" s="265">
        <f t="shared" si="13"/>
        <v>0</v>
      </c>
      <c r="Y33" s="265">
        <f t="shared" si="14"/>
        <v>0</v>
      </c>
      <c r="Z33" s="265">
        <f t="shared" si="15"/>
        <v>0</v>
      </c>
      <c r="AA33" s="265">
        <f t="shared" si="16"/>
        <v>0</v>
      </c>
      <c r="AB33" s="265">
        <f t="shared" si="63"/>
        <v>0</v>
      </c>
      <c r="AC33" s="265">
        <f t="shared" si="64"/>
        <v>0</v>
      </c>
      <c r="AD33" s="265">
        <f t="shared" si="17"/>
        <v>0</v>
      </c>
      <c r="AE33" s="265">
        <f t="shared" si="18"/>
        <v>0</v>
      </c>
      <c r="AF33" s="265">
        <f t="shared" si="19"/>
        <v>0</v>
      </c>
      <c r="AG33" s="265">
        <f t="shared" si="20"/>
        <v>0</v>
      </c>
      <c r="AH33" s="265">
        <f t="shared" si="65"/>
        <v>0</v>
      </c>
      <c r="AI33" s="265">
        <f t="shared" si="66"/>
        <v>0</v>
      </c>
      <c r="AJ33" s="265">
        <f t="shared" si="67"/>
        <v>0</v>
      </c>
      <c r="AK33" s="265">
        <f t="shared" si="68"/>
        <v>0</v>
      </c>
      <c r="AL33" s="265">
        <f t="shared" si="69"/>
        <v>0</v>
      </c>
      <c r="AM33" s="265">
        <f t="shared" si="70"/>
        <v>0</v>
      </c>
      <c r="AN33" s="265">
        <f t="shared" si="71"/>
        <v>0</v>
      </c>
      <c r="AO33" s="265">
        <f t="shared" si="72"/>
        <v>0</v>
      </c>
      <c r="AP33" s="265">
        <f t="shared" si="21"/>
        <v>0</v>
      </c>
      <c r="AQ33" s="265">
        <f t="shared" si="22"/>
        <v>0</v>
      </c>
      <c r="AR33" s="265">
        <f t="shared" si="23"/>
        <v>0</v>
      </c>
      <c r="AS33" s="265">
        <f t="shared" si="24"/>
        <v>0</v>
      </c>
      <c r="AT33" s="265">
        <f t="shared" si="73"/>
        <v>0</v>
      </c>
      <c r="AU33" s="265">
        <f t="shared" si="74"/>
        <v>0</v>
      </c>
      <c r="AV33" s="265">
        <f t="shared" si="25"/>
        <v>0</v>
      </c>
      <c r="AW33" s="265">
        <f t="shared" si="26"/>
        <v>0</v>
      </c>
      <c r="AX33" s="265">
        <f t="shared" si="27"/>
        <v>0</v>
      </c>
      <c r="AY33" s="265">
        <f t="shared" si="28"/>
        <v>0</v>
      </c>
      <c r="AZ33" s="265">
        <f t="shared" si="29"/>
        <v>0</v>
      </c>
      <c r="BA33" s="265">
        <f t="shared" si="30"/>
        <v>0</v>
      </c>
      <c r="BB33" s="265">
        <f t="shared" si="31"/>
        <v>0</v>
      </c>
      <c r="BC33" s="265">
        <f t="shared" si="32"/>
        <v>0</v>
      </c>
      <c r="BD33" s="265">
        <f t="shared" si="33"/>
        <v>0</v>
      </c>
      <c r="BE33" s="265">
        <f t="shared" si="34"/>
        <v>0</v>
      </c>
      <c r="BF33" s="265">
        <f t="shared" si="35"/>
        <v>0</v>
      </c>
      <c r="BG33" s="265">
        <f t="shared" si="36"/>
        <v>0</v>
      </c>
      <c r="BH33" s="265">
        <f t="shared" si="75"/>
        <v>0</v>
      </c>
      <c r="BI33" s="265">
        <f t="shared" si="76"/>
        <v>0</v>
      </c>
      <c r="BJ33" s="265">
        <f t="shared" si="37"/>
        <v>0</v>
      </c>
      <c r="BK33" s="265">
        <f t="shared" si="38"/>
        <v>0</v>
      </c>
      <c r="BL33" s="265">
        <f t="shared" si="39"/>
        <v>0</v>
      </c>
      <c r="BM33" s="265">
        <f t="shared" si="40"/>
        <v>0</v>
      </c>
      <c r="BN33" s="265">
        <f t="shared" si="41"/>
        <v>0</v>
      </c>
      <c r="BO33" s="265">
        <f t="shared" si="42"/>
        <v>0</v>
      </c>
      <c r="BP33" s="265">
        <f t="shared" si="77"/>
        <v>0</v>
      </c>
      <c r="BQ33" s="265">
        <f t="shared" si="78"/>
        <v>0</v>
      </c>
      <c r="BR33" s="265">
        <f t="shared" si="43"/>
        <v>0</v>
      </c>
      <c r="BS33" s="265">
        <f t="shared" si="44"/>
        <v>0</v>
      </c>
      <c r="BT33" s="265">
        <f t="shared" si="79"/>
        <v>0</v>
      </c>
      <c r="BU33" s="265">
        <f t="shared" si="80"/>
        <v>0</v>
      </c>
      <c r="BV33" s="265">
        <f t="shared" si="81"/>
        <v>0</v>
      </c>
      <c r="BW33" s="265">
        <f t="shared" si="82"/>
        <v>0</v>
      </c>
      <c r="BX33" s="265">
        <f t="shared" si="45"/>
        <v>0</v>
      </c>
      <c r="BY33" s="265">
        <f t="shared" si="46"/>
        <v>0</v>
      </c>
      <c r="BZ33" s="265">
        <f t="shared" si="47"/>
        <v>0</v>
      </c>
      <c r="CA33" s="265">
        <f t="shared" si="48"/>
        <v>0</v>
      </c>
      <c r="CB33" s="265">
        <f t="shared" si="49"/>
        <v>0</v>
      </c>
      <c r="CC33" s="265">
        <f t="shared" si="50"/>
        <v>0</v>
      </c>
      <c r="CD33" s="265">
        <f t="shared" si="83"/>
        <v>0</v>
      </c>
      <c r="CE33" s="265">
        <f t="shared" si="84"/>
        <v>0</v>
      </c>
      <c r="CF33" s="265">
        <f t="shared" si="85"/>
        <v>0</v>
      </c>
      <c r="CG33" s="265">
        <f t="shared" si="86"/>
        <v>0</v>
      </c>
      <c r="CH33" s="265">
        <f t="shared" si="51"/>
        <v>0</v>
      </c>
      <c r="CI33" s="265">
        <f t="shared" si="52"/>
        <v>0</v>
      </c>
      <c r="CJ33" s="265">
        <f t="shared" si="87"/>
        <v>0</v>
      </c>
      <c r="CK33" s="265">
        <f t="shared" si="88"/>
        <v>0</v>
      </c>
      <c r="CL33" s="265">
        <f t="shared" si="53"/>
        <v>0</v>
      </c>
      <c r="CM33" s="265">
        <f t="shared" si="54"/>
        <v>0</v>
      </c>
      <c r="CN33" s="265">
        <f t="shared" si="55"/>
        <v>0</v>
      </c>
      <c r="CO33" s="265">
        <f t="shared" si="56"/>
        <v>0</v>
      </c>
      <c r="CP33" s="265">
        <f t="shared" si="89"/>
        <v>0</v>
      </c>
      <c r="CQ33" s="265">
        <f t="shared" si="90"/>
        <v>0</v>
      </c>
      <c r="CR33" s="265">
        <f t="shared" si="91"/>
        <v>0</v>
      </c>
      <c r="CS33" s="265">
        <f t="shared" si="92"/>
        <v>0</v>
      </c>
      <c r="CT33" s="265">
        <f t="shared" si="57"/>
        <v>0</v>
      </c>
      <c r="CU33" s="265">
        <f t="shared" si="58"/>
        <v>0</v>
      </c>
      <c r="CV33" s="265">
        <f t="shared" si="59"/>
        <v>0</v>
      </c>
      <c r="CW33" s="265">
        <f t="shared" si="60"/>
        <v>0</v>
      </c>
      <c r="CX33" s="265">
        <f t="shared" si="93"/>
        <v>0</v>
      </c>
      <c r="CY33" s="265">
        <f t="shared" si="94"/>
        <v>0</v>
      </c>
      <c r="CZ33" s="265">
        <f t="shared" si="95"/>
        <v>0</v>
      </c>
      <c r="DA33" s="265">
        <f t="shared" si="96"/>
        <v>0</v>
      </c>
    </row>
    <row r="34" spans="1:105" s="262" customFormat="1" ht="15.75" customHeight="1">
      <c r="A34" s="63" t="str">
        <f t="array" ref="A34">IF(C34&lt;&gt;0,SUM(($C$11:C34&lt;&gt;0)*1),"")</f>
        <v/>
      </c>
      <c r="B34" s="263"/>
      <c r="C34" s="263"/>
      <c r="D34" s="263"/>
      <c r="E34" s="344"/>
      <c r="F34" s="314"/>
      <c r="G34" s="316"/>
      <c r="H34" s="316"/>
      <c r="I34" s="63" t="str">
        <f t="shared" si="97"/>
        <v/>
      </c>
      <c r="J34" s="265">
        <f t="shared" si="61"/>
        <v>0</v>
      </c>
      <c r="K34" s="265">
        <f t="shared" si="62"/>
        <v>0</v>
      </c>
      <c r="L34" s="265">
        <f t="shared" si="1"/>
        <v>0</v>
      </c>
      <c r="M34" s="265">
        <f t="shared" si="2"/>
        <v>0</v>
      </c>
      <c r="N34" s="265">
        <f t="shared" si="3"/>
        <v>0</v>
      </c>
      <c r="O34" s="265">
        <f t="shared" si="4"/>
        <v>0</v>
      </c>
      <c r="P34" s="265">
        <f t="shared" si="5"/>
        <v>0</v>
      </c>
      <c r="Q34" s="265">
        <f t="shared" si="6"/>
        <v>0</v>
      </c>
      <c r="R34" s="265">
        <f t="shared" si="7"/>
        <v>0</v>
      </c>
      <c r="S34" s="265">
        <f t="shared" si="8"/>
        <v>0</v>
      </c>
      <c r="T34" s="265">
        <f t="shared" si="9"/>
        <v>0</v>
      </c>
      <c r="U34" s="265">
        <f t="shared" si="10"/>
        <v>0</v>
      </c>
      <c r="V34" s="265">
        <f t="shared" si="11"/>
        <v>0</v>
      </c>
      <c r="W34" s="265">
        <f t="shared" si="12"/>
        <v>0</v>
      </c>
      <c r="X34" s="265">
        <f t="shared" si="13"/>
        <v>0</v>
      </c>
      <c r="Y34" s="265">
        <f t="shared" si="14"/>
        <v>0</v>
      </c>
      <c r="Z34" s="265">
        <f t="shared" si="15"/>
        <v>0</v>
      </c>
      <c r="AA34" s="265">
        <f t="shared" si="16"/>
        <v>0</v>
      </c>
      <c r="AB34" s="265">
        <f t="shared" si="63"/>
        <v>0</v>
      </c>
      <c r="AC34" s="265">
        <f t="shared" si="64"/>
        <v>0</v>
      </c>
      <c r="AD34" s="265">
        <f t="shared" si="17"/>
        <v>0</v>
      </c>
      <c r="AE34" s="265">
        <f t="shared" si="18"/>
        <v>0</v>
      </c>
      <c r="AF34" s="265">
        <f t="shared" si="19"/>
        <v>0</v>
      </c>
      <c r="AG34" s="265">
        <f t="shared" si="20"/>
        <v>0</v>
      </c>
      <c r="AH34" s="265">
        <f t="shared" si="65"/>
        <v>0</v>
      </c>
      <c r="AI34" s="265">
        <f t="shared" si="66"/>
        <v>0</v>
      </c>
      <c r="AJ34" s="265">
        <f t="shared" si="67"/>
        <v>0</v>
      </c>
      <c r="AK34" s="265">
        <f t="shared" si="68"/>
        <v>0</v>
      </c>
      <c r="AL34" s="265">
        <f t="shared" si="69"/>
        <v>0</v>
      </c>
      <c r="AM34" s="265">
        <f t="shared" si="70"/>
        <v>0</v>
      </c>
      <c r="AN34" s="265">
        <f t="shared" si="71"/>
        <v>0</v>
      </c>
      <c r="AO34" s="265">
        <f t="shared" si="72"/>
        <v>0</v>
      </c>
      <c r="AP34" s="265">
        <f t="shared" si="21"/>
        <v>0</v>
      </c>
      <c r="AQ34" s="265">
        <f t="shared" si="22"/>
        <v>0</v>
      </c>
      <c r="AR34" s="265">
        <f t="shared" si="23"/>
        <v>0</v>
      </c>
      <c r="AS34" s="265">
        <f t="shared" si="24"/>
        <v>0</v>
      </c>
      <c r="AT34" s="265">
        <f t="shared" si="73"/>
        <v>0</v>
      </c>
      <c r="AU34" s="265">
        <f t="shared" si="74"/>
        <v>0</v>
      </c>
      <c r="AV34" s="265">
        <f t="shared" si="25"/>
        <v>0</v>
      </c>
      <c r="AW34" s="265">
        <f t="shared" si="26"/>
        <v>0</v>
      </c>
      <c r="AX34" s="265">
        <f t="shared" si="27"/>
        <v>0</v>
      </c>
      <c r="AY34" s="265">
        <f t="shared" si="28"/>
        <v>0</v>
      </c>
      <c r="AZ34" s="265">
        <f t="shared" si="29"/>
        <v>0</v>
      </c>
      <c r="BA34" s="265">
        <f t="shared" si="30"/>
        <v>0</v>
      </c>
      <c r="BB34" s="265">
        <f t="shared" si="31"/>
        <v>0</v>
      </c>
      <c r="BC34" s="265">
        <f t="shared" si="32"/>
        <v>0</v>
      </c>
      <c r="BD34" s="265">
        <f t="shared" si="33"/>
        <v>0</v>
      </c>
      <c r="BE34" s="265">
        <f t="shared" si="34"/>
        <v>0</v>
      </c>
      <c r="BF34" s="265">
        <f t="shared" si="35"/>
        <v>0</v>
      </c>
      <c r="BG34" s="265">
        <f t="shared" si="36"/>
        <v>0</v>
      </c>
      <c r="BH34" s="265">
        <f t="shared" si="75"/>
        <v>0</v>
      </c>
      <c r="BI34" s="265">
        <f t="shared" si="76"/>
        <v>0</v>
      </c>
      <c r="BJ34" s="265">
        <f t="shared" si="37"/>
        <v>0</v>
      </c>
      <c r="BK34" s="265">
        <f t="shared" si="38"/>
        <v>0</v>
      </c>
      <c r="BL34" s="265">
        <f t="shared" si="39"/>
        <v>0</v>
      </c>
      <c r="BM34" s="265">
        <f t="shared" si="40"/>
        <v>0</v>
      </c>
      <c r="BN34" s="265">
        <f t="shared" si="41"/>
        <v>0</v>
      </c>
      <c r="BO34" s="265">
        <f t="shared" si="42"/>
        <v>0</v>
      </c>
      <c r="BP34" s="265">
        <f t="shared" si="77"/>
        <v>0</v>
      </c>
      <c r="BQ34" s="265">
        <f t="shared" si="78"/>
        <v>0</v>
      </c>
      <c r="BR34" s="265">
        <f t="shared" si="43"/>
        <v>0</v>
      </c>
      <c r="BS34" s="265">
        <f t="shared" si="44"/>
        <v>0</v>
      </c>
      <c r="BT34" s="265">
        <f t="shared" si="79"/>
        <v>0</v>
      </c>
      <c r="BU34" s="265">
        <f t="shared" si="80"/>
        <v>0</v>
      </c>
      <c r="BV34" s="265">
        <f t="shared" si="81"/>
        <v>0</v>
      </c>
      <c r="BW34" s="265">
        <f t="shared" si="82"/>
        <v>0</v>
      </c>
      <c r="BX34" s="265">
        <f t="shared" si="45"/>
        <v>0</v>
      </c>
      <c r="BY34" s="265">
        <f t="shared" si="46"/>
        <v>0</v>
      </c>
      <c r="BZ34" s="265">
        <f t="shared" si="47"/>
        <v>0</v>
      </c>
      <c r="CA34" s="265">
        <f t="shared" si="48"/>
        <v>0</v>
      </c>
      <c r="CB34" s="265">
        <f t="shared" si="49"/>
        <v>0</v>
      </c>
      <c r="CC34" s="265">
        <f t="shared" si="50"/>
        <v>0</v>
      </c>
      <c r="CD34" s="265">
        <f t="shared" si="83"/>
        <v>0</v>
      </c>
      <c r="CE34" s="265">
        <f t="shared" si="84"/>
        <v>0</v>
      </c>
      <c r="CF34" s="265">
        <f t="shared" si="85"/>
        <v>0</v>
      </c>
      <c r="CG34" s="265">
        <f t="shared" si="86"/>
        <v>0</v>
      </c>
      <c r="CH34" s="265">
        <f t="shared" si="51"/>
        <v>0</v>
      </c>
      <c r="CI34" s="265">
        <f t="shared" si="52"/>
        <v>0</v>
      </c>
      <c r="CJ34" s="265">
        <f t="shared" si="87"/>
        <v>0</v>
      </c>
      <c r="CK34" s="265">
        <f t="shared" si="88"/>
        <v>0</v>
      </c>
      <c r="CL34" s="265">
        <f t="shared" si="53"/>
        <v>0</v>
      </c>
      <c r="CM34" s="265">
        <f t="shared" si="54"/>
        <v>0</v>
      </c>
      <c r="CN34" s="265">
        <f t="shared" si="55"/>
        <v>0</v>
      </c>
      <c r="CO34" s="265">
        <f t="shared" si="56"/>
        <v>0</v>
      </c>
      <c r="CP34" s="265">
        <f t="shared" si="89"/>
        <v>0</v>
      </c>
      <c r="CQ34" s="265">
        <f t="shared" si="90"/>
        <v>0</v>
      </c>
      <c r="CR34" s="265">
        <f t="shared" si="91"/>
        <v>0</v>
      </c>
      <c r="CS34" s="265">
        <f t="shared" si="92"/>
        <v>0</v>
      </c>
      <c r="CT34" s="265">
        <f t="shared" si="57"/>
        <v>0</v>
      </c>
      <c r="CU34" s="265">
        <f t="shared" si="58"/>
        <v>0</v>
      </c>
      <c r="CV34" s="265">
        <f t="shared" si="59"/>
        <v>0</v>
      </c>
      <c r="CW34" s="265">
        <f t="shared" si="60"/>
        <v>0</v>
      </c>
      <c r="CX34" s="265">
        <f t="shared" si="93"/>
        <v>0</v>
      </c>
      <c r="CY34" s="265">
        <f t="shared" si="94"/>
        <v>0</v>
      </c>
      <c r="CZ34" s="265">
        <f t="shared" si="95"/>
        <v>0</v>
      </c>
      <c r="DA34" s="265">
        <f t="shared" si="96"/>
        <v>0</v>
      </c>
    </row>
    <row r="35" spans="1:105" s="262" customFormat="1" ht="15.75" customHeight="1">
      <c r="A35" s="63" t="str">
        <f t="array" ref="A35">IF(C35&lt;&gt;0,SUM(($C$11:C35&lt;&gt;0)*1),"")</f>
        <v/>
      </c>
      <c r="B35" s="263"/>
      <c r="C35" s="263"/>
      <c r="D35" s="263"/>
      <c r="E35" s="344"/>
      <c r="F35" s="314"/>
      <c r="G35" s="316"/>
      <c r="H35" s="316"/>
      <c r="I35" s="63" t="str">
        <f t="shared" si="97"/>
        <v/>
      </c>
      <c r="J35" s="265">
        <f t="shared" si="61"/>
        <v>0</v>
      </c>
      <c r="K35" s="265">
        <f t="shared" si="62"/>
        <v>0</v>
      </c>
      <c r="L35" s="265">
        <f t="shared" si="1"/>
        <v>0</v>
      </c>
      <c r="M35" s="265">
        <f t="shared" si="2"/>
        <v>0</v>
      </c>
      <c r="N35" s="265">
        <f t="shared" si="3"/>
        <v>0</v>
      </c>
      <c r="O35" s="265">
        <f t="shared" si="4"/>
        <v>0</v>
      </c>
      <c r="P35" s="265">
        <f t="shared" si="5"/>
        <v>0</v>
      </c>
      <c r="Q35" s="265">
        <f t="shared" si="6"/>
        <v>0</v>
      </c>
      <c r="R35" s="265">
        <f t="shared" si="7"/>
        <v>0</v>
      </c>
      <c r="S35" s="265">
        <f t="shared" si="8"/>
        <v>0</v>
      </c>
      <c r="T35" s="265">
        <f t="shared" si="9"/>
        <v>0</v>
      </c>
      <c r="U35" s="265">
        <f t="shared" si="10"/>
        <v>0</v>
      </c>
      <c r="V35" s="265">
        <f t="shared" si="11"/>
        <v>0</v>
      </c>
      <c r="W35" s="265">
        <f t="shared" si="12"/>
        <v>0</v>
      </c>
      <c r="X35" s="265">
        <f t="shared" si="13"/>
        <v>0</v>
      </c>
      <c r="Y35" s="265">
        <f t="shared" si="14"/>
        <v>0</v>
      </c>
      <c r="Z35" s="265">
        <f t="shared" si="15"/>
        <v>0</v>
      </c>
      <c r="AA35" s="265">
        <f t="shared" si="16"/>
        <v>0</v>
      </c>
      <c r="AB35" s="265">
        <f t="shared" si="63"/>
        <v>0</v>
      </c>
      <c r="AC35" s="265">
        <f t="shared" si="64"/>
        <v>0</v>
      </c>
      <c r="AD35" s="265">
        <f t="shared" si="17"/>
        <v>0</v>
      </c>
      <c r="AE35" s="265">
        <f t="shared" si="18"/>
        <v>0</v>
      </c>
      <c r="AF35" s="265">
        <f t="shared" si="19"/>
        <v>0</v>
      </c>
      <c r="AG35" s="265">
        <f t="shared" si="20"/>
        <v>0</v>
      </c>
      <c r="AH35" s="265">
        <f t="shared" si="65"/>
        <v>0</v>
      </c>
      <c r="AI35" s="265">
        <f t="shared" si="66"/>
        <v>0</v>
      </c>
      <c r="AJ35" s="265">
        <f t="shared" si="67"/>
        <v>0</v>
      </c>
      <c r="AK35" s="265">
        <f t="shared" si="68"/>
        <v>0</v>
      </c>
      <c r="AL35" s="265">
        <f t="shared" si="69"/>
        <v>0</v>
      </c>
      <c r="AM35" s="265">
        <f t="shared" si="70"/>
        <v>0</v>
      </c>
      <c r="AN35" s="265">
        <f t="shared" si="71"/>
        <v>0</v>
      </c>
      <c r="AO35" s="265">
        <f t="shared" si="72"/>
        <v>0</v>
      </c>
      <c r="AP35" s="265">
        <f t="shared" si="21"/>
        <v>0</v>
      </c>
      <c r="AQ35" s="265">
        <f t="shared" si="22"/>
        <v>0</v>
      </c>
      <c r="AR35" s="265">
        <f t="shared" si="23"/>
        <v>0</v>
      </c>
      <c r="AS35" s="265">
        <f t="shared" si="24"/>
        <v>0</v>
      </c>
      <c r="AT35" s="265">
        <f t="shared" si="73"/>
        <v>0</v>
      </c>
      <c r="AU35" s="265">
        <f t="shared" si="74"/>
        <v>0</v>
      </c>
      <c r="AV35" s="265">
        <f t="shared" si="25"/>
        <v>0</v>
      </c>
      <c r="AW35" s="265">
        <f t="shared" si="26"/>
        <v>0</v>
      </c>
      <c r="AX35" s="265">
        <f t="shared" si="27"/>
        <v>0</v>
      </c>
      <c r="AY35" s="265">
        <f t="shared" si="28"/>
        <v>0</v>
      </c>
      <c r="AZ35" s="265">
        <f t="shared" si="29"/>
        <v>0</v>
      </c>
      <c r="BA35" s="265">
        <f t="shared" si="30"/>
        <v>0</v>
      </c>
      <c r="BB35" s="265">
        <f t="shared" si="31"/>
        <v>0</v>
      </c>
      <c r="BC35" s="265">
        <f t="shared" si="32"/>
        <v>0</v>
      </c>
      <c r="BD35" s="265">
        <f t="shared" si="33"/>
        <v>0</v>
      </c>
      <c r="BE35" s="265">
        <f t="shared" si="34"/>
        <v>0</v>
      </c>
      <c r="BF35" s="265">
        <f t="shared" si="35"/>
        <v>0</v>
      </c>
      <c r="BG35" s="265">
        <f t="shared" si="36"/>
        <v>0</v>
      </c>
      <c r="BH35" s="265">
        <f t="shared" si="75"/>
        <v>0</v>
      </c>
      <c r="BI35" s="265">
        <f t="shared" si="76"/>
        <v>0</v>
      </c>
      <c r="BJ35" s="265">
        <f t="shared" si="37"/>
        <v>0</v>
      </c>
      <c r="BK35" s="265">
        <f t="shared" si="38"/>
        <v>0</v>
      </c>
      <c r="BL35" s="265">
        <f t="shared" si="39"/>
        <v>0</v>
      </c>
      <c r="BM35" s="265">
        <f t="shared" si="40"/>
        <v>0</v>
      </c>
      <c r="BN35" s="265">
        <f t="shared" si="41"/>
        <v>0</v>
      </c>
      <c r="BO35" s="265">
        <f t="shared" si="42"/>
        <v>0</v>
      </c>
      <c r="BP35" s="265">
        <f t="shared" si="77"/>
        <v>0</v>
      </c>
      <c r="BQ35" s="265">
        <f t="shared" si="78"/>
        <v>0</v>
      </c>
      <c r="BR35" s="265">
        <f t="shared" si="43"/>
        <v>0</v>
      </c>
      <c r="BS35" s="265">
        <f t="shared" si="44"/>
        <v>0</v>
      </c>
      <c r="BT35" s="265">
        <f t="shared" si="79"/>
        <v>0</v>
      </c>
      <c r="BU35" s="265">
        <f t="shared" si="80"/>
        <v>0</v>
      </c>
      <c r="BV35" s="265">
        <f t="shared" si="81"/>
        <v>0</v>
      </c>
      <c r="BW35" s="265">
        <f t="shared" si="82"/>
        <v>0</v>
      </c>
      <c r="BX35" s="265">
        <f t="shared" si="45"/>
        <v>0</v>
      </c>
      <c r="BY35" s="265">
        <f t="shared" si="46"/>
        <v>0</v>
      </c>
      <c r="BZ35" s="265">
        <f t="shared" si="47"/>
        <v>0</v>
      </c>
      <c r="CA35" s="265">
        <f t="shared" si="48"/>
        <v>0</v>
      </c>
      <c r="CB35" s="265">
        <f t="shared" si="49"/>
        <v>0</v>
      </c>
      <c r="CC35" s="265">
        <f t="shared" si="50"/>
        <v>0</v>
      </c>
      <c r="CD35" s="265">
        <f t="shared" si="83"/>
        <v>0</v>
      </c>
      <c r="CE35" s="265">
        <f t="shared" si="84"/>
        <v>0</v>
      </c>
      <c r="CF35" s="265">
        <f t="shared" si="85"/>
        <v>0</v>
      </c>
      <c r="CG35" s="265">
        <f t="shared" si="86"/>
        <v>0</v>
      </c>
      <c r="CH35" s="265">
        <f t="shared" si="51"/>
        <v>0</v>
      </c>
      <c r="CI35" s="265">
        <f t="shared" si="52"/>
        <v>0</v>
      </c>
      <c r="CJ35" s="265">
        <f t="shared" si="87"/>
        <v>0</v>
      </c>
      <c r="CK35" s="265">
        <f t="shared" si="88"/>
        <v>0</v>
      </c>
      <c r="CL35" s="265">
        <f t="shared" si="53"/>
        <v>0</v>
      </c>
      <c r="CM35" s="265">
        <f t="shared" si="54"/>
        <v>0</v>
      </c>
      <c r="CN35" s="265">
        <f t="shared" si="55"/>
        <v>0</v>
      </c>
      <c r="CO35" s="265">
        <f t="shared" si="56"/>
        <v>0</v>
      </c>
      <c r="CP35" s="265">
        <f t="shared" si="89"/>
        <v>0</v>
      </c>
      <c r="CQ35" s="265">
        <f t="shared" si="90"/>
        <v>0</v>
      </c>
      <c r="CR35" s="265">
        <f t="shared" si="91"/>
        <v>0</v>
      </c>
      <c r="CS35" s="265">
        <f t="shared" si="92"/>
        <v>0</v>
      </c>
      <c r="CT35" s="265">
        <f t="shared" si="57"/>
        <v>0</v>
      </c>
      <c r="CU35" s="265">
        <f t="shared" si="58"/>
        <v>0</v>
      </c>
      <c r="CV35" s="265">
        <f t="shared" si="59"/>
        <v>0</v>
      </c>
      <c r="CW35" s="265">
        <f t="shared" si="60"/>
        <v>0</v>
      </c>
      <c r="CX35" s="265">
        <f t="shared" si="93"/>
        <v>0</v>
      </c>
      <c r="CY35" s="265">
        <f t="shared" si="94"/>
        <v>0</v>
      </c>
      <c r="CZ35" s="265">
        <f t="shared" si="95"/>
        <v>0</v>
      </c>
      <c r="DA35" s="265">
        <f t="shared" si="96"/>
        <v>0</v>
      </c>
    </row>
    <row r="36" spans="1:105" s="262" customFormat="1" ht="15.75" customHeight="1">
      <c r="A36" s="63" t="str">
        <f t="array" ref="A36">IF(C36&lt;&gt;0,SUM(($C$11:C36&lt;&gt;0)*1),"")</f>
        <v/>
      </c>
      <c r="B36" s="263"/>
      <c r="C36" s="263"/>
      <c r="D36" s="263"/>
      <c r="E36" s="344"/>
      <c r="F36" s="314"/>
      <c r="G36" s="316"/>
      <c r="H36" s="316"/>
      <c r="I36" s="63" t="str">
        <f t="shared" si="97"/>
        <v/>
      </c>
      <c r="J36" s="265">
        <f t="shared" si="61"/>
        <v>0</v>
      </c>
      <c r="K36" s="265">
        <f t="shared" si="62"/>
        <v>0</v>
      </c>
      <c r="L36" s="265">
        <f t="shared" si="1"/>
        <v>0</v>
      </c>
      <c r="M36" s="265">
        <f t="shared" si="2"/>
        <v>0</v>
      </c>
      <c r="N36" s="265">
        <f t="shared" si="3"/>
        <v>0</v>
      </c>
      <c r="O36" s="265">
        <f t="shared" si="4"/>
        <v>0</v>
      </c>
      <c r="P36" s="265">
        <f t="shared" si="5"/>
        <v>0</v>
      </c>
      <c r="Q36" s="265">
        <f t="shared" si="6"/>
        <v>0</v>
      </c>
      <c r="R36" s="265">
        <f t="shared" si="7"/>
        <v>0</v>
      </c>
      <c r="S36" s="265">
        <f t="shared" si="8"/>
        <v>0</v>
      </c>
      <c r="T36" s="265">
        <f t="shared" si="9"/>
        <v>0</v>
      </c>
      <c r="U36" s="265">
        <f t="shared" si="10"/>
        <v>0</v>
      </c>
      <c r="V36" s="265">
        <f t="shared" si="11"/>
        <v>0</v>
      </c>
      <c r="W36" s="265">
        <f t="shared" si="12"/>
        <v>0</v>
      </c>
      <c r="X36" s="265">
        <f t="shared" si="13"/>
        <v>0</v>
      </c>
      <c r="Y36" s="265">
        <f t="shared" si="14"/>
        <v>0</v>
      </c>
      <c r="Z36" s="265">
        <f t="shared" si="15"/>
        <v>0</v>
      </c>
      <c r="AA36" s="265">
        <f t="shared" si="16"/>
        <v>0</v>
      </c>
      <c r="AB36" s="265">
        <f t="shared" si="63"/>
        <v>0</v>
      </c>
      <c r="AC36" s="265">
        <f t="shared" si="64"/>
        <v>0</v>
      </c>
      <c r="AD36" s="265">
        <f t="shared" si="17"/>
        <v>0</v>
      </c>
      <c r="AE36" s="265">
        <f t="shared" si="18"/>
        <v>0</v>
      </c>
      <c r="AF36" s="265">
        <f t="shared" si="19"/>
        <v>0</v>
      </c>
      <c r="AG36" s="265">
        <f t="shared" si="20"/>
        <v>0</v>
      </c>
      <c r="AH36" s="265">
        <f t="shared" si="65"/>
        <v>0</v>
      </c>
      <c r="AI36" s="265">
        <f t="shared" si="66"/>
        <v>0</v>
      </c>
      <c r="AJ36" s="265">
        <f t="shared" si="67"/>
        <v>0</v>
      </c>
      <c r="AK36" s="265">
        <f t="shared" si="68"/>
        <v>0</v>
      </c>
      <c r="AL36" s="265">
        <f t="shared" si="69"/>
        <v>0</v>
      </c>
      <c r="AM36" s="265">
        <f t="shared" si="70"/>
        <v>0</v>
      </c>
      <c r="AN36" s="265">
        <f t="shared" si="71"/>
        <v>0</v>
      </c>
      <c r="AO36" s="265">
        <f t="shared" si="72"/>
        <v>0</v>
      </c>
      <c r="AP36" s="265">
        <f t="shared" si="21"/>
        <v>0</v>
      </c>
      <c r="AQ36" s="265">
        <f t="shared" si="22"/>
        <v>0</v>
      </c>
      <c r="AR36" s="265">
        <f t="shared" si="23"/>
        <v>0</v>
      </c>
      <c r="AS36" s="265">
        <f t="shared" si="24"/>
        <v>0</v>
      </c>
      <c r="AT36" s="265">
        <f t="shared" si="73"/>
        <v>0</v>
      </c>
      <c r="AU36" s="265">
        <f t="shared" si="74"/>
        <v>0</v>
      </c>
      <c r="AV36" s="265">
        <f t="shared" si="25"/>
        <v>0</v>
      </c>
      <c r="AW36" s="265">
        <f t="shared" si="26"/>
        <v>0</v>
      </c>
      <c r="AX36" s="265">
        <f t="shared" si="27"/>
        <v>0</v>
      </c>
      <c r="AY36" s="265">
        <f t="shared" si="28"/>
        <v>0</v>
      </c>
      <c r="AZ36" s="265">
        <f t="shared" si="29"/>
        <v>0</v>
      </c>
      <c r="BA36" s="265">
        <f t="shared" si="30"/>
        <v>0</v>
      </c>
      <c r="BB36" s="265">
        <f t="shared" si="31"/>
        <v>0</v>
      </c>
      <c r="BC36" s="265">
        <f t="shared" si="32"/>
        <v>0</v>
      </c>
      <c r="BD36" s="265">
        <f t="shared" si="33"/>
        <v>0</v>
      </c>
      <c r="BE36" s="265">
        <f t="shared" si="34"/>
        <v>0</v>
      </c>
      <c r="BF36" s="265">
        <f t="shared" si="35"/>
        <v>0</v>
      </c>
      <c r="BG36" s="265">
        <f t="shared" si="36"/>
        <v>0</v>
      </c>
      <c r="BH36" s="265">
        <f t="shared" si="75"/>
        <v>0</v>
      </c>
      <c r="BI36" s="265">
        <f t="shared" si="76"/>
        <v>0</v>
      </c>
      <c r="BJ36" s="265">
        <f t="shared" si="37"/>
        <v>0</v>
      </c>
      <c r="BK36" s="265">
        <f t="shared" si="38"/>
        <v>0</v>
      </c>
      <c r="BL36" s="265">
        <f t="shared" si="39"/>
        <v>0</v>
      </c>
      <c r="BM36" s="265">
        <f t="shared" si="40"/>
        <v>0</v>
      </c>
      <c r="BN36" s="265">
        <f t="shared" si="41"/>
        <v>0</v>
      </c>
      <c r="BO36" s="265">
        <f t="shared" si="42"/>
        <v>0</v>
      </c>
      <c r="BP36" s="265">
        <f t="shared" si="77"/>
        <v>0</v>
      </c>
      <c r="BQ36" s="265">
        <f t="shared" si="78"/>
        <v>0</v>
      </c>
      <c r="BR36" s="265">
        <f t="shared" si="43"/>
        <v>0</v>
      </c>
      <c r="BS36" s="265">
        <f t="shared" si="44"/>
        <v>0</v>
      </c>
      <c r="BT36" s="265">
        <f t="shared" si="79"/>
        <v>0</v>
      </c>
      <c r="BU36" s="265">
        <f t="shared" si="80"/>
        <v>0</v>
      </c>
      <c r="BV36" s="265">
        <f t="shared" si="81"/>
        <v>0</v>
      </c>
      <c r="BW36" s="265">
        <f t="shared" si="82"/>
        <v>0</v>
      </c>
      <c r="BX36" s="265">
        <f t="shared" si="45"/>
        <v>0</v>
      </c>
      <c r="BY36" s="265">
        <f t="shared" si="46"/>
        <v>0</v>
      </c>
      <c r="BZ36" s="265">
        <f t="shared" si="47"/>
        <v>0</v>
      </c>
      <c r="CA36" s="265">
        <f t="shared" si="48"/>
        <v>0</v>
      </c>
      <c r="CB36" s="265">
        <f t="shared" si="49"/>
        <v>0</v>
      </c>
      <c r="CC36" s="265">
        <f t="shared" si="50"/>
        <v>0</v>
      </c>
      <c r="CD36" s="265">
        <f t="shared" si="83"/>
        <v>0</v>
      </c>
      <c r="CE36" s="265">
        <f t="shared" si="84"/>
        <v>0</v>
      </c>
      <c r="CF36" s="265">
        <f t="shared" si="85"/>
        <v>0</v>
      </c>
      <c r="CG36" s="265">
        <f t="shared" si="86"/>
        <v>0</v>
      </c>
      <c r="CH36" s="265">
        <f t="shared" si="51"/>
        <v>0</v>
      </c>
      <c r="CI36" s="265">
        <f t="shared" si="52"/>
        <v>0</v>
      </c>
      <c r="CJ36" s="265">
        <f t="shared" si="87"/>
        <v>0</v>
      </c>
      <c r="CK36" s="265">
        <f t="shared" si="88"/>
        <v>0</v>
      </c>
      <c r="CL36" s="265">
        <f t="shared" si="53"/>
        <v>0</v>
      </c>
      <c r="CM36" s="265">
        <f t="shared" si="54"/>
        <v>0</v>
      </c>
      <c r="CN36" s="265">
        <f t="shared" si="55"/>
        <v>0</v>
      </c>
      <c r="CO36" s="265">
        <f t="shared" si="56"/>
        <v>0</v>
      </c>
      <c r="CP36" s="265">
        <f t="shared" si="89"/>
        <v>0</v>
      </c>
      <c r="CQ36" s="265">
        <f t="shared" si="90"/>
        <v>0</v>
      </c>
      <c r="CR36" s="265">
        <f t="shared" si="91"/>
        <v>0</v>
      </c>
      <c r="CS36" s="265">
        <f t="shared" si="92"/>
        <v>0</v>
      </c>
      <c r="CT36" s="265">
        <f t="shared" si="57"/>
        <v>0</v>
      </c>
      <c r="CU36" s="265">
        <f t="shared" si="58"/>
        <v>0</v>
      </c>
      <c r="CV36" s="265">
        <f t="shared" si="59"/>
        <v>0</v>
      </c>
      <c r="CW36" s="265">
        <f t="shared" si="60"/>
        <v>0</v>
      </c>
      <c r="CX36" s="265">
        <f t="shared" si="93"/>
        <v>0</v>
      </c>
      <c r="CY36" s="265">
        <f t="shared" si="94"/>
        <v>0</v>
      </c>
      <c r="CZ36" s="265">
        <f t="shared" si="95"/>
        <v>0</v>
      </c>
      <c r="DA36" s="265">
        <f t="shared" si="96"/>
        <v>0</v>
      </c>
    </row>
    <row r="37" spans="1:105" s="262" customFormat="1" ht="15.75" customHeight="1">
      <c r="A37" s="63" t="str">
        <f t="array" ref="A37">IF(C37&lt;&gt;0,SUM(($C$11:C37&lt;&gt;0)*1),"")</f>
        <v/>
      </c>
      <c r="B37" s="263"/>
      <c r="C37" s="263"/>
      <c r="D37" s="263"/>
      <c r="E37" s="344"/>
      <c r="F37" s="314"/>
      <c r="G37" s="316"/>
      <c r="H37" s="316"/>
      <c r="I37" s="63" t="str">
        <f t="shared" si="97"/>
        <v/>
      </c>
      <c r="J37" s="265">
        <f t="shared" si="61"/>
        <v>0</v>
      </c>
      <c r="K37" s="265">
        <f t="shared" si="62"/>
        <v>0</v>
      </c>
      <c r="L37" s="265">
        <f t="shared" si="1"/>
        <v>0</v>
      </c>
      <c r="M37" s="265">
        <f t="shared" si="2"/>
        <v>0</v>
      </c>
      <c r="N37" s="265">
        <f t="shared" si="3"/>
        <v>0</v>
      </c>
      <c r="O37" s="265">
        <f t="shared" si="4"/>
        <v>0</v>
      </c>
      <c r="P37" s="265">
        <f t="shared" si="5"/>
        <v>0</v>
      </c>
      <c r="Q37" s="265">
        <f t="shared" si="6"/>
        <v>0</v>
      </c>
      <c r="R37" s="265">
        <f t="shared" si="7"/>
        <v>0</v>
      </c>
      <c r="S37" s="265">
        <f t="shared" si="8"/>
        <v>0</v>
      </c>
      <c r="T37" s="265">
        <f t="shared" si="9"/>
        <v>0</v>
      </c>
      <c r="U37" s="265">
        <f t="shared" si="10"/>
        <v>0</v>
      </c>
      <c r="V37" s="265">
        <f t="shared" si="11"/>
        <v>0</v>
      </c>
      <c r="W37" s="265">
        <f t="shared" si="12"/>
        <v>0</v>
      </c>
      <c r="X37" s="265">
        <f t="shared" si="13"/>
        <v>0</v>
      </c>
      <c r="Y37" s="265">
        <f t="shared" si="14"/>
        <v>0</v>
      </c>
      <c r="Z37" s="265">
        <f t="shared" si="15"/>
        <v>0</v>
      </c>
      <c r="AA37" s="265">
        <f t="shared" si="16"/>
        <v>0</v>
      </c>
      <c r="AB37" s="265">
        <f t="shared" si="63"/>
        <v>0</v>
      </c>
      <c r="AC37" s="265">
        <f t="shared" si="64"/>
        <v>0</v>
      </c>
      <c r="AD37" s="265">
        <f t="shared" si="17"/>
        <v>0</v>
      </c>
      <c r="AE37" s="265">
        <f t="shared" si="18"/>
        <v>0</v>
      </c>
      <c r="AF37" s="265">
        <f t="shared" si="19"/>
        <v>0</v>
      </c>
      <c r="AG37" s="265">
        <f t="shared" si="20"/>
        <v>0</v>
      </c>
      <c r="AH37" s="265">
        <f t="shared" si="65"/>
        <v>0</v>
      </c>
      <c r="AI37" s="265">
        <f t="shared" si="66"/>
        <v>0</v>
      </c>
      <c r="AJ37" s="265">
        <f t="shared" si="67"/>
        <v>0</v>
      </c>
      <c r="AK37" s="265">
        <f t="shared" si="68"/>
        <v>0</v>
      </c>
      <c r="AL37" s="265">
        <f t="shared" si="69"/>
        <v>0</v>
      </c>
      <c r="AM37" s="265">
        <f t="shared" si="70"/>
        <v>0</v>
      </c>
      <c r="AN37" s="265">
        <f t="shared" si="71"/>
        <v>0</v>
      </c>
      <c r="AO37" s="265">
        <f t="shared" si="72"/>
        <v>0</v>
      </c>
      <c r="AP37" s="265">
        <f t="shared" si="21"/>
        <v>0</v>
      </c>
      <c r="AQ37" s="265">
        <f t="shared" si="22"/>
        <v>0</v>
      </c>
      <c r="AR37" s="265">
        <f t="shared" si="23"/>
        <v>0</v>
      </c>
      <c r="AS37" s="265">
        <f t="shared" si="24"/>
        <v>0</v>
      </c>
      <c r="AT37" s="265">
        <f t="shared" si="73"/>
        <v>0</v>
      </c>
      <c r="AU37" s="265">
        <f t="shared" si="74"/>
        <v>0</v>
      </c>
      <c r="AV37" s="265">
        <f t="shared" si="25"/>
        <v>0</v>
      </c>
      <c r="AW37" s="265">
        <f t="shared" si="26"/>
        <v>0</v>
      </c>
      <c r="AX37" s="265">
        <f t="shared" si="27"/>
        <v>0</v>
      </c>
      <c r="AY37" s="265">
        <f t="shared" si="28"/>
        <v>0</v>
      </c>
      <c r="AZ37" s="265">
        <f t="shared" si="29"/>
        <v>0</v>
      </c>
      <c r="BA37" s="265">
        <f t="shared" si="30"/>
        <v>0</v>
      </c>
      <c r="BB37" s="265">
        <f t="shared" si="31"/>
        <v>0</v>
      </c>
      <c r="BC37" s="265">
        <f t="shared" si="32"/>
        <v>0</v>
      </c>
      <c r="BD37" s="265">
        <f t="shared" si="33"/>
        <v>0</v>
      </c>
      <c r="BE37" s="265">
        <f t="shared" si="34"/>
        <v>0</v>
      </c>
      <c r="BF37" s="265">
        <f t="shared" si="35"/>
        <v>0</v>
      </c>
      <c r="BG37" s="265">
        <f t="shared" si="36"/>
        <v>0</v>
      </c>
      <c r="BH37" s="265">
        <f t="shared" si="75"/>
        <v>0</v>
      </c>
      <c r="BI37" s="265">
        <f t="shared" si="76"/>
        <v>0</v>
      </c>
      <c r="BJ37" s="265">
        <f t="shared" si="37"/>
        <v>0</v>
      </c>
      <c r="BK37" s="265">
        <f t="shared" si="38"/>
        <v>0</v>
      </c>
      <c r="BL37" s="265">
        <f t="shared" si="39"/>
        <v>0</v>
      </c>
      <c r="BM37" s="265">
        <f t="shared" si="40"/>
        <v>0</v>
      </c>
      <c r="BN37" s="265">
        <f t="shared" si="41"/>
        <v>0</v>
      </c>
      <c r="BO37" s="265">
        <f t="shared" si="42"/>
        <v>0</v>
      </c>
      <c r="BP37" s="265">
        <f t="shared" si="77"/>
        <v>0</v>
      </c>
      <c r="BQ37" s="265">
        <f t="shared" si="78"/>
        <v>0</v>
      </c>
      <c r="BR37" s="265">
        <f t="shared" si="43"/>
        <v>0</v>
      </c>
      <c r="BS37" s="265">
        <f t="shared" si="44"/>
        <v>0</v>
      </c>
      <c r="BT37" s="265">
        <f t="shared" si="79"/>
        <v>0</v>
      </c>
      <c r="BU37" s="265">
        <f t="shared" si="80"/>
        <v>0</v>
      </c>
      <c r="BV37" s="265">
        <f t="shared" si="81"/>
        <v>0</v>
      </c>
      <c r="BW37" s="265">
        <f t="shared" si="82"/>
        <v>0</v>
      </c>
      <c r="BX37" s="265">
        <f t="shared" si="45"/>
        <v>0</v>
      </c>
      <c r="BY37" s="265">
        <f t="shared" si="46"/>
        <v>0</v>
      </c>
      <c r="BZ37" s="265">
        <f t="shared" si="47"/>
        <v>0</v>
      </c>
      <c r="CA37" s="265">
        <f t="shared" si="48"/>
        <v>0</v>
      </c>
      <c r="CB37" s="265">
        <f t="shared" si="49"/>
        <v>0</v>
      </c>
      <c r="CC37" s="265">
        <f t="shared" si="50"/>
        <v>0</v>
      </c>
      <c r="CD37" s="265">
        <f t="shared" si="83"/>
        <v>0</v>
      </c>
      <c r="CE37" s="265">
        <f t="shared" si="84"/>
        <v>0</v>
      </c>
      <c r="CF37" s="265">
        <f t="shared" si="85"/>
        <v>0</v>
      </c>
      <c r="CG37" s="265">
        <f t="shared" si="86"/>
        <v>0</v>
      </c>
      <c r="CH37" s="265">
        <f t="shared" si="51"/>
        <v>0</v>
      </c>
      <c r="CI37" s="265">
        <f t="shared" si="52"/>
        <v>0</v>
      </c>
      <c r="CJ37" s="265">
        <f t="shared" si="87"/>
        <v>0</v>
      </c>
      <c r="CK37" s="265">
        <f t="shared" si="88"/>
        <v>0</v>
      </c>
      <c r="CL37" s="265">
        <f t="shared" si="53"/>
        <v>0</v>
      </c>
      <c r="CM37" s="265">
        <f t="shared" si="54"/>
        <v>0</v>
      </c>
      <c r="CN37" s="265">
        <f t="shared" si="55"/>
        <v>0</v>
      </c>
      <c r="CO37" s="265">
        <f t="shared" si="56"/>
        <v>0</v>
      </c>
      <c r="CP37" s="265">
        <f t="shared" si="89"/>
        <v>0</v>
      </c>
      <c r="CQ37" s="265">
        <f t="shared" si="90"/>
        <v>0</v>
      </c>
      <c r="CR37" s="265">
        <f t="shared" si="91"/>
        <v>0</v>
      </c>
      <c r="CS37" s="265">
        <f t="shared" si="92"/>
        <v>0</v>
      </c>
      <c r="CT37" s="265">
        <f t="shared" si="57"/>
        <v>0</v>
      </c>
      <c r="CU37" s="265">
        <f t="shared" si="58"/>
        <v>0</v>
      </c>
      <c r="CV37" s="265">
        <f t="shared" si="59"/>
        <v>0</v>
      </c>
      <c r="CW37" s="265">
        <f t="shared" si="60"/>
        <v>0</v>
      </c>
      <c r="CX37" s="265">
        <f t="shared" si="93"/>
        <v>0</v>
      </c>
      <c r="CY37" s="265">
        <f t="shared" si="94"/>
        <v>0</v>
      </c>
      <c r="CZ37" s="265">
        <f t="shared" si="95"/>
        <v>0</v>
      </c>
      <c r="DA37" s="265">
        <f t="shared" si="96"/>
        <v>0</v>
      </c>
    </row>
    <row r="38" spans="1:105" s="262" customFormat="1" ht="15.75" customHeight="1">
      <c r="A38" s="63" t="str">
        <f t="array" ref="A38">IF(C38&lt;&gt;0,SUM(($C$11:C38&lt;&gt;0)*1),"")</f>
        <v/>
      </c>
      <c r="B38" s="263"/>
      <c r="C38" s="263"/>
      <c r="D38" s="263"/>
      <c r="E38" s="344"/>
      <c r="F38" s="314"/>
      <c r="G38" s="316"/>
      <c r="H38" s="316"/>
      <c r="I38" s="63" t="str">
        <f t="shared" si="97"/>
        <v/>
      </c>
      <c r="J38" s="265">
        <f t="shared" si="61"/>
        <v>0</v>
      </c>
      <c r="K38" s="265">
        <f t="shared" si="62"/>
        <v>0</v>
      </c>
      <c r="L38" s="265">
        <f t="shared" si="1"/>
        <v>0</v>
      </c>
      <c r="M38" s="265">
        <f t="shared" si="2"/>
        <v>0</v>
      </c>
      <c r="N38" s="265">
        <f t="shared" si="3"/>
        <v>0</v>
      </c>
      <c r="O38" s="265">
        <f t="shared" si="4"/>
        <v>0</v>
      </c>
      <c r="P38" s="265">
        <f t="shared" si="5"/>
        <v>0</v>
      </c>
      <c r="Q38" s="265">
        <f t="shared" si="6"/>
        <v>0</v>
      </c>
      <c r="R38" s="265">
        <f t="shared" si="7"/>
        <v>0</v>
      </c>
      <c r="S38" s="265">
        <f t="shared" si="8"/>
        <v>0</v>
      </c>
      <c r="T38" s="265">
        <f t="shared" si="9"/>
        <v>0</v>
      </c>
      <c r="U38" s="265">
        <f t="shared" si="10"/>
        <v>0</v>
      </c>
      <c r="V38" s="265">
        <f t="shared" si="11"/>
        <v>0</v>
      </c>
      <c r="W38" s="265">
        <f t="shared" si="12"/>
        <v>0</v>
      </c>
      <c r="X38" s="265">
        <f t="shared" si="13"/>
        <v>0</v>
      </c>
      <c r="Y38" s="265">
        <f t="shared" si="14"/>
        <v>0</v>
      </c>
      <c r="Z38" s="265">
        <f t="shared" si="15"/>
        <v>0</v>
      </c>
      <c r="AA38" s="265">
        <f t="shared" si="16"/>
        <v>0</v>
      </c>
      <c r="AB38" s="265">
        <f t="shared" si="63"/>
        <v>0</v>
      </c>
      <c r="AC38" s="265">
        <f t="shared" si="64"/>
        <v>0</v>
      </c>
      <c r="AD38" s="265">
        <f t="shared" si="17"/>
        <v>0</v>
      </c>
      <c r="AE38" s="265">
        <f t="shared" si="18"/>
        <v>0</v>
      </c>
      <c r="AF38" s="265">
        <f t="shared" si="19"/>
        <v>0</v>
      </c>
      <c r="AG38" s="265">
        <f t="shared" si="20"/>
        <v>0</v>
      </c>
      <c r="AH38" s="265">
        <f t="shared" si="65"/>
        <v>0</v>
      </c>
      <c r="AI38" s="265">
        <f t="shared" si="66"/>
        <v>0</v>
      </c>
      <c r="AJ38" s="265">
        <f t="shared" si="67"/>
        <v>0</v>
      </c>
      <c r="AK38" s="265">
        <f t="shared" si="68"/>
        <v>0</v>
      </c>
      <c r="AL38" s="265">
        <f t="shared" si="69"/>
        <v>0</v>
      </c>
      <c r="AM38" s="265">
        <f t="shared" si="70"/>
        <v>0</v>
      </c>
      <c r="AN38" s="265">
        <f t="shared" si="71"/>
        <v>0</v>
      </c>
      <c r="AO38" s="265">
        <f t="shared" si="72"/>
        <v>0</v>
      </c>
      <c r="AP38" s="265">
        <f t="shared" si="21"/>
        <v>0</v>
      </c>
      <c r="AQ38" s="265">
        <f t="shared" si="22"/>
        <v>0</v>
      </c>
      <c r="AR38" s="265">
        <f t="shared" si="23"/>
        <v>0</v>
      </c>
      <c r="AS38" s="265">
        <f t="shared" si="24"/>
        <v>0</v>
      </c>
      <c r="AT38" s="265">
        <f t="shared" si="73"/>
        <v>0</v>
      </c>
      <c r="AU38" s="265">
        <f t="shared" si="74"/>
        <v>0</v>
      </c>
      <c r="AV38" s="265">
        <f t="shared" si="25"/>
        <v>0</v>
      </c>
      <c r="AW38" s="265">
        <f t="shared" si="26"/>
        <v>0</v>
      </c>
      <c r="AX38" s="265">
        <f t="shared" si="27"/>
        <v>0</v>
      </c>
      <c r="AY38" s="265">
        <f t="shared" si="28"/>
        <v>0</v>
      </c>
      <c r="AZ38" s="265">
        <f t="shared" si="29"/>
        <v>0</v>
      </c>
      <c r="BA38" s="265">
        <f t="shared" si="30"/>
        <v>0</v>
      </c>
      <c r="BB38" s="265">
        <f t="shared" si="31"/>
        <v>0</v>
      </c>
      <c r="BC38" s="265">
        <f t="shared" si="32"/>
        <v>0</v>
      </c>
      <c r="BD38" s="265">
        <f t="shared" si="33"/>
        <v>0</v>
      </c>
      <c r="BE38" s="265">
        <f t="shared" si="34"/>
        <v>0</v>
      </c>
      <c r="BF38" s="265">
        <f t="shared" si="35"/>
        <v>0</v>
      </c>
      <c r="BG38" s="265">
        <f t="shared" si="36"/>
        <v>0</v>
      </c>
      <c r="BH38" s="265">
        <f t="shared" si="75"/>
        <v>0</v>
      </c>
      <c r="BI38" s="265">
        <f t="shared" si="76"/>
        <v>0</v>
      </c>
      <c r="BJ38" s="265">
        <f t="shared" si="37"/>
        <v>0</v>
      </c>
      <c r="BK38" s="265">
        <f t="shared" si="38"/>
        <v>0</v>
      </c>
      <c r="BL38" s="265">
        <f t="shared" si="39"/>
        <v>0</v>
      </c>
      <c r="BM38" s="265">
        <f t="shared" si="40"/>
        <v>0</v>
      </c>
      <c r="BN38" s="265">
        <f t="shared" si="41"/>
        <v>0</v>
      </c>
      <c r="BO38" s="265">
        <f t="shared" si="42"/>
        <v>0</v>
      </c>
      <c r="BP38" s="265">
        <f t="shared" si="77"/>
        <v>0</v>
      </c>
      <c r="BQ38" s="265">
        <f t="shared" si="78"/>
        <v>0</v>
      </c>
      <c r="BR38" s="265">
        <f t="shared" si="43"/>
        <v>0</v>
      </c>
      <c r="BS38" s="265">
        <f t="shared" si="44"/>
        <v>0</v>
      </c>
      <c r="BT38" s="265">
        <f t="shared" si="79"/>
        <v>0</v>
      </c>
      <c r="BU38" s="265">
        <f t="shared" si="80"/>
        <v>0</v>
      </c>
      <c r="BV38" s="265">
        <f t="shared" si="81"/>
        <v>0</v>
      </c>
      <c r="BW38" s="265">
        <f t="shared" si="82"/>
        <v>0</v>
      </c>
      <c r="BX38" s="265">
        <f t="shared" si="45"/>
        <v>0</v>
      </c>
      <c r="BY38" s="265">
        <f t="shared" si="46"/>
        <v>0</v>
      </c>
      <c r="BZ38" s="265">
        <f t="shared" si="47"/>
        <v>0</v>
      </c>
      <c r="CA38" s="265">
        <f t="shared" si="48"/>
        <v>0</v>
      </c>
      <c r="CB38" s="265">
        <f t="shared" si="49"/>
        <v>0</v>
      </c>
      <c r="CC38" s="265">
        <f t="shared" si="50"/>
        <v>0</v>
      </c>
      <c r="CD38" s="265">
        <f t="shared" si="83"/>
        <v>0</v>
      </c>
      <c r="CE38" s="265">
        <f t="shared" si="84"/>
        <v>0</v>
      </c>
      <c r="CF38" s="265">
        <f t="shared" si="85"/>
        <v>0</v>
      </c>
      <c r="CG38" s="265">
        <f t="shared" si="86"/>
        <v>0</v>
      </c>
      <c r="CH38" s="265">
        <f t="shared" si="51"/>
        <v>0</v>
      </c>
      <c r="CI38" s="265">
        <f t="shared" si="52"/>
        <v>0</v>
      </c>
      <c r="CJ38" s="265">
        <f t="shared" si="87"/>
        <v>0</v>
      </c>
      <c r="CK38" s="265">
        <f t="shared" si="88"/>
        <v>0</v>
      </c>
      <c r="CL38" s="265">
        <f t="shared" si="53"/>
        <v>0</v>
      </c>
      <c r="CM38" s="265">
        <f t="shared" si="54"/>
        <v>0</v>
      </c>
      <c r="CN38" s="265">
        <f t="shared" si="55"/>
        <v>0</v>
      </c>
      <c r="CO38" s="265">
        <f t="shared" si="56"/>
        <v>0</v>
      </c>
      <c r="CP38" s="265">
        <f t="shared" si="89"/>
        <v>0</v>
      </c>
      <c r="CQ38" s="265">
        <f t="shared" si="90"/>
        <v>0</v>
      </c>
      <c r="CR38" s="265">
        <f t="shared" si="91"/>
        <v>0</v>
      </c>
      <c r="CS38" s="265">
        <f t="shared" si="92"/>
        <v>0</v>
      </c>
      <c r="CT38" s="265">
        <f t="shared" si="57"/>
        <v>0</v>
      </c>
      <c r="CU38" s="265">
        <f t="shared" si="58"/>
        <v>0</v>
      </c>
      <c r="CV38" s="265">
        <f t="shared" si="59"/>
        <v>0</v>
      </c>
      <c r="CW38" s="265">
        <f t="shared" si="60"/>
        <v>0</v>
      </c>
      <c r="CX38" s="265">
        <f t="shared" si="93"/>
        <v>0</v>
      </c>
      <c r="CY38" s="265">
        <f t="shared" si="94"/>
        <v>0</v>
      </c>
      <c r="CZ38" s="265">
        <f t="shared" si="95"/>
        <v>0</v>
      </c>
      <c r="DA38" s="265">
        <f t="shared" si="96"/>
        <v>0</v>
      </c>
    </row>
    <row r="39" spans="1:105" s="262" customFormat="1" ht="15.75" customHeight="1">
      <c r="A39" s="63" t="str">
        <f t="array" ref="A39">IF(C39&lt;&gt;0,SUM(($C$11:C39&lt;&gt;0)*1),"")</f>
        <v/>
      </c>
      <c r="B39" s="263"/>
      <c r="C39" s="263"/>
      <c r="D39" s="263"/>
      <c r="E39" s="344"/>
      <c r="F39" s="314"/>
      <c r="G39" s="316"/>
      <c r="H39" s="316"/>
      <c r="I39" s="63" t="str">
        <f t="shared" si="97"/>
        <v/>
      </c>
      <c r="J39" s="265">
        <f t="shared" si="61"/>
        <v>0</v>
      </c>
      <c r="K39" s="265">
        <f t="shared" si="62"/>
        <v>0</v>
      </c>
      <c r="L39" s="265">
        <f t="shared" si="1"/>
        <v>0</v>
      </c>
      <c r="M39" s="265">
        <f t="shared" si="2"/>
        <v>0</v>
      </c>
      <c r="N39" s="265">
        <f t="shared" si="3"/>
        <v>0</v>
      </c>
      <c r="O39" s="265">
        <f t="shared" si="4"/>
        <v>0</v>
      </c>
      <c r="P39" s="265">
        <f t="shared" si="5"/>
        <v>0</v>
      </c>
      <c r="Q39" s="265">
        <f t="shared" si="6"/>
        <v>0</v>
      </c>
      <c r="R39" s="265">
        <f t="shared" si="7"/>
        <v>0</v>
      </c>
      <c r="S39" s="265">
        <f t="shared" si="8"/>
        <v>0</v>
      </c>
      <c r="T39" s="265">
        <f t="shared" si="9"/>
        <v>0</v>
      </c>
      <c r="U39" s="265">
        <f t="shared" si="10"/>
        <v>0</v>
      </c>
      <c r="V39" s="265">
        <f t="shared" si="11"/>
        <v>0</v>
      </c>
      <c r="W39" s="265">
        <f t="shared" si="12"/>
        <v>0</v>
      </c>
      <c r="X39" s="265">
        <f t="shared" si="13"/>
        <v>0</v>
      </c>
      <c r="Y39" s="265">
        <f t="shared" si="14"/>
        <v>0</v>
      </c>
      <c r="Z39" s="265">
        <f t="shared" si="15"/>
        <v>0</v>
      </c>
      <c r="AA39" s="265">
        <f t="shared" si="16"/>
        <v>0</v>
      </c>
      <c r="AB39" s="265">
        <f t="shared" si="63"/>
        <v>0</v>
      </c>
      <c r="AC39" s="265">
        <f t="shared" si="64"/>
        <v>0</v>
      </c>
      <c r="AD39" s="265">
        <f t="shared" si="17"/>
        <v>0</v>
      </c>
      <c r="AE39" s="265">
        <f t="shared" si="18"/>
        <v>0</v>
      </c>
      <c r="AF39" s="265">
        <f t="shared" si="19"/>
        <v>0</v>
      </c>
      <c r="AG39" s="265">
        <f t="shared" si="20"/>
        <v>0</v>
      </c>
      <c r="AH39" s="265">
        <f t="shared" si="65"/>
        <v>0</v>
      </c>
      <c r="AI39" s="265">
        <f t="shared" si="66"/>
        <v>0</v>
      </c>
      <c r="AJ39" s="265">
        <f t="shared" si="67"/>
        <v>0</v>
      </c>
      <c r="AK39" s="265">
        <f t="shared" si="68"/>
        <v>0</v>
      </c>
      <c r="AL39" s="265">
        <f t="shared" si="69"/>
        <v>0</v>
      </c>
      <c r="AM39" s="265">
        <f t="shared" si="70"/>
        <v>0</v>
      </c>
      <c r="AN39" s="265">
        <f t="shared" si="71"/>
        <v>0</v>
      </c>
      <c r="AO39" s="265">
        <f t="shared" si="72"/>
        <v>0</v>
      </c>
      <c r="AP39" s="265">
        <f t="shared" si="21"/>
        <v>0</v>
      </c>
      <c r="AQ39" s="265">
        <f t="shared" si="22"/>
        <v>0</v>
      </c>
      <c r="AR39" s="265">
        <f t="shared" si="23"/>
        <v>0</v>
      </c>
      <c r="AS39" s="265">
        <f t="shared" si="24"/>
        <v>0</v>
      </c>
      <c r="AT39" s="265">
        <f t="shared" si="73"/>
        <v>0</v>
      </c>
      <c r="AU39" s="265">
        <f t="shared" si="74"/>
        <v>0</v>
      </c>
      <c r="AV39" s="265">
        <f t="shared" si="25"/>
        <v>0</v>
      </c>
      <c r="AW39" s="265">
        <f t="shared" si="26"/>
        <v>0</v>
      </c>
      <c r="AX39" s="265">
        <f t="shared" si="27"/>
        <v>0</v>
      </c>
      <c r="AY39" s="265">
        <f t="shared" si="28"/>
        <v>0</v>
      </c>
      <c r="AZ39" s="265">
        <f t="shared" si="29"/>
        <v>0</v>
      </c>
      <c r="BA39" s="265">
        <f t="shared" si="30"/>
        <v>0</v>
      </c>
      <c r="BB39" s="265">
        <f t="shared" si="31"/>
        <v>0</v>
      </c>
      <c r="BC39" s="265">
        <f t="shared" si="32"/>
        <v>0</v>
      </c>
      <c r="BD39" s="265">
        <f t="shared" si="33"/>
        <v>0</v>
      </c>
      <c r="BE39" s="265">
        <f t="shared" si="34"/>
        <v>0</v>
      </c>
      <c r="BF39" s="265">
        <f t="shared" si="35"/>
        <v>0</v>
      </c>
      <c r="BG39" s="265">
        <f t="shared" si="36"/>
        <v>0</v>
      </c>
      <c r="BH39" s="265">
        <f t="shared" si="75"/>
        <v>0</v>
      </c>
      <c r="BI39" s="265">
        <f t="shared" si="76"/>
        <v>0</v>
      </c>
      <c r="BJ39" s="265">
        <f t="shared" si="37"/>
        <v>0</v>
      </c>
      <c r="BK39" s="265">
        <f t="shared" si="38"/>
        <v>0</v>
      </c>
      <c r="BL39" s="265">
        <f t="shared" si="39"/>
        <v>0</v>
      </c>
      <c r="BM39" s="265">
        <f t="shared" si="40"/>
        <v>0</v>
      </c>
      <c r="BN39" s="265">
        <f t="shared" si="41"/>
        <v>0</v>
      </c>
      <c r="BO39" s="265">
        <f t="shared" si="42"/>
        <v>0</v>
      </c>
      <c r="BP39" s="265">
        <f t="shared" si="77"/>
        <v>0</v>
      </c>
      <c r="BQ39" s="265">
        <f t="shared" si="78"/>
        <v>0</v>
      </c>
      <c r="BR39" s="265">
        <f t="shared" si="43"/>
        <v>0</v>
      </c>
      <c r="BS39" s="265">
        <f t="shared" si="44"/>
        <v>0</v>
      </c>
      <c r="BT39" s="265">
        <f t="shared" si="79"/>
        <v>0</v>
      </c>
      <c r="BU39" s="265">
        <f t="shared" si="80"/>
        <v>0</v>
      </c>
      <c r="BV39" s="265">
        <f t="shared" si="81"/>
        <v>0</v>
      </c>
      <c r="BW39" s="265">
        <f t="shared" si="82"/>
        <v>0</v>
      </c>
      <c r="BX39" s="265">
        <f t="shared" si="45"/>
        <v>0</v>
      </c>
      <c r="BY39" s="265">
        <f t="shared" si="46"/>
        <v>0</v>
      </c>
      <c r="BZ39" s="265">
        <f t="shared" si="47"/>
        <v>0</v>
      </c>
      <c r="CA39" s="265">
        <f t="shared" si="48"/>
        <v>0</v>
      </c>
      <c r="CB39" s="265">
        <f t="shared" si="49"/>
        <v>0</v>
      </c>
      <c r="CC39" s="265">
        <f t="shared" si="50"/>
        <v>0</v>
      </c>
      <c r="CD39" s="265">
        <f t="shared" si="83"/>
        <v>0</v>
      </c>
      <c r="CE39" s="265">
        <f t="shared" si="84"/>
        <v>0</v>
      </c>
      <c r="CF39" s="265">
        <f t="shared" si="85"/>
        <v>0</v>
      </c>
      <c r="CG39" s="265">
        <f t="shared" si="86"/>
        <v>0</v>
      </c>
      <c r="CH39" s="265">
        <f t="shared" si="51"/>
        <v>0</v>
      </c>
      <c r="CI39" s="265">
        <f t="shared" si="52"/>
        <v>0</v>
      </c>
      <c r="CJ39" s="265">
        <f t="shared" si="87"/>
        <v>0</v>
      </c>
      <c r="CK39" s="265">
        <f t="shared" si="88"/>
        <v>0</v>
      </c>
      <c r="CL39" s="265">
        <f t="shared" si="53"/>
        <v>0</v>
      </c>
      <c r="CM39" s="265">
        <f t="shared" si="54"/>
        <v>0</v>
      </c>
      <c r="CN39" s="265">
        <f t="shared" si="55"/>
        <v>0</v>
      </c>
      <c r="CO39" s="265">
        <f t="shared" si="56"/>
        <v>0</v>
      </c>
      <c r="CP39" s="265">
        <f t="shared" si="89"/>
        <v>0</v>
      </c>
      <c r="CQ39" s="265">
        <f t="shared" si="90"/>
        <v>0</v>
      </c>
      <c r="CR39" s="265">
        <f t="shared" si="91"/>
        <v>0</v>
      </c>
      <c r="CS39" s="265">
        <f t="shared" si="92"/>
        <v>0</v>
      </c>
      <c r="CT39" s="265">
        <f t="shared" si="57"/>
        <v>0</v>
      </c>
      <c r="CU39" s="265">
        <f t="shared" si="58"/>
        <v>0</v>
      </c>
      <c r="CV39" s="265">
        <f t="shared" si="59"/>
        <v>0</v>
      </c>
      <c r="CW39" s="265">
        <f t="shared" si="60"/>
        <v>0</v>
      </c>
      <c r="CX39" s="265">
        <f t="shared" si="93"/>
        <v>0</v>
      </c>
      <c r="CY39" s="265">
        <f t="shared" si="94"/>
        <v>0</v>
      </c>
      <c r="CZ39" s="265">
        <f t="shared" si="95"/>
        <v>0</v>
      </c>
      <c r="DA39" s="265">
        <f t="shared" si="96"/>
        <v>0</v>
      </c>
    </row>
    <row r="40" spans="1:105" s="262" customFormat="1" ht="15.75" customHeight="1">
      <c r="A40" s="63">
        <f t="array" aca="1" ref="A40" ca="1">IF(C40&lt;&gt;0,SUM(($C$11:C40&lt;&gt;0)*1),"")</f>
        <v>2</v>
      </c>
      <c r="B40" s="263">
        <v>42643</v>
      </c>
      <c r="C40" s="266" t="s">
        <v>113</v>
      </c>
      <c r="D40" s="266">
        <f t="shared" ref="D40:D50" si="98">B40</f>
        <v>42643</v>
      </c>
      <c r="E40" s="919" t="s">
        <v>910</v>
      </c>
      <c r="F40" s="920">
        <f ca="1">AY52</f>
        <v>0</v>
      </c>
      <c r="G40" s="921" t="s">
        <v>915</v>
      </c>
      <c r="H40" s="921" t="s">
        <v>9</v>
      </c>
      <c r="I40" s="63">
        <f t="shared" ca="1" si="97"/>
        <v>2</v>
      </c>
      <c r="J40" s="265">
        <f t="shared" si="61"/>
        <v>0</v>
      </c>
      <c r="K40" s="265">
        <f t="shared" si="62"/>
        <v>0</v>
      </c>
      <c r="L40" s="265">
        <f t="shared" si="1"/>
        <v>0</v>
      </c>
      <c r="M40" s="265">
        <f t="shared" si="2"/>
        <v>0</v>
      </c>
      <c r="N40" s="265">
        <f t="shared" si="3"/>
        <v>0</v>
      </c>
      <c r="O40" s="265">
        <f t="shared" si="4"/>
        <v>0</v>
      </c>
      <c r="P40" s="265">
        <f t="shared" si="5"/>
        <v>0</v>
      </c>
      <c r="Q40" s="265">
        <f t="shared" si="6"/>
        <v>0</v>
      </c>
      <c r="R40" s="265">
        <f t="shared" si="7"/>
        <v>0</v>
      </c>
      <c r="S40" s="265">
        <f t="shared" ca="1" si="8"/>
        <v>0</v>
      </c>
      <c r="T40" s="265">
        <f t="shared" si="9"/>
        <v>0</v>
      </c>
      <c r="U40" s="265">
        <f t="shared" si="10"/>
        <v>0</v>
      </c>
      <c r="V40" s="265">
        <f t="shared" si="11"/>
        <v>0</v>
      </c>
      <c r="W40" s="265">
        <f t="shared" si="12"/>
        <v>0</v>
      </c>
      <c r="X40" s="265">
        <f t="shared" si="13"/>
        <v>0</v>
      </c>
      <c r="Y40" s="265">
        <f t="shared" si="14"/>
        <v>0</v>
      </c>
      <c r="Z40" s="265">
        <f t="shared" si="15"/>
        <v>0</v>
      </c>
      <c r="AA40" s="265">
        <f t="shared" si="16"/>
        <v>0</v>
      </c>
      <c r="AB40" s="265">
        <f t="shared" si="63"/>
        <v>0</v>
      </c>
      <c r="AC40" s="265">
        <f t="shared" si="64"/>
        <v>0</v>
      </c>
      <c r="AD40" s="265">
        <f t="shared" si="17"/>
        <v>0</v>
      </c>
      <c r="AE40" s="265">
        <f t="shared" si="18"/>
        <v>0</v>
      </c>
      <c r="AF40" s="265">
        <f t="shared" si="19"/>
        <v>0</v>
      </c>
      <c r="AG40" s="265">
        <f t="shared" si="20"/>
        <v>0</v>
      </c>
      <c r="AH40" s="265">
        <f t="shared" si="65"/>
        <v>0</v>
      </c>
      <c r="AI40" s="265">
        <f t="shared" si="66"/>
        <v>0</v>
      </c>
      <c r="AJ40" s="265">
        <f t="shared" si="67"/>
        <v>0</v>
      </c>
      <c r="AK40" s="265">
        <f t="shared" si="68"/>
        <v>0</v>
      </c>
      <c r="AL40" s="265">
        <f t="shared" si="69"/>
        <v>0</v>
      </c>
      <c r="AM40" s="265">
        <f t="shared" si="70"/>
        <v>0</v>
      </c>
      <c r="AN40" s="265">
        <f t="shared" si="71"/>
        <v>0</v>
      </c>
      <c r="AO40" s="265">
        <f t="shared" si="72"/>
        <v>0</v>
      </c>
      <c r="AP40" s="265">
        <f t="shared" si="21"/>
        <v>0</v>
      </c>
      <c r="AQ40" s="265">
        <f t="shared" si="22"/>
        <v>0</v>
      </c>
      <c r="AR40" s="265">
        <f t="shared" si="23"/>
        <v>0</v>
      </c>
      <c r="AS40" s="265">
        <f t="shared" si="24"/>
        <v>0</v>
      </c>
      <c r="AT40" s="265">
        <f t="shared" si="73"/>
        <v>0</v>
      </c>
      <c r="AU40" s="265">
        <f t="shared" si="74"/>
        <v>0</v>
      </c>
      <c r="AV40" s="265">
        <f t="shared" si="25"/>
        <v>0</v>
      </c>
      <c r="AW40" s="265">
        <f t="shared" si="26"/>
        <v>0</v>
      </c>
      <c r="AX40" s="265">
        <f t="shared" ca="1" si="27"/>
        <v>0</v>
      </c>
      <c r="AY40" s="265">
        <f t="shared" si="28"/>
        <v>0</v>
      </c>
      <c r="AZ40" s="265">
        <f t="shared" si="29"/>
        <v>0</v>
      </c>
      <c r="BA40" s="265">
        <f t="shared" si="30"/>
        <v>0</v>
      </c>
      <c r="BB40" s="265">
        <f t="shared" si="31"/>
        <v>0</v>
      </c>
      <c r="BC40" s="265">
        <f t="shared" si="32"/>
        <v>0</v>
      </c>
      <c r="BD40" s="265">
        <f t="shared" si="33"/>
        <v>0</v>
      </c>
      <c r="BE40" s="265">
        <f t="shared" si="34"/>
        <v>0</v>
      </c>
      <c r="BF40" s="265">
        <f t="shared" si="35"/>
        <v>0</v>
      </c>
      <c r="BG40" s="265">
        <f t="shared" si="36"/>
        <v>0</v>
      </c>
      <c r="BH40" s="265">
        <f t="shared" si="75"/>
        <v>0</v>
      </c>
      <c r="BI40" s="265">
        <f t="shared" si="76"/>
        <v>0</v>
      </c>
      <c r="BJ40" s="265">
        <f t="shared" si="37"/>
        <v>0</v>
      </c>
      <c r="BK40" s="265">
        <f t="shared" si="38"/>
        <v>0</v>
      </c>
      <c r="BL40" s="265">
        <f t="shared" si="39"/>
        <v>0</v>
      </c>
      <c r="BM40" s="265">
        <f t="shared" si="40"/>
        <v>0</v>
      </c>
      <c r="BN40" s="265">
        <f t="shared" si="41"/>
        <v>0</v>
      </c>
      <c r="BO40" s="265">
        <f t="shared" si="42"/>
        <v>0</v>
      </c>
      <c r="BP40" s="265">
        <f t="shared" si="77"/>
        <v>0</v>
      </c>
      <c r="BQ40" s="265">
        <f t="shared" si="78"/>
        <v>0</v>
      </c>
      <c r="BR40" s="265">
        <f t="shared" si="43"/>
        <v>0</v>
      </c>
      <c r="BS40" s="265">
        <f t="shared" si="44"/>
        <v>0</v>
      </c>
      <c r="BT40" s="265">
        <f t="shared" si="79"/>
        <v>0</v>
      </c>
      <c r="BU40" s="265">
        <f t="shared" si="80"/>
        <v>0</v>
      </c>
      <c r="BV40" s="265">
        <f t="shared" si="81"/>
        <v>0</v>
      </c>
      <c r="BW40" s="265">
        <f t="shared" si="82"/>
        <v>0</v>
      </c>
      <c r="BX40" s="265">
        <f t="shared" si="45"/>
        <v>0</v>
      </c>
      <c r="BY40" s="265">
        <f t="shared" si="46"/>
        <v>0</v>
      </c>
      <c r="BZ40" s="265">
        <f t="shared" si="47"/>
        <v>0</v>
      </c>
      <c r="CA40" s="265">
        <f t="shared" si="48"/>
        <v>0</v>
      </c>
      <c r="CB40" s="265">
        <f t="shared" si="49"/>
        <v>0</v>
      </c>
      <c r="CC40" s="265">
        <f t="shared" si="50"/>
        <v>0</v>
      </c>
      <c r="CD40" s="265">
        <f t="shared" si="83"/>
        <v>0</v>
      </c>
      <c r="CE40" s="265">
        <f t="shared" si="84"/>
        <v>0</v>
      </c>
      <c r="CF40" s="265">
        <f t="shared" si="85"/>
        <v>0</v>
      </c>
      <c r="CG40" s="265">
        <f t="shared" si="86"/>
        <v>0</v>
      </c>
      <c r="CH40" s="265">
        <f t="shared" si="51"/>
        <v>0</v>
      </c>
      <c r="CI40" s="265">
        <f t="shared" si="52"/>
        <v>0</v>
      </c>
      <c r="CJ40" s="265">
        <f t="shared" si="87"/>
        <v>0</v>
      </c>
      <c r="CK40" s="265">
        <f t="shared" si="88"/>
        <v>0</v>
      </c>
      <c r="CL40" s="265">
        <f t="shared" si="53"/>
        <v>0</v>
      </c>
      <c r="CM40" s="265">
        <f t="shared" si="54"/>
        <v>0</v>
      </c>
      <c r="CN40" s="265">
        <f t="shared" si="55"/>
        <v>0</v>
      </c>
      <c r="CO40" s="265">
        <f t="shared" si="56"/>
        <v>0</v>
      </c>
      <c r="CP40" s="265">
        <f t="shared" si="89"/>
        <v>0</v>
      </c>
      <c r="CQ40" s="265">
        <f t="shared" si="90"/>
        <v>0</v>
      </c>
      <c r="CR40" s="265">
        <f t="shared" si="91"/>
        <v>0</v>
      </c>
      <c r="CS40" s="265">
        <f t="shared" si="92"/>
        <v>0</v>
      </c>
      <c r="CT40" s="265">
        <f t="shared" si="57"/>
        <v>0</v>
      </c>
      <c r="CU40" s="265">
        <f t="shared" si="58"/>
        <v>0</v>
      </c>
      <c r="CV40" s="265">
        <f t="shared" si="59"/>
        <v>0</v>
      </c>
      <c r="CW40" s="265">
        <f t="shared" si="60"/>
        <v>0</v>
      </c>
      <c r="CX40" s="265">
        <f t="shared" si="93"/>
        <v>0</v>
      </c>
      <c r="CY40" s="265">
        <f t="shared" si="94"/>
        <v>0</v>
      </c>
      <c r="CZ40" s="265">
        <f t="shared" si="95"/>
        <v>0</v>
      </c>
      <c r="DA40" s="265">
        <f t="shared" si="96"/>
        <v>0</v>
      </c>
    </row>
    <row r="41" spans="1:105" s="262" customFormat="1" ht="15.75" customHeight="1">
      <c r="A41" s="63">
        <f t="array" aca="1" ref="A41" ca="1">IF(C41&lt;&gt;0,SUM(($C$11:C41&lt;&gt;0)*1),"")</f>
        <v>3</v>
      </c>
      <c r="B41" s="263">
        <v>42643</v>
      </c>
      <c r="C41" s="266" t="s">
        <v>113</v>
      </c>
      <c r="D41" s="266">
        <f t="shared" si="98"/>
        <v>42643</v>
      </c>
      <c r="E41" s="919" t="s">
        <v>911</v>
      </c>
      <c r="F41" s="920">
        <f ca="1">CL52</f>
        <v>0</v>
      </c>
      <c r="G41" s="921" t="s">
        <v>107</v>
      </c>
      <c r="H41" s="921" t="s">
        <v>288</v>
      </c>
      <c r="I41" s="63">
        <f t="shared" ca="1" si="97"/>
        <v>3</v>
      </c>
      <c r="J41" s="265">
        <f t="shared" si="61"/>
        <v>0</v>
      </c>
      <c r="K41" s="265">
        <f t="shared" si="62"/>
        <v>0</v>
      </c>
      <c r="L41" s="265">
        <f t="shared" si="1"/>
        <v>0</v>
      </c>
      <c r="M41" s="265">
        <f t="shared" si="2"/>
        <v>0</v>
      </c>
      <c r="N41" s="265">
        <f t="shared" si="3"/>
        <v>0</v>
      </c>
      <c r="O41" s="265">
        <f t="shared" si="4"/>
        <v>0</v>
      </c>
      <c r="P41" s="265">
        <f t="shared" si="5"/>
        <v>0</v>
      </c>
      <c r="Q41" s="265">
        <f t="shared" si="6"/>
        <v>0</v>
      </c>
      <c r="R41" s="265">
        <f t="shared" si="7"/>
        <v>0</v>
      </c>
      <c r="S41" s="265">
        <f t="shared" si="8"/>
        <v>0</v>
      </c>
      <c r="T41" s="265">
        <f t="shared" si="9"/>
        <v>0</v>
      </c>
      <c r="U41" s="265">
        <f t="shared" si="10"/>
        <v>0</v>
      </c>
      <c r="V41" s="265">
        <f t="shared" si="11"/>
        <v>0</v>
      </c>
      <c r="W41" s="265">
        <f t="shared" si="12"/>
        <v>0</v>
      </c>
      <c r="X41" s="265">
        <f t="shared" si="13"/>
        <v>0</v>
      </c>
      <c r="Y41" s="265">
        <f t="shared" si="14"/>
        <v>0</v>
      </c>
      <c r="Z41" s="265">
        <f t="shared" si="15"/>
        <v>0</v>
      </c>
      <c r="AA41" s="265">
        <f t="shared" si="16"/>
        <v>0</v>
      </c>
      <c r="AB41" s="265">
        <f t="shared" si="63"/>
        <v>0</v>
      </c>
      <c r="AC41" s="265">
        <f t="shared" si="64"/>
        <v>0</v>
      </c>
      <c r="AD41" s="265">
        <f t="shared" si="17"/>
        <v>0</v>
      </c>
      <c r="AE41" s="265">
        <f t="shared" si="18"/>
        <v>0</v>
      </c>
      <c r="AF41" s="265">
        <f t="shared" si="19"/>
        <v>0</v>
      </c>
      <c r="AG41" s="265">
        <f t="shared" si="20"/>
        <v>0</v>
      </c>
      <c r="AH41" s="265">
        <f t="shared" si="65"/>
        <v>0</v>
      </c>
      <c r="AI41" s="265">
        <f t="shared" si="66"/>
        <v>0</v>
      </c>
      <c r="AJ41" s="265">
        <f t="shared" si="67"/>
        <v>0</v>
      </c>
      <c r="AK41" s="265">
        <f t="shared" si="68"/>
        <v>0</v>
      </c>
      <c r="AL41" s="265">
        <f t="shared" si="69"/>
        <v>0</v>
      </c>
      <c r="AM41" s="265">
        <f t="shared" si="70"/>
        <v>0</v>
      </c>
      <c r="AN41" s="265">
        <f t="shared" si="71"/>
        <v>0</v>
      </c>
      <c r="AO41" s="265">
        <f t="shared" si="72"/>
        <v>0</v>
      </c>
      <c r="AP41" s="265">
        <f t="shared" si="21"/>
        <v>0</v>
      </c>
      <c r="AQ41" s="265">
        <f t="shared" si="22"/>
        <v>0</v>
      </c>
      <c r="AR41" s="265">
        <f t="shared" si="23"/>
        <v>0</v>
      </c>
      <c r="AS41" s="265">
        <f t="shared" si="24"/>
        <v>0</v>
      </c>
      <c r="AT41" s="265">
        <f t="shared" si="73"/>
        <v>0</v>
      </c>
      <c r="AU41" s="265">
        <f t="shared" si="74"/>
        <v>0</v>
      </c>
      <c r="AV41" s="265">
        <f t="shared" si="25"/>
        <v>0</v>
      </c>
      <c r="AW41" s="265">
        <f t="shared" si="26"/>
        <v>0</v>
      </c>
      <c r="AX41" s="265">
        <f t="shared" si="27"/>
        <v>0</v>
      </c>
      <c r="AY41" s="265">
        <f t="shared" si="28"/>
        <v>0</v>
      </c>
      <c r="AZ41" s="265">
        <f t="shared" si="29"/>
        <v>0</v>
      </c>
      <c r="BA41" s="265">
        <f t="shared" si="30"/>
        <v>0</v>
      </c>
      <c r="BB41" s="265">
        <f t="shared" si="31"/>
        <v>0</v>
      </c>
      <c r="BC41" s="265">
        <f t="shared" si="32"/>
        <v>0</v>
      </c>
      <c r="BD41" s="265">
        <f t="shared" si="33"/>
        <v>0</v>
      </c>
      <c r="BE41" s="265">
        <f t="shared" si="34"/>
        <v>0</v>
      </c>
      <c r="BF41" s="265">
        <f t="shared" si="35"/>
        <v>0</v>
      </c>
      <c r="BG41" s="265">
        <f t="shared" si="36"/>
        <v>0</v>
      </c>
      <c r="BH41" s="265">
        <f t="shared" si="75"/>
        <v>0</v>
      </c>
      <c r="BI41" s="265">
        <f t="shared" si="76"/>
        <v>0</v>
      </c>
      <c r="BJ41" s="265">
        <f t="shared" si="37"/>
        <v>0</v>
      </c>
      <c r="BK41" s="265">
        <f t="shared" si="38"/>
        <v>0</v>
      </c>
      <c r="BL41" s="265">
        <f t="shared" si="39"/>
        <v>0</v>
      </c>
      <c r="BM41" s="265">
        <f t="shared" si="40"/>
        <v>0</v>
      </c>
      <c r="BN41" s="265">
        <f t="shared" si="41"/>
        <v>0</v>
      </c>
      <c r="BO41" s="265">
        <f t="shared" si="42"/>
        <v>0</v>
      </c>
      <c r="BP41" s="265">
        <f t="shared" si="77"/>
        <v>0</v>
      </c>
      <c r="BQ41" s="265">
        <f t="shared" si="78"/>
        <v>0</v>
      </c>
      <c r="BR41" s="265">
        <f t="shared" si="43"/>
        <v>0</v>
      </c>
      <c r="BS41" s="265">
        <f t="shared" si="44"/>
        <v>0</v>
      </c>
      <c r="BT41" s="265">
        <f t="shared" si="79"/>
        <v>0</v>
      </c>
      <c r="BU41" s="265">
        <f t="shared" si="80"/>
        <v>0</v>
      </c>
      <c r="BV41" s="265">
        <f t="shared" si="81"/>
        <v>0</v>
      </c>
      <c r="BW41" s="265">
        <f t="shared" si="82"/>
        <v>0</v>
      </c>
      <c r="BX41" s="265">
        <f t="shared" si="45"/>
        <v>0</v>
      </c>
      <c r="BY41" s="265">
        <f t="shared" si="46"/>
        <v>0</v>
      </c>
      <c r="BZ41" s="265">
        <f t="shared" si="47"/>
        <v>0</v>
      </c>
      <c r="CA41" s="265">
        <f t="shared" si="48"/>
        <v>0</v>
      </c>
      <c r="CB41" s="265">
        <f t="shared" si="49"/>
        <v>0</v>
      </c>
      <c r="CC41" s="265">
        <f t="shared" si="50"/>
        <v>0</v>
      </c>
      <c r="CD41" s="265">
        <f t="shared" si="83"/>
        <v>0</v>
      </c>
      <c r="CE41" s="265">
        <f t="shared" si="84"/>
        <v>0</v>
      </c>
      <c r="CF41" s="265">
        <f t="shared" si="85"/>
        <v>0</v>
      </c>
      <c r="CG41" s="265">
        <f t="shared" si="86"/>
        <v>0</v>
      </c>
      <c r="CH41" s="265">
        <f t="shared" si="51"/>
        <v>0</v>
      </c>
      <c r="CI41" s="265">
        <f t="shared" si="52"/>
        <v>0</v>
      </c>
      <c r="CJ41" s="265">
        <f t="shared" si="87"/>
        <v>0</v>
      </c>
      <c r="CK41" s="265">
        <f t="shared" si="88"/>
        <v>0</v>
      </c>
      <c r="CL41" s="265">
        <f t="shared" si="53"/>
        <v>0</v>
      </c>
      <c r="CM41" s="265">
        <f t="shared" ca="1" si="54"/>
        <v>0</v>
      </c>
      <c r="CN41" s="265">
        <f t="shared" si="55"/>
        <v>0</v>
      </c>
      <c r="CO41" s="265">
        <f t="shared" si="56"/>
        <v>0</v>
      </c>
      <c r="CP41" s="265">
        <f t="shared" si="89"/>
        <v>0</v>
      </c>
      <c r="CQ41" s="265">
        <f t="shared" si="90"/>
        <v>0</v>
      </c>
      <c r="CR41" s="265">
        <f t="shared" si="91"/>
        <v>0</v>
      </c>
      <c r="CS41" s="265">
        <f t="shared" si="92"/>
        <v>0</v>
      </c>
      <c r="CT41" s="265">
        <f t="shared" si="57"/>
        <v>0</v>
      </c>
      <c r="CU41" s="265">
        <f t="shared" si="58"/>
        <v>0</v>
      </c>
      <c r="CV41" s="265">
        <f t="shared" si="59"/>
        <v>0</v>
      </c>
      <c r="CW41" s="265">
        <f t="shared" si="60"/>
        <v>0</v>
      </c>
      <c r="CX41" s="265">
        <f t="shared" si="93"/>
        <v>0</v>
      </c>
      <c r="CY41" s="265">
        <f t="shared" si="94"/>
        <v>0</v>
      </c>
      <c r="CZ41" s="265">
        <f t="shared" ca="1" si="95"/>
        <v>0</v>
      </c>
      <c r="DA41" s="265">
        <f t="shared" si="96"/>
        <v>0</v>
      </c>
    </row>
    <row r="42" spans="1:105" s="262" customFormat="1" ht="15.75" customHeight="1">
      <c r="A42" s="63">
        <f t="array" aca="1" ref="A42" ca="1">IF(C42&lt;&gt;0,SUM(($C$11:C42&lt;&gt;0)*1),"")</f>
        <v>4</v>
      </c>
      <c r="B42" s="263">
        <v>42643</v>
      </c>
      <c r="C42" s="266" t="s">
        <v>113</v>
      </c>
      <c r="D42" s="266">
        <f t="shared" si="98"/>
        <v>42643</v>
      </c>
      <c r="E42" s="919" t="s">
        <v>114</v>
      </c>
      <c r="F42" s="920">
        <f ca="1">CN52</f>
        <v>0</v>
      </c>
      <c r="G42" s="921" t="s">
        <v>107</v>
      </c>
      <c r="H42" s="921" t="s">
        <v>97</v>
      </c>
      <c r="I42" s="63">
        <f t="shared" ca="1" si="97"/>
        <v>4</v>
      </c>
      <c r="J42" s="265">
        <f t="shared" si="61"/>
        <v>0</v>
      </c>
      <c r="K42" s="265">
        <f t="shared" si="62"/>
        <v>0</v>
      </c>
      <c r="L42" s="265">
        <f t="shared" si="1"/>
        <v>0</v>
      </c>
      <c r="M42" s="265">
        <f t="shared" si="2"/>
        <v>0</v>
      </c>
      <c r="N42" s="265">
        <f t="shared" si="3"/>
        <v>0</v>
      </c>
      <c r="O42" s="265">
        <f t="shared" si="4"/>
        <v>0</v>
      </c>
      <c r="P42" s="265">
        <f t="shared" si="5"/>
        <v>0</v>
      </c>
      <c r="Q42" s="265">
        <f t="shared" si="6"/>
        <v>0</v>
      </c>
      <c r="R42" s="265">
        <f t="shared" si="7"/>
        <v>0</v>
      </c>
      <c r="S42" s="265">
        <f t="shared" si="8"/>
        <v>0</v>
      </c>
      <c r="T42" s="265">
        <f t="shared" si="9"/>
        <v>0</v>
      </c>
      <c r="U42" s="265">
        <f t="shared" si="10"/>
        <v>0</v>
      </c>
      <c r="V42" s="265">
        <f t="shared" si="11"/>
        <v>0</v>
      </c>
      <c r="W42" s="265">
        <f t="shared" si="12"/>
        <v>0</v>
      </c>
      <c r="X42" s="265">
        <f t="shared" si="13"/>
        <v>0</v>
      </c>
      <c r="Y42" s="265">
        <f t="shared" si="14"/>
        <v>0</v>
      </c>
      <c r="Z42" s="265">
        <f t="shared" si="15"/>
        <v>0</v>
      </c>
      <c r="AA42" s="265">
        <f t="shared" si="16"/>
        <v>0</v>
      </c>
      <c r="AB42" s="265">
        <f t="shared" si="63"/>
        <v>0</v>
      </c>
      <c r="AC42" s="265">
        <f t="shared" si="64"/>
        <v>0</v>
      </c>
      <c r="AD42" s="265">
        <f t="shared" si="17"/>
        <v>0</v>
      </c>
      <c r="AE42" s="265">
        <f t="shared" si="18"/>
        <v>0</v>
      </c>
      <c r="AF42" s="265">
        <f t="shared" si="19"/>
        <v>0</v>
      </c>
      <c r="AG42" s="265">
        <f t="shared" si="20"/>
        <v>0</v>
      </c>
      <c r="AH42" s="265">
        <f t="shared" si="65"/>
        <v>0</v>
      </c>
      <c r="AI42" s="265">
        <f t="shared" si="66"/>
        <v>0</v>
      </c>
      <c r="AJ42" s="265">
        <f t="shared" si="67"/>
        <v>0</v>
      </c>
      <c r="AK42" s="265">
        <f t="shared" si="68"/>
        <v>0</v>
      </c>
      <c r="AL42" s="265">
        <f t="shared" si="69"/>
        <v>0</v>
      </c>
      <c r="AM42" s="265">
        <f t="shared" si="70"/>
        <v>0</v>
      </c>
      <c r="AN42" s="265">
        <f t="shared" si="71"/>
        <v>0</v>
      </c>
      <c r="AO42" s="265">
        <f t="shared" si="72"/>
        <v>0</v>
      </c>
      <c r="AP42" s="265">
        <f t="shared" si="21"/>
        <v>0</v>
      </c>
      <c r="AQ42" s="265">
        <f t="shared" si="22"/>
        <v>0</v>
      </c>
      <c r="AR42" s="265">
        <f t="shared" si="23"/>
        <v>0</v>
      </c>
      <c r="AS42" s="265">
        <f t="shared" si="24"/>
        <v>0</v>
      </c>
      <c r="AT42" s="265">
        <f t="shared" si="73"/>
        <v>0</v>
      </c>
      <c r="AU42" s="265">
        <f t="shared" si="74"/>
        <v>0</v>
      </c>
      <c r="AV42" s="265">
        <f t="shared" si="25"/>
        <v>0</v>
      </c>
      <c r="AW42" s="265">
        <f t="shared" si="26"/>
        <v>0</v>
      </c>
      <c r="AX42" s="265">
        <f t="shared" si="27"/>
        <v>0</v>
      </c>
      <c r="AY42" s="265">
        <f t="shared" si="28"/>
        <v>0</v>
      </c>
      <c r="AZ42" s="265">
        <f t="shared" si="29"/>
        <v>0</v>
      </c>
      <c r="BA42" s="265">
        <f t="shared" si="30"/>
        <v>0</v>
      </c>
      <c r="BB42" s="265">
        <f t="shared" si="31"/>
        <v>0</v>
      </c>
      <c r="BC42" s="265">
        <f t="shared" si="32"/>
        <v>0</v>
      </c>
      <c r="BD42" s="265">
        <f t="shared" si="33"/>
        <v>0</v>
      </c>
      <c r="BE42" s="265">
        <f t="shared" si="34"/>
        <v>0</v>
      </c>
      <c r="BF42" s="265">
        <f t="shared" si="35"/>
        <v>0</v>
      </c>
      <c r="BG42" s="265">
        <f t="shared" si="36"/>
        <v>0</v>
      </c>
      <c r="BH42" s="265">
        <f t="shared" si="75"/>
        <v>0</v>
      </c>
      <c r="BI42" s="265">
        <f t="shared" si="76"/>
        <v>0</v>
      </c>
      <c r="BJ42" s="265">
        <f t="shared" si="37"/>
        <v>0</v>
      </c>
      <c r="BK42" s="265">
        <f t="shared" si="38"/>
        <v>0</v>
      </c>
      <c r="BL42" s="265">
        <f t="shared" si="39"/>
        <v>0</v>
      </c>
      <c r="BM42" s="265">
        <f t="shared" si="40"/>
        <v>0</v>
      </c>
      <c r="BN42" s="265">
        <f t="shared" si="41"/>
        <v>0</v>
      </c>
      <c r="BO42" s="265">
        <f t="shared" si="42"/>
        <v>0</v>
      </c>
      <c r="BP42" s="265">
        <f t="shared" si="77"/>
        <v>0</v>
      </c>
      <c r="BQ42" s="265">
        <f t="shared" si="78"/>
        <v>0</v>
      </c>
      <c r="BR42" s="265">
        <f t="shared" si="43"/>
        <v>0</v>
      </c>
      <c r="BS42" s="265">
        <f t="shared" si="44"/>
        <v>0</v>
      </c>
      <c r="BT42" s="265">
        <f t="shared" si="79"/>
        <v>0</v>
      </c>
      <c r="BU42" s="265">
        <f t="shared" si="80"/>
        <v>0</v>
      </c>
      <c r="BV42" s="265">
        <f t="shared" si="81"/>
        <v>0</v>
      </c>
      <c r="BW42" s="265">
        <f t="shared" si="82"/>
        <v>0</v>
      </c>
      <c r="BX42" s="265">
        <f t="shared" si="45"/>
        <v>0</v>
      </c>
      <c r="BY42" s="265">
        <f t="shared" si="46"/>
        <v>0</v>
      </c>
      <c r="BZ42" s="265">
        <f t="shared" si="47"/>
        <v>0</v>
      </c>
      <c r="CA42" s="265">
        <f t="shared" si="48"/>
        <v>0</v>
      </c>
      <c r="CB42" s="265">
        <f t="shared" si="49"/>
        <v>0</v>
      </c>
      <c r="CC42" s="265">
        <f t="shared" si="50"/>
        <v>0</v>
      </c>
      <c r="CD42" s="265">
        <f t="shared" si="83"/>
        <v>0</v>
      </c>
      <c r="CE42" s="265">
        <f t="shared" si="84"/>
        <v>0</v>
      </c>
      <c r="CF42" s="265">
        <f t="shared" si="85"/>
        <v>0</v>
      </c>
      <c r="CG42" s="265">
        <f t="shared" si="86"/>
        <v>0</v>
      </c>
      <c r="CH42" s="265">
        <f t="shared" si="51"/>
        <v>0</v>
      </c>
      <c r="CI42" s="265">
        <f t="shared" si="52"/>
        <v>0</v>
      </c>
      <c r="CJ42" s="265">
        <f t="shared" si="87"/>
        <v>0</v>
      </c>
      <c r="CK42" s="265">
        <f t="shared" si="88"/>
        <v>0</v>
      </c>
      <c r="CL42" s="265">
        <f t="shared" si="53"/>
        <v>0</v>
      </c>
      <c r="CM42" s="265">
        <f t="shared" si="54"/>
        <v>0</v>
      </c>
      <c r="CN42" s="265">
        <f t="shared" si="55"/>
        <v>0</v>
      </c>
      <c r="CO42" s="265">
        <f t="shared" ca="1" si="56"/>
        <v>0</v>
      </c>
      <c r="CP42" s="265">
        <f t="shared" si="89"/>
        <v>0</v>
      </c>
      <c r="CQ42" s="265">
        <f t="shared" si="90"/>
        <v>0</v>
      </c>
      <c r="CR42" s="265">
        <f t="shared" si="91"/>
        <v>0</v>
      </c>
      <c r="CS42" s="265">
        <f t="shared" si="92"/>
        <v>0</v>
      </c>
      <c r="CT42" s="265">
        <f t="shared" si="57"/>
        <v>0</v>
      </c>
      <c r="CU42" s="265">
        <f t="shared" si="58"/>
        <v>0</v>
      </c>
      <c r="CV42" s="265">
        <f t="shared" si="59"/>
        <v>0</v>
      </c>
      <c r="CW42" s="265">
        <f t="shared" si="60"/>
        <v>0</v>
      </c>
      <c r="CX42" s="265">
        <f t="shared" si="93"/>
        <v>0</v>
      </c>
      <c r="CY42" s="265">
        <f t="shared" si="94"/>
        <v>0</v>
      </c>
      <c r="CZ42" s="265">
        <f t="shared" ca="1" si="95"/>
        <v>0</v>
      </c>
      <c r="DA42" s="265">
        <f t="shared" si="96"/>
        <v>0</v>
      </c>
    </row>
    <row r="43" spans="1:105" s="262" customFormat="1" ht="15.75" customHeight="1">
      <c r="A43" s="63">
        <f t="array" aca="1" ref="A43" ca="1">IF(C43&lt;&gt;0,SUM(($C$11:C43&lt;&gt;0)*1),"")</f>
        <v>5</v>
      </c>
      <c r="B43" s="263">
        <v>42643</v>
      </c>
      <c r="C43" s="266" t="s">
        <v>113</v>
      </c>
      <c r="D43" s="266">
        <f t="shared" si="98"/>
        <v>42643</v>
      </c>
      <c r="E43" s="919" t="s">
        <v>912</v>
      </c>
      <c r="F43" s="920">
        <f ca="1">CP52</f>
        <v>0</v>
      </c>
      <c r="G43" s="921" t="s">
        <v>107</v>
      </c>
      <c r="H43" s="921" t="s">
        <v>579</v>
      </c>
      <c r="I43" s="63">
        <f t="shared" ca="1" si="97"/>
        <v>5</v>
      </c>
      <c r="J43" s="265">
        <f t="shared" si="61"/>
        <v>0</v>
      </c>
      <c r="K43" s="265">
        <f t="shared" si="62"/>
        <v>0</v>
      </c>
      <c r="L43" s="265">
        <f t="shared" si="1"/>
        <v>0</v>
      </c>
      <c r="M43" s="265">
        <f t="shared" si="2"/>
        <v>0</v>
      </c>
      <c r="N43" s="265">
        <f t="shared" si="3"/>
        <v>0</v>
      </c>
      <c r="O43" s="265">
        <f t="shared" si="4"/>
        <v>0</v>
      </c>
      <c r="P43" s="265">
        <f t="shared" si="5"/>
        <v>0</v>
      </c>
      <c r="Q43" s="265">
        <f t="shared" si="6"/>
        <v>0</v>
      </c>
      <c r="R43" s="265">
        <f t="shared" si="7"/>
        <v>0</v>
      </c>
      <c r="S43" s="265">
        <f t="shared" si="8"/>
        <v>0</v>
      </c>
      <c r="T43" s="265">
        <f t="shared" si="9"/>
        <v>0</v>
      </c>
      <c r="U43" s="265">
        <f t="shared" si="10"/>
        <v>0</v>
      </c>
      <c r="V43" s="265">
        <f t="shared" si="11"/>
        <v>0</v>
      </c>
      <c r="W43" s="265">
        <f t="shared" si="12"/>
        <v>0</v>
      </c>
      <c r="X43" s="265">
        <f t="shared" si="13"/>
        <v>0</v>
      </c>
      <c r="Y43" s="265">
        <f t="shared" si="14"/>
        <v>0</v>
      </c>
      <c r="Z43" s="265">
        <f t="shared" si="15"/>
        <v>0</v>
      </c>
      <c r="AA43" s="265">
        <f t="shared" si="16"/>
        <v>0</v>
      </c>
      <c r="AB43" s="265">
        <f t="shared" si="63"/>
        <v>0</v>
      </c>
      <c r="AC43" s="265">
        <f t="shared" si="64"/>
        <v>0</v>
      </c>
      <c r="AD43" s="265">
        <f t="shared" si="17"/>
        <v>0</v>
      </c>
      <c r="AE43" s="265">
        <f t="shared" si="18"/>
        <v>0</v>
      </c>
      <c r="AF43" s="265">
        <f t="shared" si="19"/>
        <v>0</v>
      </c>
      <c r="AG43" s="265">
        <f t="shared" si="20"/>
        <v>0</v>
      </c>
      <c r="AH43" s="265">
        <f t="shared" si="65"/>
        <v>0</v>
      </c>
      <c r="AI43" s="265">
        <f t="shared" si="66"/>
        <v>0</v>
      </c>
      <c r="AJ43" s="265">
        <f t="shared" si="67"/>
        <v>0</v>
      </c>
      <c r="AK43" s="265">
        <f t="shared" si="68"/>
        <v>0</v>
      </c>
      <c r="AL43" s="265">
        <f t="shared" si="69"/>
        <v>0</v>
      </c>
      <c r="AM43" s="265">
        <f t="shared" si="70"/>
        <v>0</v>
      </c>
      <c r="AN43" s="265">
        <f t="shared" si="71"/>
        <v>0</v>
      </c>
      <c r="AO43" s="265">
        <f t="shared" si="72"/>
        <v>0</v>
      </c>
      <c r="AP43" s="265">
        <f t="shared" si="21"/>
        <v>0</v>
      </c>
      <c r="AQ43" s="265">
        <f t="shared" si="22"/>
        <v>0</v>
      </c>
      <c r="AR43" s="265">
        <f t="shared" si="23"/>
        <v>0</v>
      </c>
      <c r="AS43" s="265">
        <f t="shared" si="24"/>
        <v>0</v>
      </c>
      <c r="AT43" s="265">
        <f t="shared" si="73"/>
        <v>0</v>
      </c>
      <c r="AU43" s="265">
        <f t="shared" si="74"/>
        <v>0</v>
      </c>
      <c r="AV43" s="265">
        <f t="shared" si="25"/>
        <v>0</v>
      </c>
      <c r="AW43" s="265">
        <f t="shared" si="26"/>
        <v>0</v>
      </c>
      <c r="AX43" s="265">
        <f t="shared" si="27"/>
        <v>0</v>
      </c>
      <c r="AY43" s="265">
        <f t="shared" si="28"/>
        <v>0</v>
      </c>
      <c r="AZ43" s="265">
        <f t="shared" si="29"/>
        <v>0</v>
      </c>
      <c r="BA43" s="265">
        <f t="shared" si="30"/>
        <v>0</v>
      </c>
      <c r="BB43" s="265">
        <f t="shared" si="31"/>
        <v>0</v>
      </c>
      <c r="BC43" s="265">
        <f t="shared" si="32"/>
        <v>0</v>
      </c>
      <c r="BD43" s="265">
        <f t="shared" si="33"/>
        <v>0</v>
      </c>
      <c r="BE43" s="265">
        <f t="shared" si="34"/>
        <v>0</v>
      </c>
      <c r="BF43" s="265">
        <f t="shared" si="35"/>
        <v>0</v>
      </c>
      <c r="BG43" s="265">
        <f t="shared" si="36"/>
        <v>0</v>
      </c>
      <c r="BH43" s="265">
        <f t="shared" si="75"/>
        <v>0</v>
      </c>
      <c r="BI43" s="265">
        <f t="shared" si="76"/>
        <v>0</v>
      </c>
      <c r="BJ43" s="265">
        <f t="shared" si="37"/>
        <v>0</v>
      </c>
      <c r="BK43" s="265">
        <f t="shared" si="38"/>
        <v>0</v>
      </c>
      <c r="BL43" s="265">
        <f t="shared" si="39"/>
        <v>0</v>
      </c>
      <c r="BM43" s="265">
        <f t="shared" si="40"/>
        <v>0</v>
      </c>
      <c r="BN43" s="265">
        <f t="shared" si="41"/>
        <v>0</v>
      </c>
      <c r="BO43" s="265">
        <f t="shared" si="42"/>
        <v>0</v>
      </c>
      <c r="BP43" s="265">
        <f t="shared" si="77"/>
        <v>0</v>
      </c>
      <c r="BQ43" s="265">
        <f t="shared" si="78"/>
        <v>0</v>
      </c>
      <c r="BR43" s="265">
        <f t="shared" si="43"/>
        <v>0</v>
      </c>
      <c r="BS43" s="265">
        <f t="shared" si="44"/>
        <v>0</v>
      </c>
      <c r="BT43" s="265">
        <f t="shared" si="79"/>
        <v>0</v>
      </c>
      <c r="BU43" s="265">
        <f t="shared" si="80"/>
        <v>0</v>
      </c>
      <c r="BV43" s="265">
        <f t="shared" si="81"/>
        <v>0</v>
      </c>
      <c r="BW43" s="265">
        <f t="shared" si="82"/>
        <v>0</v>
      </c>
      <c r="BX43" s="265">
        <f t="shared" si="45"/>
        <v>0</v>
      </c>
      <c r="BY43" s="265">
        <f t="shared" si="46"/>
        <v>0</v>
      </c>
      <c r="BZ43" s="265">
        <f t="shared" si="47"/>
        <v>0</v>
      </c>
      <c r="CA43" s="265">
        <f t="shared" si="48"/>
        <v>0</v>
      </c>
      <c r="CB43" s="265">
        <f t="shared" si="49"/>
        <v>0</v>
      </c>
      <c r="CC43" s="265">
        <f t="shared" si="50"/>
        <v>0</v>
      </c>
      <c r="CD43" s="265">
        <f t="shared" si="83"/>
        <v>0</v>
      </c>
      <c r="CE43" s="265">
        <f t="shared" si="84"/>
        <v>0</v>
      </c>
      <c r="CF43" s="265">
        <f t="shared" si="85"/>
        <v>0</v>
      </c>
      <c r="CG43" s="265">
        <f t="shared" si="86"/>
        <v>0</v>
      </c>
      <c r="CH43" s="265">
        <f t="shared" si="51"/>
        <v>0</v>
      </c>
      <c r="CI43" s="265">
        <f t="shared" si="52"/>
        <v>0</v>
      </c>
      <c r="CJ43" s="265">
        <f t="shared" si="87"/>
        <v>0</v>
      </c>
      <c r="CK43" s="265">
        <f t="shared" si="88"/>
        <v>0</v>
      </c>
      <c r="CL43" s="265">
        <f t="shared" si="53"/>
        <v>0</v>
      </c>
      <c r="CM43" s="265">
        <f t="shared" si="54"/>
        <v>0</v>
      </c>
      <c r="CN43" s="265">
        <f t="shared" si="55"/>
        <v>0</v>
      </c>
      <c r="CO43" s="265">
        <f t="shared" si="56"/>
        <v>0</v>
      </c>
      <c r="CP43" s="265">
        <f t="shared" si="89"/>
        <v>0</v>
      </c>
      <c r="CQ43" s="265">
        <f t="shared" ca="1" si="90"/>
        <v>0</v>
      </c>
      <c r="CR43" s="265">
        <f t="shared" si="91"/>
        <v>0</v>
      </c>
      <c r="CS43" s="265">
        <f t="shared" si="92"/>
        <v>0</v>
      </c>
      <c r="CT43" s="265">
        <f t="shared" si="57"/>
        <v>0</v>
      </c>
      <c r="CU43" s="265">
        <f t="shared" si="58"/>
        <v>0</v>
      </c>
      <c r="CV43" s="265">
        <f t="shared" si="59"/>
        <v>0</v>
      </c>
      <c r="CW43" s="265">
        <f t="shared" si="60"/>
        <v>0</v>
      </c>
      <c r="CX43" s="265">
        <f t="shared" si="93"/>
        <v>0</v>
      </c>
      <c r="CY43" s="265">
        <f t="shared" si="94"/>
        <v>0</v>
      </c>
      <c r="CZ43" s="265">
        <f t="shared" ca="1" si="95"/>
        <v>0</v>
      </c>
      <c r="DA43" s="265">
        <f t="shared" si="96"/>
        <v>0</v>
      </c>
    </row>
    <row r="44" spans="1:105" s="262" customFormat="1" ht="15.75" customHeight="1">
      <c r="A44" s="63">
        <f t="array" aca="1" ref="A44" ca="1">IF(C44&lt;&gt;0,SUM(($C$11:C44&lt;&gt;0)*1),"")</f>
        <v>6</v>
      </c>
      <c r="B44" s="263">
        <v>42643</v>
      </c>
      <c r="C44" s="266" t="s">
        <v>113</v>
      </c>
      <c r="D44" s="266">
        <f t="shared" si="98"/>
        <v>42643</v>
      </c>
      <c r="E44" s="919" t="s">
        <v>115</v>
      </c>
      <c r="F44" s="920">
        <f ca="1">CR52</f>
        <v>0</v>
      </c>
      <c r="G44" s="921" t="s">
        <v>107</v>
      </c>
      <c r="H44" s="921" t="s">
        <v>99</v>
      </c>
      <c r="I44" s="63">
        <f t="shared" ca="1" si="97"/>
        <v>6</v>
      </c>
      <c r="J44" s="265">
        <f t="shared" si="61"/>
        <v>0</v>
      </c>
      <c r="K44" s="265">
        <f t="shared" si="62"/>
        <v>0</v>
      </c>
      <c r="L44" s="265">
        <f t="shared" si="1"/>
        <v>0</v>
      </c>
      <c r="M44" s="265">
        <f t="shared" si="2"/>
        <v>0</v>
      </c>
      <c r="N44" s="265">
        <f t="shared" si="3"/>
        <v>0</v>
      </c>
      <c r="O44" s="265">
        <f t="shared" si="4"/>
        <v>0</v>
      </c>
      <c r="P44" s="265">
        <f t="shared" si="5"/>
        <v>0</v>
      </c>
      <c r="Q44" s="265">
        <f t="shared" si="6"/>
        <v>0</v>
      </c>
      <c r="R44" s="265">
        <f t="shared" si="7"/>
        <v>0</v>
      </c>
      <c r="S44" s="265">
        <f t="shared" si="8"/>
        <v>0</v>
      </c>
      <c r="T44" s="265">
        <f t="shared" si="9"/>
        <v>0</v>
      </c>
      <c r="U44" s="265">
        <f t="shared" si="10"/>
        <v>0</v>
      </c>
      <c r="V44" s="265">
        <f t="shared" si="11"/>
        <v>0</v>
      </c>
      <c r="W44" s="265">
        <f t="shared" si="12"/>
        <v>0</v>
      </c>
      <c r="X44" s="265">
        <f t="shared" si="13"/>
        <v>0</v>
      </c>
      <c r="Y44" s="265">
        <f t="shared" si="14"/>
        <v>0</v>
      </c>
      <c r="Z44" s="265">
        <f t="shared" si="15"/>
        <v>0</v>
      </c>
      <c r="AA44" s="265">
        <f t="shared" si="16"/>
        <v>0</v>
      </c>
      <c r="AB44" s="265">
        <f t="shared" si="63"/>
        <v>0</v>
      </c>
      <c r="AC44" s="265">
        <f t="shared" si="64"/>
        <v>0</v>
      </c>
      <c r="AD44" s="265">
        <f t="shared" si="17"/>
        <v>0</v>
      </c>
      <c r="AE44" s="265">
        <f t="shared" si="18"/>
        <v>0</v>
      </c>
      <c r="AF44" s="265">
        <f t="shared" si="19"/>
        <v>0</v>
      </c>
      <c r="AG44" s="265">
        <f t="shared" si="20"/>
        <v>0</v>
      </c>
      <c r="AH44" s="265">
        <f t="shared" si="65"/>
        <v>0</v>
      </c>
      <c r="AI44" s="265">
        <f t="shared" si="66"/>
        <v>0</v>
      </c>
      <c r="AJ44" s="265">
        <f t="shared" si="67"/>
        <v>0</v>
      </c>
      <c r="AK44" s="265">
        <f t="shared" si="68"/>
        <v>0</v>
      </c>
      <c r="AL44" s="265">
        <f t="shared" si="69"/>
        <v>0</v>
      </c>
      <c r="AM44" s="265">
        <f t="shared" si="70"/>
        <v>0</v>
      </c>
      <c r="AN44" s="265">
        <f t="shared" si="71"/>
        <v>0</v>
      </c>
      <c r="AO44" s="265">
        <f t="shared" si="72"/>
        <v>0</v>
      </c>
      <c r="AP44" s="265">
        <f t="shared" si="21"/>
        <v>0</v>
      </c>
      <c r="AQ44" s="265">
        <f t="shared" si="22"/>
        <v>0</v>
      </c>
      <c r="AR44" s="265">
        <f t="shared" si="23"/>
        <v>0</v>
      </c>
      <c r="AS44" s="265">
        <f t="shared" si="24"/>
        <v>0</v>
      </c>
      <c r="AT44" s="265">
        <f t="shared" si="73"/>
        <v>0</v>
      </c>
      <c r="AU44" s="265">
        <f t="shared" si="74"/>
        <v>0</v>
      </c>
      <c r="AV44" s="265">
        <f t="shared" si="25"/>
        <v>0</v>
      </c>
      <c r="AW44" s="265">
        <f t="shared" si="26"/>
        <v>0</v>
      </c>
      <c r="AX44" s="265">
        <f t="shared" si="27"/>
        <v>0</v>
      </c>
      <c r="AY44" s="265">
        <f t="shared" si="28"/>
        <v>0</v>
      </c>
      <c r="AZ44" s="265">
        <f t="shared" si="29"/>
        <v>0</v>
      </c>
      <c r="BA44" s="265">
        <f t="shared" si="30"/>
        <v>0</v>
      </c>
      <c r="BB44" s="265">
        <f t="shared" si="31"/>
        <v>0</v>
      </c>
      <c r="BC44" s="265">
        <f t="shared" si="32"/>
        <v>0</v>
      </c>
      <c r="BD44" s="265">
        <f t="shared" si="33"/>
        <v>0</v>
      </c>
      <c r="BE44" s="265">
        <f t="shared" si="34"/>
        <v>0</v>
      </c>
      <c r="BF44" s="265">
        <f t="shared" si="35"/>
        <v>0</v>
      </c>
      <c r="BG44" s="265">
        <f t="shared" si="36"/>
        <v>0</v>
      </c>
      <c r="BH44" s="265">
        <f t="shared" si="75"/>
        <v>0</v>
      </c>
      <c r="BI44" s="265">
        <f t="shared" si="76"/>
        <v>0</v>
      </c>
      <c r="BJ44" s="265">
        <f t="shared" si="37"/>
        <v>0</v>
      </c>
      <c r="BK44" s="265">
        <f t="shared" si="38"/>
        <v>0</v>
      </c>
      <c r="BL44" s="265">
        <f t="shared" si="39"/>
        <v>0</v>
      </c>
      <c r="BM44" s="265">
        <f t="shared" si="40"/>
        <v>0</v>
      </c>
      <c r="BN44" s="265">
        <f t="shared" si="41"/>
        <v>0</v>
      </c>
      <c r="BO44" s="265">
        <f t="shared" si="42"/>
        <v>0</v>
      </c>
      <c r="BP44" s="265">
        <f t="shared" si="77"/>
        <v>0</v>
      </c>
      <c r="BQ44" s="265">
        <f t="shared" si="78"/>
        <v>0</v>
      </c>
      <c r="BR44" s="265">
        <f t="shared" si="43"/>
        <v>0</v>
      </c>
      <c r="BS44" s="265">
        <f t="shared" si="44"/>
        <v>0</v>
      </c>
      <c r="BT44" s="265">
        <f t="shared" si="79"/>
        <v>0</v>
      </c>
      <c r="BU44" s="265">
        <f t="shared" si="80"/>
        <v>0</v>
      </c>
      <c r="BV44" s="265">
        <f t="shared" si="81"/>
        <v>0</v>
      </c>
      <c r="BW44" s="265">
        <f t="shared" si="82"/>
        <v>0</v>
      </c>
      <c r="BX44" s="265">
        <f t="shared" si="45"/>
        <v>0</v>
      </c>
      <c r="BY44" s="265">
        <f t="shared" si="46"/>
        <v>0</v>
      </c>
      <c r="BZ44" s="265">
        <f t="shared" si="47"/>
        <v>0</v>
      </c>
      <c r="CA44" s="265">
        <f t="shared" si="48"/>
        <v>0</v>
      </c>
      <c r="CB44" s="265">
        <f t="shared" si="49"/>
        <v>0</v>
      </c>
      <c r="CC44" s="265">
        <f t="shared" si="50"/>
        <v>0</v>
      </c>
      <c r="CD44" s="265">
        <f t="shared" si="83"/>
        <v>0</v>
      </c>
      <c r="CE44" s="265">
        <f t="shared" si="84"/>
        <v>0</v>
      </c>
      <c r="CF44" s="265">
        <f t="shared" si="85"/>
        <v>0</v>
      </c>
      <c r="CG44" s="265">
        <f t="shared" si="86"/>
        <v>0</v>
      </c>
      <c r="CH44" s="265">
        <f t="shared" si="51"/>
        <v>0</v>
      </c>
      <c r="CI44" s="265">
        <f t="shared" si="52"/>
        <v>0</v>
      </c>
      <c r="CJ44" s="265">
        <f t="shared" si="87"/>
        <v>0</v>
      </c>
      <c r="CK44" s="265">
        <f t="shared" si="88"/>
        <v>0</v>
      </c>
      <c r="CL44" s="265">
        <f t="shared" si="53"/>
        <v>0</v>
      </c>
      <c r="CM44" s="265">
        <f t="shared" si="54"/>
        <v>0</v>
      </c>
      <c r="CN44" s="265">
        <f t="shared" si="55"/>
        <v>0</v>
      </c>
      <c r="CO44" s="265">
        <f t="shared" si="56"/>
        <v>0</v>
      </c>
      <c r="CP44" s="265">
        <f t="shared" si="89"/>
        <v>0</v>
      </c>
      <c r="CQ44" s="265">
        <f t="shared" si="90"/>
        <v>0</v>
      </c>
      <c r="CR44" s="265">
        <f t="shared" si="91"/>
        <v>0</v>
      </c>
      <c r="CS44" s="265">
        <f t="shared" ca="1" si="92"/>
        <v>0</v>
      </c>
      <c r="CT44" s="265">
        <f t="shared" si="57"/>
        <v>0</v>
      </c>
      <c r="CU44" s="265">
        <f t="shared" si="58"/>
        <v>0</v>
      </c>
      <c r="CV44" s="265">
        <f t="shared" si="59"/>
        <v>0</v>
      </c>
      <c r="CW44" s="265">
        <f t="shared" si="60"/>
        <v>0</v>
      </c>
      <c r="CX44" s="265">
        <f t="shared" si="93"/>
        <v>0</v>
      </c>
      <c r="CY44" s="265">
        <f t="shared" si="94"/>
        <v>0</v>
      </c>
      <c r="CZ44" s="265">
        <f t="shared" ca="1" si="95"/>
        <v>0</v>
      </c>
      <c r="DA44" s="265">
        <f t="shared" si="96"/>
        <v>0</v>
      </c>
    </row>
    <row r="45" spans="1:105" s="262" customFormat="1" ht="15.75" customHeight="1">
      <c r="A45" s="63">
        <f t="array" aca="1" ref="A45" ca="1">IF(C45&lt;&gt;0,SUM(($C$11:C45&lt;&gt;0)*1),"")</f>
        <v>7</v>
      </c>
      <c r="B45" s="263">
        <v>42643</v>
      </c>
      <c r="C45" s="266" t="s">
        <v>113</v>
      </c>
      <c r="D45" s="266">
        <f t="shared" si="98"/>
        <v>42643</v>
      </c>
      <c r="E45" s="919" t="s">
        <v>208</v>
      </c>
      <c r="F45" s="920"/>
      <c r="G45" s="921" t="s">
        <v>107</v>
      </c>
      <c r="H45" s="921" t="s">
        <v>92</v>
      </c>
      <c r="I45" s="63">
        <f t="shared" ca="1" si="97"/>
        <v>7</v>
      </c>
      <c r="J45" s="265">
        <f t="shared" si="61"/>
        <v>0</v>
      </c>
      <c r="K45" s="265">
        <f t="shared" si="62"/>
        <v>0</v>
      </c>
      <c r="L45" s="265">
        <f t="shared" si="1"/>
        <v>0</v>
      </c>
      <c r="M45" s="265">
        <f t="shared" si="2"/>
        <v>0</v>
      </c>
      <c r="N45" s="265">
        <f t="shared" si="3"/>
        <v>0</v>
      </c>
      <c r="O45" s="265">
        <f t="shared" si="4"/>
        <v>0</v>
      </c>
      <c r="P45" s="265">
        <f t="shared" si="5"/>
        <v>0</v>
      </c>
      <c r="Q45" s="265">
        <f t="shared" si="6"/>
        <v>0</v>
      </c>
      <c r="R45" s="265">
        <f t="shared" si="7"/>
        <v>0</v>
      </c>
      <c r="S45" s="265">
        <f t="shared" si="8"/>
        <v>0</v>
      </c>
      <c r="T45" s="265">
        <f t="shared" si="9"/>
        <v>0</v>
      </c>
      <c r="U45" s="265">
        <f t="shared" si="10"/>
        <v>0</v>
      </c>
      <c r="V45" s="265">
        <f t="shared" si="11"/>
        <v>0</v>
      </c>
      <c r="W45" s="265">
        <f t="shared" si="12"/>
        <v>0</v>
      </c>
      <c r="X45" s="265">
        <f t="shared" si="13"/>
        <v>0</v>
      </c>
      <c r="Y45" s="265">
        <f t="shared" si="14"/>
        <v>0</v>
      </c>
      <c r="Z45" s="265">
        <f t="shared" si="15"/>
        <v>0</v>
      </c>
      <c r="AA45" s="265">
        <f t="shared" si="16"/>
        <v>0</v>
      </c>
      <c r="AB45" s="265">
        <f t="shared" si="63"/>
        <v>0</v>
      </c>
      <c r="AC45" s="265">
        <f t="shared" si="64"/>
        <v>0</v>
      </c>
      <c r="AD45" s="265">
        <f t="shared" si="17"/>
        <v>0</v>
      </c>
      <c r="AE45" s="265">
        <f t="shared" si="18"/>
        <v>0</v>
      </c>
      <c r="AF45" s="265">
        <f t="shared" si="19"/>
        <v>0</v>
      </c>
      <c r="AG45" s="265">
        <f t="shared" si="20"/>
        <v>0</v>
      </c>
      <c r="AH45" s="265">
        <f t="shared" si="65"/>
        <v>0</v>
      </c>
      <c r="AI45" s="265">
        <f t="shared" si="66"/>
        <v>0</v>
      </c>
      <c r="AJ45" s="265">
        <f t="shared" si="67"/>
        <v>0</v>
      </c>
      <c r="AK45" s="265">
        <f t="shared" si="68"/>
        <v>0</v>
      </c>
      <c r="AL45" s="265">
        <f t="shared" si="69"/>
        <v>0</v>
      </c>
      <c r="AM45" s="265">
        <f t="shared" si="70"/>
        <v>0</v>
      </c>
      <c r="AN45" s="265">
        <f t="shared" si="71"/>
        <v>0</v>
      </c>
      <c r="AO45" s="265">
        <f t="shared" si="72"/>
        <v>0</v>
      </c>
      <c r="AP45" s="265">
        <f t="shared" si="21"/>
        <v>0</v>
      </c>
      <c r="AQ45" s="265">
        <f t="shared" si="22"/>
        <v>0</v>
      </c>
      <c r="AR45" s="265">
        <f t="shared" si="23"/>
        <v>0</v>
      </c>
      <c r="AS45" s="265">
        <f t="shared" si="24"/>
        <v>0</v>
      </c>
      <c r="AT45" s="265">
        <f t="shared" si="73"/>
        <v>0</v>
      </c>
      <c r="AU45" s="265">
        <f t="shared" si="74"/>
        <v>0</v>
      </c>
      <c r="AV45" s="265">
        <f t="shared" si="25"/>
        <v>0</v>
      </c>
      <c r="AW45" s="265">
        <f t="shared" si="26"/>
        <v>0</v>
      </c>
      <c r="AX45" s="265">
        <f t="shared" si="27"/>
        <v>0</v>
      </c>
      <c r="AY45" s="265">
        <f t="shared" si="28"/>
        <v>0</v>
      </c>
      <c r="AZ45" s="265">
        <f t="shared" si="29"/>
        <v>0</v>
      </c>
      <c r="BA45" s="265">
        <f t="shared" si="30"/>
        <v>0</v>
      </c>
      <c r="BB45" s="265">
        <f t="shared" si="31"/>
        <v>0</v>
      </c>
      <c r="BC45" s="265">
        <f t="shared" si="32"/>
        <v>0</v>
      </c>
      <c r="BD45" s="265">
        <f t="shared" si="33"/>
        <v>0</v>
      </c>
      <c r="BE45" s="265">
        <f t="shared" si="34"/>
        <v>0</v>
      </c>
      <c r="BF45" s="265">
        <f t="shared" si="35"/>
        <v>0</v>
      </c>
      <c r="BG45" s="265">
        <f t="shared" si="36"/>
        <v>0</v>
      </c>
      <c r="BH45" s="265">
        <f t="shared" si="75"/>
        <v>0</v>
      </c>
      <c r="BI45" s="265">
        <f t="shared" si="76"/>
        <v>0</v>
      </c>
      <c r="BJ45" s="265">
        <f t="shared" si="37"/>
        <v>0</v>
      </c>
      <c r="BK45" s="265">
        <f t="shared" si="38"/>
        <v>0</v>
      </c>
      <c r="BL45" s="265">
        <f t="shared" si="39"/>
        <v>0</v>
      </c>
      <c r="BM45" s="265">
        <f t="shared" si="40"/>
        <v>0</v>
      </c>
      <c r="BN45" s="265">
        <f t="shared" si="41"/>
        <v>0</v>
      </c>
      <c r="BO45" s="265">
        <f t="shared" si="42"/>
        <v>0</v>
      </c>
      <c r="BP45" s="265">
        <f t="shared" si="77"/>
        <v>0</v>
      </c>
      <c r="BQ45" s="265">
        <f t="shared" si="78"/>
        <v>0</v>
      </c>
      <c r="BR45" s="265">
        <f t="shared" si="43"/>
        <v>0</v>
      </c>
      <c r="BS45" s="265">
        <f t="shared" si="44"/>
        <v>0</v>
      </c>
      <c r="BT45" s="265">
        <f t="shared" si="79"/>
        <v>0</v>
      </c>
      <c r="BU45" s="265">
        <f t="shared" si="80"/>
        <v>0</v>
      </c>
      <c r="BV45" s="265">
        <f t="shared" si="81"/>
        <v>0</v>
      </c>
      <c r="BW45" s="265">
        <f t="shared" si="82"/>
        <v>0</v>
      </c>
      <c r="BX45" s="265">
        <f t="shared" si="45"/>
        <v>0</v>
      </c>
      <c r="BY45" s="265">
        <f t="shared" si="46"/>
        <v>0</v>
      </c>
      <c r="BZ45" s="265">
        <f t="shared" si="47"/>
        <v>0</v>
      </c>
      <c r="CA45" s="265">
        <f t="shared" si="48"/>
        <v>0</v>
      </c>
      <c r="CB45" s="265">
        <f t="shared" si="49"/>
        <v>0</v>
      </c>
      <c r="CC45" s="265">
        <f t="shared" si="50"/>
        <v>0</v>
      </c>
      <c r="CD45" s="265">
        <f t="shared" si="83"/>
        <v>0</v>
      </c>
      <c r="CE45" s="265">
        <f t="shared" si="84"/>
        <v>0</v>
      </c>
      <c r="CF45" s="265">
        <f t="shared" si="85"/>
        <v>0</v>
      </c>
      <c r="CG45" s="265">
        <f t="shared" si="86"/>
        <v>0</v>
      </c>
      <c r="CH45" s="265">
        <f t="shared" si="51"/>
        <v>0</v>
      </c>
      <c r="CI45" s="265">
        <f t="shared" si="52"/>
        <v>0</v>
      </c>
      <c r="CJ45" s="265">
        <f t="shared" si="87"/>
        <v>0</v>
      </c>
      <c r="CK45" s="265">
        <f t="shared" si="88"/>
        <v>0</v>
      </c>
      <c r="CL45" s="265">
        <f t="shared" si="53"/>
        <v>0</v>
      </c>
      <c r="CM45" s="265">
        <f t="shared" si="54"/>
        <v>0</v>
      </c>
      <c r="CN45" s="265">
        <f t="shared" si="55"/>
        <v>0</v>
      </c>
      <c r="CO45" s="265">
        <f t="shared" si="56"/>
        <v>0</v>
      </c>
      <c r="CP45" s="265">
        <f t="shared" si="89"/>
        <v>0</v>
      </c>
      <c r="CQ45" s="265">
        <f t="shared" si="90"/>
        <v>0</v>
      </c>
      <c r="CR45" s="265">
        <f t="shared" si="91"/>
        <v>0</v>
      </c>
      <c r="CS45" s="265">
        <f t="shared" si="92"/>
        <v>0</v>
      </c>
      <c r="CT45" s="265">
        <f t="shared" si="57"/>
        <v>0</v>
      </c>
      <c r="CU45" s="265">
        <f t="shared" si="58"/>
        <v>0</v>
      </c>
      <c r="CV45" s="265">
        <f t="shared" si="59"/>
        <v>0</v>
      </c>
      <c r="CW45" s="265">
        <f t="shared" si="60"/>
        <v>0</v>
      </c>
      <c r="CX45" s="265">
        <f t="shared" si="93"/>
        <v>0</v>
      </c>
      <c r="CY45" s="265">
        <f t="shared" si="94"/>
        <v>0</v>
      </c>
      <c r="CZ45" s="265">
        <f t="shared" si="95"/>
        <v>0</v>
      </c>
      <c r="DA45" s="265">
        <f t="shared" si="96"/>
        <v>0</v>
      </c>
    </row>
    <row r="46" spans="1:105" s="262" customFormat="1" ht="15.75" customHeight="1">
      <c r="A46" s="63">
        <f t="array" aca="1" ref="A46" ca="1">IF(C46&lt;&gt;0,SUM(($C$11:C46&lt;&gt;0)*1),"")</f>
        <v>8</v>
      </c>
      <c r="B46" s="263">
        <v>42643</v>
      </c>
      <c r="C46" s="266" t="s">
        <v>113</v>
      </c>
      <c r="D46" s="266">
        <f t="shared" si="98"/>
        <v>42643</v>
      </c>
      <c r="E46" s="919" t="s">
        <v>116</v>
      </c>
      <c r="F46" s="920">
        <f ca="1">CI52</f>
        <v>0</v>
      </c>
      <c r="G46" s="921" t="s">
        <v>41</v>
      </c>
      <c r="H46" s="921" t="s">
        <v>107</v>
      </c>
      <c r="I46" s="63">
        <f t="shared" ca="1" si="97"/>
        <v>8</v>
      </c>
      <c r="J46" s="265">
        <f t="shared" si="61"/>
        <v>0</v>
      </c>
      <c r="K46" s="265">
        <f t="shared" si="62"/>
        <v>0</v>
      </c>
      <c r="L46" s="265">
        <f t="shared" si="1"/>
        <v>0</v>
      </c>
      <c r="M46" s="265">
        <f t="shared" si="2"/>
        <v>0</v>
      </c>
      <c r="N46" s="265">
        <f t="shared" si="3"/>
        <v>0</v>
      </c>
      <c r="O46" s="265">
        <f t="shared" si="4"/>
        <v>0</v>
      </c>
      <c r="P46" s="265">
        <f t="shared" si="5"/>
        <v>0</v>
      </c>
      <c r="Q46" s="265">
        <f t="shared" si="6"/>
        <v>0</v>
      </c>
      <c r="R46" s="265">
        <f t="shared" si="7"/>
        <v>0</v>
      </c>
      <c r="S46" s="265">
        <f t="shared" si="8"/>
        <v>0</v>
      </c>
      <c r="T46" s="265">
        <f t="shared" si="9"/>
        <v>0</v>
      </c>
      <c r="U46" s="265">
        <f t="shared" si="10"/>
        <v>0</v>
      </c>
      <c r="V46" s="265">
        <f t="shared" si="11"/>
        <v>0</v>
      </c>
      <c r="W46" s="265">
        <f t="shared" si="12"/>
        <v>0</v>
      </c>
      <c r="X46" s="265">
        <f t="shared" si="13"/>
        <v>0</v>
      </c>
      <c r="Y46" s="265">
        <f t="shared" si="14"/>
        <v>0</v>
      </c>
      <c r="Z46" s="265">
        <f t="shared" si="15"/>
        <v>0</v>
      </c>
      <c r="AA46" s="265">
        <f t="shared" si="16"/>
        <v>0</v>
      </c>
      <c r="AB46" s="265">
        <f t="shared" si="63"/>
        <v>0</v>
      </c>
      <c r="AC46" s="265">
        <f t="shared" si="64"/>
        <v>0</v>
      </c>
      <c r="AD46" s="265">
        <f t="shared" si="17"/>
        <v>0</v>
      </c>
      <c r="AE46" s="265">
        <f t="shared" si="18"/>
        <v>0</v>
      </c>
      <c r="AF46" s="265">
        <f t="shared" si="19"/>
        <v>0</v>
      </c>
      <c r="AG46" s="265">
        <f t="shared" si="20"/>
        <v>0</v>
      </c>
      <c r="AH46" s="265">
        <f t="shared" si="65"/>
        <v>0</v>
      </c>
      <c r="AI46" s="265">
        <f t="shared" si="66"/>
        <v>0</v>
      </c>
      <c r="AJ46" s="265">
        <f t="shared" si="67"/>
        <v>0</v>
      </c>
      <c r="AK46" s="265">
        <f t="shared" si="68"/>
        <v>0</v>
      </c>
      <c r="AL46" s="265">
        <f t="shared" si="69"/>
        <v>0</v>
      </c>
      <c r="AM46" s="265">
        <f t="shared" si="70"/>
        <v>0</v>
      </c>
      <c r="AN46" s="265">
        <f t="shared" si="71"/>
        <v>0</v>
      </c>
      <c r="AO46" s="265">
        <f t="shared" si="72"/>
        <v>0</v>
      </c>
      <c r="AP46" s="265">
        <f t="shared" si="21"/>
        <v>0</v>
      </c>
      <c r="AQ46" s="265">
        <f t="shared" si="22"/>
        <v>0</v>
      </c>
      <c r="AR46" s="265">
        <f t="shared" si="23"/>
        <v>0</v>
      </c>
      <c r="AS46" s="265">
        <f t="shared" si="24"/>
        <v>0</v>
      </c>
      <c r="AT46" s="265">
        <f t="shared" si="73"/>
        <v>0</v>
      </c>
      <c r="AU46" s="265">
        <f t="shared" si="74"/>
        <v>0</v>
      </c>
      <c r="AV46" s="265">
        <f t="shared" si="25"/>
        <v>0</v>
      </c>
      <c r="AW46" s="265">
        <f t="shared" si="26"/>
        <v>0</v>
      </c>
      <c r="AX46" s="265">
        <f t="shared" si="27"/>
        <v>0</v>
      </c>
      <c r="AY46" s="265">
        <f t="shared" si="28"/>
        <v>0</v>
      </c>
      <c r="AZ46" s="265">
        <f t="shared" si="29"/>
        <v>0</v>
      </c>
      <c r="BA46" s="265">
        <f t="shared" si="30"/>
        <v>0</v>
      </c>
      <c r="BB46" s="265">
        <f t="shared" si="31"/>
        <v>0</v>
      </c>
      <c r="BC46" s="265">
        <f t="shared" si="32"/>
        <v>0</v>
      </c>
      <c r="BD46" s="265">
        <f t="shared" si="33"/>
        <v>0</v>
      </c>
      <c r="BE46" s="265">
        <f t="shared" si="34"/>
        <v>0</v>
      </c>
      <c r="BF46" s="265">
        <f t="shared" si="35"/>
        <v>0</v>
      </c>
      <c r="BG46" s="265">
        <f t="shared" si="36"/>
        <v>0</v>
      </c>
      <c r="BH46" s="265">
        <f t="shared" si="75"/>
        <v>0</v>
      </c>
      <c r="BI46" s="265">
        <f t="shared" si="76"/>
        <v>0</v>
      </c>
      <c r="BJ46" s="265">
        <f t="shared" si="37"/>
        <v>0</v>
      </c>
      <c r="BK46" s="265">
        <f t="shared" si="38"/>
        <v>0</v>
      </c>
      <c r="BL46" s="265">
        <f t="shared" si="39"/>
        <v>0</v>
      </c>
      <c r="BM46" s="265">
        <f t="shared" si="40"/>
        <v>0</v>
      </c>
      <c r="BN46" s="265">
        <f t="shared" si="41"/>
        <v>0</v>
      </c>
      <c r="BO46" s="265">
        <f t="shared" si="42"/>
        <v>0</v>
      </c>
      <c r="BP46" s="265">
        <f t="shared" si="77"/>
        <v>0</v>
      </c>
      <c r="BQ46" s="265">
        <f t="shared" si="78"/>
        <v>0</v>
      </c>
      <c r="BR46" s="265">
        <f t="shared" si="43"/>
        <v>0</v>
      </c>
      <c r="BS46" s="265">
        <f t="shared" si="44"/>
        <v>0</v>
      </c>
      <c r="BT46" s="265">
        <f t="shared" si="79"/>
        <v>0</v>
      </c>
      <c r="BU46" s="265">
        <f t="shared" si="80"/>
        <v>0</v>
      </c>
      <c r="BV46" s="265">
        <f t="shared" si="81"/>
        <v>0</v>
      </c>
      <c r="BW46" s="265">
        <f t="shared" si="82"/>
        <v>0</v>
      </c>
      <c r="BX46" s="265">
        <f t="shared" si="45"/>
        <v>0</v>
      </c>
      <c r="BY46" s="265">
        <f t="shared" si="46"/>
        <v>0</v>
      </c>
      <c r="BZ46" s="265">
        <f t="shared" si="47"/>
        <v>0</v>
      </c>
      <c r="CA46" s="265">
        <f t="shared" si="48"/>
        <v>0</v>
      </c>
      <c r="CB46" s="265">
        <f t="shared" si="49"/>
        <v>0</v>
      </c>
      <c r="CC46" s="265">
        <f t="shared" si="50"/>
        <v>0</v>
      </c>
      <c r="CD46" s="265">
        <f t="shared" si="83"/>
        <v>0</v>
      </c>
      <c r="CE46" s="265">
        <f t="shared" si="84"/>
        <v>0</v>
      </c>
      <c r="CF46" s="265">
        <f t="shared" si="85"/>
        <v>0</v>
      </c>
      <c r="CG46" s="265">
        <f t="shared" si="86"/>
        <v>0</v>
      </c>
      <c r="CH46" s="265">
        <f t="shared" ca="1" si="51"/>
        <v>0</v>
      </c>
      <c r="CI46" s="265">
        <f t="shared" si="52"/>
        <v>0</v>
      </c>
      <c r="CJ46" s="265">
        <f t="shared" si="87"/>
        <v>0</v>
      </c>
      <c r="CK46" s="265">
        <f t="shared" si="88"/>
        <v>0</v>
      </c>
      <c r="CL46" s="265">
        <f t="shared" si="53"/>
        <v>0</v>
      </c>
      <c r="CM46" s="265">
        <f t="shared" si="54"/>
        <v>0</v>
      </c>
      <c r="CN46" s="265">
        <f t="shared" si="55"/>
        <v>0</v>
      </c>
      <c r="CO46" s="265">
        <f t="shared" si="56"/>
        <v>0</v>
      </c>
      <c r="CP46" s="265">
        <f t="shared" si="89"/>
        <v>0</v>
      </c>
      <c r="CQ46" s="265">
        <f t="shared" si="90"/>
        <v>0</v>
      </c>
      <c r="CR46" s="265">
        <f t="shared" si="91"/>
        <v>0</v>
      </c>
      <c r="CS46" s="265">
        <f t="shared" si="92"/>
        <v>0</v>
      </c>
      <c r="CT46" s="265">
        <f t="shared" si="57"/>
        <v>0</v>
      </c>
      <c r="CU46" s="265">
        <f t="shared" si="58"/>
        <v>0</v>
      </c>
      <c r="CV46" s="265">
        <f t="shared" si="59"/>
        <v>0</v>
      </c>
      <c r="CW46" s="265">
        <f t="shared" si="60"/>
        <v>0</v>
      </c>
      <c r="CX46" s="265">
        <f t="shared" si="93"/>
        <v>0</v>
      </c>
      <c r="CY46" s="265">
        <f t="shared" si="94"/>
        <v>0</v>
      </c>
      <c r="CZ46" s="265">
        <f t="shared" si="95"/>
        <v>0</v>
      </c>
      <c r="DA46" s="265">
        <f t="shared" ca="1" si="96"/>
        <v>0</v>
      </c>
    </row>
    <row r="47" spans="1:105" s="262" customFormat="1" ht="15.75" customHeight="1">
      <c r="A47" s="63">
        <f t="array" aca="1" ref="A47" ca="1">IF(C47&lt;&gt;0,SUM(($C$11:C47&lt;&gt;0)*1),"")</f>
        <v>9</v>
      </c>
      <c r="B47" s="263">
        <v>42643</v>
      </c>
      <c r="C47" s="266" t="s">
        <v>113</v>
      </c>
      <c r="D47" s="266">
        <f t="shared" si="98"/>
        <v>42643</v>
      </c>
      <c r="E47" s="919" t="s">
        <v>913</v>
      </c>
      <c r="F47" s="920">
        <f ca="1">CE52</f>
        <v>0</v>
      </c>
      <c r="G47" s="921" t="s">
        <v>290</v>
      </c>
      <c r="H47" s="921" t="s">
        <v>107</v>
      </c>
      <c r="I47" s="63">
        <f t="shared" ca="1" si="97"/>
        <v>9</v>
      </c>
      <c r="J47" s="265">
        <f t="shared" si="61"/>
        <v>0</v>
      </c>
      <c r="K47" s="265">
        <f t="shared" si="62"/>
        <v>0</v>
      </c>
      <c r="L47" s="265">
        <f t="shared" si="1"/>
        <v>0</v>
      </c>
      <c r="M47" s="265">
        <f t="shared" si="2"/>
        <v>0</v>
      </c>
      <c r="N47" s="265">
        <f t="shared" si="3"/>
        <v>0</v>
      </c>
      <c r="O47" s="265">
        <f t="shared" si="4"/>
        <v>0</v>
      </c>
      <c r="P47" s="265">
        <f t="shared" si="5"/>
        <v>0</v>
      </c>
      <c r="Q47" s="265">
        <f t="shared" si="6"/>
        <v>0</v>
      </c>
      <c r="R47" s="265">
        <f t="shared" si="7"/>
        <v>0</v>
      </c>
      <c r="S47" s="265">
        <f t="shared" si="8"/>
        <v>0</v>
      </c>
      <c r="T47" s="265">
        <f t="shared" si="9"/>
        <v>0</v>
      </c>
      <c r="U47" s="265">
        <f t="shared" si="10"/>
        <v>0</v>
      </c>
      <c r="V47" s="265">
        <f t="shared" si="11"/>
        <v>0</v>
      </c>
      <c r="W47" s="265">
        <f t="shared" si="12"/>
        <v>0</v>
      </c>
      <c r="X47" s="265">
        <f t="shared" si="13"/>
        <v>0</v>
      </c>
      <c r="Y47" s="265">
        <f t="shared" si="14"/>
        <v>0</v>
      </c>
      <c r="Z47" s="265">
        <f t="shared" si="15"/>
        <v>0</v>
      </c>
      <c r="AA47" s="265">
        <f t="shared" si="16"/>
        <v>0</v>
      </c>
      <c r="AB47" s="265">
        <f t="shared" si="63"/>
        <v>0</v>
      </c>
      <c r="AC47" s="265">
        <f t="shared" si="64"/>
        <v>0</v>
      </c>
      <c r="AD47" s="265">
        <f t="shared" si="17"/>
        <v>0</v>
      </c>
      <c r="AE47" s="265">
        <f t="shared" si="18"/>
        <v>0</v>
      </c>
      <c r="AF47" s="265">
        <f t="shared" si="19"/>
        <v>0</v>
      </c>
      <c r="AG47" s="265">
        <f t="shared" si="20"/>
        <v>0</v>
      </c>
      <c r="AH47" s="265">
        <f t="shared" si="65"/>
        <v>0</v>
      </c>
      <c r="AI47" s="265">
        <f t="shared" si="66"/>
        <v>0</v>
      </c>
      <c r="AJ47" s="265">
        <f t="shared" si="67"/>
        <v>0</v>
      </c>
      <c r="AK47" s="265">
        <f t="shared" si="68"/>
        <v>0</v>
      </c>
      <c r="AL47" s="265">
        <f t="shared" si="69"/>
        <v>0</v>
      </c>
      <c r="AM47" s="265">
        <f t="shared" si="70"/>
        <v>0</v>
      </c>
      <c r="AN47" s="265">
        <f t="shared" si="71"/>
        <v>0</v>
      </c>
      <c r="AO47" s="265">
        <f t="shared" si="72"/>
        <v>0</v>
      </c>
      <c r="AP47" s="265">
        <f t="shared" si="21"/>
        <v>0</v>
      </c>
      <c r="AQ47" s="265">
        <f t="shared" si="22"/>
        <v>0</v>
      </c>
      <c r="AR47" s="265">
        <f t="shared" si="23"/>
        <v>0</v>
      </c>
      <c r="AS47" s="265">
        <f t="shared" si="24"/>
        <v>0</v>
      </c>
      <c r="AT47" s="265">
        <f t="shared" si="73"/>
        <v>0</v>
      </c>
      <c r="AU47" s="265">
        <f t="shared" si="74"/>
        <v>0</v>
      </c>
      <c r="AV47" s="265">
        <f t="shared" si="25"/>
        <v>0</v>
      </c>
      <c r="AW47" s="265">
        <f t="shared" si="26"/>
        <v>0</v>
      </c>
      <c r="AX47" s="265">
        <f t="shared" si="27"/>
        <v>0</v>
      </c>
      <c r="AY47" s="265">
        <f t="shared" si="28"/>
        <v>0</v>
      </c>
      <c r="AZ47" s="265">
        <f t="shared" si="29"/>
        <v>0</v>
      </c>
      <c r="BA47" s="265">
        <f t="shared" si="30"/>
        <v>0</v>
      </c>
      <c r="BB47" s="265">
        <f t="shared" si="31"/>
        <v>0</v>
      </c>
      <c r="BC47" s="265">
        <f t="shared" si="32"/>
        <v>0</v>
      </c>
      <c r="BD47" s="265">
        <f t="shared" si="33"/>
        <v>0</v>
      </c>
      <c r="BE47" s="265">
        <f t="shared" si="34"/>
        <v>0</v>
      </c>
      <c r="BF47" s="265">
        <f t="shared" si="35"/>
        <v>0</v>
      </c>
      <c r="BG47" s="265">
        <f t="shared" si="36"/>
        <v>0</v>
      </c>
      <c r="BH47" s="265">
        <f t="shared" si="75"/>
        <v>0</v>
      </c>
      <c r="BI47" s="265">
        <f t="shared" si="76"/>
        <v>0</v>
      </c>
      <c r="BJ47" s="265">
        <f t="shared" si="37"/>
        <v>0</v>
      </c>
      <c r="BK47" s="265">
        <f t="shared" si="38"/>
        <v>0</v>
      </c>
      <c r="BL47" s="265">
        <f t="shared" si="39"/>
        <v>0</v>
      </c>
      <c r="BM47" s="265">
        <f t="shared" si="40"/>
        <v>0</v>
      </c>
      <c r="BN47" s="265">
        <f t="shared" si="41"/>
        <v>0</v>
      </c>
      <c r="BO47" s="265">
        <f t="shared" si="42"/>
        <v>0</v>
      </c>
      <c r="BP47" s="265">
        <f t="shared" si="77"/>
        <v>0</v>
      </c>
      <c r="BQ47" s="265">
        <f t="shared" si="78"/>
        <v>0</v>
      </c>
      <c r="BR47" s="265">
        <f t="shared" si="43"/>
        <v>0</v>
      </c>
      <c r="BS47" s="265">
        <f t="shared" si="44"/>
        <v>0</v>
      </c>
      <c r="BT47" s="265">
        <f t="shared" si="79"/>
        <v>0</v>
      </c>
      <c r="BU47" s="265">
        <f t="shared" si="80"/>
        <v>0</v>
      </c>
      <c r="BV47" s="265">
        <f t="shared" si="81"/>
        <v>0</v>
      </c>
      <c r="BW47" s="265">
        <f t="shared" si="82"/>
        <v>0</v>
      </c>
      <c r="BX47" s="265">
        <f t="shared" si="45"/>
        <v>0</v>
      </c>
      <c r="BY47" s="265">
        <f t="shared" si="46"/>
        <v>0</v>
      </c>
      <c r="BZ47" s="265">
        <f t="shared" si="47"/>
        <v>0</v>
      </c>
      <c r="CA47" s="265">
        <f t="shared" si="48"/>
        <v>0</v>
      </c>
      <c r="CB47" s="265">
        <f t="shared" si="49"/>
        <v>0</v>
      </c>
      <c r="CC47" s="265">
        <f t="shared" si="50"/>
        <v>0</v>
      </c>
      <c r="CD47" s="265">
        <f t="shared" ca="1" si="83"/>
        <v>0</v>
      </c>
      <c r="CE47" s="265">
        <f t="shared" si="84"/>
        <v>0</v>
      </c>
      <c r="CF47" s="265">
        <f t="shared" si="85"/>
        <v>0</v>
      </c>
      <c r="CG47" s="265">
        <f t="shared" si="86"/>
        <v>0</v>
      </c>
      <c r="CH47" s="265">
        <f t="shared" si="51"/>
        <v>0</v>
      </c>
      <c r="CI47" s="265">
        <f t="shared" si="52"/>
        <v>0</v>
      </c>
      <c r="CJ47" s="265">
        <f t="shared" si="87"/>
        <v>0</v>
      </c>
      <c r="CK47" s="265">
        <f t="shared" si="88"/>
        <v>0</v>
      </c>
      <c r="CL47" s="265">
        <f t="shared" si="53"/>
        <v>0</v>
      </c>
      <c r="CM47" s="265">
        <f t="shared" si="54"/>
        <v>0</v>
      </c>
      <c r="CN47" s="265">
        <f t="shared" si="55"/>
        <v>0</v>
      </c>
      <c r="CO47" s="265">
        <f t="shared" si="56"/>
        <v>0</v>
      </c>
      <c r="CP47" s="265">
        <f t="shared" si="89"/>
        <v>0</v>
      </c>
      <c r="CQ47" s="265">
        <f t="shared" si="90"/>
        <v>0</v>
      </c>
      <c r="CR47" s="265">
        <f t="shared" si="91"/>
        <v>0</v>
      </c>
      <c r="CS47" s="265">
        <f t="shared" si="92"/>
        <v>0</v>
      </c>
      <c r="CT47" s="265">
        <f t="shared" si="57"/>
        <v>0</v>
      </c>
      <c r="CU47" s="265">
        <f t="shared" si="58"/>
        <v>0</v>
      </c>
      <c r="CV47" s="265">
        <f t="shared" si="59"/>
        <v>0</v>
      </c>
      <c r="CW47" s="265">
        <f t="shared" si="60"/>
        <v>0</v>
      </c>
      <c r="CX47" s="265">
        <f t="shared" si="93"/>
        <v>0</v>
      </c>
      <c r="CY47" s="265">
        <f t="shared" si="94"/>
        <v>0</v>
      </c>
      <c r="CZ47" s="265">
        <f t="shared" si="95"/>
        <v>0</v>
      </c>
      <c r="DA47" s="265">
        <f t="shared" ca="1" si="96"/>
        <v>0</v>
      </c>
    </row>
    <row r="48" spans="1:105" s="262" customFormat="1" ht="15.75" customHeight="1">
      <c r="A48" s="63">
        <f t="array" aca="1" ref="A48" ca="1">IF(C48&lt;&gt;0,SUM(($C$11:C48&lt;&gt;0)*1),"")</f>
        <v>10</v>
      </c>
      <c r="B48" s="263">
        <v>42643</v>
      </c>
      <c r="C48" s="266" t="s">
        <v>113</v>
      </c>
      <c r="D48" s="266">
        <f t="shared" si="98"/>
        <v>42643</v>
      </c>
      <c r="E48" s="919" t="s">
        <v>914</v>
      </c>
      <c r="F48" s="920">
        <f ca="1">CG52</f>
        <v>0</v>
      </c>
      <c r="G48" s="921" t="s">
        <v>292</v>
      </c>
      <c r="H48" s="921" t="s">
        <v>107</v>
      </c>
      <c r="I48" s="63">
        <f t="shared" ca="1" si="97"/>
        <v>10</v>
      </c>
      <c r="J48" s="265">
        <f t="shared" si="61"/>
        <v>0</v>
      </c>
      <c r="K48" s="265">
        <f t="shared" si="62"/>
        <v>0</v>
      </c>
      <c r="L48" s="265">
        <f t="shared" si="1"/>
        <v>0</v>
      </c>
      <c r="M48" s="265">
        <f t="shared" si="2"/>
        <v>0</v>
      </c>
      <c r="N48" s="265">
        <f t="shared" si="3"/>
        <v>0</v>
      </c>
      <c r="O48" s="265">
        <f t="shared" si="4"/>
        <v>0</v>
      </c>
      <c r="P48" s="265">
        <f t="shared" si="5"/>
        <v>0</v>
      </c>
      <c r="Q48" s="265">
        <f t="shared" si="6"/>
        <v>0</v>
      </c>
      <c r="R48" s="265">
        <f t="shared" si="7"/>
        <v>0</v>
      </c>
      <c r="S48" s="265">
        <f t="shared" si="8"/>
        <v>0</v>
      </c>
      <c r="T48" s="265">
        <f t="shared" si="9"/>
        <v>0</v>
      </c>
      <c r="U48" s="265">
        <f t="shared" si="10"/>
        <v>0</v>
      </c>
      <c r="V48" s="265">
        <f t="shared" si="11"/>
        <v>0</v>
      </c>
      <c r="W48" s="265">
        <f t="shared" si="12"/>
        <v>0</v>
      </c>
      <c r="X48" s="265">
        <f t="shared" si="13"/>
        <v>0</v>
      </c>
      <c r="Y48" s="265">
        <f t="shared" si="14"/>
        <v>0</v>
      </c>
      <c r="Z48" s="265">
        <f t="shared" si="15"/>
        <v>0</v>
      </c>
      <c r="AA48" s="265">
        <f t="shared" si="16"/>
        <v>0</v>
      </c>
      <c r="AB48" s="265">
        <f t="shared" si="63"/>
        <v>0</v>
      </c>
      <c r="AC48" s="265">
        <f t="shared" si="64"/>
        <v>0</v>
      </c>
      <c r="AD48" s="265">
        <f t="shared" si="17"/>
        <v>0</v>
      </c>
      <c r="AE48" s="265">
        <f t="shared" si="18"/>
        <v>0</v>
      </c>
      <c r="AF48" s="265">
        <f t="shared" si="19"/>
        <v>0</v>
      </c>
      <c r="AG48" s="265">
        <f t="shared" si="20"/>
        <v>0</v>
      </c>
      <c r="AH48" s="265">
        <f t="shared" si="65"/>
        <v>0</v>
      </c>
      <c r="AI48" s="265">
        <f t="shared" si="66"/>
        <v>0</v>
      </c>
      <c r="AJ48" s="265">
        <f t="shared" si="67"/>
        <v>0</v>
      </c>
      <c r="AK48" s="265">
        <f t="shared" si="68"/>
        <v>0</v>
      </c>
      <c r="AL48" s="265">
        <f t="shared" si="69"/>
        <v>0</v>
      </c>
      <c r="AM48" s="265">
        <f t="shared" si="70"/>
        <v>0</v>
      </c>
      <c r="AN48" s="265">
        <f t="shared" si="71"/>
        <v>0</v>
      </c>
      <c r="AO48" s="265">
        <f t="shared" si="72"/>
        <v>0</v>
      </c>
      <c r="AP48" s="265">
        <f t="shared" si="21"/>
        <v>0</v>
      </c>
      <c r="AQ48" s="265">
        <f t="shared" si="22"/>
        <v>0</v>
      </c>
      <c r="AR48" s="265">
        <f t="shared" si="23"/>
        <v>0</v>
      </c>
      <c r="AS48" s="265">
        <f t="shared" si="24"/>
        <v>0</v>
      </c>
      <c r="AT48" s="265">
        <f t="shared" si="73"/>
        <v>0</v>
      </c>
      <c r="AU48" s="265">
        <f t="shared" si="74"/>
        <v>0</v>
      </c>
      <c r="AV48" s="265">
        <f t="shared" si="25"/>
        <v>0</v>
      </c>
      <c r="AW48" s="265">
        <f t="shared" si="26"/>
        <v>0</v>
      </c>
      <c r="AX48" s="265">
        <f t="shared" si="27"/>
        <v>0</v>
      </c>
      <c r="AY48" s="265">
        <f t="shared" si="28"/>
        <v>0</v>
      </c>
      <c r="AZ48" s="265">
        <f t="shared" si="29"/>
        <v>0</v>
      </c>
      <c r="BA48" s="265">
        <f t="shared" si="30"/>
        <v>0</v>
      </c>
      <c r="BB48" s="265">
        <f t="shared" si="31"/>
        <v>0</v>
      </c>
      <c r="BC48" s="265">
        <f t="shared" si="32"/>
        <v>0</v>
      </c>
      <c r="BD48" s="265">
        <f t="shared" si="33"/>
        <v>0</v>
      </c>
      <c r="BE48" s="265">
        <f t="shared" si="34"/>
        <v>0</v>
      </c>
      <c r="BF48" s="265">
        <f t="shared" si="35"/>
        <v>0</v>
      </c>
      <c r="BG48" s="265">
        <f t="shared" si="36"/>
        <v>0</v>
      </c>
      <c r="BH48" s="265">
        <f t="shared" si="75"/>
        <v>0</v>
      </c>
      <c r="BI48" s="265">
        <f t="shared" si="76"/>
        <v>0</v>
      </c>
      <c r="BJ48" s="265">
        <f t="shared" si="37"/>
        <v>0</v>
      </c>
      <c r="BK48" s="265">
        <f t="shared" si="38"/>
        <v>0</v>
      </c>
      <c r="BL48" s="265">
        <f t="shared" si="39"/>
        <v>0</v>
      </c>
      <c r="BM48" s="265">
        <f t="shared" si="40"/>
        <v>0</v>
      </c>
      <c r="BN48" s="265">
        <f t="shared" si="41"/>
        <v>0</v>
      </c>
      <c r="BO48" s="265">
        <f t="shared" si="42"/>
        <v>0</v>
      </c>
      <c r="BP48" s="265">
        <f t="shared" si="77"/>
        <v>0</v>
      </c>
      <c r="BQ48" s="265">
        <f t="shared" si="78"/>
        <v>0</v>
      </c>
      <c r="BR48" s="265">
        <f t="shared" si="43"/>
        <v>0</v>
      </c>
      <c r="BS48" s="265">
        <f t="shared" si="44"/>
        <v>0</v>
      </c>
      <c r="BT48" s="265">
        <f t="shared" si="79"/>
        <v>0</v>
      </c>
      <c r="BU48" s="265">
        <f t="shared" si="80"/>
        <v>0</v>
      </c>
      <c r="BV48" s="265">
        <f t="shared" si="81"/>
        <v>0</v>
      </c>
      <c r="BW48" s="265">
        <f t="shared" si="82"/>
        <v>0</v>
      </c>
      <c r="BX48" s="265">
        <f t="shared" si="45"/>
        <v>0</v>
      </c>
      <c r="BY48" s="265">
        <f t="shared" si="46"/>
        <v>0</v>
      </c>
      <c r="BZ48" s="265">
        <f t="shared" si="47"/>
        <v>0</v>
      </c>
      <c r="CA48" s="265">
        <f t="shared" si="48"/>
        <v>0</v>
      </c>
      <c r="CB48" s="265">
        <f t="shared" si="49"/>
        <v>0</v>
      </c>
      <c r="CC48" s="265">
        <f t="shared" si="50"/>
        <v>0</v>
      </c>
      <c r="CD48" s="265">
        <f t="shared" si="83"/>
        <v>0</v>
      </c>
      <c r="CE48" s="265">
        <f t="shared" si="84"/>
        <v>0</v>
      </c>
      <c r="CF48" s="265">
        <f t="shared" ca="1" si="85"/>
        <v>0</v>
      </c>
      <c r="CG48" s="265">
        <f t="shared" si="86"/>
        <v>0</v>
      </c>
      <c r="CH48" s="265">
        <f t="shared" si="51"/>
        <v>0</v>
      </c>
      <c r="CI48" s="265">
        <f t="shared" si="52"/>
        <v>0</v>
      </c>
      <c r="CJ48" s="265">
        <f t="shared" si="87"/>
        <v>0</v>
      </c>
      <c r="CK48" s="265">
        <f t="shared" si="88"/>
        <v>0</v>
      </c>
      <c r="CL48" s="265">
        <f t="shared" si="53"/>
        <v>0</v>
      </c>
      <c r="CM48" s="265">
        <f t="shared" si="54"/>
        <v>0</v>
      </c>
      <c r="CN48" s="265">
        <f t="shared" si="55"/>
        <v>0</v>
      </c>
      <c r="CO48" s="265">
        <f t="shared" si="56"/>
        <v>0</v>
      </c>
      <c r="CP48" s="265">
        <f t="shared" si="89"/>
        <v>0</v>
      </c>
      <c r="CQ48" s="265">
        <f t="shared" si="90"/>
        <v>0</v>
      </c>
      <c r="CR48" s="265">
        <f t="shared" si="91"/>
        <v>0</v>
      </c>
      <c r="CS48" s="265">
        <f t="shared" si="92"/>
        <v>0</v>
      </c>
      <c r="CT48" s="265">
        <f t="shared" si="57"/>
        <v>0</v>
      </c>
      <c r="CU48" s="265">
        <f t="shared" si="58"/>
        <v>0</v>
      </c>
      <c r="CV48" s="265">
        <f t="shared" si="59"/>
        <v>0</v>
      </c>
      <c r="CW48" s="265">
        <f t="shared" si="60"/>
        <v>0</v>
      </c>
      <c r="CX48" s="265">
        <f t="shared" si="93"/>
        <v>0</v>
      </c>
      <c r="CY48" s="265">
        <f t="shared" si="94"/>
        <v>0</v>
      </c>
      <c r="CZ48" s="265">
        <f t="shared" si="95"/>
        <v>0</v>
      </c>
      <c r="DA48" s="265">
        <f t="shared" ca="1" si="96"/>
        <v>0</v>
      </c>
    </row>
    <row r="49" spans="1:105" s="262" customFormat="1" ht="15.75" customHeight="1">
      <c r="A49" s="63">
        <f t="array" aca="1" ref="A49" ca="1">IF(C49&lt;&gt;0,SUM(($C$11:C49&lt;&gt;0)*1),"")</f>
        <v>11</v>
      </c>
      <c r="B49" s="263">
        <v>42643</v>
      </c>
      <c r="C49" s="266" t="s">
        <v>113</v>
      </c>
      <c r="D49" s="266">
        <f t="shared" si="98"/>
        <v>42643</v>
      </c>
      <c r="E49" s="919" t="s">
        <v>117</v>
      </c>
      <c r="F49" s="920">
        <f ca="1">CU52</f>
        <v>0</v>
      </c>
      <c r="G49" s="921" t="s">
        <v>101</v>
      </c>
      <c r="H49" s="921" t="s">
        <v>107</v>
      </c>
      <c r="I49" s="63">
        <f t="shared" ca="1" si="97"/>
        <v>11</v>
      </c>
      <c r="J49" s="265">
        <f t="shared" si="61"/>
        <v>0</v>
      </c>
      <c r="K49" s="265">
        <f t="shared" si="62"/>
        <v>0</v>
      </c>
      <c r="L49" s="265">
        <f t="shared" si="1"/>
        <v>0</v>
      </c>
      <c r="M49" s="265">
        <f t="shared" si="2"/>
        <v>0</v>
      </c>
      <c r="N49" s="265">
        <f t="shared" si="3"/>
        <v>0</v>
      </c>
      <c r="O49" s="265">
        <f t="shared" si="4"/>
        <v>0</v>
      </c>
      <c r="P49" s="265">
        <f t="shared" si="5"/>
        <v>0</v>
      </c>
      <c r="Q49" s="265">
        <f t="shared" si="6"/>
        <v>0</v>
      </c>
      <c r="R49" s="265">
        <f t="shared" si="7"/>
        <v>0</v>
      </c>
      <c r="S49" s="265">
        <f t="shared" si="8"/>
        <v>0</v>
      </c>
      <c r="T49" s="265">
        <f t="shared" si="9"/>
        <v>0</v>
      </c>
      <c r="U49" s="265">
        <f t="shared" si="10"/>
        <v>0</v>
      </c>
      <c r="V49" s="265">
        <f t="shared" si="11"/>
        <v>0</v>
      </c>
      <c r="W49" s="265">
        <f t="shared" si="12"/>
        <v>0</v>
      </c>
      <c r="X49" s="265">
        <f t="shared" si="13"/>
        <v>0</v>
      </c>
      <c r="Y49" s="265">
        <f t="shared" si="14"/>
        <v>0</v>
      </c>
      <c r="Z49" s="265">
        <f t="shared" si="15"/>
        <v>0</v>
      </c>
      <c r="AA49" s="265">
        <f t="shared" si="16"/>
        <v>0</v>
      </c>
      <c r="AB49" s="265">
        <f t="shared" si="63"/>
        <v>0</v>
      </c>
      <c r="AC49" s="265">
        <f t="shared" si="64"/>
        <v>0</v>
      </c>
      <c r="AD49" s="265">
        <f t="shared" si="17"/>
        <v>0</v>
      </c>
      <c r="AE49" s="265">
        <f t="shared" si="18"/>
        <v>0</v>
      </c>
      <c r="AF49" s="265">
        <f t="shared" si="19"/>
        <v>0</v>
      </c>
      <c r="AG49" s="265">
        <f t="shared" si="20"/>
        <v>0</v>
      </c>
      <c r="AH49" s="265">
        <f t="shared" si="65"/>
        <v>0</v>
      </c>
      <c r="AI49" s="265">
        <f t="shared" si="66"/>
        <v>0</v>
      </c>
      <c r="AJ49" s="265">
        <f t="shared" si="67"/>
        <v>0</v>
      </c>
      <c r="AK49" s="265">
        <f t="shared" si="68"/>
        <v>0</v>
      </c>
      <c r="AL49" s="265">
        <f t="shared" si="69"/>
        <v>0</v>
      </c>
      <c r="AM49" s="265">
        <f t="shared" si="70"/>
        <v>0</v>
      </c>
      <c r="AN49" s="265">
        <f t="shared" si="71"/>
        <v>0</v>
      </c>
      <c r="AO49" s="265">
        <f t="shared" si="72"/>
        <v>0</v>
      </c>
      <c r="AP49" s="265">
        <f t="shared" si="21"/>
        <v>0</v>
      </c>
      <c r="AQ49" s="265">
        <f t="shared" si="22"/>
        <v>0</v>
      </c>
      <c r="AR49" s="265">
        <f t="shared" si="23"/>
        <v>0</v>
      </c>
      <c r="AS49" s="265">
        <f t="shared" si="24"/>
        <v>0</v>
      </c>
      <c r="AT49" s="265">
        <f t="shared" si="73"/>
        <v>0</v>
      </c>
      <c r="AU49" s="265">
        <f t="shared" si="74"/>
        <v>0</v>
      </c>
      <c r="AV49" s="265">
        <f t="shared" si="25"/>
        <v>0</v>
      </c>
      <c r="AW49" s="265">
        <f t="shared" si="26"/>
        <v>0</v>
      </c>
      <c r="AX49" s="265">
        <f t="shared" si="27"/>
        <v>0</v>
      </c>
      <c r="AY49" s="265">
        <f t="shared" si="28"/>
        <v>0</v>
      </c>
      <c r="AZ49" s="265">
        <f t="shared" si="29"/>
        <v>0</v>
      </c>
      <c r="BA49" s="265">
        <f t="shared" si="30"/>
        <v>0</v>
      </c>
      <c r="BB49" s="265">
        <f t="shared" si="31"/>
        <v>0</v>
      </c>
      <c r="BC49" s="265">
        <f t="shared" si="32"/>
        <v>0</v>
      </c>
      <c r="BD49" s="265">
        <f t="shared" si="33"/>
        <v>0</v>
      </c>
      <c r="BE49" s="265">
        <f t="shared" si="34"/>
        <v>0</v>
      </c>
      <c r="BF49" s="265">
        <f t="shared" si="35"/>
        <v>0</v>
      </c>
      <c r="BG49" s="265">
        <f t="shared" si="36"/>
        <v>0</v>
      </c>
      <c r="BH49" s="265">
        <f t="shared" si="75"/>
        <v>0</v>
      </c>
      <c r="BI49" s="265">
        <f t="shared" si="76"/>
        <v>0</v>
      </c>
      <c r="BJ49" s="265">
        <f t="shared" si="37"/>
        <v>0</v>
      </c>
      <c r="BK49" s="265">
        <f t="shared" si="38"/>
        <v>0</v>
      </c>
      <c r="BL49" s="265">
        <f t="shared" si="39"/>
        <v>0</v>
      </c>
      <c r="BM49" s="265">
        <f t="shared" si="40"/>
        <v>0</v>
      </c>
      <c r="BN49" s="265">
        <f t="shared" si="41"/>
        <v>0</v>
      </c>
      <c r="BO49" s="265">
        <f t="shared" si="42"/>
        <v>0</v>
      </c>
      <c r="BP49" s="265">
        <f t="shared" si="77"/>
        <v>0</v>
      </c>
      <c r="BQ49" s="265">
        <f t="shared" si="78"/>
        <v>0</v>
      </c>
      <c r="BR49" s="265">
        <f t="shared" si="43"/>
        <v>0</v>
      </c>
      <c r="BS49" s="265">
        <f t="shared" si="44"/>
        <v>0</v>
      </c>
      <c r="BT49" s="265">
        <f t="shared" si="79"/>
        <v>0</v>
      </c>
      <c r="BU49" s="265">
        <f t="shared" si="80"/>
        <v>0</v>
      </c>
      <c r="BV49" s="265">
        <f t="shared" si="81"/>
        <v>0</v>
      </c>
      <c r="BW49" s="265">
        <f t="shared" si="82"/>
        <v>0</v>
      </c>
      <c r="BX49" s="265">
        <f t="shared" si="45"/>
        <v>0</v>
      </c>
      <c r="BY49" s="265">
        <f t="shared" si="46"/>
        <v>0</v>
      </c>
      <c r="BZ49" s="265">
        <f t="shared" si="47"/>
        <v>0</v>
      </c>
      <c r="CA49" s="265">
        <f t="shared" si="48"/>
        <v>0</v>
      </c>
      <c r="CB49" s="265">
        <f t="shared" si="49"/>
        <v>0</v>
      </c>
      <c r="CC49" s="265">
        <f t="shared" si="50"/>
        <v>0</v>
      </c>
      <c r="CD49" s="265">
        <f t="shared" si="83"/>
        <v>0</v>
      </c>
      <c r="CE49" s="265">
        <f t="shared" si="84"/>
        <v>0</v>
      </c>
      <c r="CF49" s="265">
        <f t="shared" si="85"/>
        <v>0</v>
      </c>
      <c r="CG49" s="265">
        <f t="shared" si="86"/>
        <v>0</v>
      </c>
      <c r="CH49" s="265">
        <f t="shared" si="51"/>
        <v>0</v>
      </c>
      <c r="CI49" s="265">
        <f t="shared" si="52"/>
        <v>0</v>
      </c>
      <c r="CJ49" s="265">
        <f t="shared" si="87"/>
        <v>0</v>
      </c>
      <c r="CK49" s="265">
        <f t="shared" si="88"/>
        <v>0</v>
      </c>
      <c r="CL49" s="265">
        <f t="shared" si="53"/>
        <v>0</v>
      </c>
      <c r="CM49" s="265">
        <f t="shared" si="54"/>
        <v>0</v>
      </c>
      <c r="CN49" s="265">
        <f t="shared" si="55"/>
        <v>0</v>
      </c>
      <c r="CO49" s="265">
        <f t="shared" si="56"/>
        <v>0</v>
      </c>
      <c r="CP49" s="265">
        <f t="shared" si="89"/>
        <v>0</v>
      </c>
      <c r="CQ49" s="265">
        <f t="shared" si="90"/>
        <v>0</v>
      </c>
      <c r="CR49" s="265">
        <f t="shared" si="91"/>
        <v>0</v>
      </c>
      <c r="CS49" s="265">
        <f t="shared" si="92"/>
        <v>0</v>
      </c>
      <c r="CT49" s="265">
        <f t="shared" ca="1" si="57"/>
        <v>0</v>
      </c>
      <c r="CU49" s="265">
        <f t="shared" si="58"/>
        <v>0</v>
      </c>
      <c r="CV49" s="265">
        <f t="shared" si="59"/>
        <v>0</v>
      </c>
      <c r="CW49" s="265">
        <f t="shared" si="60"/>
        <v>0</v>
      </c>
      <c r="CX49" s="265">
        <f t="shared" si="93"/>
        <v>0</v>
      </c>
      <c r="CY49" s="265">
        <f t="shared" si="94"/>
        <v>0</v>
      </c>
      <c r="CZ49" s="265">
        <f t="shared" si="95"/>
        <v>0</v>
      </c>
      <c r="DA49" s="265">
        <f t="shared" ca="1" si="96"/>
        <v>0</v>
      </c>
    </row>
    <row r="50" spans="1:105" s="262" customFormat="1" ht="15.75" customHeight="1">
      <c r="A50" s="63">
        <f t="array" aca="1" ref="A50" ca="1">IF(C50&lt;&gt;0,SUM(($C$11:C50&lt;&gt;0)*1),"")</f>
        <v>12</v>
      </c>
      <c r="B50" s="263">
        <v>42643</v>
      </c>
      <c r="C50" s="266" t="s">
        <v>113</v>
      </c>
      <c r="D50" s="266">
        <f t="shared" si="98"/>
        <v>42643</v>
      </c>
      <c r="E50" s="919" t="s">
        <v>118</v>
      </c>
      <c r="F50" s="920">
        <f ca="1">CV52</f>
        <v>0</v>
      </c>
      <c r="G50" s="921" t="s">
        <v>107</v>
      </c>
      <c r="H50" s="921" t="s">
        <v>103</v>
      </c>
      <c r="I50" s="63">
        <f t="shared" ca="1" si="97"/>
        <v>12</v>
      </c>
      <c r="J50" s="265">
        <f t="shared" si="61"/>
        <v>0</v>
      </c>
      <c r="K50" s="265">
        <f t="shared" si="62"/>
        <v>0</v>
      </c>
      <c r="L50" s="265">
        <f t="shared" si="1"/>
        <v>0</v>
      </c>
      <c r="M50" s="265">
        <f t="shared" si="2"/>
        <v>0</v>
      </c>
      <c r="N50" s="265">
        <f t="shared" si="3"/>
        <v>0</v>
      </c>
      <c r="O50" s="265">
        <f t="shared" si="4"/>
        <v>0</v>
      </c>
      <c r="P50" s="265">
        <f t="shared" si="5"/>
        <v>0</v>
      </c>
      <c r="Q50" s="265">
        <f t="shared" si="6"/>
        <v>0</v>
      </c>
      <c r="R50" s="265">
        <f t="shared" si="7"/>
        <v>0</v>
      </c>
      <c r="S50" s="265">
        <f t="shared" si="8"/>
        <v>0</v>
      </c>
      <c r="T50" s="265">
        <f t="shared" si="9"/>
        <v>0</v>
      </c>
      <c r="U50" s="265">
        <f t="shared" si="10"/>
        <v>0</v>
      </c>
      <c r="V50" s="265">
        <f t="shared" si="11"/>
        <v>0</v>
      </c>
      <c r="W50" s="265">
        <f t="shared" si="12"/>
        <v>0</v>
      </c>
      <c r="X50" s="265">
        <f t="shared" si="13"/>
        <v>0</v>
      </c>
      <c r="Y50" s="265">
        <f t="shared" si="14"/>
        <v>0</v>
      </c>
      <c r="Z50" s="265">
        <f t="shared" si="15"/>
        <v>0</v>
      </c>
      <c r="AA50" s="265">
        <f t="shared" si="16"/>
        <v>0</v>
      </c>
      <c r="AB50" s="265">
        <f t="shared" si="63"/>
        <v>0</v>
      </c>
      <c r="AC50" s="265">
        <f t="shared" si="64"/>
        <v>0</v>
      </c>
      <c r="AD50" s="265">
        <f t="shared" si="17"/>
        <v>0</v>
      </c>
      <c r="AE50" s="265">
        <f t="shared" si="18"/>
        <v>0</v>
      </c>
      <c r="AF50" s="265">
        <f t="shared" si="19"/>
        <v>0</v>
      </c>
      <c r="AG50" s="265">
        <f t="shared" si="20"/>
        <v>0</v>
      </c>
      <c r="AH50" s="265">
        <f t="shared" si="65"/>
        <v>0</v>
      </c>
      <c r="AI50" s="265">
        <f t="shared" si="66"/>
        <v>0</v>
      </c>
      <c r="AJ50" s="265">
        <f t="shared" si="67"/>
        <v>0</v>
      </c>
      <c r="AK50" s="265">
        <f t="shared" si="68"/>
        <v>0</v>
      </c>
      <c r="AL50" s="265">
        <f t="shared" si="69"/>
        <v>0</v>
      </c>
      <c r="AM50" s="265">
        <f t="shared" si="70"/>
        <v>0</v>
      </c>
      <c r="AN50" s="265">
        <f t="shared" si="71"/>
        <v>0</v>
      </c>
      <c r="AO50" s="265">
        <f t="shared" si="72"/>
        <v>0</v>
      </c>
      <c r="AP50" s="265">
        <f t="shared" si="21"/>
        <v>0</v>
      </c>
      <c r="AQ50" s="265">
        <f t="shared" si="22"/>
        <v>0</v>
      </c>
      <c r="AR50" s="265">
        <f t="shared" si="23"/>
        <v>0</v>
      </c>
      <c r="AS50" s="265">
        <f t="shared" si="24"/>
        <v>0</v>
      </c>
      <c r="AT50" s="265">
        <f t="shared" si="73"/>
        <v>0</v>
      </c>
      <c r="AU50" s="265">
        <f t="shared" si="74"/>
        <v>0</v>
      </c>
      <c r="AV50" s="265">
        <f t="shared" si="25"/>
        <v>0</v>
      </c>
      <c r="AW50" s="265">
        <f t="shared" si="26"/>
        <v>0</v>
      </c>
      <c r="AX50" s="265">
        <f t="shared" si="27"/>
        <v>0</v>
      </c>
      <c r="AY50" s="265">
        <f t="shared" si="28"/>
        <v>0</v>
      </c>
      <c r="AZ50" s="265">
        <f t="shared" si="29"/>
        <v>0</v>
      </c>
      <c r="BA50" s="265">
        <f t="shared" si="30"/>
        <v>0</v>
      </c>
      <c r="BB50" s="265">
        <f t="shared" si="31"/>
        <v>0</v>
      </c>
      <c r="BC50" s="265">
        <f t="shared" si="32"/>
        <v>0</v>
      </c>
      <c r="BD50" s="265">
        <f t="shared" si="33"/>
        <v>0</v>
      </c>
      <c r="BE50" s="265">
        <f t="shared" si="34"/>
        <v>0</v>
      </c>
      <c r="BF50" s="265">
        <f t="shared" si="35"/>
        <v>0</v>
      </c>
      <c r="BG50" s="265">
        <f t="shared" si="36"/>
        <v>0</v>
      </c>
      <c r="BH50" s="265">
        <f t="shared" si="75"/>
        <v>0</v>
      </c>
      <c r="BI50" s="265">
        <f t="shared" si="76"/>
        <v>0</v>
      </c>
      <c r="BJ50" s="265">
        <f t="shared" si="37"/>
        <v>0</v>
      </c>
      <c r="BK50" s="265">
        <f t="shared" si="38"/>
        <v>0</v>
      </c>
      <c r="BL50" s="265">
        <f t="shared" si="39"/>
        <v>0</v>
      </c>
      <c r="BM50" s="265">
        <f t="shared" si="40"/>
        <v>0</v>
      </c>
      <c r="BN50" s="265">
        <f t="shared" si="41"/>
        <v>0</v>
      </c>
      <c r="BO50" s="265">
        <f t="shared" si="42"/>
        <v>0</v>
      </c>
      <c r="BP50" s="265">
        <f t="shared" si="77"/>
        <v>0</v>
      </c>
      <c r="BQ50" s="265">
        <f t="shared" si="78"/>
        <v>0</v>
      </c>
      <c r="BR50" s="265">
        <f t="shared" si="43"/>
        <v>0</v>
      </c>
      <c r="BS50" s="265">
        <f t="shared" si="44"/>
        <v>0</v>
      </c>
      <c r="BT50" s="265">
        <f t="shared" si="79"/>
        <v>0</v>
      </c>
      <c r="BU50" s="265">
        <f t="shared" si="80"/>
        <v>0</v>
      </c>
      <c r="BV50" s="265">
        <f t="shared" si="81"/>
        <v>0</v>
      </c>
      <c r="BW50" s="265">
        <f t="shared" si="82"/>
        <v>0</v>
      </c>
      <c r="BX50" s="265">
        <f t="shared" si="45"/>
        <v>0</v>
      </c>
      <c r="BY50" s="265">
        <f t="shared" si="46"/>
        <v>0</v>
      </c>
      <c r="BZ50" s="265">
        <f t="shared" si="47"/>
        <v>0</v>
      </c>
      <c r="CA50" s="265">
        <f t="shared" si="48"/>
        <v>0</v>
      </c>
      <c r="CB50" s="265">
        <f t="shared" si="49"/>
        <v>0</v>
      </c>
      <c r="CC50" s="265">
        <f t="shared" si="50"/>
        <v>0</v>
      </c>
      <c r="CD50" s="265">
        <f t="shared" si="83"/>
        <v>0</v>
      </c>
      <c r="CE50" s="265">
        <f t="shared" si="84"/>
        <v>0</v>
      </c>
      <c r="CF50" s="265">
        <f t="shared" si="85"/>
        <v>0</v>
      </c>
      <c r="CG50" s="265">
        <f t="shared" si="86"/>
        <v>0</v>
      </c>
      <c r="CH50" s="265">
        <f t="shared" si="51"/>
        <v>0</v>
      </c>
      <c r="CI50" s="265">
        <f t="shared" si="52"/>
        <v>0</v>
      </c>
      <c r="CJ50" s="265">
        <f t="shared" si="87"/>
        <v>0</v>
      </c>
      <c r="CK50" s="265">
        <f t="shared" si="88"/>
        <v>0</v>
      </c>
      <c r="CL50" s="265">
        <f t="shared" si="53"/>
        <v>0</v>
      </c>
      <c r="CM50" s="265">
        <f t="shared" si="54"/>
        <v>0</v>
      </c>
      <c r="CN50" s="265">
        <f t="shared" si="55"/>
        <v>0</v>
      </c>
      <c r="CO50" s="265">
        <f t="shared" si="56"/>
        <v>0</v>
      </c>
      <c r="CP50" s="265">
        <f t="shared" si="89"/>
        <v>0</v>
      </c>
      <c r="CQ50" s="265">
        <f t="shared" si="90"/>
        <v>0</v>
      </c>
      <c r="CR50" s="265">
        <f t="shared" si="91"/>
        <v>0</v>
      </c>
      <c r="CS50" s="265">
        <f t="shared" si="92"/>
        <v>0</v>
      </c>
      <c r="CT50" s="265">
        <f t="shared" si="57"/>
        <v>0</v>
      </c>
      <c r="CU50" s="265">
        <f t="shared" si="58"/>
        <v>0</v>
      </c>
      <c r="CV50" s="265">
        <f t="shared" si="59"/>
        <v>0</v>
      </c>
      <c r="CW50" s="265">
        <f t="shared" ca="1" si="60"/>
        <v>0</v>
      </c>
      <c r="CX50" s="265">
        <f t="shared" si="93"/>
        <v>0</v>
      </c>
      <c r="CY50" s="265">
        <f t="shared" si="94"/>
        <v>0</v>
      </c>
      <c r="CZ50" s="265">
        <f t="shared" ca="1" si="95"/>
        <v>0</v>
      </c>
      <c r="DA50" s="265">
        <f t="shared" si="96"/>
        <v>0</v>
      </c>
    </row>
    <row r="51" spans="1:105" s="262" customFormat="1" ht="15.75" customHeight="1">
      <c r="A51" s="63" t="str">
        <f t="array" ref="A51">IF(C51&lt;&gt;0,SUM(($C$11:C51&lt;&gt;0)*1),"")</f>
        <v/>
      </c>
      <c r="B51" s="229"/>
      <c r="C51" s="267"/>
      <c r="D51" s="229"/>
      <c r="E51" s="264"/>
      <c r="F51" s="65"/>
      <c r="G51" s="268"/>
      <c r="H51" s="268"/>
      <c r="I51" s="63" t="str">
        <f>A51</f>
        <v/>
      </c>
      <c r="J51" s="265">
        <f>IF($G51="1111",$F51,0)</f>
        <v>0</v>
      </c>
      <c r="K51" s="265">
        <f>IF($H51="1111",$F51,0)</f>
        <v>0</v>
      </c>
      <c r="L51" s="265">
        <f>IF($G51="1121",$F51,0)</f>
        <v>0</v>
      </c>
      <c r="M51" s="265">
        <f>IF($H51="1121",$F51,0)</f>
        <v>0</v>
      </c>
      <c r="N51" s="265">
        <f>IF($G51="1122",$F51,0)</f>
        <v>0</v>
      </c>
      <c r="O51" s="265">
        <f>IF($H51="1122",$F51,0)</f>
        <v>0</v>
      </c>
      <c r="P51" s="265">
        <f>IF($G51="131",$F51,0)</f>
        <v>0</v>
      </c>
      <c r="Q51" s="265">
        <f>IF($H51="131",$F51,0)</f>
        <v>0</v>
      </c>
      <c r="R51" s="265">
        <f>IF($G51="1331",$F51,0)</f>
        <v>0</v>
      </c>
      <c r="S51" s="265">
        <f>IF($H51="1331",$F51,0)</f>
        <v>0</v>
      </c>
      <c r="T51" s="265">
        <f>IF($G51="1388",$F51,0)</f>
        <v>0</v>
      </c>
      <c r="U51" s="265">
        <f>IF($H51="1388",$F51,0)</f>
        <v>0</v>
      </c>
      <c r="V51" s="265">
        <f>IF($G51="141",$F51,0)</f>
        <v>0</v>
      </c>
      <c r="W51" s="265">
        <f>IF($H51="141",$F51,0)</f>
        <v>0</v>
      </c>
      <c r="X51" s="265">
        <f>IF($G51="1521",$F51,0)</f>
        <v>0</v>
      </c>
      <c r="Y51" s="265">
        <f>IF($H51="1521",$F51,0)</f>
        <v>0</v>
      </c>
      <c r="Z51" s="265">
        <f>IF($G51="1522",$F51,0)</f>
        <v>0</v>
      </c>
      <c r="AA51" s="265">
        <f>IF($H51="1522",$F51,0)</f>
        <v>0</v>
      </c>
      <c r="AB51" s="265">
        <f>IF($G51="153",$F51,0)</f>
        <v>0</v>
      </c>
      <c r="AC51" s="265">
        <f>IF($H51="153",$F51,0)</f>
        <v>0</v>
      </c>
      <c r="AD51" s="265">
        <f>IF($G51="154",$F51,0)</f>
        <v>0</v>
      </c>
      <c r="AE51" s="265">
        <f>IF($H51="154",$F51,0)</f>
        <v>0</v>
      </c>
      <c r="AF51" s="265">
        <f>IF($G51="155",$F51,0)</f>
        <v>0</v>
      </c>
      <c r="AG51" s="265">
        <f>IF($H51="155",$F51,0)</f>
        <v>0</v>
      </c>
      <c r="AH51" s="265">
        <f>IF($G51="2111",$F51,0)</f>
        <v>0</v>
      </c>
      <c r="AI51" s="265">
        <f>IF($H51="2111",$F51,0)</f>
        <v>0</v>
      </c>
      <c r="AJ51" s="265">
        <f>IF($G51="2112",$F51,0)</f>
        <v>0</v>
      </c>
      <c r="AK51" s="265">
        <f>IF($H51="2112",$F51,0)</f>
        <v>0</v>
      </c>
      <c r="AL51" s="265">
        <f>IF($G51="2113",$F51,0)</f>
        <v>0</v>
      </c>
      <c r="AM51" s="265">
        <f>IF($H51="2113",$F51,0)</f>
        <v>0</v>
      </c>
      <c r="AN51" s="265">
        <f>IF($G51="2131",$F51,0)</f>
        <v>0</v>
      </c>
      <c r="AO51" s="265">
        <f>IF($H51="2131",$F51,0)</f>
        <v>0</v>
      </c>
      <c r="AP51" s="265">
        <f>IF($G51="2141",$F51,0)</f>
        <v>0</v>
      </c>
      <c r="AQ51" s="265">
        <f>IF($H51="2141",$F51,0)</f>
        <v>0</v>
      </c>
      <c r="AR51" s="265">
        <f>IF($G51="2143",$F51,0)</f>
        <v>0</v>
      </c>
      <c r="AS51" s="265">
        <f>IF($H51="2143",$F51,0)</f>
        <v>0</v>
      </c>
      <c r="AT51" s="265">
        <f>IF($G51="2412",$F51,0)</f>
        <v>0</v>
      </c>
      <c r="AU51" s="265">
        <f>IF($H51="2412",$F51,0)</f>
        <v>0</v>
      </c>
      <c r="AV51" s="265">
        <f>IF($G51="331",$F51,0)</f>
        <v>0</v>
      </c>
      <c r="AW51" s="265">
        <f>IF($H51="331",$F51,0)</f>
        <v>0</v>
      </c>
      <c r="AX51" s="265">
        <f>IF($G51="33311",$F51,0)</f>
        <v>0</v>
      </c>
      <c r="AY51" s="265">
        <f>IF($H51="33311",$F51,0)</f>
        <v>0</v>
      </c>
      <c r="AZ51" s="265">
        <f>IF($G51="33312",$F51,0)</f>
        <v>0</v>
      </c>
      <c r="BA51" s="265">
        <f>IF($H51="33312",$F51,0)</f>
        <v>0</v>
      </c>
      <c r="BB51" s="265">
        <f>IF($G51="3333",$F51,0)</f>
        <v>0</v>
      </c>
      <c r="BC51" s="265">
        <f>IF($H51="3333",$F51,0)</f>
        <v>0</v>
      </c>
      <c r="BD51" s="265">
        <f>IF($G51="3334",$F51,0)</f>
        <v>0</v>
      </c>
      <c r="BE51" s="265">
        <f>IF($H51="3334",$F51,0)</f>
        <v>0</v>
      </c>
      <c r="BF51" s="265">
        <f>IF($G51="3335",$F51,0)</f>
        <v>0</v>
      </c>
      <c r="BG51" s="265">
        <f>IF($H51="3335",$F51,0)</f>
        <v>0</v>
      </c>
      <c r="BH51" s="265">
        <f>IF($G51="33382",$F51,0)</f>
        <v>0</v>
      </c>
      <c r="BI51" s="265">
        <f>IF($H51="33382",$F51,0)</f>
        <v>0</v>
      </c>
      <c r="BJ51" s="265">
        <f>IF($G51="3341",$F51,0)</f>
        <v>0</v>
      </c>
      <c r="BK51" s="265">
        <f>IF($H51="3341",$F51,0)</f>
        <v>0</v>
      </c>
      <c r="BL51" s="265">
        <f>IF($G51="3383",$F51,0)</f>
        <v>0</v>
      </c>
      <c r="BM51" s="265">
        <f>IF($H51="3383",$F51,0)</f>
        <v>0</v>
      </c>
      <c r="BN51" s="265">
        <f>IF($G51="3384",$F51,0)</f>
        <v>0</v>
      </c>
      <c r="BO51" s="265">
        <f>IF($H51="3384",$F51,0)</f>
        <v>0</v>
      </c>
      <c r="BP51" s="265">
        <f>IF($G51="3386",$F51,0)</f>
        <v>0</v>
      </c>
      <c r="BQ51" s="265">
        <f>IF($H51="3386",$F51,0)</f>
        <v>0</v>
      </c>
      <c r="BR51" s="265">
        <f>IF($G51="3388",$F51,0)</f>
        <v>0</v>
      </c>
      <c r="BS51" s="265">
        <f>IF($H51="3388",$F51,0)</f>
        <v>0</v>
      </c>
      <c r="BT51" s="265">
        <f>IF($G51="3411",$F51,0)</f>
        <v>0</v>
      </c>
      <c r="BU51" s="265">
        <f>IF($H51="3411",$F51,0)</f>
        <v>0</v>
      </c>
      <c r="BV51" s="265">
        <f>IF($G51="3412",$F51,0)</f>
        <v>0</v>
      </c>
      <c r="BW51" s="265">
        <f>IF($H51="3412",$F51,0)</f>
        <v>0</v>
      </c>
      <c r="BX51" s="265">
        <f>IF($G51="4111",$F51,0)</f>
        <v>0</v>
      </c>
      <c r="BY51" s="265">
        <f>IF($H51="4111",$F51,0)</f>
        <v>0</v>
      </c>
      <c r="BZ51" s="265">
        <f>IF($G51="4211",$F51,0)</f>
        <v>0</v>
      </c>
      <c r="CA51" s="265">
        <f>IF($H51="4211",$F51,0)</f>
        <v>0</v>
      </c>
      <c r="CB51" s="265">
        <f>IF($G51="4212",$F51,0)</f>
        <v>0</v>
      </c>
      <c r="CC51" s="265">
        <f>IF($H51="4212",$F51,0)</f>
        <v>0</v>
      </c>
      <c r="CD51" s="265">
        <f>IF($G51="5112N",$F51,0)</f>
        <v>0</v>
      </c>
      <c r="CE51" s="265">
        <f>IF($H51="5112N",$F51,0)</f>
        <v>0</v>
      </c>
      <c r="CF51" s="265">
        <f>IF($G51="5112X",$F51,0)</f>
        <v>0</v>
      </c>
      <c r="CG51" s="265">
        <f>IF($H51="5112X",$F51,0)</f>
        <v>0</v>
      </c>
      <c r="CH51" s="265">
        <f>IF($G51="515",$F51,0)</f>
        <v>0</v>
      </c>
      <c r="CI51" s="265">
        <f>IF($H51="515",$F51,0)</f>
        <v>0</v>
      </c>
      <c r="CJ51" s="265">
        <f>IF($G51="5213",$F51,0)</f>
        <v>0</v>
      </c>
      <c r="CK51" s="265">
        <f>IF($H51="5213",$F51,0)</f>
        <v>0</v>
      </c>
      <c r="CL51" s="265">
        <f>IF($G51="632",$F51,0)</f>
        <v>0</v>
      </c>
      <c r="CM51" s="265">
        <f>IF($H51="632",$F51,0)</f>
        <v>0</v>
      </c>
      <c r="CN51" s="265">
        <f>IF($G51="635",$F51,0)</f>
        <v>0</v>
      </c>
      <c r="CO51" s="265">
        <f>IF($H51="635",$F51,0)</f>
        <v>0</v>
      </c>
      <c r="CP51" s="265">
        <f>IF($G51="641",$F51,0)</f>
        <v>0</v>
      </c>
      <c r="CQ51" s="265">
        <f>IF($H51="641",$F51,0)</f>
        <v>0</v>
      </c>
      <c r="CR51" s="265">
        <f>IF($G51="642",$F51,0)</f>
        <v>0</v>
      </c>
      <c r="CS51" s="265">
        <f>IF($H51="642",$F51,0)</f>
        <v>0</v>
      </c>
      <c r="CT51" s="265">
        <f>IF($G51="711",$F51,0)</f>
        <v>0</v>
      </c>
      <c r="CU51" s="265">
        <f>IF($H51="711",$F51,0)</f>
        <v>0</v>
      </c>
      <c r="CV51" s="265">
        <f>IF($G51="811",$F51,0)</f>
        <v>0</v>
      </c>
      <c r="CW51" s="265">
        <f>IF($H51="811",$F51,0)</f>
        <v>0</v>
      </c>
      <c r="CX51" s="265">
        <f>IF($G51="821",$F51,0)</f>
        <v>0</v>
      </c>
      <c r="CY51" s="265">
        <f>IF($H51="821",$F51,0)</f>
        <v>0</v>
      </c>
      <c r="CZ51" s="265">
        <f>IF($G51="911",$F51,0)</f>
        <v>0</v>
      </c>
      <c r="DA51" s="265">
        <f>IF($H51="911",$F51,0)</f>
        <v>0</v>
      </c>
    </row>
    <row r="52" spans="1:105" s="262" customFormat="1" ht="15.75" customHeight="1">
      <c r="A52" s="269"/>
      <c r="B52" s="269"/>
      <c r="C52" s="296"/>
      <c r="D52" s="269"/>
      <c r="E52" s="264" t="s">
        <v>171</v>
      </c>
      <c r="F52" s="269"/>
      <c r="G52" s="268"/>
      <c r="H52" s="268"/>
      <c r="I52" s="269"/>
      <c r="J52" s="269">
        <f t="shared" ref="J52:AO52" ca="1" si="99">SUM(J11:J51)</f>
        <v>0</v>
      </c>
      <c r="K52" s="269">
        <f t="shared" ca="1" si="99"/>
        <v>0</v>
      </c>
      <c r="L52" s="269">
        <f t="shared" ca="1" si="99"/>
        <v>0</v>
      </c>
      <c r="M52" s="269">
        <f t="shared" ca="1" si="99"/>
        <v>0</v>
      </c>
      <c r="N52" s="269">
        <f t="shared" ca="1" si="99"/>
        <v>0</v>
      </c>
      <c r="O52" s="269">
        <f t="shared" ca="1" si="99"/>
        <v>0</v>
      </c>
      <c r="P52" s="269">
        <f t="shared" ca="1" si="99"/>
        <v>0</v>
      </c>
      <c r="Q52" s="269">
        <f t="shared" ca="1" si="99"/>
        <v>0</v>
      </c>
      <c r="R52" s="269">
        <f t="shared" ca="1" si="99"/>
        <v>0</v>
      </c>
      <c r="S52" s="269">
        <f t="shared" ca="1" si="99"/>
        <v>0</v>
      </c>
      <c r="T52" s="269">
        <f t="shared" ca="1" si="99"/>
        <v>0</v>
      </c>
      <c r="U52" s="269">
        <f t="shared" ca="1" si="99"/>
        <v>0</v>
      </c>
      <c r="V52" s="269">
        <f t="shared" ca="1" si="99"/>
        <v>0</v>
      </c>
      <c r="W52" s="269">
        <f t="shared" ca="1" si="99"/>
        <v>0</v>
      </c>
      <c r="X52" s="269">
        <f t="shared" ca="1" si="99"/>
        <v>0</v>
      </c>
      <c r="Y52" s="269">
        <f t="shared" ca="1" si="99"/>
        <v>0</v>
      </c>
      <c r="Z52" s="269">
        <f t="shared" ca="1" si="99"/>
        <v>0</v>
      </c>
      <c r="AA52" s="269">
        <f t="shared" ca="1" si="99"/>
        <v>0</v>
      </c>
      <c r="AB52" s="269">
        <f t="shared" ca="1" si="99"/>
        <v>0</v>
      </c>
      <c r="AC52" s="269">
        <f t="shared" ca="1" si="99"/>
        <v>0</v>
      </c>
      <c r="AD52" s="269">
        <f t="shared" ca="1" si="99"/>
        <v>0</v>
      </c>
      <c r="AE52" s="269">
        <f t="shared" ca="1" si="99"/>
        <v>0</v>
      </c>
      <c r="AF52" s="269">
        <f t="shared" ca="1" si="99"/>
        <v>0</v>
      </c>
      <c r="AG52" s="269">
        <f t="shared" ca="1" si="99"/>
        <v>0</v>
      </c>
      <c r="AH52" s="269">
        <f t="shared" ca="1" si="99"/>
        <v>0</v>
      </c>
      <c r="AI52" s="269">
        <f t="shared" ca="1" si="99"/>
        <v>0</v>
      </c>
      <c r="AJ52" s="269">
        <f t="shared" ca="1" si="99"/>
        <v>0</v>
      </c>
      <c r="AK52" s="269">
        <f t="shared" ca="1" si="99"/>
        <v>0</v>
      </c>
      <c r="AL52" s="269">
        <f t="shared" ca="1" si="99"/>
        <v>0</v>
      </c>
      <c r="AM52" s="269">
        <f t="shared" ca="1" si="99"/>
        <v>0</v>
      </c>
      <c r="AN52" s="269">
        <f t="shared" ca="1" si="99"/>
        <v>0</v>
      </c>
      <c r="AO52" s="269">
        <f t="shared" ca="1" si="99"/>
        <v>0</v>
      </c>
      <c r="AP52" s="269">
        <f t="shared" ref="AP52:BU52" ca="1" si="100">SUM(AP11:AP51)</f>
        <v>0</v>
      </c>
      <c r="AQ52" s="269">
        <f t="shared" ca="1" si="100"/>
        <v>0</v>
      </c>
      <c r="AR52" s="269">
        <f t="shared" ca="1" si="100"/>
        <v>0</v>
      </c>
      <c r="AS52" s="269">
        <f t="shared" ca="1" si="100"/>
        <v>0</v>
      </c>
      <c r="AT52" s="269">
        <f t="shared" ca="1" si="100"/>
        <v>0</v>
      </c>
      <c r="AU52" s="269">
        <f t="shared" ca="1" si="100"/>
        <v>0</v>
      </c>
      <c r="AV52" s="269">
        <f t="shared" ca="1" si="100"/>
        <v>0</v>
      </c>
      <c r="AW52" s="269">
        <f t="shared" ca="1" si="100"/>
        <v>0</v>
      </c>
      <c r="AX52" s="269">
        <f t="shared" ca="1" si="100"/>
        <v>0</v>
      </c>
      <c r="AY52" s="269">
        <f t="shared" ca="1" si="100"/>
        <v>0</v>
      </c>
      <c r="AZ52" s="269">
        <f t="shared" ca="1" si="100"/>
        <v>0</v>
      </c>
      <c r="BA52" s="269">
        <f t="shared" ca="1" si="100"/>
        <v>0</v>
      </c>
      <c r="BB52" s="269">
        <f t="shared" ca="1" si="100"/>
        <v>0</v>
      </c>
      <c r="BC52" s="269">
        <f t="shared" ca="1" si="100"/>
        <v>0</v>
      </c>
      <c r="BD52" s="269">
        <f t="shared" ca="1" si="100"/>
        <v>0</v>
      </c>
      <c r="BE52" s="269">
        <f t="shared" ca="1" si="100"/>
        <v>0</v>
      </c>
      <c r="BF52" s="269">
        <f t="shared" ca="1" si="100"/>
        <v>0</v>
      </c>
      <c r="BG52" s="269">
        <f t="shared" ca="1" si="100"/>
        <v>0</v>
      </c>
      <c r="BH52" s="269">
        <f t="shared" ca="1" si="100"/>
        <v>0</v>
      </c>
      <c r="BI52" s="269">
        <f t="shared" ca="1" si="100"/>
        <v>0</v>
      </c>
      <c r="BJ52" s="269">
        <f t="shared" ca="1" si="100"/>
        <v>0</v>
      </c>
      <c r="BK52" s="269">
        <f t="shared" ca="1" si="100"/>
        <v>0</v>
      </c>
      <c r="BL52" s="269">
        <f t="shared" ca="1" si="100"/>
        <v>0</v>
      </c>
      <c r="BM52" s="269">
        <f t="shared" ca="1" si="100"/>
        <v>0</v>
      </c>
      <c r="BN52" s="269">
        <f t="shared" ca="1" si="100"/>
        <v>0</v>
      </c>
      <c r="BO52" s="269">
        <f t="shared" ca="1" si="100"/>
        <v>0</v>
      </c>
      <c r="BP52" s="269">
        <f t="shared" ca="1" si="100"/>
        <v>0</v>
      </c>
      <c r="BQ52" s="269">
        <f t="shared" ca="1" si="100"/>
        <v>0</v>
      </c>
      <c r="BR52" s="269">
        <f t="shared" ca="1" si="100"/>
        <v>0</v>
      </c>
      <c r="BS52" s="269">
        <f t="shared" ca="1" si="100"/>
        <v>0</v>
      </c>
      <c r="BT52" s="269">
        <f t="shared" ca="1" si="100"/>
        <v>0</v>
      </c>
      <c r="BU52" s="269">
        <f t="shared" ca="1" si="100"/>
        <v>0</v>
      </c>
      <c r="BV52" s="269">
        <f t="shared" ref="BV52:DA52" ca="1" si="101">SUM(BV11:BV51)</f>
        <v>0</v>
      </c>
      <c r="BW52" s="269">
        <f t="shared" ca="1" si="101"/>
        <v>0</v>
      </c>
      <c r="BX52" s="269">
        <f t="shared" ca="1" si="101"/>
        <v>0</v>
      </c>
      <c r="BY52" s="269">
        <f t="shared" ca="1" si="101"/>
        <v>0</v>
      </c>
      <c r="BZ52" s="269">
        <f t="shared" ca="1" si="101"/>
        <v>0</v>
      </c>
      <c r="CA52" s="269">
        <f t="shared" ca="1" si="101"/>
        <v>0</v>
      </c>
      <c r="CB52" s="269">
        <f t="shared" ca="1" si="101"/>
        <v>0</v>
      </c>
      <c r="CC52" s="269">
        <f t="shared" ca="1" si="101"/>
        <v>0</v>
      </c>
      <c r="CD52" s="269">
        <f t="shared" ca="1" si="101"/>
        <v>0</v>
      </c>
      <c r="CE52" s="269">
        <f t="shared" ca="1" si="101"/>
        <v>0</v>
      </c>
      <c r="CF52" s="269">
        <f t="shared" ca="1" si="101"/>
        <v>0</v>
      </c>
      <c r="CG52" s="269">
        <f t="shared" ca="1" si="101"/>
        <v>0</v>
      </c>
      <c r="CH52" s="269">
        <f t="shared" ca="1" si="101"/>
        <v>0</v>
      </c>
      <c r="CI52" s="269">
        <f t="shared" ca="1" si="101"/>
        <v>0</v>
      </c>
      <c r="CJ52" s="269">
        <f t="shared" ca="1" si="101"/>
        <v>0</v>
      </c>
      <c r="CK52" s="269">
        <f t="shared" ca="1" si="101"/>
        <v>0</v>
      </c>
      <c r="CL52" s="269">
        <f t="shared" ca="1" si="101"/>
        <v>0</v>
      </c>
      <c r="CM52" s="269">
        <f t="shared" ca="1" si="101"/>
        <v>0</v>
      </c>
      <c r="CN52" s="269">
        <f t="shared" ca="1" si="101"/>
        <v>0</v>
      </c>
      <c r="CO52" s="269">
        <f t="shared" ca="1" si="101"/>
        <v>0</v>
      </c>
      <c r="CP52" s="269">
        <f t="shared" ca="1" si="101"/>
        <v>0</v>
      </c>
      <c r="CQ52" s="269">
        <f t="shared" ca="1" si="101"/>
        <v>0</v>
      </c>
      <c r="CR52" s="269">
        <f t="shared" ca="1" si="101"/>
        <v>0</v>
      </c>
      <c r="CS52" s="269">
        <f t="shared" ca="1" si="101"/>
        <v>0</v>
      </c>
      <c r="CT52" s="269">
        <f t="shared" ca="1" si="101"/>
        <v>0</v>
      </c>
      <c r="CU52" s="269">
        <f t="shared" ca="1" si="101"/>
        <v>0</v>
      </c>
      <c r="CV52" s="269">
        <f t="shared" ca="1" si="101"/>
        <v>0</v>
      </c>
      <c r="CW52" s="269">
        <f t="shared" ca="1" si="101"/>
        <v>0</v>
      </c>
      <c r="CX52" s="269">
        <f t="shared" ca="1" si="101"/>
        <v>0</v>
      </c>
      <c r="CY52" s="269">
        <f t="shared" ca="1" si="101"/>
        <v>0</v>
      </c>
      <c r="CZ52" s="269">
        <f t="shared" ca="1" si="101"/>
        <v>0</v>
      </c>
      <c r="DA52" s="269">
        <f t="shared" ca="1" si="101"/>
        <v>0</v>
      </c>
    </row>
    <row r="53" spans="1:105" s="262" customFormat="1" ht="15.75" customHeight="1">
      <c r="A53" s="270"/>
      <c r="B53" s="270"/>
      <c r="C53" s="270"/>
      <c r="D53" s="270"/>
      <c r="E53" s="271" t="s">
        <v>209</v>
      </c>
      <c r="F53" s="270"/>
      <c r="G53" s="272"/>
      <c r="H53" s="272"/>
      <c r="I53" s="270"/>
      <c r="J53" s="292">
        <f ca="1">MAX(J10+J52-K10-K52,0)</f>
        <v>3705039095</v>
      </c>
      <c r="K53" s="292">
        <f ca="1">MAX(K10+K52-J10-J52,0)</f>
        <v>0</v>
      </c>
      <c r="L53" s="292">
        <f ca="1">MAX(L10+L52-M10-M52,0)</f>
        <v>19829295</v>
      </c>
      <c r="M53" s="292">
        <f ca="1">MAX(M10+M52-L10-L52,0)</f>
        <v>0</v>
      </c>
      <c r="N53" s="292">
        <f ca="1">MAX(N10+N52-O10-O52,0)</f>
        <v>2236796790</v>
      </c>
      <c r="O53" s="292">
        <f ca="1">MAX(O10+O52-N10-N52,0)</f>
        <v>0</v>
      </c>
      <c r="P53" s="292">
        <f ca="1">MAX(P10+P52-Q10-Q52,0)</f>
        <v>3343381600</v>
      </c>
      <c r="Q53" s="292">
        <f ca="1">MAX(Q10+Q52-P10-P52,0)</f>
        <v>0</v>
      </c>
      <c r="R53" s="292">
        <f ca="1">MAX(R10+R52-S10-S52,0)</f>
        <v>162420936</v>
      </c>
      <c r="S53" s="292">
        <f ca="1">MAX(S10+S52-R10-R52,0)</f>
        <v>0</v>
      </c>
      <c r="T53" s="292">
        <f ca="1">MAX(T10+T52-U10-U52,0)</f>
        <v>1500000000</v>
      </c>
      <c r="U53" s="292">
        <f ca="1">MAX(U10+U52-T10-T52,0)</f>
        <v>0</v>
      </c>
      <c r="V53" s="292">
        <f ca="1">MAX(V10+V52-W10-W52,0)</f>
        <v>0</v>
      </c>
      <c r="W53" s="292">
        <f ca="1">MAX(W10+W52-V10-V52,0)</f>
        <v>0</v>
      </c>
      <c r="X53" s="292">
        <f ca="1">MAX(X10+X52-Y10-Y52,0)</f>
        <v>2772400000</v>
      </c>
      <c r="Y53" s="292">
        <f ca="1">MAX(Y10+Y52-X10-X52,0)</f>
        <v>0</v>
      </c>
      <c r="Z53" s="292">
        <f ca="1">MAX(Z10+Z52-AA10-AA52,0)</f>
        <v>526519887</v>
      </c>
      <c r="AA53" s="292">
        <f ca="1">MAX(AA10+AA52-Z10-Z52,0)</f>
        <v>0</v>
      </c>
      <c r="AB53" s="292">
        <f ca="1">MAX(AB10+AB52-AC10-AC52,0)</f>
        <v>0</v>
      </c>
      <c r="AC53" s="292">
        <f ca="1">MAX(AC10+AC52-AB10-AB52,0)</f>
        <v>0</v>
      </c>
      <c r="AD53" s="292">
        <f ca="1">MAX(AD10+AD52-AE10-AE52,0)</f>
        <v>0</v>
      </c>
      <c r="AE53" s="292">
        <f ca="1">MAX(AE10+AE52-AD10-AD52,0)</f>
        <v>0</v>
      </c>
      <c r="AF53" s="292">
        <f ca="1">MAX(AF10+AF52-AG10-AG52,0)</f>
        <v>9386323824</v>
      </c>
      <c r="AG53" s="292">
        <f ca="1">MAX(AG10+AG52-AF10-AF52,0)</f>
        <v>0</v>
      </c>
      <c r="AH53" s="292">
        <f ca="1">MAX(AH10+AH52-AI10-AI52,0)</f>
        <v>7490743648</v>
      </c>
      <c r="AI53" s="292">
        <f ca="1">MAX(AI10+AI52-AH10-AH52,0)</f>
        <v>0</v>
      </c>
      <c r="AJ53" s="292">
        <f ca="1">MAX(AJ10+AJ52-AK10-AK52,0)</f>
        <v>3807898863</v>
      </c>
      <c r="AK53" s="292">
        <f ca="1">MAX(AK10+AK52-AJ10-AJ52,0)</f>
        <v>0</v>
      </c>
      <c r="AL53" s="292">
        <f ca="1">MAX(AL10+AL52-AM10-AM52,0)</f>
        <v>3790918485</v>
      </c>
      <c r="AM53" s="292">
        <f ca="1">MAX(AM10+AM52-AL10-AL52,0)</f>
        <v>0</v>
      </c>
      <c r="AN53" s="292">
        <f ca="1">MAX(AN10+AN52-AO10-AO52,0)</f>
        <v>5405781300</v>
      </c>
      <c r="AO53" s="292">
        <f ca="1">MAX(AO10+AO52-AN10-AN52,0)</f>
        <v>0</v>
      </c>
      <c r="AP53" s="292">
        <f ca="1">MAX(AP10+AP52-AQ10-AQ52,0)</f>
        <v>0</v>
      </c>
      <c r="AQ53" s="292">
        <f ca="1">MAX(AQ10+AQ52-AP10-AP52,0)</f>
        <v>9132359256</v>
      </c>
      <c r="AR53" s="292">
        <f ca="1">MAX(AR10+AR52-AS10-AS52,0)</f>
        <v>0</v>
      </c>
      <c r="AS53" s="292">
        <f ca="1">MAX(AS10+AS52-AR10-AR52,0)</f>
        <v>600642360</v>
      </c>
      <c r="AT53" s="292">
        <f ca="1">MAX(AT10+AT52-AU10-AU52,0)</f>
        <v>0</v>
      </c>
      <c r="AU53" s="292">
        <f ca="1">MAX(AU10+AU52-AT10-AT52,0)</f>
        <v>0</v>
      </c>
      <c r="AV53" s="292">
        <f ca="1">MAX(AV10+AV52-AW10-AW52,0)</f>
        <v>0</v>
      </c>
      <c r="AW53" s="292">
        <f ca="1">MAX(AW10+AW52-AV10-AV52,0)</f>
        <v>476953252</v>
      </c>
      <c r="AX53" s="292">
        <f ca="1">MAX(AX10+AX52-AY10-AY52,0)</f>
        <v>0</v>
      </c>
      <c r="AY53" s="292">
        <f ca="1">MAX(AY10+AY52-AX10-AX52,0)</f>
        <v>0</v>
      </c>
      <c r="AZ53" s="292">
        <f ca="1">MAX(AZ10+AZ52-BA10-BA52,0)</f>
        <v>0</v>
      </c>
      <c r="BA53" s="292">
        <f ca="1">MAX(BA10+BA52-AZ10-AZ52,0)</f>
        <v>0</v>
      </c>
      <c r="BB53" s="292">
        <f ca="1">MAX(BB10+BB52-BC10-BC52,0)</f>
        <v>0</v>
      </c>
      <c r="BC53" s="292">
        <f ca="1">MAX(BC10+BC52-BB10-BB52,0)</f>
        <v>0</v>
      </c>
      <c r="BD53" s="292">
        <f ca="1">MAX(BD10+BD52-BE10-BE52,0)</f>
        <v>0</v>
      </c>
      <c r="BE53" s="292">
        <f ca="1">MAX(BE10+BE52-BD10-BD52,0)</f>
        <v>3313435</v>
      </c>
      <c r="BF53" s="292">
        <f ca="1">MAX(BF10+BF52-BG10-BG52,0)</f>
        <v>3389804</v>
      </c>
      <c r="BG53" s="292">
        <f ca="1">MAX(BG10+BG52-BF10-BF52,0)</f>
        <v>0</v>
      </c>
      <c r="BH53" s="292">
        <f ca="1">MAX(BH10+BH52-BI10-BI52,0)</f>
        <v>0</v>
      </c>
      <c r="BI53" s="292">
        <f ca="1">MAX(BI10+BI52-BH10-BH52,0)</f>
        <v>0</v>
      </c>
      <c r="BJ53" s="292">
        <f ca="1">MAX(BJ10+BJ52-BK10-BK52,0)</f>
        <v>0</v>
      </c>
      <c r="BK53" s="292">
        <f ca="1">MAX(BK10+BK52-BJ10-BJ52,0)</f>
        <v>0</v>
      </c>
      <c r="BL53" s="292">
        <f ca="1">MAX(BL10+BL52-BM10-BM52,0)</f>
        <v>0</v>
      </c>
      <c r="BM53" s="292">
        <f ca="1">MAX(BM10+BM52-BL10-BL52,0)</f>
        <v>40272309</v>
      </c>
      <c r="BN53" s="292">
        <f ca="1">MAX(BN10+BN52-BO10-BO52,0)</f>
        <v>0</v>
      </c>
      <c r="BO53" s="292">
        <f ca="1">MAX(BO10+BO52-BN10-BN52,0)</f>
        <v>6403142</v>
      </c>
      <c r="BP53" s="292">
        <f ca="1">MAX(BP10+BP52-BQ10-BQ52,0)</f>
        <v>0</v>
      </c>
      <c r="BQ53" s="292">
        <f ca="1">MAX(BQ10+BQ52-BP10-BP52,0)</f>
        <v>2761373</v>
      </c>
      <c r="BR53" s="292">
        <f ca="1">MAX(BR10+BR52-BS10-BS52,0)</f>
        <v>0</v>
      </c>
      <c r="BS53" s="292">
        <f ca="1">MAX(BS10+BS52-BR10-BR52,0)</f>
        <v>0</v>
      </c>
      <c r="BT53" s="292">
        <f ca="1">MAX(BT10+BT52-BU10-BU52,0)</f>
        <v>0</v>
      </c>
      <c r="BU53" s="292">
        <f ca="1">MAX(BU10+BU52-BT10-BT52,0)</f>
        <v>2169121879</v>
      </c>
      <c r="BV53" s="292">
        <f ca="1">MAX(BV10+BV52-BW10-BW52,0)</f>
        <v>0</v>
      </c>
      <c r="BW53" s="292">
        <f ca="1">MAX(BW10+BW52-BV10-BV52,0)</f>
        <v>21202920500</v>
      </c>
      <c r="BX53" s="292">
        <f ca="1">MAX(BX10+BX52-BY10-BY52,0)</f>
        <v>0</v>
      </c>
      <c r="BY53" s="292">
        <f ca="1">MAX(BY10+BY52-BX10-BX52,0)</f>
        <v>10000000000</v>
      </c>
      <c r="BZ53" s="292">
        <f ca="1">MAX(BZ10+BZ52-CA10-CA52,0)</f>
        <v>0</v>
      </c>
      <c r="CA53" s="292">
        <f ca="1">MAX(CA10+CA52-BZ10-BZ52,0)</f>
        <v>594397022.00000048</v>
      </c>
      <c r="CB53" s="292">
        <f ca="1">MAX(CB10+CB52-CC10-CC52,0)</f>
        <v>77701001</v>
      </c>
      <c r="CC53" s="292">
        <f ca="1">MAX(CC10+CC52-CB10-CB52,0)</f>
        <v>0</v>
      </c>
      <c r="CD53" s="292">
        <f ca="1">MAX(CD10+CD52-CE10-CE52,0)</f>
        <v>0</v>
      </c>
      <c r="CE53" s="292">
        <f ca="1">MAX(CE10+CE52-CD10-CD52,0)</f>
        <v>0</v>
      </c>
      <c r="CF53" s="292">
        <f ca="1">MAX(CF10+CF52-CG10-CG52,0)</f>
        <v>0</v>
      </c>
      <c r="CG53" s="292">
        <f ca="1">MAX(CG10+CG52-CF10-CF52,0)</f>
        <v>0</v>
      </c>
      <c r="CH53" s="292">
        <f ca="1">MAX(CH10+CH52-CI10-CI52,0)</f>
        <v>0</v>
      </c>
      <c r="CI53" s="292">
        <f ca="1">MAX(CI10+CI52-CH10-CH52,0)</f>
        <v>0</v>
      </c>
      <c r="CJ53" s="292">
        <f ca="1">MAX(CJ10+CJ52-CK10-CK52,0)</f>
        <v>0</v>
      </c>
      <c r="CK53" s="292">
        <f ca="1">MAX(CK10+CK52-CJ10-CJ52,0)</f>
        <v>0</v>
      </c>
      <c r="CL53" s="292">
        <f ca="1">MAX(CL10+CL52-CM10-CM52,0)</f>
        <v>0</v>
      </c>
      <c r="CM53" s="292">
        <f ca="1">MAX(CM10+CM52-CL10-CL52,0)</f>
        <v>0</v>
      </c>
      <c r="CN53" s="292">
        <f ca="1">MAX(CN10+CN52-CO10-CO52,0)</f>
        <v>0</v>
      </c>
      <c r="CO53" s="292">
        <f ca="1">MAX(CO10+CO52-CN10-CN52,0)</f>
        <v>0</v>
      </c>
      <c r="CP53" s="292">
        <f ca="1">MAX(CP10+CP52-CQ10-CQ52,0)</f>
        <v>0</v>
      </c>
      <c r="CQ53" s="292">
        <f ca="1">MAX(CQ10+CQ52-CP10-CP52,0)</f>
        <v>0</v>
      </c>
      <c r="CR53" s="292">
        <f ca="1">MAX(CR10+CR52-CS10-CS52,0)</f>
        <v>0</v>
      </c>
      <c r="CS53" s="292">
        <f ca="1">MAX(CS10+CS52-CR10-CR52,0)</f>
        <v>0</v>
      </c>
      <c r="CT53" s="292">
        <f ca="1">MAX(CT10+CT52-CU10-CU52,0)</f>
        <v>0</v>
      </c>
      <c r="CU53" s="292">
        <f ca="1">MAX(CU10+CU52-CT10-CT52,0)</f>
        <v>0</v>
      </c>
      <c r="CV53" s="292">
        <f ca="1">MAX(CV10+CV52-CW10-CW52,0)</f>
        <v>0</v>
      </c>
      <c r="CW53" s="292">
        <f ca="1">MAX(CW10+CW52-CV10-CV52,0)</f>
        <v>0</v>
      </c>
      <c r="CX53" s="292">
        <f ca="1">MAX(CX10+CX52-CY10-CY52,0)</f>
        <v>0</v>
      </c>
      <c r="CY53" s="292">
        <f ca="1">MAX(CY10+CY52-CX10-CX52,0)</f>
        <v>0</v>
      </c>
      <c r="CZ53" s="292">
        <f ca="1">MAX(CZ10+CZ52-DA10-DA52,0)</f>
        <v>0</v>
      </c>
      <c r="DA53" s="292">
        <f ca="1">MAX(DA10+DA52-CZ10-CZ52,0)</f>
        <v>0</v>
      </c>
    </row>
    <row r="54" spans="1:105" s="262" customFormat="1" ht="15.75" customHeight="1">
      <c r="A54" s="274"/>
      <c r="B54" s="274"/>
      <c r="C54" s="275"/>
      <c r="D54" s="274"/>
      <c r="E54" s="276" t="s">
        <v>210</v>
      </c>
      <c r="F54" s="274"/>
      <c r="G54" s="277"/>
      <c r="H54" s="277"/>
      <c r="I54" s="274"/>
      <c r="J54" s="274">
        <f ca="1">J52+'SC-II'!J54</f>
        <v>0</v>
      </c>
      <c r="K54" s="274">
        <f ca="1">K52+'SC-II'!K54</f>
        <v>0</v>
      </c>
      <c r="L54" s="274">
        <f ca="1">L52+'SC-II'!L54</f>
        <v>0</v>
      </c>
      <c r="M54" s="274">
        <f ca="1">M52+'SC-II'!M54</f>
        <v>0</v>
      </c>
      <c r="N54" s="274">
        <f ca="1">N52+'SC-II'!N54</f>
        <v>0</v>
      </c>
      <c r="O54" s="274">
        <f ca="1">O52+'SC-II'!O54</f>
        <v>0</v>
      </c>
      <c r="P54" s="274">
        <f ca="1">P52+'SC-II'!P54</f>
        <v>0</v>
      </c>
      <c r="Q54" s="274">
        <f ca="1">Q52+'SC-II'!Q54</f>
        <v>0</v>
      </c>
      <c r="R54" s="274">
        <f ca="1">R52+'SC-II'!R54</f>
        <v>0</v>
      </c>
      <c r="S54" s="274">
        <f ca="1">S52+'SC-II'!S54</f>
        <v>0</v>
      </c>
      <c r="T54" s="274">
        <f ca="1">T52+'SC-II'!T54</f>
        <v>0</v>
      </c>
      <c r="U54" s="274">
        <f ca="1">U52+'SC-II'!U54</f>
        <v>0</v>
      </c>
      <c r="V54" s="274">
        <f ca="1">V52+'SC-II'!V54</f>
        <v>0</v>
      </c>
      <c r="W54" s="274">
        <f ca="1">W52+'SC-II'!W54</f>
        <v>0</v>
      </c>
      <c r="X54" s="274">
        <f ca="1">X52+'SC-II'!X54</f>
        <v>0</v>
      </c>
      <c r="Y54" s="274">
        <f ca="1">Y52+'SC-II'!Y54</f>
        <v>0</v>
      </c>
      <c r="Z54" s="274">
        <f ca="1">Z52+'SC-II'!Z54</f>
        <v>0</v>
      </c>
      <c r="AA54" s="274">
        <f ca="1">AA52+'SC-II'!AA54</f>
        <v>0</v>
      </c>
      <c r="AB54" s="274">
        <f ca="1">AB52+'SC-II'!AB54</f>
        <v>0</v>
      </c>
      <c r="AC54" s="274">
        <f ca="1">AC52+'SC-II'!AC54</f>
        <v>0</v>
      </c>
      <c r="AD54" s="274">
        <f ca="1">AD52+'SC-II'!AD54</f>
        <v>0</v>
      </c>
      <c r="AE54" s="274">
        <f ca="1">AE52+'SC-II'!AE54</f>
        <v>0</v>
      </c>
      <c r="AF54" s="274">
        <f ca="1">AF52+'SC-II'!AF54</f>
        <v>0</v>
      </c>
      <c r="AG54" s="274">
        <f ca="1">AG52+'SC-II'!AG54</f>
        <v>0</v>
      </c>
      <c r="AH54" s="274">
        <f ca="1">AH52+'SC-II'!AH54</f>
        <v>0</v>
      </c>
      <c r="AI54" s="274">
        <f ca="1">AI52+'SC-II'!AI54</f>
        <v>0</v>
      </c>
      <c r="AJ54" s="274">
        <f ca="1">AJ52+'SC-II'!AJ54</f>
        <v>0</v>
      </c>
      <c r="AK54" s="274">
        <f ca="1">AK52+'SC-II'!AK54</f>
        <v>0</v>
      </c>
      <c r="AL54" s="274">
        <f ca="1">AL52+'SC-II'!AL54</f>
        <v>0</v>
      </c>
      <c r="AM54" s="274">
        <f ca="1">AM52+'SC-II'!AM54</f>
        <v>0</v>
      </c>
      <c r="AN54" s="274">
        <f ca="1">AN52+'SC-II'!AN54</f>
        <v>0</v>
      </c>
      <c r="AO54" s="274">
        <f ca="1">AO52+'SC-II'!AO54</f>
        <v>0</v>
      </c>
      <c r="AP54" s="274">
        <f ca="1">AP52+'SC-II'!AP54</f>
        <v>0</v>
      </c>
      <c r="AQ54" s="274">
        <f ca="1">AQ52+'SC-II'!AQ54</f>
        <v>0</v>
      </c>
      <c r="AR54" s="274">
        <f ca="1">AR52+'SC-II'!AR54</f>
        <v>0</v>
      </c>
      <c r="AS54" s="274">
        <f ca="1">AS52+'SC-II'!AS54</f>
        <v>0</v>
      </c>
      <c r="AT54" s="274">
        <f ca="1">AT52+'SC-II'!AT54</f>
        <v>0</v>
      </c>
      <c r="AU54" s="274">
        <f ca="1">AU52+'SC-II'!AU54</f>
        <v>0</v>
      </c>
      <c r="AV54" s="274">
        <f ca="1">AV52+'SC-II'!AV54</f>
        <v>0</v>
      </c>
      <c r="AW54" s="274">
        <f ca="1">AW52+'SC-II'!AW54</f>
        <v>0</v>
      </c>
      <c r="AX54" s="274">
        <f ca="1">AX52+'SC-II'!AX54</f>
        <v>0</v>
      </c>
      <c r="AY54" s="274">
        <f ca="1">AY52+'SC-II'!AY54</f>
        <v>0</v>
      </c>
      <c r="AZ54" s="274">
        <f ca="1">AZ52+'SC-II'!AZ54</f>
        <v>0</v>
      </c>
      <c r="BA54" s="274">
        <f ca="1">BA52+'SC-II'!BA54</f>
        <v>0</v>
      </c>
      <c r="BB54" s="274">
        <f ca="1">BB52+'SC-II'!BB54</f>
        <v>0</v>
      </c>
      <c r="BC54" s="274">
        <f ca="1">BC52+'SC-II'!BC54</f>
        <v>0</v>
      </c>
      <c r="BD54" s="274">
        <f ca="1">BD52+'SC-II'!BD54</f>
        <v>0</v>
      </c>
      <c r="BE54" s="274">
        <f ca="1">BE52+'SC-II'!BE54</f>
        <v>0</v>
      </c>
      <c r="BF54" s="274">
        <f ca="1">BF52+'SC-II'!BF54</f>
        <v>0</v>
      </c>
      <c r="BG54" s="274">
        <f ca="1">BG52+'SC-II'!BG54</f>
        <v>0</v>
      </c>
      <c r="BH54" s="274">
        <f ca="1">BH52+'SC-II'!BH54</f>
        <v>0</v>
      </c>
      <c r="BI54" s="274">
        <f ca="1">BI52+'SC-II'!BI54</f>
        <v>0</v>
      </c>
      <c r="BJ54" s="274">
        <f ca="1">BJ52+'SC-II'!BJ54</f>
        <v>0</v>
      </c>
      <c r="BK54" s="274">
        <f ca="1">BK52+'SC-II'!BK54</f>
        <v>0</v>
      </c>
      <c r="BL54" s="274">
        <f ca="1">BL52+'SC-II'!BL54</f>
        <v>0</v>
      </c>
      <c r="BM54" s="274">
        <f ca="1">BM52+'SC-II'!BM54</f>
        <v>0</v>
      </c>
      <c r="BN54" s="274">
        <f ca="1">BN52+'SC-II'!BN54</f>
        <v>0</v>
      </c>
      <c r="BO54" s="274">
        <f ca="1">BO52+'SC-II'!BO54</f>
        <v>0</v>
      </c>
      <c r="BP54" s="274">
        <f ca="1">BP52+'SC-II'!BP54</f>
        <v>0</v>
      </c>
      <c r="BQ54" s="274">
        <f ca="1">BQ52+'SC-II'!BQ54</f>
        <v>0</v>
      </c>
      <c r="BR54" s="274">
        <f ca="1">BR52+'SC-II'!BR54</f>
        <v>0</v>
      </c>
      <c r="BS54" s="274">
        <f ca="1">BS52+'SC-II'!BS54</f>
        <v>0</v>
      </c>
      <c r="BT54" s="274">
        <f ca="1">BT52+'SC-II'!BT54</f>
        <v>0</v>
      </c>
      <c r="BU54" s="274">
        <f ca="1">BU52+'SC-II'!BU54</f>
        <v>0</v>
      </c>
      <c r="BV54" s="274">
        <f ca="1">BV52+'SC-II'!BV54</f>
        <v>0</v>
      </c>
      <c r="BW54" s="274">
        <f ca="1">BW52+'SC-II'!BW54</f>
        <v>0</v>
      </c>
      <c r="BX54" s="274">
        <f ca="1">BX52+'SC-II'!BX54</f>
        <v>0</v>
      </c>
      <c r="BY54" s="274">
        <f ca="1">BY52+'SC-II'!BY54</f>
        <v>0</v>
      </c>
      <c r="BZ54" s="274">
        <f ca="1">BZ52+'SC-II'!BZ54</f>
        <v>0</v>
      </c>
      <c r="CA54" s="274">
        <f ca="1">CA52+'SC-II'!CA54</f>
        <v>107861885.00000048</v>
      </c>
      <c r="CB54" s="274">
        <f ca="1">CB52+'SC-II'!CB54</f>
        <v>107861885.00000048</v>
      </c>
      <c r="CC54" s="274">
        <f ca="1">CC52+'SC-II'!CC54</f>
        <v>0</v>
      </c>
      <c r="CD54" s="274">
        <f ca="1">CD52+'SC-II'!CD54</f>
        <v>0</v>
      </c>
      <c r="CE54" s="274">
        <f ca="1">CE52+'SC-II'!CE54</f>
        <v>0</v>
      </c>
      <c r="CF54" s="274">
        <f ca="1">CF52+'SC-II'!CF54</f>
        <v>0</v>
      </c>
      <c r="CG54" s="274">
        <f ca="1">CG52+'SC-II'!CG54</f>
        <v>0</v>
      </c>
      <c r="CH54" s="274">
        <f ca="1">CH52+'SC-II'!CH54</f>
        <v>0</v>
      </c>
      <c r="CI54" s="274">
        <f ca="1">CI52+'SC-II'!CI54</f>
        <v>0</v>
      </c>
      <c r="CJ54" s="274">
        <f ca="1">CJ52+'SC-II'!CJ54</f>
        <v>0</v>
      </c>
      <c r="CK54" s="274">
        <f ca="1">CK52+'SC-II'!CK54</f>
        <v>0</v>
      </c>
      <c r="CL54" s="274">
        <f ca="1">CL52+'SC-II'!CL54</f>
        <v>0</v>
      </c>
      <c r="CM54" s="274">
        <f ca="1">CM52+'SC-II'!CM54</f>
        <v>0</v>
      </c>
      <c r="CN54" s="274">
        <f ca="1">CN52+'SC-II'!CN54</f>
        <v>0</v>
      </c>
      <c r="CO54" s="274">
        <f ca="1">CO52+'SC-II'!CO54</f>
        <v>0</v>
      </c>
      <c r="CP54" s="274">
        <f ca="1">CP52+'SC-II'!CP54</f>
        <v>0</v>
      </c>
      <c r="CQ54" s="274">
        <f ca="1">CQ52+'SC-II'!CQ54</f>
        <v>0</v>
      </c>
      <c r="CR54" s="274">
        <f ca="1">CR52+'SC-II'!CR54</f>
        <v>0</v>
      </c>
      <c r="CS54" s="274">
        <f ca="1">CS52+'SC-II'!CS54</f>
        <v>0</v>
      </c>
      <c r="CT54" s="274">
        <f ca="1">CT52+'SC-II'!CT54</f>
        <v>0</v>
      </c>
      <c r="CU54" s="274">
        <f ca="1">CU52+'SC-II'!CU54</f>
        <v>0</v>
      </c>
      <c r="CV54" s="274">
        <f ca="1">CV52+'SC-II'!CV54</f>
        <v>0</v>
      </c>
      <c r="CW54" s="274">
        <f ca="1">CW52+'SC-II'!CW54</f>
        <v>0</v>
      </c>
      <c r="CX54" s="274">
        <f ca="1">CX52+'SC-II'!CX54</f>
        <v>0</v>
      </c>
      <c r="CY54" s="274">
        <f ca="1">CY52+'SC-II'!CY54</f>
        <v>0</v>
      </c>
      <c r="CZ54" s="274">
        <f ca="1">CZ52+'SC-II'!CZ54</f>
        <v>0</v>
      </c>
      <c r="DA54" s="274">
        <f ca="1">DA52+'SC-II'!DA54</f>
        <v>0</v>
      </c>
    </row>
    <row r="55" spans="1:105" ht="12" customHeight="1">
      <c r="B55" s="279"/>
      <c r="C55" s="280"/>
      <c r="D55" s="280"/>
      <c r="E55" s="280"/>
      <c r="F55" s="280"/>
      <c r="G55" s="281"/>
      <c r="H55" s="281"/>
      <c r="I55" s="280"/>
      <c r="J55" s="280"/>
      <c r="K55" s="280"/>
      <c r="AR55" s="279"/>
      <c r="AS55" s="279"/>
      <c r="AT55" s="280"/>
      <c r="AU55" s="280"/>
      <c r="AV55" s="280"/>
      <c r="AW55" s="281"/>
      <c r="AX55" s="281"/>
      <c r="AY55" s="281"/>
      <c r="AZ55" s="281"/>
      <c r="BA55" s="297"/>
    </row>
    <row r="56" spans="1:105">
      <c r="F56" s="243"/>
      <c r="M56" s="282"/>
      <c r="O56" s="282"/>
      <c r="Q56" s="282"/>
      <c r="R56" s="282"/>
      <c r="S56" s="282"/>
      <c r="T56" s="282"/>
      <c r="U56" s="282"/>
      <c r="V56" s="282"/>
      <c r="AL56" s="283" t="s">
        <v>225</v>
      </c>
      <c r="AM56" s="284"/>
      <c r="AN56" s="284"/>
      <c r="AO56" s="284"/>
      <c r="AP56" s="284"/>
      <c r="AQ56" s="284"/>
      <c r="AR56" s="285"/>
      <c r="AS56" s="285"/>
      <c r="AT56" s="284"/>
    </row>
    <row r="57" spans="1:105">
      <c r="F57" s="243"/>
      <c r="M57" s="282"/>
      <c r="O57" s="282"/>
      <c r="Q57" s="282"/>
      <c r="R57" s="282"/>
      <c r="S57" s="282"/>
      <c r="T57" s="282"/>
      <c r="U57" s="282"/>
      <c r="V57" s="282"/>
      <c r="AL57" s="286" t="s">
        <v>216</v>
      </c>
      <c r="AM57" s="284"/>
      <c r="AN57" s="284"/>
      <c r="AO57" s="284"/>
      <c r="AP57" s="284"/>
      <c r="AQ57" s="284"/>
      <c r="AR57" s="285"/>
      <c r="AS57" s="285"/>
      <c r="AT57" s="284"/>
    </row>
    <row r="58" spans="1:105">
      <c r="F58" s="243"/>
      <c r="M58" s="282"/>
      <c r="O58" s="282"/>
      <c r="Q58" s="282"/>
      <c r="R58" s="282"/>
      <c r="S58" s="282"/>
      <c r="T58" s="282"/>
      <c r="U58" s="282"/>
      <c r="V58" s="282"/>
      <c r="AL58" s="284"/>
      <c r="AM58" s="284"/>
      <c r="AN58" s="284"/>
      <c r="AO58" s="284"/>
      <c r="AP58" s="284"/>
      <c r="AQ58" s="284"/>
      <c r="AR58" s="284"/>
      <c r="AS58" s="284"/>
      <c r="AT58" s="285"/>
    </row>
    <row r="59" spans="1:105">
      <c r="F59" s="243"/>
      <c r="M59" s="282"/>
      <c r="O59" s="282"/>
      <c r="Q59" s="282"/>
      <c r="R59" s="282"/>
      <c r="S59" s="282"/>
      <c r="T59" s="282"/>
      <c r="U59" s="282"/>
      <c r="V59" s="282"/>
      <c r="AL59" s="284"/>
      <c r="AM59" s="284"/>
      <c r="AN59" s="284"/>
      <c r="AO59" s="284"/>
      <c r="AP59" s="284"/>
      <c r="AQ59" s="284"/>
      <c r="AR59" s="284"/>
      <c r="AS59" s="284"/>
      <c r="AT59" s="285"/>
      <c r="AZ59" s="287" t="str">
        <f>"Ngày 30 tháng 09 năm 2015 "</f>
        <v xml:space="preserve">Ngày 30 tháng 09 năm 2015 </v>
      </c>
    </row>
    <row r="60" spans="1:105">
      <c r="F60" s="243"/>
      <c r="M60" s="282"/>
      <c r="O60" s="282"/>
      <c r="Q60" s="282"/>
      <c r="R60" s="282"/>
      <c r="S60" s="282"/>
      <c r="T60" s="282"/>
      <c r="U60" s="282"/>
      <c r="V60" s="282"/>
      <c r="AL60" s="284"/>
      <c r="AM60" s="288" t="s">
        <v>11</v>
      </c>
      <c r="AN60" s="284"/>
      <c r="AO60" s="284"/>
      <c r="AP60" s="284"/>
      <c r="AQ60" s="284"/>
      <c r="AR60" s="284"/>
      <c r="AS60" s="289" t="s">
        <v>12</v>
      </c>
      <c r="AT60" s="285"/>
      <c r="AZ60" s="288" t="s">
        <v>128</v>
      </c>
    </row>
    <row r="61" spans="1:105">
      <c r="F61" s="243"/>
      <c r="M61" s="282"/>
      <c r="O61" s="282"/>
      <c r="Q61" s="282"/>
      <c r="R61" s="282"/>
      <c r="S61" s="282"/>
      <c r="T61" s="282"/>
      <c r="U61" s="282"/>
      <c r="V61" s="282"/>
      <c r="AL61" s="284"/>
      <c r="AM61" s="290" t="s">
        <v>13</v>
      </c>
      <c r="AN61" s="284"/>
      <c r="AO61" s="284"/>
      <c r="AP61" s="284"/>
      <c r="AQ61" s="284"/>
      <c r="AR61" s="284"/>
      <c r="AS61" s="291" t="s">
        <v>13</v>
      </c>
      <c r="AT61" s="285"/>
      <c r="AZ61" s="290" t="s">
        <v>158</v>
      </c>
    </row>
    <row r="62" spans="1:105">
      <c r="F62" s="243"/>
      <c r="M62" s="282"/>
      <c r="O62" s="282"/>
      <c r="Q62" s="282"/>
      <c r="R62" s="282"/>
      <c r="S62" s="282"/>
      <c r="T62" s="282"/>
      <c r="U62" s="282"/>
      <c r="V62" s="282"/>
      <c r="AL62" s="284"/>
      <c r="AM62" s="284"/>
      <c r="AN62" s="284"/>
      <c r="AO62" s="284"/>
      <c r="AP62" s="284"/>
      <c r="AQ62" s="284"/>
      <c r="AR62" s="284"/>
      <c r="AS62" s="284"/>
      <c r="AT62" s="285"/>
      <c r="AZ62" s="284"/>
    </row>
    <row r="63" spans="1:105">
      <c r="F63" s="243"/>
      <c r="M63" s="282"/>
      <c r="O63" s="282"/>
      <c r="Q63" s="282"/>
      <c r="R63" s="282"/>
      <c r="S63" s="282"/>
      <c r="T63" s="282"/>
      <c r="U63" s="282"/>
      <c r="V63" s="282"/>
      <c r="AZ63" s="284"/>
    </row>
    <row r="64" spans="1:105">
      <c r="F64" s="243"/>
      <c r="M64" s="282"/>
      <c r="O64" s="282"/>
      <c r="Q64" s="282"/>
      <c r="R64" s="282"/>
      <c r="S64" s="282"/>
      <c r="T64" s="282"/>
      <c r="U64" s="282"/>
      <c r="V64" s="282"/>
    </row>
    <row r="65" spans="6:22">
      <c r="F65" s="243"/>
      <c r="M65" s="282"/>
      <c r="O65" s="282"/>
      <c r="Q65" s="282"/>
      <c r="R65" s="282"/>
      <c r="S65" s="282"/>
      <c r="T65" s="282"/>
      <c r="U65" s="282"/>
      <c r="V65" s="282"/>
    </row>
    <row r="66" spans="6:22">
      <c r="F66" s="243"/>
      <c r="M66" s="282"/>
      <c r="O66" s="282"/>
      <c r="Q66" s="282"/>
      <c r="R66" s="282"/>
      <c r="S66" s="282"/>
      <c r="T66" s="282"/>
      <c r="U66" s="282"/>
      <c r="V66" s="282"/>
    </row>
    <row r="67" spans="6:22">
      <c r="F67" s="243"/>
      <c r="M67" s="282"/>
      <c r="O67" s="282"/>
      <c r="Q67" s="282"/>
      <c r="R67" s="282"/>
      <c r="S67" s="282"/>
      <c r="T67" s="282"/>
      <c r="U67" s="282"/>
      <c r="V67" s="282"/>
    </row>
    <row r="68" spans="6:22">
      <c r="F68" s="243"/>
      <c r="M68" s="282"/>
      <c r="O68" s="282"/>
      <c r="Q68" s="282"/>
      <c r="R68" s="282"/>
      <c r="S68" s="282"/>
      <c r="T68" s="282"/>
      <c r="U68" s="282"/>
      <c r="V68" s="282"/>
    </row>
    <row r="69" spans="6:22">
      <c r="F69" s="243"/>
      <c r="M69" s="282"/>
      <c r="O69" s="282"/>
      <c r="Q69" s="282"/>
      <c r="R69" s="282"/>
      <c r="S69" s="282"/>
      <c r="T69" s="282"/>
      <c r="U69" s="282"/>
      <c r="V69" s="282"/>
    </row>
    <row r="78" spans="6:22">
      <c r="R78" s="282"/>
    </row>
    <row r="79" spans="6:22">
      <c r="R79" s="282"/>
    </row>
    <row r="80" spans="6:22">
      <c r="M80" s="282"/>
      <c r="O80" s="282"/>
      <c r="P80" s="282"/>
      <c r="Q80" s="282"/>
      <c r="R80" s="282"/>
    </row>
    <row r="81" spans="13:18">
      <c r="M81" s="282"/>
      <c r="O81" s="282"/>
      <c r="P81" s="282"/>
      <c r="Q81" s="282"/>
      <c r="R81" s="282"/>
    </row>
    <row r="82" spans="13:18">
      <c r="M82" s="282"/>
      <c r="O82" s="282"/>
      <c r="P82" s="282"/>
      <c r="Q82" s="282"/>
    </row>
    <row r="83" spans="13:18">
      <c r="M83" s="282"/>
      <c r="O83" s="282"/>
      <c r="P83" s="282"/>
      <c r="Q83" s="282"/>
    </row>
    <row r="85" spans="13:18">
      <c r="M85" s="282"/>
      <c r="O85" s="282"/>
      <c r="P85" s="282"/>
      <c r="Q85" s="282"/>
      <c r="R85" s="282"/>
    </row>
    <row r="86" spans="13:18">
      <c r="M86" s="282"/>
      <c r="O86" s="282"/>
      <c r="P86" s="282"/>
      <c r="Q86" s="282"/>
      <c r="R86" s="282"/>
    </row>
    <row r="93" spans="13:18">
      <c r="M93" s="282"/>
      <c r="O93" s="282"/>
      <c r="P93" s="282"/>
      <c r="Q93" s="282"/>
      <c r="R93" s="282"/>
    </row>
    <row r="94" spans="13:18">
      <c r="M94" s="282"/>
      <c r="O94" s="282"/>
      <c r="P94" s="282"/>
      <c r="Q94" s="282"/>
      <c r="R94" s="282"/>
    </row>
    <row r="95" spans="13:18">
      <c r="M95" s="282"/>
      <c r="O95" s="282"/>
      <c r="P95" s="282"/>
      <c r="Q95" s="282"/>
      <c r="R95" s="282"/>
    </row>
    <row r="99" spans="13:18">
      <c r="M99" s="282"/>
      <c r="O99" s="282"/>
      <c r="P99" s="282"/>
      <c r="Q99" s="282"/>
      <c r="R99" s="282"/>
    </row>
    <row r="100" spans="13:18">
      <c r="M100" s="282"/>
      <c r="O100" s="282"/>
      <c r="P100" s="282"/>
      <c r="Q100" s="282"/>
      <c r="R100" s="282"/>
    </row>
    <row r="101" spans="13:18">
      <c r="M101" s="282"/>
      <c r="O101" s="282"/>
      <c r="P101" s="282"/>
      <c r="Q101" s="282"/>
      <c r="R101" s="282"/>
    </row>
    <row r="102" spans="13:18">
      <c r="M102" s="282"/>
      <c r="O102" s="282"/>
      <c r="P102" s="282"/>
      <c r="Q102" s="282"/>
      <c r="R102" s="282"/>
    </row>
    <row r="103" spans="13:18">
      <c r="M103" s="282"/>
      <c r="O103" s="282"/>
      <c r="P103" s="282"/>
      <c r="Q103" s="282"/>
      <c r="R103" s="282"/>
    </row>
    <row r="104" spans="13:18">
      <c r="M104" s="282"/>
      <c r="O104" s="282"/>
      <c r="P104" s="282"/>
      <c r="Q104" s="282"/>
      <c r="R104" s="282"/>
    </row>
    <row r="105" spans="13:18">
      <c r="M105" s="282"/>
      <c r="O105" s="282"/>
      <c r="P105" s="282"/>
      <c r="Q105" s="282"/>
      <c r="R105" s="282"/>
    </row>
    <row r="106" spans="13:18">
      <c r="M106" s="282"/>
      <c r="O106" s="282"/>
      <c r="P106" s="282"/>
      <c r="Q106" s="282"/>
      <c r="R106" s="282"/>
    </row>
    <row r="107" spans="13:18">
      <c r="M107" s="282"/>
      <c r="O107" s="282"/>
      <c r="P107" s="282"/>
      <c r="Q107" s="282"/>
      <c r="R107" s="282"/>
    </row>
    <row r="108" spans="13:18">
      <c r="M108" s="282"/>
      <c r="O108" s="282"/>
      <c r="P108" s="282"/>
      <c r="Q108" s="282"/>
      <c r="R108" s="282"/>
    </row>
    <row r="109" spans="13:18">
      <c r="M109" s="282"/>
      <c r="O109" s="282"/>
      <c r="P109" s="282"/>
      <c r="Q109" s="282"/>
      <c r="R109" s="282"/>
    </row>
    <row r="110" spans="13:18">
      <c r="M110" s="282"/>
      <c r="O110" s="282"/>
      <c r="P110" s="282"/>
      <c r="Q110" s="282"/>
      <c r="R110" s="282"/>
    </row>
    <row r="111" spans="13:18">
      <c r="M111" s="282"/>
      <c r="O111" s="282"/>
      <c r="P111" s="282"/>
      <c r="Q111" s="282"/>
      <c r="R111" s="282"/>
    </row>
    <row r="112" spans="13:18">
      <c r="M112" s="282"/>
      <c r="O112" s="282"/>
      <c r="P112" s="282"/>
      <c r="Q112" s="282"/>
      <c r="R112" s="282"/>
    </row>
    <row r="113" spans="13:18">
      <c r="M113" s="282"/>
      <c r="O113" s="282"/>
      <c r="P113" s="282"/>
      <c r="Q113" s="282"/>
      <c r="R113" s="282"/>
    </row>
    <row r="114" spans="13:18">
      <c r="M114" s="282"/>
      <c r="O114" s="282"/>
      <c r="P114" s="282"/>
      <c r="Q114" s="282"/>
      <c r="R114" s="282"/>
    </row>
    <row r="115" spans="13:18">
      <c r="M115" s="282"/>
      <c r="O115" s="282"/>
      <c r="P115" s="282"/>
      <c r="Q115" s="282"/>
      <c r="R115" s="282"/>
    </row>
    <row r="116" spans="13:18">
      <c r="M116" s="282"/>
      <c r="O116" s="282"/>
      <c r="P116" s="282"/>
      <c r="Q116" s="282"/>
      <c r="R116" s="282"/>
    </row>
    <row r="117" spans="13:18">
      <c r="M117" s="282"/>
      <c r="O117" s="282"/>
      <c r="P117" s="282"/>
      <c r="Q117" s="282"/>
      <c r="R117" s="282"/>
    </row>
    <row r="118" spans="13:18">
      <c r="M118" s="282"/>
      <c r="O118" s="282"/>
      <c r="P118" s="282"/>
      <c r="Q118" s="282"/>
      <c r="R118" s="282"/>
    </row>
    <row r="119" spans="13:18">
      <c r="M119" s="282"/>
      <c r="O119" s="282"/>
      <c r="P119" s="282"/>
      <c r="Q119" s="282"/>
      <c r="R119" s="282"/>
    </row>
    <row r="120" spans="13:18">
      <c r="M120" s="282"/>
      <c r="O120" s="282"/>
      <c r="P120" s="282"/>
      <c r="Q120" s="282"/>
      <c r="R120" s="282"/>
    </row>
    <row r="121" spans="13:18">
      <c r="M121" s="282"/>
      <c r="O121" s="282"/>
      <c r="P121" s="282"/>
      <c r="Q121" s="282"/>
      <c r="R121" s="282"/>
    </row>
    <row r="122" spans="13:18">
      <c r="M122" s="282"/>
      <c r="O122" s="282"/>
      <c r="P122" s="282"/>
      <c r="Q122" s="282"/>
      <c r="R122" s="282"/>
    </row>
    <row r="123" spans="13:18">
      <c r="M123" s="282"/>
      <c r="O123" s="282"/>
      <c r="P123" s="282"/>
      <c r="Q123" s="282"/>
      <c r="R123" s="282"/>
    </row>
    <row r="124" spans="13:18">
      <c r="M124" s="282"/>
      <c r="O124" s="282"/>
      <c r="P124" s="282"/>
      <c r="Q124" s="282"/>
      <c r="R124" s="282"/>
    </row>
    <row r="125" spans="13:18">
      <c r="M125" s="282"/>
      <c r="O125" s="282"/>
      <c r="P125" s="282"/>
      <c r="Q125" s="282"/>
      <c r="R125" s="282"/>
    </row>
    <row r="126" spans="13:18">
      <c r="M126" s="282"/>
      <c r="O126" s="282"/>
      <c r="P126" s="282"/>
      <c r="Q126" s="282"/>
      <c r="R126" s="282"/>
    </row>
    <row r="127" spans="13:18">
      <c r="M127" s="282"/>
      <c r="O127" s="282"/>
      <c r="P127" s="282"/>
      <c r="Q127" s="282"/>
      <c r="R127" s="282"/>
    </row>
    <row r="128" spans="13:18">
      <c r="M128" s="282"/>
      <c r="O128" s="282"/>
      <c r="P128" s="282"/>
      <c r="Q128" s="282"/>
      <c r="R128" s="282"/>
    </row>
    <row r="129" spans="13:18">
      <c r="M129" s="282"/>
      <c r="O129" s="282"/>
      <c r="P129" s="282"/>
      <c r="Q129" s="282"/>
      <c r="R129" s="282"/>
    </row>
    <row r="130" spans="13:18">
      <c r="M130" s="282"/>
      <c r="O130" s="282"/>
      <c r="P130" s="282"/>
      <c r="Q130" s="282"/>
      <c r="R130" s="282"/>
    </row>
    <row r="131" spans="13:18">
      <c r="M131" s="282"/>
      <c r="O131" s="282"/>
      <c r="P131" s="282"/>
      <c r="Q131" s="282"/>
      <c r="R131" s="282"/>
    </row>
    <row r="132" spans="13:18">
      <c r="M132" s="282"/>
      <c r="O132" s="282"/>
      <c r="P132" s="282"/>
      <c r="Q132" s="282"/>
      <c r="R132" s="282"/>
    </row>
    <row r="133" spans="13:18">
      <c r="M133" s="282"/>
      <c r="O133" s="282"/>
      <c r="P133" s="282"/>
      <c r="Q133" s="282"/>
      <c r="R133" s="282"/>
    </row>
    <row r="134" spans="13:18">
      <c r="M134" s="282"/>
      <c r="O134" s="282"/>
      <c r="P134" s="282"/>
      <c r="Q134" s="282"/>
      <c r="R134" s="282"/>
    </row>
    <row r="135" spans="13:18">
      <c r="M135" s="282"/>
      <c r="O135" s="282"/>
      <c r="P135" s="282"/>
      <c r="Q135" s="282"/>
      <c r="R135" s="282"/>
    </row>
    <row r="136" spans="13:18">
      <c r="M136" s="282"/>
      <c r="O136" s="282"/>
      <c r="P136" s="282"/>
      <c r="Q136" s="282"/>
      <c r="R136" s="282"/>
    </row>
    <row r="137" spans="13:18">
      <c r="M137" s="282"/>
      <c r="O137" s="282"/>
      <c r="P137" s="282"/>
      <c r="Q137" s="282"/>
      <c r="R137" s="282"/>
    </row>
    <row r="138" spans="13:18">
      <c r="M138" s="282"/>
      <c r="O138" s="282"/>
      <c r="P138" s="282"/>
      <c r="Q138" s="282"/>
      <c r="R138" s="282"/>
    </row>
    <row r="139" spans="13:18">
      <c r="M139" s="282"/>
      <c r="O139" s="282"/>
      <c r="P139" s="282"/>
      <c r="Q139" s="282"/>
      <c r="R139" s="282"/>
    </row>
    <row r="140" spans="13:18">
      <c r="M140" s="282"/>
      <c r="O140" s="282"/>
      <c r="P140" s="282"/>
      <c r="Q140" s="282"/>
      <c r="R140" s="282"/>
    </row>
    <row r="141" spans="13:18">
      <c r="M141" s="282"/>
      <c r="O141" s="282"/>
      <c r="P141" s="282"/>
      <c r="Q141" s="282"/>
      <c r="R141" s="282"/>
    </row>
    <row r="142" spans="13:18">
      <c r="M142" s="282"/>
      <c r="O142" s="282"/>
      <c r="P142" s="282"/>
      <c r="Q142" s="282"/>
      <c r="R142" s="282"/>
    </row>
    <row r="143" spans="13:18">
      <c r="M143" s="282"/>
      <c r="O143" s="282"/>
      <c r="P143" s="282"/>
      <c r="Q143" s="282"/>
      <c r="R143" s="282"/>
    </row>
    <row r="144" spans="13:18">
      <c r="M144" s="282"/>
      <c r="O144" s="282"/>
      <c r="P144" s="282"/>
      <c r="Q144" s="282"/>
      <c r="R144" s="282"/>
    </row>
    <row r="145" spans="13:18">
      <c r="M145" s="282"/>
      <c r="O145" s="282"/>
      <c r="P145" s="282"/>
      <c r="Q145" s="282"/>
      <c r="R145" s="282"/>
    </row>
    <row r="146" spans="13:18">
      <c r="M146" s="282"/>
      <c r="O146" s="282"/>
      <c r="P146" s="282"/>
      <c r="Q146" s="282"/>
      <c r="R146" s="282"/>
    </row>
    <row r="147" spans="13:18">
      <c r="M147" s="282"/>
      <c r="O147" s="282"/>
      <c r="P147" s="282"/>
      <c r="Q147" s="282"/>
      <c r="R147" s="282"/>
    </row>
    <row r="148" spans="13:18">
      <c r="M148" s="282"/>
      <c r="O148" s="282"/>
      <c r="P148" s="282"/>
      <c r="Q148" s="282"/>
      <c r="R148" s="282"/>
    </row>
    <row r="149" spans="13:18">
      <c r="M149" s="282"/>
      <c r="O149" s="282"/>
      <c r="P149" s="282"/>
      <c r="Q149" s="282"/>
      <c r="R149" s="282"/>
    </row>
    <row r="150" spans="13:18">
      <c r="M150" s="282"/>
      <c r="O150" s="282"/>
      <c r="P150" s="282"/>
      <c r="Q150" s="282"/>
      <c r="R150" s="282"/>
    </row>
    <row r="151" spans="13:18">
      <c r="M151" s="282"/>
      <c r="O151" s="282"/>
      <c r="P151" s="282"/>
      <c r="Q151" s="282"/>
      <c r="R151" s="282"/>
    </row>
    <row r="152" spans="13:18">
      <c r="M152" s="282"/>
      <c r="O152" s="282"/>
      <c r="P152" s="282"/>
      <c r="Q152" s="282"/>
      <c r="R152" s="282"/>
    </row>
    <row r="153" spans="13:18">
      <c r="M153" s="282"/>
      <c r="O153" s="282"/>
      <c r="P153" s="282"/>
      <c r="Q153" s="282"/>
      <c r="R153" s="282"/>
    </row>
    <row r="154" spans="13:18">
      <c r="M154" s="282"/>
      <c r="O154" s="282"/>
      <c r="P154" s="282"/>
      <c r="Q154" s="282"/>
      <c r="R154" s="282"/>
    </row>
    <row r="155" spans="13:18">
      <c r="M155" s="282"/>
      <c r="O155" s="282"/>
      <c r="P155" s="282"/>
      <c r="Q155" s="282"/>
      <c r="R155" s="282"/>
    </row>
    <row r="156" spans="13:18">
      <c r="M156" s="282"/>
      <c r="O156" s="282"/>
      <c r="P156" s="282"/>
      <c r="Q156" s="282"/>
      <c r="R156" s="282"/>
    </row>
    <row r="157" spans="13:18">
      <c r="M157" s="282"/>
      <c r="O157" s="282"/>
      <c r="P157" s="282"/>
      <c r="Q157" s="282"/>
      <c r="R157" s="282"/>
    </row>
    <row r="158" spans="13:18">
      <c r="M158" s="282"/>
      <c r="O158" s="282"/>
      <c r="P158" s="282"/>
      <c r="Q158" s="282"/>
      <c r="R158" s="282"/>
    </row>
    <row r="159" spans="13:18">
      <c r="M159" s="282"/>
      <c r="O159" s="282"/>
      <c r="P159" s="282"/>
      <c r="Q159" s="282"/>
      <c r="R159" s="282"/>
    </row>
    <row r="160" spans="13:18">
      <c r="M160" s="282"/>
      <c r="O160" s="282"/>
      <c r="P160" s="282"/>
      <c r="Q160" s="282"/>
      <c r="R160" s="282"/>
    </row>
    <row r="161" spans="13:18">
      <c r="M161" s="282"/>
      <c r="O161" s="282"/>
      <c r="P161" s="282"/>
      <c r="Q161" s="282"/>
      <c r="R161" s="282"/>
    </row>
    <row r="162" spans="13:18">
      <c r="M162" s="282"/>
      <c r="O162" s="282"/>
      <c r="P162" s="282"/>
      <c r="Q162" s="282"/>
      <c r="R162" s="282"/>
    </row>
    <row r="163" spans="13:18">
      <c r="M163" s="282"/>
      <c r="O163" s="282"/>
      <c r="P163" s="282"/>
      <c r="Q163" s="282"/>
      <c r="R163" s="282"/>
    </row>
    <row r="164" spans="13:18">
      <c r="M164" s="282"/>
      <c r="O164" s="282"/>
      <c r="P164" s="282"/>
      <c r="Q164" s="282"/>
      <c r="R164" s="282"/>
    </row>
    <row r="165" spans="13:18">
      <c r="M165" s="282"/>
      <c r="O165" s="282"/>
      <c r="P165" s="282"/>
      <c r="Q165" s="282"/>
      <c r="R165" s="282"/>
    </row>
    <row r="166" spans="13:18">
      <c r="M166" s="282"/>
      <c r="O166" s="282"/>
      <c r="P166" s="282"/>
      <c r="Q166" s="282"/>
      <c r="R166" s="282"/>
    </row>
    <row r="167" spans="13:18">
      <c r="M167" s="282"/>
      <c r="O167" s="282"/>
      <c r="P167" s="282"/>
      <c r="Q167" s="282"/>
      <c r="R167" s="282"/>
    </row>
    <row r="168" spans="13:18">
      <c r="M168" s="282"/>
      <c r="O168" s="282"/>
      <c r="P168" s="282"/>
      <c r="Q168" s="282"/>
      <c r="R168" s="282"/>
    </row>
    <row r="169" spans="13:18">
      <c r="M169" s="282"/>
      <c r="O169" s="282"/>
      <c r="P169" s="282"/>
      <c r="Q169" s="282"/>
      <c r="R169" s="282"/>
    </row>
    <row r="170" spans="13:18">
      <c r="M170" s="282"/>
      <c r="O170" s="282"/>
      <c r="P170" s="282"/>
      <c r="Q170" s="282"/>
      <c r="R170" s="282"/>
    </row>
    <row r="171" spans="13:18">
      <c r="M171" s="282"/>
      <c r="O171" s="282"/>
      <c r="P171" s="282"/>
      <c r="Q171" s="282"/>
      <c r="R171" s="282"/>
    </row>
    <row r="172" spans="13:18">
      <c r="M172" s="282"/>
      <c r="O172" s="282"/>
      <c r="P172" s="282"/>
      <c r="Q172" s="282"/>
      <c r="R172" s="282"/>
    </row>
    <row r="173" spans="13:18">
      <c r="M173" s="282"/>
      <c r="O173" s="282"/>
      <c r="P173" s="282"/>
      <c r="Q173" s="282"/>
      <c r="R173" s="28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3" customWidth="1"/>
    <col min="2" max="2" width="8.42578125" style="243" customWidth="1"/>
    <col min="3" max="3" width="7.85546875" style="243" customWidth="1"/>
    <col min="4" max="4" width="8.7109375" style="243" customWidth="1"/>
    <col min="5" max="5" width="44" style="243" customWidth="1"/>
    <col min="6" max="6" width="13.5703125" style="243" customWidth="1"/>
    <col min="7" max="8" width="5.85546875" style="244" customWidth="1"/>
    <col min="9" max="9" width="4.85546875" style="243" customWidth="1"/>
    <col min="10" max="10" width="13.140625" style="243" customWidth="1"/>
    <col min="11" max="11" width="13.28515625" style="243" customWidth="1"/>
    <col min="12" max="12" width="13.7109375" style="243" customWidth="1"/>
    <col min="13" max="13" width="14" style="243" customWidth="1"/>
    <col min="14" max="14" width="13.7109375" style="243" customWidth="1"/>
    <col min="15" max="15" width="14" style="243" customWidth="1"/>
    <col min="16" max="16" width="12.7109375" style="243" customWidth="1"/>
    <col min="17" max="17" width="14.5703125" style="243" customWidth="1"/>
    <col min="18" max="18" width="13.28515625" style="243" customWidth="1"/>
    <col min="19" max="19" width="13" style="243" customWidth="1"/>
    <col min="20" max="20" width="14" style="243" customWidth="1"/>
    <col min="21" max="21" width="5" style="243" customWidth="1"/>
    <col min="22" max="22" width="13.7109375" style="243" customWidth="1"/>
    <col min="23" max="23" width="13.42578125" style="243" customWidth="1"/>
    <col min="24" max="24" width="6.140625" style="243" customWidth="1"/>
    <col min="25" max="25" width="7.140625" style="243" customWidth="1"/>
    <col min="26" max="27" width="9.42578125" style="243" customWidth="1"/>
    <col min="28" max="28" width="11.140625" style="243" customWidth="1"/>
    <col min="29" max="29" width="13" style="243" customWidth="1"/>
    <col min="30" max="30" width="4.5703125" style="243" customWidth="1"/>
    <col min="31" max="31" width="13.5703125" style="243" customWidth="1"/>
    <col min="32" max="32" width="4.5703125" style="243" customWidth="1"/>
    <col min="33" max="33" width="13.5703125" style="243" customWidth="1"/>
    <col min="34" max="34" width="4.42578125" style="243" customWidth="1"/>
    <col min="35" max="35" width="12.7109375" style="243" customWidth="1"/>
    <col min="36" max="36" width="11.140625" style="243" customWidth="1"/>
    <col min="37" max="37" width="4.7109375" style="243" customWidth="1"/>
    <col min="38" max="38" width="12.28515625" style="243" customWidth="1"/>
    <col min="39" max="39" width="11.42578125" style="243" customWidth="1"/>
    <col min="40" max="40" width="11.28515625" style="243" customWidth="1"/>
    <col min="41" max="41" width="11.140625" style="243" customWidth="1"/>
    <col min="42" max="43" width="12.5703125" style="243" customWidth="1"/>
    <col min="44" max="44" width="13.42578125" style="243" customWidth="1"/>
    <col min="45" max="45" width="12.7109375" style="243" customWidth="1"/>
    <col min="46" max="46" width="11.85546875" style="243" customWidth="1"/>
    <col min="47" max="47" width="11.5703125" style="243" customWidth="1"/>
    <col min="48" max="48" width="7.5703125" style="243" customWidth="1"/>
    <col min="49" max="49" width="8.140625" style="243" customWidth="1"/>
    <col min="50" max="50" width="7.5703125" style="243" customWidth="1"/>
    <col min="51" max="51" width="7.42578125" style="243" customWidth="1"/>
    <col min="52" max="53" width="13.140625" style="243" customWidth="1"/>
    <col min="54" max="16384" width="9.140625" style="243"/>
  </cols>
  <sheetData>
    <row r="1" spans="1:105" ht="12.75" customHeight="1">
      <c r="A1" s="239"/>
      <c r="B1" s="240" t="s">
        <v>119</v>
      </c>
      <c r="C1" s="241"/>
      <c r="D1" s="241"/>
      <c r="E1" s="242"/>
      <c r="I1" s="241"/>
      <c r="L1" s="1374" t="s">
        <v>184</v>
      </c>
      <c r="M1" s="1374"/>
      <c r="N1" s="1374"/>
      <c r="O1" s="1374"/>
      <c r="P1" s="1374"/>
      <c r="Q1" s="1374"/>
      <c r="R1" s="335"/>
      <c r="T1" s="241"/>
      <c r="U1" s="241"/>
      <c r="V1" s="241"/>
      <c r="W1" s="241"/>
      <c r="X1" s="241"/>
      <c r="Y1" s="241"/>
      <c r="Z1" s="241"/>
      <c r="AA1" s="241"/>
      <c r="AB1" s="241"/>
      <c r="AC1" s="241"/>
      <c r="AD1" s="241"/>
      <c r="AE1" s="241"/>
      <c r="AF1" s="395"/>
      <c r="AG1" s="395"/>
      <c r="AH1" s="241"/>
      <c r="AI1" s="241"/>
      <c r="AJ1" s="241"/>
      <c r="AK1" s="241"/>
      <c r="AL1" s="241"/>
      <c r="AM1" s="241"/>
      <c r="AN1" s="241"/>
      <c r="AO1" s="241"/>
      <c r="AP1" s="241"/>
      <c r="AQ1" s="241"/>
      <c r="AR1" s="241"/>
      <c r="AS1" s="241"/>
      <c r="AT1" s="241"/>
      <c r="AU1" s="241"/>
      <c r="AV1" s="241"/>
      <c r="AW1" s="241"/>
      <c r="AX1" s="241"/>
      <c r="AY1" s="241"/>
      <c r="AZ1" s="241"/>
      <c r="BA1" s="241"/>
    </row>
    <row r="2" spans="1:105" ht="12.75" customHeight="1">
      <c r="A2" s="239"/>
      <c r="B2" s="240" t="s">
        <v>175</v>
      </c>
      <c r="C2" s="241"/>
      <c r="D2" s="241"/>
      <c r="E2" s="241"/>
      <c r="I2" s="245"/>
      <c r="L2" s="1375" t="s">
        <v>141</v>
      </c>
      <c r="M2" s="1375"/>
      <c r="N2" s="1375"/>
      <c r="O2" s="1375"/>
      <c r="P2" s="1375"/>
      <c r="Q2" s="1375"/>
      <c r="R2" s="336"/>
      <c r="T2" s="245"/>
      <c r="U2" s="245"/>
      <c r="V2" s="245"/>
      <c r="W2" s="245"/>
      <c r="X2" s="245"/>
      <c r="Y2" s="245"/>
      <c r="Z2" s="245"/>
      <c r="AA2" s="245"/>
      <c r="AB2" s="245"/>
      <c r="AC2" s="245"/>
      <c r="AD2" s="245"/>
      <c r="AE2" s="245"/>
      <c r="AF2" s="396"/>
      <c r="AG2" s="396"/>
      <c r="AH2" s="245"/>
      <c r="AI2" s="245"/>
      <c r="AJ2" s="245"/>
      <c r="AK2" s="245"/>
      <c r="AL2" s="245"/>
      <c r="AM2" s="245"/>
      <c r="AN2" s="245"/>
      <c r="AO2" s="245"/>
      <c r="AP2" s="245"/>
      <c r="AQ2" s="245"/>
      <c r="AR2" s="245"/>
      <c r="AS2" s="245"/>
      <c r="AT2" s="245"/>
      <c r="AU2" s="245"/>
      <c r="AV2" s="245"/>
      <c r="AW2" s="245"/>
      <c r="AX2" s="245"/>
      <c r="AY2" s="245"/>
      <c r="AZ2" s="245"/>
      <c r="BA2" s="245"/>
    </row>
    <row r="3" spans="1:105" ht="10.5" customHeight="1">
      <c r="A3" s="241"/>
      <c r="B3" s="241"/>
      <c r="C3" s="241"/>
      <c r="D3" s="241"/>
      <c r="E3" s="241"/>
      <c r="F3" s="245"/>
      <c r="G3" s="247"/>
      <c r="H3" s="247"/>
      <c r="I3" s="245"/>
      <c r="L3" s="1375"/>
      <c r="M3" s="1375"/>
      <c r="N3" s="1375"/>
      <c r="O3" s="1375"/>
      <c r="P3" s="1375"/>
      <c r="Q3" s="1375"/>
      <c r="R3" s="336"/>
      <c r="T3" s="245"/>
      <c r="U3" s="245"/>
      <c r="V3" s="245"/>
      <c r="W3" s="245"/>
      <c r="X3" s="245"/>
      <c r="Y3" s="245"/>
      <c r="Z3" s="245"/>
      <c r="AA3" s="245"/>
      <c r="AB3" s="245"/>
      <c r="AC3" s="245"/>
      <c r="AD3" s="245"/>
      <c r="AE3" s="245"/>
      <c r="AF3" s="396"/>
      <c r="AG3" s="396"/>
      <c r="AH3" s="245"/>
      <c r="AI3" s="245"/>
      <c r="AJ3" s="245"/>
      <c r="AK3" s="245"/>
      <c r="AL3" s="245"/>
      <c r="AM3" s="245"/>
      <c r="AN3" s="245"/>
      <c r="AO3" s="245"/>
      <c r="AP3" s="245"/>
      <c r="AQ3" s="245"/>
      <c r="AR3" s="245"/>
      <c r="AS3" s="245"/>
      <c r="AT3" s="245"/>
      <c r="AU3" s="245"/>
      <c r="AV3" s="245"/>
      <c r="AW3" s="245"/>
      <c r="AX3" s="245"/>
      <c r="AY3" s="245"/>
      <c r="AZ3" s="245"/>
      <c r="BA3" s="245"/>
    </row>
    <row r="4" spans="1:105" ht="19.5" customHeight="1">
      <c r="B4" s="1376" t="s">
        <v>110</v>
      </c>
      <c r="C4" s="1376"/>
      <c r="D4" s="1376"/>
      <c r="E4" s="1376"/>
      <c r="F4" s="1376"/>
      <c r="G4" s="1376"/>
      <c r="H4" s="1376"/>
      <c r="I4" s="1376"/>
      <c r="J4" s="1376"/>
      <c r="K4" s="1376"/>
      <c r="L4" s="1376"/>
      <c r="M4" s="1376"/>
      <c r="N4" s="1376"/>
      <c r="O4" s="1376"/>
      <c r="P4" s="1376"/>
      <c r="Q4" s="1376"/>
      <c r="R4" s="1376"/>
      <c r="S4" s="248"/>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row>
    <row r="5" spans="1:105" ht="15">
      <c r="B5" s="1377" t="s">
        <v>217</v>
      </c>
      <c r="C5" s="1377"/>
      <c r="D5" s="1377"/>
      <c r="E5" s="1377"/>
      <c r="F5" s="1377"/>
      <c r="G5" s="1377"/>
      <c r="H5" s="1377"/>
      <c r="I5" s="1377"/>
      <c r="J5" s="1377"/>
      <c r="K5" s="1377"/>
      <c r="L5" s="1377"/>
      <c r="M5" s="1377"/>
      <c r="N5" s="1377"/>
      <c r="O5" s="1377"/>
      <c r="P5" s="1377"/>
      <c r="Q5" s="1377"/>
      <c r="R5" s="1377"/>
      <c r="S5" s="251"/>
    </row>
    <row r="7" spans="1:105" ht="13.5" customHeight="1">
      <c r="A7" s="1378" t="s">
        <v>35</v>
      </c>
      <c r="B7" s="1373" t="s">
        <v>21</v>
      </c>
      <c r="C7" s="1380" t="s">
        <v>1</v>
      </c>
      <c r="D7" s="1381"/>
      <c r="E7" s="1373" t="s">
        <v>0</v>
      </c>
      <c r="F7" s="1373" t="s">
        <v>111</v>
      </c>
      <c r="G7" s="1382" t="s">
        <v>112</v>
      </c>
      <c r="H7" s="1382"/>
      <c r="I7" s="1383" t="s">
        <v>35</v>
      </c>
      <c r="J7" s="1373" t="s">
        <v>186</v>
      </c>
      <c r="K7" s="1373"/>
      <c r="L7" s="1373" t="s">
        <v>187</v>
      </c>
      <c r="M7" s="1373"/>
      <c r="N7" s="1373" t="s">
        <v>262</v>
      </c>
      <c r="O7" s="1373"/>
      <c r="P7" s="1373" t="s">
        <v>953</v>
      </c>
      <c r="Q7" s="1373"/>
      <c r="R7" s="1373" t="s">
        <v>188</v>
      </c>
      <c r="S7" s="1373"/>
      <c r="T7" s="1373" t="s">
        <v>189</v>
      </c>
      <c r="U7" s="1373"/>
      <c r="V7" s="1373" t="s">
        <v>954</v>
      </c>
      <c r="W7" s="1373"/>
      <c r="X7" s="1373" t="s">
        <v>955</v>
      </c>
      <c r="Y7" s="1373"/>
      <c r="Z7" s="1373" t="s">
        <v>956</v>
      </c>
      <c r="AA7" s="1373"/>
      <c r="AB7" s="1373" t="s">
        <v>957</v>
      </c>
      <c r="AC7" s="1373"/>
      <c r="AD7" s="1373" t="s">
        <v>958</v>
      </c>
      <c r="AE7" s="1373"/>
      <c r="AF7" s="1373" t="s">
        <v>959</v>
      </c>
      <c r="AG7" s="1373"/>
      <c r="AH7" s="1373" t="s">
        <v>960</v>
      </c>
      <c r="AI7" s="1373"/>
      <c r="AJ7" s="1373" t="s">
        <v>961</v>
      </c>
      <c r="AK7" s="1373"/>
      <c r="AL7" s="1373" t="s">
        <v>962</v>
      </c>
      <c r="AM7" s="1373"/>
      <c r="AN7" s="1373" t="s">
        <v>963</v>
      </c>
      <c r="AO7" s="1373"/>
      <c r="AP7" s="1373" t="s">
        <v>964</v>
      </c>
      <c r="AQ7" s="1373"/>
      <c r="AR7" s="1373" t="s">
        <v>965</v>
      </c>
      <c r="AS7" s="1373"/>
      <c r="AT7" s="1373" t="s">
        <v>190</v>
      </c>
      <c r="AU7" s="1373"/>
      <c r="AV7" s="1373" t="s">
        <v>191</v>
      </c>
      <c r="AW7" s="1373"/>
      <c r="AX7" s="1373" t="s">
        <v>966</v>
      </c>
      <c r="AY7" s="1373"/>
      <c r="AZ7" s="1373" t="s">
        <v>967</v>
      </c>
      <c r="BA7" s="1373"/>
      <c r="BB7" s="1373" t="s">
        <v>968</v>
      </c>
      <c r="BC7" s="1373"/>
      <c r="BD7" s="1373" t="s">
        <v>192</v>
      </c>
      <c r="BE7" s="1373"/>
      <c r="BF7" s="1373" t="s">
        <v>969</v>
      </c>
      <c r="BG7" s="1373"/>
      <c r="BH7" s="1373" t="s">
        <v>193</v>
      </c>
      <c r="BI7" s="1373"/>
      <c r="BJ7" s="1373" t="s">
        <v>970</v>
      </c>
      <c r="BK7" s="1373"/>
      <c r="BL7" s="1373" t="s">
        <v>971</v>
      </c>
      <c r="BM7" s="1373"/>
      <c r="BN7" s="1373" t="s">
        <v>972</v>
      </c>
      <c r="BO7" s="1373"/>
      <c r="BP7" s="1373" t="s">
        <v>973</v>
      </c>
      <c r="BQ7" s="1373"/>
      <c r="BR7" s="1373" t="s">
        <v>194</v>
      </c>
      <c r="BS7" s="1373"/>
      <c r="BT7" s="1373" t="s">
        <v>195</v>
      </c>
      <c r="BU7" s="1373"/>
      <c r="BV7" s="1373" t="s">
        <v>257</v>
      </c>
      <c r="BW7" s="1373"/>
      <c r="BX7" s="1373" t="s">
        <v>196</v>
      </c>
      <c r="BY7" s="1373"/>
      <c r="BZ7" s="1373" t="s">
        <v>197</v>
      </c>
      <c r="CA7" s="1373"/>
      <c r="CB7" s="1373" t="s">
        <v>198</v>
      </c>
      <c r="CC7" s="1373"/>
      <c r="CD7" s="1373" t="s">
        <v>974</v>
      </c>
      <c r="CE7" s="1373"/>
      <c r="CF7" s="1373" t="s">
        <v>975</v>
      </c>
      <c r="CG7" s="1373"/>
      <c r="CH7" s="1373" t="s">
        <v>199</v>
      </c>
      <c r="CI7" s="1373"/>
      <c r="CJ7" s="1373" t="s">
        <v>976</v>
      </c>
      <c r="CK7" s="1373"/>
      <c r="CL7" s="1373" t="s">
        <v>977</v>
      </c>
      <c r="CM7" s="1373"/>
      <c r="CN7" s="1373" t="s">
        <v>200</v>
      </c>
      <c r="CO7" s="1373"/>
      <c r="CP7" s="1373" t="s">
        <v>978</v>
      </c>
      <c r="CQ7" s="1373"/>
      <c r="CR7" s="1373" t="s">
        <v>201</v>
      </c>
      <c r="CS7" s="1373"/>
      <c r="CT7" s="1373" t="s">
        <v>202</v>
      </c>
      <c r="CU7" s="1373"/>
      <c r="CV7" s="1373" t="s">
        <v>203</v>
      </c>
      <c r="CW7" s="1373"/>
      <c r="CX7" s="1373" t="s">
        <v>204</v>
      </c>
      <c r="CY7" s="1373"/>
      <c r="CZ7" s="1373" t="s">
        <v>205</v>
      </c>
      <c r="DA7" s="1373"/>
    </row>
    <row r="8" spans="1:105" ht="22.5" customHeight="1">
      <c r="A8" s="1379"/>
      <c r="B8" s="1373"/>
      <c r="C8" s="939" t="s">
        <v>16</v>
      </c>
      <c r="D8" s="938" t="s">
        <v>32</v>
      </c>
      <c r="E8" s="1373"/>
      <c r="F8" s="1373"/>
      <c r="G8" s="940" t="s">
        <v>23</v>
      </c>
      <c r="H8" s="940" t="s">
        <v>24</v>
      </c>
      <c r="I8" s="1383"/>
      <c r="J8" s="938" t="s">
        <v>23</v>
      </c>
      <c r="K8" s="938" t="s">
        <v>24</v>
      </c>
      <c r="L8" s="938" t="s">
        <v>23</v>
      </c>
      <c r="M8" s="938" t="s">
        <v>24</v>
      </c>
      <c r="N8" s="938" t="s">
        <v>23</v>
      </c>
      <c r="O8" s="938" t="s">
        <v>24</v>
      </c>
      <c r="P8" s="938" t="s">
        <v>23</v>
      </c>
      <c r="Q8" s="938" t="s">
        <v>24</v>
      </c>
      <c r="R8" s="938" t="s">
        <v>23</v>
      </c>
      <c r="S8" s="938" t="s">
        <v>24</v>
      </c>
      <c r="T8" s="938" t="s">
        <v>23</v>
      </c>
      <c r="U8" s="938" t="s">
        <v>24</v>
      </c>
      <c r="V8" s="938" t="s">
        <v>23</v>
      </c>
      <c r="W8" s="938" t="s">
        <v>24</v>
      </c>
      <c r="X8" s="938" t="s">
        <v>23</v>
      </c>
      <c r="Y8" s="938" t="s">
        <v>24</v>
      </c>
      <c r="Z8" s="938" t="s">
        <v>23</v>
      </c>
      <c r="AA8" s="938" t="s">
        <v>24</v>
      </c>
      <c r="AB8" s="938" t="s">
        <v>23</v>
      </c>
      <c r="AC8" s="938" t="s">
        <v>24</v>
      </c>
      <c r="AD8" s="938" t="s">
        <v>23</v>
      </c>
      <c r="AE8" s="938" t="s">
        <v>24</v>
      </c>
      <c r="AF8" s="938" t="s">
        <v>23</v>
      </c>
      <c r="AG8" s="938" t="s">
        <v>24</v>
      </c>
      <c r="AH8" s="938" t="s">
        <v>23</v>
      </c>
      <c r="AI8" s="938" t="s">
        <v>24</v>
      </c>
      <c r="AJ8" s="938" t="s">
        <v>23</v>
      </c>
      <c r="AK8" s="938" t="s">
        <v>24</v>
      </c>
      <c r="AL8" s="938" t="s">
        <v>23</v>
      </c>
      <c r="AM8" s="938" t="s">
        <v>24</v>
      </c>
      <c r="AN8" s="938" t="s">
        <v>23</v>
      </c>
      <c r="AO8" s="938" t="s">
        <v>24</v>
      </c>
      <c r="AP8" s="938" t="s">
        <v>23</v>
      </c>
      <c r="AQ8" s="938" t="s">
        <v>24</v>
      </c>
      <c r="AR8" s="938" t="s">
        <v>23</v>
      </c>
      <c r="AS8" s="938" t="s">
        <v>24</v>
      </c>
      <c r="AT8" s="938" t="s">
        <v>23</v>
      </c>
      <c r="AU8" s="938" t="s">
        <v>24</v>
      </c>
      <c r="AV8" s="938" t="s">
        <v>23</v>
      </c>
      <c r="AW8" s="938" t="s">
        <v>24</v>
      </c>
      <c r="AX8" s="938" t="s">
        <v>23</v>
      </c>
      <c r="AY8" s="938" t="s">
        <v>24</v>
      </c>
      <c r="AZ8" s="938" t="s">
        <v>23</v>
      </c>
      <c r="BA8" s="938" t="s">
        <v>24</v>
      </c>
      <c r="BB8" s="938" t="s">
        <v>23</v>
      </c>
      <c r="BC8" s="938" t="s">
        <v>24</v>
      </c>
      <c r="BD8" s="938" t="s">
        <v>23</v>
      </c>
      <c r="BE8" s="938" t="s">
        <v>24</v>
      </c>
      <c r="BF8" s="938" t="s">
        <v>23</v>
      </c>
      <c r="BG8" s="938" t="s">
        <v>24</v>
      </c>
      <c r="BH8" s="938" t="s">
        <v>23</v>
      </c>
      <c r="BI8" s="938" t="s">
        <v>24</v>
      </c>
      <c r="BJ8" s="938" t="s">
        <v>23</v>
      </c>
      <c r="BK8" s="938" t="s">
        <v>24</v>
      </c>
      <c r="BL8" s="938" t="s">
        <v>23</v>
      </c>
      <c r="BM8" s="938" t="s">
        <v>24</v>
      </c>
      <c r="BN8" s="938" t="s">
        <v>23</v>
      </c>
      <c r="BO8" s="938" t="s">
        <v>24</v>
      </c>
      <c r="BP8" s="938" t="s">
        <v>23</v>
      </c>
      <c r="BQ8" s="938" t="s">
        <v>24</v>
      </c>
      <c r="BR8" s="938" t="s">
        <v>23</v>
      </c>
      <c r="BS8" s="938" t="s">
        <v>24</v>
      </c>
      <c r="BT8" s="938" t="s">
        <v>23</v>
      </c>
      <c r="BU8" s="938" t="s">
        <v>24</v>
      </c>
      <c r="BV8" s="938" t="s">
        <v>23</v>
      </c>
      <c r="BW8" s="938" t="s">
        <v>24</v>
      </c>
      <c r="BX8" s="938" t="s">
        <v>23</v>
      </c>
      <c r="BY8" s="938" t="s">
        <v>24</v>
      </c>
      <c r="BZ8" s="938" t="s">
        <v>23</v>
      </c>
      <c r="CA8" s="938" t="s">
        <v>24</v>
      </c>
      <c r="CB8" s="938" t="s">
        <v>23</v>
      </c>
      <c r="CC8" s="938" t="s">
        <v>24</v>
      </c>
      <c r="CD8" s="938" t="s">
        <v>23</v>
      </c>
      <c r="CE8" s="938" t="s">
        <v>24</v>
      </c>
      <c r="CF8" s="938" t="s">
        <v>23</v>
      </c>
      <c r="CG8" s="938" t="s">
        <v>24</v>
      </c>
      <c r="CH8" s="938" t="s">
        <v>23</v>
      </c>
      <c r="CI8" s="938" t="s">
        <v>24</v>
      </c>
      <c r="CJ8" s="938" t="s">
        <v>23</v>
      </c>
      <c r="CK8" s="938" t="s">
        <v>24</v>
      </c>
      <c r="CL8" s="938" t="s">
        <v>23</v>
      </c>
      <c r="CM8" s="938" t="s">
        <v>24</v>
      </c>
      <c r="CN8" s="938" t="s">
        <v>23</v>
      </c>
      <c r="CO8" s="938" t="s">
        <v>24</v>
      </c>
      <c r="CP8" s="938" t="s">
        <v>23</v>
      </c>
      <c r="CQ8" s="938" t="s">
        <v>24</v>
      </c>
      <c r="CR8" s="938" t="s">
        <v>23</v>
      </c>
      <c r="CS8" s="938" t="s">
        <v>24</v>
      </c>
      <c r="CT8" s="938" t="s">
        <v>23</v>
      </c>
      <c r="CU8" s="938" t="s">
        <v>24</v>
      </c>
      <c r="CV8" s="938" t="s">
        <v>23</v>
      </c>
      <c r="CW8" s="938" t="s">
        <v>24</v>
      </c>
      <c r="CX8" s="938" t="s">
        <v>23</v>
      </c>
      <c r="CY8" s="938" t="s">
        <v>24</v>
      </c>
      <c r="CZ8" s="938" t="s">
        <v>23</v>
      </c>
      <c r="DA8" s="938" t="s">
        <v>24</v>
      </c>
    </row>
    <row r="9" spans="1:105" s="254" customFormat="1" ht="8.25" customHeight="1">
      <c r="A9" s="253">
        <v>1</v>
      </c>
      <c r="B9" s="253">
        <v>2</v>
      </c>
      <c r="C9" s="253">
        <v>3</v>
      </c>
      <c r="D9" s="253">
        <v>4</v>
      </c>
      <c r="E9" s="253">
        <v>5</v>
      </c>
      <c r="F9" s="253">
        <v>6</v>
      </c>
      <c r="G9" s="253">
        <v>7</v>
      </c>
      <c r="H9" s="253">
        <v>8</v>
      </c>
      <c r="I9" s="253">
        <v>9</v>
      </c>
      <c r="J9" s="253">
        <v>10</v>
      </c>
      <c r="K9" s="253">
        <v>11</v>
      </c>
      <c r="L9" s="253">
        <v>12</v>
      </c>
      <c r="M9" s="253">
        <v>13</v>
      </c>
      <c r="N9" s="253">
        <v>14</v>
      </c>
      <c r="O9" s="253">
        <v>15</v>
      </c>
      <c r="P9" s="253">
        <v>16</v>
      </c>
      <c r="Q9" s="253">
        <v>17</v>
      </c>
      <c r="R9" s="253">
        <v>18</v>
      </c>
      <c r="S9" s="253">
        <v>19</v>
      </c>
      <c r="T9" s="253">
        <v>20</v>
      </c>
      <c r="U9" s="253">
        <v>21</v>
      </c>
      <c r="V9" s="253">
        <v>22</v>
      </c>
      <c r="W9" s="253">
        <v>23</v>
      </c>
      <c r="X9" s="253">
        <v>24</v>
      </c>
      <c r="Y9" s="253">
        <v>25</v>
      </c>
      <c r="Z9" s="253">
        <v>26</v>
      </c>
      <c r="AA9" s="253">
        <v>27</v>
      </c>
      <c r="AB9" s="253">
        <v>28</v>
      </c>
      <c r="AC9" s="253">
        <v>29</v>
      </c>
      <c r="AD9" s="253">
        <v>30</v>
      </c>
      <c r="AE9" s="253">
        <v>31</v>
      </c>
      <c r="AF9" s="253">
        <v>32</v>
      </c>
      <c r="AG9" s="253">
        <v>33</v>
      </c>
      <c r="AH9" s="253">
        <v>34</v>
      </c>
      <c r="AI9" s="253">
        <v>35</v>
      </c>
      <c r="AJ9" s="253">
        <v>36</v>
      </c>
      <c r="AK9" s="253">
        <v>37</v>
      </c>
      <c r="AL9" s="253">
        <v>38</v>
      </c>
      <c r="AM9" s="253">
        <v>39</v>
      </c>
      <c r="AN9" s="253">
        <v>40</v>
      </c>
      <c r="AO9" s="253">
        <v>41</v>
      </c>
      <c r="AP9" s="253">
        <v>42</v>
      </c>
      <c r="AQ9" s="253">
        <v>43</v>
      </c>
      <c r="AR9" s="253">
        <v>44</v>
      </c>
      <c r="AS9" s="253">
        <v>45</v>
      </c>
      <c r="AT9" s="253">
        <v>46</v>
      </c>
      <c r="AU9" s="253">
        <v>47</v>
      </c>
      <c r="AV9" s="253">
        <v>48</v>
      </c>
      <c r="AW9" s="253">
        <v>49</v>
      </c>
      <c r="AX9" s="253">
        <v>50</v>
      </c>
      <c r="AY9" s="253">
        <v>51</v>
      </c>
      <c r="AZ9" s="253">
        <v>52</v>
      </c>
      <c r="BA9" s="253">
        <v>53</v>
      </c>
      <c r="BB9" s="253">
        <v>54</v>
      </c>
      <c r="BC9" s="253">
        <v>55</v>
      </c>
      <c r="BD9" s="253">
        <v>56</v>
      </c>
      <c r="BE9" s="253">
        <v>57</v>
      </c>
      <c r="BF9" s="253">
        <v>58</v>
      </c>
      <c r="BG9" s="253">
        <v>59</v>
      </c>
      <c r="BH9" s="253">
        <v>60</v>
      </c>
      <c r="BI9" s="253">
        <v>61</v>
      </c>
      <c r="BJ9" s="253">
        <v>62</v>
      </c>
      <c r="BK9" s="253">
        <v>63</v>
      </c>
      <c r="BL9" s="253">
        <v>64</v>
      </c>
      <c r="BM9" s="253">
        <v>65</v>
      </c>
      <c r="BN9" s="253">
        <v>66</v>
      </c>
      <c r="BO9" s="253">
        <v>67</v>
      </c>
      <c r="BP9" s="253">
        <v>68</v>
      </c>
      <c r="BQ9" s="253">
        <v>69</v>
      </c>
      <c r="BR9" s="253">
        <v>70</v>
      </c>
      <c r="BS9" s="253">
        <v>71</v>
      </c>
      <c r="BT9" s="253">
        <v>72</v>
      </c>
      <c r="BU9" s="253">
        <v>73</v>
      </c>
      <c r="BV9" s="253">
        <v>72</v>
      </c>
      <c r="BW9" s="253">
        <v>73</v>
      </c>
      <c r="BX9" s="253">
        <v>74</v>
      </c>
      <c r="BY9" s="253">
        <v>75</v>
      </c>
      <c r="BZ9" s="253">
        <v>76</v>
      </c>
      <c r="CA9" s="253">
        <v>77</v>
      </c>
      <c r="CB9" s="253">
        <v>78</v>
      </c>
      <c r="CC9" s="253">
        <v>79</v>
      </c>
      <c r="CD9" s="253">
        <v>80</v>
      </c>
      <c r="CE9" s="253">
        <v>81</v>
      </c>
      <c r="CF9" s="253">
        <v>82</v>
      </c>
      <c r="CG9" s="253">
        <v>83</v>
      </c>
      <c r="CH9" s="253">
        <v>84</v>
      </c>
      <c r="CI9" s="253">
        <v>85</v>
      </c>
      <c r="CJ9" s="253">
        <v>86</v>
      </c>
      <c r="CK9" s="253">
        <v>87</v>
      </c>
      <c r="CL9" s="253">
        <v>88</v>
      </c>
      <c r="CM9" s="253">
        <v>89</v>
      </c>
      <c r="CN9" s="253">
        <v>90</v>
      </c>
      <c r="CO9" s="253">
        <v>91</v>
      </c>
      <c r="CP9" s="253">
        <v>92</v>
      </c>
      <c r="CQ9" s="253">
        <v>93</v>
      </c>
      <c r="CR9" s="253">
        <v>94</v>
      </c>
      <c r="CS9" s="253">
        <v>95</v>
      </c>
      <c r="CT9" s="253">
        <v>96</v>
      </c>
      <c r="CU9" s="253">
        <v>97</v>
      </c>
      <c r="CV9" s="253">
        <v>98</v>
      </c>
      <c r="CW9" s="253">
        <v>99</v>
      </c>
      <c r="CX9" s="253">
        <v>100</v>
      </c>
      <c r="CY9" s="253">
        <v>101</v>
      </c>
      <c r="CZ9" s="253">
        <v>102</v>
      </c>
      <c r="DA9" s="253">
        <v>103</v>
      </c>
    </row>
    <row r="10" spans="1:105" s="262" customFormat="1" ht="12.75" customHeight="1">
      <c r="A10" s="63" t="str">
        <f t="array" ref="A10">IF(C10&lt;&gt;0,SUM(($C10:C$16&lt;&gt;0)*1),"")</f>
        <v/>
      </c>
      <c r="B10" s="255"/>
      <c r="C10" s="256"/>
      <c r="D10" s="255"/>
      <c r="E10" s="257" t="s">
        <v>206</v>
      </c>
      <c r="F10" s="258"/>
      <c r="G10" s="259"/>
      <c r="H10" s="259"/>
      <c r="I10" s="260"/>
      <c r="J10" s="261">
        <f ca="1">'SC-III'!J53</f>
        <v>3705039095</v>
      </c>
      <c r="K10" s="261">
        <f ca="1">'SC-III'!K53</f>
        <v>0</v>
      </c>
      <c r="L10" s="261">
        <f ca="1">'SC-III'!L53</f>
        <v>19829295</v>
      </c>
      <c r="M10" s="261">
        <f ca="1">'SC-III'!M53</f>
        <v>0</v>
      </c>
      <c r="N10" s="261">
        <f ca="1">'SC-III'!N53</f>
        <v>2236796790</v>
      </c>
      <c r="O10" s="261">
        <f ca="1">'SC-III'!O53</f>
        <v>0</v>
      </c>
      <c r="P10" s="261">
        <f ca="1">'SC-III'!P53</f>
        <v>3343381600</v>
      </c>
      <c r="Q10" s="261">
        <f ca="1">'SC-III'!Q53</f>
        <v>0</v>
      </c>
      <c r="R10" s="261">
        <f ca="1">'SC-III'!R53</f>
        <v>162420936</v>
      </c>
      <c r="S10" s="261">
        <f ca="1">'SC-III'!S53</f>
        <v>0</v>
      </c>
      <c r="T10" s="261">
        <f ca="1">'SC-III'!T53</f>
        <v>1500000000</v>
      </c>
      <c r="U10" s="261">
        <f ca="1">'SC-III'!U53</f>
        <v>0</v>
      </c>
      <c r="V10" s="261">
        <f ca="1">'SC-III'!V53</f>
        <v>0</v>
      </c>
      <c r="W10" s="261">
        <f ca="1">'SC-III'!W53</f>
        <v>0</v>
      </c>
      <c r="X10" s="261">
        <f ca="1">'SC-III'!X53</f>
        <v>2772400000</v>
      </c>
      <c r="Y10" s="261">
        <f ca="1">'SC-III'!Y53</f>
        <v>0</v>
      </c>
      <c r="Z10" s="261">
        <f ca="1">'SC-III'!Z53</f>
        <v>526519887</v>
      </c>
      <c r="AA10" s="261">
        <f ca="1">'SC-III'!AA53</f>
        <v>0</v>
      </c>
      <c r="AB10" s="261">
        <f ca="1">'SC-III'!AB53</f>
        <v>0</v>
      </c>
      <c r="AC10" s="261">
        <f ca="1">'SC-III'!AC53</f>
        <v>0</v>
      </c>
      <c r="AD10" s="261">
        <f ca="1">'SC-III'!AD53</f>
        <v>0</v>
      </c>
      <c r="AE10" s="261">
        <f ca="1">'SC-III'!AE53</f>
        <v>0</v>
      </c>
      <c r="AF10" s="261">
        <f ca="1">'SC-III'!AF53</f>
        <v>9386323824</v>
      </c>
      <c r="AG10" s="261">
        <f ca="1">'SC-III'!AG53</f>
        <v>0</v>
      </c>
      <c r="AH10" s="261">
        <f ca="1">'SC-III'!AH53</f>
        <v>7490743648</v>
      </c>
      <c r="AI10" s="261">
        <f ca="1">'SC-III'!AI53</f>
        <v>0</v>
      </c>
      <c r="AJ10" s="261">
        <f ca="1">'SC-III'!AJ53</f>
        <v>3807898863</v>
      </c>
      <c r="AK10" s="261">
        <f ca="1">'SC-III'!AK53</f>
        <v>0</v>
      </c>
      <c r="AL10" s="261">
        <f ca="1">'SC-III'!AL53</f>
        <v>3790918485</v>
      </c>
      <c r="AM10" s="261">
        <f ca="1">'SC-III'!AM53</f>
        <v>0</v>
      </c>
      <c r="AN10" s="261">
        <f ca="1">'SC-III'!AN53</f>
        <v>5405781300</v>
      </c>
      <c r="AO10" s="261">
        <f ca="1">'SC-III'!AO53</f>
        <v>0</v>
      </c>
      <c r="AP10" s="261">
        <f ca="1">'SC-III'!AP53</f>
        <v>0</v>
      </c>
      <c r="AQ10" s="261">
        <f ca="1">'SC-III'!AQ53</f>
        <v>9132359256</v>
      </c>
      <c r="AR10" s="261">
        <f ca="1">'SC-III'!AR53</f>
        <v>0</v>
      </c>
      <c r="AS10" s="261">
        <f ca="1">'SC-III'!AS53</f>
        <v>600642360</v>
      </c>
      <c r="AT10" s="261">
        <f ca="1">'SC-III'!AT53</f>
        <v>0</v>
      </c>
      <c r="AU10" s="261">
        <f ca="1">'SC-III'!AU53</f>
        <v>0</v>
      </c>
      <c r="AV10" s="261">
        <f ca="1">'SC-III'!AV53</f>
        <v>0</v>
      </c>
      <c r="AW10" s="261">
        <f ca="1">'SC-III'!AW53</f>
        <v>476953252</v>
      </c>
      <c r="AX10" s="261">
        <f ca="1">'SC-III'!AX53</f>
        <v>0</v>
      </c>
      <c r="AY10" s="261">
        <f ca="1">'SC-III'!AY53</f>
        <v>0</v>
      </c>
      <c r="AZ10" s="261">
        <f ca="1">'SC-III'!AZ53</f>
        <v>0</v>
      </c>
      <c r="BA10" s="261">
        <f ca="1">'SC-III'!BA53</f>
        <v>0</v>
      </c>
      <c r="BB10" s="261">
        <f ca="1">'SC-III'!BB53</f>
        <v>0</v>
      </c>
      <c r="BC10" s="261">
        <f ca="1">'SC-III'!BC53</f>
        <v>0</v>
      </c>
      <c r="BD10" s="261">
        <f ca="1">'SC-III'!BD53</f>
        <v>0</v>
      </c>
      <c r="BE10" s="261">
        <f ca="1">'SC-III'!BE53</f>
        <v>3313435</v>
      </c>
      <c r="BF10" s="261">
        <f ca="1">'SC-III'!BF53</f>
        <v>3389804</v>
      </c>
      <c r="BG10" s="261">
        <f ca="1">'SC-III'!BG53</f>
        <v>0</v>
      </c>
      <c r="BH10" s="261">
        <f ca="1">'SC-III'!BH53</f>
        <v>0</v>
      </c>
      <c r="BI10" s="261">
        <f ca="1">'SC-III'!BI53</f>
        <v>0</v>
      </c>
      <c r="BJ10" s="261">
        <f ca="1">'SC-III'!BJ53</f>
        <v>0</v>
      </c>
      <c r="BK10" s="261">
        <f ca="1">'SC-III'!BK53</f>
        <v>0</v>
      </c>
      <c r="BL10" s="261">
        <f ca="1">'SC-III'!BL53</f>
        <v>0</v>
      </c>
      <c r="BM10" s="261">
        <f ca="1">'SC-III'!BM53</f>
        <v>40272309</v>
      </c>
      <c r="BN10" s="261">
        <f ca="1">'SC-III'!BN53</f>
        <v>0</v>
      </c>
      <c r="BO10" s="261">
        <f ca="1">'SC-III'!BO53</f>
        <v>6403142</v>
      </c>
      <c r="BP10" s="261">
        <f ca="1">'SC-III'!BP53</f>
        <v>0</v>
      </c>
      <c r="BQ10" s="261">
        <f ca="1">'SC-III'!BQ53</f>
        <v>2761373</v>
      </c>
      <c r="BR10" s="261">
        <f ca="1">'SC-III'!BR53</f>
        <v>0</v>
      </c>
      <c r="BS10" s="261">
        <f ca="1">'SC-III'!BS53</f>
        <v>0</v>
      </c>
      <c r="BT10" s="261">
        <f ca="1">'SC-III'!BT53</f>
        <v>0</v>
      </c>
      <c r="BU10" s="261">
        <f ca="1">'SC-III'!BU53</f>
        <v>2169121879</v>
      </c>
      <c r="BV10" s="261">
        <f ca="1">'SC-III'!BV53</f>
        <v>0</v>
      </c>
      <c r="BW10" s="261">
        <f ca="1">'SC-III'!BW53</f>
        <v>21202920500</v>
      </c>
      <c r="BX10" s="261">
        <f ca="1">'SC-III'!BX53</f>
        <v>0</v>
      </c>
      <c r="BY10" s="261">
        <f ca="1">'SC-III'!BY53</f>
        <v>10000000000</v>
      </c>
      <c r="BZ10" s="261">
        <f ca="1">'SC-III'!BZ53</f>
        <v>0</v>
      </c>
      <c r="CA10" s="261">
        <f ca="1">'SC-III'!CA53</f>
        <v>594397022.00000048</v>
      </c>
      <c r="CB10" s="261">
        <f ca="1">'SC-III'!CB53</f>
        <v>77701001</v>
      </c>
      <c r="CC10" s="261">
        <f ca="1">'SC-III'!CC53</f>
        <v>0</v>
      </c>
      <c r="CD10" s="261">
        <f ca="1">'SC-III'!CD53</f>
        <v>0</v>
      </c>
      <c r="CE10" s="261">
        <f ca="1">'SC-III'!CE53</f>
        <v>0</v>
      </c>
      <c r="CF10" s="261">
        <f ca="1">'SC-III'!CF53</f>
        <v>0</v>
      </c>
      <c r="CG10" s="261">
        <f ca="1">'SC-III'!CG53</f>
        <v>0</v>
      </c>
      <c r="CH10" s="261">
        <f ca="1">'SC-III'!CH53</f>
        <v>0</v>
      </c>
      <c r="CI10" s="261">
        <f ca="1">'SC-III'!CI53</f>
        <v>0</v>
      </c>
      <c r="CJ10" s="261">
        <f ca="1">'SC-III'!CJ53</f>
        <v>0</v>
      </c>
      <c r="CK10" s="261">
        <f ca="1">'SC-III'!CK53</f>
        <v>0</v>
      </c>
      <c r="CL10" s="261">
        <f ca="1">'SC-III'!CL53</f>
        <v>0</v>
      </c>
      <c r="CM10" s="261">
        <f ca="1">'SC-III'!CM53</f>
        <v>0</v>
      </c>
      <c r="CN10" s="261">
        <f ca="1">'SC-III'!CN53</f>
        <v>0</v>
      </c>
      <c r="CO10" s="261">
        <f ca="1">'SC-III'!CO53</f>
        <v>0</v>
      </c>
      <c r="CP10" s="261">
        <f ca="1">'SC-III'!CP53</f>
        <v>0</v>
      </c>
      <c r="CQ10" s="261">
        <f ca="1">'SC-III'!CQ53</f>
        <v>0</v>
      </c>
      <c r="CR10" s="261">
        <f ca="1">'SC-III'!CR53</f>
        <v>0</v>
      </c>
      <c r="CS10" s="261">
        <f ca="1">'SC-III'!CS53</f>
        <v>0</v>
      </c>
      <c r="CT10" s="261">
        <f ca="1">'SC-III'!CT53</f>
        <v>0</v>
      </c>
      <c r="CU10" s="261">
        <f ca="1">'SC-III'!CU53</f>
        <v>0</v>
      </c>
      <c r="CV10" s="261">
        <f ca="1">'SC-III'!CV53</f>
        <v>0</v>
      </c>
      <c r="CW10" s="261">
        <f ca="1">'SC-III'!CW53</f>
        <v>0</v>
      </c>
      <c r="CX10" s="261">
        <f ca="1">'SC-III'!CX53</f>
        <v>0</v>
      </c>
      <c r="CY10" s="261">
        <f ca="1">'SC-III'!CY53</f>
        <v>0</v>
      </c>
      <c r="CZ10" s="261">
        <f ca="1">'SC-III'!CZ53</f>
        <v>0</v>
      </c>
      <c r="DA10" s="261">
        <f ca="1">'SC-III'!DA53</f>
        <v>0</v>
      </c>
    </row>
    <row r="11" spans="1:105" s="262" customFormat="1" ht="16.5" customHeight="1">
      <c r="A11" s="63">
        <f t="array" aca="1" ref="A11" ca="1">IF(C11&lt;&gt;0,SUM(($C$11:C11&lt;&gt;0)*1),"")</f>
        <v>1</v>
      </c>
      <c r="B11" s="263" t="str">
        <f ca="1">IF(ROWS($1:1)&gt;COUNT(Dong9),"",OFFSET(TH!C$1,SMALL(Dong9,ROWS($1:1)),))</f>
        <v/>
      </c>
      <c r="C11" s="263" t="str">
        <f ca="1">IF(ROWS($1:1)&gt;COUNT(Dong9),"",OFFSET(TH!D$1,SMALL(Dong9,ROWS($1:1)),))</f>
        <v/>
      </c>
      <c r="D11" s="263" t="str">
        <f ca="1">IF(ROWS($1:1)&gt;COUNT(Dong9),"",OFFSET(TH!E$1,SMALL(Dong9,ROWS($1:1)),))</f>
        <v/>
      </c>
      <c r="E11" s="344" t="str">
        <f ca="1">IF(ROWS($1:1)&gt;COUNT(Dong9),"",OFFSET(TH!F$1,SMALL(Dong9,ROWS($1:1)),))</f>
        <v/>
      </c>
      <c r="F11" s="314" t="str">
        <f ca="1">IF(ROWS($1:1)&gt;COUNT(Dong9),"",OFFSET(TH!M$1,SMALL(Dong9,ROWS($1:1)),))</f>
        <v/>
      </c>
      <c r="G11" s="316" t="str">
        <f ca="1">IF(ROWS($1:1)&gt;COUNT(Dong9),"",OFFSET(TH!N$1,SMALL(Dong9,ROWS($1:1)),))</f>
        <v/>
      </c>
      <c r="H11" s="316" t="str">
        <f ca="1">IF(ROWS($1:1)&gt;COUNT(Dong9),"",OFFSET(TH!O$1,SMALL(Dong9,ROWS($1:1)),))</f>
        <v/>
      </c>
      <c r="I11" s="63">
        <f t="shared" ref="I11:I50" ca="1" si="0">A11</f>
        <v>1</v>
      </c>
      <c r="J11" s="265">
        <f ca="1">IF($G11="1111",$F11,0)</f>
        <v>0</v>
      </c>
      <c r="K11" s="265">
        <f ca="1">IF($H11="1111",$F11,0)</f>
        <v>0</v>
      </c>
      <c r="L11" s="265">
        <f t="shared" ref="L11:L50" ca="1" si="1">IF($G11="1121",$F11,0)</f>
        <v>0</v>
      </c>
      <c r="M11" s="265">
        <f t="shared" ref="M11:M50" ca="1" si="2">IF($H11="1121",$F11,0)</f>
        <v>0</v>
      </c>
      <c r="N11" s="265">
        <f t="shared" ref="N11:N50" ca="1" si="3">IF($G11="1122",$F11,0)</f>
        <v>0</v>
      </c>
      <c r="O11" s="265">
        <f t="shared" ref="O11:O50" ca="1" si="4">IF($H11="1122",$F11,0)</f>
        <v>0</v>
      </c>
      <c r="P11" s="265">
        <f t="shared" ref="P11:P50" ca="1" si="5">IF($G11="131",$F11,0)</f>
        <v>0</v>
      </c>
      <c r="Q11" s="265">
        <f t="shared" ref="Q11:Q50" ca="1" si="6">IF($H11="131",$F11,0)</f>
        <v>0</v>
      </c>
      <c r="R11" s="265">
        <f t="shared" ref="R11:R50" ca="1" si="7">IF($G11="1331",$F11,0)</f>
        <v>0</v>
      </c>
      <c r="S11" s="265">
        <f t="shared" ref="S11:S50" ca="1" si="8">IF($H11="1331",$F11,0)</f>
        <v>0</v>
      </c>
      <c r="T11" s="265">
        <f t="shared" ref="T11:T50" ca="1" si="9">IF($G11="1388",$F11,0)</f>
        <v>0</v>
      </c>
      <c r="U11" s="265">
        <f t="shared" ref="U11:U50" ca="1" si="10">IF($H11="1388",$F11,0)</f>
        <v>0</v>
      </c>
      <c r="V11" s="265">
        <f t="shared" ref="V11:V50" ca="1" si="11">IF($G11="141",$F11,0)</f>
        <v>0</v>
      </c>
      <c r="W11" s="265">
        <f t="shared" ref="W11:W50" ca="1" si="12">IF($H11="141",$F11,0)</f>
        <v>0</v>
      </c>
      <c r="X11" s="265">
        <f t="shared" ref="X11:X50" ca="1" si="13">IF($G11="1521",$F11,0)</f>
        <v>0</v>
      </c>
      <c r="Y11" s="265">
        <f t="shared" ref="Y11:Y50" ca="1" si="14">IF($H11="1521",$F11,0)</f>
        <v>0</v>
      </c>
      <c r="Z11" s="265">
        <f t="shared" ref="Z11:Z50" ca="1" si="15">IF($G11="1522",$F11,0)</f>
        <v>0</v>
      </c>
      <c r="AA11" s="265">
        <f t="shared" ref="AA11:AA50" ca="1" si="16">IF($H11="1522",$F11,0)</f>
        <v>0</v>
      </c>
      <c r="AB11" s="265">
        <f ca="1">IF($G11="153",$F11,0)</f>
        <v>0</v>
      </c>
      <c r="AC11" s="265">
        <f ca="1">IF($H11="153",$F11,0)</f>
        <v>0</v>
      </c>
      <c r="AD11" s="265">
        <f t="shared" ref="AD11:AD50" ca="1" si="17">IF($G11="154",$F11,0)</f>
        <v>0</v>
      </c>
      <c r="AE11" s="265">
        <f t="shared" ref="AE11:AE50" ca="1" si="18">IF($H11="154",$F11,0)</f>
        <v>0</v>
      </c>
      <c r="AF11" s="265">
        <f t="shared" ref="AF11:AF50" ca="1" si="19">IF($G11="155",$F11,0)</f>
        <v>0</v>
      </c>
      <c r="AG11" s="265">
        <f t="shared" ref="AG11:AG50" ca="1" si="20">IF($H11="155",$F11,0)</f>
        <v>0</v>
      </c>
      <c r="AH11" s="265">
        <f ca="1">IF($G11="2111",$F11,0)</f>
        <v>0</v>
      </c>
      <c r="AI11" s="265">
        <f ca="1">IF($H11="2111",$F11,0)</f>
        <v>0</v>
      </c>
      <c r="AJ11" s="265">
        <f ca="1">IF($G11="2112",$F11,0)</f>
        <v>0</v>
      </c>
      <c r="AK11" s="265">
        <f ca="1">IF($H11="2112",$F11,0)</f>
        <v>0</v>
      </c>
      <c r="AL11" s="265">
        <f ca="1">IF($G11="2113",$F11,0)</f>
        <v>0</v>
      </c>
      <c r="AM11" s="265">
        <f ca="1">IF($H11="2113",$F11,0)</f>
        <v>0</v>
      </c>
      <c r="AN11" s="265">
        <f ca="1">IF($G11="2131",$F11,0)</f>
        <v>0</v>
      </c>
      <c r="AO11" s="265">
        <f ca="1">IF($H11="2131",$F11,0)</f>
        <v>0</v>
      </c>
      <c r="AP11" s="265">
        <f t="shared" ref="AP11:AP50" ca="1" si="21">IF($G11="2141",$F11,0)</f>
        <v>0</v>
      </c>
      <c r="AQ11" s="265">
        <f t="shared" ref="AQ11:AQ50" ca="1" si="22">IF($H11="2141",$F11,0)</f>
        <v>0</v>
      </c>
      <c r="AR11" s="265">
        <f t="shared" ref="AR11:AR50" ca="1" si="23">IF($G11="2143",$F11,0)</f>
        <v>0</v>
      </c>
      <c r="AS11" s="265">
        <f t="shared" ref="AS11:AS50" ca="1" si="24">IF($H11="2143",$F11,0)</f>
        <v>0</v>
      </c>
      <c r="AT11" s="265">
        <f ca="1">IF($G11="2412",$F11,0)</f>
        <v>0</v>
      </c>
      <c r="AU11" s="265">
        <f ca="1">IF($H11="2412",$F11,0)</f>
        <v>0</v>
      </c>
      <c r="AV11" s="265">
        <f t="shared" ref="AV11:AV50" ca="1" si="25">IF($G11="331",$F11,0)</f>
        <v>0</v>
      </c>
      <c r="AW11" s="265">
        <f t="shared" ref="AW11:AW50" ca="1" si="26">IF($H11="331",$F11,0)</f>
        <v>0</v>
      </c>
      <c r="AX11" s="265">
        <f t="shared" ref="AX11:AX50" ca="1" si="27">IF($G11="33311",$F11,0)</f>
        <v>0</v>
      </c>
      <c r="AY11" s="265">
        <f t="shared" ref="AY11:AY50" ca="1" si="28">IF($H11="33311",$F11,0)</f>
        <v>0</v>
      </c>
      <c r="AZ11" s="265">
        <f t="shared" ref="AZ11:AZ50" ca="1" si="29">IF($G11="33312",$F11,0)</f>
        <v>0</v>
      </c>
      <c r="BA11" s="265">
        <f t="shared" ref="BA11:BA50" ca="1" si="30">IF($H11="33312",$F11,0)</f>
        <v>0</v>
      </c>
      <c r="BB11" s="265">
        <f t="shared" ref="BB11:BB50" ca="1" si="31">IF($G11="3333",$F11,0)</f>
        <v>0</v>
      </c>
      <c r="BC11" s="265">
        <f t="shared" ref="BC11:BC50" ca="1" si="32">IF($H11="3333",$F11,0)</f>
        <v>0</v>
      </c>
      <c r="BD11" s="265">
        <f t="shared" ref="BD11:BD50" ca="1" si="33">IF($G11="3334",$F11,0)</f>
        <v>0</v>
      </c>
      <c r="BE11" s="265">
        <f t="shared" ref="BE11:BE50" ca="1" si="34">IF($H11="3334",$F11,0)</f>
        <v>0</v>
      </c>
      <c r="BF11" s="265">
        <f t="shared" ref="BF11:BF50" ca="1" si="35">IF($G11="3335",$F11,0)</f>
        <v>0</v>
      </c>
      <c r="BG11" s="265">
        <f t="shared" ref="BG11:BG50" ca="1" si="36">IF($H11="3335",$F11,0)</f>
        <v>0</v>
      </c>
      <c r="BH11" s="265">
        <f ca="1">IF($G11="33382",$F11,0)</f>
        <v>0</v>
      </c>
      <c r="BI11" s="265">
        <f ca="1">IF($H11="33382",$F11,0)</f>
        <v>0</v>
      </c>
      <c r="BJ11" s="265">
        <f t="shared" ref="BJ11:BJ50" ca="1" si="37">IF($G11="3341",$F11,0)</f>
        <v>0</v>
      </c>
      <c r="BK11" s="265">
        <f t="shared" ref="BK11:BK50" ca="1" si="38">IF($H11="3341",$F11,0)</f>
        <v>0</v>
      </c>
      <c r="BL11" s="265">
        <f t="shared" ref="BL11:BL50" ca="1" si="39">IF($G11="3383",$F11,0)</f>
        <v>0</v>
      </c>
      <c r="BM11" s="265">
        <f t="shared" ref="BM11:BM50" ca="1" si="40">IF($H11="3383",$F11,0)</f>
        <v>0</v>
      </c>
      <c r="BN11" s="265">
        <f t="shared" ref="BN11:BN50" ca="1" si="41">IF($G11="3384",$F11,0)</f>
        <v>0</v>
      </c>
      <c r="BO11" s="265">
        <f t="shared" ref="BO11:BO50" ca="1" si="42">IF($H11="3384",$F11,0)</f>
        <v>0</v>
      </c>
      <c r="BP11" s="265">
        <f ca="1">IF($G11="3386",$F11,0)</f>
        <v>0</v>
      </c>
      <c r="BQ11" s="265">
        <f ca="1">IF($H11="3386",$F11,0)</f>
        <v>0</v>
      </c>
      <c r="BR11" s="265">
        <f t="shared" ref="BR11:BR50" ca="1" si="43">IF($G11="3388",$F11,0)</f>
        <v>0</v>
      </c>
      <c r="BS11" s="265">
        <f t="shared" ref="BS11:BS50" ca="1" si="44">IF($H11="3388",$F11,0)</f>
        <v>0</v>
      </c>
      <c r="BT11" s="265">
        <f ca="1">IF($G11="3411",$F11,0)</f>
        <v>0</v>
      </c>
      <c r="BU11" s="265">
        <f ca="1">IF($H11="3411",$F11,0)</f>
        <v>0</v>
      </c>
      <c r="BV11" s="265">
        <f ca="1">IF($G11="3412",$F11,0)</f>
        <v>0</v>
      </c>
      <c r="BW11" s="265">
        <f ca="1">IF($H11="3412",$F11,0)</f>
        <v>0</v>
      </c>
      <c r="BX11" s="265">
        <f t="shared" ref="BX11:BX50" ca="1" si="45">IF($G11="4111",$F11,0)</f>
        <v>0</v>
      </c>
      <c r="BY11" s="265">
        <f t="shared" ref="BY11:BY50" ca="1" si="46">IF($H11="4111",$F11,0)</f>
        <v>0</v>
      </c>
      <c r="BZ11" s="265">
        <f t="shared" ref="BZ11:BZ50" ca="1" si="47">IF($G11="4211",$F11,0)</f>
        <v>0</v>
      </c>
      <c r="CA11" s="265">
        <f t="shared" ref="CA11:CA50" ca="1" si="48">IF($H11="4211",$F11,0)</f>
        <v>0</v>
      </c>
      <c r="CB11" s="265">
        <f t="shared" ref="CB11:CB50" ca="1" si="49">IF($G11="4212",$F11,0)</f>
        <v>0</v>
      </c>
      <c r="CC11" s="265">
        <f t="shared" ref="CC11:CC50" ca="1" si="50">IF($H11="4212",$F11,0)</f>
        <v>0</v>
      </c>
      <c r="CD11" s="265">
        <f ca="1">IF($G11="5112N",$F11,0)</f>
        <v>0</v>
      </c>
      <c r="CE11" s="265">
        <f ca="1">IF($H11="5112N",$F11,0)</f>
        <v>0</v>
      </c>
      <c r="CF11" s="265">
        <f ca="1">IF($G11="5112X",$F11,0)</f>
        <v>0</v>
      </c>
      <c r="CG11" s="265">
        <f ca="1">IF($H11="5112X",$F11,0)</f>
        <v>0</v>
      </c>
      <c r="CH11" s="265">
        <f t="shared" ref="CH11:CH50" ca="1" si="51">IF($G11="515",$F11,0)</f>
        <v>0</v>
      </c>
      <c r="CI11" s="265">
        <f t="shared" ref="CI11:CI50" ca="1" si="52">IF($H11="515",$F11,0)</f>
        <v>0</v>
      </c>
      <c r="CJ11" s="265">
        <f ca="1">IF($G11="5213",$F11,0)</f>
        <v>0</v>
      </c>
      <c r="CK11" s="265">
        <f ca="1">IF($H11="5213",$F11,0)</f>
        <v>0</v>
      </c>
      <c r="CL11" s="265">
        <f t="shared" ref="CL11:CL50" ca="1" si="53">IF($G11="632",$F11,0)</f>
        <v>0</v>
      </c>
      <c r="CM11" s="265">
        <f t="shared" ref="CM11:CM50" ca="1" si="54">IF($H11="632",$F11,0)</f>
        <v>0</v>
      </c>
      <c r="CN11" s="265">
        <f t="shared" ref="CN11:CN50" ca="1" si="55">IF($G11="635",$F11,0)</f>
        <v>0</v>
      </c>
      <c r="CO11" s="265">
        <f t="shared" ref="CO11:CO50" ca="1" si="56">IF($H11="635",$F11,0)</f>
        <v>0</v>
      </c>
      <c r="CP11" s="265">
        <f ca="1">IF($G11="641",$F11,0)</f>
        <v>0</v>
      </c>
      <c r="CQ11" s="265">
        <f ca="1">IF($H11="641",$F11,0)</f>
        <v>0</v>
      </c>
      <c r="CR11" s="265">
        <f ca="1">IF($G11="642",$F11,0)</f>
        <v>0</v>
      </c>
      <c r="CS11" s="265">
        <f ca="1">IF($H11="642",$F11,0)</f>
        <v>0</v>
      </c>
      <c r="CT11" s="265">
        <f t="shared" ref="CT11:CT50" ca="1" si="57">IF($G11="711",$F11,0)</f>
        <v>0</v>
      </c>
      <c r="CU11" s="265">
        <f t="shared" ref="CU11:CU50" ca="1" si="58">IF($H11="711",$F11,0)</f>
        <v>0</v>
      </c>
      <c r="CV11" s="265">
        <f t="shared" ref="CV11:CV50" ca="1" si="59">IF($G11="811",$F11,0)</f>
        <v>0</v>
      </c>
      <c r="CW11" s="265">
        <f t="shared" ref="CW11:CW50" ca="1" si="60">IF($H11="811",$F11,0)</f>
        <v>0</v>
      </c>
      <c r="CX11" s="265">
        <f ca="1">IF($G11="821",$F11,0)</f>
        <v>0</v>
      </c>
      <c r="CY11" s="265">
        <f ca="1">IF($H11="821",$F11,0)</f>
        <v>0</v>
      </c>
      <c r="CZ11" s="265">
        <f ca="1">IF($G11="911",$F11,0)</f>
        <v>0</v>
      </c>
      <c r="DA11" s="265">
        <f ca="1">IF($H11="911",$F11,0)</f>
        <v>0</v>
      </c>
    </row>
    <row r="12" spans="1:105" s="262" customFormat="1" ht="16.5" customHeight="1">
      <c r="A12" s="63" t="str">
        <f t="array" ref="A12">IF(C12&lt;&gt;0,SUM(($C$11:C12&lt;&gt;0)*1),"")</f>
        <v/>
      </c>
      <c r="B12" s="263"/>
      <c r="C12" s="263"/>
      <c r="D12" s="263"/>
      <c r="E12" s="344"/>
      <c r="F12" s="314"/>
      <c r="G12" s="316"/>
      <c r="H12" s="316"/>
      <c r="I12" s="63" t="str">
        <f t="shared" si="0"/>
        <v/>
      </c>
      <c r="J12" s="265">
        <f t="shared" ref="J12:J50" si="61">IF($G12="1111",$F12,0)</f>
        <v>0</v>
      </c>
      <c r="K12" s="265">
        <f t="shared" ref="K12:K50" si="62">IF($H12="1111",$F12,0)</f>
        <v>0</v>
      </c>
      <c r="L12" s="265">
        <f t="shared" si="1"/>
        <v>0</v>
      </c>
      <c r="M12" s="265">
        <f t="shared" si="2"/>
        <v>0</v>
      </c>
      <c r="N12" s="265">
        <f t="shared" si="3"/>
        <v>0</v>
      </c>
      <c r="O12" s="265">
        <f t="shared" si="4"/>
        <v>0</v>
      </c>
      <c r="P12" s="265">
        <f t="shared" si="5"/>
        <v>0</v>
      </c>
      <c r="Q12" s="265">
        <f t="shared" si="6"/>
        <v>0</v>
      </c>
      <c r="R12" s="265">
        <f t="shared" si="7"/>
        <v>0</v>
      </c>
      <c r="S12" s="265">
        <f t="shared" si="8"/>
        <v>0</v>
      </c>
      <c r="T12" s="265">
        <f t="shared" si="9"/>
        <v>0</v>
      </c>
      <c r="U12" s="265">
        <f t="shared" si="10"/>
        <v>0</v>
      </c>
      <c r="V12" s="265">
        <f t="shared" si="11"/>
        <v>0</v>
      </c>
      <c r="W12" s="265">
        <f t="shared" si="12"/>
        <v>0</v>
      </c>
      <c r="X12" s="265">
        <f t="shared" si="13"/>
        <v>0</v>
      </c>
      <c r="Y12" s="265">
        <f t="shared" si="14"/>
        <v>0</v>
      </c>
      <c r="Z12" s="265">
        <f t="shared" si="15"/>
        <v>0</v>
      </c>
      <c r="AA12" s="265">
        <f t="shared" si="16"/>
        <v>0</v>
      </c>
      <c r="AB12" s="265">
        <f t="shared" ref="AB12:AB50" si="63">IF($G12="153",$F12,0)</f>
        <v>0</v>
      </c>
      <c r="AC12" s="265">
        <f t="shared" ref="AC12:AC50" si="64">IF($H12="153",$F12,0)</f>
        <v>0</v>
      </c>
      <c r="AD12" s="265">
        <f t="shared" si="17"/>
        <v>0</v>
      </c>
      <c r="AE12" s="265">
        <f t="shared" si="18"/>
        <v>0</v>
      </c>
      <c r="AF12" s="265">
        <f t="shared" si="19"/>
        <v>0</v>
      </c>
      <c r="AG12" s="265">
        <f t="shared" si="20"/>
        <v>0</v>
      </c>
      <c r="AH12" s="265">
        <f t="shared" ref="AH12:AH50" si="65">IF($G12="2111",$F12,0)</f>
        <v>0</v>
      </c>
      <c r="AI12" s="265">
        <f t="shared" ref="AI12:AI50" si="66">IF($H12="2111",$F12,0)</f>
        <v>0</v>
      </c>
      <c r="AJ12" s="265">
        <f t="shared" ref="AJ12:AJ50" si="67">IF($G12="2112",$F12,0)</f>
        <v>0</v>
      </c>
      <c r="AK12" s="265">
        <f t="shared" ref="AK12:AK50" si="68">IF($H12="2112",$F12,0)</f>
        <v>0</v>
      </c>
      <c r="AL12" s="265">
        <f t="shared" ref="AL12:AL50" si="69">IF($G12="2113",$F12,0)</f>
        <v>0</v>
      </c>
      <c r="AM12" s="265">
        <f t="shared" ref="AM12:AM50" si="70">IF($H12="2113",$F12,0)</f>
        <v>0</v>
      </c>
      <c r="AN12" s="265">
        <f t="shared" ref="AN12:AN50" si="71">IF($G12="2131",$F12,0)</f>
        <v>0</v>
      </c>
      <c r="AO12" s="265">
        <f t="shared" ref="AO12:AO50" si="72">IF($H12="2131",$F12,0)</f>
        <v>0</v>
      </c>
      <c r="AP12" s="265">
        <f t="shared" si="21"/>
        <v>0</v>
      </c>
      <c r="AQ12" s="265">
        <f t="shared" si="22"/>
        <v>0</v>
      </c>
      <c r="AR12" s="265">
        <f t="shared" si="23"/>
        <v>0</v>
      </c>
      <c r="AS12" s="265">
        <f t="shared" si="24"/>
        <v>0</v>
      </c>
      <c r="AT12" s="265">
        <f t="shared" ref="AT12:AT50" si="73">IF($G12="2412",$F12,0)</f>
        <v>0</v>
      </c>
      <c r="AU12" s="265">
        <f t="shared" ref="AU12:AU50" si="74">IF($H12="2412",$F12,0)</f>
        <v>0</v>
      </c>
      <c r="AV12" s="265">
        <f t="shared" si="25"/>
        <v>0</v>
      </c>
      <c r="AW12" s="265">
        <f t="shared" si="26"/>
        <v>0</v>
      </c>
      <c r="AX12" s="265">
        <f t="shared" si="27"/>
        <v>0</v>
      </c>
      <c r="AY12" s="265">
        <f t="shared" si="28"/>
        <v>0</v>
      </c>
      <c r="AZ12" s="265">
        <f t="shared" si="29"/>
        <v>0</v>
      </c>
      <c r="BA12" s="265">
        <f t="shared" si="30"/>
        <v>0</v>
      </c>
      <c r="BB12" s="265">
        <f t="shared" si="31"/>
        <v>0</v>
      </c>
      <c r="BC12" s="265">
        <f t="shared" si="32"/>
        <v>0</v>
      </c>
      <c r="BD12" s="265">
        <f t="shared" si="33"/>
        <v>0</v>
      </c>
      <c r="BE12" s="265">
        <f t="shared" si="34"/>
        <v>0</v>
      </c>
      <c r="BF12" s="265">
        <f t="shared" si="35"/>
        <v>0</v>
      </c>
      <c r="BG12" s="265">
        <f t="shared" si="36"/>
        <v>0</v>
      </c>
      <c r="BH12" s="265">
        <f t="shared" ref="BH12:BH50" si="75">IF($G12="33382",$F12,0)</f>
        <v>0</v>
      </c>
      <c r="BI12" s="265">
        <f t="shared" ref="BI12:BI50" si="76">IF($H12="33382",$F12,0)</f>
        <v>0</v>
      </c>
      <c r="BJ12" s="265">
        <f t="shared" si="37"/>
        <v>0</v>
      </c>
      <c r="BK12" s="265">
        <f t="shared" si="38"/>
        <v>0</v>
      </c>
      <c r="BL12" s="265">
        <f t="shared" si="39"/>
        <v>0</v>
      </c>
      <c r="BM12" s="265">
        <f t="shared" si="40"/>
        <v>0</v>
      </c>
      <c r="BN12" s="265">
        <f t="shared" si="41"/>
        <v>0</v>
      </c>
      <c r="BO12" s="265">
        <f t="shared" si="42"/>
        <v>0</v>
      </c>
      <c r="BP12" s="265">
        <f t="shared" ref="BP12:BP50" si="77">IF($G12="3386",$F12,0)</f>
        <v>0</v>
      </c>
      <c r="BQ12" s="265">
        <f t="shared" ref="BQ12:BQ50" si="78">IF($H12="3386",$F12,0)</f>
        <v>0</v>
      </c>
      <c r="BR12" s="265">
        <f t="shared" si="43"/>
        <v>0</v>
      </c>
      <c r="BS12" s="265">
        <f t="shared" si="44"/>
        <v>0</v>
      </c>
      <c r="BT12" s="265">
        <f t="shared" ref="BT12:BT50" si="79">IF($G12="3411",$F12,0)</f>
        <v>0</v>
      </c>
      <c r="BU12" s="265">
        <f t="shared" ref="BU12:BU50" si="80">IF($H12="3411",$F12,0)</f>
        <v>0</v>
      </c>
      <c r="BV12" s="265">
        <f t="shared" ref="BV12:BV50" si="81">IF($G12="3412",$F12,0)</f>
        <v>0</v>
      </c>
      <c r="BW12" s="265">
        <f t="shared" ref="BW12:BW50" si="82">IF($H12="3412",$F12,0)</f>
        <v>0</v>
      </c>
      <c r="BX12" s="265">
        <f t="shared" si="45"/>
        <v>0</v>
      </c>
      <c r="BY12" s="265">
        <f t="shared" si="46"/>
        <v>0</v>
      </c>
      <c r="BZ12" s="265">
        <f t="shared" si="47"/>
        <v>0</v>
      </c>
      <c r="CA12" s="265">
        <f t="shared" si="48"/>
        <v>0</v>
      </c>
      <c r="CB12" s="265">
        <f t="shared" si="49"/>
        <v>0</v>
      </c>
      <c r="CC12" s="265">
        <f t="shared" si="50"/>
        <v>0</v>
      </c>
      <c r="CD12" s="265">
        <f t="shared" ref="CD12:CD50" si="83">IF($G12="5112N",$F12,0)</f>
        <v>0</v>
      </c>
      <c r="CE12" s="265">
        <f t="shared" ref="CE12:CE50" si="84">IF($H12="5112N",$F12,0)</f>
        <v>0</v>
      </c>
      <c r="CF12" s="265">
        <f t="shared" ref="CF12:CF50" si="85">IF($G12="5112X",$F12,0)</f>
        <v>0</v>
      </c>
      <c r="CG12" s="265">
        <f t="shared" ref="CG12:CG50" si="86">IF($H12="5112X",$F12,0)</f>
        <v>0</v>
      </c>
      <c r="CH12" s="265">
        <f t="shared" si="51"/>
        <v>0</v>
      </c>
      <c r="CI12" s="265">
        <f t="shared" si="52"/>
        <v>0</v>
      </c>
      <c r="CJ12" s="265">
        <f t="shared" ref="CJ12:CJ50" si="87">IF($G12="5213",$F12,0)</f>
        <v>0</v>
      </c>
      <c r="CK12" s="265">
        <f t="shared" ref="CK12:CK50" si="88">IF($H12="5213",$F12,0)</f>
        <v>0</v>
      </c>
      <c r="CL12" s="265">
        <f t="shared" si="53"/>
        <v>0</v>
      </c>
      <c r="CM12" s="265">
        <f t="shared" si="54"/>
        <v>0</v>
      </c>
      <c r="CN12" s="265">
        <f t="shared" si="55"/>
        <v>0</v>
      </c>
      <c r="CO12" s="265">
        <f t="shared" si="56"/>
        <v>0</v>
      </c>
      <c r="CP12" s="265">
        <f t="shared" ref="CP12:CP50" si="89">IF($G12="641",$F12,0)</f>
        <v>0</v>
      </c>
      <c r="CQ12" s="265">
        <f t="shared" ref="CQ12:CQ50" si="90">IF($H12="641",$F12,0)</f>
        <v>0</v>
      </c>
      <c r="CR12" s="265">
        <f t="shared" ref="CR12:CR50" si="91">IF($G12="642",$F12,0)</f>
        <v>0</v>
      </c>
      <c r="CS12" s="265">
        <f t="shared" ref="CS12:CS50" si="92">IF($H12="642",$F12,0)</f>
        <v>0</v>
      </c>
      <c r="CT12" s="265">
        <f t="shared" si="57"/>
        <v>0</v>
      </c>
      <c r="CU12" s="265">
        <f t="shared" si="58"/>
        <v>0</v>
      </c>
      <c r="CV12" s="265">
        <f t="shared" si="59"/>
        <v>0</v>
      </c>
      <c r="CW12" s="265">
        <f t="shared" si="60"/>
        <v>0</v>
      </c>
      <c r="CX12" s="265">
        <f t="shared" ref="CX12:CX50" si="93">IF($G12="821",$F12,0)</f>
        <v>0</v>
      </c>
      <c r="CY12" s="265">
        <f t="shared" ref="CY12:CY50" si="94">IF($H12="821",$F12,0)</f>
        <v>0</v>
      </c>
      <c r="CZ12" s="265">
        <f t="shared" ref="CZ12:CZ50" si="95">IF($G12="911",$F12,0)</f>
        <v>0</v>
      </c>
      <c r="DA12" s="265">
        <f t="shared" ref="DA12:DA50" si="96">IF($H12="911",$F12,0)</f>
        <v>0</v>
      </c>
    </row>
    <row r="13" spans="1:105" s="262" customFormat="1" ht="16.5" customHeight="1">
      <c r="A13" s="63" t="str">
        <f t="array" ref="A13">IF(C13&lt;&gt;0,SUM(($C$11:C13&lt;&gt;0)*1),"")</f>
        <v/>
      </c>
      <c r="B13" s="263"/>
      <c r="C13" s="263"/>
      <c r="D13" s="263"/>
      <c r="E13" s="344"/>
      <c r="F13" s="314"/>
      <c r="G13" s="316"/>
      <c r="H13" s="316"/>
      <c r="I13" s="63" t="str">
        <f t="shared" si="0"/>
        <v/>
      </c>
      <c r="J13" s="265">
        <f t="shared" si="61"/>
        <v>0</v>
      </c>
      <c r="K13" s="265">
        <f t="shared" si="62"/>
        <v>0</v>
      </c>
      <c r="L13" s="265">
        <f t="shared" si="1"/>
        <v>0</v>
      </c>
      <c r="M13" s="265">
        <f t="shared" si="2"/>
        <v>0</v>
      </c>
      <c r="N13" s="265">
        <f t="shared" si="3"/>
        <v>0</v>
      </c>
      <c r="O13" s="265">
        <f t="shared" si="4"/>
        <v>0</v>
      </c>
      <c r="P13" s="265">
        <f t="shared" si="5"/>
        <v>0</v>
      </c>
      <c r="Q13" s="265">
        <f t="shared" si="6"/>
        <v>0</v>
      </c>
      <c r="R13" s="265">
        <f t="shared" si="7"/>
        <v>0</v>
      </c>
      <c r="S13" s="265">
        <f t="shared" si="8"/>
        <v>0</v>
      </c>
      <c r="T13" s="265">
        <f t="shared" si="9"/>
        <v>0</v>
      </c>
      <c r="U13" s="265">
        <f t="shared" si="10"/>
        <v>0</v>
      </c>
      <c r="V13" s="265">
        <f t="shared" si="11"/>
        <v>0</v>
      </c>
      <c r="W13" s="265">
        <f t="shared" si="12"/>
        <v>0</v>
      </c>
      <c r="X13" s="265">
        <f t="shared" si="13"/>
        <v>0</v>
      </c>
      <c r="Y13" s="265">
        <f t="shared" si="14"/>
        <v>0</v>
      </c>
      <c r="Z13" s="265">
        <f t="shared" si="15"/>
        <v>0</v>
      </c>
      <c r="AA13" s="265">
        <f t="shared" si="16"/>
        <v>0</v>
      </c>
      <c r="AB13" s="265">
        <f t="shared" si="63"/>
        <v>0</v>
      </c>
      <c r="AC13" s="265">
        <f t="shared" si="64"/>
        <v>0</v>
      </c>
      <c r="AD13" s="265">
        <f t="shared" si="17"/>
        <v>0</v>
      </c>
      <c r="AE13" s="265">
        <f t="shared" si="18"/>
        <v>0</v>
      </c>
      <c r="AF13" s="265">
        <f t="shared" si="19"/>
        <v>0</v>
      </c>
      <c r="AG13" s="265">
        <f t="shared" si="20"/>
        <v>0</v>
      </c>
      <c r="AH13" s="265">
        <f t="shared" si="65"/>
        <v>0</v>
      </c>
      <c r="AI13" s="265">
        <f t="shared" si="66"/>
        <v>0</v>
      </c>
      <c r="AJ13" s="265">
        <f t="shared" si="67"/>
        <v>0</v>
      </c>
      <c r="AK13" s="265">
        <f t="shared" si="68"/>
        <v>0</v>
      </c>
      <c r="AL13" s="265">
        <f t="shared" si="69"/>
        <v>0</v>
      </c>
      <c r="AM13" s="265">
        <f t="shared" si="70"/>
        <v>0</v>
      </c>
      <c r="AN13" s="265">
        <f t="shared" si="71"/>
        <v>0</v>
      </c>
      <c r="AO13" s="265">
        <f t="shared" si="72"/>
        <v>0</v>
      </c>
      <c r="AP13" s="265">
        <f t="shared" si="21"/>
        <v>0</v>
      </c>
      <c r="AQ13" s="265">
        <f t="shared" si="22"/>
        <v>0</v>
      </c>
      <c r="AR13" s="265">
        <f t="shared" si="23"/>
        <v>0</v>
      </c>
      <c r="AS13" s="265">
        <f t="shared" si="24"/>
        <v>0</v>
      </c>
      <c r="AT13" s="265">
        <f t="shared" si="73"/>
        <v>0</v>
      </c>
      <c r="AU13" s="265">
        <f t="shared" si="74"/>
        <v>0</v>
      </c>
      <c r="AV13" s="265">
        <f t="shared" si="25"/>
        <v>0</v>
      </c>
      <c r="AW13" s="265">
        <f t="shared" si="26"/>
        <v>0</v>
      </c>
      <c r="AX13" s="265">
        <f t="shared" si="27"/>
        <v>0</v>
      </c>
      <c r="AY13" s="265">
        <f t="shared" si="28"/>
        <v>0</v>
      </c>
      <c r="AZ13" s="265">
        <f t="shared" si="29"/>
        <v>0</v>
      </c>
      <c r="BA13" s="265">
        <f t="shared" si="30"/>
        <v>0</v>
      </c>
      <c r="BB13" s="265">
        <f t="shared" si="31"/>
        <v>0</v>
      </c>
      <c r="BC13" s="265">
        <f t="shared" si="32"/>
        <v>0</v>
      </c>
      <c r="BD13" s="265">
        <f t="shared" si="33"/>
        <v>0</v>
      </c>
      <c r="BE13" s="265">
        <f t="shared" si="34"/>
        <v>0</v>
      </c>
      <c r="BF13" s="265">
        <f t="shared" si="35"/>
        <v>0</v>
      </c>
      <c r="BG13" s="265">
        <f t="shared" si="36"/>
        <v>0</v>
      </c>
      <c r="BH13" s="265">
        <f t="shared" si="75"/>
        <v>0</v>
      </c>
      <c r="BI13" s="265">
        <f t="shared" si="76"/>
        <v>0</v>
      </c>
      <c r="BJ13" s="265">
        <f t="shared" si="37"/>
        <v>0</v>
      </c>
      <c r="BK13" s="265">
        <f t="shared" si="38"/>
        <v>0</v>
      </c>
      <c r="BL13" s="265">
        <f t="shared" si="39"/>
        <v>0</v>
      </c>
      <c r="BM13" s="265">
        <f t="shared" si="40"/>
        <v>0</v>
      </c>
      <c r="BN13" s="265">
        <f t="shared" si="41"/>
        <v>0</v>
      </c>
      <c r="BO13" s="265">
        <f t="shared" si="42"/>
        <v>0</v>
      </c>
      <c r="BP13" s="265">
        <f t="shared" si="77"/>
        <v>0</v>
      </c>
      <c r="BQ13" s="265">
        <f t="shared" si="78"/>
        <v>0</v>
      </c>
      <c r="BR13" s="265">
        <f t="shared" si="43"/>
        <v>0</v>
      </c>
      <c r="BS13" s="265">
        <f t="shared" si="44"/>
        <v>0</v>
      </c>
      <c r="BT13" s="265">
        <f t="shared" si="79"/>
        <v>0</v>
      </c>
      <c r="BU13" s="265">
        <f t="shared" si="80"/>
        <v>0</v>
      </c>
      <c r="BV13" s="265">
        <f t="shared" si="81"/>
        <v>0</v>
      </c>
      <c r="BW13" s="265">
        <f t="shared" si="82"/>
        <v>0</v>
      </c>
      <c r="BX13" s="265">
        <f t="shared" si="45"/>
        <v>0</v>
      </c>
      <c r="BY13" s="265">
        <f t="shared" si="46"/>
        <v>0</v>
      </c>
      <c r="BZ13" s="265">
        <f t="shared" si="47"/>
        <v>0</v>
      </c>
      <c r="CA13" s="265">
        <f t="shared" si="48"/>
        <v>0</v>
      </c>
      <c r="CB13" s="265">
        <f t="shared" si="49"/>
        <v>0</v>
      </c>
      <c r="CC13" s="265">
        <f t="shared" si="50"/>
        <v>0</v>
      </c>
      <c r="CD13" s="265">
        <f t="shared" si="83"/>
        <v>0</v>
      </c>
      <c r="CE13" s="265">
        <f t="shared" si="84"/>
        <v>0</v>
      </c>
      <c r="CF13" s="265">
        <f t="shared" si="85"/>
        <v>0</v>
      </c>
      <c r="CG13" s="265">
        <f t="shared" si="86"/>
        <v>0</v>
      </c>
      <c r="CH13" s="265">
        <f t="shared" si="51"/>
        <v>0</v>
      </c>
      <c r="CI13" s="265">
        <f t="shared" si="52"/>
        <v>0</v>
      </c>
      <c r="CJ13" s="265">
        <f t="shared" si="87"/>
        <v>0</v>
      </c>
      <c r="CK13" s="265">
        <f t="shared" si="88"/>
        <v>0</v>
      </c>
      <c r="CL13" s="265">
        <f t="shared" si="53"/>
        <v>0</v>
      </c>
      <c r="CM13" s="265">
        <f t="shared" si="54"/>
        <v>0</v>
      </c>
      <c r="CN13" s="265">
        <f t="shared" si="55"/>
        <v>0</v>
      </c>
      <c r="CO13" s="265">
        <f t="shared" si="56"/>
        <v>0</v>
      </c>
      <c r="CP13" s="265">
        <f t="shared" si="89"/>
        <v>0</v>
      </c>
      <c r="CQ13" s="265">
        <f t="shared" si="90"/>
        <v>0</v>
      </c>
      <c r="CR13" s="265">
        <f t="shared" si="91"/>
        <v>0</v>
      </c>
      <c r="CS13" s="265">
        <f t="shared" si="92"/>
        <v>0</v>
      </c>
      <c r="CT13" s="265">
        <f t="shared" si="57"/>
        <v>0</v>
      </c>
      <c r="CU13" s="265">
        <f t="shared" si="58"/>
        <v>0</v>
      </c>
      <c r="CV13" s="265">
        <f t="shared" si="59"/>
        <v>0</v>
      </c>
      <c r="CW13" s="265">
        <f t="shared" si="60"/>
        <v>0</v>
      </c>
      <c r="CX13" s="265">
        <f t="shared" si="93"/>
        <v>0</v>
      </c>
      <c r="CY13" s="265">
        <f t="shared" si="94"/>
        <v>0</v>
      </c>
      <c r="CZ13" s="265">
        <f t="shared" si="95"/>
        <v>0</v>
      </c>
      <c r="DA13" s="265">
        <f t="shared" si="96"/>
        <v>0</v>
      </c>
    </row>
    <row r="14" spans="1:105" s="262" customFormat="1" ht="16.5" customHeight="1">
      <c r="A14" s="63" t="str">
        <f t="array" ref="A14">IF(C14&lt;&gt;0,SUM(($C$11:C14&lt;&gt;0)*1),"")</f>
        <v/>
      </c>
      <c r="B14" s="263"/>
      <c r="C14" s="263"/>
      <c r="D14" s="263"/>
      <c r="E14" s="344"/>
      <c r="F14" s="314"/>
      <c r="G14" s="316"/>
      <c r="H14" s="316"/>
      <c r="I14" s="63" t="str">
        <f t="shared" si="0"/>
        <v/>
      </c>
      <c r="J14" s="265">
        <f t="shared" si="61"/>
        <v>0</v>
      </c>
      <c r="K14" s="265">
        <f t="shared" si="62"/>
        <v>0</v>
      </c>
      <c r="L14" s="265">
        <f t="shared" si="1"/>
        <v>0</v>
      </c>
      <c r="M14" s="265">
        <f t="shared" si="2"/>
        <v>0</v>
      </c>
      <c r="N14" s="265">
        <f t="shared" si="3"/>
        <v>0</v>
      </c>
      <c r="O14" s="265">
        <f t="shared" si="4"/>
        <v>0</v>
      </c>
      <c r="P14" s="265">
        <f t="shared" si="5"/>
        <v>0</v>
      </c>
      <c r="Q14" s="265">
        <f t="shared" si="6"/>
        <v>0</v>
      </c>
      <c r="R14" s="265">
        <f t="shared" si="7"/>
        <v>0</v>
      </c>
      <c r="S14" s="265">
        <f t="shared" si="8"/>
        <v>0</v>
      </c>
      <c r="T14" s="265">
        <f t="shared" si="9"/>
        <v>0</v>
      </c>
      <c r="U14" s="265">
        <f t="shared" si="10"/>
        <v>0</v>
      </c>
      <c r="V14" s="265">
        <f t="shared" si="11"/>
        <v>0</v>
      </c>
      <c r="W14" s="265">
        <f t="shared" si="12"/>
        <v>0</v>
      </c>
      <c r="X14" s="265">
        <f t="shared" si="13"/>
        <v>0</v>
      </c>
      <c r="Y14" s="265">
        <f t="shared" si="14"/>
        <v>0</v>
      </c>
      <c r="Z14" s="265">
        <f t="shared" si="15"/>
        <v>0</v>
      </c>
      <c r="AA14" s="265">
        <f t="shared" si="16"/>
        <v>0</v>
      </c>
      <c r="AB14" s="265">
        <f t="shared" si="63"/>
        <v>0</v>
      </c>
      <c r="AC14" s="265">
        <f t="shared" si="64"/>
        <v>0</v>
      </c>
      <c r="AD14" s="265">
        <f t="shared" si="17"/>
        <v>0</v>
      </c>
      <c r="AE14" s="265">
        <f t="shared" si="18"/>
        <v>0</v>
      </c>
      <c r="AF14" s="265">
        <f t="shared" si="19"/>
        <v>0</v>
      </c>
      <c r="AG14" s="265">
        <f t="shared" si="20"/>
        <v>0</v>
      </c>
      <c r="AH14" s="265">
        <f t="shared" si="65"/>
        <v>0</v>
      </c>
      <c r="AI14" s="265">
        <f t="shared" si="66"/>
        <v>0</v>
      </c>
      <c r="AJ14" s="265">
        <f t="shared" si="67"/>
        <v>0</v>
      </c>
      <c r="AK14" s="265">
        <f t="shared" si="68"/>
        <v>0</v>
      </c>
      <c r="AL14" s="265">
        <f t="shared" si="69"/>
        <v>0</v>
      </c>
      <c r="AM14" s="265">
        <f t="shared" si="70"/>
        <v>0</v>
      </c>
      <c r="AN14" s="265">
        <f t="shared" si="71"/>
        <v>0</v>
      </c>
      <c r="AO14" s="265">
        <f t="shared" si="72"/>
        <v>0</v>
      </c>
      <c r="AP14" s="265">
        <f t="shared" si="21"/>
        <v>0</v>
      </c>
      <c r="AQ14" s="265">
        <f t="shared" si="22"/>
        <v>0</v>
      </c>
      <c r="AR14" s="265">
        <f t="shared" si="23"/>
        <v>0</v>
      </c>
      <c r="AS14" s="265">
        <f t="shared" si="24"/>
        <v>0</v>
      </c>
      <c r="AT14" s="265">
        <f t="shared" si="73"/>
        <v>0</v>
      </c>
      <c r="AU14" s="265">
        <f t="shared" si="74"/>
        <v>0</v>
      </c>
      <c r="AV14" s="265">
        <f t="shared" si="25"/>
        <v>0</v>
      </c>
      <c r="AW14" s="265">
        <f t="shared" si="26"/>
        <v>0</v>
      </c>
      <c r="AX14" s="265">
        <f t="shared" si="27"/>
        <v>0</v>
      </c>
      <c r="AY14" s="265">
        <f t="shared" si="28"/>
        <v>0</v>
      </c>
      <c r="AZ14" s="265">
        <f t="shared" si="29"/>
        <v>0</v>
      </c>
      <c r="BA14" s="265">
        <f t="shared" si="30"/>
        <v>0</v>
      </c>
      <c r="BB14" s="265">
        <f t="shared" si="31"/>
        <v>0</v>
      </c>
      <c r="BC14" s="265">
        <f t="shared" si="32"/>
        <v>0</v>
      </c>
      <c r="BD14" s="265">
        <f t="shared" si="33"/>
        <v>0</v>
      </c>
      <c r="BE14" s="265">
        <f t="shared" si="34"/>
        <v>0</v>
      </c>
      <c r="BF14" s="265">
        <f t="shared" si="35"/>
        <v>0</v>
      </c>
      <c r="BG14" s="265">
        <f t="shared" si="36"/>
        <v>0</v>
      </c>
      <c r="BH14" s="265">
        <f t="shared" si="75"/>
        <v>0</v>
      </c>
      <c r="BI14" s="265">
        <f t="shared" si="76"/>
        <v>0</v>
      </c>
      <c r="BJ14" s="265">
        <f t="shared" si="37"/>
        <v>0</v>
      </c>
      <c r="BK14" s="265">
        <f t="shared" si="38"/>
        <v>0</v>
      </c>
      <c r="BL14" s="265">
        <f t="shared" si="39"/>
        <v>0</v>
      </c>
      <c r="BM14" s="265">
        <f t="shared" si="40"/>
        <v>0</v>
      </c>
      <c r="BN14" s="265">
        <f t="shared" si="41"/>
        <v>0</v>
      </c>
      <c r="BO14" s="265">
        <f t="shared" si="42"/>
        <v>0</v>
      </c>
      <c r="BP14" s="265">
        <f t="shared" si="77"/>
        <v>0</v>
      </c>
      <c r="BQ14" s="265">
        <f t="shared" si="78"/>
        <v>0</v>
      </c>
      <c r="BR14" s="265">
        <f t="shared" si="43"/>
        <v>0</v>
      </c>
      <c r="BS14" s="265">
        <f t="shared" si="44"/>
        <v>0</v>
      </c>
      <c r="BT14" s="265">
        <f t="shared" si="79"/>
        <v>0</v>
      </c>
      <c r="BU14" s="265">
        <f t="shared" si="80"/>
        <v>0</v>
      </c>
      <c r="BV14" s="265">
        <f t="shared" si="81"/>
        <v>0</v>
      </c>
      <c r="BW14" s="265">
        <f t="shared" si="82"/>
        <v>0</v>
      </c>
      <c r="BX14" s="265">
        <f t="shared" si="45"/>
        <v>0</v>
      </c>
      <c r="BY14" s="265">
        <f t="shared" si="46"/>
        <v>0</v>
      </c>
      <c r="BZ14" s="265">
        <f t="shared" si="47"/>
        <v>0</v>
      </c>
      <c r="CA14" s="265">
        <f t="shared" si="48"/>
        <v>0</v>
      </c>
      <c r="CB14" s="265">
        <f t="shared" si="49"/>
        <v>0</v>
      </c>
      <c r="CC14" s="265">
        <f t="shared" si="50"/>
        <v>0</v>
      </c>
      <c r="CD14" s="265">
        <f t="shared" si="83"/>
        <v>0</v>
      </c>
      <c r="CE14" s="265">
        <f t="shared" si="84"/>
        <v>0</v>
      </c>
      <c r="CF14" s="265">
        <f t="shared" si="85"/>
        <v>0</v>
      </c>
      <c r="CG14" s="265">
        <f t="shared" si="86"/>
        <v>0</v>
      </c>
      <c r="CH14" s="265">
        <f t="shared" si="51"/>
        <v>0</v>
      </c>
      <c r="CI14" s="265">
        <f t="shared" si="52"/>
        <v>0</v>
      </c>
      <c r="CJ14" s="265">
        <f t="shared" si="87"/>
        <v>0</v>
      </c>
      <c r="CK14" s="265">
        <f t="shared" si="88"/>
        <v>0</v>
      </c>
      <c r="CL14" s="265">
        <f t="shared" si="53"/>
        <v>0</v>
      </c>
      <c r="CM14" s="265">
        <f t="shared" si="54"/>
        <v>0</v>
      </c>
      <c r="CN14" s="265">
        <f t="shared" si="55"/>
        <v>0</v>
      </c>
      <c r="CO14" s="265">
        <f t="shared" si="56"/>
        <v>0</v>
      </c>
      <c r="CP14" s="265">
        <f t="shared" si="89"/>
        <v>0</v>
      </c>
      <c r="CQ14" s="265">
        <f t="shared" si="90"/>
        <v>0</v>
      </c>
      <c r="CR14" s="265">
        <f t="shared" si="91"/>
        <v>0</v>
      </c>
      <c r="CS14" s="265">
        <f t="shared" si="92"/>
        <v>0</v>
      </c>
      <c r="CT14" s="265">
        <f t="shared" si="57"/>
        <v>0</v>
      </c>
      <c r="CU14" s="265">
        <f t="shared" si="58"/>
        <v>0</v>
      </c>
      <c r="CV14" s="265">
        <f t="shared" si="59"/>
        <v>0</v>
      </c>
      <c r="CW14" s="265">
        <f t="shared" si="60"/>
        <v>0</v>
      </c>
      <c r="CX14" s="265">
        <f t="shared" si="93"/>
        <v>0</v>
      </c>
      <c r="CY14" s="265">
        <f t="shared" si="94"/>
        <v>0</v>
      </c>
      <c r="CZ14" s="265">
        <f t="shared" si="95"/>
        <v>0</v>
      </c>
      <c r="DA14" s="265">
        <f t="shared" si="96"/>
        <v>0</v>
      </c>
    </row>
    <row r="15" spans="1:105" s="262" customFormat="1" ht="16.5" customHeight="1">
      <c r="A15" s="63" t="str">
        <f t="array" ref="A15">IF(C15&lt;&gt;0,SUM(($C$11:C15&lt;&gt;0)*1),"")</f>
        <v/>
      </c>
      <c r="B15" s="263"/>
      <c r="C15" s="263"/>
      <c r="D15" s="263"/>
      <c r="E15" s="344"/>
      <c r="F15" s="314"/>
      <c r="G15" s="316"/>
      <c r="H15" s="316"/>
      <c r="I15" s="63" t="str">
        <f t="shared" si="0"/>
        <v/>
      </c>
      <c r="J15" s="265">
        <f t="shared" si="61"/>
        <v>0</v>
      </c>
      <c r="K15" s="265">
        <f t="shared" si="62"/>
        <v>0</v>
      </c>
      <c r="L15" s="265">
        <f t="shared" si="1"/>
        <v>0</v>
      </c>
      <c r="M15" s="265">
        <f t="shared" si="2"/>
        <v>0</v>
      </c>
      <c r="N15" s="265">
        <f t="shared" si="3"/>
        <v>0</v>
      </c>
      <c r="O15" s="265">
        <f t="shared" si="4"/>
        <v>0</v>
      </c>
      <c r="P15" s="265">
        <f t="shared" si="5"/>
        <v>0</v>
      </c>
      <c r="Q15" s="265">
        <f t="shared" si="6"/>
        <v>0</v>
      </c>
      <c r="R15" s="265">
        <f t="shared" si="7"/>
        <v>0</v>
      </c>
      <c r="S15" s="265">
        <f t="shared" si="8"/>
        <v>0</v>
      </c>
      <c r="T15" s="265">
        <f t="shared" si="9"/>
        <v>0</v>
      </c>
      <c r="U15" s="265">
        <f t="shared" si="10"/>
        <v>0</v>
      </c>
      <c r="V15" s="265">
        <f t="shared" si="11"/>
        <v>0</v>
      </c>
      <c r="W15" s="265">
        <f t="shared" si="12"/>
        <v>0</v>
      </c>
      <c r="X15" s="265">
        <f t="shared" si="13"/>
        <v>0</v>
      </c>
      <c r="Y15" s="265">
        <f t="shared" si="14"/>
        <v>0</v>
      </c>
      <c r="Z15" s="265">
        <f t="shared" si="15"/>
        <v>0</v>
      </c>
      <c r="AA15" s="265">
        <f t="shared" si="16"/>
        <v>0</v>
      </c>
      <c r="AB15" s="265">
        <f t="shared" si="63"/>
        <v>0</v>
      </c>
      <c r="AC15" s="265">
        <f t="shared" si="64"/>
        <v>0</v>
      </c>
      <c r="AD15" s="265">
        <f t="shared" si="17"/>
        <v>0</v>
      </c>
      <c r="AE15" s="265">
        <f t="shared" si="18"/>
        <v>0</v>
      </c>
      <c r="AF15" s="265">
        <f t="shared" si="19"/>
        <v>0</v>
      </c>
      <c r="AG15" s="265">
        <f t="shared" si="20"/>
        <v>0</v>
      </c>
      <c r="AH15" s="265">
        <f t="shared" si="65"/>
        <v>0</v>
      </c>
      <c r="AI15" s="265">
        <f t="shared" si="66"/>
        <v>0</v>
      </c>
      <c r="AJ15" s="265">
        <f t="shared" si="67"/>
        <v>0</v>
      </c>
      <c r="AK15" s="265">
        <f t="shared" si="68"/>
        <v>0</v>
      </c>
      <c r="AL15" s="265">
        <f t="shared" si="69"/>
        <v>0</v>
      </c>
      <c r="AM15" s="265">
        <f t="shared" si="70"/>
        <v>0</v>
      </c>
      <c r="AN15" s="265">
        <f t="shared" si="71"/>
        <v>0</v>
      </c>
      <c r="AO15" s="265">
        <f t="shared" si="72"/>
        <v>0</v>
      </c>
      <c r="AP15" s="265">
        <f t="shared" si="21"/>
        <v>0</v>
      </c>
      <c r="AQ15" s="265">
        <f t="shared" si="22"/>
        <v>0</v>
      </c>
      <c r="AR15" s="265">
        <f t="shared" si="23"/>
        <v>0</v>
      </c>
      <c r="AS15" s="265">
        <f t="shared" si="24"/>
        <v>0</v>
      </c>
      <c r="AT15" s="265">
        <f t="shared" si="73"/>
        <v>0</v>
      </c>
      <c r="AU15" s="265">
        <f t="shared" si="74"/>
        <v>0</v>
      </c>
      <c r="AV15" s="265">
        <f t="shared" si="25"/>
        <v>0</v>
      </c>
      <c r="AW15" s="265">
        <f t="shared" si="26"/>
        <v>0</v>
      </c>
      <c r="AX15" s="265">
        <f t="shared" si="27"/>
        <v>0</v>
      </c>
      <c r="AY15" s="265">
        <f t="shared" si="28"/>
        <v>0</v>
      </c>
      <c r="AZ15" s="265">
        <f t="shared" si="29"/>
        <v>0</v>
      </c>
      <c r="BA15" s="265">
        <f t="shared" si="30"/>
        <v>0</v>
      </c>
      <c r="BB15" s="265">
        <f t="shared" si="31"/>
        <v>0</v>
      </c>
      <c r="BC15" s="265">
        <f t="shared" si="32"/>
        <v>0</v>
      </c>
      <c r="BD15" s="265">
        <f t="shared" si="33"/>
        <v>0</v>
      </c>
      <c r="BE15" s="265">
        <f t="shared" si="34"/>
        <v>0</v>
      </c>
      <c r="BF15" s="265">
        <f t="shared" si="35"/>
        <v>0</v>
      </c>
      <c r="BG15" s="265">
        <f t="shared" si="36"/>
        <v>0</v>
      </c>
      <c r="BH15" s="265">
        <f t="shared" si="75"/>
        <v>0</v>
      </c>
      <c r="BI15" s="265">
        <f t="shared" si="76"/>
        <v>0</v>
      </c>
      <c r="BJ15" s="265">
        <f t="shared" si="37"/>
        <v>0</v>
      </c>
      <c r="BK15" s="265">
        <f t="shared" si="38"/>
        <v>0</v>
      </c>
      <c r="BL15" s="265">
        <f t="shared" si="39"/>
        <v>0</v>
      </c>
      <c r="BM15" s="265">
        <f t="shared" si="40"/>
        <v>0</v>
      </c>
      <c r="BN15" s="265">
        <f t="shared" si="41"/>
        <v>0</v>
      </c>
      <c r="BO15" s="265">
        <f t="shared" si="42"/>
        <v>0</v>
      </c>
      <c r="BP15" s="265">
        <f t="shared" si="77"/>
        <v>0</v>
      </c>
      <c r="BQ15" s="265">
        <f t="shared" si="78"/>
        <v>0</v>
      </c>
      <c r="BR15" s="265">
        <f t="shared" si="43"/>
        <v>0</v>
      </c>
      <c r="BS15" s="265">
        <f t="shared" si="44"/>
        <v>0</v>
      </c>
      <c r="BT15" s="265">
        <f t="shared" si="79"/>
        <v>0</v>
      </c>
      <c r="BU15" s="265">
        <f t="shared" si="80"/>
        <v>0</v>
      </c>
      <c r="BV15" s="265">
        <f t="shared" si="81"/>
        <v>0</v>
      </c>
      <c r="BW15" s="265">
        <f t="shared" si="82"/>
        <v>0</v>
      </c>
      <c r="BX15" s="265">
        <f t="shared" si="45"/>
        <v>0</v>
      </c>
      <c r="BY15" s="265">
        <f t="shared" si="46"/>
        <v>0</v>
      </c>
      <c r="BZ15" s="265">
        <f t="shared" si="47"/>
        <v>0</v>
      </c>
      <c r="CA15" s="265">
        <f t="shared" si="48"/>
        <v>0</v>
      </c>
      <c r="CB15" s="265">
        <f t="shared" si="49"/>
        <v>0</v>
      </c>
      <c r="CC15" s="265">
        <f t="shared" si="50"/>
        <v>0</v>
      </c>
      <c r="CD15" s="265">
        <f t="shared" si="83"/>
        <v>0</v>
      </c>
      <c r="CE15" s="265">
        <f t="shared" si="84"/>
        <v>0</v>
      </c>
      <c r="CF15" s="265">
        <f t="shared" si="85"/>
        <v>0</v>
      </c>
      <c r="CG15" s="265">
        <f t="shared" si="86"/>
        <v>0</v>
      </c>
      <c r="CH15" s="265">
        <f t="shared" si="51"/>
        <v>0</v>
      </c>
      <c r="CI15" s="265">
        <f t="shared" si="52"/>
        <v>0</v>
      </c>
      <c r="CJ15" s="265">
        <f t="shared" si="87"/>
        <v>0</v>
      </c>
      <c r="CK15" s="265">
        <f t="shared" si="88"/>
        <v>0</v>
      </c>
      <c r="CL15" s="265">
        <f t="shared" si="53"/>
        <v>0</v>
      </c>
      <c r="CM15" s="265">
        <f t="shared" si="54"/>
        <v>0</v>
      </c>
      <c r="CN15" s="265">
        <f t="shared" si="55"/>
        <v>0</v>
      </c>
      <c r="CO15" s="265">
        <f t="shared" si="56"/>
        <v>0</v>
      </c>
      <c r="CP15" s="265">
        <f t="shared" si="89"/>
        <v>0</v>
      </c>
      <c r="CQ15" s="265">
        <f t="shared" si="90"/>
        <v>0</v>
      </c>
      <c r="CR15" s="265">
        <f t="shared" si="91"/>
        <v>0</v>
      </c>
      <c r="CS15" s="265">
        <f t="shared" si="92"/>
        <v>0</v>
      </c>
      <c r="CT15" s="265">
        <f t="shared" si="57"/>
        <v>0</v>
      </c>
      <c r="CU15" s="265">
        <f t="shared" si="58"/>
        <v>0</v>
      </c>
      <c r="CV15" s="265">
        <f t="shared" si="59"/>
        <v>0</v>
      </c>
      <c r="CW15" s="265">
        <f t="shared" si="60"/>
        <v>0</v>
      </c>
      <c r="CX15" s="265">
        <f t="shared" si="93"/>
        <v>0</v>
      </c>
      <c r="CY15" s="265">
        <f t="shared" si="94"/>
        <v>0</v>
      </c>
      <c r="CZ15" s="265">
        <f t="shared" si="95"/>
        <v>0</v>
      </c>
      <c r="DA15" s="265">
        <f t="shared" si="96"/>
        <v>0</v>
      </c>
    </row>
    <row r="16" spans="1:105" s="262" customFormat="1" ht="16.5" customHeight="1">
      <c r="A16" s="63" t="str">
        <f t="array" ref="A16">IF(C16&lt;&gt;0,SUM(($C$11:C16&lt;&gt;0)*1),"")</f>
        <v/>
      </c>
      <c r="B16" s="263"/>
      <c r="C16" s="263"/>
      <c r="D16" s="263"/>
      <c r="E16" s="344"/>
      <c r="F16" s="314"/>
      <c r="G16" s="316"/>
      <c r="H16" s="316"/>
      <c r="I16" s="63" t="str">
        <f t="shared" si="0"/>
        <v/>
      </c>
      <c r="J16" s="265">
        <f t="shared" si="61"/>
        <v>0</v>
      </c>
      <c r="K16" s="265">
        <f t="shared" si="62"/>
        <v>0</v>
      </c>
      <c r="L16" s="265">
        <f t="shared" si="1"/>
        <v>0</v>
      </c>
      <c r="M16" s="265">
        <f t="shared" si="2"/>
        <v>0</v>
      </c>
      <c r="N16" s="265">
        <f t="shared" si="3"/>
        <v>0</v>
      </c>
      <c r="O16" s="265">
        <f t="shared" si="4"/>
        <v>0</v>
      </c>
      <c r="P16" s="265">
        <f t="shared" si="5"/>
        <v>0</v>
      </c>
      <c r="Q16" s="265">
        <f t="shared" si="6"/>
        <v>0</v>
      </c>
      <c r="R16" s="265">
        <f t="shared" si="7"/>
        <v>0</v>
      </c>
      <c r="S16" s="265">
        <f t="shared" si="8"/>
        <v>0</v>
      </c>
      <c r="T16" s="265">
        <f t="shared" si="9"/>
        <v>0</v>
      </c>
      <c r="U16" s="265">
        <f t="shared" si="10"/>
        <v>0</v>
      </c>
      <c r="V16" s="265">
        <f t="shared" si="11"/>
        <v>0</v>
      </c>
      <c r="W16" s="265">
        <f t="shared" si="12"/>
        <v>0</v>
      </c>
      <c r="X16" s="265">
        <f t="shared" si="13"/>
        <v>0</v>
      </c>
      <c r="Y16" s="265">
        <f t="shared" si="14"/>
        <v>0</v>
      </c>
      <c r="Z16" s="265">
        <f t="shared" si="15"/>
        <v>0</v>
      </c>
      <c r="AA16" s="265">
        <f t="shared" si="16"/>
        <v>0</v>
      </c>
      <c r="AB16" s="265">
        <f t="shared" si="63"/>
        <v>0</v>
      </c>
      <c r="AC16" s="265">
        <f t="shared" si="64"/>
        <v>0</v>
      </c>
      <c r="AD16" s="265">
        <f t="shared" si="17"/>
        <v>0</v>
      </c>
      <c r="AE16" s="265">
        <f t="shared" si="18"/>
        <v>0</v>
      </c>
      <c r="AF16" s="265">
        <f t="shared" si="19"/>
        <v>0</v>
      </c>
      <c r="AG16" s="265">
        <f t="shared" si="20"/>
        <v>0</v>
      </c>
      <c r="AH16" s="265">
        <f t="shared" si="65"/>
        <v>0</v>
      </c>
      <c r="AI16" s="265">
        <f t="shared" si="66"/>
        <v>0</v>
      </c>
      <c r="AJ16" s="265">
        <f t="shared" si="67"/>
        <v>0</v>
      </c>
      <c r="AK16" s="265">
        <f t="shared" si="68"/>
        <v>0</v>
      </c>
      <c r="AL16" s="265">
        <f t="shared" si="69"/>
        <v>0</v>
      </c>
      <c r="AM16" s="265">
        <f t="shared" si="70"/>
        <v>0</v>
      </c>
      <c r="AN16" s="265">
        <f t="shared" si="71"/>
        <v>0</v>
      </c>
      <c r="AO16" s="265">
        <f t="shared" si="72"/>
        <v>0</v>
      </c>
      <c r="AP16" s="265">
        <f t="shared" si="21"/>
        <v>0</v>
      </c>
      <c r="AQ16" s="265">
        <f t="shared" si="22"/>
        <v>0</v>
      </c>
      <c r="AR16" s="265">
        <f t="shared" si="23"/>
        <v>0</v>
      </c>
      <c r="AS16" s="265">
        <f t="shared" si="24"/>
        <v>0</v>
      </c>
      <c r="AT16" s="265">
        <f t="shared" si="73"/>
        <v>0</v>
      </c>
      <c r="AU16" s="265">
        <f t="shared" si="74"/>
        <v>0</v>
      </c>
      <c r="AV16" s="265">
        <f t="shared" si="25"/>
        <v>0</v>
      </c>
      <c r="AW16" s="265">
        <f t="shared" si="26"/>
        <v>0</v>
      </c>
      <c r="AX16" s="265">
        <f t="shared" si="27"/>
        <v>0</v>
      </c>
      <c r="AY16" s="265">
        <f t="shared" si="28"/>
        <v>0</v>
      </c>
      <c r="AZ16" s="265">
        <f t="shared" si="29"/>
        <v>0</v>
      </c>
      <c r="BA16" s="265">
        <f t="shared" si="30"/>
        <v>0</v>
      </c>
      <c r="BB16" s="265">
        <f t="shared" si="31"/>
        <v>0</v>
      </c>
      <c r="BC16" s="265">
        <f t="shared" si="32"/>
        <v>0</v>
      </c>
      <c r="BD16" s="265">
        <f t="shared" si="33"/>
        <v>0</v>
      </c>
      <c r="BE16" s="265">
        <f t="shared" si="34"/>
        <v>0</v>
      </c>
      <c r="BF16" s="265">
        <f t="shared" si="35"/>
        <v>0</v>
      </c>
      <c r="BG16" s="265">
        <f t="shared" si="36"/>
        <v>0</v>
      </c>
      <c r="BH16" s="265">
        <f t="shared" si="75"/>
        <v>0</v>
      </c>
      <c r="BI16" s="265">
        <f t="shared" si="76"/>
        <v>0</v>
      </c>
      <c r="BJ16" s="265">
        <f t="shared" si="37"/>
        <v>0</v>
      </c>
      <c r="BK16" s="265">
        <f t="shared" si="38"/>
        <v>0</v>
      </c>
      <c r="BL16" s="265">
        <f t="shared" si="39"/>
        <v>0</v>
      </c>
      <c r="BM16" s="265">
        <f t="shared" si="40"/>
        <v>0</v>
      </c>
      <c r="BN16" s="265">
        <f t="shared" si="41"/>
        <v>0</v>
      </c>
      <c r="BO16" s="265">
        <f t="shared" si="42"/>
        <v>0</v>
      </c>
      <c r="BP16" s="265">
        <f t="shared" si="77"/>
        <v>0</v>
      </c>
      <c r="BQ16" s="265">
        <f t="shared" si="78"/>
        <v>0</v>
      </c>
      <c r="BR16" s="265">
        <f t="shared" si="43"/>
        <v>0</v>
      </c>
      <c r="BS16" s="265">
        <f t="shared" si="44"/>
        <v>0</v>
      </c>
      <c r="BT16" s="265">
        <f t="shared" si="79"/>
        <v>0</v>
      </c>
      <c r="BU16" s="265">
        <f t="shared" si="80"/>
        <v>0</v>
      </c>
      <c r="BV16" s="265">
        <f t="shared" si="81"/>
        <v>0</v>
      </c>
      <c r="BW16" s="265">
        <f t="shared" si="82"/>
        <v>0</v>
      </c>
      <c r="BX16" s="265">
        <f t="shared" si="45"/>
        <v>0</v>
      </c>
      <c r="BY16" s="265">
        <f t="shared" si="46"/>
        <v>0</v>
      </c>
      <c r="BZ16" s="265">
        <f t="shared" si="47"/>
        <v>0</v>
      </c>
      <c r="CA16" s="265">
        <f t="shared" si="48"/>
        <v>0</v>
      </c>
      <c r="CB16" s="265">
        <f t="shared" si="49"/>
        <v>0</v>
      </c>
      <c r="CC16" s="265">
        <f t="shared" si="50"/>
        <v>0</v>
      </c>
      <c r="CD16" s="265">
        <f t="shared" si="83"/>
        <v>0</v>
      </c>
      <c r="CE16" s="265">
        <f t="shared" si="84"/>
        <v>0</v>
      </c>
      <c r="CF16" s="265">
        <f t="shared" si="85"/>
        <v>0</v>
      </c>
      <c r="CG16" s="265">
        <f t="shared" si="86"/>
        <v>0</v>
      </c>
      <c r="CH16" s="265">
        <f t="shared" si="51"/>
        <v>0</v>
      </c>
      <c r="CI16" s="265">
        <f t="shared" si="52"/>
        <v>0</v>
      </c>
      <c r="CJ16" s="265">
        <f t="shared" si="87"/>
        <v>0</v>
      </c>
      <c r="CK16" s="265">
        <f t="shared" si="88"/>
        <v>0</v>
      </c>
      <c r="CL16" s="265">
        <f t="shared" si="53"/>
        <v>0</v>
      </c>
      <c r="CM16" s="265">
        <f t="shared" si="54"/>
        <v>0</v>
      </c>
      <c r="CN16" s="265">
        <f t="shared" si="55"/>
        <v>0</v>
      </c>
      <c r="CO16" s="265">
        <f t="shared" si="56"/>
        <v>0</v>
      </c>
      <c r="CP16" s="265">
        <f t="shared" si="89"/>
        <v>0</v>
      </c>
      <c r="CQ16" s="265">
        <f t="shared" si="90"/>
        <v>0</v>
      </c>
      <c r="CR16" s="265">
        <f t="shared" si="91"/>
        <v>0</v>
      </c>
      <c r="CS16" s="265">
        <f t="shared" si="92"/>
        <v>0</v>
      </c>
      <c r="CT16" s="265">
        <f t="shared" si="57"/>
        <v>0</v>
      </c>
      <c r="CU16" s="265">
        <f t="shared" si="58"/>
        <v>0</v>
      </c>
      <c r="CV16" s="265">
        <f t="shared" si="59"/>
        <v>0</v>
      </c>
      <c r="CW16" s="265">
        <f t="shared" si="60"/>
        <v>0</v>
      </c>
      <c r="CX16" s="265">
        <f t="shared" si="93"/>
        <v>0</v>
      </c>
      <c r="CY16" s="265">
        <f t="shared" si="94"/>
        <v>0</v>
      </c>
      <c r="CZ16" s="265">
        <f t="shared" si="95"/>
        <v>0</v>
      </c>
      <c r="DA16" s="265">
        <f t="shared" si="96"/>
        <v>0</v>
      </c>
    </row>
    <row r="17" spans="1:105" s="262" customFormat="1" ht="16.5" customHeight="1">
      <c r="A17" s="63" t="str">
        <f t="array" ref="A17">IF(C17&lt;&gt;0,SUM(($C$11:C17&lt;&gt;0)*1),"")</f>
        <v/>
      </c>
      <c r="B17" s="263"/>
      <c r="C17" s="263"/>
      <c r="D17" s="263"/>
      <c r="E17" s="344"/>
      <c r="F17" s="314"/>
      <c r="G17" s="316"/>
      <c r="H17" s="316"/>
      <c r="I17" s="63" t="str">
        <f t="shared" si="0"/>
        <v/>
      </c>
      <c r="J17" s="265">
        <f t="shared" si="61"/>
        <v>0</v>
      </c>
      <c r="K17" s="265">
        <f t="shared" si="62"/>
        <v>0</v>
      </c>
      <c r="L17" s="265">
        <f t="shared" si="1"/>
        <v>0</v>
      </c>
      <c r="M17" s="265">
        <f t="shared" si="2"/>
        <v>0</v>
      </c>
      <c r="N17" s="265">
        <f t="shared" si="3"/>
        <v>0</v>
      </c>
      <c r="O17" s="265">
        <f t="shared" si="4"/>
        <v>0</v>
      </c>
      <c r="P17" s="265">
        <f t="shared" si="5"/>
        <v>0</v>
      </c>
      <c r="Q17" s="265">
        <f t="shared" si="6"/>
        <v>0</v>
      </c>
      <c r="R17" s="265">
        <f t="shared" si="7"/>
        <v>0</v>
      </c>
      <c r="S17" s="265">
        <f t="shared" si="8"/>
        <v>0</v>
      </c>
      <c r="T17" s="265">
        <f t="shared" si="9"/>
        <v>0</v>
      </c>
      <c r="U17" s="265">
        <f t="shared" si="10"/>
        <v>0</v>
      </c>
      <c r="V17" s="265">
        <f t="shared" si="11"/>
        <v>0</v>
      </c>
      <c r="W17" s="265">
        <f t="shared" si="12"/>
        <v>0</v>
      </c>
      <c r="X17" s="265">
        <f t="shared" si="13"/>
        <v>0</v>
      </c>
      <c r="Y17" s="265">
        <f t="shared" si="14"/>
        <v>0</v>
      </c>
      <c r="Z17" s="265">
        <f t="shared" si="15"/>
        <v>0</v>
      </c>
      <c r="AA17" s="265">
        <f t="shared" si="16"/>
        <v>0</v>
      </c>
      <c r="AB17" s="265">
        <f t="shared" si="63"/>
        <v>0</v>
      </c>
      <c r="AC17" s="265">
        <f t="shared" si="64"/>
        <v>0</v>
      </c>
      <c r="AD17" s="265">
        <f t="shared" si="17"/>
        <v>0</v>
      </c>
      <c r="AE17" s="265">
        <f t="shared" si="18"/>
        <v>0</v>
      </c>
      <c r="AF17" s="265">
        <f t="shared" si="19"/>
        <v>0</v>
      </c>
      <c r="AG17" s="265">
        <f t="shared" si="20"/>
        <v>0</v>
      </c>
      <c r="AH17" s="265">
        <f t="shared" si="65"/>
        <v>0</v>
      </c>
      <c r="AI17" s="265">
        <f t="shared" si="66"/>
        <v>0</v>
      </c>
      <c r="AJ17" s="265">
        <f t="shared" si="67"/>
        <v>0</v>
      </c>
      <c r="AK17" s="265">
        <f t="shared" si="68"/>
        <v>0</v>
      </c>
      <c r="AL17" s="265">
        <f t="shared" si="69"/>
        <v>0</v>
      </c>
      <c r="AM17" s="265">
        <f t="shared" si="70"/>
        <v>0</v>
      </c>
      <c r="AN17" s="265">
        <f t="shared" si="71"/>
        <v>0</v>
      </c>
      <c r="AO17" s="265">
        <f t="shared" si="72"/>
        <v>0</v>
      </c>
      <c r="AP17" s="265">
        <f t="shared" si="21"/>
        <v>0</v>
      </c>
      <c r="AQ17" s="265">
        <f t="shared" si="22"/>
        <v>0</v>
      </c>
      <c r="AR17" s="265">
        <f t="shared" si="23"/>
        <v>0</v>
      </c>
      <c r="AS17" s="265">
        <f t="shared" si="24"/>
        <v>0</v>
      </c>
      <c r="AT17" s="265">
        <f t="shared" si="73"/>
        <v>0</v>
      </c>
      <c r="AU17" s="265">
        <f t="shared" si="74"/>
        <v>0</v>
      </c>
      <c r="AV17" s="265">
        <f t="shared" si="25"/>
        <v>0</v>
      </c>
      <c r="AW17" s="265">
        <f t="shared" si="26"/>
        <v>0</v>
      </c>
      <c r="AX17" s="265">
        <f t="shared" si="27"/>
        <v>0</v>
      </c>
      <c r="AY17" s="265">
        <f t="shared" si="28"/>
        <v>0</v>
      </c>
      <c r="AZ17" s="265">
        <f t="shared" si="29"/>
        <v>0</v>
      </c>
      <c r="BA17" s="265">
        <f t="shared" si="30"/>
        <v>0</v>
      </c>
      <c r="BB17" s="265">
        <f t="shared" si="31"/>
        <v>0</v>
      </c>
      <c r="BC17" s="265">
        <f t="shared" si="32"/>
        <v>0</v>
      </c>
      <c r="BD17" s="265">
        <f t="shared" si="33"/>
        <v>0</v>
      </c>
      <c r="BE17" s="265">
        <f t="shared" si="34"/>
        <v>0</v>
      </c>
      <c r="BF17" s="265">
        <f t="shared" si="35"/>
        <v>0</v>
      </c>
      <c r="BG17" s="265">
        <f t="shared" si="36"/>
        <v>0</v>
      </c>
      <c r="BH17" s="265">
        <f t="shared" si="75"/>
        <v>0</v>
      </c>
      <c r="BI17" s="265">
        <f t="shared" si="76"/>
        <v>0</v>
      </c>
      <c r="BJ17" s="265">
        <f t="shared" si="37"/>
        <v>0</v>
      </c>
      <c r="BK17" s="265">
        <f t="shared" si="38"/>
        <v>0</v>
      </c>
      <c r="BL17" s="265">
        <f t="shared" si="39"/>
        <v>0</v>
      </c>
      <c r="BM17" s="265">
        <f t="shared" si="40"/>
        <v>0</v>
      </c>
      <c r="BN17" s="265">
        <f t="shared" si="41"/>
        <v>0</v>
      </c>
      <c r="BO17" s="265">
        <f t="shared" si="42"/>
        <v>0</v>
      </c>
      <c r="BP17" s="265">
        <f t="shared" si="77"/>
        <v>0</v>
      </c>
      <c r="BQ17" s="265">
        <f t="shared" si="78"/>
        <v>0</v>
      </c>
      <c r="BR17" s="265">
        <f t="shared" si="43"/>
        <v>0</v>
      </c>
      <c r="BS17" s="265">
        <f t="shared" si="44"/>
        <v>0</v>
      </c>
      <c r="BT17" s="265">
        <f t="shared" si="79"/>
        <v>0</v>
      </c>
      <c r="BU17" s="265">
        <f t="shared" si="80"/>
        <v>0</v>
      </c>
      <c r="BV17" s="265">
        <f t="shared" si="81"/>
        <v>0</v>
      </c>
      <c r="BW17" s="265">
        <f t="shared" si="82"/>
        <v>0</v>
      </c>
      <c r="BX17" s="265">
        <f t="shared" si="45"/>
        <v>0</v>
      </c>
      <c r="BY17" s="265">
        <f t="shared" si="46"/>
        <v>0</v>
      </c>
      <c r="BZ17" s="265">
        <f t="shared" si="47"/>
        <v>0</v>
      </c>
      <c r="CA17" s="265">
        <f t="shared" si="48"/>
        <v>0</v>
      </c>
      <c r="CB17" s="265">
        <f t="shared" si="49"/>
        <v>0</v>
      </c>
      <c r="CC17" s="265">
        <f t="shared" si="50"/>
        <v>0</v>
      </c>
      <c r="CD17" s="265">
        <f t="shared" si="83"/>
        <v>0</v>
      </c>
      <c r="CE17" s="265">
        <f t="shared" si="84"/>
        <v>0</v>
      </c>
      <c r="CF17" s="265">
        <f t="shared" si="85"/>
        <v>0</v>
      </c>
      <c r="CG17" s="265">
        <f t="shared" si="86"/>
        <v>0</v>
      </c>
      <c r="CH17" s="265">
        <f t="shared" si="51"/>
        <v>0</v>
      </c>
      <c r="CI17" s="265">
        <f t="shared" si="52"/>
        <v>0</v>
      </c>
      <c r="CJ17" s="265">
        <f t="shared" si="87"/>
        <v>0</v>
      </c>
      <c r="CK17" s="265">
        <f t="shared" si="88"/>
        <v>0</v>
      </c>
      <c r="CL17" s="265">
        <f t="shared" si="53"/>
        <v>0</v>
      </c>
      <c r="CM17" s="265">
        <f t="shared" si="54"/>
        <v>0</v>
      </c>
      <c r="CN17" s="265">
        <f t="shared" si="55"/>
        <v>0</v>
      </c>
      <c r="CO17" s="265">
        <f t="shared" si="56"/>
        <v>0</v>
      </c>
      <c r="CP17" s="265">
        <f t="shared" si="89"/>
        <v>0</v>
      </c>
      <c r="CQ17" s="265">
        <f t="shared" si="90"/>
        <v>0</v>
      </c>
      <c r="CR17" s="265">
        <f t="shared" si="91"/>
        <v>0</v>
      </c>
      <c r="CS17" s="265">
        <f t="shared" si="92"/>
        <v>0</v>
      </c>
      <c r="CT17" s="265">
        <f t="shared" si="57"/>
        <v>0</v>
      </c>
      <c r="CU17" s="265">
        <f t="shared" si="58"/>
        <v>0</v>
      </c>
      <c r="CV17" s="265">
        <f t="shared" si="59"/>
        <v>0</v>
      </c>
      <c r="CW17" s="265">
        <f t="shared" si="60"/>
        <v>0</v>
      </c>
      <c r="CX17" s="265">
        <f t="shared" si="93"/>
        <v>0</v>
      </c>
      <c r="CY17" s="265">
        <f t="shared" si="94"/>
        <v>0</v>
      </c>
      <c r="CZ17" s="265">
        <f t="shared" si="95"/>
        <v>0</v>
      </c>
      <c r="DA17" s="265">
        <f t="shared" si="96"/>
        <v>0</v>
      </c>
    </row>
    <row r="18" spans="1:105" s="262" customFormat="1" ht="16.5" customHeight="1">
      <c r="A18" s="63" t="str">
        <f t="array" ref="A18">IF(C18&lt;&gt;0,SUM(($C$11:C18&lt;&gt;0)*1),"")</f>
        <v/>
      </c>
      <c r="B18" s="263"/>
      <c r="C18" s="263"/>
      <c r="D18" s="263"/>
      <c r="E18" s="344"/>
      <c r="F18" s="314"/>
      <c r="G18" s="316"/>
      <c r="H18" s="316"/>
      <c r="I18" s="63" t="str">
        <f t="shared" si="0"/>
        <v/>
      </c>
      <c r="J18" s="265">
        <f t="shared" si="61"/>
        <v>0</v>
      </c>
      <c r="K18" s="265">
        <f t="shared" si="62"/>
        <v>0</v>
      </c>
      <c r="L18" s="265">
        <f t="shared" si="1"/>
        <v>0</v>
      </c>
      <c r="M18" s="265">
        <f t="shared" si="2"/>
        <v>0</v>
      </c>
      <c r="N18" s="265">
        <f t="shared" si="3"/>
        <v>0</v>
      </c>
      <c r="O18" s="265">
        <f t="shared" si="4"/>
        <v>0</v>
      </c>
      <c r="P18" s="265">
        <f t="shared" si="5"/>
        <v>0</v>
      </c>
      <c r="Q18" s="265">
        <f t="shared" si="6"/>
        <v>0</v>
      </c>
      <c r="R18" s="265">
        <f t="shared" si="7"/>
        <v>0</v>
      </c>
      <c r="S18" s="265">
        <f t="shared" si="8"/>
        <v>0</v>
      </c>
      <c r="T18" s="265">
        <f t="shared" si="9"/>
        <v>0</v>
      </c>
      <c r="U18" s="265">
        <f t="shared" si="10"/>
        <v>0</v>
      </c>
      <c r="V18" s="265">
        <f t="shared" si="11"/>
        <v>0</v>
      </c>
      <c r="W18" s="265">
        <f t="shared" si="12"/>
        <v>0</v>
      </c>
      <c r="X18" s="265">
        <f t="shared" si="13"/>
        <v>0</v>
      </c>
      <c r="Y18" s="265">
        <f t="shared" si="14"/>
        <v>0</v>
      </c>
      <c r="Z18" s="265">
        <f t="shared" si="15"/>
        <v>0</v>
      </c>
      <c r="AA18" s="265">
        <f t="shared" si="16"/>
        <v>0</v>
      </c>
      <c r="AB18" s="265">
        <f t="shared" si="63"/>
        <v>0</v>
      </c>
      <c r="AC18" s="265">
        <f t="shared" si="64"/>
        <v>0</v>
      </c>
      <c r="AD18" s="265">
        <f t="shared" si="17"/>
        <v>0</v>
      </c>
      <c r="AE18" s="265">
        <f t="shared" si="18"/>
        <v>0</v>
      </c>
      <c r="AF18" s="265">
        <f t="shared" si="19"/>
        <v>0</v>
      </c>
      <c r="AG18" s="265">
        <f t="shared" si="20"/>
        <v>0</v>
      </c>
      <c r="AH18" s="265">
        <f t="shared" si="65"/>
        <v>0</v>
      </c>
      <c r="AI18" s="265">
        <f t="shared" si="66"/>
        <v>0</v>
      </c>
      <c r="AJ18" s="265">
        <f t="shared" si="67"/>
        <v>0</v>
      </c>
      <c r="AK18" s="265">
        <f t="shared" si="68"/>
        <v>0</v>
      </c>
      <c r="AL18" s="265">
        <f t="shared" si="69"/>
        <v>0</v>
      </c>
      <c r="AM18" s="265">
        <f t="shared" si="70"/>
        <v>0</v>
      </c>
      <c r="AN18" s="265">
        <f t="shared" si="71"/>
        <v>0</v>
      </c>
      <c r="AO18" s="265">
        <f t="shared" si="72"/>
        <v>0</v>
      </c>
      <c r="AP18" s="265">
        <f t="shared" si="21"/>
        <v>0</v>
      </c>
      <c r="AQ18" s="265">
        <f t="shared" si="22"/>
        <v>0</v>
      </c>
      <c r="AR18" s="265">
        <f t="shared" si="23"/>
        <v>0</v>
      </c>
      <c r="AS18" s="265">
        <f t="shared" si="24"/>
        <v>0</v>
      </c>
      <c r="AT18" s="265">
        <f t="shared" si="73"/>
        <v>0</v>
      </c>
      <c r="AU18" s="265">
        <f t="shared" si="74"/>
        <v>0</v>
      </c>
      <c r="AV18" s="265">
        <f t="shared" si="25"/>
        <v>0</v>
      </c>
      <c r="AW18" s="265">
        <f t="shared" si="26"/>
        <v>0</v>
      </c>
      <c r="AX18" s="265">
        <f t="shared" si="27"/>
        <v>0</v>
      </c>
      <c r="AY18" s="265">
        <f t="shared" si="28"/>
        <v>0</v>
      </c>
      <c r="AZ18" s="265">
        <f t="shared" si="29"/>
        <v>0</v>
      </c>
      <c r="BA18" s="265">
        <f t="shared" si="30"/>
        <v>0</v>
      </c>
      <c r="BB18" s="265">
        <f t="shared" si="31"/>
        <v>0</v>
      </c>
      <c r="BC18" s="265">
        <f t="shared" si="32"/>
        <v>0</v>
      </c>
      <c r="BD18" s="265">
        <f t="shared" si="33"/>
        <v>0</v>
      </c>
      <c r="BE18" s="265">
        <f t="shared" si="34"/>
        <v>0</v>
      </c>
      <c r="BF18" s="265">
        <f t="shared" si="35"/>
        <v>0</v>
      </c>
      <c r="BG18" s="265">
        <f t="shared" si="36"/>
        <v>0</v>
      </c>
      <c r="BH18" s="265">
        <f t="shared" si="75"/>
        <v>0</v>
      </c>
      <c r="BI18" s="265">
        <f t="shared" si="76"/>
        <v>0</v>
      </c>
      <c r="BJ18" s="265">
        <f t="shared" si="37"/>
        <v>0</v>
      </c>
      <c r="BK18" s="265">
        <f t="shared" si="38"/>
        <v>0</v>
      </c>
      <c r="BL18" s="265">
        <f t="shared" si="39"/>
        <v>0</v>
      </c>
      <c r="BM18" s="265">
        <f t="shared" si="40"/>
        <v>0</v>
      </c>
      <c r="BN18" s="265">
        <f t="shared" si="41"/>
        <v>0</v>
      </c>
      <c r="BO18" s="265">
        <f t="shared" si="42"/>
        <v>0</v>
      </c>
      <c r="BP18" s="265">
        <f t="shared" si="77"/>
        <v>0</v>
      </c>
      <c r="BQ18" s="265">
        <f t="shared" si="78"/>
        <v>0</v>
      </c>
      <c r="BR18" s="265">
        <f t="shared" si="43"/>
        <v>0</v>
      </c>
      <c r="BS18" s="265">
        <f t="shared" si="44"/>
        <v>0</v>
      </c>
      <c r="BT18" s="265">
        <f t="shared" si="79"/>
        <v>0</v>
      </c>
      <c r="BU18" s="265">
        <f t="shared" si="80"/>
        <v>0</v>
      </c>
      <c r="BV18" s="265">
        <f t="shared" si="81"/>
        <v>0</v>
      </c>
      <c r="BW18" s="265">
        <f t="shared" si="82"/>
        <v>0</v>
      </c>
      <c r="BX18" s="265">
        <f t="shared" si="45"/>
        <v>0</v>
      </c>
      <c r="BY18" s="265">
        <f t="shared" si="46"/>
        <v>0</v>
      </c>
      <c r="BZ18" s="265">
        <f t="shared" si="47"/>
        <v>0</v>
      </c>
      <c r="CA18" s="265">
        <f t="shared" si="48"/>
        <v>0</v>
      </c>
      <c r="CB18" s="265">
        <f t="shared" si="49"/>
        <v>0</v>
      </c>
      <c r="CC18" s="265">
        <f t="shared" si="50"/>
        <v>0</v>
      </c>
      <c r="CD18" s="265">
        <f t="shared" si="83"/>
        <v>0</v>
      </c>
      <c r="CE18" s="265">
        <f t="shared" si="84"/>
        <v>0</v>
      </c>
      <c r="CF18" s="265">
        <f t="shared" si="85"/>
        <v>0</v>
      </c>
      <c r="CG18" s="265">
        <f t="shared" si="86"/>
        <v>0</v>
      </c>
      <c r="CH18" s="265">
        <f t="shared" si="51"/>
        <v>0</v>
      </c>
      <c r="CI18" s="265">
        <f t="shared" si="52"/>
        <v>0</v>
      </c>
      <c r="CJ18" s="265">
        <f t="shared" si="87"/>
        <v>0</v>
      </c>
      <c r="CK18" s="265">
        <f t="shared" si="88"/>
        <v>0</v>
      </c>
      <c r="CL18" s="265">
        <f t="shared" si="53"/>
        <v>0</v>
      </c>
      <c r="CM18" s="265">
        <f t="shared" si="54"/>
        <v>0</v>
      </c>
      <c r="CN18" s="265">
        <f t="shared" si="55"/>
        <v>0</v>
      </c>
      <c r="CO18" s="265">
        <f t="shared" si="56"/>
        <v>0</v>
      </c>
      <c r="CP18" s="265">
        <f t="shared" si="89"/>
        <v>0</v>
      </c>
      <c r="CQ18" s="265">
        <f t="shared" si="90"/>
        <v>0</v>
      </c>
      <c r="CR18" s="265">
        <f t="shared" si="91"/>
        <v>0</v>
      </c>
      <c r="CS18" s="265">
        <f t="shared" si="92"/>
        <v>0</v>
      </c>
      <c r="CT18" s="265">
        <f t="shared" si="57"/>
        <v>0</v>
      </c>
      <c r="CU18" s="265">
        <f t="shared" si="58"/>
        <v>0</v>
      </c>
      <c r="CV18" s="265">
        <f t="shared" si="59"/>
        <v>0</v>
      </c>
      <c r="CW18" s="265">
        <f t="shared" si="60"/>
        <v>0</v>
      </c>
      <c r="CX18" s="265">
        <f t="shared" si="93"/>
        <v>0</v>
      </c>
      <c r="CY18" s="265">
        <f t="shared" si="94"/>
        <v>0</v>
      </c>
      <c r="CZ18" s="265">
        <f t="shared" si="95"/>
        <v>0</v>
      </c>
      <c r="DA18" s="265">
        <f t="shared" si="96"/>
        <v>0</v>
      </c>
    </row>
    <row r="19" spans="1:105" s="262" customFormat="1" ht="16.5" customHeight="1">
      <c r="A19" s="63" t="str">
        <f t="array" ref="A19">IF(C19&lt;&gt;0,SUM(($C$11:C19&lt;&gt;0)*1),"")</f>
        <v/>
      </c>
      <c r="B19" s="263"/>
      <c r="C19" s="263"/>
      <c r="D19" s="263"/>
      <c r="E19" s="344"/>
      <c r="F19" s="314"/>
      <c r="G19" s="316"/>
      <c r="H19" s="316"/>
      <c r="I19" s="63" t="str">
        <f t="shared" si="0"/>
        <v/>
      </c>
      <c r="J19" s="265">
        <f t="shared" si="61"/>
        <v>0</v>
      </c>
      <c r="K19" s="265">
        <f t="shared" si="62"/>
        <v>0</v>
      </c>
      <c r="L19" s="265">
        <f t="shared" si="1"/>
        <v>0</v>
      </c>
      <c r="M19" s="265">
        <f t="shared" si="2"/>
        <v>0</v>
      </c>
      <c r="N19" s="265">
        <f t="shared" si="3"/>
        <v>0</v>
      </c>
      <c r="O19" s="265">
        <f t="shared" si="4"/>
        <v>0</v>
      </c>
      <c r="P19" s="265">
        <f t="shared" si="5"/>
        <v>0</v>
      </c>
      <c r="Q19" s="265">
        <f t="shared" si="6"/>
        <v>0</v>
      </c>
      <c r="R19" s="265">
        <f t="shared" si="7"/>
        <v>0</v>
      </c>
      <c r="S19" s="265">
        <f t="shared" si="8"/>
        <v>0</v>
      </c>
      <c r="T19" s="265">
        <f t="shared" si="9"/>
        <v>0</v>
      </c>
      <c r="U19" s="265">
        <f t="shared" si="10"/>
        <v>0</v>
      </c>
      <c r="V19" s="265">
        <f t="shared" si="11"/>
        <v>0</v>
      </c>
      <c r="W19" s="265">
        <f t="shared" si="12"/>
        <v>0</v>
      </c>
      <c r="X19" s="265">
        <f t="shared" si="13"/>
        <v>0</v>
      </c>
      <c r="Y19" s="265">
        <f t="shared" si="14"/>
        <v>0</v>
      </c>
      <c r="Z19" s="265">
        <f t="shared" si="15"/>
        <v>0</v>
      </c>
      <c r="AA19" s="265">
        <f t="shared" si="16"/>
        <v>0</v>
      </c>
      <c r="AB19" s="265">
        <f t="shared" si="63"/>
        <v>0</v>
      </c>
      <c r="AC19" s="265">
        <f t="shared" si="64"/>
        <v>0</v>
      </c>
      <c r="AD19" s="265">
        <f t="shared" si="17"/>
        <v>0</v>
      </c>
      <c r="AE19" s="265">
        <f t="shared" si="18"/>
        <v>0</v>
      </c>
      <c r="AF19" s="265">
        <f t="shared" si="19"/>
        <v>0</v>
      </c>
      <c r="AG19" s="265">
        <f t="shared" si="20"/>
        <v>0</v>
      </c>
      <c r="AH19" s="265">
        <f t="shared" si="65"/>
        <v>0</v>
      </c>
      <c r="AI19" s="265">
        <f t="shared" si="66"/>
        <v>0</v>
      </c>
      <c r="AJ19" s="265">
        <f t="shared" si="67"/>
        <v>0</v>
      </c>
      <c r="AK19" s="265">
        <f t="shared" si="68"/>
        <v>0</v>
      </c>
      <c r="AL19" s="265">
        <f t="shared" si="69"/>
        <v>0</v>
      </c>
      <c r="AM19" s="265">
        <f t="shared" si="70"/>
        <v>0</v>
      </c>
      <c r="AN19" s="265">
        <f t="shared" si="71"/>
        <v>0</v>
      </c>
      <c r="AO19" s="265">
        <f t="shared" si="72"/>
        <v>0</v>
      </c>
      <c r="AP19" s="265">
        <f t="shared" si="21"/>
        <v>0</v>
      </c>
      <c r="AQ19" s="265">
        <f t="shared" si="22"/>
        <v>0</v>
      </c>
      <c r="AR19" s="265">
        <f t="shared" si="23"/>
        <v>0</v>
      </c>
      <c r="AS19" s="265">
        <f t="shared" si="24"/>
        <v>0</v>
      </c>
      <c r="AT19" s="265">
        <f t="shared" si="73"/>
        <v>0</v>
      </c>
      <c r="AU19" s="265">
        <f t="shared" si="74"/>
        <v>0</v>
      </c>
      <c r="AV19" s="265">
        <f t="shared" si="25"/>
        <v>0</v>
      </c>
      <c r="AW19" s="265">
        <f t="shared" si="26"/>
        <v>0</v>
      </c>
      <c r="AX19" s="265">
        <f t="shared" si="27"/>
        <v>0</v>
      </c>
      <c r="AY19" s="265">
        <f t="shared" si="28"/>
        <v>0</v>
      </c>
      <c r="AZ19" s="265">
        <f t="shared" si="29"/>
        <v>0</v>
      </c>
      <c r="BA19" s="265">
        <f t="shared" si="30"/>
        <v>0</v>
      </c>
      <c r="BB19" s="265">
        <f t="shared" si="31"/>
        <v>0</v>
      </c>
      <c r="BC19" s="265">
        <f t="shared" si="32"/>
        <v>0</v>
      </c>
      <c r="BD19" s="265">
        <f t="shared" si="33"/>
        <v>0</v>
      </c>
      <c r="BE19" s="265">
        <f t="shared" si="34"/>
        <v>0</v>
      </c>
      <c r="BF19" s="265">
        <f t="shared" si="35"/>
        <v>0</v>
      </c>
      <c r="BG19" s="265">
        <f t="shared" si="36"/>
        <v>0</v>
      </c>
      <c r="BH19" s="265">
        <f t="shared" si="75"/>
        <v>0</v>
      </c>
      <c r="BI19" s="265">
        <f t="shared" si="76"/>
        <v>0</v>
      </c>
      <c r="BJ19" s="265">
        <f t="shared" si="37"/>
        <v>0</v>
      </c>
      <c r="BK19" s="265">
        <f t="shared" si="38"/>
        <v>0</v>
      </c>
      <c r="BL19" s="265">
        <f t="shared" si="39"/>
        <v>0</v>
      </c>
      <c r="BM19" s="265">
        <f t="shared" si="40"/>
        <v>0</v>
      </c>
      <c r="BN19" s="265">
        <f t="shared" si="41"/>
        <v>0</v>
      </c>
      <c r="BO19" s="265">
        <f t="shared" si="42"/>
        <v>0</v>
      </c>
      <c r="BP19" s="265">
        <f t="shared" si="77"/>
        <v>0</v>
      </c>
      <c r="BQ19" s="265">
        <f t="shared" si="78"/>
        <v>0</v>
      </c>
      <c r="BR19" s="265">
        <f t="shared" si="43"/>
        <v>0</v>
      </c>
      <c r="BS19" s="265">
        <f t="shared" si="44"/>
        <v>0</v>
      </c>
      <c r="BT19" s="265">
        <f t="shared" si="79"/>
        <v>0</v>
      </c>
      <c r="BU19" s="265">
        <f t="shared" si="80"/>
        <v>0</v>
      </c>
      <c r="BV19" s="265">
        <f t="shared" si="81"/>
        <v>0</v>
      </c>
      <c r="BW19" s="265">
        <f t="shared" si="82"/>
        <v>0</v>
      </c>
      <c r="BX19" s="265">
        <f t="shared" si="45"/>
        <v>0</v>
      </c>
      <c r="BY19" s="265">
        <f t="shared" si="46"/>
        <v>0</v>
      </c>
      <c r="BZ19" s="265">
        <f t="shared" si="47"/>
        <v>0</v>
      </c>
      <c r="CA19" s="265">
        <f t="shared" si="48"/>
        <v>0</v>
      </c>
      <c r="CB19" s="265">
        <f t="shared" si="49"/>
        <v>0</v>
      </c>
      <c r="CC19" s="265">
        <f t="shared" si="50"/>
        <v>0</v>
      </c>
      <c r="CD19" s="265">
        <f t="shared" si="83"/>
        <v>0</v>
      </c>
      <c r="CE19" s="265">
        <f t="shared" si="84"/>
        <v>0</v>
      </c>
      <c r="CF19" s="265">
        <f t="shared" si="85"/>
        <v>0</v>
      </c>
      <c r="CG19" s="265">
        <f t="shared" si="86"/>
        <v>0</v>
      </c>
      <c r="CH19" s="265">
        <f t="shared" si="51"/>
        <v>0</v>
      </c>
      <c r="CI19" s="265">
        <f t="shared" si="52"/>
        <v>0</v>
      </c>
      <c r="CJ19" s="265">
        <f t="shared" si="87"/>
        <v>0</v>
      </c>
      <c r="CK19" s="265">
        <f t="shared" si="88"/>
        <v>0</v>
      </c>
      <c r="CL19" s="265">
        <f t="shared" si="53"/>
        <v>0</v>
      </c>
      <c r="CM19" s="265">
        <f t="shared" si="54"/>
        <v>0</v>
      </c>
      <c r="CN19" s="265">
        <f t="shared" si="55"/>
        <v>0</v>
      </c>
      <c r="CO19" s="265">
        <f t="shared" si="56"/>
        <v>0</v>
      </c>
      <c r="CP19" s="265">
        <f t="shared" si="89"/>
        <v>0</v>
      </c>
      <c r="CQ19" s="265">
        <f t="shared" si="90"/>
        <v>0</v>
      </c>
      <c r="CR19" s="265">
        <f t="shared" si="91"/>
        <v>0</v>
      </c>
      <c r="CS19" s="265">
        <f t="shared" si="92"/>
        <v>0</v>
      </c>
      <c r="CT19" s="265">
        <f t="shared" si="57"/>
        <v>0</v>
      </c>
      <c r="CU19" s="265">
        <f t="shared" si="58"/>
        <v>0</v>
      </c>
      <c r="CV19" s="265">
        <f t="shared" si="59"/>
        <v>0</v>
      </c>
      <c r="CW19" s="265">
        <f t="shared" si="60"/>
        <v>0</v>
      </c>
      <c r="CX19" s="265">
        <f t="shared" si="93"/>
        <v>0</v>
      </c>
      <c r="CY19" s="265">
        <f t="shared" si="94"/>
        <v>0</v>
      </c>
      <c r="CZ19" s="265">
        <f t="shared" si="95"/>
        <v>0</v>
      </c>
      <c r="DA19" s="265">
        <f t="shared" si="96"/>
        <v>0</v>
      </c>
    </row>
    <row r="20" spans="1:105" s="262" customFormat="1" ht="16.5" customHeight="1">
      <c r="A20" s="63" t="str">
        <f t="array" ref="A20">IF(C20&lt;&gt;0,SUM(($C$11:C20&lt;&gt;0)*1),"")</f>
        <v/>
      </c>
      <c r="B20" s="263"/>
      <c r="C20" s="263"/>
      <c r="D20" s="263"/>
      <c r="E20" s="344"/>
      <c r="F20" s="314"/>
      <c r="G20" s="316"/>
      <c r="H20" s="316"/>
      <c r="I20" s="63" t="str">
        <f t="shared" si="0"/>
        <v/>
      </c>
      <c r="J20" s="265">
        <f t="shared" si="61"/>
        <v>0</v>
      </c>
      <c r="K20" s="265">
        <f t="shared" si="62"/>
        <v>0</v>
      </c>
      <c r="L20" s="265">
        <f t="shared" si="1"/>
        <v>0</v>
      </c>
      <c r="M20" s="265">
        <f t="shared" si="2"/>
        <v>0</v>
      </c>
      <c r="N20" s="265">
        <f t="shared" si="3"/>
        <v>0</v>
      </c>
      <c r="O20" s="265">
        <f t="shared" si="4"/>
        <v>0</v>
      </c>
      <c r="P20" s="265">
        <f t="shared" si="5"/>
        <v>0</v>
      </c>
      <c r="Q20" s="265">
        <f t="shared" si="6"/>
        <v>0</v>
      </c>
      <c r="R20" s="265">
        <f t="shared" si="7"/>
        <v>0</v>
      </c>
      <c r="S20" s="265">
        <f t="shared" si="8"/>
        <v>0</v>
      </c>
      <c r="T20" s="265">
        <f t="shared" si="9"/>
        <v>0</v>
      </c>
      <c r="U20" s="265">
        <f t="shared" si="10"/>
        <v>0</v>
      </c>
      <c r="V20" s="265">
        <f t="shared" si="11"/>
        <v>0</v>
      </c>
      <c r="W20" s="265">
        <f t="shared" si="12"/>
        <v>0</v>
      </c>
      <c r="X20" s="265">
        <f t="shared" si="13"/>
        <v>0</v>
      </c>
      <c r="Y20" s="265">
        <f t="shared" si="14"/>
        <v>0</v>
      </c>
      <c r="Z20" s="265">
        <f t="shared" si="15"/>
        <v>0</v>
      </c>
      <c r="AA20" s="265">
        <f t="shared" si="16"/>
        <v>0</v>
      </c>
      <c r="AB20" s="265">
        <f t="shared" si="63"/>
        <v>0</v>
      </c>
      <c r="AC20" s="265">
        <f t="shared" si="64"/>
        <v>0</v>
      </c>
      <c r="AD20" s="265">
        <f t="shared" si="17"/>
        <v>0</v>
      </c>
      <c r="AE20" s="265">
        <f t="shared" si="18"/>
        <v>0</v>
      </c>
      <c r="AF20" s="265">
        <f t="shared" si="19"/>
        <v>0</v>
      </c>
      <c r="AG20" s="265">
        <f t="shared" si="20"/>
        <v>0</v>
      </c>
      <c r="AH20" s="265">
        <f t="shared" si="65"/>
        <v>0</v>
      </c>
      <c r="AI20" s="265">
        <f t="shared" si="66"/>
        <v>0</v>
      </c>
      <c r="AJ20" s="265">
        <f t="shared" si="67"/>
        <v>0</v>
      </c>
      <c r="AK20" s="265">
        <f t="shared" si="68"/>
        <v>0</v>
      </c>
      <c r="AL20" s="265">
        <f t="shared" si="69"/>
        <v>0</v>
      </c>
      <c r="AM20" s="265">
        <f t="shared" si="70"/>
        <v>0</v>
      </c>
      <c r="AN20" s="265">
        <f t="shared" si="71"/>
        <v>0</v>
      </c>
      <c r="AO20" s="265">
        <f t="shared" si="72"/>
        <v>0</v>
      </c>
      <c r="AP20" s="265">
        <f t="shared" si="21"/>
        <v>0</v>
      </c>
      <c r="AQ20" s="265">
        <f t="shared" si="22"/>
        <v>0</v>
      </c>
      <c r="AR20" s="265">
        <f t="shared" si="23"/>
        <v>0</v>
      </c>
      <c r="AS20" s="265">
        <f t="shared" si="24"/>
        <v>0</v>
      </c>
      <c r="AT20" s="265">
        <f t="shared" si="73"/>
        <v>0</v>
      </c>
      <c r="AU20" s="265">
        <f t="shared" si="74"/>
        <v>0</v>
      </c>
      <c r="AV20" s="265">
        <f t="shared" si="25"/>
        <v>0</v>
      </c>
      <c r="AW20" s="265">
        <f t="shared" si="26"/>
        <v>0</v>
      </c>
      <c r="AX20" s="265">
        <f t="shared" si="27"/>
        <v>0</v>
      </c>
      <c r="AY20" s="265">
        <f t="shared" si="28"/>
        <v>0</v>
      </c>
      <c r="AZ20" s="265">
        <f t="shared" si="29"/>
        <v>0</v>
      </c>
      <c r="BA20" s="265">
        <f t="shared" si="30"/>
        <v>0</v>
      </c>
      <c r="BB20" s="265">
        <f t="shared" si="31"/>
        <v>0</v>
      </c>
      <c r="BC20" s="265">
        <f t="shared" si="32"/>
        <v>0</v>
      </c>
      <c r="BD20" s="265">
        <f t="shared" si="33"/>
        <v>0</v>
      </c>
      <c r="BE20" s="265">
        <f t="shared" si="34"/>
        <v>0</v>
      </c>
      <c r="BF20" s="265">
        <f t="shared" si="35"/>
        <v>0</v>
      </c>
      <c r="BG20" s="265">
        <f t="shared" si="36"/>
        <v>0</v>
      </c>
      <c r="BH20" s="265">
        <f t="shared" si="75"/>
        <v>0</v>
      </c>
      <c r="BI20" s="265">
        <f t="shared" si="76"/>
        <v>0</v>
      </c>
      <c r="BJ20" s="265">
        <f t="shared" si="37"/>
        <v>0</v>
      </c>
      <c r="BK20" s="265">
        <f t="shared" si="38"/>
        <v>0</v>
      </c>
      <c r="BL20" s="265">
        <f t="shared" si="39"/>
        <v>0</v>
      </c>
      <c r="BM20" s="265">
        <f t="shared" si="40"/>
        <v>0</v>
      </c>
      <c r="BN20" s="265">
        <f t="shared" si="41"/>
        <v>0</v>
      </c>
      <c r="BO20" s="265">
        <f t="shared" si="42"/>
        <v>0</v>
      </c>
      <c r="BP20" s="265">
        <f t="shared" si="77"/>
        <v>0</v>
      </c>
      <c r="BQ20" s="265">
        <f t="shared" si="78"/>
        <v>0</v>
      </c>
      <c r="BR20" s="265">
        <f t="shared" si="43"/>
        <v>0</v>
      </c>
      <c r="BS20" s="265">
        <f t="shared" si="44"/>
        <v>0</v>
      </c>
      <c r="BT20" s="265">
        <f t="shared" si="79"/>
        <v>0</v>
      </c>
      <c r="BU20" s="265">
        <f t="shared" si="80"/>
        <v>0</v>
      </c>
      <c r="BV20" s="265">
        <f t="shared" si="81"/>
        <v>0</v>
      </c>
      <c r="BW20" s="265">
        <f t="shared" si="82"/>
        <v>0</v>
      </c>
      <c r="BX20" s="265">
        <f t="shared" si="45"/>
        <v>0</v>
      </c>
      <c r="BY20" s="265">
        <f t="shared" si="46"/>
        <v>0</v>
      </c>
      <c r="BZ20" s="265">
        <f t="shared" si="47"/>
        <v>0</v>
      </c>
      <c r="CA20" s="265">
        <f t="shared" si="48"/>
        <v>0</v>
      </c>
      <c r="CB20" s="265">
        <f t="shared" si="49"/>
        <v>0</v>
      </c>
      <c r="CC20" s="265">
        <f t="shared" si="50"/>
        <v>0</v>
      </c>
      <c r="CD20" s="265">
        <f t="shared" si="83"/>
        <v>0</v>
      </c>
      <c r="CE20" s="265">
        <f t="shared" si="84"/>
        <v>0</v>
      </c>
      <c r="CF20" s="265">
        <f t="shared" si="85"/>
        <v>0</v>
      </c>
      <c r="CG20" s="265">
        <f t="shared" si="86"/>
        <v>0</v>
      </c>
      <c r="CH20" s="265">
        <f t="shared" si="51"/>
        <v>0</v>
      </c>
      <c r="CI20" s="265">
        <f t="shared" si="52"/>
        <v>0</v>
      </c>
      <c r="CJ20" s="265">
        <f t="shared" si="87"/>
        <v>0</v>
      </c>
      <c r="CK20" s="265">
        <f t="shared" si="88"/>
        <v>0</v>
      </c>
      <c r="CL20" s="265">
        <f t="shared" si="53"/>
        <v>0</v>
      </c>
      <c r="CM20" s="265">
        <f t="shared" si="54"/>
        <v>0</v>
      </c>
      <c r="CN20" s="265">
        <f t="shared" si="55"/>
        <v>0</v>
      </c>
      <c r="CO20" s="265">
        <f t="shared" si="56"/>
        <v>0</v>
      </c>
      <c r="CP20" s="265">
        <f t="shared" si="89"/>
        <v>0</v>
      </c>
      <c r="CQ20" s="265">
        <f t="shared" si="90"/>
        <v>0</v>
      </c>
      <c r="CR20" s="265">
        <f t="shared" si="91"/>
        <v>0</v>
      </c>
      <c r="CS20" s="265">
        <f t="shared" si="92"/>
        <v>0</v>
      </c>
      <c r="CT20" s="265">
        <f t="shared" si="57"/>
        <v>0</v>
      </c>
      <c r="CU20" s="265">
        <f t="shared" si="58"/>
        <v>0</v>
      </c>
      <c r="CV20" s="265">
        <f t="shared" si="59"/>
        <v>0</v>
      </c>
      <c r="CW20" s="265">
        <f t="shared" si="60"/>
        <v>0</v>
      </c>
      <c r="CX20" s="265">
        <f t="shared" si="93"/>
        <v>0</v>
      </c>
      <c r="CY20" s="265">
        <f t="shared" si="94"/>
        <v>0</v>
      </c>
      <c r="CZ20" s="265">
        <f t="shared" si="95"/>
        <v>0</v>
      </c>
      <c r="DA20" s="265">
        <f t="shared" si="96"/>
        <v>0</v>
      </c>
    </row>
    <row r="21" spans="1:105" s="262" customFormat="1" ht="16.5" customHeight="1">
      <c r="A21" s="63" t="str">
        <f t="array" ref="A21">IF(C21&lt;&gt;0,SUM(($C$11:C21&lt;&gt;0)*1),"")</f>
        <v/>
      </c>
      <c r="B21" s="263"/>
      <c r="C21" s="263"/>
      <c r="D21" s="263"/>
      <c r="E21" s="344"/>
      <c r="F21" s="314"/>
      <c r="G21" s="316"/>
      <c r="H21" s="316"/>
      <c r="I21" s="63" t="str">
        <f t="shared" si="0"/>
        <v/>
      </c>
      <c r="J21" s="265">
        <f t="shared" si="61"/>
        <v>0</v>
      </c>
      <c r="K21" s="265">
        <f t="shared" si="62"/>
        <v>0</v>
      </c>
      <c r="L21" s="265">
        <f t="shared" si="1"/>
        <v>0</v>
      </c>
      <c r="M21" s="265">
        <f t="shared" si="2"/>
        <v>0</v>
      </c>
      <c r="N21" s="265">
        <f t="shared" si="3"/>
        <v>0</v>
      </c>
      <c r="O21" s="265">
        <f t="shared" si="4"/>
        <v>0</v>
      </c>
      <c r="P21" s="265">
        <f t="shared" si="5"/>
        <v>0</v>
      </c>
      <c r="Q21" s="265">
        <f t="shared" si="6"/>
        <v>0</v>
      </c>
      <c r="R21" s="265">
        <f t="shared" si="7"/>
        <v>0</v>
      </c>
      <c r="S21" s="265">
        <f t="shared" si="8"/>
        <v>0</v>
      </c>
      <c r="T21" s="265">
        <f t="shared" si="9"/>
        <v>0</v>
      </c>
      <c r="U21" s="265">
        <f t="shared" si="10"/>
        <v>0</v>
      </c>
      <c r="V21" s="265">
        <f t="shared" si="11"/>
        <v>0</v>
      </c>
      <c r="W21" s="265">
        <f t="shared" si="12"/>
        <v>0</v>
      </c>
      <c r="X21" s="265">
        <f t="shared" si="13"/>
        <v>0</v>
      </c>
      <c r="Y21" s="265">
        <f t="shared" si="14"/>
        <v>0</v>
      </c>
      <c r="Z21" s="265">
        <f t="shared" si="15"/>
        <v>0</v>
      </c>
      <c r="AA21" s="265">
        <f t="shared" si="16"/>
        <v>0</v>
      </c>
      <c r="AB21" s="265">
        <f t="shared" si="63"/>
        <v>0</v>
      </c>
      <c r="AC21" s="265">
        <f t="shared" si="64"/>
        <v>0</v>
      </c>
      <c r="AD21" s="265">
        <f t="shared" si="17"/>
        <v>0</v>
      </c>
      <c r="AE21" s="265">
        <f t="shared" si="18"/>
        <v>0</v>
      </c>
      <c r="AF21" s="265">
        <f t="shared" si="19"/>
        <v>0</v>
      </c>
      <c r="AG21" s="265">
        <f t="shared" si="20"/>
        <v>0</v>
      </c>
      <c r="AH21" s="265">
        <f t="shared" si="65"/>
        <v>0</v>
      </c>
      <c r="AI21" s="265">
        <f t="shared" si="66"/>
        <v>0</v>
      </c>
      <c r="AJ21" s="265">
        <f t="shared" si="67"/>
        <v>0</v>
      </c>
      <c r="AK21" s="265">
        <f t="shared" si="68"/>
        <v>0</v>
      </c>
      <c r="AL21" s="265">
        <f t="shared" si="69"/>
        <v>0</v>
      </c>
      <c r="AM21" s="265">
        <f t="shared" si="70"/>
        <v>0</v>
      </c>
      <c r="AN21" s="265">
        <f t="shared" si="71"/>
        <v>0</v>
      </c>
      <c r="AO21" s="265">
        <f t="shared" si="72"/>
        <v>0</v>
      </c>
      <c r="AP21" s="265">
        <f t="shared" si="21"/>
        <v>0</v>
      </c>
      <c r="AQ21" s="265">
        <f t="shared" si="22"/>
        <v>0</v>
      </c>
      <c r="AR21" s="265">
        <f t="shared" si="23"/>
        <v>0</v>
      </c>
      <c r="AS21" s="265">
        <f t="shared" si="24"/>
        <v>0</v>
      </c>
      <c r="AT21" s="265">
        <f t="shared" si="73"/>
        <v>0</v>
      </c>
      <c r="AU21" s="265">
        <f t="shared" si="74"/>
        <v>0</v>
      </c>
      <c r="AV21" s="265">
        <f t="shared" si="25"/>
        <v>0</v>
      </c>
      <c r="AW21" s="265">
        <f t="shared" si="26"/>
        <v>0</v>
      </c>
      <c r="AX21" s="265">
        <f t="shared" si="27"/>
        <v>0</v>
      </c>
      <c r="AY21" s="265">
        <f t="shared" si="28"/>
        <v>0</v>
      </c>
      <c r="AZ21" s="265">
        <f t="shared" si="29"/>
        <v>0</v>
      </c>
      <c r="BA21" s="265">
        <f t="shared" si="30"/>
        <v>0</v>
      </c>
      <c r="BB21" s="265">
        <f t="shared" si="31"/>
        <v>0</v>
      </c>
      <c r="BC21" s="265">
        <f t="shared" si="32"/>
        <v>0</v>
      </c>
      <c r="BD21" s="265">
        <f t="shared" si="33"/>
        <v>0</v>
      </c>
      <c r="BE21" s="265">
        <f t="shared" si="34"/>
        <v>0</v>
      </c>
      <c r="BF21" s="265">
        <f t="shared" si="35"/>
        <v>0</v>
      </c>
      <c r="BG21" s="265">
        <f t="shared" si="36"/>
        <v>0</v>
      </c>
      <c r="BH21" s="265">
        <f t="shared" si="75"/>
        <v>0</v>
      </c>
      <c r="BI21" s="265">
        <f t="shared" si="76"/>
        <v>0</v>
      </c>
      <c r="BJ21" s="265">
        <f t="shared" si="37"/>
        <v>0</v>
      </c>
      <c r="BK21" s="265">
        <f t="shared" si="38"/>
        <v>0</v>
      </c>
      <c r="BL21" s="265">
        <f t="shared" si="39"/>
        <v>0</v>
      </c>
      <c r="BM21" s="265">
        <f t="shared" si="40"/>
        <v>0</v>
      </c>
      <c r="BN21" s="265">
        <f t="shared" si="41"/>
        <v>0</v>
      </c>
      <c r="BO21" s="265">
        <f t="shared" si="42"/>
        <v>0</v>
      </c>
      <c r="BP21" s="265">
        <f t="shared" si="77"/>
        <v>0</v>
      </c>
      <c r="BQ21" s="265">
        <f t="shared" si="78"/>
        <v>0</v>
      </c>
      <c r="BR21" s="265">
        <f t="shared" si="43"/>
        <v>0</v>
      </c>
      <c r="BS21" s="265">
        <f t="shared" si="44"/>
        <v>0</v>
      </c>
      <c r="BT21" s="265">
        <f t="shared" si="79"/>
        <v>0</v>
      </c>
      <c r="BU21" s="265">
        <f t="shared" si="80"/>
        <v>0</v>
      </c>
      <c r="BV21" s="265">
        <f t="shared" si="81"/>
        <v>0</v>
      </c>
      <c r="BW21" s="265">
        <f t="shared" si="82"/>
        <v>0</v>
      </c>
      <c r="BX21" s="265">
        <f t="shared" si="45"/>
        <v>0</v>
      </c>
      <c r="BY21" s="265">
        <f t="shared" si="46"/>
        <v>0</v>
      </c>
      <c r="BZ21" s="265">
        <f t="shared" si="47"/>
        <v>0</v>
      </c>
      <c r="CA21" s="265">
        <f t="shared" si="48"/>
        <v>0</v>
      </c>
      <c r="CB21" s="265">
        <f t="shared" si="49"/>
        <v>0</v>
      </c>
      <c r="CC21" s="265">
        <f t="shared" si="50"/>
        <v>0</v>
      </c>
      <c r="CD21" s="265">
        <f t="shared" si="83"/>
        <v>0</v>
      </c>
      <c r="CE21" s="265">
        <f t="shared" si="84"/>
        <v>0</v>
      </c>
      <c r="CF21" s="265">
        <f t="shared" si="85"/>
        <v>0</v>
      </c>
      <c r="CG21" s="265">
        <f t="shared" si="86"/>
        <v>0</v>
      </c>
      <c r="CH21" s="265">
        <f t="shared" si="51"/>
        <v>0</v>
      </c>
      <c r="CI21" s="265">
        <f t="shared" si="52"/>
        <v>0</v>
      </c>
      <c r="CJ21" s="265">
        <f t="shared" si="87"/>
        <v>0</v>
      </c>
      <c r="CK21" s="265">
        <f t="shared" si="88"/>
        <v>0</v>
      </c>
      <c r="CL21" s="265">
        <f t="shared" si="53"/>
        <v>0</v>
      </c>
      <c r="CM21" s="265">
        <f t="shared" si="54"/>
        <v>0</v>
      </c>
      <c r="CN21" s="265">
        <f t="shared" si="55"/>
        <v>0</v>
      </c>
      <c r="CO21" s="265">
        <f t="shared" si="56"/>
        <v>0</v>
      </c>
      <c r="CP21" s="265">
        <f t="shared" si="89"/>
        <v>0</v>
      </c>
      <c r="CQ21" s="265">
        <f t="shared" si="90"/>
        <v>0</v>
      </c>
      <c r="CR21" s="265">
        <f t="shared" si="91"/>
        <v>0</v>
      </c>
      <c r="CS21" s="265">
        <f t="shared" si="92"/>
        <v>0</v>
      </c>
      <c r="CT21" s="265">
        <f t="shared" si="57"/>
        <v>0</v>
      </c>
      <c r="CU21" s="265">
        <f t="shared" si="58"/>
        <v>0</v>
      </c>
      <c r="CV21" s="265">
        <f t="shared" si="59"/>
        <v>0</v>
      </c>
      <c r="CW21" s="265">
        <f t="shared" si="60"/>
        <v>0</v>
      </c>
      <c r="CX21" s="265">
        <f t="shared" si="93"/>
        <v>0</v>
      </c>
      <c r="CY21" s="265">
        <f t="shared" si="94"/>
        <v>0</v>
      </c>
      <c r="CZ21" s="265">
        <f t="shared" si="95"/>
        <v>0</v>
      </c>
      <c r="DA21" s="265">
        <f t="shared" si="96"/>
        <v>0</v>
      </c>
    </row>
    <row r="22" spans="1:105" s="262" customFormat="1" ht="16.5" customHeight="1">
      <c r="A22" s="63" t="str">
        <f t="array" ref="A22">IF(C22&lt;&gt;0,SUM(($C$11:C22&lt;&gt;0)*1),"")</f>
        <v/>
      </c>
      <c r="B22" s="263"/>
      <c r="C22" s="263"/>
      <c r="D22" s="263"/>
      <c r="E22" s="344"/>
      <c r="F22" s="314"/>
      <c r="G22" s="316"/>
      <c r="H22" s="316"/>
      <c r="I22" s="63" t="str">
        <f t="shared" si="0"/>
        <v/>
      </c>
      <c r="J22" s="265">
        <f t="shared" si="61"/>
        <v>0</v>
      </c>
      <c r="K22" s="265">
        <f t="shared" si="62"/>
        <v>0</v>
      </c>
      <c r="L22" s="265">
        <f t="shared" si="1"/>
        <v>0</v>
      </c>
      <c r="M22" s="265">
        <f t="shared" si="2"/>
        <v>0</v>
      </c>
      <c r="N22" s="265">
        <f t="shared" si="3"/>
        <v>0</v>
      </c>
      <c r="O22" s="265">
        <f t="shared" si="4"/>
        <v>0</v>
      </c>
      <c r="P22" s="265">
        <f t="shared" si="5"/>
        <v>0</v>
      </c>
      <c r="Q22" s="265">
        <f t="shared" si="6"/>
        <v>0</v>
      </c>
      <c r="R22" s="265">
        <f t="shared" si="7"/>
        <v>0</v>
      </c>
      <c r="S22" s="265">
        <f t="shared" si="8"/>
        <v>0</v>
      </c>
      <c r="T22" s="265">
        <f t="shared" si="9"/>
        <v>0</v>
      </c>
      <c r="U22" s="265">
        <f t="shared" si="10"/>
        <v>0</v>
      </c>
      <c r="V22" s="265">
        <f t="shared" si="11"/>
        <v>0</v>
      </c>
      <c r="W22" s="265">
        <f t="shared" si="12"/>
        <v>0</v>
      </c>
      <c r="X22" s="265">
        <f t="shared" si="13"/>
        <v>0</v>
      </c>
      <c r="Y22" s="265">
        <f t="shared" si="14"/>
        <v>0</v>
      </c>
      <c r="Z22" s="265">
        <f t="shared" si="15"/>
        <v>0</v>
      </c>
      <c r="AA22" s="265">
        <f t="shared" si="16"/>
        <v>0</v>
      </c>
      <c r="AB22" s="265">
        <f t="shared" si="63"/>
        <v>0</v>
      </c>
      <c r="AC22" s="265">
        <f t="shared" si="64"/>
        <v>0</v>
      </c>
      <c r="AD22" s="265">
        <f t="shared" si="17"/>
        <v>0</v>
      </c>
      <c r="AE22" s="265">
        <f t="shared" si="18"/>
        <v>0</v>
      </c>
      <c r="AF22" s="265">
        <f t="shared" si="19"/>
        <v>0</v>
      </c>
      <c r="AG22" s="265">
        <f t="shared" si="20"/>
        <v>0</v>
      </c>
      <c r="AH22" s="265">
        <f t="shared" si="65"/>
        <v>0</v>
      </c>
      <c r="AI22" s="265">
        <f t="shared" si="66"/>
        <v>0</v>
      </c>
      <c r="AJ22" s="265">
        <f t="shared" si="67"/>
        <v>0</v>
      </c>
      <c r="AK22" s="265">
        <f t="shared" si="68"/>
        <v>0</v>
      </c>
      <c r="AL22" s="265">
        <f t="shared" si="69"/>
        <v>0</v>
      </c>
      <c r="AM22" s="265">
        <f t="shared" si="70"/>
        <v>0</v>
      </c>
      <c r="AN22" s="265">
        <f t="shared" si="71"/>
        <v>0</v>
      </c>
      <c r="AO22" s="265">
        <f t="shared" si="72"/>
        <v>0</v>
      </c>
      <c r="AP22" s="265">
        <f t="shared" si="21"/>
        <v>0</v>
      </c>
      <c r="AQ22" s="265">
        <f t="shared" si="22"/>
        <v>0</v>
      </c>
      <c r="AR22" s="265">
        <f t="shared" si="23"/>
        <v>0</v>
      </c>
      <c r="AS22" s="265">
        <f t="shared" si="24"/>
        <v>0</v>
      </c>
      <c r="AT22" s="265">
        <f t="shared" si="73"/>
        <v>0</v>
      </c>
      <c r="AU22" s="265">
        <f t="shared" si="74"/>
        <v>0</v>
      </c>
      <c r="AV22" s="265">
        <f t="shared" si="25"/>
        <v>0</v>
      </c>
      <c r="AW22" s="265">
        <f t="shared" si="26"/>
        <v>0</v>
      </c>
      <c r="AX22" s="265">
        <f t="shared" si="27"/>
        <v>0</v>
      </c>
      <c r="AY22" s="265">
        <f t="shared" si="28"/>
        <v>0</v>
      </c>
      <c r="AZ22" s="265">
        <f t="shared" si="29"/>
        <v>0</v>
      </c>
      <c r="BA22" s="265">
        <f t="shared" si="30"/>
        <v>0</v>
      </c>
      <c r="BB22" s="265">
        <f t="shared" si="31"/>
        <v>0</v>
      </c>
      <c r="BC22" s="265">
        <f t="shared" si="32"/>
        <v>0</v>
      </c>
      <c r="BD22" s="265">
        <f t="shared" si="33"/>
        <v>0</v>
      </c>
      <c r="BE22" s="265">
        <f t="shared" si="34"/>
        <v>0</v>
      </c>
      <c r="BF22" s="265">
        <f t="shared" si="35"/>
        <v>0</v>
      </c>
      <c r="BG22" s="265">
        <f t="shared" si="36"/>
        <v>0</v>
      </c>
      <c r="BH22" s="265">
        <f t="shared" si="75"/>
        <v>0</v>
      </c>
      <c r="BI22" s="265">
        <f t="shared" si="76"/>
        <v>0</v>
      </c>
      <c r="BJ22" s="265">
        <f t="shared" si="37"/>
        <v>0</v>
      </c>
      <c r="BK22" s="265">
        <f t="shared" si="38"/>
        <v>0</v>
      </c>
      <c r="BL22" s="265">
        <f t="shared" si="39"/>
        <v>0</v>
      </c>
      <c r="BM22" s="265">
        <f t="shared" si="40"/>
        <v>0</v>
      </c>
      <c r="BN22" s="265">
        <f t="shared" si="41"/>
        <v>0</v>
      </c>
      <c r="BO22" s="265">
        <f t="shared" si="42"/>
        <v>0</v>
      </c>
      <c r="BP22" s="265">
        <f t="shared" si="77"/>
        <v>0</v>
      </c>
      <c r="BQ22" s="265">
        <f t="shared" si="78"/>
        <v>0</v>
      </c>
      <c r="BR22" s="265">
        <f t="shared" si="43"/>
        <v>0</v>
      </c>
      <c r="BS22" s="265">
        <f t="shared" si="44"/>
        <v>0</v>
      </c>
      <c r="BT22" s="265">
        <f t="shared" si="79"/>
        <v>0</v>
      </c>
      <c r="BU22" s="265">
        <f t="shared" si="80"/>
        <v>0</v>
      </c>
      <c r="BV22" s="265">
        <f t="shared" si="81"/>
        <v>0</v>
      </c>
      <c r="BW22" s="265">
        <f t="shared" si="82"/>
        <v>0</v>
      </c>
      <c r="BX22" s="265">
        <f t="shared" si="45"/>
        <v>0</v>
      </c>
      <c r="BY22" s="265">
        <f t="shared" si="46"/>
        <v>0</v>
      </c>
      <c r="BZ22" s="265">
        <f t="shared" si="47"/>
        <v>0</v>
      </c>
      <c r="CA22" s="265">
        <f t="shared" si="48"/>
        <v>0</v>
      </c>
      <c r="CB22" s="265">
        <f t="shared" si="49"/>
        <v>0</v>
      </c>
      <c r="CC22" s="265">
        <f t="shared" si="50"/>
        <v>0</v>
      </c>
      <c r="CD22" s="265">
        <f t="shared" si="83"/>
        <v>0</v>
      </c>
      <c r="CE22" s="265">
        <f t="shared" si="84"/>
        <v>0</v>
      </c>
      <c r="CF22" s="265">
        <f t="shared" si="85"/>
        <v>0</v>
      </c>
      <c r="CG22" s="265">
        <f t="shared" si="86"/>
        <v>0</v>
      </c>
      <c r="CH22" s="265">
        <f t="shared" si="51"/>
        <v>0</v>
      </c>
      <c r="CI22" s="265">
        <f t="shared" si="52"/>
        <v>0</v>
      </c>
      <c r="CJ22" s="265">
        <f t="shared" si="87"/>
        <v>0</v>
      </c>
      <c r="CK22" s="265">
        <f t="shared" si="88"/>
        <v>0</v>
      </c>
      <c r="CL22" s="265">
        <f t="shared" si="53"/>
        <v>0</v>
      </c>
      <c r="CM22" s="265">
        <f t="shared" si="54"/>
        <v>0</v>
      </c>
      <c r="CN22" s="265">
        <f t="shared" si="55"/>
        <v>0</v>
      </c>
      <c r="CO22" s="265">
        <f t="shared" si="56"/>
        <v>0</v>
      </c>
      <c r="CP22" s="265">
        <f t="shared" si="89"/>
        <v>0</v>
      </c>
      <c r="CQ22" s="265">
        <f t="shared" si="90"/>
        <v>0</v>
      </c>
      <c r="CR22" s="265">
        <f t="shared" si="91"/>
        <v>0</v>
      </c>
      <c r="CS22" s="265">
        <f t="shared" si="92"/>
        <v>0</v>
      </c>
      <c r="CT22" s="265">
        <f t="shared" si="57"/>
        <v>0</v>
      </c>
      <c r="CU22" s="265">
        <f t="shared" si="58"/>
        <v>0</v>
      </c>
      <c r="CV22" s="265">
        <f t="shared" si="59"/>
        <v>0</v>
      </c>
      <c r="CW22" s="265">
        <f t="shared" si="60"/>
        <v>0</v>
      </c>
      <c r="CX22" s="265">
        <f t="shared" si="93"/>
        <v>0</v>
      </c>
      <c r="CY22" s="265">
        <f t="shared" si="94"/>
        <v>0</v>
      </c>
      <c r="CZ22" s="265">
        <f t="shared" si="95"/>
        <v>0</v>
      </c>
      <c r="DA22" s="265">
        <f t="shared" si="96"/>
        <v>0</v>
      </c>
    </row>
    <row r="23" spans="1:105" s="262" customFormat="1" ht="16.5" customHeight="1">
      <c r="A23" s="63" t="str">
        <f t="array" ref="A23">IF(C23&lt;&gt;0,SUM(($C$11:C23&lt;&gt;0)*1),"")</f>
        <v/>
      </c>
      <c r="B23" s="263"/>
      <c r="C23" s="263"/>
      <c r="D23" s="263"/>
      <c r="E23" s="344"/>
      <c r="F23" s="314"/>
      <c r="G23" s="316"/>
      <c r="H23" s="316"/>
      <c r="I23" s="63" t="str">
        <f t="shared" si="0"/>
        <v/>
      </c>
      <c r="J23" s="265">
        <f t="shared" si="61"/>
        <v>0</v>
      </c>
      <c r="K23" s="265">
        <f t="shared" si="62"/>
        <v>0</v>
      </c>
      <c r="L23" s="265">
        <f t="shared" si="1"/>
        <v>0</v>
      </c>
      <c r="M23" s="265">
        <f t="shared" si="2"/>
        <v>0</v>
      </c>
      <c r="N23" s="265">
        <f t="shared" si="3"/>
        <v>0</v>
      </c>
      <c r="O23" s="265">
        <f t="shared" si="4"/>
        <v>0</v>
      </c>
      <c r="P23" s="265">
        <f t="shared" si="5"/>
        <v>0</v>
      </c>
      <c r="Q23" s="265">
        <f t="shared" si="6"/>
        <v>0</v>
      </c>
      <c r="R23" s="265">
        <f t="shared" si="7"/>
        <v>0</v>
      </c>
      <c r="S23" s="265">
        <f t="shared" si="8"/>
        <v>0</v>
      </c>
      <c r="T23" s="265">
        <f t="shared" si="9"/>
        <v>0</v>
      </c>
      <c r="U23" s="265">
        <f t="shared" si="10"/>
        <v>0</v>
      </c>
      <c r="V23" s="265">
        <f t="shared" si="11"/>
        <v>0</v>
      </c>
      <c r="W23" s="265">
        <f t="shared" si="12"/>
        <v>0</v>
      </c>
      <c r="X23" s="265">
        <f t="shared" si="13"/>
        <v>0</v>
      </c>
      <c r="Y23" s="265">
        <f t="shared" si="14"/>
        <v>0</v>
      </c>
      <c r="Z23" s="265">
        <f t="shared" si="15"/>
        <v>0</v>
      </c>
      <c r="AA23" s="265">
        <f t="shared" si="16"/>
        <v>0</v>
      </c>
      <c r="AB23" s="265">
        <f t="shared" si="63"/>
        <v>0</v>
      </c>
      <c r="AC23" s="265">
        <f t="shared" si="64"/>
        <v>0</v>
      </c>
      <c r="AD23" s="265">
        <f t="shared" si="17"/>
        <v>0</v>
      </c>
      <c r="AE23" s="265">
        <f t="shared" si="18"/>
        <v>0</v>
      </c>
      <c r="AF23" s="265">
        <f t="shared" si="19"/>
        <v>0</v>
      </c>
      <c r="AG23" s="265">
        <f t="shared" si="20"/>
        <v>0</v>
      </c>
      <c r="AH23" s="265">
        <f t="shared" si="65"/>
        <v>0</v>
      </c>
      <c r="AI23" s="265">
        <f t="shared" si="66"/>
        <v>0</v>
      </c>
      <c r="AJ23" s="265">
        <f t="shared" si="67"/>
        <v>0</v>
      </c>
      <c r="AK23" s="265">
        <f t="shared" si="68"/>
        <v>0</v>
      </c>
      <c r="AL23" s="265">
        <f t="shared" si="69"/>
        <v>0</v>
      </c>
      <c r="AM23" s="265">
        <f t="shared" si="70"/>
        <v>0</v>
      </c>
      <c r="AN23" s="265">
        <f t="shared" si="71"/>
        <v>0</v>
      </c>
      <c r="AO23" s="265">
        <f t="shared" si="72"/>
        <v>0</v>
      </c>
      <c r="AP23" s="265">
        <f t="shared" si="21"/>
        <v>0</v>
      </c>
      <c r="AQ23" s="265">
        <f t="shared" si="22"/>
        <v>0</v>
      </c>
      <c r="AR23" s="265">
        <f t="shared" si="23"/>
        <v>0</v>
      </c>
      <c r="AS23" s="265">
        <f t="shared" si="24"/>
        <v>0</v>
      </c>
      <c r="AT23" s="265">
        <f t="shared" si="73"/>
        <v>0</v>
      </c>
      <c r="AU23" s="265">
        <f t="shared" si="74"/>
        <v>0</v>
      </c>
      <c r="AV23" s="265">
        <f t="shared" si="25"/>
        <v>0</v>
      </c>
      <c r="AW23" s="265">
        <f t="shared" si="26"/>
        <v>0</v>
      </c>
      <c r="AX23" s="265">
        <f t="shared" si="27"/>
        <v>0</v>
      </c>
      <c r="AY23" s="265">
        <f t="shared" si="28"/>
        <v>0</v>
      </c>
      <c r="AZ23" s="265">
        <f t="shared" si="29"/>
        <v>0</v>
      </c>
      <c r="BA23" s="265">
        <f t="shared" si="30"/>
        <v>0</v>
      </c>
      <c r="BB23" s="265">
        <f t="shared" si="31"/>
        <v>0</v>
      </c>
      <c r="BC23" s="265">
        <f t="shared" si="32"/>
        <v>0</v>
      </c>
      <c r="BD23" s="265">
        <f t="shared" si="33"/>
        <v>0</v>
      </c>
      <c r="BE23" s="265">
        <f t="shared" si="34"/>
        <v>0</v>
      </c>
      <c r="BF23" s="265">
        <f t="shared" si="35"/>
        <v>0</v>
      </c>
      <c r="BG23" s="265">
        <f t="shared" si="36"/>
        <v>0</v>
      </c>
      <c r="BH23" s="265">
        <f t="shared" si="75"/>
        <v>0</v>
      </c>
      <c r="BI23" s="265">
        <f t="shared" si="76"/>
        <v>0</v>
      </c>
      <c r="BJ23" s="265">
        <f t="shared" si="37"/>
        <v>0</v>
      </c>
      <c r="BK23" s="265">
        <f t="shared" si="38"/>
        <v>0</v>
      </c>
      <c r="BL23" s="265">
        <f t="shared" si="39"/>
        <v>0</v>
      </c>
      <c r="BM23" s="265">
        <f t="shared" si="40"/>
        <v>0</v>
      </c>
      <c r="BN23" s="265">
        <f t="shared" si="41"/>
        <v>0</v>
      </c>
      <c r="BO23" s="265">
        <f t="shared" si="42"/>
        <v>0</v>
      </c>
      <c r="BP23" s="265">
        <f t="shared" si="77"/>
        <v>0</v>
      </c>
      <c r="BQ23" s="265">
        <f t="shared" si="78"/>
        <v>0</v>
      </c>
      <c r="BR23" s="265">
        <f t="shared" si="43"/>
        <v>0</v>
      </c>
      <c r="BS23" s="265">
        <f t="shared" si="44"/>
        <v>0</v>
      </c>
      <c r="BT23" s="265">
        <f t="shared" si="79"/>
        <v>0</v>
      </c>
      <c r="BU23" s="265">
        <f t="shared" si="80"/>
        <v>0</v>
      </c>
      <c r="BV23" s="265">
        <f t="shared" si="81"/>
        <v>0</v>
      </c>
      <c r="BW23" s="265">
        <f t="shared" si="82"/>
        <v>0</v>
      </c>
      <c r="BX23" s="265">
        <f t="shared" si="45"/>
        <v>0</v>
      </c>
      <c r="BY23" s="265">
        <f t="shared" si="46"/>
        <v>0</v>
      </c>
      <c r="BZ23" s="265">
        <f t="shared" si="47"/>
        <v>0</v>
      </c>
      <c r="CA23" s="265">
        <f t="shared" si="48"/>
        <v>0</v>
      </c>
      <c r="CB23" s="265">
        <f t="shared" si="49"/>
        <v>0</v>
      </c>
      <c r="CC23" s="265">
        <f t="shared" si="50"/>
        <v>0</v>
      </c>
      <c r="CD23" s="265">
        <f t="shared" si="83"/>
        <v>0</v>
      </c>
      <c r="CE23" s="265">
        <f t="shared" si="84"/>
        <v>0</v>
      </c>
      <c r="CF23" s="265">
        <f t="shared" si="85"/>
        <v>0</v>
      </c>
      <c r="CG23" s="265">
        <f t="shared" si="86"/>
        <v>0</v>
      </c>
      <c r="CH23" s="265">
        <f t="shared" si="51"/>
        <v>0</v>
      </c>
      <c r="CI23" s="265">
        <f t="shared" si="52"/>
        <v>0</v>
      </c>
      <c r="CJ23" s="265">
        <f t="shared" si="87"/>
        <v>0</v>
      </c>
      <c r="CK23" s="265">
        <f t="shared" si="88"/>
        <v>0</v>
      </c>
      <c r="CL23" s="265">
        <f t="shared" si="53"/>
        <v>0</v>
      </c>
      <c r="CM23" s="265">
        <f t="shared" si="54"/>
        <v>0</v>
      </c>
      <c r="CN23" s="265">
        <f t="shared" si="55"/>
        <v>0</v>
      </c>
      <c r="CO23" s="265">
        <f t="shared" si="56"/>
        <v>0</v>
      </c>
      <c r="CP23" s="265">
        <f t="shared" si="89"/>
        <v>0</v>
      </c>
      <c r="CQ23" s="265">
        <f t="shared" si="90"/>
        <v>0</v>
      </c>
      <c r="CR23" s="265">
        <f t="shared" si="91"/>
        <v>0</v>
      </c>
      <c r="CS23" s="265">
        <f t="shared" si="92"/>
        <v>0</v>
      </c>
      <c r="CT23" s="265">
        <f t="shared" si="57"/>
        <v>0</v>
      </c>
      <c r="CU23" s="265">
        <f t="shared" si="58"/>
        <v>0</v>
      </c>
      <c r="CV23" s="265">
        <f t="shared" si="59"/>
        <v>0</v>
      </c>
      <c r="CW23" s="265">
        <f t="shared" si="60"/>
        <v>0</v>
      </c>
      <c r="CX23" s="265">
        <f t="shared" si="93"/>
        <v>0</v>
      </c>
      <c r="CY23" s="265">
        <f t="shared" si="94"/>
        <v>0</v>
      </c>
      <c r="CZ23" s="265">
        <f t="shared" si="95"/>
        <v>0</v>
      </c>
      <c r="DA23" s="265">
        <f t="shared" si="96"/>
        <v>0</v>
      </c>
    </row>
    <row r="24" spans="1:105" s="262" customFormat="1" ht="16.5" customHeight="1">
      <c r="A24" s="63" t="str">
        <f t="array" ref="A24">IF(C24&lt;&gt;0,SUM(($C$11:C24&lt;&gt;0)*1),"")</f>
        <v/>
      </c>
      <c r="B24" s="263"/>
      <c r="C24" s="263"/>
      <c r="D24" s="263"/>
      <c r="E24" s="344"/>
      <c r="F24" s="314"/>
      <c r="G24" s="316"/>
      <c r="H24" s="316"/>
      <c r="I24" s="63" t="str">
        <f t="shared" si="0"/>
        <v/>
      </c>
      <c r="J24" s="265">
        <f t="shared" si="61"/>
        <v>0</v>
      </c>
      <c r="K24" s="265">
        <f t="shared" si="62"/>
        <v>0</v>
      </c>
      <c r="L24" s="265">
        <f t="shared" si="1"/>
        <v>0</v>
      </c>
      <c r="M24" s="265">
        <f t="shared" si="2"/>
        <v>0</v>
      </c>
      <c r="N24" s="265">
        <f t="shared" si="3"/>
        <v>0</v>
      </c>
      <c r="O24" s="265">
        <f t="shared" si="4"/>
        <v>0</v>
      </c>
      <c r="P24" s="265">
        <f t="shared" si="5"/>
        <v>0</v>
      </c>
      <c r="Q24" s="265">
        <f t="shared" si="6"/>
        <v>0</v>
      </c>
      <c r="R24" s="265">
        <f t="shared" si="7"/>
        <v>0</v>
      </c>
      <c r="S24" s="265">
        <f t="shared" si="8"/>
        <v>0</v>
      </c>
      <c r="T24" s="265">
        <f t="shared" si="9"/>
        <v>0</v>
      </c>
      <c r="U24" s="265">
        <f t="shared" si="10"/>
        <v>0</v>
      </c>
      <c r="V24" s="265">
        <f t="shared" si="11"/>
        <v>0</v>
      </c>
      <c r="W24" s="265">
        <f t="shared" si="12"/>
        <v>0</v>
      </c>
      <c r="X24" s="265">
        <f t="shared" si="13"/>
        <v>0</v>
      </c>
      <c r="Y24" s="265">
        <f t="shared" si="14"/>
        <v>0</v>
      </c>
      <c r="Z24" s="265">
        <f t="shared" si="15"/>
        <v>0</v>
      </c>
      <c r="AA24" s="265">
        <f t="shared" si="16"/>
        <v>0</v>
      </c>
      <c r="AB24" s="265">
        <f t="shared" si="63"/>
        <v>0</v>
      </c>
      <c r="AC24" s="265">
        <f t="shared" si="64"/>
        <v>0</v>
      </c>
      <c r="AD24" s="265">
        <f t="shared" si="17"/>
        <v>0</v>
      </c>
      <c r="AE24" s="265">
        <f t="shared" si="18"/>
        <v>0</v>
      </c>
      <c r="AF24" s="265">
        <f t="shared" si="19"/>
        <v>0</v>
      </c>
      <c r="AG24" s="265">
        <f t="shared" si="20"/>
        <v>0</v>
      </c>
      <c r="AH24" s="265">
        <f t="shared" si="65"/>
        <v>0</v>
      </c>
      <c r="AI24" s="265">
        <f t="shared" si="66"/>
        <v>0</v>
      </c>
      <c r="AJ24" s="265">
        <f t="shared" si="67"/>
        <v>0</v>
      </c>
      <c r="AK24" s="265">
        <f t="shared" si="68"/>
        <v>0</v>
      </c>
      <c r="AL24" s="265">
        <f t="shared" si="69"/>
        <v>0</v>
      </c>
      <c r="AM24" s="265">
        <f t="shared" si="70"/>
        <v>0</v>
      </c>
      <c r="AN24" s="265">
        <f t="shared" si="71"/>
        <v>0</v>
      </c>
      <c r="AO24" s="265">
        <f t="shared" si="72"/>
        <v>0</v>
      </c>
      <c r="AP24" s="265">
        <f t="shared" si="21"/>
        <v>0</v>
      </c>
      <c r="AQ24" s="265">
        <f t="shared" si="22"/>
        <v>0</v>
      </c>
      <c r="AR24" s="265">
        <f t="shared" si="23"/>
        <v>0</v>
      </c>
      <c r="AS24" s="265">
        <f t="shared" si="24"/>
        <v>0</v>
      </c>
      <c r="AT24" s="265">
        <f t="shared" si="73"/>
        <v>0</v>
      </c>
      <c r="AU24" s="265">
        <f t="shared" si="74"/>
        <v>0</v>
      </c>
      <c r="AV24" s="265">
        <f t="shared" si="25"/>
        <v>0</v>
      </c>
      <c r="AW24" s="265">
        <f t="shared" si="26"/>
        <v>0</v>
      </c>
      <c r="AX24" s="265">
        <f t="shared" si="27"/>
        <v>0</v>
      </c>
      <c r="AY24" s="265">
        <f t="shared" si="28"/>
        <v>0</v>
      </c>
      <c r="AZ24" s="265">
        <f t="shared" si="29"/>
        <v>0</v>
      </c>
      <c r="BA24" s="265">
        <f t="shared" si="30"/>
        <v>0</v>
      </c>
      <c r="BB24" s="265">
        <f t="shared" si="31"/>
        <v>0</v>
      </c>
      <c r="BC24" s="265">
        <f t="shared" si="32"/>
        <v>0</v>
      </c>
      <c r="BD24" s="265">
        <f t="shared" si="33"/>
        <v>0</v>
      </c>
      <c r="BE24" s="265">
        <f t="shared" si="34"/>
        <v>0</v>
      </c>
      <c r="BF24" s="265">
        <f t="shared" si="35"/>
        <v>0</v>
      </c>
      <c r="BG24" s="265">
        <f t="shared" si="36"/>
        <v>0</v>
      </c>
      <c r="BH24" s="265">
        <f t="shared" si="75"/>
        <v>0</v>
      </c>
      <c r="BI24" s="265">
        <f t="shared" si="76"/>
        <v>0</v>
      </c>
      <c r="BJ24" s="265">
        <f t="shared" si="37"/>
        <v>0</v>
      </c>
      <c r="BK24" s="265">
        <f t="shared" si="38"/>
        <v>0</v>
      </c>
      <c r="BL24" s="265">
        <f t="shared" si="39"/>
        <v>0</v>
      </c>
      <c r="BM24" s="265">
        <f t="shared" si="40"/>
        <v>0</v>
      </c>
      <c r="BN24" s="265">
        <f t="shared" si="41"/>
        <v>0</v>
      </c>
      <c r="BO24" s="265">
        <f t="shared" si="42"/>
        <v>0</v>
      </c>
      <c r="BP24" s="265">
        <f t="shared" si="77"/>
        <v>0</v>
      </c>
      <c r="BQ24" s="265">
        <f t="shared" si="78"/>
        <v>0</v>
      </c>
      <c r="BR24" s="265">
        <f t="shared" si="43"/>
        <v>0</v>
      </c>
      <c r="BS24" s="265">
        <f t="shared" si="44"/>
        <v>0</v>
      </c>
      <c r="BT24" s="265">
        <f t="shared" si="79"/>
        <v>0</v>
      </c>
      <c r="BU24" s="265">
        <f t="shared" si="80"/>
        <v>0</v>
      </c>
      <c r="BV24" s="265">
        <f t="shared" si="81"/>
        <v>0</v>
      </c>
      <c r="BW24" s="265">
        <f t="shared" si="82"/>
        <v>0</v>
      </c>
      <c r="BX24" s="265">
        <f t="shared" si="45"/>
        <v>0</v>
      </c>
      <c r="BY24" s="265">
        <f t="shared" si="46"/>
        <v>0</v>
      </c>
      <c r="BZ24" s="265">
        <f t="shared" si="47"/>
        <v>0</v>
      </c>
      <c r="CA24" s="265">
        <f t="shared" si="48"/>
        <v>0</v>
      </c>
      <c r="CB24" s="265">
        <f t="shared" si="49"/>
        <v>0</v>
      </c>
      <c r="CC24" s="265">
        <f t="shared" si="50"/>
        <v>0</v>
      </c>
      <c r="CD24" s="265">
        <f t="shared" si="83"/>
        <v>0</v>
      </c>
      <c r="CE24" s="265">
        <f t="shared" si="84"/>
        <v>0</v>
      </c>
      <c r="CF24" s="265">
        <f t="shared" si="85"/>
        <v>0</v>
      </c>
      <c r="CG24" s="265">
        <f t="shared" si="86"/>
        <v>0</v>
      </c>
      <c r="CH24" s="265">
        <f t="shared" si="51"/>
        <v>0</v>
      </c>
      <c r="CI24" s="265">
        <f t="shared" si="52"/>
        <v>0</v>
      </c>
      <c r="CJ24" s="265">
        <f t="shared" si="87"/>
        <v>0</v>
      </c>
      <c r="CK24" s="265">
        <f t="shared" si="88"/>
        <v>0</v>
      </c>
      <c r="CL24" s="265">
        <f t="shared" si="53"/>
        <v>0</v>
      </c>
      <c r="CM24" s="265">
        <f t="shared" si="54"/>
        <v>0</v>
      </c>
      <c r="CN24" s="265">
        <f t="shared" si="55"/>
        <v>0</v>
      </c>
      <c r="CO24" s="265">
        <f t="shared" si="56"/>
        <v>0</v>
      </c>
      <c r="CP24" s="265">
        <f t="shared" si="89"/>
        <v>0</v>
      </c>
      <c r="CQ24" s="265">
        <f t="shared" si="90"/>
        <v>0</v>
      </c>
      <c r="CR24" s="265">
        <f t="shared" si="91"/>
        <v>0</v>
      </c>
      <c r="CS24" s="265">
        <f t="shared" si="92"/>
        <v>0</v>
      </c>
      <c r="CT24" s="265">
        <f t="shared" si="57"/>
        <v>0</v>
      </c>
      <c r="CU24" s="265">
        <f t="shared" si="58"/>
        <v>0</v>
      </c>
      <c r="CV24" s="265">
        <f t="shared" si="59"/>
        <v>0</v>
      </c>
      <c r="CW24" s="265">
        <f t="shared" si="60"/>
        <v>0</v>
      </c>
      <c r="CX24" s="265">
        <f t="shared" si="93"/>
        <v>0</v>
      </c>
      <c r="CY24" s="265">
        <f t="shared" si="94"/>
        <v>0</v>
      </c>
      <c r="CZ24" s="265">
        <f t="shared" si="95"/>
        <v>0</v>
      </c>
      <c r="DA24" s="265">
        <f t="shared" si="96"/>
        <v>0</v>
      </c>
    </row>
    <row r="25" spans="1:105" s="262" customFormat="1" ht="16.5" customHeight="1">
      <c r="A25" s="63" t="str">
        <f t="array" ref="A25">IF(C25&lt;&gt;0,SUM(($C$11:C25&lt;&gt;0)*1),"")</f>
        <v/>
      </c>
      <c r="B25" s="263"/>
      <c r="C25" s="263"/>
      <c r="D25" s="263"/>
      <c r="E25" s="344"/>
      <c r="F25" s="314"/>
      <c r="G25" s="316"/>
      <c r="H25" s="316"/>
      <c r="I25" s="63" t="str">
        <f t="shared" si="0"/>
        <v/>
      </c>
      <c r="J25" s="265">
        <f t="shared" si="61"/>
        <v>0</v>
      </c>
      <c r="K25" s="265">
        <f t="shared" si="62"/>
        <v>0</v>
      </c>
      <c r="L25" s="265">
        <f t="shared" si="1"/>
        <v>0</v>
      </c>
      <c r="M25" s="265">
        <f t="shared" si="2"/>
        <v>0</v>
      </c>
      <c r="N25" s="265">
        <f t="shared" si="3"/>
        <v>0</v>
      </c>
      <c r="O25" s="265">
        <f t="shared" si="4"/>
        <v>0</v>
      </c>
      <c r="P25" s="265">
        <f t="shared" si="5"/>
        <v>0</v>
      </c>
      <c r="Q25" s="265">
        <f t="shared" si="6"/>
        <v>0</v>
      </c>
      <c r="R25" s="265">
        <f t="shared" si="7"/>
        <v>0</v>
      </c>
      <c r="S25" s="265">
        <f t="shared" si="8"/>
        <v>0</v>
      </c>
      <c r="T25" s="265">
        <f t="shared" si="9"/>
        <v>0</v>
      </c>
      <c r="U25" s="265">
        <f t="shared" si="10"/>
        <v>0</v>
      </c>
      <c r="V25" s="265">
        <f t="shared" si="11"/>
        <v>0</v>
      </c>
      <c r="W25" s="265">
        <f t="shared" si="12"/>
        <v>0</v>
      </c>
      <c r="X25" s="265">
        <f t="shared" si="13"/>
        <v>0</v>
      </c>
      <c r="Y25" s="265">
        <f t="shared" si="14"/>
        <v>0</v>
      </c>
      <c r="Z25" s="265">
        <f t="shared" si="15"/>
        <v>0</v>
      </c>
      <c r="AA25" s="265">
        <f t="shared" si="16"/>
        <v>0</v>
      </c>
      <c r="AB25" s="265">
        <f t="shared" si="63"/>
        <v>0</v>
      </c>
      <c r="AC25" s="265">
        <f t="shared" si="64"/>
        <v>0</v>
      </c>
      <c r="AD25" s="265">
        <f t="shared" si="17"/>
        <v>0</v>
      </c>
      <c r="AE25" s="265">
        <f t="shared" si="18"/>
        <v>0</v>
      </c>
      <c r="AF25" s="265">
        <f t="shared" si="19"/>
        <v>0</v>
      </c>
      <c r="AG25" s="265">
        <f t="shared" si="20"/>
        <v>0</v>
      </c>
      <c r="AH25" s="265">
        <f t="shared" si="65"/>
        <v>0</v>
      </c>
      <c r="AI25" s="265">
        <f t="shared" si="66"/>
        <v>0</v>
      </c>
      <c r="AJ25" s="265">
        <f t="shared" si="67"/>
        <v>0</v>
      </c>
      <c r="AK25" s="265">
        <f t="shared" si="68"/>
        <v>0</v>
      </c>
      <c r="AL25" s="265">
        <f t="shared" si="69"/>
        <v>0</v>
      </c>
      <c r="AM25" s="265">
        <f t="shared" si="70"/>
        <v>0</v>
      </c>
      <c r="AN25" s="265">
        <f t="shared" si="71"/>
        <v>0</v>
      </c>
      <c r="AO25" s="265">
        <f t="shared" si="72"/>
        <v>0</v>
      </c>
      <c r="AP25" s="265">
        <f t="shared" si="21"/>
        <v>0</v>
      </c>
      <c r="AQ25" s="265">
        <f t="shared" si="22"/>
        <v>0</v>
      </c>
      <c r="AR25" s="265">
        <f t="shared" si="23"/>
        <v>0</v>
      </c>
      <c r="AS25" s="265">
        <f t="shared" si="24"/>
        <v>0</v>
      </c>
      <c r="AT25" s="265">
        <f t="shared" si="73"/>
        <v>0</v>
      </c>
      <c r="AU25" s="265">
        <f t="shared" si="74"/>
        <v>0</v>
      </c>
      <c r="AV25" s="265">
        <f t="shared" si="25"/>
        <v>0</v>
      </c>
      <c r="AW25" s="265">
        <f t="shared" si="26"/>
        <v>0</v>
      </c>
      <c r="AX25" s="265">
        <f t="shared" si="27"/>
        <v>0</v>
      </c>
      <c r="AY25" s="265">
        <f t="shared" si="28"/>
        <v>0</v>
      </c>
      <c r="AZ25" s="265">
        <f t="shared" si="29"/>
        <v>0</v>
      </c>
      <c r="BA25" s="265">
        <f t="shared" si="30"/>
        <v>0</v>
      </c>
      <c r="BB25" s="265">
        <f t="shared" si="31"/>
        <v>0</v>
      </c>
      <c r="BC25" s="265">
        <f t="shared" si="32"/>
        <v>0</v>
      </c>
      <c r="BD25" s="265">
        <f t="shared" si="33"/>
        <v>0</v>
      </c>
      <c r="BE25" s="265">
        <f t="shared" si="34"/>
        <v>0</v>
      </c>
      <c r="BF25" s="265">
        <f t="shared" si="35"/>
        <v>0</v>
      </c>
      <c r="BG25" s="265">
        <f t="shared" si="36"/>
        <v>0</v>
      </c>
      <c r="BH25" s="265">
        <f t="shared" si="75"/>
        <v>0</v>
      </c>
      <c r="BI25" s="265">
        <f t="shared" si="76"/>
        <v>0</v>
      </c>
      <c r="BJ25" s="265">
        <f t="shared" si="37"/>
        <v>0</v>
      </c>
      <c r="BK25" s="265">
        <f t="shared" si="38"/>
        <v>0</v>
      </c>
      <c r="BL25" s="265">
        <f t="shared" si="39"/>
        <v>0</v>
      </c>
      <c r="BM25" s="265">
        <f t="shared" si="40"/>
        <v>0</v>
      </c>
      <c r="BN25" s="265">
        <f t="shared" si="41"/>
        <v>0</v>
      </c>
      <c r="BO25" s="265">
        <f t="shared" si="42"/>
        <v>0</v>
      </c>
      <c r="BP25" s="265">
        <f t="shared" si="77"/>
        <v>0</v>
      </c>
      <c r="BQ25" s="265">
        <f t="shared" si="78"/>
        <v>0</v>
      </c>
      <c r="BR25" s="265">
        <f t="shared" si="43"/>
        <v>0</v>
      </c>
      <c r="BS25" s="265">
        <f t="shared" si="44"/>
        <v>0</v>
      </c>
      <c r="BT25" s="265">
        <f t="shared" si="79"/>
        <v>0</v>
      </c>
      <c r="BU25" s="265">
        <f t="shared" si="80"/>
        <v>0</v>
      </c>
      <c r="BV25" s="265">
        <f t="shared" si="81"/>
        <v>0</v>
      </c>
      <c r="BW25" s="265">
        <f t="shared" si="82"/>
        <v>0</v>
      </c>
      <c r="BX25" s="265">
        <f t="shared" si="45"/>
        <v>0</v>
      </c>
      <c r="BY25" s="265">
        <f t="shared" si="46"/>
        <v>0</v>
      </c>
      <c r="BZ25" s="265">
        <f t="shared" si="47"/>
        <v>0</v>
      </c>
      <c r="CA25" s="265">
        <f t="shared" si="48"/>
        <v>0</v>
      </c>
      <c r="CB25" s="265">
        <f t="shared" si="49"/>
        <v>0</v>
      </c>
      <c r="CC25" s="265">
        <f t="shared" si="50"/>
        <v>0</v>
      </c>
      <c r="CD25" s="265">
        <f t="shared" si="83"/>
        <v>0</v>
      </c>
      <c r="CE25" s="265">
        <f t="shared" si="84"/>
        <v>0</v>
      </c>
      <c r="CF25" s="265">
        <f t="shared" si="85"/>
        <v>0</v>
      </c>
      <c r="CG25" s="265">
        <f t="shared" si="86"/>
        <v>0</v>
      </c>
      <c r="CH25" s="265">
        <f t="shared" si="51"/>
        <v>0</v>
      </c>
      <c r="CI25" s="265">
        <f t="shared" si="52"/>
        <v>0</v>
      </c>
      <c r="CJ25" s="265">
        <f t="shared" si="87"/>
        <v>0</v>
      </c>
      <c r="CK25" s="265">
        <f t="shared" si="88"/>
        <v>0</v>
      </c>
      <c r="CL25" s="265">
        <f t="shared" si="53"/>
        <v>0</v>
      </c>
      <c r="CM25" s="265">
        <f t="shared" si="54"/>
        <v>0</v>
      </c>
      <c r="CN25" s="265">
        <f t="shared" si="55"/>
        <v>0</v>
      </c>
      <c r="CO25" s="265">
        <f t="shared" si="56"/>
        <v>0</v>
      </c>
      <c r="CP25" s="265">
        <f t="shared" si="89"/>
        <v>0</v>
      </c>
      <c r="CQ25" s="265">
        <f t="shared" si="90"/>
        <v>0</v>
      </c>
      <c r="CR25" s="265">
        <f t="shared" si="91"/>
        <v>0</v>
      </c>
      <c r="CS25" s="265">
        <f t="shared" si="92"/>
        <v>0</v>
      </c>
      <c r="CT25" s="265">
        <f t="shared" si="57"/>
        <v>0</v>
      </c>
      <c r="CU25" s="265">
        <f t="shared" si="58"/>
        <v>0</v>
      </c>
      <c r="CV25" s="265">
        <f t="shared" si="59"/>
        <v>0</v>
      </c>
      <c r="CW25" s="265">
        <f t="shared" si="60"/>
        <v>0</v>
      </c>
      <c r="CX25" s="265">
        <f t="shared" si="93"/>
        <v>0</v>
      </c>
      <c r="CY25" s="265">
        <f t="shared" si="94"/>
        <v>0</v>
      </c>
      <c r="CZ25" s="265">
        <f t="shared" si="95"/>
        <v>0</v>
      </c>
      <c r="DA25" s="265">
        <f t="shared" si="96"/>
        <v>0</v>
      </c>
    </row>
    <row r="26" spans="1:105" s="262" customFormat="1" ht="16.5" customHeight="1">
      <c r="A26" s="63" t="str">
        <f t="array" ref="A26">IF(C26&lt;&gt;0,SUM(($C$11:C26&lt;&gt;0)*1),"")</f>
        <v/>
      </c>
      <c r="B26" s="263"/>
      <c r="C26" s="263"/>
      <c r="D26" s="263"/>
      <c r="E26" s="344"/>
      <c r="F26" s="314"/>
      <c r="G26" s="316"/>
      <c r="H26" s="316"/>
      <c r="I26" s="63" t="str">
        <f t="shared" si="0"/>
        <v/>
      </c>
      <c r="J26" s="265">
        <f t="shared" si="61"/>
        <v>0</v>
      </c>
      <c r="K26" s="265">
        <f t="shared" si="62"/>
        <v>0</v>
      </c>
      <c r="L26" s="265">
        <f t="shared" si="1"/>
        <v>0</v>
      </c>
      <c r="M26" s="265">
        <f t="shared" si="2"/>
        <v>0</v>
      </c>
      <c r="N26" s="265">
        <f t="shared" si="3"/>
        <v>0</v>
      </c>
      <c r="O26" s="265">
        <f t="shared" si="4"/>
        <v>0</v>
      </c>
      <c r="P26" s="265">
        <f t="shared" si="5"/>
        <v>0</v>
      </c>
      <c r="Q26" s="265">
        <f t="shared" si="6"/>
        <v>0</v>
      </c>
      <c r="R26" s="265">
        <f t="shared" si="7"/>
        <v>0</v>
      </c>
      <c r="S26" s="265">
        <f t="shared" si="8"/>
        <v>0</v>
      </c>
      <c r="T26" s="265">
        <f t="shared" si="9"/>
        <v>0</v>
      </c>
      <c r="U26" s="265">
        <f t="shared" si="10"/>
        <v>0</v>
      </c>
      <c r="V26" s="265">
        <f t="shared" si="11"/>
        <v>0</v>
      </c>
      <c r="W26" s="265">
        <f t="shared" si="12"/>
        <v>0</v>
      </c>
      <c r="X26" s="265">
        <f t="shared" si="13"/>
        <v>0</v>
      </c>
      <c r="Y26" s="265">
        <f t="shared" si="14"/>
        <v>0</v>
      </c>
      <c r="Z26" s="265">
        <f t="shared" si="15"/>
        <v>0</v>
      </c>
      <c r="AA26" s="265">
        <f t="shared" si="16"/>
        <v>0</v>
      </c>
      <c r="AB26" s="265">
        <f t="shared" si="63"/>
        <v>0</v>
      </c>
      <c r="AC26" s="265">
        <f t="shared" si="64"/>
        <v>0</v>
      </c>
      <c r="AD26" s="265">
        <f t="shared" si="17"/>
        <v>0</v>
      </c>
      <c r="AE26" s="265">
        <f t="shared" si="18"/>
        <v>0</v>
      </c>
      <c r="AF26" s="265">
        <f t="shared" si="19"/>
        <v>0</v>
      </c>
      <c r="AG26" s="265">
        <f t="shared" si="20"/>
        <v>0</v>
      </c>
      <c r="AH26" s="265">
        <f t="shared" si="65"/>
        <v>0</v>
      </c>
      <c r="AI26" s="265">
        <f t="shared" si="66"/>
        <v>0</v>
      </c>
      <c r="AJ26" s="265">
        <f t="shared" si="67"/>
        <v>0</v>
      </c>
      <c r="AK26" s="265">
        <f t="shared" si="68"/>
        <v>0</v>
      </c>
      <c r="AL26" s="265">
        <f t="shared" si="69"/>
        <v>0</v>
      </c>
      <c r="AM26" s="265">
        <f t="shared" si="70"/>
        <v>0</v>
      </c>
      <c r="AN26" s="265">
        <f t="shared" si="71"/>
        <v>0</v>
      </c>
      <c r="AO26" s="265">
        <f t="shared" si="72"/>
        <v>0</v>
      </c>
      <c r="AP26" s="265">
        <f t="shared" si="21"/>
        <v>0</v>
      </c>
      <c r="AQ26" s="265">
        <f t="shared" si="22"/>
        <v>0</v>
      </c>
      <c r="AR26" s="265">
        <f t="shared" si="23"/>
        <v>0</v>
      </c>
      <c r="AS26" s="265">
        <f t="shared" si="24"/>
        <v>0</v>
      </c>
      <c r="AT26" s="265">
        <f t="shared" si="73"/>
        <v>0</v>
      </c>
      <c r="AU26" s="265">
        <f t="shared" si="74"/>
        <v>0</v>
      </c>
      <c r="AV26" s="265">
        <f t="shared" si="25"/>
        <v>0</v>
      </c>
      <c r="AW26" s="265">
        <f t="shared" si="26"/>
        <v>0</v>
      </c>
      <c r="AX26" s="265">
        <f t="shared" si="27"/>
        <v>0</v>
      </c>
      <c r="AY26" s="265">
        <f t="shared" si="28"/>
        <v>0</v>
      </c>
      <c r="AZ26" s="265">
        <f t="shared" si="29"/>
        <v>0</v>
      </c>
      <c r="BA26" s="265">
        <f t="shared" si="30"/>
        <v>0</v>
      </c>
      <c r="BB26" s="265">
        <f t="shared" si="31"/>
        <v>0</v>
      </c>
      <c r="BC26" s="265">
        <f t="shared" si="32"/>
        <v>0</v>
      </c>
      <c r="BD26" s="265">
        <f t="shared" si="33"/>
        <v>0</v>
      </c>
      <c r="BE26" s="265">
        <f t="shared" si="34"/>
        <v>0</v>
      </c>
      <c r="BF26" s="265">
        <f t="shared" si="35"/>
        <v>0</v>
      </c>
      <c r="BG26" s="265">
        <f t="shared" si="36"/>
        <v>0</v>
      </c>
      <c r="BH26" s="265">
        <f t="shared" si="75"/>
        <v>0</v>
      </c>
      <c r="BI26" s="265">
        <f t="shared" si="76"/>
        <v>0</v>
      </c>
      <c r="BJ26" s="265">
        <f t="shared" si="37"/>
        <v>0</v>
      </c>
      <c r="BK26" s="265">
        <f t="shared" si="38"/>
        <v>0</v>
      </c>
      <c r="BL26" s="265">
        <f t="shared" si="39"/>
        <v>0</v>
      </c>
      <c r="BM26" s="265">
        <f t="shared" si="40"/>
        <v>0</v>
      </c>
      <c r="BN26" s="265">
        <f t="shared" si="41"/>
        <v>0</v>
      </c>
      <c r="BO26" s="265">
        <f t="shared" si="42"/>
        <v>0</v>
      </c>
      <c r="BP26" s="265">
        <f t="shared" si="77"/>
        <v>0</v>
      </c>
      <c r="BQ26" s="265">
        <f t="shared" si="78"/>
        <v>0</v>
      </c>
      <c r="BR26" s="265">
        <f t="shared" si="43"/>
        <v>0</v>
      </c>
      <c r="BS26" s="265">
        <f t="shared" si="44"/>
        <v>0</v>
      </c>
      <c r="BT26" s="265">
        <f t="shared" si="79"/>
        <v>0</v>
      </c>
      <c r="BU26" s="265">
        <f t="shared" si="80"/>
        <v>0</v>
      </c>
      <c r="BV26" s="265">
        <f t="shared" si="81"/>
        <v>0</v>
      </c>
      <c r="BW26" s="265">
        <f t="shared" si="82"/>
        <v>0</v>
      </c>
      <c r="BX26" s="265">
        <f t="shared" si="45"/>
        <v>0</v>
      </c>
      <c r="BY26" s="265">
        <f t="shared" si="46"/>
        <v>0</v>
      </c>
      <c r="BZ26" s="265">
        <f t="shared" si="47"/>
        <v>0</v>
      </c>
      <c r="CA26" s="265">
        <f t="shared" si="48"/>
        <v>0</v>
      </c>
      <c r="CB26" s="265">
        <f t="shared" si="49"/>
        <v>0</v>
      </c>
      <c r="CC26" s="265">
        <f t="shared" si="50"/>
        <v>0</v>
      </c>
      <c r="CD26" s="265">
        <f t="shared" si="83"/>
        <v>0</v>
      </c>
      <c r="CE26" s="265">
        <f t="shared" si="84"/>
        <v>0</v>
      </c>
      <c r="CF26" s="265">
        <f t="shared" si="85"/>
        <v>0</v>
      </c>
      <c r="CG26" s="265">
        <f t="shared" si="86"/>
        <v>0</v>
      </c>
      <c r="CH26" s="265">
        <f t="shared" si="51"/>
        <v>0</v>
      </c>
      <c r="CI26" s="265">
        <f t="shared" si="52"/>
        <v>0</v>
      </c>
      <c r="CJ26" s="265">
        <f t="shared" si="87"/>
        <v>0</v>
      </c>
      <c r="CK26" s="265">
        <f t="shared" si="88"/>
        <v>0</v>
      </c>
      <c r="CL26" s="265">
        <f t="shared" si="53"/>
        <v>0</v>
      </c>
      <c r="CM26" s="265">
        <f t="shared" si="54"/>
        <v>0</v>
      </c>
      <c r="CN26" s="265">
        <f t="shared" si="55"/>
        <v>0</v>
      </c>
      <c r="CO26" s="265">
        <f t="shared" si="56"/>
        <v>0</v>
      </c>
      <c r="CP26" s="265">
        <f t="shared" si="89"/>
        <v>0</v>
      </c>
      <c r="CQ26" s="265">
        <f t="shared" si="90"/>
        <v>0</v>
      </c>
      <c r="CR26" s="265">
        <f t="shared" si="91"/>
        <v>0</v>
      </c>
      <c r="CS26" s="265">
        <f t="shared" si="92"/>
        <v>0</v>
      </c>
      <c r="CT26" s="265">
        <f t="shared" si="57"/>
        <v>0</v>
      </c>
      <c r="CU26" s="265">
        <f t="shared" si="58"/>
        <v>0</v>
      </c>
      <c r="CV26" s="265">
        <f t="shared" si="59"/>
        <v>0</v>
      </c>
      <c r="CW26" s="265">
        <f t="shared" si="60"/>
        <v>0</v>
      </c>
      <c r="CX26" s="265">
        <f t="shared" si="93"/>
        <v>0</v>
      </c>
      <c r="CY26" s="265">
        <f t="shared" si="94"/>
        <v>0</v>
      </c>
      <c r="CZ26" s="265">
        <f t="shared" si="95"/>
        <v>0</v>
      </c>
      <c r="DA26" s="265">
        <f t="shared" si="96"/>
        <v>0</v>
      </c>
    </row>
    <row r="27" spans="1:105" s="262" customFormat="1" ht="16.5" customHeight="1">
      <c r="A27" s="63" t="str">
        <f t="array" ref="A27">IF(C27&lt;&gt;0,SUM(($C$11:C27&lt;&gt;0)*1),"")</f>
        <v/>
      </c>
      <c r="B27" s="263"/>
      <c r="C27" s="263"/>
      <c r="D27" s="263"/>
      <c r="E27" s="344"/>
      <c r="F27" s="314"/>
      <c r="G27" s="316"/>
      <c r="H27" s="316"/>
      <c r="I27" s="63" t="str">
        <f t="shared" si="0"/>
        <v/>
      </c>
      <c r="J27" s="265">
        <f t="shared" si="61"/>
        <v>0</v>
      </c>
      <c r="K27" s="265">
        <f t="shared" si="62"/>
        <v>0</v>
      </c>
      <c r="L27" s="265">
        <f t="shared" si="1"/>
        <v>0</v>
      </c>
      <c r="M27" s="265">
        <f t="shared" si="2"/>
        <v>0</v>
      </c>
      <c r="N27" s="265">
        <f t="shared" si="3"/>
        <v>0</v>
      </c>
      <c r="O27" s="265">
        <f t="shared" si="4"/>
        <v>0</v>
      </c>
      <c r="P27" s="265">
        <f t="shared" si="5"/>
        <v>0</v>
      </c>
      <c r="Q27" s="265">
        <f t="shared" si="6"/>
        <v>0</v>
      </c>
      <c r="R27" s="265">
        <f t="shared" si="7"/>
        <v>0</v>
      </c>
      <c r="S27" s="265">
        <f t="shared" si="8"/>
        <v>0</v>
      </c>
      <c r="T27" s="265">
        <f t="shared" si="9"/>
        <v>0</v>
      </c>
      <c r="U27" s="265">
        <f t="shared" si="10"/>
        <v>0</v>
      </c>
      <c r="V27" s="265">
        <f t="shared" si="11"/>
        <v>0</v>
      </c>
      <c r="W27" s="265">
        <f t="shared" si="12"/>
        <v>0</v>
      </c>
      <c r="X27" s="265">
        <f t="shared" si="13"/>
        <v>0</v>
      </c>
      <c r="Y27" s="265">
        <f t="shared" si="14"/>
        <v>0</v>
      </c>
      <c r="Z27" s="265">
        <f t="shared" si="15"/>
        <v>0</v>
      </c>
      <c r="AA27" s="265">
        <f t="shared" si="16"/>
        <v>0</v>
      </c>
      <c r="AB27" s="265">
        <f t="shared" si="63"/>
        <v>0</v>
      </c>
      <c r="AC27" s="265">
        <f t="shared" si="64"/>
        <v>0</v>
      </c>
      <c r="AD27" s="265">
        <f t="shared" si="17"/>
        <v>0</v>
      </c>
      <c r="AE27" s="265">
        <f t="shared" si="18"/>
        <v>0</v>
      </c>
      <c r="AF27" s="265">
        <f t="shared" si="19"/>
        <v>0</v>
      </c>
      <c r="AG27" s="265">
        <f t="shared" si="20"/>
        <v>0</v>
      </c>
      <c r="AH27" s="265">
        <f t="shared" si="65"/>
        <v>0</v>
      </c>
      <c r="AI27" s="265">
        <f t="shared" si="66"/>
        <v>0</v>
      </c>
      <c r="AJ27" s="265">
        <f t="shared" si="67"/>
        <v>0</v>
      </c>
      <c r="AK27" s="265">
        <f t="shared" si="68"/>
        <v>0</v>
      </c>
      <c r="AL27" s="265">
        <f t="shared" si="69"/>
        <v>0</v>
      </c>
      <c r="AM27" s="265">
        <f t="shared" si="70"/>
        <v>0</v>
      </c>
      <c r="AN27" s="265">
        <f t="shared" si="71"/>
        <v>0</v>
      </c>
      <c r="AO27" s="265">
        <f t="shared" si="72"/>
        <v>0</v>
      </c>
      <c r="AP27" s="265">
        <f t="shared" si="21"/>
        <v>0</v>
      </c>
      <c r="AQ27" s="265">
        <f t="shared" si="22"/>
        <v>0</v>
      </c>
      <c r="AR27" s="265">
        <f t="shared" si="23"/>
        <v>0</v>
      </c>
      <c r="AS27" s="265">
        <f t="shared" si="24"/>
        <v>0</v>
      </c>
      <c r="AT27" s="265">
        <f t="shared" si="73"/>
        <v>0</v>
      </c>
      <c r="AU27" s="265">
        <f t="shared" si="74"/>
        <v>0</v>
      </c>
      <c r="AV27" s="265">
        <f t="shared" si="25"/>
        <v>0</v>
      </c>
      <c r="AW27" s="265">
        <f t="shared" si="26"/>
        <v>0</v>
      </c>
      <c r="AX27" s="265">
        <f t="shared" si="27"/>
        <v>0</v>
      </c>
      <c r="AY27" s="265">
        <f t="shared" si="28"/>
        <v>0</v>
      </c>
      <c r="AZ27" s="265">
        <f t="shared" si="29"/>
        <v>0</v>
      </c>
      <c r="BA27" s="265">
        <f t="shared" si="30"/>
        <v>0</v>
      </c>
      <c r="BB27" s="265">
        <f t="shared" si="31"/>
        <v>0</v>
      </c>
      <c r="BC27" s="265">
        <f t="shared" si="32"/>
        <v>0</v>
      </c>
      <c r="BD27" s="265">
        <f t="shared" si="33"/>
        <v>0</v>
      </c>
      <c r="BE27" s="265">
        <f t="shared" si="34"/>
        <v>0</v>
      </c>
      <c r="BF27" s="265">
        <f t="shared" si="35"/>
        <v>0</v>
      </c>
      <c r="BG27" s="265">
        <f t="shared" si="36"/>
        <v>0</v>
      </c>
      <c r="BH27" s="265">
        <f t="shared" si="75"/>
        <v>0</v>
      </c>
      <c r="BI27" s="265">
        <f t="shared" si="76"/>
        <v>0</v>
      </c>
      <c r="BJ27" s="265">
        <f t="shared" si="37"/>
        <v>0</v>
      </c>
      <c r="BK27" s="265">
        <f t="shared" si="38"/>
        <v>0</v>
      </c>
      <c r="BL27" s="265">
        <f t="shared" si="39"/>
        <v>0</v>
      </c>
      <c r="BM27" s="265">
        <f t="shared" si="40"/>
        <v>0</v>
      </c>
      <c r="BN27" s="265">
        <f t="shared" si="41"/>
        <v>0</v>
      </c>
      <c r="BO27" s="265">
        <f t="shared" si="42"/>
        <v>0</v>
      </c>
      <c r="BP27" s="265">
        <f t="shared" si="77"/>
        <v>0</v>
      </c>
      <c r="BQ27" s="265">
        <f t="shared" si="78"/>
        <v>0</v>
      </c>
      <c r="BR27" s="265">
        <f t="shared" si="43"/>
        <v>0</v>
      </c>
      <c r="BS27" s="265">
        <f t="shared" si="44"/>
        <v>0</v>
      </c>
      <c r="BT27" s="265">
        <f t="shared" si="79"/>
        <v>0</v>
      </c>
      <c r="BU27" s="265">
        <f t="shared" si="80"/>
        <v>0</v>
      </c>
      <c r="BV27" s="265">
        <f t="shared" si="81"/>
        <v>0</v>
      </c>
      <c r="BW27" s="265">
        <f t="shared" si="82"/>
        <v>0</v>
      </c>
      <c r="BX27" s="265">
        <f t="shared" si="45"/>
        <v>0</v>
      </c>
      <c r="BY27" s="265">
        <f t="shared" si="46"/>
        <v>0</v>
      </c>
      <c r="BZ27" s="265">
        <f t="shared" si="47"/>
        <v>0</v>
      </c>
      <c r="CA27" s="265">
        <f t="shared" si="48"/>
        <v>0</v>
      </c>
      <c r="CB27" s="265">
        <f t="shared" si="49"/>
        <v>0</v>
      </c>
      <c r="CC27" s="265">
        <f t="shared" si="50"/>
        <v>0</v>
      </c>
      <c r="CD27" s="265">
        <f t="shared" si="83"/>
        <v>0</v>
      </c>
      <c r="CE27" s="265">
        <f t="shared" si="84"/>
        <v>0</v>
      </c>
      <c r="CF27" s="265">
        <f t="shared" si="85"/>
        <v>0</v>
      </c>
      <c r="CG27" s="265">
        <f t="shared" si="86"/>
        <v>0</v>
      </c>
      <c r="CH27" s="265">
        <f t="shared" si="51"/>
        <v>0</v>
      </c>
      <c r="CI27" s="265">
        <f t="shared" si="52"/>
        <v>0</v>
      </c>
      <c r="CJ27" s="265">
        <f t="shared" si="87"/>
        <v>0</v>
      </c>
      <c r="CK27" s="265">
        <f t="shared" si="88"/>
        <v>0</v>
      </c>
      <c r="CL27" s="265">
        <f t="shared" si="53"/>
        <v>0</v>
      </c>
      <c r="CM27" s="265">
        <f t="shared" si="54"/>
        <v>0</v>
      </c>
      <c r="CN27" s="265">
        <f t="shared" si="55"/>
        <v>0</v>
      </c>
      <c r="CO27" s="265">
        <f t="shared" si="56"/>
        <v>0</v>
      </c>
      <c r="CP27" s="265">
        <f t="shared" si="89"/>
        <v>0</v>
      </c>
      <c r="CQ27" s="265">
        <f t="shared" si="90"/>
        <v>0</v>
      </c>
      <c r="CR27" s="265">
        <f t="shared" si="91"/>
        <v>0</v>
      </c>
      <c r="CS27" s="265">
        <f t="shared" si="92"/>
        <v>0</v>
      </c>
      <c r="CT27" s="265">
        <f t="shared" si="57"/>
        <v>0</v>
      </c>
      <c r="CU27" s="265">
        <f t="shared" si="58"/>
        <v>0</v>
      </c>
      <c r="CV27" s="265">
        <f t="shared" si="59"/>
        <v>0</v>
      </c>
      <c r="CW27" s="265">
        <f t="shared" si="60"/>
        <v>0</v>
      </c>
      <c r="CX27" s="265">
        <f t="shared" si="93"/>
        <v>0</v>
      </c>
      <c r="CY27" s="265">
        <f t="shared" si="94"/>
        <v>0</v>
      </c>
      <c r="CZ27" s="265">
        <f t="shared" si="95"/>
        <v>0</v>
      </c>
      <c r="DA27" s="265">
        <f t="shared" si="96"/>
        <v>0</v>
      </c>
    </row>
    <row r="28" spans="1:105" s="262" customFormat="1" ht="16.5" customHeight="1">
      <c r="A28" s="63" t="str">
        <f t="array" ref="A28">IF(C28&lt;&gt;0,SUM(($C$11:C28&lt;&gt;0)*1),"")</f>
        <v/>
      </c>
      <c r="B28" s="263"/>
      <c r="C28" s="263"/>
      <c r="D28" s="263"/>
      <c r="E28" s="344"/>
      <c r="F28" s="314"/>
      <c r="G28" s="316"/>
      <c r="H28" s="316"/>
      <c r="I28" s="63" t="str">
        <f t="shared" si="0"/>
        <v/>
      </c>
      <c r="J28" s="265">
        <f t="shared" si="61"/>
        <v>0</v>
      </c>
      <c r="K28" s="265">
        <f t="shared" si="62"/>
        <v>0</v>
      </c>
      <c r="L28" s="265">
        <f t="shared" si="1"/>
        <v>0</v>
      </c>
      <c r="M28" s="265">
        <f t="shared" si="2"/>
        <v>0</v>
      </c>
      <c r="N28" s="265">
        <f t="shared" si="3"/>
        <v>0</v>
      </c>
      <c r="O28" s="265">
        <f t="shared" si="4"/>
        <v>0</v>
      </c>
      <c r="P28" s="265">
        <f t="shared" si="5"/>
        <v>0</v>
      </c>
      <c r="Q28" s="265">
        <f t="shared" si="6"/>
        <v>0</v>
      </c>
      <c r="R28" s="265">
        <f t="shared" si="7"/>
        <v>0</v>
      </c>
      <c r="S28" s="265">
        <f t="shared" si="8"/>
        <v>0</v>
      </c>
      <c r="T28" s="265">
        <f t="shared" si="9"/>
        <v>0</v>
      </c>
      <c r="U28" s="265">
        <f t="shared" si="10"/>
        <v>0</v>
      </c>
      <c r="V28" s="265">
        <f t="shared" si="11"/>
        <v>0</v>
      </c>
      <c r="W28" s="265">
        <f t="shared" si="12"/>
        <v>0</v>
      </c>
      <c r="X28" s="265">
        <f t="shared" si="13"/>
        <v>0</v>
      </c>
      <c r="Y28" s="265">
        <f t="shared" si="14"/>
        <v>0</v>
      </c>
      <c r="Z28" s="265">
        <f t="shared" si="15"/>
        <v>0</v>
      </c>
      <c r="AA28" s="265">
        <f t="shared" si="16"/>
        <v>0</v>
      </c>
      <c r="AB28" s="265">
        <f t="shared" si="63"/>
        <v>0</v>
      </c>
      <c r="AC28" s="265">
        <f t="shared" si="64"/>
        <v>0</v>
      </c>
      <c r="AD28" s="265">
        <f t="shared" si="17"/>
        <v>0</v>
      </c>
      <c r="AE28" s="265">
        <f t="shared" si="18"/>
        <v>0</v>
      </c>
      <c r="AF28" s="265">
        <f t="shared" si="19"/>
        <v>0</v>
      </c>
      <c r="AG28" s="265">
        <f t="shared" si="20"/>
        <v>0</v>
      </c>
      <c r="AH28" s="265">
        <f t="shared" si="65"/>
        <v>0</v>
      </c>
      <c r="AI28" s="265">
        <f t="shared" si="66"/>
        <v>0</v>
      </c>
      <c r="AJ28" s="265">
        <f t="shared" si="67"/>
        <v>0</v>
      </c>
      <c r="AK28" s="265">
        <f t="shared" si="68"/>
        <v>0</v>
      </c>
      <c r="AL28" s="265">
        <f t="shared" si="69"/>
        <v>0</v>
      </c>
      <c r="AM28" s="265">
        <f t="shared" si="70"/>
        <v>0</v>
      </c>
      <c r="AN28" s="265">
        <f t="shared" si="71"/>
        <v>0</v>
      </c>
      <c r="AO28" s="265">
        <f t="shared" si="72"/>
        <v>0</v>
      </c>
      <c r="AP28" s="265">
        <f t="shared" si="21"/>
        <v>0</v>
      </c>
      <c r="AQ28" s="265">
        <f t="shared" si="22"/>
        <v>0</v>
      </c>
      <c r="AR28" s="265">
        <f t="shared" si="23"/>
        <v>0</v>
      </c>
      <c r="AS28" s="265">
        <f t="shared" si="24"/>
        <v>0</v>
      </c>
      <c r="AT28" s="265">
        <f t="shared" si="73"/>
        <v>0</v>
      </c>
      <c r="AU28" s="265">
        <f t="shared" si="74"/>
        <v>0</v>
      </c>
      <c r="AV28" s="265">
        <f t="shared" si="25"/>
        <v>0</v>
      </c>
      <c r="AW28" s="265">
        <f t="shared" si="26"/>
        <v>0</v>
      </c>
      <c r="AX28" s="265">
        <f t="shared" si="27"/>
        <v>0</v>
      </c>
      <c r="AY28" s="265">
        <f t="shared" si="28"/>
        <v>0</v>
      </c>
      <c r="AZ28" s="265">
        <f t="shared" si="29"/>
        <v>0</v>
      </c>
      <c r="BA28" s="265">
        <f t="shared" si="30"/>
        <v>0</v>
      </c>
      <c r="BB28" s="265">
        <f t="shared" si="31"/>
        <v>0</v>
      </c>
      <c r="BC28" s="265">
        <f t="shared" si="32"/>
        <v>0</v>
      </c>
      <c r="BD28" s="265">
        <f t="shared" si="33"/>
        <v>0</v>
      </c>
      <c r="BE28" s="265">
        <f t="shared" si="34"/>
        <v>0</v>
      </c>
      <c r="BF28" s="265">
        <f t="shared" si="35"/>
        <v>0</v>
      </c>
      <c r="BG28" s="265">
        <f t="shared" si="36"/>
        <v>0</v>
      </c>
      <c r="BH28" s="265">
        <f t="shared" si="75"/>
        <v>0</v>
      </c>
      <c r="BI28" s="265">
        <f t="shared" si="76"/>
        <v>0</v>
      </c>
      <c r="BJ28" s="265">
        <f t="shared" si="37"/>
        <v>0</v>
      </c>
      <c r="BK28" s="265">
        <f t="shared" si="38"/>
        <v>0</v>
      </c>
      <c r="BL28" s="265">
        <f t="shared" si="39"/>
        <v>0</v>
      </c>
      <c r="BM28" s="265">
        <f t="shared" si="40"/>
        <v>0</v>
      </c>
      <c r="BN28" s="265">
        <f t="shared" si="41"/>
        <v>0</v>
      </c>
      <c r="BO28" s="265">
        <f t="shared" si="42"/>
        <v>0</v>
      </c>
      <c r="BP28" s="265">
        <f t="shared" si="77"/>
        <v>0</v>
      </c>
      <c r="BQ28" s="265">
        <f t="shared" si="78"/>
        <v>0</v>
      </c>
      <c r="BR28" s="265">
        <f t="shared" si="43"/>
        <v>0</v>
      </c>
      <c r="BS28" s="265">
        <f t="shared" si="44"/>
        <v>0</v>
      </c>
      <c r="BT28" s="265">
        <f t="shared" si="79"/>
        <v>0</v>
      </c>
      <c r="BU28" s="265">
        <f t="shared" si="80"/>
        <v>0</v>
      </c>
      <c r="BV28" s="265">
        <f t="shared" si="81"/>
        <v>0</v>
      </c>
      <c r="BW28" s="265">
        <f t="shared" si="82"/>
        <v>0</v>
      </c>
      <c r="BX28" s="265">
        <f t="shared" si="45"/>
        <v>0</v>
      </c>
      <c r="BY28" s="265">
        <f t="shared" si="46"/>
        <v>0</v>
      </c>
      <c r="BZ28" s="265">
        <f t="shared" si="47"/>
        <v>0</v>
      </c>
      <c r="CA28" s="265">
        <f t="shared" si="48"/>
        <v>0</v>
      </c>
      <c r="CB28" s="265">
        <f t="shared" si="49"/>
        <v>0</v>
      </c>
      <c r="CC28" s="265">
        <f t="shared" si="50"/>
        <v>0</v>
      </c>
      <c r="CD28" s="265">
        <f t="shared" si="83"/>
        <v>0</v>
      </c>
      <c r="CE28" s="265">
        <f t="shared" si="84"/>
        <v>0</v>
      </c>
      <c r="CF28" s="265">
        <f t="shared" si="85"/>
        <v>0</v>
      </c>
      <c r="CG28" s="265">
        <f t="shared" si="86"/>
        <v>0</v>
      </c>
      <c r="CH28" s="265">
        <f t="shared" si="51"/>
        <v>0</v>
      </c>
      <c r="CI28" s="265">
        <f t="shared" si="52"/>
        <v>0</v>
      </c>
      <c r="CJ28" s="265">
        <f t="shared" si="87"/>
        <v>0</v>
      </c>
      <c r="CK28" s="265">
        <f t="shared" si="88"/>
        <v>0</v>
      </c>
      <c r="CL28" s="265">
        <f t="shared" si="53"/>
        <v>0</v>
      </c>
      <c r="CM28" s="265">
        <f t="shared" si="54"/>
        <v>0</v>
      </c>
      <c r="CN28" s="265">
        <f t="shared" si="55"/>
        <v>0</v>
      </c>
      <c r="CO28" s="265">
        <f t="shared" si="56"/>
        <v>0</v>
      </c>
      <c r="CP28" s="265">
        <f t="shared" si="89"/>
        <v>0</v>
      </c>
      <c r="CQ28" s="265">
        <f t="shared" si="90"/>
        <v>0</v>
      </c>
      <c r="CR28" s="265">
        <f t="shared" si="91"/>
        <v>0</v>
      </c>
      <c r="CS28" s="265">
        <f t="shared" si="92"/>
        <v>0</v>
      </c>
      <c r="CT28" s="265">
        <f t="shared" si="57"/>
        <v>0</v>
      </c>
      <c r="CU28" s="265">
        <f t="shared" si="58"/>
        <v>0</v>
      </c>
      <c r="CV28" s="265">
        <f t="shared" si="59"/>
        <v>0</v>
      </c>
      <c r="CW28" s="265">
        <f t="shared" si="60"/>
        <v>0</v>
      </c>
      <c r="CX28" s="265">
        <f t="shared" si="93"/>
        <v>0</v>
      </c>
      <c r="CY28" s="265">
        <f t="shared" si="94"/>
        <v>0</v>
      </c>
      <c r="CZ28" s="265">
        <f t="shared" si="95"/>
        <v>0</v>
      </c>
      <c r="DA28" s="265">
        <f t="shared" si="96"/>
        <v>0</v>
      </c>
    </row>
    <row r="29" spans="1:105" s="262" customFormat="1" ht="16.5" customHeight="1">
      <c r="A29" s="63" t="str">
        <f t="array" ref="A29">IF(C29&lt;&gt;0,SUM(($C$11:C29&lt;&gt;0)*1),"")</f>
        <v/>
      </c>
      <c r="B29" s="263"/>
      <c r="C29" s="263"/>
      <c r="D29" s="263"/>
      <c r="E29" s="344"/>
      <c r="F29" s="314"/>
      <c r="G29" s="316"/>
      <c r="H29" s="316"/>
      <c r="I29" s="63" t="str">
        <f t="shared" si="0"/>
        <v/>
      </c>
      <c r="J29" s="265">
        <f t="shared" si="61"/>
        <v>0</v>
      </c>
      <c r="K29" s="265">
        <f t="shared" si="62"/>
        <v>0</v>
      </c>
      <c r="L29" s="265">
        <f t="shared" si="1"/>
        <v>0</v>
      </c>
      <c r="M29" s="265">
        <f t="shared" si="2"/>
        <v>0</v>
      </c>
      <c r="N29" s="265">
        <f t="shared" si="3"/>
        <v>0</v>
      </c>
      <c r="O29" s="265">
        <f t="shared" si="4"/>
        <v>0</v>
      </c>
      <c r="P29" s="265">
        <f t="shared" si="5"/>
        <v>0</v>
      </c>
      <c r="Q29" s="265">
        <f t="shared" si="6"/>
        <v>0</v>
      </c>
      <c r="R29" s="265">
        <f t="shared" si="7"/>
        <v>0</v>
      </c>
      <c r="S29" s="265">
        <f t="shared" si="8"/>
        <v>0</v>
      </c>
      <c r="T29" s="265">
        <f t="shared" si="9"/>
        <v>0</v>
      </c>
      <c r="U29" s="265">
        <f t="shared" si="10"/>
        <v>0</v>
      </c>
      <c r="V29" s="265">
        <f t="shared" si="11"/>
        <v>0</v>
      </c>
      <c r="W29" s="265">
        <f t="shared" si="12"/>
        <v>0</v>
      </c>
      <c r="X29" s="265">
        <f t="shared" si="13"/>
        <v>0</v>
      </c>
      <c r="Y29" s="265">
        <f t="shared" si="14"/>
        <v>0</v>
      </c>
      <c r="Z29" s="265">
        <f t="shared" si="15"/>
        <v>0</v>
      </c>
      <c r="AA29" s="265">
        <f t="shared" si="16"/>
        <v>0</v>
      </c>
      <c r="AB29" s="265">
        <f t="shared" si="63"/>
        <v>0</v>
      </c>
      <c r="AC29" s="265">
        <f t="shared" si="64"/>
        <v>0</v>
      </c>
      <c r="AD29" s="265">
        <f t="shared" si="17"/>
        <v>0</v>
      </c>
      <c r="AE29" s="265">
        <f t="shared" si="18"/>
        <v>0</v>
      </c>
      <c r="AF29" s="265">
        <f t="shared" si="19"/>
        <v>0</v>
      </c>
      <c r="AG29" s="265">
        <f t="shared" si="20"/>
        <v>0</v>
      </c>
      <c r="AH29" s="265">
        <f t="shared" si="65"/>
        <v>0</v>
      </c>
      <c r="AI29" s="265">
        <f t="shared" si="66"/>
        <v>0</v>
      </c>
      <c r="AJ29" s="265">
        <f t="shared" si="67"/>
        <v>0</v>
      </c>
      <c r="AK29" s="265">
        <f t="shared" si="68"/>
        <v>0</v>
      </c>
      <c r="AL29" s="265">
        <f t="shared" si="69"/>
        <v>0</v>
      </c>
      <c r="AM29" s="265">
        <f t="shared" si="70"/>
        <v>0</v>
      </c>
      <c r="AN29" s="265">
        <f t="shared" si="71"/>
        <v>0</v>
      </c>
      <c r="AO29" s="265">
        <f t="shared" si="72"/>
        <v>0</v>
      </c>
      <c r="AP29" s="265">
        <f t="shared" si="21"/>
        <v>0</v>
      </c>
      <c r="AQ29" s="265">
        <f t="shared" si="22"/>
        <v>0</v>
      </c>
      <c r="AR29" s="265">
        <f t="shared" si="23"/>
        <v>0</v>
      </c>
      <c r="AS29" s="265">
        <f t="shared" si="24"/>
        <v>0</v>
      </c>
      <c r="AT29" s="265">
        <f t="shared" si="73"/>
        <v>0</v>
      </c>
      <c r="AU29" s="265">
        <f t="shared" si="74"/>
        <v>0</v>
      </c>
      <c r="AV29" s="265">
        <f t="shared" si="25"/>
        <v>0</v>
      </c>
      <c r="AW29" s="265">
        <f t="shared" si="26"/>
        <v>0</v>
      </c>
      <c r="AX29" s="265">
        <f t="shared" si="27"/>
        <v>0</v>
      </c>
      <c r="AY29" s="265">
        <f t="shared" si="28"/>
        <v>0</v>
      </c>
      <c r="AZ29" s="265">
        <f t="shared" si="29"/>
        <v>0</v>
      </c>
      <c r="BA29" s="265">
        <f t="shared" si="30"/>
        <v>0</v>
      </c>
      <c r="BB29" s="265">
        <f t="shared" si="31"/>
        <v>0</v>
      </c>
      <c r="BC29" s="265">
        <f t="shared" si="32"/>
        <v>0</v>
      </c>
      <c r="BD29" s="265">
        <f t="shared" si="33"/>
        <v>0</v>
      </c>
      <c r="BE29" s="265">
        <f t="shared" si="34"/>
        <v>0</v>
      </c>
      <c r="BF29" s="265">
        <f t="shared" si="35"/>
        <v>0</v>
      </c>
      <c r="BG29" s="265">
        <f t="shared" si="36"/>
        <v>0</v>
      </c>
      <c r="BH29" s="265">
        <f t="shared" si="75"/>
        <v>0</v>
      </c>
      <c r="BI29" s="265">
        <f t="shared" si="76"/>
        <v>0</v>
      </c>
      <c r="BJ29" s="265">
        <f t="shared" si="37"/>
        <v>0</v>
      </c>
      <c r="BK29" s="265">
        <f t="shared" si="38"/>
        <v>0</v>
      </c>
      <c r="BL29" s="265">
        <f t="shared" si="39"/>
        <v>0</v>
      </c>
      <c r="BM29" s="265">
        <f t="shared" si="40"/>
        <v>0</v>
      </c>
      <c r="BN29" s="265">
        <f t="shared" si="41"/>
        <v>0</v>
      </c>
      <c r="BO29" s="265">
        <f t="shared" si="42"/>
        <v>0</v>
      </c>
      <c r="BP29" s="265">
        <f t="shared" si="77"/>
        <v>0</v>
      </c>
      <c r="BQ29" s="265">
        <f t="shared" si="78"/>
        <v>0</v>
      </c>
      <c r="BR29" s="265">
        <f t="shared" si="43"/>
        <v>0</v>
      </c>
      <c r="BS29" s="265">
        <f t="shared" si="44"/>
        <v>0</v>
      </c>
      <c r="BT29" s="265">
        <f t="shared" si="79"/>
        <v>0</v>
      </c>
      <c r="BU29" s="265">
        <f t="shared" si="80"/>
        <v>0</v>
      </c>
      <c r="BV29" s="265">
        <f t="shared" si="81"/>
        <v>0</v>
      </c>
      <c r="BW29" s="265">
        <f t="shared" si="82"/>
        <v>0</v>
      </c>
      <c r="BX29" s="265">
        <f t="shared" si="45"/>
        <v>0</v>
      </c>
      <c r="BY29" s="265">
        <f t="shared" si="46"/>
        <v>0</v>
      </c>
      <c r="BZ29" s="265">
        <f t="shared" si="47"/>
        <v>0</v>
      </c>
      <c r="CA29" s="265">
        <f t="shared" si="48"/>
        <v>0</v>
      </c>
      <c r="CB29" s="265">
        <f t="shared" si="49"/>
        <v>0</v>
      </c>
      <c r="CC29" s="265">
        <f t="shared" si="50"/>
        <v>0</v>
      </c>
      <c r="CD29" s="265">
        <f t="shared" si="83"/>
        <v>0</v>
      </c>
      <c r="CE29" s="265">
        <f t="shared" si="84"/>
        <v>0</v>
      </c>
      <c r="CF29" s="265">
        <f t="shared" si="85"/>
        <v>0</v>
      </c>
      <c r="CG29" s="265">
        <f t="shared" si="86"/>
        <v>0</v>
      </c>
      <c r="CH29" s="265">
        <f t="shared" si="51"/>
        <v>0</v>
      </c>
      <c r="CI29" s="265">
        <f t="shared" si="52"/>
        <v>0</v>
      </c>
      <c r="CJ29" s="265">
        <f t="shared" si="87"/>
        <v>0</v>
      </c>
      <c r="CK29" s="265">
        <f t="shared" si="88"/>
        <v>0</v>
      </c>
      <c r="CL29" s="265">
        <f t="shared" si="53"/>
        <v>0</v>
      </c>
      <c r="CM29" s="265">
        <f t="shared" si="54"/>
        <v>0</v>
      </c>
      <c r="CN29" s="265">
        <f t="shared" si="55"/>
        <v>0</v>
      </c>
      <c r="CO29" s="265">
        <f t="shared" si="56"/>
        <v>0</v>
      </c>
      <c r="CP29" s="265">
        <f t="shared" si="89"/>
        <v>0</v>
      </c>
      <c r="CQ29" s="265">
        <f t="shared" si="90"/>
        <v>0</v>
      </c>
      <c r="CR29" s="265">
        <f t="shared" si="91"/>
        <v>0</v>
      </c>
      <c r="CS29" s="265">
        <f t="shared" si="92"/>
        <v>0</v>
      </c>
      <c r="CT29" s="265">
        <f t="shared" si="57"/>
        <v>0</v>
      </c>
      <c r="CU29" s="265">
        <f t="shared" si="58"/>
        <v>0</v>
      </c>
      <c r="CV29" s="265">
        <f t="shared" si="59"/>
        <v>0</v>
      </c>
      <c r="CW29" s="265">
        <f t="shared" si="60"/>
        <v>0</v>
      </c>
      <c r="CX29" s="265">
        <f t="shared" si="93"/>
        <v>0</v>
      </c>
      <c r="CY29" s="265">
        <f t="shared" si="94"/>
        <v>0</v>
      </c>
      <c r="CZ29" s="265">
        <f t="shared" si="95"/>
        <v>0</v>
      </c>
      <c r="DA29" s="265">
        <f t="shared" si="96"/>
        <v>0</v>
      </c>
    </row>
    <row r="30" spans="1:105" s="262" customFormat="1" ht="16.5" customHeight="1">
      <c r="A30" s="63" t="str">
        <f t="array" ref="A30">IF(C30&lt;&gt;0,SUM(($C$11:C30&lt;&gt;0)*1),"")</f>
        <v/>
      </c>
      <c r="B30" s="263"/>
      <c r="C30" s="263"/>
      <c r="D30" s="263"/>
      <c r="E30" s="344"/>
      <c r="F30" s="314"/>
      <c r="G30" s="316"/>
      <c r="H30" s="316"/>
      <c r="I30" s="63" t="str">
        <f t="shared" si="0"/>
        <v/>
      </c>
      <c r="J30" s="265">
        <f t="shared" si="61"/>
        <v>0</v>
      </c>
      <c r="K30" s="265">
        <f t="shared" si="62"/>
        <v>0</v>
      </c>
      <c r="L30" s="265">
        <f t="shared" si="1"/>
        <v>0</v>
      </c>
      <c r="M30" s="265">
        <f t="shared" si="2"/>
        <v>0</v>
      </c>
      <c r="N30" s="265">
        <f t="shared" si="3"/>
        <v>0</v>
      </c>
      <c r="O30" s="265">
        <f t="shared" si="4"/>
        <v>0</v>
      </c>
      <c r="P30" s="265">
        <f t="shared" si="5"/>
        <v>0</v>
      </c>
      <c r="Q30" s="265">
        <f t="shared" si="6"/>
        <v>0</v>
      </c>
      <c r="R30" s="265">
        <f t="shared" si="7"/>
        <v>0</v>
      </c>
      <c r="S30" s="265">
        <f t="shared" si="8"/>
        <v>0</v>
      </c>
      <c r="T30" s="265">
        <f t="shared" si="9"/>
        <v>0</v>
      </c>
      <c r="U30" s="265">
        <f t="shared" si="10"/>
        <v>0</v>
      </c>
      <c r="V30" s="265">
        <f t="shared" si="11"/>
        <v>0</v>
      </c>
      <c r="W30" s="265">
        <f t="shared" si="12"/>
        <v>0</v>
      </c>
      <c r="X30" s="265">
        <f t="shared" si="13"/>
        <v>0</v>
      </c>
      <c r="Y30" s="265">
        <f t="shared" si="14"/>
        <v>0</v>
      </c>
      <c r="Z30" s="265">
        <f t="shared" si="15"/>
        <v>0</v>
      </c>
      <c r="AA30" s="265">
        <f t="shared" si="16"/>
        <v>0</v>
      </c>
      <c r="AB30" s="265">
        <f t="shared" si="63"/>
        <v>0</v>
      </c>
      <c r="AC30" s="265">
        <f t="shared" si="64"/>
        <v>0</v>
      </c>
      <c r="AD30" s="265">
        <f t="shared" si="17"/>
        <v>0</v>
      </c>
      <c r="AE30" s="265">
        <f t="shared" si="18"/>
        <v>0</v>
      </c>
      <c r="AF30" s="265">
        <f t="shared" si="19"/>
        <v>0</v>
      </c>
      <c r="AG30" s="265">
        <f t="shared" si="20"/>
        <v>0</v>
      </c>
      <c r="AH30" s="265">
        <f t="shared" si="65"/>
        <v>0</v>
      </c>
      <c r="AI30" s="265">
        <f t="shared" si="66"/>
        <v>0</v>
      </c>
      <c r="AJ30" s="265">
        <f t="shared" si="67"/>
        <v>0</v>
      </c>
      <c r="AK30" s="265">
        <f t="shared" si="68"/>
        <v>0</v>
      </c>
      <c r="AL30" s="265">
        <f t="shared" si="69"/>
        <v>0</v>
      </c>
      <c r="AM30" s="265">
        <f t="shared" si="70"/>
        <v>0</v>
      </c>
      <c r="AN30" s="265">
        <f t="shared" si="71"/>
        <v>0</v>
      </c>
      <c r="AO30" s="265">
        <f t="shared" si="72"/>
        <v>0</v>
      </c>
      <c r="AP30" s="265">
        <f t="shared" si="21"/>
        <v>0</v>
      </c>
      <c r="AQ30" s="265">
        <f t="shared" si="22"/>
        <v>0</v>
      </c>
      <c r="AR30" s="265">
        <f t="shared" si="23"/>
        <v>0</v>
      </c>
      <c r="AS30" s="265">
        <f t="shared" si="24"/>
        <v>0</v>
      </c>
      <c r="AT30" s="265">
        <f t="shared" si="73"/>
        <v>0</v>
      </c>
      <c r="AU30" s="265">
        <f t="shared" si="74"/>
        <v>0</v>
      </c>
      <c r="AV30" s="265">
        <f t="shared" si="25"/>
        <v>0</v>
      </c>
      <c r="AW30" s="265">
        <f t="shared" si="26"/>
        <v>0</v>
      </c>
      <c r="AX30" s="265">
        <f t="shared" si="27"/>
        <v>0</v>
      </c>
      <c r="AY30" s="265">
        <f t="shared" si="28"/>
        <v>0</v>
      </c>
      <c r="AZ30" s="265">
        <f t="shared" si="29"/>
        <v>0</v>
      </c>
      <c r="BA30" s="265">
        <f t="shared" si="30"/>
        <v>0</v>
      </c>
      <c r="BB30" s="265">
        <f t="shared" si="31"/>
        <v>0</v>
      </c>
      <c r="BC30" s="265">
        <f t="shared" si="32"/>
        <v>0</v>
      </c>
      <c r="BD30" s="265">
        <f t="shared" si="33"/>
        <v>0</v>
      </c>
      <c r="BE30" s="265">
        <f t="shared" si="34"/>
        <v>0</v>
      </c>
      <c r="BF30" s="265">
        <f t="shared" si="35"/>
        <v>0</v>
      </c>
      <c r="BG30" s="265">
        <f t="shared" si="36"/>
        <v>0</v>
      </c>
      <c r="BH30" s="265">
        <f t="shared" si="75"/>
        <v>0</v>
      </c>
      <c r="BI30" s="265">
        <f t="shared" si="76"/>
        <v>0</v>
      </c>
      <c r="BJ30" s="265">
        <f t="shared" si="37"/>
        <v>0</v>
      </c>
      <c r="BK30" s="265">
        <f t="shared" si="38"/>
        <v>0</v>
      </c>
      <c r="BL30" s="265">
        <f t="shared" si="39"/>
        <v>0</v>
      </c>
      <c r="BM30" s="265">
        <f t="shared" si="40"/>
        <v>0</v>
      </c>
      <c r="BN30" s="265">
        <f t="shared" si="41"/>
        <v>0</v>
      </c>
      <c r="BO30" s="265">
        <f t="shared" si="42"/>
        <v>0</v>
      </c>
      <c r="BP30" s="265">
        <f t="shared" si="77"/>
        <v>0</v>
      </c>
      <c r="BQ30" s="265">
        <f t="shared" si="78"/>
        <v>0</v>
      </c>
      <c r="BR30" s="265">
        <f t="shared" si="43"/>
        <v>0</v>
      </c>
      <c r="BS30" s="265">
        <f t="shared" si="44"/>
        <v>0</v>
      </c>
      <c r="BT30" s="265">
        <f t="shared" si="79"/>
        <v>0</v>
      </c>
      <c r="BU30" s="265">
        <f t="shared" si="80"/>
        <v>0</v>
      </c>
      <c r="BV30" s="265">
        <f t="shared" si="81"/>
        <v>0</v>
      </c>
      <c r="BW30" s="265">
        <f t="shared" si="82"/>
        <v>0</v>
      </c>
      <c r="BX30" s="265">
        <f t="shared" si="45"/>
        <v>0</v>
      </c>
      <c r="BY30" s="265">
        <f t="shared" si="46"/>
        <v>0</v>
      </c>
      <c r="BZ30" s="265">
        <f t="shared" si="47"/>
        <v>0</v>
      </c>
      <c r="CA30" s="265">
        <f t="shared" si="48"/>
        <v>0</v>
      </c>
      <c r="CB30" s="265">
        <f t="shared" si="49"/>
        <v>0</v>
      </c>
      <c r="CC30" s="265">
        <f t="shared" si="50"/>
        <v>0</v>
      </c>
      <c r="CD30" s="265">
        <f t="shared" si="83"/>
        <v>0</v>
      </c>
      <c r="CE30" s="265">
        <f t="shared" si="84"/>
        <v>0</v>
      </c>
      <c r="CF30" s="265">
        <f t="shared" si="85"/>
        <v>0</v>
      </c>
      <c r="CG30" s="265">
        <f t="shared" si="86"/>
        <v>0</v>
      </c>
      <c r="CH30" s="265">
        <f t="shared" si="51"/>
        <v>0</v>
      </c>
      <c r="CI30" s="265">
        <f t="shared" si="52"/>
        <v>0</v>
      </c>
      <c r="CJ30" s="265">
        <f t="shared" si="87"/>
        <v>0</v>
      </c>
      <c r="CK30" s="265">
        <f t="shared" si="88"/>
        <v>0</v>
      </c>
      <c r="CL30" s="265">
        <f t="shared" si="53"/>
        <v>0</v>
      </c>
      <c r="CM30" s="265">
        <f t="shared" si="54"/>
        <v>0</v>
      </c>
      <c r="CN30" s="265">
        <f t="shared" si="55"/>
        <v>0</v>
      </c>
      <c r="CO30" s="265">
        <f t="shared" si="56"/>
        <v>0</v>
      </c>
      <c r="CP30" s="265">
        <f t="shared" si="89"/>
        <v>0</v>
      </c>
      <c r="CQ30" s="265">
        <f t="shared" si="90"/>
        <v>0</v>
      </c>
      <c r="CR30" s="265">
        <f t="shared" si="91"/>
        <v>0</v>
      </c>
      <c r="CS30" s="265">
        <f t="shared" si="92"/>
        <v>0</v>
      </c>
      <c r="CT30" s="265">
        <f t="shared" si="57"/>
        <v>0</v>
      </c>
      <c r="CU30" s="265">
        <f t="shared" si="58"/>
        <v>0</v>
      </c>
      <c r="CV30" s="265">
        <f t="shared" si="59"/>
        <v>0</v>
      </c>
      <c r="CW30" s="265">
        <f t="shared" si="60"/>
        <v>0</v>
      </c>
      <c r="CX30" s="265">
        <f t="shared" si="93"/>
        <v>0</v>
      </c>
      <c r="CY30" s="265">
        <f t="shared" si="94"/>
        <v>0</v>
      </c>
      <c r="CZ30" s="265">
        <f t="shared" si="95"/>
        <v>0</v>
      </c>
      <c r="DA30" s="265">
        <f t="shared" si="96"/>
        <v>0</v>
      </c>
    </row>
    <row r="31" spans="1:105" s="262" customFormat="1" ht="16.5" customHeight="1">
      <c r="A31" s="63" t="str">
        <f t="array" ref="A31">IF(C31&lt;&gt;0,SUM(($C$11:C31&lt;&gt;0)*1),"")</f>
        <v/>
      </c>
      <c r="B31" s="263"/>
      <c r="C31" s="263"/>
      <c r="D31" s="263"/>
      <c r="E31" s="344"/>
      <c r="F31" s="314"/>
      <c r="G31" s="316"/>
      <c r="H31" s="316"/>
      <c r="I31" s="63" t="str">
        <f t="shared" si="0"/>
        <v/>
      </c>
      <c r="J31" s="265">
        <f t="shared" si="61"/>
        <v>0</v>
      </c>
      <c r="K31" s="265">
        <f t="shared" si="62"/>
        <v>0</v>
      </c>
      <c r="L31" s="265">
        <f t="shared" si="1"/>
        <v>0</v>
      </c>
      <c r="M31" s="265">
        <f t="shared" si="2"/>
        <v>0</v>
      </c>
      <c r="N31" s="265">
        <f t="shared" si="3"/>
        <v>0</v>
      </c>
      <c r="O31" s="265">
        <f t="shared" si="4"/>
        <v>0</v>
      </c>
      <c r="P31" s="265">
        <f t="shared" si="5"/>
        <v>0</v>
      </c>
      <c r="Q31" s="265">
        <f t="shared" si="6"/>
        <v>0</v>
      </c>
      <c r="R31" s="265">
        <f t="shared" si="7"/>
        <v>0</v>
      </c>
      <c r="S31" s="265">
        <f t="shared" si="8"/>
        <v>0</v>
      </c>
      <c r="T31" s="265">
        <f t="shared" si="9"/>
        <v>0</v>
      </c>
      <c r="U31" s="265">
        <f t="shared" si="10"/>
        <v>0</v>
      </c>
      <c r="V31" s="265">
        <f t="shared" si="11"/>
        <v>0</v>
      </c>
      <c r="W31" s="265">
        <f t="shared" si="12"/>
        <v>0</v>
      </c>
      <c r="X31" s="265">
        <f t="shared" si="13"/>
        <v>0</v>
      </c>
      <c r="Y31" s="265">
        <f t="shared" si="14"/>
        <v>0</v>
      </c>
      <c r="Z31" s="265">
        <f t="shared" si="15"/>
        <v>0</v>
      </c>
      <c r="AA31" s="265">
        <f t="shared" si="16"/>
        <v>0</v>
      </c>
      <c r="AB31" s="265">
        <f t="shared" si="63"/>
        <v>0</v>
      </c>
      <c r="AC31" s="265">
        <f t="shared" si="64"/>
        <v>0</v>
      </c>
      <c r="AD31" s="265">
        <f t="shared" si="17"/>
        <v>0</v>
      </c>
      <c r="AE31" s="265">
        <f t="shared" si="18"/>
        <v>0</v>
      </c>
      <c r="AF31" s="265">
        <f t="shared" si="19"/>
        <v>0</v>
      </c>
      <c r="AG31" s="265">
        <f t="shared" si="20"/>
        <v>0</v>
      </c>
      <c r="AH31" s="265">
        <f t="shared" si="65"/>
        <v>0</v>
      </c>
      <c r="AI31" s="265">
        <f t="shared" si="66"/>
        <v>0</v>
      </c>
      <c r="AJ31" s="265">
        <f t="shared" si="67"/>
        <v>0</v>
      </c>
      <c r="AK31" s="265">
        <f t="shared" si="68"/>
        <v>0</v>
      </c>
      <c r="AL31" s="265">
        <f t="shared" si="69"/>
        <v>0</v>
      </c>
      <c r="AM31" s="265">
        <f t="shared" si="70"/>
        <v>0</v>
      </c>
      <c r="AN31" s="265">
        <f t="shared" si="71"/>
        <v>0</v>
      </c>
      <c r="AO31" s="265">
        <f t="shared" si="72"/>
        <v>0</v>
      </c>
      <c r="AP31" s="265">
        <f t="shared" si="21"/>
        <v>0</v>
      </c>
      <c r="AQ31" s="265">
        <f t="shared" si="22"/>
        <v>0</v>
      </c>
      <c r="AR31" s="265">
        <f t="shared" si="23"/>
        <v>0</v>
      </c>
      <c r="AS31" s="265">
        <f t="shared" si="24"/>
        <v>0</v>
      </c>
      <c r="AT31" s="265">
        <f t="shared" si="73"/>
        <v>0</v>
      </c>
      <c r="AU31" s="265">
        <f t="shared" si="74"/>
        <v>0</v>
      </c>
      <c r="AV31" s="265">
        <f t="shared" si="25"/>
        <v>0</v>
      </c>
      <c r="AW31" s="265">
        <f t="shared" si="26"/>
        <v>0</v>
      </c>
      <c r="AX31" s="265">
        <f t="shared" si="27"/>
        <v>0</v>
      </c>
      <c r="AY31" s="265">
        <f t="shared" si="28"/>
        <v>0</v>
      </c>
      <c r="AZ31" s="265">
        <f t="shared" si="29"/>
        <v>0</v>
      </c>
      <c r="BA31" s="265">
        <f t="shared" si="30"/>
        <v>0</v>
      </c>
      <c r="BB31" s="265">
        <f t="shared" si="31"/>
        <v>0</v>
      </c>
      <c r="BC31" s="265">
        <f t="shared" si="32"/>
        <v>0</v>
      </c>
      <c r="BD31" s="265">
        <f t="shared" si="33"/>
        <v>0</v>
      </c>
      <c r="BE31" s="265">
        <f t="shared" si="34"/>
        <v>0</v>
      </c>
      <c r="BF31" s="265">
        <f t="shared" si="35"/>
        <v>0</v>
      </c>
      <c r="BG31" s="265">
        <f t="shared" si="36"/>
        <v>0</v>
      </c>
      <c r="BH31" s="265">
        <f t="shared" si="75"/>
        <v>0</v>
      </c>
      <c r="BI31" s="265">
        <f t="shared" si="76"/>
        <v>0</v>
      </c>
      <c r="BJ31" s="265">
        <f t="shared" si="37"/>
        <v>0</v>
      </c>
      <c r="BK31" s="265">
        <f t="shared" si="38"/>
        <v>0</v>
      </c>
      <c r="BL31" s="265">
        <f t="shared" si="39"/>
        <v>0</v>
      </c>
      <c r="BM31" s="265">
        <f t="shared" si="40"/>
        <v>0</v>
      </c>
      <c r="BN31" s="265">
        <f t="shared" si="41"/>
        <v>0</v>
      </c>
      <c r="BO31" s="265">
        <f t="shared" si="42"/>
        <v>0</v>
      </c>
      <c r="BP31" s="265">
        <f t="shared" si="77"/>
        <v>0</v>
      </c>
      <c r="BQ31" s="265">
        <f t="shared" si="78"/>
        <v>0</v>
      </c>
      <c r="BR31" s="265">
        <f t="shared" si="43"/>
        <v>0</v>
      </c>
      <c r="BS31" s="265">
        <f t="shared" si="44"/>
        <v>0</v>
      </c>
      <c r="BT31" s="265">
        <f t="shared" si="79"/>
        <v>0</v>
      </c>
      <c r="BU31" s="265">
        <f t="shared" si="80"/>
        <v>0</v>
      </c>
      <c r="BV31" s="265">
        <f t="shared" si="81"/>
        <v>0</v>
      </c>
      <c r="BW31" s="265">
        <f t="shared" si="82"/>
        <v>0</v>
      </c>
      <c r="BX31" s="265">
        <f t="shared" si="45"/>
        <v>0</v>
      </c>
      <c r="BY31" s="265">
        <f t="shared" si="46"/>
        <v>0</v>
      </c>
      <c r="BZ31" s="265">
        <f t="shared" si="47"/>
        <v>0</v>
      </c>
      <c r="CA31" s="265">
        <f t="shared" si="48"/>
        <v>0</v>
      </c>
      <c r="CB31" s="265">
        <f t="shared" si="49"/>
        <v>0</v>
      </c>
      <c r="CC31" s="265">
        <f t="shared" si="50"/>
        <v>0</v>
      </c>
      <c r="CD31" s="265">
        <f t="shared" si="83"/>
        <v>0</v>
      </c>
      <c r="CE31" s="265">
        <f t="shared" si="84"/>
        <v>0</v>
      </c>
      <c r="CF31" s="265">
        <f t="shared" si="85"/>
        <v>0</v>
      </c>
      <c r="CG31" s="265">
        <f t="shared" si="86"/>
        <v>0</v>
      </c>
      <c r="CH31" s="265">
        <f t="shared" si="51"/>
        <v>0</v>
      </c>
      <c r="CI31" s="265">
        <f t="shared" si="52"/>
        <v>0</v>
      </c>
      <c r="CJ31" s="265">
        <f t="shared" si="87"/>
        <v>0</v>
      </c>
      <c r="CK31" s="265">
        <f t="shared" si="88"/>
        <v>0</v>
      </c>
      <c r="CL31" s="265">
        <f t="shared" si="53"/>
        <v>0</v>
      </c>
      <c r="CM31" s="265">
        <f t="shared" si="54"/>
        <v>0</v>
      </c>
      <c r="CN31" s="265">
        <f t="shared" si="55"/>
        <v>0</v>
      </c>
      <c r="CO31" s="265">
        <f t="shared" si="56"/>
        <v>0</v>
      </c>
      <c r="CP31" s="265">
        <f t="shared" si="89"/>
        <v>0</v>
      </c>
      <c r="CQ31" s="265">
        <f t="shared" si="90"/>
        <v>0</v>
      </c>
      <c r="CR31" s="265">
        <f t="shared" si="91"/>
        <v>0</v>
      </c>
      <c r="CS31" s="265">
        <f t="shared" si="92"/>
        <v>0</v>
      </c>
      <c r="CT31" s="265">
        <f t="shared" si="57"/>
        <v>0</v>
      </c>
      <c r="CU31" s="265">
        <f t="shared" si="58"/>
        <v>0</v>
      </c>
      <c r="CV31" s="265">
        <f t="shared" si="59"/>
        <v>0</v>
      </c>
      <c r="CW31" s="265">
        <f t="shared" si="60"/>
        <v>0</v>
      </c>
      <c r="CX31" s="265">
        <f t="shared" si="93"/>
        <v>0</v>
      </c>
      <c r="CY31" s="265">
        <f t="shared" si="94"/>
        <v>0</v>
      </c>
      <c r="CZ31" s="265">
        <f t="shared" si="95"/>
        <v>0</v>
      </c>
      <c r="DA31" s="265">
        <f t="shared" si="96"/>
        <v>0</v>
      </c>
    </row>
    <row r="32" spans="1:105" s="262" customFormat="1" ht="16.5" customHeight="1">
      <c r="A32" s="63" t="str">
        <f t="array" ref="A32">IF(C32&lt;&gt;0,SUM(($C$11:C32&lt;&gt;0)*1),"")</f>
        <v/>
      </c>
      <c r="B32" s="263"/>
      <c r="C32" s="263"/>
      <c r="D32" s="263"/>
      <c r="E32" s="344"/>
      <c r="F32" s="314"/>
      <c r="G32" s="316"/>
      <c r="H32" s="316"/>
      <c r="I32" s="63" t="str">
        <f t="shared" si="0"/>
        <v/>
      </c>
      <c r="J32" s="265">
        <f t="shared" si="61"/>
        <v>0</v>
      </c>
      <c r="K32" s="265">
        <f t="shared" si="62"/>
        <v>0</v>
      </c>
      <c r="L32" s="265">
        <f t="shared" si="1"/>
        <v>0</v>
      </c>
      <c r="M32" s="265">
        <f t="shared" si="2"/>
        <v>0</v>
      </c>
      <c r="N32" s="265">
        <f t="shared" si="3"/>
        <v>0</v>
      </c>
      <c r="O32" s="265">
        <f t="shared" si="4"/>
        <v>0</v>
      </c>
      <c r="P32" s="265">
        <f t="shared" si="5"/>
        <v>0</v>
      </c>
      <c r="Q32" s="265">
        <f t="shared" si="6"/>
        <v>0</v>
      </c>
      <c r="R32" s="265">
        <f t="shared" si="7"/>
        <v>0</v>
      </c>
      <c r="S32" s="265">
        <f t="shared" si="8"/>
        <v>0</v>
      </c>
      <c r="T32" s="265">
        <f t="shared" si="9"/>
        <v>0</v>
      </c>
      <c r="U32" s="265">
        <f t="shared" si="10"/>
        <v>0</v>
      </c>
      <c r="V32" s="265">
        <f t="shared" si="11"/>
        <v>0</v>
      </c>
      <c r="W32" s="265">
        <f t="shared" si="12"/>
        <v>0</v>
      </c>
      <c r="X32" s="265">
        <f t="shared" si="13"/>
        <v>0</v>
      </c>
      <c r="Y32" s="265">
        <f t="shared" si="14"/>
        <v>0</v>
      </c>
      <c r="Z32" s="265">
        <f t="shared" si="15"/>
        <v>0</v>
      </c>
      <c r="AA32" s="265">
        <f t="shared" si="16"/>
        <v>0</v>
      </c>
      <c r="AB32" s="265">
        <f t="shared" si="63"/>
        <v>0</v>
      </c>
      <c r="AC32" s="265">
        <f t="shared" si="64"/>
        <v>0</v>
      </c>
      <c r="AD32" s="265">
        <f t="shared" si="17"/>
        <v>0</v>
      </c>
      <c r="AE32" s="265">
        <f t="shared" si="18"/>
        <v>0</v>
      </c>
      <c r="AF32" s="265">
        <f t="shared" si="19"/>
        <v>0</v>
      </c>
      <c r="AG32" s="265">
        <f t="shared" si="20"/>
        <v>0</v>
      </c>
      <c r="AH32" s="265">
        <f t="shared" si="65"/>
        <v>0</v>
      </c>
      <c r="AI32" s="265">
        <f t="shared" si="66"/>
        <v>0</v>
      </c>
      <c r="AJ32" s="265">
        <f t="shared" si="67"/>
        <v>0</v>
      </c>
      <c r="AK32" s="265">
        <f t="shared" si="68"/>
        <v>0</v>
      </c>
      <c r="AL32" s="265">
        <f t="shared" si="69"/>
        <v>0</v>
      </c>
      <c r="AM32" s="265">
        <f t="shared" si="70"/>
        <v>0</v>
      </c>
      <c r="AN32" s="265">
        <f t="shared" si="71"/>
        <v>0</v>
      </c>
      <c r="AO32" s="265">
        <f t="shared" si="72"/>
        <v>0</v>
      </c>
      <c r="AP32" s="265">
        <f t="shared" si="21"/>
        <v>0</v>
      </c>
      <c r="AQ32" s="265">
        <f t="shared" si="22"/>
        <v>0</v>
      </c>
      <c r="AR32" s="265">
        <f t="shared" si="23"/>
        <v>0</v>
      </c>
      <c r="AS32" s="265">
        <f t="shared" si="24"/>
        <v>0</v>
      </c>
      <c r="AT32" s="265">
        <f t="shared" si="73"/>
        <v>0</v>
      </c>
      <c r="AU32" s="265">
        <f t="shared" si="74"/>
        <v>0</v>
      </c>
      <c r="AV32" s="265">
        <f t="shared" si="25"/>
        <v>0</v>
      </c>
      <c r="AW32" s="265">
        <f t="shared" si="26"/>
        <v>0</v>
      </c>
      <c r="AX32" s="265">
        <f t="shared" si="27"/>
        <v>0</v>
      </c>
      <c r="AY32" s="265">
        <f t="shared" si="28"/>
        <v>0</v>
      </c>
      <c r="AZ32" s="265">
        <f t="shared" si="29"/>
        <v>0</v>
      </c>
      <c r="BA32" s="265">
        <f t="shared" si="30"/>
        <v>0</v>
      </c>
      <c r="BB32" s="265">
        <f t="shared" si="31"/>
        <v>0</v>
      </c>
      <c r="BC32" s="265">
        <f t="shared" si="32"/>
        <v>0</v>
      </c>
      <c r="BD32" s="265">
        <f t="shared" si="33"/>
        <v>0</v>
      </c>
      <c r="BE32" s="265">
        <f t="shared" si="34"/>
        <v>0</v>
      </c>
      <c r="BF32" s="265">
        <f t="shared" si="35"/>
        <v>0</v>
      </c>
      <c r="BG32" s="265">
        <f t="shared" si="36"/>
        <v>0</v>
      </c>
      <c r="BH32" s="265">
        <f t="shared" si="75"/>
        <v>0</v>
      </c>
      <c r="BI32" s="265">
        <f t="shared" si="76"/>
        <v>0</v>
      </c>
      <c r="BJ32" s="265">
        <f t="shared" si="37"/>
        <v>0</v>
      </c>
      <c r="BK32" s="265">
        <f t="shared" si="38"/>
        <v>0</v>
      </c>
      <c r="BL32" s="265">
        <f t="shared" si="39"/>
        <v>0</v>
      </c>
      <c r="BM32" s="265">
        <f t="shared" si="40"/>
        <v>0</v>
      </c>
      <c r="BN32" s="265">
        <f t="shared" si="41"/>
        <v>0</v>
      </c>
      <c r="BO32" s="265">
        <f t="shared" si="42"/>
        <v>0</v>
      </c>
      <c r="BP32" s="265">
        <f t="shared" si="77"/>
        <v>0</v>
      </c>
      <c r="BQ32" s="265">
        <f t="shared" si="78"/>
        <v>0</v>
      </c>
      <c r="BR32" s="265">
        <f t="shared" si="43"/>
        <v>0</v>
      </c>
      <c r="BS32" s="265">
        <f t="shared" si="44"/>
        <v>0</v>
      </c>
      <c r="BT32" s="265">
        <f t="shared" si="79"/>
        <v>0</v>
      </c>
      <c r="BU32" s="265">
        <f t="shared" si="80"/>
        <v>0</v>
      </c>
      <c r="BV32" s="265">
        <f t="shared" si="81"/>
        <v>0</v>
      </c>
      <c r="BW32" s="265">
        <f t="shared" si="82"/>
        <v>0</v>
      </c>
      <c r="BX32" s="265">
        <f t="shared" si="45"/>
        <v>0</v>
      </c>
      <c r="BY32" s="265">
        <f t="shared" si="46"/>
        <v>0</v>
      </c>
      <c r="BZ32" s="265">
        <f t="shared" si="47"/>
        <v>0</v>
      </c>
      <c r="CA32" s="265">
        <f t="shared" si="48"/>
        <v>0</v>
      </c>
      <c r="CB32" s="265">
        <f t="shared" si="49"/>
        <v>0</v>
      </c>
      <c r="CC32" s="265">
        <f t="shared" si="50"/>
        <v>0</v>
      </c>
      <c r="CD32" s="265">
        <f t="shared" si="83"/>
        <v>0</v>
      </c>
      <c r="CE32" s="265">
        <f t="shared" si="84"/>
        <v>0</v>
      </c>
      <c r="CF32" s="265">
        <f t="shared" si="85"/>
        <v>0</v>
      </c>
      <c r="CG32" s="265">
        <f t="shared" si="86"/>
        <v>0</v>
      </c>
      <c r="CH32" s="265">
        <f t="shared" si="51"/>
        <v>0</v>
      </c>
      <c r="CI32" s="265">
        <f t="shared" si="52"/>
        <v>0</v>
      </c>
      <c r="CJ32" s="265">
        <f t="shared" si="87"/>
        <v>0</v>
      </c>
      <c r="CK32" s="265">
        <f t="shared" si="88"/>
        <v>0</v>
      </c>
      <c r="CL32" s="265">
        <f t="shared" si="53"/>
        <v>0</v>
      </c>
      <c r="CM32" s="265">
        <f t="shared" si="54"/>
        <v>0</v>
      </c>
      <c r="CN32" s="265">
        <f t="shared" si="55"/>
        <v>0</v>
      </c>
      <c r="CO32" s="265">
        <f t="shared" si="56"/>
        <v>0</v>
      </c>
      <c r="CP32" s="265">
        <f t="shared" si="89"/>
        <v>0</v>
      </c>
      <c r="CQ32" s="265">
        <f t="shared" si="90"/>
        <v>0</v>
      </c>
      <c r="CR32" s="265">
        <f t="shared" si="91"/>
        <v>0</v>
      </c>
      <c r="CS32" s="265">
        <f t="shared" si="92"/>
        <v>0</v>
      </c>
      <c r="CT32" s="265">
        <f t="shared" si="57"/>
        <v>0</v>
      </c>
      <c r="CU32" s="265">
        <f t="shared" si="58"/>
        <v>0</v>
      </c>
      <c r="CV32" s="265">
        <f t="shared" si="59"/>
        <v>0</v>
      </c>
      <c r="CW32" s="265">
        <f t="shared" si="60"/>
        <v>0</v>
      </c>
      <c r="CX32" s="265">
        <f t="shared" si="93"/>
        <v>0</v>
      </c>
      <c r="CY32" s="265">
        <f t="shared" si="94"/>
        <v>0</v>
      </c>
      <c r="CZ32" s="265">
        <f t="shared" si="95"/>
        <v>0</v>
      </c>
      <c r="DA32" s="265">
        <f t="shared" si="96"/>
        <v>0</v>
      </c>
    </row>
    <row r="33" spans="1:105" s="262" customFormat="1" ht="16.5" customHeight="1">
      <c r="A33" s="63" t="str">
        <f t="array" ref="A33">IF(C33&lt;&gt;0,SUM(($C$11:C33&lt;&gt;0)*1),"")</f>
        <v/>
      </c>
      <c r="B33" s="263"/>
      <c r="C33" s="263"/>
      <c r="D33" s="263"/>
      <c r="E33" s="344"/>
      <c r="F33" s="314"/>
      <c r="G33" s="316"/>
      <c r="H33" s="316"/>
      <c r="I33" s="63" t="str">
        <f t="shared" si="0"/>
        <v/>
      </c>
      <c r="J33" s="265">
        <f t="shared" si="61"/>
        <v>0</v>
      </c>
      <c r="K33" s="265">
        <f t="shared" si="62"/>
        <v>0</v>
      </c>
      <c r="L33" s="265">
        <f t="shared" si="1"/>
        <v>0</v>
      </c>
      <c r="M33" s="265">
        <f t="shared" si="2"/>
        <v>0</v>
      </c>
      <c r="N33" s="265">
        <f t="shared" si="3"/>
        <v>0</v>
      </c>
      <c r="O33" s="265">
        <f t="shared" si="4"/>
        <v>0</v>
      </c>
      <c r="P33" s="265">
        <f t="shared" si="5"/>
        <v>0</v>
      </c>
      <c r="Q33" s="265">
        <f t="shared" si="6"/>
        <v>0</v>
      </c>
      <c r="R33" s="265">
        <f t="shared" si="7"/>
        <v>0</v>
      </c>
      <c r="S33" s="265">
        <f t="shared" si="8"/>
        <v>0</v>
      </c>
      <c r="T33" s="265">
        <f t="shared" si="9"/>
        <v>0</v>
      </c>
      <c r="U33" s="265">
        <f t="shared" si="10"/>
        <v>0</v>
      </c>
      <c r="V33" s="265">
        <f t="shared" si="11"/>
        <v>0</v>
      </c>
      <c r="W33" s="265">
        <f t="shared" si="12"/>
        <v>0</v>
      </c>
      <c r="X33" s="265">
        <f t="shared" si="13"/>
        <v>0</v>
      </c>
      <c r="Y33" s="265">
        <f t="shared" si="14"/>
        <v>0</v>
      </c>
      <c r="Z33" s="265">
        <f t="shared" si="15"/>
        <v>0</v>
      </c>
      <c r="AA33" s="265">
        <f t="shared" si="16"/>
        <v>0</v>
      </c>
      <c r="AB33" s="265">
        <f t="shared" si="63"/>
        <v>0</v>
      </c>
      <c r="AC33" s="265">
        <f t="shared" si="64"/>
        <v>0</v>
      </c>
      <c r="AD33" s="265">
        <f t="shared" si="17"/>
        <v>0</v>
      </c>
      <c r="AE33" s="265">
        <f t="shared" si="18"/>
        <v>0</v>
      </c>
      <c r="AF33" s="265">
        <f t="shared" si="19"/>
        <v>0</v>
      </c>
      <c r="AG33" s="265">
        <f t="shared" si="20"/>
        <v>0</v>
      </c>
      <c r="AH33" s="265">
        <f t="shared" si="65"/>
        <v>0</v>
      </c>
      <c r="AI33" s="265">
        <f t="shared" si="66"/>
        <v>0</v>
      </c>
      <c r="AJ33" s="265">
        <f t="shared" si="67"/>
        <v>0</v>
      </c>
      <c r="AK33" s="265">
        <f t="shared" si="68"/>
        <v>0</v>
      </c>
      <c r="AL33" s="265">
        <f t="shared" si="69"/>
        <v>0</v>
      </c>
      <c r="AM33" s="265">
        <f t="shared" si="70"/>
        <v>0</v>
      </c>
      <c r="AN33" s="265">
        <f t="shared" si="71"/>
        <v>0</v>
      </c>
      <c r="AO33" s="265">
        <f t="shared" si="72"/>
        <v>0</v>
      </c>
      <c r="AP33" s="265">
        <f t="shared" si="21"/>
        <v>0</v>
      </c>
      <c r="AQ33" s="265">
        <f t="shared" si="22"/>
        <v>0</v>
      </c>
      <c r="AR33" s="265">
        <f t="shared" si="23"/>
        <v>0</v>
      </c>
      <c r="AS33" s="265">
        <f t="shared" si="24"/>
        <v>0</v>
      </c>
      <c r="AT33" s="265">
        <f t="shared" si="73"/>
        <v>0</v>
      </c>
      <c r="AU33" s="265">
        <f t="shared" si="74"/>
        <v>0</v>
      </c>
      <c r="AV33" s="265">
        <f t="shared" si="25"/>
        <v>0</v>
      </c>
      <c r="AW33" s="265">
        <f t="shared" si="26"/>
        <v>0</v>
      </c>
      <c r="AX33" s="265">
        <f t="shared" si="27"/>
        <v>0</v>
      </c>
      <c r="AY33" s="265">
        <f t="shared" si="28"/>
        <v>0</v>
      </c>
      <c r="AZ33" s="265">
        <f t="shared" si="29"/>
        <v>0</v>
      </c>
      <c r="BA33" s="265">
        <f t="shared" si="30"/>
        <v>0</v>
      </c>
      <c r="BB33" s="265">
        <f t="shared" si="31"/>
        <v>0</v>
      </c>
      <c r="BC33" s="265">
        <f t="shared" si="32"/>
        <v>0</v>
      </c>
      <c r="BD33" s="265">
        <f t="shared" si="33"/>
        <v>0</v>
      </c>
      <c r="BE33" s="265">
        <f t="shared" si="34"/>
        <v>0</v>
      </c>
      <c r="BF33" s="265">
        <f t="shared" si="35"/>
        <v>0</v>
      </c>
      <c r="BG33" s="265">
        <f t="shared" si="36"/>
        <v>0</v>
      </c>
      <c r="BH33" s="265">
        <f t="shared" si="75"/>
        <v>0</v>
      </c>
      <c r="BI33" s="265">
        <f t="shared" si="76"/>
        <v>0</v>
      </c>
      <c r="BJ33" s="265">
        <f t="shared" si="37"/>
        <v>0</v>
      </c>
      <c r="BK33" s="265">
        <f t="shared" si="38"/>
        <v>0</v>
      </c>
      <c r="BL33" s="265">
        <f t="shared" si="39"/>
        <v>0</v>
      </c>
      <c r="BM33" s="265">
        <f t="shared" si="40"/>
        <v>0</v>
      </c>
      <c r="BN33" s="265">
        <f t="shared" si="41"/>
        <v>0</v>
      </c>
      <c r="BO33" s="265">
        <f t="shared" si="42"/>
        <v>0</v>
      </c>
      <c r="BP33" s="265">
        <f t="shared" si="77"/>
        <v>0</v>
      </c>
      <c r="BQ33" s="265">
        <f t="shared" si="78"/>
        <v>0</v>
      </c>
      <c r="BR33" s="265">
        <f t="shared" si="43"/>
        <v>0</v>
      </c>
      <c r="BS33" s="265">
        <f t="shared" si="44"/>
        <v>0</v>
      </c>
      <c r="BT33" s="265">
        <f t="shared" si="79"/>
        <v>0</v>
      </c>
      <c r="BU33" s="265">
        <f t="shared" si="80"/>
        <v>0</v>
      </c>
      <c r="BV33" s="265">
        <f t="shared" si="81"/>
        <v>0</v>
      </c>
      <c r="BW33" s="265">
        <f t="shared" si="82"/>
        <v>0</v>
      </c>
      <c r="BX33" s="265">
        <f t="shared" si="45"/>
        <v>0</v>
      </c>
      <c r="BY33" s="265">
        <f t="shared" si="46"/>
        <v>0</v>
      </c>
      <c r="BZ33" s="265">
        <f t="shared" si="47"/>
        <v>0</v>
      </c>
      <c r="CA33" s="265">
        <f t="shared" si="48"/>
        <v>0</v>
      </c>
      <c r="CB33" s="265">
        <f t="shared" si="49"/>
        <v>0</v>
      </c>
      <c r="CC33" s="265">
        <f t="shared" si="50"/>
        <v>0</v>
      </c>
      <c r="CD33" s="265">
        <f t="shared" si="83"/>
        <v>0</v>
      </c>
      <c r="CE33" s="265">
        <f t="shared" si="84"/>
        <v>0</v>
      </c>
      <c r="CF33" s="265">
        <f t="shared" si="85"/>
        <v>0</v>
      </c>
      <c r="CG33" s="265">
        <f t="shared" si="86"/>
        <v>0</v>
      </c>
      <c r="CH33" s="265">
        <f t="shared" si="51"/>
        <v>0</v>
      </c>
      <c r="CI33" s="265">
        <f t="shared" si="52"/>
        <v>0</v>
      </c>
      <c r="CJ33" s="265">
        <f t="shared" si="87"/>
        <v>0</v>
      </c>
      <c r="CK33" s="265">
        <f t="shared" si="88"/>
        <v>0</v>
      </c>
      <c r="CL33" s="265">
        <f t="shared" si="53"/>
        <v>0</v>
      </c>
      <c r="CM33" s="265">
        <f t="shared" si="54"/>
        <v>0</v>
      </c>
      <c r="CN33" s="265">
        <f t="shared" si="55"/>
        <v>0</v>
      </c>
      <c r="CO33" s="265">
        <f t="shared" si="56"/>
        <v>0</v>
      </c>
      <c r="CP33" s="265">
        <f t="shared" si="89"/>
        <v>0</v>
      </c>
      <c r="CQ33" s="265">
        <f t="shared" si="90"/>
        <v>0</v>
      </c>
      <c r="CR33" s="265">
        <f t="shared" si="91"/>
        <v>0</v>
      </c>
      <c r="CS33" s="265">
        <f t="shared" si="92"/>
        <v>0</v>
      </c>
      <c r="CT33" s="265">
        <f t="shared" si="57"/>
        <v>0</v>
      </c>
      <c r="CU33" s="265">
        <f t="shared" si="58"/>
        <v>0</v>
      </c>
      <c r="CV33" s="265">
        <f t="shared" si="59"/>
        <v>0</v>
      </c>
      <c r="CW33" s="265">
        <f t="shared" si="60"/>
        <v>0</v>
      </c>
      <c r="CX33" s="265">
        <f t="shared" si="93"/>
        <v>0</v>
      </c>
      <c r="CY33" s="265">
        <f t="shared" si="94"/>
        <v>0</v>
      </c>
      <c r="CZ33" s="265">
        <f t="shared" si="95"/>
        <v>0</v>
      </c>
      <c r="DA33" s="265">
        <f t="shared" si="96"/>
        <v>0</v>
      </c>
    </row>
    <row r="34" spans="1:105" s="262" customFormat="1" ht="16.5" customHeight="1">
      <c r="A34" s="63" t="str">
        <f t="array" ref="A34">IF(C34&lt;&gt;0,SUM(($C$11:C34&lt;&gt;0)*1),"")</f>
        <v/>
      </c>
      <c r="B34" s="263"/>
      <c r="C34" s="263"/>
      <c r="D34" s="263"/>
      <c r="E34" s="344"/>
      <c r="F34" s="314"/>
      <c r="G34" s="316"/>
      <c r="H34" s="316"/>
      <c r="I34" s="63" t="str">
        <f t="shared" si="0"/>
        <v/>
      </c>
      <c r="J34" s="265">
        <f t="shared" si="61"/>
        <v>0</v>
      </c>
      <c r="K34" s="265">
        <f t="shared" si="62"/>
        <v>0</v>
      </c>
      <c r="L34" s="265">
        <f t="shared" si="1"/>
        <v>0</v>
      </c>
      <c r="M34" s="265">
        <f t="shared" si="2"/>
        <v>0</v>
      </c>
      <c r="N34" s="265">
        <f t="shared" si="3"/>
        <v>0</v>
      </c>
      <c r="O34" s="265">
        <f t="shared" si="4"/>
        <v>0</v>
      </c>
      <c r="P34" s="265">
        <f t="shared" si="5"/>
        <v>0</v>
      </c>
      <c r="Q34" s="265">
        <f t="shared" si="6"/>
        <v>0</v>
      </c>
      <c r="R34" s="265">
        <f t="shared" si="7"/>
        <v>0</v>
      </c>
      <c r="S34" s="265">
        <f t="shared" si="8"/>
        <v>0</v>
      </c>
      <c r="T34" s="265">
        <f t="shared" si="9"/>
        <v>0</v>
      </c>
      <c r="U34" s="265">
        <f t="shared" si="10"/>
        <v>0</v>
      </c>
      <c r="V34" s="265">
        <f t="shared" si="11"/>
        <v>0</v>
      </c>
      <c r="W34" s="265">
        <f t="shared" si="12"/>
        <v>0</v>
      </c>
      <c r="X34" s="265">
        <f t="shared" si="13"/>
        <v>0</v>
      </c>
      <c r="Y34" s="265">
        <f t="shared" si="14"/>
        <v>0</v>
      </c>
      <c r="Z34" s="265">
        <f t="shared" si="15"/>
        <v>0</v>
      </c>
      <c r="AA34" s="265">
        <f t="shared" si="16"/>
        <v>0</v>
      </c>
      <c r="AB34" s="265">
        <f t="shared" si="63"/>
        <v>0</v>
      </c>
      <c r="AC34" s="265">
        <f t="shared" si="64"/>
        <v>0</v>
      </c>
      <c r="AD34" s="265">
        <f t="shared" si="17"/>
        <v>0</v>
      </c>
      <c r="AE34" s="265">
        <f t="shared" si="18"/>
        <v>0</v>
      </c>
      <c r="AF34" s="265">
        <f t="shared" si="19"/>
        <v>0</v>
      </c>
      <c r="AG34" s="265">
        <f t="shared" si="20"/>
        <v>0</v>
      </c>
      <c r="AH34" s="265">
        <f t="shared" si="65"/>
        <v>0</v>
      </c>
      <c r="AI34" s="265">
        <f t="shared" si="66"/>
        <v>0</v>
      </c>
      <c r="AJ34" s="265">
        <f t="shared" si="67"/>
        <v>0</v>
      </c>
      <c r="AK34" s="265">
        <f t="shared" si="68"/>
        <v>0</v>
      </c>
      <c r="AL34" s="265">
        <f t="shared" si="69"/>
        <v>0</v>
      </c>
      <c r="AM34" s="265">
        <f t="shared" si="70"/>
        <v>0</v>
      </c>
      <c r="AN34" s="265">
        <f t="shared" si="71"/>
        <v>0</v>
      </c>
      <c r="AO34" s="265">
        <f t="shared" si="72"/>
        <v>0</v>
      </c>
      <c r="AP34" s="265">
        <f t="shared" si="21"/>
        <v>0</v>
      </c>
      <c r="AQ34" s="265">
        <f t="shared" si="22"/>
        <v>0</v>
      </c>
      <c r="AR34" s="265">
        <f t="shared" si="23"/>
        <v>0</v>
      </c>
      <c r="AS34" s="265">
        <f t="shared" si="24"/>
        <v>0</v>
      </c>
      <c r="AT34" s="265">
        <f t="shared" si="73"/>
        <v>0</v>
      </c>
      <c r="AU34" s="265">
        <f t="shared" si="74"/>
        <v>0</v>
      </c>
      <c r="AV34" s="265">
        <f t="shared" si="25"/>
        <v>0</v>
      </c>
      <c r="AW34" s="265">
        <f t="shared" si="26"/>
        <v>0</v>
      </c>
      <c r="AX34" s="265">
        <f t="shared" si="27"/>
        <v>0</v>
      </c>
      <c r="AY34" s="265">
        <f t="shared" si="28"/>
        <v>0</v>
      </c>
      <c r="AZ34" s="265">
        <f t="shared" si="29"/>
        <v>0</v>
      </c>
      <c r="BA34" s="265">
        <f t="shared" si="30"/>
        <v>0</v>
      </c>
      <c r="BB34" s="265">
        <f t="shared" si="31"/>
        <v>0</v>
      </c>
      <c r="BC34" s="265">
        <f t="shared" si="32"/>
        <v>0</v>
      </c>
      <c r="BD34" s="265">
        <f t="shared" si="33"/>
        <v>0</v>
      </c>
      <c r="BE34" s="265">
        <f t="shared" si="34"/>
        <v>0</v>
      </c>
      <c r="BF34" s="265">
        <f t="shared" si="35"/>
        <v>0</v>
      </c>
      <c r="BG34" s="265">
        <f t="shared" si="36"/>
        <v>0</v>
      </c>
      <c r="BH34" s="265">
        <f t="shared" si="75"/>
        <v>0</v>
      </c>
      <c r="BI34" s="265">
        <f t="shared" si="76"/>
        <v>0</v>
      </c>
      <c r="BJ34" s="265">
        <f t="shared" si="37"/>
        <v>0</v>
      </c>
      <c r="BK34" s="265">
        <f t="shared" si="38"/>
        <v>0</v>
      </c>
      <c r="BL34" s="265">
        <f t="shared" si="39"/>
        <v>0</v>
      </c>
      <c r="BM34" s="265">
        <f t="shared" si="40"/>
        <v>0</v>
      </c>
      <c r="BN34" s="265">
        <f t="shared" si="41"/>
        <v>0</v>
      </c>
      <c r="BO34" s="265">
        <f t="shared" si="42"/>
        <v>0</v>
      </c>
      <c r="BP34" s="265">
        <f t="shared" si="77"/>
        <v>0</v>
      </c>
      <c r="BQ34" s="265">
        <f t="shared" si="78"/>
        <v>0</v>
      </c>
      <c r="BR34" s="265">
        <f t="shared" si="43"/>
        <v>0</v>
      </c>
      <c r="BS34" s="265">
        <f t="shared" si="44"/>
        <v>0</v>
      </c>
      <c r="BT34" s="265">
        <f t="shared" si="79"/>
        <v>0</v>
      </c>
      <c r="BU34" s="265">
        <f t="shared" si="80"/>
        <v>0</v>
      </c>
      <c r="BV34" s="265">
        <f t="shared" si="81"/>
        <v>0</v>
      </c>
      <c r="BW34" s="265">
        <f t="shared" si="82"/>
        <v>0</v>
      </c>
      <c r="BX34" s="265">
        <f t="shared" si="45"/>
        <v>0</v>
      </c>
      <c r="BY34" s="265">
        <f t="shared" si="46"/>
        <v>0</v>
      </c>
      <c r="BZ34" s="265">
        <f t="shared" si="47"/>
        <v>0</v>
      </c>
      <c r="CA34" s="265">
        <f t="shared" si="48"/>
        <v>0</v>
      </c>
      <c r="CB34" s="265">
        <f t="shared" si="49"/>
        <v>0</v>
      </c>
      <c r="CC34" s="265">
        <f t="shared" si="50"/>
        <v>0</v>
      </c>
      <c r="CD34" s="265">
        <f t="shared" si="83"/>
        <v>0</v>
      </c>
      <c r="CE34" s="265">
        <f t="shared" si="84"/>
        <v>0</v>
      </c>
      <c r="CF34" s="265">
        <f t="shared" si="85"/>
        <v>0</v>
      </c>
      <c r="CG34" s="265">
        <f t="shared" si="86"/>
        <v>0</v>
      </c>
      <c r="CH34" s="265">
        <f t="shared" si="51"/>
        <v>0</v>
      </c>
      <c r="CI34" s="265">
        <f t="shared" si="52"/>
        <v>0</v>
      </c>
      <c r="CJ34" s="265">
        <f t="shared" si="87"/>
        <v>0</v>
      </c>
      <c r="CK34" s="265">
        <f t="shared" si="88"/>
        <v>0</v>
      </c>
      <c r="CL34" s="265">
        <f t="shared" si="53"/>
        <v>0</v>
      </c>
      <c r="CM34" s="265">
        <f t="shared" si="54"/>
        <v>0</v>
      </c>
      <c r="CN34" s="265">
        <f t="shared" si="55"/>
        <v>0</v>
      </c>
      <c r="CO34" s="265">
        <f t="shared" si="56"/>
        <v>0</v>
      </c>
      <c r="CP34" s="265">
        <f t="shared" si="89"/>
        <v>0</v>
      </c>
      <c r="CQ34" s="265">
        <f t="shared" si="90"/>
        <v>0</v>
      </c>
      <c r="CR34" s="265">
        <f t="shared" si="91"/>
        <v>0</v>
      </c>
      <c r="CS34" s="265">
        <f t="shared" si="92"/>
        <v>0</v>
      </c>
      <c r="CT34" s="265">
        <f t="shared" si="57"/>
        <v>0</v>
      </c>
      <c r="CU34" s="265">
        <f t="shared" si="58"/>
        <v>0</v>
      </c>
      <c r="CV34" s="265">
        <f t="shared" si="59"/>
        <v>0</v>
      </c>
      <c r="CW34" s="265">
        <f t="shared" si="60"/>
        <v>0</v>
      </c>
      <c r="CX34" s="265">
        <f t="shared" si="93"/>
        <v>0</v>
      </c>
      <c r="CY34" s="265">
        <f t="shared" si="94"/>
        <v>0</v>
      </c>
      <c r="CZ34" s="265">
        <f t="shared" si="95"/>
        <v>0</v>
      </c>
      <c r="DA34" s="265">
        <f t="shared" si="96"/>
        <v>0</v>
      </c>
    </row>
    <row r="35" spans="1:105" s="262" customFormat="1" ht="16.5" customHeight="1">
      <c r="A35" s="63" t="str">
        <f t="array" ref="A35">IF(C35&lt;&gt;0,SUM(($C$11:C35&lt;&gt;0)*1),"")</f>
        <v/>
      </c>
      <c r="B35" s="263"/>
      <c r="C35" s="263"/>
      <c r="D35" s="263"/>
      <c r="E35" s="344"/>
      <c r="F35" s="314"/>
      <c r="G35" s="316"/>
      <c r="H35" s="316"/>
      <c r="I35" s="63" t="str">
        <f t="shared" si="0"/>
        <v/>
      </c>
      <c r="J35" s="265">
        <f t="shared" si="61"/>
        <v>0</v>
      </c>
      <c r="K35" s="265">
        <f t="shared" si="62"/>
        <v>0</v>
      </c>
      <c r="L35" s="265">
        <f t="shared" si="1"/>
        <v>0</v>
      </c>
      <c r="M35" s="265">
        <f t="shared" si="2"/>
        <v>0</v>
      </c>
      <c r="N35" s="265">
        <f t="shared" si="3"/>
        <v>0</v>
      </c>
      <c r="O35" s="265">
        <f t="shared" si="4"/>
        <v>0</v>
      </c>
      <c r="P35" s="265">
        <f t="shared" si="5"/>
        <v>0</v>
      </c>
      <c r="Q35" s="265">
        <f t="shared" si="6"/>
        <v>0</v>
      </c>
      <c r="R35" s="265">
        <f t="shared" si="7"/>
        <v>0</v>
      </c>
      <c r="S35" s="265">
        <f t="shared" si="8"/>
        <v>0</v>
      </c>
      <c r="T35" s="265">
        <f t="shared" si="9"/>
        <v>0</v>
      </c>
      <c r="U35" s="265">
        <f t="shared" si="10"/>
        <v>0</v>
      </c>
      <c r="V35" s="265">
        <f t="shared" si="11"/>
        <v>0</v>
      </c>
      <c r="W35" s="265">
        <f t="shared" si="12"/>
        <v>0</v>
      </c>
      <c r="X35" s="265">
        <f t="shared" si="13"/>
        <v>0</v>
      </c>
      <c r="Y35" s="265">
        <f t="shared" si="14"/>
        <v>0</v>
      </c>
      <c r="Z35" s="265">
        <f t="shared" si="15"/>
        <v>0</v>
      </c>
      <c r="AA35" s="265">
        <f t="shared" si="16"/>
        <v>0</v>
      </c>
      <c r="AB35" s="265">
        <f t="shared" si="63"/>
        <v>0</v>
      </c>
      <c r="AC35" s="265">
        <f t="shared" si="64"/>
        <v>0</v>
      </c>
      <c r="AD35" s="265">
        <f t="shared" si="17"/>
        <v>0</v>
      </c>
      <c r="AE35" s="265">
        <f t="shared" si="18"/>
        <v>0</v>
      </c>
      <c r="AF35" s="265">
        <f t="shared" si="19"/>
        <v>0</v>
      </c>
      <c r="AG35" s="265">
        <f t="shared" si="20"/>
        <v>0</v>
      </c>
      <c r="AH35" s="265">
        <f t="shared" si="65"/>
        <v>0</v>
      </c>
      <c r="AI35" s="265">
        <f t="shared" si="66"/>
        <v>0</v>
      </c>
      <c r="AJ35" s="265">
        <f t="shared" si="67"/>
        <v>0</v>
      </c>
      <c r="AK35" s="265">
        <f t="shared" si="68"/>
        <v>0</v>
      </c>
      <c r="AL35" s="265">
        <f t="shared" si="69"/>
        <v>0</v>
      </c>
      <c r="AM35" s="265">
        <f t="shared" si="70"/>
        <v>0</v>
      </c>
      <c r="AN35" s="265">
        <f t="shared" si="71"/>
        <v>0</v>
      </c>
      <c r="AO35" s="265">
        <f t="shared" si="72"/>
        <v>0</v>
      </c>
      <c r="AP35" s="265">
        <f t="shared" si="21"/>
        <v>0</v>
      </c>
      <c r="AQ35" s="265">
        <f t="shared" si="22"/>
        <v>0</v>
      </c>
      <c r="AR35" s="265">
        <f t="shared" si="23"/>
        <v>0</v>
      </c>
      <c r="AS35" s="265">
        <f t="shared" si="24"/>
        <v>0</v>
      </c>
      <c r="AT35" s="265">
        <f t="shared" si="73"/>
        <v>0</v>
      </c>
      <c r="AU35" s="265">
        <f t="shared" si="74"/>
        <v>0</v>
      </c>
      <c r="AV35" s="265">
        <f t="shared" si="25"/>
        <v>0</v>
      </c>
      <c r="AW35" s="265">
        <f t="shared" si="26"/>
        <v>0</v>
      </c>
      <c r="AX35" s="265">
        <f t="shared" si="27"/>
        <v>0</v>
      </c>
      <c r="AY35" s="265">
        <f t="shared" si="28"/>
        <v>0</v>
      </c>
      <c r="AZ35" s="265">
        <f t="shared" si="29"/>
        <v>0</v>
      </c>
      <c r="BA35" s="265">
        <f t="shared" si="30"/>
        <v>0</v>
      </c>
      <c r="BB35" s="265">
        <f t="shared" si="31"/>
        <v>0</v>
      </c>
      <c r="BC35" s="265">
        <f t="shared" si="32"/>
        <v>0</v>
      </c>
      <c r="BD35" s="265">
        <f t="shared" si="33"/>
        <v>0</v>
      </c>
      <c r="BE35" s="265">
        <f t="shared" si="34"/>
        <v>0</v>
      </c>
      <c r="BF35" s="265">
        <f t="shared" si="35"/>
        <v>0</v>
      </c>
      <c r="BG35" s="265">
        <f t="shared" si="36"/>
        <v>0</v>
      </c>
      <c r="BH35" s="265">
        <f t="shared" si="75"/>
        <v>0</v>
      </c>
      <c r="BI35" s="265">
        <f t="shared" si="76"/>
        <v>0</v>
      </c>
      <c r="BJ35" s="265">
        <f t="shared" si="37"/>
        <v>0</v>
      </c>
      <c r="BK35" s="265">
        <f t="shared" si="38"/>
        <v>0</v>
      </c>
      <c r="BL35" s="265">
        <f t="shared" si="39"/>
        <v>0</v>
      </c>
      <c r="BM35" s="265">
        <f t="shared" si="40"/>
        <v>0</v>
      </c>
      <c r="BN35" s="265">
        <f t="shared" si="41"/>
        <v>0</v>
      </c>
      <c r="BO35" s="265">
        <f t="shared" si="42"/>
        <v>0</v>
      </c>
      <c r="BP35" s="265">
        <f t="shared" si="77"/>
        <v>0</v>
      </c>
      <c r="BQ35" s="265">
        <f t="shared" si="78"/>
        <v>0</v>
      </c>
      <c r="BR35" s="265">
        <f t="shared" si="43"/>
        <v>0</v>
      </c>
      <c r="BS35" s="265">
        <f t="shared" si="44"/>
        <v>0</v>
      </c>
      <c r="BT35" s="265">
        <f t="shared" si="79"/>
        <v>0</v>
      </c>
      <c r="BU35" s="265">
        <f t="shared" si="80"/>
        <v>0</v>
      </c>
      <c r="BV35" s="265">
        <f t="shared" si="81"/>
        <v>0</v>
      </c>
      <c r="BW35" s="265">
        <f t="shared" si="82"/>
        <v>0</v>
      </c>
      <c r="BX35" s="265">
        <f t="shared" si="45"/>
        <v>0</v>
      </c>
      <c r="BY35" s="265">
        <f t="shared" si="46"/>
        <v>0</v>
      </c>
      <c r="BZ35" s="265">
        <f t="shared" si="47"/>
        <v>0</v>
      </c>
      <c r="CA35" s="265">
        <f t="shared" si="48"/>
        <v>0</v>
      </c>
      <c r="CB35" s="265">
        <f t="shared" si="49"/>
        <v>0</v>
      </c>
      <c r="CC35" s="265">
        <f t="shared" si="50"/>
        <v>0</v>
      </c>
      <c r="CD35" s="265">
        <f t="shared" si="83"/>
        <v>0</v>
      </c>
      <c r="CE35" s="265">
        <f t="shared" si="84"/>
        <v>0</v>
      </c>
      <c r="CF35" s="265">
        <f t="shared" si="85"/>
        <v>0</v>
      </c>
      <c r="CG35" s="265">
        <f t="shared" si="86"/>
        <v>0</v>
      </c>
      <c r="CH35" s="265">
        <f t="shared" si="51"/>
        <v>0</v>
      </c>
      <c r="CI35" s="265">
        <f t="shared" si="52"/>
        <v>0</v>
      </c>
      <c r="CJ35" s="265">
        <f t="shared" si="87"/>
        <v>0</v>
      </c>
      <c r="CK35" s="265">
        <f t="shared" si="88"/>
        <v>0</v>
      </c>
      <c r="CL35" s="265">
        <f t="shared" si="53"/>
        <v>0</v>
      </c>
      <c r="CM35" s="265">
        <f t="shared" si="54"/>
        <v>0</v>
      </c>
      <c r="CN35" s="265">
        <f t="shared" si="55"/>
        <v>0</v>
      </c>
      <c r="CO35" s="265">
        <f t="shared" si="56"/>
        <v>0</v>
      </c>
      <c r="CP35" s="265">
        <f t="shared" si="89"/>
        <v>0</v>
      </c>
      <c r="CQ35" s="265">
        <f t="shared" si="90"/>
        <v>0</v>
      </c>
      <c r="CR35" s="265">
        <f t="shared" si="91"/>
        <v>0</v>
      </c>
      <c r="CS35" s="265">
        <f t="shared" si="92"/>
        <v>0</v>
      </c>
      <c r="CT35" s="265">
        <f t="shared" si="57"/>
        <v>0</v>
      </c>
      <c r="CU35" s="265">
        <f t="shared" si="58"/>
        <v>0</v>
      </c>
      <c r="CV35" s="265">
        <f t="shared" si="59"/>
        <v>0</v>
      </c>
      <c r="CW35" s="265">
        <f t="shared" si="60"/>
        <v>0</v>
      </c>
      <c r="CX35" s="265">
        <f t="shared" si="93"/>
        <v>0</v>
      </c>
      <c r="CY35" s="265">
        <f t="shared" si="94"/>
        <v>0</v>
      </c>
      <c r="CZ35" s="265">
        <f t="shared" si="95"/>
        <v>0</v>
      </c>
      <c r="DA35" s="265">
        <f t="shared" si="96"/>
        <v>0</v>
      </c>
    </row>
    <row r="36" spans="1:105" s="262" customFormat="1" ht="16.5" customHeight="1">
      <c r="A36" s="63" t="str">
        <f t="array" ref="A36">IF(C36&lt;&gt;0,SUM(($C$11:C36&lt;&gt;0)*1),"")</f>
        <v/>
      </c>
      <c r="B36" s="263"/>
      <c r="C36" s="263"/>
      <c r="D36" s="263"/>
      <c r="E36" s="344"/>
      <c r="F36" s="314"/>
      <c r="G36" s="316"/>
      <c r="H36" s="316"/>
      <c r="I36" s="63" t="str">
        <f t="shared" si="0"/>
        <v/>
      </c>
      <c r="J36" s="265">
        <f t="shared" si="61"/>
        <v>0</v>
      </c>
      <c r="K36" s="265">
        <f t="shared" si="62"/>
        <v>0</v>
      </c>
      <c r="L36" s="265">
        <f t="shared" si="1"/>
        <v>0</v>
      </c>
      <c r="M36" s="265">
        <f t="shared" si="2"/>
        <v>0</v>
      </c>
      <c r="N36" s="265">
        <f t="shared" si="3"/>
        <v>0</v>
      </c>
      <c r="O36" s="265">
        <f t="shared" si="4"/>
        <v>0</v>
      </c>
      <c r="P36" s="265">
        <f t="shared" si="5"/>
        <v>0</v>
      </c>
      <c r="Q36" s="265">
        <f t="shared" si="6"/>
        <v>0</v>
      </c>
      <c r="R36" s="265">
        <f t="shared" si="7"/>
        <v>0</v>
      </c>
      <c r="S36" s="265">
        <f t="shared" si="8"/>
        <v>0</v>
      </c>
      <c r="T36" s="265">
        <f t="shared" si="9"/>
        <v>0</v>
      </c>
      <c r="U36" s="265">
        <f t="shared" si="10"/>
        <v>0</v>
      </c>
      <c r="V36" s="265">
        <f t="shared" si="11"/>
        <v>0</v>
      </c>
      <c r="W36" s="265">
        <f t="shared" si="12"/>
        <v>0</v>
      </c>
      <c r="X36" s="265">
        <f t="shared" si="13"/>
        <v>0</v>
      </c>
      <c r="Y36" s="265">
        <f t="shared" si="14"/>
        <v>0</v>
      </c>
      <c r="Z36" s="265">
        <f t="shared" si="15"/>
        <v>0</v>
      </c>
      <c r="AA36" s="265">
        <f t="shared" si="16"/>
        <v>0</v>
      </c>
      <c r="AB36" s="265">
        <f t="shared" si="63"/>
        <v>0</v>
      </c>
      <c r="AC36" s="265">
        <f t="shared" si="64"/>
        <v>0</v>
      </c>
      <c r="AD36" s="265">
        <f t="shared" si="17"/>
        <v>0</v>
      </c>
      <c r="AE36" s="265">
        <f t="shared" si="18"/>
        <v>0</v>
      </c>
      <c r="AF36" s="265">
        <f t="shared" si="19"/>
        <v>0</v>
      </c>
      <c r="AG36" s="265">
        <f t="shared" si="20"/>
        <v>0</v>
      </c>
      <c r="AH36" s="265">
        <f t="shared" si="65"/>
        <v>0</v>
      </c>
      <c r="AI36" s="265">
        <f t="shared" si="66"/>
        <v>0</v>
      </c>
      <c r="AJ36" s="265">
        <f t="shared" si="67"/>
        <v>0</v>
      </c>
      <c r="AK36" s="265">
        <f t="shared" si="68"/>
        <v>0</v>
      </c>
      <c r="AL36" s="265">
        <f t="shared" si="69"/>
        <v>0</v>
      </c>
      <c r="AM36" s="265">
        <f t="shared" si="70"/>
        <v>0</v>
      </c>
      <c r="AN36" s="265">
        <f t="shared" si="71"/>
        <v>0</v>
      </c>
      <c r="AO36" s="265">
        <f t="shared" si="72"/>
        <v>0</v>
      </c>
      <c r="AP36" s="265">
        <f t="shared" si="21"/>
        <v>0</v>
      </c>
      <c r="AQ36" s="265">
        <f t="shared" si="22"/>
        <v>0</v>
      </c>
      <c r="AR36" s="265">
        <f t="shared" si="23"/>
        <v>0</v>
      </c>
      <c r="AS36" s="265">
        <f t="shared" si="24"/>
        <v>0</v>
      </c>
      <c r="AT36" s="265">
        <f t="shared" si="73"/>
        <v>0</v>
      </c>
      <c r="AU36" s="265">
        <f t="shared" si="74"/>
        <v>0</v>
      </c>
      <c r="AV36" s="265">
        <f t="shared" si="25"/>
        <v>0</v>
      </c>
      <c r="AW36" s="265">
        <f t="shared" si="26"/>
        <v>0</v>
      </c>
      <c r="AX36" s="265">
        <f t="shared" si="27"/>
        <v>0</v>
      </c>
      <c r="AY36" s="265">
        <f t="shared" si="28"/>
        <v>0</v>
      </c>
      <c r="AZ36" s="265">
        <f t="shared" si="29"/>
        <v>0</v>
      </c>
      <c r="BA36" s="265">
        <f t="shared" si="30"/>
        <v>0</v>
      </c>
      <c r="BB36" s="265">
        <f t="shared" si="31"/>
        <v>0</v>
      </c>
      <c r="BC36" s="265">
        <f t="shared" si="32"/>
        <v>0</v>
      </c>
      <c r="BD36" s="265">
        <f t="shared" si="33"/>
        <v>0</v>
      </c>
      <c r="BE36" s="265">
        <f t="shared" si="34"/>
        <v>0</v>
      </c>
      <c r="BF36" s="265">
        <f t="shared" si="35"/>
        <v>0</v>
      </c>
      <c r="BG36" s="265">
        <f t="shared" si="36"/>
        <v>0</v>
      </c>
      <c r="BH36" s="265">
        <f t="shared" si="75"/>
        <v>0</v>
      </c>
      <c r="BI36" s="265">
        <f t="shared" si="76"/>
        <v>0</v>
      </c>
      <c r="BJ36" s="265">
        <f t="shared" si="37"/>
        <v>0</v>
      </c>
      <c r="BK36" s="265">
        <f t="shared" si="38"/>
        <v>0</v>
      </c>
      <c r="BL36" s="265">
        <f t="shared" si="39"/>
        <v>0</v>
      </c>
      <c r="BM36" s="265">
        <f t="shared" si="40"/>
        <v>0</v>
      </c>
      <c r="BN36" s="265">
        <f t="shared" si="41"/>
        <v>0</v>
      </c>
      <c r="BO36" s="265">
        <f t="shared" si="42"/>
        <v>0</v>
      </c>
      <c r="BP36" s="265">
        <f t="shared" si="77"/>
        <v>0</v>
      </c>
      <c r="BQ36" s="265">
        <f t="shared" si="78"/>
        <v>0</v>
      </c>
      <c r="BR36" s="265">
        <f t="shared" si="43"/>
        <v>0</v>
      </c>
      <c r="BS36" s="265">
        <f t="shared" si="44"/>
        <v>0</v>
      </c>
      <c r="BT36" s="265">
        <f t="shared" si="79"/>
        <v>0</v>
      </c>
      <c r="BU36" s="265">
        <f t="shared" si="80"/>
        <v>0</v>
      </c>
      <c r="BV36" s="265">
        <f t="shared" si="81"/>
        <v>0</v>
      </c>
      <c r="BW36" s="265">
        <f t="shared" si="82"/>
        <v>0</v>
      </c>
      <c r="BX36" s="265">
        <f t="shared" si="45"/>
        <v>0</v>
      </c>
      <c r="BY36" s="265">
        <f t="shared" si="46"/>
        <v>0</v>
      </c>
      <c r="BZ36" s="265">
        <f t="shared" si="47"/>
        <v>0</v>
      </c>
      <c r="CA36" s="265">
        <f t="shared" si="48"/>
        <v>0</v>
      </c>
      <c r="CB36" s="265">
        <f t="shared" si="49"/>
        <v>0</v>
      </c>
      <c r="CC36" s="265">
        <f t="shared" si="50"/>
        <v>0</v>
      </c>
      <c r="CD36" s="265">
        <f t="shared" si="83"/>
        <v>0</v>
      </c>
      <c r="CE36" s="265">
        <f t="shared" si="84"/>
        <v>0</v>
      </c>
      <c r="CF36" s="265">
        <f t="shared" si="85"/>
        <v>0</v>
      </c>
      <c r="CG36" s="265">
        <f t="shared" si="86"/>
        <v>0</v>
      </c>
      <c r="CH36" s="265">
        <f t="shared" si="51"/>
        <v>0</v>
      </c>
      <c r="CI36" s="265">
        <f t="shared" si="52"/>
        <v>0</v>
      </c>
      <c r="CJ36" s="265">
        <f t="shared" si="87"/>
        <v>0</v>
      </c>
      <c r="CK36" s="265">
        <f t="shared" si="88"/>
        <v>0</v>
      </c>
      <c r="CL36" s="265">
        <f t="shared" si="53"/>
        <v>0</v>
      </c>
      <c r="CM36" s="265">
        <f t="shared" si="54"/>
        <v>0</v>
      </c>
      <c r="CN36" s="265">
        <f t="shared" si="55"/>
        <v>0</v>
      </c>
      <c r="CO36" s="265">
        <f t="shared" si="56"/>
        <v>0</v>
      </c>
      <c r="CP36" s="265">
        <f t="shared" si="89"/>
        <v>0</v>
      </c>
      <c r="CQ36" s="265">
        <f t="shared" si="90"/>
        <v>0</v>
      </c>
      <c r="CR36" s="265">
        <f t="shared" si="91"/>
        <v>0</v>
      </c>
      <c r="CS36" s="265">
        <f t="shared" si="92"/>
        <v>0</v>
      </c>
      <c r="CT36" s="265">
        <f t="shared" si="57"/>
        <v>0</v>
      </c>
      <c r="CU36" s="265">
        <f t="shared" si="58"/>
        <v>0</v>
      </c>
      <c r="CV36" s="265">
        <f t="shared" si="59"/>
        <v>0</v>
      </c>
      <c r="CW36" s="265">
        <f t="shared" si="60"/>
        <v>0</v>
      </c>
      <c r="CX36" s="265">
        <f t="shared" si="93"/>
        <v>0</v>
      </c>
      <c r="CY36" s="265">
        <f t="shared" si="94"/>
        <v>0</v>
      </c>
      <c r="CZ36" s="265">
        <f t="shared" si="95"/>
        <v>0</v>
      </c>
      <c r="DA36" s="265">
        <f t="shared" si="96"/>
        <v>0</v>
      </c>
    </row>
    <row r="37" spans="1:105" s="262" customFormat="1" ht="16.5" customHeight="1">
      <c r="A37" s="63" t="str">
        <f t="array" ref="A37">IF(C37&lt;&gt;0,SUM(($C$11:C37&lt;&gt;0)*1),"")</f>
        <v/>
      </c>
      <c r="B37" s="263"/>
      <c r="C37" s="263"/>
      <c r="D37" s="263"/>
      <c r="E37" s="344"/>
      <c r="F37" s="314"/>
      <c r="G37" s="316"/>
      <c r="H37" s="316"/>
      <c r="I37" s="63" t="str">
        <f t="shared" si="0"/>
        <v/>
      </c>
      <c r="J37" s="265">
        <f t="shared" si="61"/>
        <v>0</v>
      </c>
      <c r="K37" s="265">
        <f t="shared" si="62"/>
        <v>0</v>
      </c>
      <c r="L37" s="265">
        <f t="shared" si="1"/>
        <v>0</v>
      </c>
      <c r="M37" s="265">
        <f t="shared" si="2"/>
        <v>0</v>
      </c>
      <c r="N37" s="265">
        <f t="shared" si="3"/>
        <v>0</v>
      </c>
      <c r="O37" s="265">
        <f t="shared" si="4"/>
        <v>0</v>
      </c>
      <c r="P37" s="265">
        <f t="shared" si="5"/>
        <v>0</v>
      </c>
      <c r="Q37" s="265">
        <f t="shared" si="6"/>
        <v>0</v>
      </c>
      <c r="R37" s="265">
        <f t="shared" si="7"/>
        <v>0</v>
      </c>
      <c r="S37" s="265">
        <f t="shared" si="8"/>
        <v>0</v>
      </c>
      <c r="T37" s="265">
        <f t="shared" si="9"/>
        <v>0</v>
      </c>
      <c r="U37" s="265">
        <f t="shared" si="10"/>
        <v>0</v>
      </c>
      <c r="V37" s="265">
        <f t="shared" si="11"/>
        <v>0</v>
      </c>
      <c r="W37" s="265">
        <f t="shared" si="12"/>
        <v>0</v>
      </c>
      <c r="X37" s="265">
        <f t="shared" si="13"/>
        <v>0</v>
      </c>
      <c r="Y37" s="265">
        <f t="shared" si="14"/>
        <v>0</v>
      </c>
      <c r="Z37" s="265">
        <f t="shared" si="15"/>
        <v>0</v>
      </c>
      <c r="AA37" s="265">
        <f t="shared" si="16"/>
        <v>0</v>
      </c>
      <c r="AB37" s="265">
        <f t="shared" si="63"/>
        <v>0</v>
      </c>
      <c r="AC37" s="265">
        <f t="shared" si="64"/>
        <v>0</v>
      </c>
      <c r="AD37" s="265">
        <f t="shared" si="17"/>
        <v>0</v>
      </c>
      <c r="AE37" s="265">
        <f t="shared" si="18"/>
        <v>0</v>
      </c>
      <c r="AF37" s="265">
        <f t="shared" si="19"/>
        <v>0</v>
      </c>
      <c r="AG37" s="265">
        <f t="shared" si="20"/>
        <v>0</v>
      </c>
      <c r="AH37" s="265">
        <f t="shared" si="65"/>
        <v>0</v>
      </c>
      <c r="AI37" s="265">
        <f t="shared" si="66"/>
        <v>0</v>
      </c>
      <c r="AJ37" s="265">
        <f t="shared" si="67"/>
        <v>0</v>
      </c>
      <c r="AK37" s="265">
        <f t="shared" si="68"/>
        <v>0</v>
      </c>
      <c r="AL37" s="265">
        <f t="shared" si="69"/>
        <v>0</v>
      </c>
      <c r="AM37" s="265">
        <f t="shared" si="70"/>
        <v>0</v>
      </c>
      <c r="AN37" s="265">
        <f t="shared" si="71"/>
        <v>0</v>
      </c>
      <c r="AO37" s="265">
        <f t="shared" si="72"/>
        <v>0</v>
      </c>
      <c r="AP37" s="265">
        <f t="shared" si="21"/>
        <v>0</v>
      </c>
      <c r="AQ37" s="265">
        <f t="shared" si="22"/>
        <v>0</v>
      </c>
      <c r="AR37" s="265">
        <f t="shared" si="23"/>
        <v>0</v>
      </c>
      <c r="AS37" s="265">
        <f t="shared" si="24"/>
        <v>0</v>
      </c>
      <c r="AT37" s="265">
        <f t="shared" si="73"/>
        <v>0</v>
      </c>
      <c r="AU37" s="265">
        <f t="shared" si="74"/>
        <v>0</v>
      </c>
      <c r="AV37" s="265">
        <f t="shared" si="25"/>
        <v>0</v>
      </c>
      <c r="AW37" s="265">
        <f t="shared" si="26"/>
        <v>0</v>
      </c>
      <c r="AX37" s="265">
        <f t="shared" si="27"/>
        <v>0</v>
      </c>
      <c r="AY37" s="265">
        <f t="shared" si="28"/>
        <v>0</v>
      </c>
      <c r="AZ37" s="265">
        <f t="shared" si="29"/>
        <v>0</v>
      </c>
      <c r="BA37" s="265">
        <f t="shared" si="30"/>
        <v>0</v>
      </c>
      <c r="BB37" s="265">
        <f t="shared" si="31"/>
        <v>0</v>
      </c>
      <c r="BC37" s="265">
        <f t="shared" si="32"/>
        <v>0</v>
      </c>
      <c r="BD37" s="265">
        <f t="shared" si="33"/>
        <v>0</v>
      </c>
      <c r="BE37" s="265">
        <f t="shared" si="34"/>
        <v>0</v>
      </c>
      <c r="BF37" s="265">
        <f t="shared" si="35"/>
        <v>0</v>
      </c>
      <c r="BG37" s="265">
        <f t="shared" si="36"/>
        <v>0</v>
      </c>
      <c r="BH37" s="265">
        <f t="shared" si="75"/>
        <v>0</v>
      </c>
      <c r="BI37" s="265">
        <f t="shared" si="76"/>
        <v>0</v>
      </c>
      <c r="BJ37" s="265">
        <f t="shared" si="37"/>
        <v>0</v>
      </c>
      <c r="BK37" s="265">
        <f t="shared" si="38"/>
        <v>0</v>
      </c>
      <c r="BL37" s="265">
        <f t="shared" si="39"/>
        <v>0</v>
      </c>
      <c r="BM37" s="265">
        <f t="shared" si="40"/>
        <v>0</v>
      </c>
      <c r="BN37" s="265">
        <f t="shared" si="41"/>
        <v>0</v>
      </c>
      <c r="BO37" s="265">
        <f t="shared" si="42"/>
        <v>0</v>
      </c>
      <c r="BP37" s="265">
        <f t="shared" si="77"/>
        <v>0</v>
      </c>
      <c r="BQ37" s="265">
        <f t="shared" si="78"/>
        <v>0</v>
      </c>
      <c r="BR37" s="265">
        <f t="shared" si="43"/>
        <v>0</v>
      </c>
      <c r="BS37" s="265">
        <f t="shared" si="44"/>
        <v>0</v>
      </c>
      <c r="BT37" s="265">
        <f t="shared" si="79"/>
        <v>0</v>
      </c>
      <c r="BU37" s="265">
        <f t="shared" si="80"/>
        <v>0</v>
      </c>
      <c r="BV37" s="265">
        <f t="shared" si="81"/>
        <v>0</v>
      </c>
      <c r="BW37" s="265">
        <f t="shared" si="82"/>
        <v>0</v>
      </c>
      <c r="BX37" s="265">
        <f t="shared" si="45"/>
        <v>0</v>
      </c>
      <c r="BY37" s="265">
        <f t="shared" si="46"/>
        <v>0</v>
      </c>
      <c r="BZ37" s="265">
        <f t="shared" si="47"/>
        <v>0</v>
      </c>
      <c r="CA37" s="265">
        <f t="shared" si="48"/>
        <v>0</v>
      </c>
      <c r="CB37" s="265">
        <f t="shared" si="49"/>
        <v>0</v>
      </c>
      <c r="CC37" s="265">
        <f t="shared" si="50"/>
        <v>0</v>
      </c>
      <c r="CD37" s="265">
        <f t="shared" si="83"/>
        <v>0</v>
      </c>
      <c r="CE37" s="265">
        <f t="shared" si="84"/>
        <v>0</v>
      </c>
      <c r="CF37" s="265">
        <f t="shared" si="85"/>
        <v>0</v>
      </c>
      <c r="CG37" s="265">
        <f t="shared" si="86"/>
        <v>0</v>
      </c>
      <c r="CH37" s="265">
        <f t="shared" si="51"/>
        <v>0</v>
      </c>
      <c r="CI37" s="265">
        <f t="shared" si="52"/>
        <v>0</v>
      </c>
      <c r="CJ37" s="265">
        <f t="shared" si="87"/>
        <v>0</v>
      </c>
      <c r="CK37" s="265">
        <f t="shared" si="88"/>
        <v>0</v>
      </c>
      <c r="CL37" s="265">
        <f t="shared" si="53"/>
        <v>0</v>
      </c>
      <c r="CM37" s="265">
        <f t="shared" si="54"/>
        <v>0</v>
      </c>
      <c r="CN37" s="265">
        <f t="shared" si="55"/>
        <v>0</v>
      </c>
      <c r="CO37" s="265">
        <f t="shared" si="56"/>
        <v>0</v>
      </c>
      <c r="CP37" s="265">
        <f t="shared" si="89"/>
        <v>0</v>
      </c>
      <c r="CQ37" s="265">
        <f t="shared" si="90"/>
        <v>0</v>
      </c>
      <c r="CR37" s="265">
        <f t="shared" si="91"/>
        <v>0</v>
      </c>
      <c r="CS37" s="265">
        <f t="shared" si="92"/>
        <v>0</v>
      </c>
      <c r="CT37" s="265">
        <f t="shared" si="57"/>
        <v>0</v>
      </c>
      <c r="CU37" s="265">
        <f t="shared" si="58"/>
        <v>0</v>
      </c>
      <c r="CV37" s="265">
        <f t="shared" si="59"/>
        <v>0</v>
      </c>
      <c r="CW37" s="265">
        <f t="shared" si="60"/>
        <v>0</v>
      </c>
      <c r="CX37" s="265">
        <f t="shared" si="93"/>
        <v>0</v>
      </c>
      <c r="CY37" s="265">
        <f t="shared" si="94"/>
        <v>0</v>
      </c>
      <c r="CZ37" s="265">
        <f t="shared" si="95"/>
        <v>0</v>
      </c>
      <c r="DA37" s="265">
        <f t="shared" si="96"/>
        <v>0</v>
      </c>
    </row>
    <row r="38" spans="1:105" s="262" customFormat="1" ht="16.5" customHeight="1">
      <c r="A38" s="63" t="str">
        <f t="array" ref="A38">IF(C38&lt;&gt;0,SUM(($C$11:C38&lt;&gt;0)*1),"")</f>
        <v/>
      </c>
      <c r="B38" s="263"/>
      <c r="C38" s="263"/>
      <c r="D38" s="263"/>
      <c r="E38" s="344"/>
      <c r="F38" s="314"/>
      <c r="G38" s="316"/>
      <c r="H38" s="316"/>
      <c r="I38" s="63" t="str">
        <f t="shared" si="0"/>
        <v/>
      </c>
      <c r="J38" s="265">
        <f t="shared" si="61"/>
        <v>0</v>
      </c>
      <c r="K38" s="265">
        <f t="shared" si="62"/>
        <v>0</v>
      </c>
      <c r="L38" s="265">
        <f t="shared" si="1"/>
        <v>0</v>
      </c>
      <c r="M38" s="265">
        <f t="shared" si="2"/>
        <v>0</v>
      </c>
      <c r="N38" s="265">
        <f t="shared" si="3"/>
        <v>0</v>
      </c>
      <c r="O38" s="265">
        <f t="shared" si="4"/>
        <v>0</v>
      </c>
      <c r="P38" s="265">
        <f t="shared" si="5"/>
        <v>0</v>
      </c>
      <c r="Q38" s="265">
        <f t="shared" si="6"/>
        <v>0</v>
      </c>
      <c r="R38" s="265">
        <f t="shared" si="7"/>
        <v>0</v>
      </c>
      <c r="S38" s="265">
        <f t="shared" si="8"/>
        <v>0</v>
      </c>
      <c r="T38" s="265">
        <f t="shared" si="9"/>
        <v>0</v>
      </c>
      <c r="U38" s="265">
        <f t="shared" si="10"/>
        <v>0</v>
      </c>
      <c r="V38" s="265">
        <f t="shared" si="11"/>
        <v>0</v>
      </c>
      <c r="W38" s="265">
        <f t="shared" si="12"/>
        <v>0</v>
      </c>
      <c r="X38" s="265">
        <f t="shared" si="13"/>
        <v>0</v>
      </c>
      <c r="Y38" s="265">
        <f t="shared" si="14"/>
        <v>0</v>
      </c>
      <c r="Z38" s="265">
        <f t="shared" si="15"/>
        <v>0</v>
      </c>
      <c r="AA38" s="265">
        <f t="shared" si="16"/>
        <v>0</v>
      </c>
      <c r="AB38" s="265">
        <f t="shared" si="63"/>
        <v>0</v>
      </c>
      <c r="AC38" s="265">
        <f t="shared" si="64"/>
        <v>0</v>
      </c>
      <c r="AD38" s="265">
        <f t="shared" si="17"/>
        <v>0</v>
      </c>
      <c r="AE38" s="265">
        <f t="shared" si="18"/>
        <v>0</v>
      </c>
      <c r="AF38" s="265">
        <f t="shared" si="19"/>
        <v>0</v>
      </c>
      <c r="AG38" s="265">
        <f t="shared" si="20"/>
        <v>0</v>
      </c>
      <c r="AH38" s="265">
        <f t="shared" si="65"/>
        <v>0</v>
      </c>
      <c r="AI38" s="265">
        <f t="shared" si="66"/>
        <v>0</v>
      </c>
      <c r="AJ38" s="265">
        <f t="shared" si="67"/>
        <v>0</v>
      </c>
      <c r="AK38" s="265">
        <f t="shared" si="68"/>
        <v>0</v>
      </c>
      <c r="AL38" s="265">
        <f t="shared" si="69"/>
        <v>0</v>
      </c>
      <c r="AM38" s="265">
        <f t="shared" si="70"/>
        <v>0</v>
      </c>
      <c r="AN38" s="265">
        <f t="shared" si="71"/>
        <v>0</v>
      </c>
      <c r="AO38" s="265">
        <f t="shared" si="72"/>
        <v>0</v>
      </c>
      <c r="AP38" s="265">
        <f t="shared" si="21"/>
        <v>0</v>
      </c>
      <c r="AQ38" s="265">
        <f t="shared" si="22"/>
        <v>0</v>
      </c>
      <c r="AR38" s="265">
        <f t="shared" si="23"/>
        <v>0</v>
      </c>
      <c r="AS38" s="265">
        <f t="shared" si="24"/>
        <v>0</v>
      </c>
      <c r="AT38" s="265">
        <f t="shared" si="73"/>
        <v>0</v>
      </c>
      <c r="AU38" s="265">
        <f t="shared" si="74"/>
        <v>0</v>
      </c>
      <c r="AV38" s="265">
        <f t="shared" si="25"/>
        <v>0</v>
      </c>
      <c r="AW38" s="265">
        <f t="shared" si="26"/>
        <v>0</v>
      </c>
      <c r="AX38" s="265">
        <f t="shared" si="27"/>
        <v>0</v>
      </c>
      <c r="AY38" s="265">
        <f t="shared" si="28"/>
        <v>0</v>
      </c>
      <c r="AZ38" s="265">
        <f t="shared" si="29"/>
        <v>0</v>
      </c>
      <c r="BA38" s="265">
        <f t="shared" si="30"/>
        <v>0</v>
      </c>
      <c r="BB38" s="265">
        <f t="shared" si="31"/>
        <v>0</v>
      </c>
      <c r="BC38" s="265">
        <f t="shared" si="32"/>
        <v>0</v>
      </c>
      <c r="BD38" s="265">
        <f t="shared" si="33"/>
        <v>0</v>
      </c>
      <c r="BE38" s="265">
        <f t="shared" si="34"/>
        <v>0</v>
      </c>
      <c r="BF38" s="265">
        <f t="shared" si="35"/>
        <v>0</v>
      </c>
      <c r="BG38" s="265">
        <f t="shared" si="36"/>
        <v>0</v>
      </c>
      <c r="BH38" s="265">
        <f t="shared" si="75"/>
        <v>0</v>
      </c>
      <c r="BI38" s="265">
        <f t="shared" si="76"/>
        <v>0</v>
      </c>
      <c r="BJ38" s="265">
        <f t="shared" si="37"/>
        <v>0</v>
      </c>
      <c r="BK38" s="265">
        <f t="shared" si="38"/>
        <v>0</v>
      </c>
      <c r="BL38" s="265">
        <f t="shared" si="39"/>
        <v>0</v>
      </c>
      <c r="BM38" s="265">
        <f t="shared" si="40"/>
        <v>0</v>
      </c>
      <c r="BN38" s="265">
        <f t="shared" si="41"/>
        <v>0</v>
      </c>
      <c r="BO38" s="265">
        <f t="shared" si="42"/>
        <v>0</v>
      </c>
      <c r="BP38" s="265">
        <f t="shared" si="77"/>
        <v>0</v>
      </c>
      <c r="BQ38" s="265">
        <f t="shared" si="78"/>
        <v>0</v>
      </c>
      <c r="BR38" s="265">
        <f t="shared" si="43"/>
        <v>0</v>
      </c>
      <c r="BS38" s="265">
        <f t="shared" si="44"/>
        <v>0</v>
      </c>
      <c r="BT38" s="265">
        <f t="shared" si="79"/>
        <v>0</v>
      </c>
      <c r="BU38" s="265">
        <f t="shared" si="80"/>
        <v>0</v>
      </c>
      <c r="BV38" s="265">
        <f t="shared" si="81"/>
        <v>0</v>
      </c>
      <c r="BW38" s="265">
        <f t="shared" si="82"/>
        <v>0</v>
      </c>
      <c r="BX38" s="265">
        <f t="shared" si="45"/>
        <v>0</v>
      </c>
      <c r="BY38" s="265">
        <f t="shared" si="46"/>
        <v>0</v>
      </c>
      <c r="BZ38" s="265">
        <f t="shared" si="47"/>
        <v>0</v>
      </c>
      <c r="CA38" s="265">
        <f t="shared" si="48"/>
        <v>0</v>
      </c>
      <c r="CB38" s="265">
        <f t="shared" si="49"/>
        <v>0</v>
      </c>
      <c r="CC38" s="265">
        <f t="shared" si="50"/>
        <v>0</v>
      </c>
      <c r="CD38" s="265">
        <f t="shared" si="83"/>
        <v>0</v>
      </c>
      <c r="CE38" s="265">
        <f t="shared" si="84"/>
        <v>0</v>
      </c>
      <c r="CF38" s="265">
        <f t="shared" si="85"/>
        <v>0</v>
      </c>
      <c r="CG38" s="265">
        <f t="shared" si="86"/>
        <v>0</v>
      </c>
      <c r="CH38" s="265">
        <f t="shared" si="51"/>
        <v>0</v>
      </c>
      <c r="CI38" s="265">
        <f t="shared" si="52"/>
        <v>0</v>
      </c>
      <c r="CJ38" s="265">
        <f t="shared" si="87"/>
        <v>0</v>
      </c>
      <c r="CK38" s="265">
        <f t="shared" si="88"/>
        <v>0</v>
      </c>
      <c r="CL38" s="265">
        <f t="shared" si="53"/>
        <v>0</v>
      </c>
      <c r="CM38" s="265">
        <f t="shared" si="54"/>
        <v>0</v>
      </c>
      <c r="CN38" s="265">
        <f t="shared" si="55"/>
        <v>0</v>
      </c>
      <c r="CO38" s="265">
        <f t="shared" si="56"/>
        <v>0</v>
      </c>
      <c r="CP38" s="265">
        <f t="shared" si="89"/>
        <v>0</v>
      </c>
      <c r="CQ38" s="265">
        <f t="shared" si="90"/>
        <v>0</v>
      </c>
      <c r="CR38" s="265">
        <f t="shared" si="91"/>
        <v>0</v>
      </c>
      <c r="CS38" s="265">
        <f t="shared" si="92"/>
        <v>0</v>
      </c>
      <c r="CT38" s="265">
        <f t="shared" si="57"/>
        <v>0</v>
      </c>
      <c r="CU38" s="265">
        <f t="shared" si="58"/>
        <v>0</v>
      </c>
      <c r="CV38" s="265">
        <f t="shared" si="59"/>
        <v>0</v>
      </c>
      <c r="CW38" s="265">
        <f t="shared" si="60"/>
        <v>0</v>
      </c>
      <c r="CX38" s="265">
        <f t="shared" si="93"/>
        <v>0</v>
      </c>
      <c r="CY38" s="265">
        <f t="shared" si="94"/>
        <v>0</v>
      </c>
      <c r="CZ38" s="265">
        <f t="shared" si="95"/>
        <v>0</v>
      </c>
      <c r="DA38" s="265">
        <f t="shared" si="96"/>
        <v>0</v>
      </c>
    </row>
    <row r="39" spans="1:105" s="262" customFormat="1" ht="16.5" customHeight="1">
      <c r="A39" s="63" t="str">
        <f t="array" ref="A39">IF(C39&lt;&gt;0,SUM(($C$11:C39&lt;&gt;0)*1),"")</f>
        <v/>
      </c>
      <c r="B39" s="263"/>
      <c r="C39" s="263"/>
      <c r="D39" s="263"/>
      <c r="E39" s="344"/>
      <c r="F39" s="314"/>
      <c r="G39" s="316"/>
      <c r="H39" s="316"/>
      <c r="I39" s="63" t="str">
        <f t="shared" si="0"/>
        <v/>
      </c>
      <c r="J39" s="265">
        <f t="shared" si="61"/>
        <v>0</v>
      </c>
      <c r="K39" s="265">
        <f t="shared" si="62"/>
        <v>0</v>
      </c>
      <c r="L39" s="265">
        <f t="shared" si="1"/>
        <v>0</v>
      </c>
      <c r="M39" s="265">
        <f t="shared" si="2"/>
        <v>0</v>
      </c>
      <c r="N39" s="265">
        <f t="shared" si="3"/>
        <v>0</v>
      </c>
      <c r="O39" s="265">
        <f t="shared" si="4"/>
        <v>0</v>
      </c>
      <c r="P39" s="265">
        <f t="shared" si="5"/>
        <v>0</v>
      </c>
      <c r="Q39" s="265">
        <f t="shared" si="6"/>
        <v>0</v>
      </c>
      <c r="R39" s="265">
        <f t="shared" si="7"/>
        <v>0</v>
      </c>
      <c r="S39" s="265">
        <f t="shared" si="8"/>
        <v>0</v>
      </c>
      <c r="T39" s="265">
        <f t="shared" si="9"/>
        <v>0</v>
      </c>
      <c r="U39" s="265">
        <f t="shared" si="10"/>
        <v>0</v>
      </c>
      <c r="V39" s="265">
        <f t="shared" si="11"/>
        <v>0</v>
      </c>
      <c r="W39" s="265">
        <f t="shared" si="12"/>
        <v>0</v>
      </c>
      <c r="X39" s="265">
        <f t="shared" si="13"/>
        <v>0</v>
      </c>
      <c r="Y39" s="265">
        <f t="shared" si="14"/>
        <v>0</v>
      </c>
      <c r="Z39" s="265">
        <f t="shared" si="15"/>
        <v>0</v>
      </c>
      <c r="AA39" s="265">
        <f t="shared" si="16"/>
        <v>0</v>
      </c>
      <c r="AB39" s="265">
        <f t="shared" si="63"/>
        <v>0</v>
      </c>
      <c r="AC39" s="265">
        <f t="shared" si="64"/>
        <v>0</v>
      </c>
      <c r="AD39" s="265">
        <f t="shared" si="17"/>
        <v>0</v>
      </c>
      <c r="AE39" s="265">
        <f t="shared" si="18"/>
        <v>0</v>
      </c>
      <c r="AF39" s="265">
        <f t="shared" si="19"/>
        <v>0</v>
      </c>
      <c r="AG39" s="265">
        <f t="shared" si="20"/>
        <v>0</v>
      </c>
      <c r="AH39" s="265">
        <f t="shared" si="65"/>
        <v>0</v>
      </c>
      <c r="AI39" s="265">
        <f t="shared" si="66"/>
        <v>0</v>
      </c>
      <c r="AJ39" s="265">
        <f t="shared" si="67"/>
        <v>0</v>
      </c>
      <c r="AK39" s="265">
        <f t="shared" si="68"/>
        <v>0</v>
      </c>
      <c r="AL39" s="265">
        <f t="shared" si="69"/>
        <v>0</v>
      </c>
      <c r="AM39" s="265">
        <f t="shared" si="70"/>
        <v>0</v>
      </c>
      <c r="AN39" s="265">
        <f t="shared" si="71"/>
        <v>0</v>
      </c>
      <c r="AO39" s="265">
        <f t="shared" si="72"/>
        <v>0</v>
      </c>
      <c r="AP39" s="265">
        <f t="shared" si="21"/>
        <v>0</v>
      </c>
      <c r="AQ39" s="265">
        <f t="shared" si="22"/>
        <v>0</v>
      </c>
      <c r="AR39" s="265">
        <f t="shared" si="23"/>
        <v>0</v>
      </c>
      <c r="AS39" s="265">
        <f t="shared" si="24"/>
        <v>0</v>
      </c>
      <c r="AT39" s="265">
        <f t="shared" si="73"/>
        <v>0</v>
      </c>
      <c r="AU39" s="265">
        <f t="shared" si="74"/>
        <v>0</v>
      </c>
      <c r="AV39" s="265">
        <f t="shared" si="25"/>
        <v>0</v>
      </c>
      <c r="AW39" s="265">
        <f t="shared" si="26"/>
        <v>0</v>
      </c>
      <c r="AX39" s="265">
        <f t="shared" si="27"/>
        <v>0</v>
      </c>
      <c r="AY39" s="265">
        <f t="shared" si="28"/>
        <v>0</v>
      </c>
      <c r="AZ39" s="265">
        <f t="shared" si="29"/>
        <v>0</v>
      </c>
      <c r="BA39" s="265">
        <f t="shared" si="30"/>
        <v>0</v>
      </c>
      <c r="BB39" s="265">
        <f t="shared" si="31"/>
        <v>0</v>
      </c>
      <c r="BC39" s="265">
        <f t="shared" si="32"/>
        <v>0</v>
      </c>
      <c r="BD39" s="265">
        <f t="shared" si="33"/>
        <v>0</v>
      </c>
      <c r="BE39" s="265">
        <f t="shared" si="34"/>
        <v>0</v>
      </c>
      <c r="BF39" s="265">
        <f t="shared" si="35"/>
        <v>0</v>
      </c>
      <c r="BG39" s="265">
        <f t="shared" si="36"/>
        <v>0</v>
      </c>
      <c r="BH39" s="265">
        <f t="shared" si="75"/>
        <v>0</v>
      </c>
      <c r="BI39" s="265">
        <f t="shared" si="76"/>
        <v>0</v>
      </c>
      <c r="BJ39" s="265">
        <f t="shared" si="37"/>
        <v>0</v>
      </c>
      <c r="BK39" s="265">
        <f t="shared" si="38"/>
        <v>0</v>
      </c>
      <c r="BL39" s="265">
        <f t="shared" si="39"/>
        <v>0</v>
      </c>
      <c r="BM39" s="265">
        <f t="shared" si="40"/>
        <v>0</v>
      </c>
      <c r="BN39" s="265">
        <f t="shared" si="41"/>
        <v>0</v>
      </c>
      <c r="BO39" s="265">
        <f t="shared" si="42"/>
        <v>0</v>
      </c>
      <c r="BP39" s="265">
        <f t="shared" si="77"/>
        <v>0</v>
      </c>
      <c r="BQ39" s="265">
        <f t="shared" si="78"/>
        <v>0</v>
      </c>
      <c r="BR39" s="265">
        <f t="shared" si="43"/>
        <v>0</v>
      </c>
      <c r="BS39" s="265">
        <f t="shared" si="44"/>
        <v>0</v>
      </c>
      <c r="BT39" s="265">
        <f t="shared" si="79"/>
        <v>0</v>
      </c>
      <c r="BU39" s="265">
        <f t="shared" si="80"/>
        <v>0</v>
      </c>
      <c r="BV39" s="265">
        <f t="shared" si="81"/>
        <v>0</v>
      </c>
      <c r="BW39" s="265">
        <f t="shared" si="82"/>
        <v>0</v>
      </c>
      <c r="BX39" s="265">
        <f t="shared" si="45"/>
        <v>0</v>
      </c>
      <c r="BY39" s="265">
        <f t="shared" si="46"/>
        <v>0</v>
      </c>
      <c r="BZ39" s="265">
        <f t="shared" si="47"/>
        <v>0</v>
      </c>
      <c r="CA39" s="265">
        <f t="shared" si="48"/>
        <v>0</v>
      </c>
      <c r="CB39" s="265">
        <f t="shared" si="49"/>
        <v>0</v>
      </c>
      <c r="CC39" s="265">
        <f t="shared" si="50"/>
        <v>0</v>
      </c>
      <c r="CD39" s="265">
        <f t="shared" si="83"/>
        <v>0</v>
      </c>
      <c r="CE39" s="265">
        <f t="shared" si="84"/>
        <v>0</v>
      </c>
      <c r="CF39" s="265">
        <f t="shared" si="85"/>
        <v>0</v>
      </c>
      <c r="CG39" s="265">
        <f t="shared" si="86"/>
        <v>0</v>
      </c>
      <c r="CH39" s="265">
        <f t="shared" si="51"/>
        <v>0</v>
      </c>
      <c r="CI39" s="265">
        <f t="shared" si="52"/>
        <v>0</v>
      </c>
      <c r="CJ39" s="265">
        <f t="shared" si="87"/>
        <v>0</v>
      </c>
      <c r="CK39" s="265">
        <f t="shared" si="88"/>
        <v>0</v>
      </c>
      <c r="CL39" s="265">
        <f t="shared" si="53"/>
        <v>0</v>
      </c>
      <c r="CM39" s="265">
        <f t="shared" si="54"/>
        <v>0</v>
      </c>
      <c r="CN39" s="265">
        <f t="shared" si="55"/>
        <v>0</v>
      </c>
      <c r="CO39" s="265">
        <f t="shared" si="56"/>
        <v>0</v>
      </c>
      <c r="CP39" s="265">
        <f t="shared" si="89"/>
        <v>0</v>
      </c>
      <c r="CQ39" s="265">
        <f t="shared" si="90"/>
        <v>0</v>
      </c>
      <c r="CR39" s="265">
        <f t="shared" si="91"/>
        <v>0</v>
      </c>
      <c r="CS39" s="265">
        <f t="shared" si="92"/>
        <v>0</v>
      </c>
      <c r="CT39" s="265">
        <f t="shared" si="57"/>
        <v>0</v>
      </c>
      <c r="CU39" s="265">
        <f t="shared" si="58"/>
        <v>0</v>
      </c>
      <c r="CV39" s="265">
        <f t="shared" si="59"/>
        <v>0</v>
      </c>
      <c r="CW39" s="265">
        <f t="shared" si="60"/>
        <v>0</v>
      </c>
      <c r="CX39" s="265">
        <f t="shared" si="93"/>
        <v>0</v>
      </c>
      <c r="CY39" s="265">
        <f t="shared" si="94"/>
        <v>0</v>
      </c>
      <c r="CZ39" s="265">
        <f t="shared" si="95"/>
        <v>0</v>
      </c>
      <c r="DA39" s="265">
        <f t="shared" si="96"/>
        <v>0</v>
      </c>
    </row>
    <row r="40" spans="1:105" s="262" customFormat="1" ht="16.5" customHeight="1">
      <c r="A40" s="63">
        <f t="array" aca="1" ref="A40" ca="1">IF(C40&lt;&gt;0,SUM(($C$11:C40&lt;&gt;0)*1),"")</f>
        <v>2</v>
      </c>
      <c r="B40" s="263">
        <v>42735</v>
      </c>
      <c r="C40" s="266" t="s">
        <v>113</v>
      </c>
      <c r="D40" s="266">
        <f t="shared" ref="D40:D50" si="97">B40</f>
        <v>42735</v>
      </c>
      <c r="E40" s="919" t="s">
        <v>910</v>
      </c>
      <c r="F40" s="920">
        <f ca="1">AY52</f>
        <v>0</v>
      </c>
      <c r="G40" s="921" t="s">
        <v>915</v>
      </c>
      <c r="H40" s="921" t="s">
        <v>9</v>
      </c>
      <c r="I40" s="63">
        <f t="shared" ca="1" si="0"/>
        <v>2</v>
      </c>
      <c r="J40" s="265">
        <f t="shared" si="61"/>
        <v>0</v>
      </c>
      <c r="K40" s="265">
        <f t="shared" si="62"/>
        <v>0</v>
      </c>
      <c r="L40" s="265">
        <f t="shared" si="1"/>
        <v>0</v>
      </c>
      <c r="M40" s="265">
        <f t="shared" si="2"/>
        <v>0</v>
      </c>
      <c r="N40" s="265">
        <f t="shared" si="3"/>
        <v>0</v>
      </c>
      <c r="O40" s="265">
        <f t="shared" si="4"/>
        <v>0</v>
      </c>
      <c r="P40" s="265">
        <f t="shared" si="5"/>
        <v>0</v>
      </c>
      <c r="Q40" s="265">
        <f t="shared" si="6"/>
        <v>0</v>
      </c>
      <c r="R40" s="265">
        <f t="shared" si="7"/>
        <v>0</v>
      </c>
      <c r="S40" s="265">
        <f t="shared" ca="1" si="8"/>
        <v>0</v>
      </c>
      <c r="T40" s="265">
        <f t="shared" si="9"/>
        <v>0</v>
      </c>
      <c r="U40" s="265">
        <f t="shared" si="10"/>
        <v>0</v>
      </c>
      <c r="V40" s="265">
        <f t="shared" si="11"/>
        <v>0</v>
      </c>
      <c r="W40" s="265">
        <f t="shared" si="12"/>
        <v>0</v>
      </c>
      <c r="X40" s="265">
        <f t="shared" si="13"/>
        <v>0</v>
      </c>
      <c r="Y40" s="265">
        <f t="shared" si="14"/>
        <v>0</v>
      </c>
      <c r="Z40" s="265">
        <f t="shared" si="15"/>
        <v>0</v>
      </c>
      <c r="AA40" s="265">
        <f t="shared" si="16"/>
        <v>0</v>
      </c>
      <c r="AB40" s="265">
        <f t="shared" si="63"/>
        <v>0</v>
      </c>
      <c r="AC40" s="265">
        <f t="shared" si="64"/>
        <v>0</v>
      </c>
      <c r="AD40" s="265">
        <f t="shared" si="17"/>
        <v>0</v>
      </c>
      <c r="AE40" s="265">
        <f t="shared" si="18"/>
        <v>0</v>
      </c>
      <c r="AF40" s="265">
        <f t="shared" si="19"/>
        <v>0</v>
      </c>
      <c r="AG40" s="265">
        <f t="shared" si="20"/>
        <v>0</v>
      </c>
      <c r="AH40" s="265">
        <f t="shared" si="65"/>
        <v>0</v>
      </c>
      <c r="AI40" s="265">
        <f t="shared" si="66"/>
        <v>0</v>
      </c>
      <c r="AJ40" s="265">
        <f t="shared" si="67"/>
        <v>0</v>
      </c>
      <c r="AK40" s="265">
        <f t="shared" si="68"/>
        <v>0</v>
      </c>
      <c r="AL40" s="265">
        <f t="shared" si="69"/>
        <v>0</v>
      </c>
      <c r="AM40" s="265">
        <f t="shared" si="70"/>
        <v>0</v>
      </c>
      <c r="AN40" s="265">
        <f t="shared" si="71"/>
        <v>0</v>
      </c>
      <c r="AO40" s="265">
        <f t="shared" si="72"/>
        <v>0</v>
      </c>
      <c r="AP40" s="265">
        <f t="shared" si="21"/>
        <v>0</v>
      </c>
      <c r="AQ40" s="265">
        <f t="shared" si="22"/>
        <v>0</v>
      </c>
      <c r="AR40" s="265">
        <f t="shared" si="23"/>
        <v>0</v>
      </c>
      <c r="AS40" s="265">
        <f t="shared" si="24"/>
        <v>0</v>
      </c>
      <c r="AT40" s="265">
        <f t="shared" si="73"/>
        <v>0</v>
      </c>
      <c r="AU40" s="265">
        <f t="shared" si="74"/>
        <v>0</v>
      </c>
      <c r="AV40" s="265">
        <f t="shared" si="25"/>
        <v>0</v>
      </c>
      <c r="AW40" s="265">
        <f t="shared" si="26"/>
        <v>0</v>
      </c>
      <c r="AX40" s="265">
        <f t="shared" ca="1" si="27"/>
        <v>0</v>
      </c>
      <c r="AY40" s="265">
        <f t="shared" si="28"/>
        <v>0</v>
      </c>
      <c r="AZ40" s="265">
        <f t="shared" si="29"/>
        <v>0</v>
      </c>
      <c r="BA40" s="265">
        <f t="shared" si="30"/>
        <v>0</v>
      </c>
      <c r="BB40" s="265">
        <f t="shared" si="31"/>
        <v>0</v>
      </c>
      <c r="BC40" s="265">
        <f t="shared" si="32"/>
        <v>0</v>
      </c>
      <c r="BD40" s="265">
        <f t="shared" si="33"/>
        <v>0</v>
      </c>
      <c r="BE40" s="265">
        <f t="shared" si="34"/>
        <v>0</v>
      </c>
      <c r="BF40" s="265">
        <f t="shared" si="35"/>
        <v>0</v>
      </c>
      <c r="BG40" s="265">
        <f t="shared" si="36"/>
        <v>0</v>
      </c>
      <c r="BH40" s="265">
        <f t="shared" si="75"/>
        <v>0</v>
      </c>
      <c r="BI40" s="265">
        <f t="shared" si="76"/>
        <v>0</v>
      </c>
      <c r="BJ40" s="265">
        <f t="shared" si="37"/>
        <v>0</v>
      </c>
      <c r="BK40" s="265">
        <f t="shared" si="38"/>
        <v>0</v>
      </c>
      <c r="BL40" s="265">
        <f t="shared" si="39"/>
        <v>0</v>
      </c>
      <c r="BM40" s="265">
        <f t="shared" si="40"/>
        <v>0</v>
      </c>
      <c r="BN40" s="265">
        <f t="shared" si="41"/>
        <v>0</v>
      </c>
      <c r="BO40" s="265">
        <f t="shared" si="42"/>
        <v>0</v>
      </c>
      <c r="BP40" s="265">
        <f t="shared" si="77"/>
        <v>0</v>
      </c>
      <c r="BQ40" s="265">
        <f t="shared" si="78"/>
        <v>0</v>
      </c>
      <c r="BR40" s="265">
        <f t="shared" si="43"/>
        <v>0</v>
      </c>
      <c r="BS40" s="265">
        <f t="shared" si="44"/>
        <v>0</v>
      </c>
      <c r="BT40" s="265">
        <f t="shared" si="79"/>
        <v>0</v>
      </c>
      <c r="BU40" s="265">
        <f t="shared" si="80"/>
        <v>0</v>
      </c>
      <c r="BV40" s="265">
        <f t="shared" si="81"/>
        <v>0</v>
      </c>
      <c r="BW40" s="265">
        <f t="shared" si="82"/>
        <v>0</v>
      </c>
      <c r="BX40" s="265">
        <f t="shared" si="45"/>
        <v>0</v>
      </c>
      <c r="BY40" s="265">
        <f t="shared" si="46"/>
        <v>0</v>
      </c>
      <c r="BZ40" s="265">
        <f t="shared" si="47"/>
        <v>0</v>
      </c>
      <c r="CA40" s="265">
        <f t="shared" si="48"/>
        <v>0</v>
      </c>
      <c r="CB40" s="265">
        <f t="shared" si="49"/>
        <v>0</v>
      </c>
      <c r="CC40" s="265">
        <f t="shared" si="50"/>
        <v>0</v>
      </c>
      <c r="CD40" s="265">
        <f t="shared" si="83"/>
        <v>0</v>
      </c>
      <c r="CE40" s="265">
        <f t="shared" si="84"/>
        <v>0</v>
      </c>
      <c r="CF40" s="265">
        <f t="shared" si="85"/>
        <v>0</v>
      </c>
      <c r="CG40" s="265">
        <f t="shared" si="86"/>
        <v>0</v>
      </c>
      <c r="CH40" s="265">
        <f t="shared" si="51"/>
        <v>0</v>
      </c>
      <c r="CI40" s="265">
        <f t="shared" si="52"/>
        <v>0</v>
      </c>
      <c r="CJ40" s="265">
        <f t="shared" si="87"/>
        <v>0</v>
      </c>
      <c r="CK40" s="265">
        <f t="shared" si="88"/>
        <v>0</v>
      </c>
      <c r="CL40" s="265">
        <f t="shared" si="53"/>
        <v>0</v>
      </c>
      <c r="CM40" s="265">
        <f t="shared" si="54"/>
        <v>0</v>
      </c>
      <c r="CN40" s="265">
        <f t="shared" si="55"/>
        <v>0</v>
      </c>
      <c r="CO40" s="265">
        <f t="shared" si="56"/>
        <v>0</v>
      </c>
      <c r="CP40" s="265">
        <f t="shared" si="89"/>
        <v>0</v>
      </c>
      <c r="CQ40" s="265">
        <f t="shared" si="90"/>
        <v>0</v>
      </c>
      <c r="CR40" s="265">
        <f t="shared" si="91"/>
        <v>0</v>
      </c>
      <c r="CS40" s="265">
        <f t="shared" si="92"/>
        <v>0</v>
      </c>
      <c r="CT40" s="265">
        <f t="shared" si="57"/>
        <v>0</v>
      </c>
      <c r="CU40" s="265">
        <f t="shared" si="58"/>
        <v>0</v>
      </c>
      <c r="CV40" s="265">
        <f t="shared" si="59"/>
        <v>0</v>
      </c>
      <c r="CW40" s="265">
        <f t="shared" si="60"/>
        <v>0</v>
      </c>
      <c r="CX40" s="265">
        <f t="shared" si="93"/>
        <v>0</v>
      </c>
      <c r="CY40" s="265">
        <f t="shared" si="94"/>
        <v>0</v>
      </c>
      <c r="CZ40" s="265">
        <f t="shared" si="95"/>
        <v>0</v>
      </c>
      <c r="DA40" s="265">
        <f t="shared" si="96"/>
        <v>0</v>
      </c>
    </row>
    <row r="41" spans="1:105" s="262" customFormat="1" ht="16.5" customHeight="1">
      <c r="A41" s="63">
        <f t="array" aca="1" ref="A41" ca="1">IF(C41&lt;&gt;0,SUM(($C$11:C41&lt;&gt;0)*1),"")</f>
        <v>3</v>
      </c>
      <c r="B41" s="263">
        <v>42735</v>
      </c>
      <c r="C41" s="266" t="s">
        <v>113</v>
      </c>
      <c r="D41" s="266">
        <f t="shared" si="97"/>
        <v>42735</v>
      </c>
      <c r="E41" s="919" t="s">
        <v>911</v>
      </c>
      <c r="F41" s="920">
        <f ca="1">CL52</f>
        <v>0</v>
      </c>
      <c r="G41" s="921" t="s">
        <v>107</v>
      </c>
      <c r="H41" s="921" t="s">
        <v>288</v>
      </c>
      <c r="I41" s="63">
        <f t="shared" ca="1" si="0"/>
        <v>3</v>
      </c>
      <c r="J41" s="265">
        <f t="shared" si="61"/>
        <v>0</v>
      </c>
      <c r="K41" s="265">
        <f t="shared" si="62"/>
        <v>0</v>
      </c>
      <c r="L41" s="265">
        <f t="shared" si="1"/>
        <v>0</v>
      </c>
      <c r="M41" s="265">
        <f t="shared" si="2"/>
        <v>0</v>
      </c>
      <c r="N41" s="265">
        <f t="shared" si="3"/>
        <v>0</v>
      </c>
      <c r="O41" s="265">
        <f t="shared" si="4"/>
        <v>0</v>
      </c>
      <c r="P41" s="265">
        <f t="shared" si="5"/>
        <v>0</v>
      </c>
      <c r="Q41" s="265">
        <f t="shared" si="6"/>
        <v>0</v>
      </c>
      <c r="R41" s="265">
        <f t="shared" si="7"/>
        <v>0</v>
      </c>
      <c r="S41" s="265">
        <f t="shared" si="8"/>
        <v>0</v>
      </c>
      <c r="T41" s="265">
        <f t="shared" si="9"/>
        <v>0</v>
      </c>
      <c r="U41" s="265">
        <f t="shared" si="10"/>
        <v>0</v>
      </c>
      <c r="V41" s="265">
        <f t="shared" si="11"/>
        <v>0</v>
      </c>
      <c r="W41" s="265">
        <f t="shared" si="12"/>
        <v>0</v>
      </c>
      <c r="X41" s="265">
        <f t="shared" si="13"/>
        <v>0</v>
      </c>
      <c r="Y41" s="265">
        <f t="shared" si="14"/>
        <v>0</v>
      </c>
      <c r="Z41" s="265">
        <f t="shared" si="15"/>
        <v>0</v>
      </c>
      <c r="AA41" s="265">
        <f t="shared" si="16"/>
        <v>0</v>
      </c>
      <c r="AB41" s="265">
        <f t="shared" si="63"/>
        <v>0</v>
      </c>
      <c r="AC41" s="265">
        <f t="shared" si="64"/>
        <v>0</v>
      </c>
      <c r="AD41" s="265">
        <f t="shared" si="17"/>
        <v>0</v>
      </c>
      <c r="AE41" s="265">
        <f t="shared" si="18"/>
        <v>0</v>
      </c>
      <c r="AF41" s="265">
        <f t="shared" si="19"/>
        <v>0</v>
      </c>
      <c r="AG41" s="265">
        <f t="shared" si="20"/>
        <v>0</v>
      </c>
      <c r="AH41" s="265">
        <f t="shared" si="65"/>
        <v>0</v>
      </c>
      <c r="AI41" s="265">
        <f t="shared" si="66"/>
        <v>0</v>
      </c>
      <c r="AJ41" s="265">
        <f t="shared" si="67"/>
        <v>0</v>
      </c>
      <c r="AK41" s="265">
        <f t="shared" si="68"/>
        <v>0</v>
      </c>
      <c r="AL41" s="265">
        <f t="shared" si="69"/>
        <v>0</v>
      </c>
      <c r="AM41" s="265">
        <f t="shared" si="70"/>
        <v>0</v>
      </c>
      <c r="AN41" s="265">
        <f t="shared" si="71"/>
        <v>0</v>
      </c>
      <c r="AO41" s="265">
        <f t="shared" si="72"/>
        <v>0</v>
      </c>
      <c r="AP41" s="265">
        <f t="shared" si="21"/>
        <v>0</v>
      </c>
      <c r="AQ41" s="265">
        <f t="shared" si="22"/>
        <v>0</v>
      </c>
      <c r="AR41" s="265">
        <f t="shared" si="23"/>
        <v>0</v>
      </c>
      <c r="AS41" s="265">
        <f t="shared" si="24"/>
        <v>0</v>
      </c>
      <c r="AT41" s="265">
        <f t="shared" si="73"/>
        <v>0</v>
      </c>
      <c r="AU41" s="265">
        <f t="shared" si="74"/>
        <v>0</v>
      </c>
      <c r="AV41" s="265">
        <f t="shared" si="25"/>
        <v>0</v>
      </c>
      <c r="AW41" s="265">
        <f t="shared" si="26"/>
        <v>0</v>
      </c>
      <c r="AX41" s="265">
        <f t="shared" si="27"/>
        <v>0</v>
      </c>
      <c r="AY41" s="265">
        <f t="shared" si="28"/>
        <v>0</v>
      </c>
      <c r="AZ41" s="265">
        <f t="shared" si="29"/>
        <v>0</v>
      </c>
      <c r="BA41" s="265">
        <f t="shared" si="30"/>
        <v>0</v>
      </c>
      <c r="BB41" s="265">
        <f t="shared" si="31"/>
        <v>0</v>
      </c>
      <c r="BC41" s="265">
        <f t="shared" si="32"/>
        <v>0</v>
      </c>
      <c r="BD41" s="265">
        <f t="shared" si="33"/>
        <v>0</v>
      </c>
      <c r="BE41" s="265">
        <f t="shared" si="34"/>
        <v>0</v>
      </c>
      <c r="BF41" s="265">
        <f t="shared" si="35"/>
        <v>0</v>
      </c>
      <c r="BG41" s="265">
        <f t="shared" si="36"/>
        <v>0</v>
      </c>
      <c r="BH41" s="265">
        <f t="shared" si="75"/>
        <v>0</v>
      </c>
      <c r="BI41" s="265">
        <f t="shared" si="76"/>
        <v>0</v>
      </c>
      <c r="BJ41" s="265">
        <f t="shared" si="37"/>
        <v>0</v>
      </c>
      <c r="BK41" s="265">
        <f t="shared" si="38"/>
        <v>0</v>
      </c>
      <c r="BL41" s="265">
        <f t="shared" si="39"/>
        <v>0</v>
      </c>
      <c r="BM41" s="265">
        <f t="shared" si="40"/>
        <v>0</v>
      </c>
      <c r="BN41" s="265">
        <f t="shared" si="41"/>
        <v>0</v>
      </c>
      <c r="BO41" s="265">
        <f t="shared" si="42"/>
        <v>0</v>
      </c>
      <c r="BP41" s="265">
        <f t="shared" si="77"/>
        <v>0</v>
      </c>
      <c r="BQ41" s="265">
        <f t="shared" si="78"/>
        <v>0</v>
      </c>
      <c r="BR41" s="265">
        <f t="shared" si="43"/>
        <v>0</v>
      </c>
      <c r="BS41" s="265">
        <f t="shared" si="44"/>
        <v>0</v>
      </c>
      <c r="BT41" s="265">
        <f t="shared" si="79"/>
        <v>0</v>
      </c>
      <c r="BU41" s="265">
        <f t="shared" si="80"/>
        <v>0</v>
      </c>
      <c r="BV41" s="265">
        <f t="shared" si="81"/>
        <v>0</v>
      </c>
      <c r="BW41" s="265">
        <f t="shared" si="82"/>
        <v>0</v>
      </c>
      <c r="BX41" s="265">
        <f t="shared" si="45"/>
        <v>0</v>
      </c>
      <c r="BY41" s="265">
        <f t="shared" si="46"/>
        <v>0</v>
      </c>
      <c r="BZ41" s="265">
        <f t="shared" si="47"/>
        <v>0</v>
      </c>
      <c r="CA41" s="265">
        <f t="shared" si="48"/>
        <v>0</v>
      </c>
      <c r="CB41" s="265">
        <f t="shared" si="49"/>
        <v>0</v>
      </c>
      <c r="CC41" s="265">
        <f t="shared" si="50"/>
        <v>0</v>
      </c>
      <c r="CD41" s="265">
        <f t="shared" si="83"/>
        <v>0</v>
      </c>
      <c r="CE41" s="265">
        <f t="shared" si="84"/>
        <v>0</v>
      </c>
      <c r="CF41" s="265">
        <f t="shared" si="85"/>
        <v>0</v>
      </c>
      <c r="CG41" s="265">
        <f t="shared" si="86"/>
        <v>0</v>
      </c>
      <c r="CH41" s="265">
        <f t="shared" si="51"/>
        <v>0</v>
      </c>
      <c r="CI41" s="265">
        <f t="shared" si="52"/>
        <v>0</v>
      </c>
      <c r="CJ41" s="265">
        <f t="shared" si="87"/>
        <v>0</v>
      </c>
      <c r="CK41" s="265">
        <f t="shared" si="88"/>
        <v>0</v>
      </c>
      <c r="CL41" s="265">
        <f t="shared" si="53"/>
        <v>0</v>
      </c>
      <c r="CM41" s="265">
        <f t="shared" ca="1" si="54"/>
        <v>0</v>
      </c>
      <c r="CN41" s="265">
        <f t="shared" si="55"/>
        <v>0</v>
      </c>
      <c r="CO41" s="265">
        <f t="shared" si="56"/>
        <v>0</v>
      </c>
      <c r="CP41" s="265">
        <f t="shared" si="89"/>
        <v>0</v>
      </c>
      <c r="CQ41" s="265">
        <f t="shared" si="90"/>
        <v>0</v>
      </c>
      <c r="CR41" s="265">
        <f t="shared" si="91"/>
        <v>0</v>
      </c>
      <c r="CS41" s="265">
        <f t="shared" si="92"/>
        <v>0</v>
      </c>
      <c r="CT41" s="265">
        <f t="shared" si="57"/>
        <v>0</v>
      </c>
      <c r="CU41" s="265">
        <f t="shared" si="58"/>
        <v>0</v>
      </c>
      <c r="CV41" s="265">
        <f t="shared" si="59"/>
        <v>0</v>
      </c>
      <c r="CW41" s="265">
        <f t="shared" si="60"/>
        <v>0</v>
      </c>
      <c r="CX41" s="265">
        <f t="shared" si="93"/>
        <v>0</v>
      </c>
      <c r="CY41" s="265">
        <f t="shared" si="94"/>
        <v>0</v>
      </c>
      <c r="CZ41" s="265">
        <f t="shared" ca="1" si="95"/>
        <v>0</v>
      </c>
      <c r="DA41" s="265">
        <f t="shared" si="96"/>
        <v>0</v>
      </c>
    </row>
    <row r="42" spans="1:105" s="262" customFormat="1" ht="16.5" customHeight="1">
      <c r="A42" s="63">
        <f t="array" aca="1" ref="A42" ca="1">IF(C42&lt;&gt;0,SUM(($C$11:C42&lt;&gt;0)*1),"")</f>
        <v>4</v>
      </c>
      <c r="B42" s="263">
        <v>42735</v>
      </c>
      <c r="C42" s="266" t="s">
        <v>113</v>
      </c>
      <c r="D42" s="266">
        <f t="shared" si="97"/>
        <v>42735</v>
      </c>
      <c r="E42" s="919" t="s">
        <v>114</v>
      </c>
      <c r="F42" s="920">
        <f ca="1">CN52</f>
        <v>0</v>
      </c>
      <c r="G42" s="921" t="s">
        <v>107</v>
      </c>
      <c r="H42" s="921" t="s">
        <v>97</v>
      </c>
      <c r="I42" s="63">
        <f t="shared" ca="1" si="0"/>
        <v>4</v>
      </c>
      <c r="J42" s="265">
        <f t="shared" si="61"/>
        <v>0</v>
      </c>
      <c r="K42" s="265">
        <f t="shared" si="62"/>
        <v>0</v>
      </c>
      <c r="L42" s="265">
        <f t="shared" si="1"/>
        <v>0</v>
      </c>
      <c r="M42" s="265">
        <f t="shared" si="2"/>
        <v>0</v>
      </c>
      <c r="N42" s="265">
        <f t="shared" si="3"/>
        <v>0</v>
      </c>
      <c r="O42" s="265">
        <f t="shared" si="4"/>
        <v>0</v>
      </c>
      <c r="P42" s="265">
        <f t="shared" si="5"/>
        <v>0</v>
      </c>
      <c r="Q42" s="265">
        <f t="shared" si="6"/>
        <v>0</v>
      </c>
      <c r="R42" s="265">
        <f t="shared" si="7"/>
        <v>0</v>
      </c>
      <c r="S42" s="265">
        <f t="shared" si="8"/>
        <v>0</v>
      </c>
      <c r="T42" s="265">
        <f t="shared" si="9"/>
        <v>0</v>
      </c>
      <c r="U42" s="265">
        <f t="shared" si="10"/>
        <v>0</v>
      </c>
      <c r="V42" s="265">
        <f t="shared" si="11"/>
        <v>0</v>
      </c>
      <c r="W42" s="265">
        <f t="shared" si="12"/>
        <v>0</v>
      </c>
      <c r="X42" s="265">
        <f t="shared" si="13"/>
        <v>0</v>
      </c>
      <c r="Y42" s="265">
        <f t="shared" si="14"/>
        <v>0</v>
      </c>
      <c r="Z42" s="265">
        <f t="shared" si="15"/>
        <v>0</v>
      </c>
      <c r="AA42" s="265">
        <f t="shared" si="16"/>
        <v>0</v>
      </c>
      <c r="AB42" s="265">
        <f t="shared" si="63"/>
        <v>0</v>
      </c>
      <c r="AC42" s="265">
        <f t="shared" si="64"/>
        <v>0</v>
      </c>
      <c r="AD42" s="265">
        <f t="shared" si="17"/>
        <v>0</v>
      </c>
      <c r="AE42" s="265">
        <f t="shared" si="18"/>
        <v>0</v>
      </c>
      <c r="AF42" s="265">
        <f t="shared" si="19"/>
        <v>0</v>
      </c>
      <c r="AG42" s="265">
        <f t="shared" si="20"/>
        <v>0</v>
      </c>
      <c r="AH42" s="265">
        <f t="shared" si="65"/>
        <v>0</v>
      </c>
      <c r="AI42" s="265">
        <f t="shared" si="66"/>
        <v>0</v>
      </c>
      <c r="AJ42" s="265">
        <f t="shared" si="67"/>
        <v>0</v>
      </c>
      <c r="AK42" s="265">
        <f t="shared" si="68"/>
        <v>0</v>
      </c>
      <c r="AL42" s="265">
        <f t="shared" si="69"/>
        <v>0</v>
      </c>
      <c r="AM42" s="265">
        <f t="shared" si="70"/>
        <v>0</v>
      </c>
      <c r="AN42" s="265">
        <f t="shared" si="71"/>
        <v>0</v>
      </c>
      <c r="AO42" s="265">
        <f t="shared" si="72"/>
        <v>0</v>
      </c>
      <c r="AP42" s="265">
        <f t="shared" si="21"/>
        <v>0</v>
      </c>
      <c r="AQ42" s="265">
        <f t="shared" si="22"/>
        <v>0</v>
      </c>
      <c r="AR42" s="265">
        <f t="shared" si="23"/>
        <v>0</v>
      </c>
      <c r="AS42" s="265">
        <f t="shared" si="24"/>
        <v>0</v>
      </c>
      <c r="AT42" s="265">
        <f t="shared" si="73"/>
        <v>0</v>
      </c>
      <c r="AU42" s="265">
        <f t="shared" si="74"/>
        <v>0</v>
      </c>
      <c r="AV42" s="265">
        <f t="shared" si="25"/>
        <v>0</v>
      </c>
      <c r="AW42" s="265">
        <f t="shared" si="26"/>
        <v>0</v>
      </c>
      <c r="AX42" s="265">
        <f t="shared" si="27"/>
        <v>0</v>
      </c>
      <c r="AY42" s="265">
        <f t="shared" si="28"/>
        <v>0</v>
      </c>
      <c r="AZ42" s="265">
        <f t="shared" si="29"/>
        <v>0</v>
      </c>
      <c r="BA42" s="265">
        <f t="shared" si="30"/>
        <v>0</v>
      </c>
      <c r="BB42" s="265">
        <f t="shared" si="31"/>
        <v>0</v>
      </c>
      <c r="BC42" s="265">
        <f t="shared" si="32"/>
        <v>0</v>
      </c>
      <c r="BD42" s="265">
        <f t="shared" si="33"/>
        <v>0</v>
      </c>
      <c r="BE42" s="265">
        <f t="shared" si="34"/>
        <v>0</v>
      </c>
      <c r="BF42" s="265">
        <f t="shared" si="35"/>
        <v>0</v>
      </c>
      <c r="BG42" s="265">
        <f t="shared" si="36"/>
        <v>0</v>
      </c>
      <c r="BH42" s="265">
        <f t="shared" si="75"/>
        <v>0</v>
      </c>
      <c r="BI42" s="265">
        <f t="shared" si="76"/>
        <v>0</v>
      </c>
      <c r="BJ42" s="265">
        <f t="shared" si="37"/>
        <v>0</v>
      </c>
      <c r="BK42" s="265">
        <f t="shared" si="38"/>
        <v>0</v>
      </c>
      <c r="BL42" s="265">
        <f t="shared" si="39"/>
        <v>0</v>
      </c>
      <c r="BM42" s="265">
        <f t="shared" si="40"/>
        <v>0</v>
      </c>
      <c r="BN42" s="265">
        <f t="shared" si="41"/>
        <v>0</v>
      </c>
      <c r="BO42" s="265">
        <f t="shared" si="42"/>
        <v>0</v>
      </c>
      <c r="BP42" s="265">
        <f t="shared" si="77"/>
        <v>0</v>
      </c>
      <c r="BQ42" s="265">
        <f t="shared" si="78"/>
        <v>0</v>
      </c>
      <c r="BR42" s="265">
        <f t="shared" si="43"/>
        <v>0</v>
      </c>
      <c r="BS42" s="265">
        <f t="shared" si="44"/>
        <v>0</v>
      </c>
      <c r="BT42" s="265">
        <f t="shared" si="79"/>
        <v>0</v>
      </c>
      <c r="BU42" s="265">
        <f t="shared" si="80"/>
        <v>0</v>
      </c>
      <c r="BV42" s="265">
        <f t="shared" si="81"/>
        <v>0</v>
      </c>
      <c r="BW42" s="265">
        <f t="shared" si="82"/>
        <v>0</v>
      </c>
      <c r="BX42" s="265">
        <f t="shared" si="45"/>
        <v>0</v>
      </c>
      <c r="BY42" s="265">
        <f t="shared" si="46"/>
        <v>0</v>
      </c>
      <c r="BZ42" s="265">
        <f t="shared" si="47"/>
        <v>0</v>
      </c>
      <c r="CA42" s="265">
        <f t="shared" si="48"/>
        <v>0</v>
      </c>
      <c r="CB42" s="265">
        <f t="shared" si="49"/>
        <v>0</v>
      </c>
      <c r="CC42" s="265">
        <f t="shared" si="50"/>
        <v>0</v>
      </c>
      <c r="CD42" s="265">
        <f t="shared" si="83"/>
        <v>0</v>
      </c>
      <c r="CE42" s="265">
        <f t="shared" si="84"/>
        <v>0</v>
      </c>
      <c r="CF42" s="265">
        <f t="shared" si="85"/>
        <v>0</v>
      </c>
      <c r="CG42" s="265">
        <f t="shared" si="86"/>
        <v>0</v>
      </c>
      <c r="CH42" s="265">
        <f t="shared" si="51"/>
        <v>0</v>
      </c>
      <c r="CI42" s="265">
        <f t="shared" si="52"/>
        <v>0</v>
      </c>
      <c r="CJ42" s="265">
        <f t="shared" si="87"/>
        <v>0</v>
      </c>
      <c r="CK42" s="265">
        <f t="shared" si="88"/>
        <v>0</v>
      </c>
      <c r="CL42" s="265">
        <f t="shared" si="53"/>
        <v>0</v>
      </c>
      <c r="CM42" s="265">
        <f t="shared" si="54"/>
        <v>0</v>
      </c>
      <c r="CN42" s="265">
        <f t="shared" si="55"/>
        <v>0</v>
      </c>
      <c r="CO42" s="265">
        <f t="shared" ca="1" si="56"/>
        <v>0</v>
      </c>
      <c r="CP42" s="265">
        <f t="shared" si="89"/>
        <v>0</v>
      </c>
      <c r="CQ42" s="265">
        <f t="shared" si="90"/>
        <v>0</v>
      </c>
      <c r="CR42" s="265">
        <f t="shared" si="91"/>
        <v>0</v>
      </c>
      <c r="CS42" s="265">
        <f t="shared" si="92"/>
        <v>0</v>
      </c>
      <c r="CT42" s="265">
        <f t="shared" si="57"/>
        <v>0</v>
      </c>
      <c r="CU42" s="265">
        <f t="shared" si="58"/>
        <v>0</v>
      </c>
      <c r="CV42" s="265">
        <f t="shared" si="59"/>
        <v>0</v>
      </c>
      <c r="CW42" s="265">
        <f t="shared" si="60"/>
        <v>0</v>
      </c>
      <c r="CX42" s="265">
        <f t="shared" si="93"/>
        <v>0</v>
      </c>
      <c r="CY42" s="265">
        <f t="shared" si="94"/>
        <v>0</v>
      </c>
      <c r="CZ42" s="265">
        <f t="shared" ca="1" si="95"/>
        <v>0</v>
      </c>
      <c r="DA42" s="265">
        <f t="shared" si="96"/>
        <v>0</v>
      </c>
    </row>
    <row r="43" spans="1:105" s="262" customFormat="1" ht="16.5" customHeight="1">
      <c r="A43" s="63">
        <f t="array" aca="1" ref="A43" ca="1">IF(C43&lt;&gt;0,SUM(($C$11:C43&lt;&gt;0)*1),"")</f>
        <v>5</v>
      </c>
      <c r="B43" s="263">
        <v>42735</v>
      </c>
      <c r="C43" s="266" t="s">
        <v>113</v>
      </c>
      <c r="D43" s="266">
        <f t="shared" si="97"/>
        <v>42735</v>
      </c>
      <c r="E43" s="919" t="s">
        <v>912</v>
      </c>
      <c r="F43" s="920">
        <f ca="1">CP52</f>
        <v>0</v>
      </c>
      <c r="G43" s="921" t="s">
        <v>107</v>
      </c>
      <c r="H43" s="921" t="s">
        <v>579</v>
      </c>
      <c r="I43" s="63">
        <f t="shared" ca="1" si="0"/>
        <v>5</v>
      </c>
      <c r="J43" s="265">
        <f t="shared" si="61"/>
        <v>0</v>
      </c>
      <c r="K43" s="265">
        <f t="shared" si="62"/>
        <v>0</v>
      </c>
      <c r="L43" s="265">
        <f t="shared" si="1"/>
        <v>0</v>
      </c>
      <c r="M43" s="265">
        <f t="shared" si="2"/>
        <v>0</v>
      </c>
      <c r="N43" s="265">
        <f t="shared" si="3"/>
        <v>0</v>
      </c>
      <c r="O43" s="265">
        <f t="shared" si="4"/>
        <v>0</v>
      </c>
      <c r="P43" s="265">
        <f t="shared" si="5"/>
        <v>0</v>
      </c>
      <c r="Q43" s="265">
        <f t="shared" si="6"/>
        <v>0</v>
      </c>
      <c r="R43" s="265">
        <f t="shared" si="7"/>
        <v>0</v>
      </c>
      <c r="S43" s="265">
        <f t="shared" si="8"/>
        <v>0</v>
      </c>
      <c r="T43" s="265">
        <f t="shared" si="9"/>
        <v>0</v>
      </c>
      <c r="U43" s="265">
        <f t="shared" si="10"/>
        <v>0</v>
      </c>
      <c r="V43" s="265">
        <f t="shared" si="11"/>
        <v>0</v>
      </c>
      <c r="W43" s="265">
        <f t="shared" si="12"/>
        <v>0</v>
      </c>
      <c r="X43" s="265">
        <f t="shared" si="13"/>
        <v>0</v>
      </c>
      <c r="Y43" s="265">
        <f t="shared" si="14"/>
        <v>0</v>
      </c>
      <c r="Z43" s="265">
        <f t="shared" si="15"/>
        <v>0</v>
      </c>
      <c r="AA43" s="265">
        <f t="shared" si="16"/>
        <v>0</v>
      </c>
      <c r="AB43" s="265">
        <f t="shared" si="63"/>
        <v>0</v>
      </c>
      <c r="AC43" s="265">
        <f t="shared" si="64"/>
        <v>0</v>
      </c>
      <c r="AD43" s="265">
        <f t="shared" si="17"/>
        <v>0</v>
      </c>
      <c r="AE43" s="265">
        <f t="shared" si="18"/>
        <v>0</v>
      </c>
      <c r="AF43" s="265">
        <f t="shared" si="19"/>
        <v>0</v>
      </c>
      <c r="AG43" s="265">
        <f t="shared" si="20"/>
        <v>0</v>
      </c>
      <c r="AH43" s="265">
        <f t="shared" si="65"/>
        <v>0</v>
      </c>
      <c r="AI43" s="265">
        <f t="shared" si="66"/>
        <v>0</v>
      </c>
      <c r="AJ43" s="265">
        <f t="shared" si="67"/>
        <v>0</v>
      </c>
      <c r="AK43" s="265">
        <f t="shared" si="68"/>
        <v>0</v>
      </c>
      <c r="AL43" s="265">
        <f t="shared" si="69"/>
        <v>0</v>
      </c>
      <c r="AM43" s="265">
        <f t="shared" si="70"/>
        <v>0</v>
      </c>
      <c r="AN43" s="265">
        <f t="shared" si="71"/>
        <v>0</v>
      </c>
      <c r="AO43" s="265">
        <f t="shared" si="72"/>
        <v>0</v>
      </c>
      <c r="AP43" s="265">
        <f t="shared" si="21"/>
        <v>0</v>
      </c>
      <c r="AQ43" s="265">
        <f t="shared" si="22"/>
        <v>0</v>
      </c>
      <c r="AR43" s="265">
        <f t="shared" si="23"/>
        <v>0</v>
      </c>
      <c r="AS43" s="265">
        <f t="shared" si="24"/>
        <v>0</v>
      </c>
      <c r="AT43" s="265">
        <f t="shared" si="73"/>
        <v>0</v>
      </c>
      <c r="AU43" s="265">
        <f t="shared" si="74"/>
        <v>0</v>
      </c>
      <c r="AV43" s="265">
        <f t="shared" si="25"/>
        <v>0</v>
      </c>
      <c r="AW43" s="265">
        <f t="shared" si="26"/>
        <v>0</v>
      </c>
      <c r="AX43" s="265">
        <f t="shared" si="27"/>
        <v>0</v>
      </c>
      <c r="AY43" s="265">
        <f t="shared" si="28"/>
        <v>0</v>
      </c>
      <c r="AZ43" s="265">
        <f t="shared" si="29"/>
        <v>0</v>
      </c>
      <c r="BA43" s="265">
        <f t="shared" si="30"/>
        <v>0</v>
      </c>
      <c r="BB43" s="265">
        <f t="shared" si="31"/>
        <v>0</v>
      </c>
      <c r="BC43" s="265">
        <f t="shared" si="32"/>
        <v>0</v>
      </c>
      <c r="BD43" s="265">
        <f t="shared" si="33"/>
        <v>0</v>
      </c>
      <c r="BE43" s="265">
        <f t="shared" si="34"/>
        <v>0</v>
      </c>
      <c r="BF43" s="265">
        <f t="shared" si="35"/>
        <v>0</v>
      </c>
      <c r="BG43" s="265">
        <f t="shared" si="36"/>
        <v>0</v>
      </c>
      <c r="BH43" s="265">
        <f t="shared" si="75"/>
        <v>0</v>
      </c>
      <c r="BI43" s="265">
        <f t="shared" si="76"/>
        <v>0</v>
      </c>
      <c r="BJ43" s="265">
        <f t="shared" si="37"/>
        <v>0</v>
      </c>
      <c r="BK43" s="265">
        <f t="shared" si="38"/>
        <v>0</v>
      </c>
      <c r="BL43" s="265">
        <f t="shared" si="39"/>
        <v>0</v>
      </c>
      <c r="BM43" s="265">
        <f t="shared" si="40"/>
        <v>0</v>
      </c>
      <c r="BN43" s="265">
        <f t="shared" si="41"/>
        <v>0</v>
      </c>
      <c r="BO43" s="265">
        <f t="shared" si="42"/>
        <v>0</v>
      </c>
      <c r="BP43" s="265">
        <f t="shared" si="77"/>
        <v>0</v>
      </c>
      <c r="BQ43" s="265">
        <f t="shared" si="78"/>
        <v>0</v>
      </c>
      <c r="BR43" s="265">
        <f t="shared" si="43"/>
        <v>0</v>
      </c>
      <c r="BS43" s="265">
        <f t="shared" si="44"/>
        <v>0</v>
      </c>
      <c r="BT43" s="265">
        <f t="shared" si="79"/>
        <v>0</v>
      </c>
      <c r="BU43" s="265">
        <f t="shared" si="80"/>
        <v>0</v>
      </c>
      <c r="BV43" s="265">
        <f t="shared" si="81"/>
        <v>0</v>
      </c>
      <c r="BW43" s="265">
        <f t="shared" si="82"/>
        <v>0</v>
      </c>
      <c r="BX43" s="265">
        <f t="shared" si="45"/>
        <v>0</v>
      </c>
      <c r="BY43" s="265">
        <f t="shared" si="46"/>
        <v>0</v>
      </c>
      <c r="BZ43" s="265">
        <f t="shared" si="47"/>
        <v>0</v>
      </c>
      <c r="CA43" s="265">
        <f t="shared" si="48"/>
        <v>0</v>
      </c>
      <c r="CB43" s="265">
        <f t="shared" si="49"/>
        <v>0</v>
      </c>
      <c r="CC43" s="265">
        <f t="shared" si="50"/>
        <v>0</v>
      </c>
      <c r="CD43" s="265">
        <f t="shared" si="83"/>
        <v>0</v>
      </c>
      <c r="CE43" s="265">
        <f t="shared" si="84"/>
        <v>0</v>
      </c>
      <c r="CF43" s="265">
        <f t="shared" si="85"/>
        <v>0</v>
      </c>
      <c r="CG43" s="265">
        <f t="shared" si="86"/>
        <v>0</v>
      </c>
      <c r="CH43" s="265">
        <f t="shared" si="51"/>
        <v>0</v>
      </c>
      <c r="CI43" s="265">
        <f t="shared" si="52"/>
        <v>0</v>
      </c>
      <c r="CJ43" s="265">
        <f t="shared" si="87"/>
        <v>0</v>
      </c>
      <c r="CK43" s="265">
        <f t="shared" si="88"/>
        <v>0</v>
      </c>
      <c r="CL43" s="265">
        <f t="shared" si="53"/>
        <v>0</v>
      </c>
      <c r="CM43" s="265">
        <f t="shared" si="54"/>
        <v>0</v>
      </c>
      <c r="CN43" s="265">
        <f t="shared" si="55"/>
        <v>0</v>
      </c>
      <c r="CO43" s="265">
        <f t="shared" si="56"/>
        <v>0</v>
      </c>
      <c r="CP43" s="265">
        <f t="shared" si="89"/>
        <v>0</v>
      </c>
      <c r="CQ43" s="265">
        <f t="shared" ca="1" si="90"/>
        <v>0</v>
      </c>
      <c r="CR43" s="265">
        <f t="shared" si="91"/>
        <v>0</v>
      </c>
      <c r="CS43" s="265">
        <f t="shared" si="92"/>
        <v>0</v>
      </c>
      <c r="CT43" s="265">
        <f t="shared" si="57"/>
        <v>0</v>
      </c>
      <c r="CU43" s="265">
        <f t="shared" si="58"/>
        <v>0</v>
      </c>
      <c r="CV43" s="265">
        <f t="shared" si="59"/>
        <v>0</v>
      </c>
      <c r="CW43" s="265">
        <f t="shared" si="60"/>
        <v>0</v>
      </c>
      <c r="CX43" s="265">
        <f t="shared" si="93"/>
        <v>0</v>
      </c>
      <c r="CY43" s="265">
        <f t="shared" si="94"/>
        <v>0</v>
      </c>
      <c r="CZ43" s="265">
        <f t="shared" ca="1" si="95"/>
        <v>0</v>
      </c>
      <c r="DA43" s="265">
        <f t="shared" si="96"/>
        <v>0</v>
      </c>
    </row>
    <row r="44" spans="1:105" s="262" customFormat="1" ht="16.5" customHeight="1">
      <c r="A44" s="63">
        <f t="array" aca="1" ref="A44" ca="1">IF(C44&lt;&gt;0,SUM(($C$11:C44&lt;&gt;0)*1),"")</f>
        <v>6</v>
      </c>
      <c r="B44" s="263">
        <v>42735</v>
      </c>
      <c r="C44" s="266" t="s">
        <v>113</v>
      </c>
      <c r="D44" s="266">
        <f t="shared" si="97"/>
        <v>42735</v>
      </c>
      <c r="E44" s="919" t="s">
        <v>115</v>
      </c>
      <c r="F44" s="920">
        <f ca="1">CR52</f>
        <v>0</v>
      </c>
      <c r="G44" s="921" t="s">
        <v>107</v>
      </c>
      <c r="H44" s="921" t="s">
        <v>99</v>
      </c>
      <c r="I44" s="63">
        <f t="shared" ca="1" si="0"/>
        <v>6</v>
      </c>
      <c r="J44" s="265">
        <f t="shared" si="61"/>
        <v>0</v>
      </c>
      <c r="K44" s="265">
        <f t="shared" si="62"/>
        <v>0</v>
      </c>
      <c r="L44" s="265">
        <f t="shared" si="1"/>
        <v>0</v>
      </c>
      <c r="M44" s="265">
        <f t="shared" si="2"/>
        <v>0</v>
      </c>
      <c r="N44" s="265">
        <f t="shared" si="3"/>
        <v>0</v>
      </c>
      <c r="O44" s="265">
        <f t="shared" si="4"/>
        <v>0</v>
      </c>
      <c r="P44" s="265">
        <f t="shared" si="5"/>
        <v>0</v>
      </c>
      <c r="Q44" s="265">
        <f t="shared" si="6"/>
        <v>0</v>
      </c>
      <c r="R44" s="265">
        <f t="shared" si="7"/>
        <v>0</v>
      </c>
      <c r="S44" s="265">
        <f t="shared" si="8"/>
        <v>0</v>
      </c>
      <c r="T44" s="265">
        <f t="shared" si="9"/>
        <v>0</v>
      </c>
      <c r="U44" s="265">
        <f t="shared" si="10"/>
        <v>0</v>
      </c>
      <c r="V44" s="265">
        <f t="shared" si="11"/>
        <v>0</v>
      </c>
      <c r="W44" s="265">
        <f t="shared" si="12"/>
        <v>0</v>
      </c>
      <c r="X44" s="265">
        <f t="shared" si="13"/>
        <v>0</v>
      </c>
      <c r="Y44" s="265">
        <f t="shared" si="14"/>
        <v>0</v>
      </c>
      <c r="Z44" s="265">
        <f t="shared" si="15"/>
        <v>0</v>
      </c>
      <c r="AA44" s="265">
        <f t="shared" si="16"/>
        <v>0</v>
      </c>
      <c r="AB44" s="265">
        <f t="shared" si="63"/>
        <v>0</v>
      </c>
      <c r="AC44" s="265">
        <f t="shared" si="64"/>
        <v>0</v>
      </c>
      <c r="AD44" s="265">
        <f t="shared" si="17"/>
        <v>0</v>
      </c>
      <c r="AE44" s="265">
        <f t="shared" si="18"/>
        <v>0</v>
      </c>
      <c r="AF44" s="265">
        <f t="shared" si="19"/>
        <v>0</v>
      </c>
      <c r="AG44" s="265">
        <f t="shared" si="20"/>
        <v>0</v>
      </c>
      <c r="AH44" s="265">
        <f t="shared" si="65"/>
        <v>0</v>
      </c>
      <c r="AI44" s="265">
        <f t="shared" si="66"/>
        <v>0</v>
      </c>
      <c r="AJ44" s="265">
        <f t="shared" si="67"/>
        <v>0</v>
      </c>
      <c r="AK44" s="265">
        <f t="shared" si="68"/>
        <v>0</v>
      </c>
      <c r="AL44" s="265">
        <f t="shared" si="69"/>
        <v>0</v>
      </c>
      <c r="AM44" s="265">
        <f t="shared" si="70"/>
        <v>0</v>
      </c>
      <c r="AN44" s="265">
        <f t="shared" si="71"/>
        <v>0</v>
      </c>
      <c r="AO44" s="265">
        <f t="shared" si="72"/>
        <v>0</v>
      </c>
      <c r="AP44" s="265">
        <f t="shared" si="21"/>
        <v>0</v>
      </c>
      <c r="AQ44" s="265">
        <f t="shared" si="22"/>
        <v>0</v>
      </c>
      <c r="AR44" s="265">
        <f t="shared" si="23"/>
        <v>0</v>
      </c>
      <c r="AS44" s="265">
        <f t="shared" si="24"/>
        <v>0</v>
      </c>
      <c r="AT44" s="265">
        <f t="shared" si="73"/>
        <v>0</v>
      </c>
      <c r="AU44" s="265">
        <f t="shared" si="74"/>
        <v>0</v>
      </c>
      <c r="AV44" s="265">
        <f t="shared" si="25"/>
        <v>0</v>
      </c>
      <c r="AW44" s="265">
        <f t="shared" si="26"/>
        <v>0</v>
      </c>
      <c r="AX44" s="265">
        <f t="shared" si="27"/>
        <v>0</v>
      </c>
      <c r="AY44" s="265">
        <f t="shared" si="28"/>
        <v>0</v>
      </c>
      <c r="AZ44" s="265">
        <f t="shared" si="29"/>
        <v>0</v>
      </c>
      <c r="BA44" s="265">
        <f t="shared" si="30"/>
        <v>0</v>
      </c>
      <c r="BB44" s="265">
        <f t="shared" si="31"/>
        <v>0</v>
      </c>
      <c r="BC44" s="265">
        <f t="shared" si="32"/>
        <v>0</v>
      </c>
      <c r="BD44" s="265">
        <f t="shared" si="33"/>
        <v>0</v>
      </c>
      <c r="BE44" s="265">
        <f t="shared" si="34"/>
        <v>0</v>
      </c>
      <c r="BF44" s="265">
        <f t="shared" si="35"/>
        <v>0</v>
      </c>
      <c r="BG44" s="265">
        <f t="shared" si="36"/>
        <v>0</v>
      </c>
      <c r="BH44" s="265">
        <f t="shared" si="75"/>
        <v>0</v>
      </c>
      <c r="BI44" s="265">
        <f t="shared" si="76"/>
        <v>0</v>
      </c>
      <c r="BJ44" s="265">
        <f t="shared" si="37"/>
        <v>0</v>
      </c>
      <c r="BK44" s="265">
        <f t="shared" si="38"/>
        <v>0</v>
      </c>
      <c r="BL44" s="265">
        <f t="shared" si="39"/>
        <v>0</v>
      </c>
      <c r="BM44" s="265">
        <f t="shared" si="40"/>
        <v>0</v>
      </c>
      <c r="BN44" s="265">
        <f t="shared" si="41"/>
        <v>0</v>
      </c>
      <c r="BO44" s="265">
        <f t="shared" si="42"/>
        <v>0</v>
      </c>
      <c r="BP44" s="265">
        <f t="shared" si="77"/>
        <v>0</v>
      </c>
      <c r="BQ44" s="265">
        <f t="shared" si="78"/>
        <v>0</v>
      </c>
      <c r="BR44" s="265">
        <f t="shared" si="43"/>
        <v>0</v>
      </c>
      <c r="BS44" s="265">
        <f t="shared" si="44"/>
        <v>0</v>
      </c>
      <c r="BT44" s="265">
        <f t="shared" si="79"/>
        <v>0</v>
      </c>
      <c r="BU44" s="265">
        <f t="shared" si="80"/>
        <v>0</v>
      </c>
      <c r="BV44" s="265">
        <f t="shared" si="81"/>
        <v>0</v>
      </c>
      <c r="BW44" s="265">
        <f t="shared" si="82"/>
        <v>0</v>
      </c>
      <c r="BX44" s="265">
        <f t="shared" si="45"/>
        <v>0</v>
      </c>
      <c r="BY44" s="265">
        <f t="shared" si="46"/>
        <v>0</v>
      </c>
      <c r="BZ44" s="265">
        <f t="shared" si="47"/>
        <v>0</v>
      </c>
      <c r="CA44" s="265">
        <f t="shared" si="48"/>
        <v>0</v>
      </c>
      <c r="CB44" s="265">
        <f t="shared" si="49"/>
        <v>0</v>
      </c>
      <c r="CC44" s="265">
        <f t="shared" si="50"/>
        <v>0</v>
      </c>
      <c r="CD44" s="265">
        <f t="shared" si="83"/>
        <v>0</v>
      </c>
      <c r="CE44" s="265">
        <f t="shared" si="84"/>
        <v>0</v>
      </c>
      <c r="CF44" s="265">
        <f t="shared" si="85"/>
        <v>0</v>
      </c>
      <c r="CG44" s="265">
        <f t="shared" si="86"/>
        <v>0</v>
      </c>
      <c r="CH44" s="265">
        <f t="shared" si="51"/>
        <v>0</v>
      </c>
      <c r="CI44" s="265">
        <f t="shared" si="52"/>
        <v>0</v>
      </c>
      <c r="CJ44" s="265">
        <f t="shared" si="87"/>
        <v>0</v>
      </c>
      <c r="CK44" s="265">
        <f t="shared" si="88"/>
        <v>0</v>
      </c>
      <c r="CL44" s="265">
        <f t="shared" si="53"/>
        <v>0</v>
      </c>
      <c r="CM44" s="265">
        <f t="shared" si="54"/>
        <v>0</v>
      </c>
      <c r="CN44" s="265">
        <f t="shared" si="55"/>
        <v>0</v>
      </c>
      <c r="CO44" s="265">
        <f t="shared" si="56"/>
        <v>0</v>
      </c>
      <c r="CP44" s="265">
        <f t="shared" si="89"/>
        <v>0</v>
      </c>
      <c r="CQ44" s="265">
        <f t="shared" si="90"/>
        <v>0</v>
      </c>
      <c r="CR44" s="265">
        <f t="shared" si="91"/>
        <v>0</v>
      </c>
      <c r="CS44" s="265">
        <f t="shared" ca="1" si="92"/>
        <v>0</v>
      </c>
      <c r="CT44" s="265">
        <f t="shared" si="57"/>
        <v>0</v>
      </c>
      <c r="CU44" s="265">
        <f t="shared" si="58"/>
        <v>0</v>
      </c>
      <c r="CV44" s="265">
        <f t="shared" si="59"/>
        <v>0</v>
      </c>
      <c r="CW44" s="265">
        <f t="shared" si="60"/>
        <v>0</v>
      </c>
      <c r="CX44" s="265">
        <f t="shared" si="93"/>
        <v>0</v>
      </c>
      <c r="CY44" s="265">
        <f t="shared" si="94"/>
        <v>0</v>
      </c>
      <c r="CZ44" s="265">
        <f t="shared" ca="1" si="95"/>
        <v>0</v>
      </c>
      <c r="DA44" s="265">
        <f t="shared" si="96"/>
        <v>0</v>
      </c>
    </row>
    <row r="45" spans="1:105" s="262" customFormat="1" ht="16.5" customHeight="1">
      <c r="A45" s="63">
        <f t="array" aca="1" ref="A45" ca="1">IF(C45&lt;&gt;0,SUM(($C$11:C45&lt;&gt;0)*1),"")</f>
        <v>7</v>
      </c>
      <c r="B45" s="263">
        <v>42735</v>
      </c>
      <c r="C45" s="266" t="s">
        <v>113</v>
      </c>
      <c r="D45" s="266">
        <f t="shared" si="97"/>
        <v>42735</v>
      </c>
      <c r="E45" s="919" t="s">
        <v>208</v>
      </c>
      <c r="F45" s="920"/>
      <c r="G45" s="921" t="s">
        <v>107</v>
      </c>
      <c r="H45" s="921" t="s">
        <v>92</v>
      </c>
      <c r="I45" s="63">
        <f t="shared" ca="1" si="0"/>
        <v>7</v>
      </c>
      <c r="J45" s="265">
        <f t="shared" si="61"/>
        <v>0</v>
      </c>
      <c r="K45" s="265">
        <f t="shared" si="62"/>
        <v>0</v>
      </c>
      <c r="L45" s="265">
        <f t="shared" si="1"/>
        <v>0</v>
      </c>
      <c r="M45" s="265">
        <f t="shared" si="2"/>
        <v>0</v>
      </c>
      <c r="N45" s="265">
        <f t="shared" si="3"/>
        <v>0</v>
      </c>
      <c r="O45" s="265">
        <f t="shared" si="4"/>
        <v>0</v>
      </c>
      <c r="P45" s="265">
        <f t="shared" si="5"/>
        <v>0</v>
      </c>
      <c r="Q45" s="265">
        <f t="shared" si="6"/>
        <v>0</v>
      </c>
      <c r="R45" s="265">
        <f t="shared" si="7"/>
        <v>0</v>
      </c>
      <c r="S45" s="265">
        <f t="shared" si="8"/>
        <v>0</v>
      </c>
      <c r="T45" s="265">
        <f t="shared" si="9"/>
        <v>0</v>
      </c>
      <c r="U45" s="265">
        <f t="shared" si="10"/>
        <v>0</v>
      </c>
      <c r="V45" s="265">
        <f t="shared" si="11"/>
        <v>0</v>
      </c>
      <c r="W45" s="265">
        <f t="shared" si="12"/>
        <v>0</v>
      </c>
      <c r="X45" s="265">
        <f t="shared" si="13"/>
        <v>0</v>
      </c>
      <c r="Y45" s="265">
        <f t="shared" si="14"/>
        <v>0</v>
      </c>
      <c r="Z45" s="265">
        <f t="shared" si="15"/>
        <v>0</v>
      </c>
      <c r="AA45" s="265">
        <f t="shared" si="16"/>
        <v>0</v>
      </c>
      <c r="AB45" s="265">
        <f t="shared" si="63"/>
        <v>0</v>
      </c>
      <c r="AC45" s="265">
        <f t="shared" si="64"/>
        <v>0</v>
      </c>
      <c r="AD45" s="265">
        <f t="shared" si="17"/>
        <v>0</v>
      </c>
      <c r="AE45" s="265">
        <f t="shared" si="18"/>
        <v>0</v>
      </c>
      <c r="AF45" s="265">
        <f t="shared" si="19"/>
        <v>0</v>
      </c>
      <c r="AG45" s="265">
        <f t="shared" si="20"/>
        <v>0</v>
      </c>
      <c r="AH45" s="265">
        <f t="shared" si="65"/>
        <v>0</v>
      </c>
      <c r="AI45" s="265">
        <f t="shared" si="66"/>
        <v>0</v>
      </c>
      <c r="AJ45" s="265">
        <f t="shared" si="67"/>
        <v>0</v>
      </c>
      <c r="AK45" s="265">
        <f t="shared" si="68"/>
        <v>0</v>
      </c>
      <c r="AL45" s="265">
        <f t="shared" si="69"/>
        <v>0</v>
      </c>
      <c r="AM45" s="265">
        <f t="shared" si="70"/>
        <v>0</v>
      </c>
      <c r="AN45" s="265">
        <f t="shared" si="71"/>
        <v>0</v>
      </c>
      <c r="AO45" s="265">
        <f t="shared" si="72"/>
        <v>0</v>
      </c>
      <c r="AP45" s="265">
        <f t="shared" si="21"/>
        <v>0</v>
      </c>
      <c r="AQ45" s="265">
        <f t="shared" si="22"/>
        <v>0</v>
      </c>
      <c r="AR45" s="265">
        <f t="shared" si="23"/>
        <v>0</v>
      </c>
      <c r="AS45" s="265">
        <f t="shared" si="24"/>
        <v>0</v>
      </c>
      <c r="AT45" s="265">
        <f t="shared" si="73"/>
        <v>0</v>
      </c>
      <c r="AU45" s="265">
        <f t="shared" si="74"/>
        <v>0</v>
      </c>
      <c r="AV45" s="265">
        <f t="shared" si="25"/>
        <v>0</v>
      </c>
      <c r="AW45" s="265">
        <f t="shared" si="26"/>
        <v>0</v>
      </c>
      <c r="AX45" s="265">
        <f t="shared" si="27"/>
        <v>0</v>
      </c>
      <c r="AY45" s="265">
        <f t="shared" si="28"/>
        <v>0</v>
      </c>
      <c r="AZ45" s="265">
        <f t="shared" si="29"/>
        <v>0</v>
      </c>
      <c r="BA45" s="265">
        <f t="shared" si="30"/>
        <v>0</v>
      </c>
      <c r="BB45" s="265">
        <f t="shared" si="31"/>
        <v>0</v>
      </c>
      <c r="BC45" s="265">
        <f t="shared" si="32"/>
        <v>0</v>
      </c>
      <c r="BD45" s="265">
        <f t="shared" si="33"/>
        <v>0</v>
      </c>
      <c r="BE45" s="265">
        <f t="shared" si="34"/>
        <v>0</v>
      </c>
      <c r="BF45" s="265">
        <f t="shared" si="35"/>
        <v>0</v>
      </c>
      <c r="BG45" s="265">
        <f t="shared" si="36"/>
        <v>0</v>
      </c>
      <c r="BH45" s="265">
        <f t="shared" si="75"/>
        <v>0</v>
      </c>
      <c r="BI45" s="265">
        <f t="shared" si="76"/>
        <v>0</v>
      </c>
      <c r="BJ45" s="265">
        <f t="shared" si="37"/>
        <v>0</v>
      </c>
      <c r="BK45" s="265">
        <f t="shared" si="38"/>
        <v>0</v>
      </c>
      <c r="BL45" s="265">
        <f t="shared" si="39"/>
        <v>0</v>
      </c>
      <c r="BM45" s="265">
        <f t="shared" si="40"/>
        <v>0</v>
      </c>
      <c r="BN45" s="265">
        <f t="shared" si="41"/>
        <v>0</v>
      </c>
      <c r="BO45" s="265">
        <f t="shared" si="42"/>
        <v>0</v>
      </c>
      <c r="BP45" s="265">
        <f t="shared" si="77"/>
        <v>0</v>
      </c>
      <c r="BQ45" s="265">
        <f t="shared" si="78"/>
        <v>0</v>
      </c>
      <c r="BR45" s="265">
        <f t="shared" si="43"/>
        <v>0</v>
      </c>
      <c r="BS45" s="265">
        <f t="shared" si="44"/>
        <v>0</v>
      </c>
      <c r="BT45" s="265">
        <f t="shared" si="79"/>
        <v>0</v>
      </c>
      <c r="BU45" s="265">
        <f t="shared" si="80"/>
        <v>0</v>
      </c>
      <c r="BV45" s="265">
        <f t="shared" si="81"/>
        <v>0</v>
      </c>
      <c r="BW45" s="265">
        <f t="shared" si="82"/>
        <v>0</v>
      </c>
      <c r="BX45" s="265">
        <f t="shared" si="45"/>
        <v>0</v>
      </c>
      <c r="BY45" s="265">
        <f t="shared" si="46"/>
        <v>0</v>
      </c>
      <c r="BZ45" s="265">
        <f t="shared" si="47"/>
        <v>0</v>
      </c>
      <c r="CA45" s="265">
        <f t="shared" si="48"/>
        <v>0</v>
      </c>
      <c r="CB45" s="265">
        <f t="shared" si="49"/>
        <v>0</v>
      </c>
      <c r="CC45" s="265">
        <f t="shared" si="50"/>
        <v>0</v>
      </c>
      <c r="CD45" s="265">
        <f t="shared" si="83"/>
        <v>0</v>
      </c>
      <c r="CE45" s="265">
        <f t="shared" si="84"/>
        <v>0</v>
      </c>
      <c r="CF45" s="265">
        <f t="shared" si="85"/>
        <v>0</v>
      </c>
      <c r="CG45" s="265">
        <f t="shared" si="86"/>
        <v>0</v>
      </c>
      <c r="CH45" s="265">
        <f t="shared" si="51"/>
        <v>0</v>
      </c>
      <c r="CI45" s="265">
        <f t="shared" si="52"/>
        <v>0</v>
      </c>
      <c r="CJ45" s="265">
        <f t="shared" si="87"/>
        <v>0</v>
      </c>
      <c r="CK45" s="265">
        <f t="shared" si="88"/>
        <v>0</v>
      </c>
      <c r="CL45" s="265">
        <f t="shared" si="53"/>
        <v>0</v>
      </c>
      <c r="CM45" s="265">
        <f t="shared" si="54"/>
        <v>0</v>
      </c>
      <c r="CN45" s="265">
        <f t="shared" si="55"/>
        <v>0</v>
      </c>
      <c r="CO45" s="265">
        <f t="shared" si="56"/>
        <v>0</v>
      </c>
      <c r="CP45" s="265">
        <f t="shared" si="89"/>
        <v>0</v>
      </c>
      <c r="CQ45" s="265">
        <f t="shared" si="90"/>
        <v>0</v>
      </c>
      <c r="CR45" s="265">
        <f t="shared" si="91"/>
        <v>0</v>
      </c>
      <c r="CS45" s="265">
        <f t="shared" si="92"/>
        <v>0</v>
      </c>
      <c r="CT45" s="265">
        <f t="shared" si="57"/>
        <v>0</v>
      </c>
      <c r="CU45" s="265">
        <f t="shared" si="58"/>
        <v>0</v>
      </c>
      <c r="CV45" s="265">
        <f t="shared" si="59"/>
        <v>0</v>
      </c>
      <c r="CW45" s="265">
        <f t="shared" si="60"/>
        <v>0</v>
      </c>
      <c r="CX45" s="265">
        <f t="shared" si="93"/>
        <v>0</v>
      </c>
      <c r="CY45" s="265">
        <f t="shared" si="94"/>
        <v>0</v>
      </c>
      <c r="CZ45" s="265">
        <f t="shared" si="95"/>
        <v>0</v>
      </c>
      <c r="DA45" s="265">
        <f t="shared" si="96"/>
        <v>0</v>
      </c>
    </row>
    <row r="46" spans="1:105" s="262" customFormat="1" ht="16.5" customHeight="1">
      <c r="A46" s="63">
        <f t="array" aca="1" ref="A46" ca="1">IF(C46&lt;&gt;0,SUM(($C$11:C46&lt;&gt;0)*1),"")</f>
        <v>8</v>
      </c>
      <c r="B46" s="263">
        <v>42735</v>
      </c>
      <c r="C46" s="266" t="s">
        <v>113</v>
      </c>
      <c r="D46" s="266">
        <f t="shared" si="97"/>
        <v>42735</v>
      </c>
      <c r="E46" s="919" t="s">
        <v>116</v>
      </c>
      <c r="F46" s="920">
        <f ca="1">CI52</f>
        <v>0</v>
      </c>
      <c r="G46" s="921" t="s">
        <v>41</v>
      </c>
      <c r="H46" s="921" t="s">
        <v>107</v>
      </c>
      <c r="I46" s="63">
        <f t="shared" ca="1" si="0"/>
        <v>8</v>
      </c>
      <c r="J46" s="265">
        <f t="shared" si="61"/>
        <v>0</v>
      </c>
      <c r="K46" s="265">
        <f t="shared" si="62"/>
        <v>0</v>
      </c>
      <c r="L46" s="265">
        <f t="shared" si="1"/>
        <v>0</v>
      </c>
      <c r="M46" s="265">
        <f t="shared" si="2"/>
        <v>0</v>
      </c>
      <c r="N46" s="265">
        <f t="shared" si="3"/>
        <v>0</v>
      </c>
      <c r="O46" s="265">
        <f t="shared" si="4"/>
        <v>0</v>
      </c>
      <c r="P46" s="265">
        <f t="shared" si="5"/>
        <v>0</v>
      </c>
      <c r="Q46" s="265">
        <f t="shared" si="6"/>
        <v>0</v>
      </c>
      <c r="R46" s="265">
        <f t="shared" si="7"/>
        <v>0</v>
      </c>
      <c r="S46" s="265">
        <f t="shared" si="8"/>
        <v>0</v>
      </c>
      <c r="T46" s="265">
        <f t="shared" si="9"/>
        <v>0</v>
      </c>
      <c r="U46" s="265">
        <f t="shared" si="10"/>
        <v>0</v>
      </c>
      <c r="V46" s="265">
        <f t="shared" si="11"/>
        <v>0</v>
      </c>
      <c r="W46" s="265">
        <f t="shared" si="12"/>
        <v>0</v>
      </c>
      <c r="X46" s="265">
        <f t="shared" si="13"/>
        <v>0</v>
      </c>
      <c r="Y46" s="265">
        <f t="shared" si="14"/>
        <v>0</v>
      </c>
      <c r="Z46" s="265">
        <f t="shared" si="15"/>
        <v>0</v>
      </c>
      <c r="AA46" s="265">
        <f t="shared" si="16"/>
        <v>0</v>
      </c>
      <c r="AB46" s="265">
        <f t="shared" si="63"/>
        <v>0</v>
      </c>
      <c r="AC46" s="265">
        <f t="shared" si="64"/>
        <v>0</v>
      </c>
      <c r="AD46" s="265">
        <f t="shared" si="17"/>
        <v>0</v>
      </c>
      <c r="AE46" s="265">
        <f t="shared" si="18"/>
        <v>0</v>
      </c>
      <c r="AF46" s="265">
        <f t="shared" si="19"/>
        <v>0</v>
      </c>
      <c r="AG46" s="265">
        <f t="shared" si="20"/>
        <v>0</v>
      </c>
      <c r="AH46" s="265">
        <f t="shared" si="65"/>
        <v>0</v>
      </c>
      <c r="AI46" s="265">
        <f t="shared" si="66"/>
        <v>0</v>
      </c>
      <c r="AJ46" s="265">
        <f t="shared" si="67"/>
        <v>0</v>
      </c>
      <c r="AK46" s="265">
        <f t="shared" si="68"/>
        <v>0</v>
      </c>
      <c r="AL46" s="265">
        <f t="shared" si="69"/>
        <v>0</v>
      </c>
      <c r="AM46" s="265">
        <f t="shared" si="70"/>
        <v>0</v>
      </c>
      <c r="AN46" s="265">
        <f t="shared" si="71"/>
        <v>0</v>
      </c>
      <c r="AO46" s="265">
        <f t="shared" si="72"/>
        <v>0</v>
      </c>
      <c r="AP46" s="265">
        <f t="shared" si="21"/>
        <v>0</v>
      </c>
      <c r="AQ46" s="265">
        <f t="shared" si="22"/>
        <v>0</v>
      </c>
      <c r="AR46" s="265">
        <f t="shared" si="23"/>
        <v>0</v>
      </c>
      <c r="AS46" s="265">
        <f t="shared" si="24"/>
        <v>0</v>
      </c>
      <c r="AT46" s="265">
        <f t="shared" si="73"/>
        <v>0</v>
      </c>
      <c r="AU46" s="265">
        <f t="shared" si="74"/>
        <v>0</v>
      </c>
      <c r="AV46" s="265">
        <f t="shared" si="25"/>
        <v>0</v>
      </c>
      <c r="AW46" s="265">
        <f t="shared" si="26"/>
        <v>0</v>
      </c>
      <c r="AX46" s="265">
        <f t="shared" si="27"/>
        <v>0</v>
      </c>
      <c r="AY46" s="265">
        <f t="shared" si="28"/>
        <v>0</v>
      </c>
      <c r="AZ46" s="265">
        <f t="shared" si="29"/>
        <v>0</v>
      </c>
      <c r="BA46" s="265">
        <f t="shared" si="30"/>
        <v>0</v>
      </c>
      <c r="BB46" s="265">
        <f t="shared" si="31"/>
        <v>0</v>
      </c>
      <c r="BC46" s="265">
        <f t="shared" si="32"/>
        <v>0</v>
      </c>
      <c r="BD46" s="265">
        <f t="shared" si="33"/>
        <v>0</v>
      </c>
      <c r="BE46" s="265">
        <f t="shared" si="34"/>
        <v>0</v>
      </c>
      <c r="BF46" s="265">
        <f t="shared" si="35"/>
        <v>0</v>
      </c>
      <c r="BG46" s="265">
        <f t="shared" si="36"/>
        <v>0</v>
      </c>
      <c r="BH46" s="265">
        <f t="shared" si="75"/>
        <v>0</v>
      </c>
      <c r="BI46" s="265">
        <f t="shared" si="76"/>
        <v>0</v>
      </c>
      <c r="BJ46" s="265">
        <f t="shared" si="37"/>
        <v>0</v>
      </c>
      <c r="BK46" s="265">
        <f t="shared" si="38"/>
        <v>0</v>
      </c>
      <c r="BL46" s="265">
        <f t="shared" si="39"/>
        <v>0</v>
      </c>
      <c r="BM46" s="265">
        <f t="shared" si="40"/>
        <v>0</v>
      </c>
      <c r="BN46" s="265">
        <f t="shared" si="41"/>
        <v>0</v>
      </c>
      <c r="BO46" s="265">
        <f t="shared" si="42"/>
        <v>0</v>
      </c>
      <c r="BP46" s="265">
        <f t="shared" si="77"/>
        <v>0</v>
      </c>
      <c r="BQ46" s="265">
        <f t="shared" si="78"/>
        <v>0</v>
      </c>
      <c r="BR46" s="265">
        <f t="shared" si="43"/>
        <v>0</v>
      </c>
      <c r="BS46" s="265">
        <f t="shared" si="44"/>
        <v>0</v>
      </c>
      <c r="BT46" s="265">
        <f t="shared" si="79"/>
        <v>0</v>
      </c>
      <c r="BU46" s="265">
        <f t="shared" si="80"/>
        <v>0</v>
      </c>
      <c r="BV46" s="265">
        <f t="shared" si="81"/>
        <v>0</v>
      </c>
      <c r="BW46" s="265">
        <f t="shared" si="82"/>
        <v>0</v>
      </c>
      <c r="BX46" s="265">
        <f t="shared" si="45"/>
        <v>0</v>
      </c>
      <c r="BY46" s="265">
        <f t="shared" si="46"/>
        <v>0</v>
      </c>
      <c r="BZ46" s="265">
        <f t="shared" si="47"/>
        <v>0</v>
      </c>
      <c r="CA46" s="265">
        <f t="shared" si="48"/>
        <v>0</v>
      </c>
      <c r="CB46" s="265">
        <f t="shared" si="49"/>
        <v>0</v>
      </c>
      <c r="CC46" s="265">
        <f t="shared" si="50"/>
        <v>0</v>
      </c>
      <c r="CD46" s="265">
        <f t="shared" si="83"/>
        <v>0</v>
      </c>
      <c r="CE46" s="265">
        <f t="shared" si="84"/>
        <v>0</v>
      </c>
      <c r="CF46" s="265">
        <f t="shared" si="85"/>
        <v>0</v>
      </c>
      <c r="CG46" s="265">
        <f t="shared" si="86"/>
        <v>0</v>
      </c>
      <c r="CH46" s="265">
        <f t="shared" ca="1" si="51"/>
        <v>0</v>
      </c>
      <c r="CI46" s="265">
        <f t="shared" si="52"/>
        <v>0</v>
      </c>
      <c r="CJ46" s="265">
        <f t="shared" si="87"/>
        <v>0</v>
      </c>
      <c r="CK46" s="265">
        <f t="shared" si="88"/>
        <v>0</v>
      </c>
      <c r="CL46" s="265">
        <f t="shared" si="53"/>
        <v>0</v>
      </c>
      <c r="CM46" s="265">
        <f t="shared" si="54"/>
        <v>0</v>
      </c>
      <c r="CN46" s="265">
        <f t="shared" si="55"/>
        <v>0</v>
      </c>
      <c r="CO46" s="265">
        <f t="shared" si="56"/>
        <v>0</v>
      </c>
      <c r="CP46" s="265">
        <f t="shared" si="89"/>
        <v>0</v>
      </c>
      <c r="CQ46" s="265">
        <f t="shared" si="90"/>
        <v>0</v>
      </c>
      <c r="CR46" s="265">
        <f t="shared" si="91"/>
        <v>0</v>
      </c>
      <c r="CS46" s="265">
        <f t="shared" si="92"/>
        <v>0</v>
      </c>
      <c r="CT46" s="265">
        <f t="shared" si="57"/>
        <v>0</v>
      </c>
      <c r="CU46" s="265">
        <f t="shared" si="58"/>
        <v>0</v>
      </c>
      <c r="CV46" s="265">
        <f t="shared" si="59"/>
        <v>0</v>
      </c>
      <c r="CW46" s="265">
        <f t="shared" si="60"/>
        <v>0</v>
      </c>
      <c r="CX46" s="265">
        <f t="shared" si="93"/>
        <v>0</v>
      </c>
      <c r="CY46" s="265">
        <f t="shared" si="94"/>
        <v>0</v>
      </c>
      <c r="CZ46" s="265">
        <f t="shared" si="95"/>
        <v>0</v>
      </c>
      <c r="DA46" s="265">
        <f t="shared" ca="1" si="96"/>
        <v>0</v>
      </c>
    </row>
    <row r="47" spans="1:105" s="262" customFormat="1" ht="16.5" customHeight="1">
      <c r="A47" s="63">
        <f t="array" aca="1" ref="A47" ca="1">IF(C47&lt;&gt;0,SUM(($C$11:C47&lt;&gt;0)*1),"")</f>
        <v>9</v>
      </c>
      <c r="B47" s="263">
        <v>42735</v>
      </c>
      <c r="C47" s="266" t="s">
        <v>113</v>
      </c>
      <c r="D47" s="266">
        <f t="shared" si="97"/>
        <v>42735</v>
      </c>
      <c r="E47" s="919" t="s">
        <v>913</v>
      </c>
      <c r="F47" s="920">
        <f ca="1">CE52</f>
        <v>0</v>
      </c>
      <c r="G47" s="921" t="s">
        <v>290</v>
      </c>
      <c r="H47" s="921" t="s">
        <v>107</v>
      </c>
      <c r="I47" s="63">
        <f t="shared" ca="1" si="0"/>
        <v>9</v>
      </c>
      <c r="J47" s="265">
        <f t="shared" si="61"/>
        <v>0</v>
      </c>
      <c r="K47" s="265">
        <f t="shared" si="62"/>
        <v>0</v>
      </c>
      <c r="L47" s="265">
        <f t="shared" si="1"/>
        <v>0</v>
      </c>
      <c r="M47" s="265">
        <f t="shared" si="2"/>
        <v>0</v>
      </c>
      <c r="N47" s="265">
        <f t="shared" si="3"/>
        <v>0</v>
      </c>
      <c r="O47" s="265">
        <f t="shared" si="4"/>
        <v>0</v>
      </c>
      <c r="P47" s="265">
        <f t="shared" si="5"/>
        <v>0</v>
      </c>
      <c r="Q47" s="265">
        <f t="shared" si="6"/>
        <v>0</v>
      </c>
      <c r="R47" s="265">
        <f t="shared" si="7"/>
        <v>0</v>
      </c>
      <c r="S47" s="265">
        <f t="shared" si="8"/>
        <v>0</v>
      </c>
      <c r="T47" s="265">
        <f t="shared" si="9"/>
        <v>0</v>
      </c>
      <c r="U47" s="265">
        <f t="shared" si="10"/>
        <v>0</v>
      </c>
      <c r="V47" s="265">
        <f t="shared" si="11"/>
        <v>0</v>
      </c>
      <c r="W47" s="265">
        <f t="shared" si="12"/>
        <v>0</v>
      </c>
      <c r="X47" s="265">
        <f t="shared" si="13"/>
        <v>0</v>
      </c>
      <c r="Y47" s="265">
        <f t="shared" si="14"/>
        <v>0</v>
      </c>
      <c r="Z47" s="265">
        <f t="shared" si="15"/>
        <v>0</v>
      </c>
      <c r="AA47" s="265">
        <f t="shared" si="16"/>
        <v>0</v>
      </c>
      <c r="AB47" s="265">
        <f t="shared" si="63"/>
        <v>0</v>
      </c>
      <c r="AC47" s="265">
        <f t="shared" si="64"/>
        <v>0</v>
      </c>
      <c r="AD47" s="265">
        <f t="shared" si="17"/>
        <v>0</v>
      </c>
      <c r="AE47" s="265">
        <f t="shared" si="18"/>
        <v>0</v>
      </c>
      <c r="AF47" s="265">
        <f t="shared" si="19"/>
        <v>0</v>
      </c>
      <c r="AG47" s="265">
        <f t="shared" si="20"/>
        <v>0</v>
      </c>
      <c r="AH47" s="265">
        <f t="shared" si="65"/>
        <v>0</v>
      </c>
      <c r="AI47" s="265">
        <f t="shared" si="66"/>
        <v>0</v>
      </c>
      <c r="AJ47" s="265">
        <f t="shared" si="67"/>
        <v>0</v>
      </c>
      <c r="AK47" s="265">
        <f t="shared" si="68"/>
        <v>0</v>
      </c>
      <c r="AL47" s="265">
        <f t="shared" si="69"/>
        <v>0</v>
      </c>
      <c r="AM47" s="265">
        <f t="shared" si="70"/>
        <v>0</v>
      </c>
      <c r="AN47" s="265">
        <f t="shared" si="71"/>
        <v>0</v>
      </c>
      <c r="AO47" s="265">
        <f t="shared" si="72"/>
        <v>0</v>
      </c>
      <c r="AP47" s="265">
        <f t="shared" si="21"/>
        <v>0</v>
      </c>
      <c r="AQ47" s="265">
        <f t="shared" si="22"/>
        <v>0</v>
      </c>
      <c r="AR47" s="265">
        <f t="shared" si="23"/>
        <v>0</v>
      </c>
      <c r="AS47" s="265">
        <f t="shared" si="24"/>
        <v>0</v>
      </c>
      <c r="AT47" s="265">
        <f t="shared" si="73"/>
        <v>0</v>
      </c>
      <c r="AU47" s="265">
        <f t="shared" si="74"/>
        <v>0</v>
      </c>
      <c r="AV47" s="265">
        <f t="shared" si="25"/>
        <v>0</v>
      </c>
      <c r="AW47" s="265">
        <f t="shared" si="26"/>
        <v>0</v>
      </c>
      <c r="AX47" s="265">
        <f t="shared" si="27"/>
        <v>0</v>
      </c>
      <c r="AY47" s="265">
        <f t="shared" si="28"/>
        <v>0</v>
      </c>
      <c r="AZ47" s="265">
        <f t="shared" si="29"/>
        <v>0</v>
      </c>
      <c r="BA47" s="265">
        <f t="shared" si="30"/>
        <v>0</v>
      </c>
      <c r="BB47" s="265">
        <f t="shared" si="31"/>
        <v>0</v>
      </c>
      <c r="BC47" s="265">
        <f t="shared" si="32"/>
        <v>0</v>
      </c>
      <c r="BD47" s="265">
        <f t="shared" si="33"/>
        <v>0</v>
      </c>
      <c r="BE47" s="265">
        <f t="shared" si="34"/>
        <v>0</v>
      </c>
      <c r="BF47" s="265">
        <f t="shared" si="35"/>
        <v>0</v>
      </c>
      <c r="BG47" s="265">
        <f t="shared" si="36"/>
        <v>0</v>
      </c>
      <c r="BH47" s="265">
        <f t="shared" si="75"/>
        <v>0</v>
      </c>
      <c r="BI47" s="265">
        <f t="shared" si="76"/>
        <v>0</v>
      </c>
      <c r="BJ47" s="265">
        <f t="shared" si="37"/>
        <v>0</v>
      </c>
      <c r="BK47" s="265">
        <f t="shared" si="38"/>
        <v>0</v>
      </c>
      <c r="BL47" s="265">
        <f t="shared" si="39"/>
        <v>0</v>
      </c>
      <c r="BM47" s="265">
        <f t="shared" si="40"/>
        <v>0</v>
      </c>
      <c r="BN47" s="265">
        <f t="shared" si="41"/>
        <v>0</v>
      </c>
      <c r="BO47" s="265">
        <f t="shared" si="42"/>
        <v>0</v>
      </c>
      <c r="BP47" s="265">
        <f t="shared" si="77"/>
        <v>0</v>
      </c>
      <c r="BQ47" s="265">
        <f t="shared" si="78"/>
        <v>0</v>
      </c>
      <c r="BR47" s="265">
        <f t="shared" si="43"/>
        <v>0</v>
      </c>
      <c r="BS47" s="265">
        <f t="shared" si="44"/>
        <v>0</v>
      </c>
      <c r="BT47" s="265">
        <f t="shared" si="79"/>
        <v>0</v>
      </c>
      <c r="BU47" s="265">
        <f t="shared" si="80"/>
        <v>0</v>
      </c>
      <c r="BV47" s="265">
        <f t="shared" si="81"/>
        <v>0</v>
      </c>
      <c r="BW47" s="265">
        <f t="shared" si="82"/>
        <v>0</v>
      </c>
      <c r="BX47" s="265">
        <f t="shared" si="45"/>
        <v>0</v>
      </c>
      <c r="BY47" s="265">
        <f t="shared" si="46"/>
        <v>0</v>
      </c>
      <c r="BZ47" s="265">
        <f t="shared" si="47"/>
        <v>0</v>
      </c>
      <c r="CA47" s="265">
        <f t="shared" si="48"/>
        <v>0</v>
      </c>
      <c r="CB47" s="265">
        <f t="shared" si="49"/>
        <v>0</v>
      </c>
      <c r="CC47" s="265">
        <f t="shared" si="50"/>
        <v>0</v>
      </c>
      <c r="CD47" s="265">
        <f t="shared" ca="1" si="83"/>
        <v>0</v>
      </c>
      <c r="CE47" s="265">
        <f t="shared" si="84"/>
        <v>0</v>
      </c>
      <c r="CF47" s="265">
        <f t="shared" si="85"/>
        <v>0</v>
      </c>
      <c r="CG47" s="265">
        <f t="shared" si="86"/>
        <v>0</v>
      </c>
      <c r="CH47" s="265">
        <f t="shared" si="51"/>
        <v>0</v>
      </c>
      <c r="CI47" s="265">
        <f t="shared" si="52"/>
        <v>0</v>
      </c>
      <c r="CJ47" s="265">
        <f t="shared" si="87"/>
        <v>0</v>
      </c>
      <c r="CK47" s="265">
        <f t="shared" si="88"/>
        <v>0</v>
      </c>
      <c r="CL47" s="265">
        <f t="shared" si="53"/>
        <v>0</v>
      </c>
      <c r="CM47" s="265">
        <f t="shared" si="54"/>
        <v>0</v>
      </c>
      <c r="CN47" s="265">
        <f t="shared" si="55"/>
        <v>0</v>
      </c>
      <c r="CO47" s="265">
        <f t="shared" si="56"/>
        <v>0</v>
      </c>
      <c r="CP47" s="265">
        <f t="shared" si="89"/>
        <v>0</v>
      </c>
      <c r="CQ47" s="265">
        <f t="shared" si="90"/>
        <v>0</v>
      </c>
      <c r="CR47" s="265">
        <f t="shared" si="91"/>
        <v>0</v>
      </c>
      <c r="CS47" s="265">
        <f t="shared" si="92"/>
        <v>0</v>
      </c>
      <c r="CT47" s="265">
        <f t="shared" si="57"/>
        <v>0</v>
      </c>
      <c r="CU47" s="265">
        <f t="shared" si="58"/>
        <v>0</v>
      </c>
      <c r="CV47" s="265">
        <f t="shared" si="59"/>
        <v>0</v>
      </c>
      <c r="CW47" s="265">
        <f t="shared" si="60"/>
        <v>0</v>
      </c>
      <c r="CX47" s="265">
        <f t="shared" si="93"/>
        <v>0</v>
      </c>
      <c r="CY47" s="265">
        <f t="shared" si="94"/>
        <v>0</v>
      </c>
      <c r="CZ47" s="265">
        <f t="shared" si="95"/>
        <v>0</v>
      </c>
      <c r="DA47" s="265">
        <f t="shared" ca="1" si="96"/>
        <v>0</v>
      </c>
    </row>
    <row r="48" spans="1:105" s="262" customFormat="1" ht="16.5" customHeight="1">
      <c r="A48" s="63">
        <f t="array" aca="1" ref="A48" ca="1">IF(C48&lt;&gt;0,SUM(($C$11:C48&lt;&gt;0)*1),"")</f>
        <v>10</v>
      </c>
      <c r="B48" s="263">
        <v>42735</v>
      </c>
      <c r="C48" s="266" t="s">
        <v>113</v>
      </c>
      <c r="D48" s="266">
        <f t="shared" si="97"/>
        <v>42735</v>
      </c>
      <c r="E48" s="919" t="s">
        <v>914</v>
      </c>
      <c r="F48" s="920">
        <f ca="1">CG52</f>
        <v>0</v>
      </c>
      <c r="G48" s="921" t="s">
        <v>292</v>
      </c>
      <c r="H48" s="921" t="s">
        <v>107</v>
      </c>
      <c r="I48" s="63">
        <f t="shared" ca="1" si="0"/>
        <v>10</v>
      </c>
      <c r="J48" s="265">
        <f t="shared" si="61"/>
        <v>0</v>
      </c>
      <c r="K48" s="265">
        <f t="shared" si="62"/>
        <v>0</v>
      </c>
      <c r="L48" s="265">
        <f t="shared" si="1"/>
        <v>0</v>
      </c>
      <c r="M48" s="265">
        <f t="shared" si="2"/>
        <v>0</v>
      </c>
      <c r="N48" s="265">
        <f t="shared" si="3"/>
        <v>0</v>
      </c>
      <c r="O48" s="265">
        <f t="shared" si="4"/>
        <v>0</v>
      </c>
      <c r="P48" s="265">
        <f t="shared" si="5"/>
        <v>0</v>
      </c>
      <c r="Q48" s="265">
        <f t="shared" si="6"/>
        <v>0</v>
      </c>
      <c r="R48" s="265">
        <f t="shared" si="7"/>
        <v>0</v>
      </c>
      <c r="S48" s="265">
        <f t="shared" si="8"/>
        <v>0</v>
      </c>
      <c r="T48" s="265">
        <f t="shared" si="9"/>
        <v>0</v>
      </c>
      <c r="U48" s="265">
        <f t="shared" si="10"/>
        <v>0</v>
      </c>
      <c r="V48" s="265">
        <f t="shared" si="11"/>
        <v>0</v>
      </c>
      <c r="W48" s="265">
        <f t="shared" si="12"/>
        <v>0</v>
      </c>
      <c r="X48" s="265">
        <f t="shared" si="13"/>
        <v>0</v>
      </c>
      <c r="Y48" s="265">
        <f t="shared" si="14"/>
        <v>0</v>
      </c>
      <c r="Z48" s="265">
        <f t="shared" si="15"/>
        <v>0</v>
      </c>
      <c r="AA48" s="265">
        <f t="shared" si="16"/>
        <v>0</v>
      </c>
      <c r="AB48" s="265">
        <f t="shared" si="63"/>
        <v>0</v>
      </c>
      <c r="AC48" s="265">
        <f t="shared" si="64"/>
        <v>0</v>
      </c>
      <c r="AD48" s="265">
        <f t="shared" si="17"/>
        <v>0</v>
      </c>
      <c r="AE48" s="265">
        <f t="shared" si="18"/>
        <v>0</v>
      </c>
      <c r="AF48" s="265">
        <f t="shared" si="19"/>
        <v>0</v>
      </c>
      <c r="AG48" s="265">
        <f t="shared" si="20"/>
        <v>0</v>
      </c>
      <c r="AH48" s="265">
        <f t="shared" si="65"/>
        <v>0</v>
      </c>
      <c r="AI48" s="265">
        <f t="shared" si="66"/>
        <v>0</v>
      </c>
      <c r="AJ48" s="265">
        <f t="shared" si="67"/>
        <v>0</v>
      </c>
      <c r="AK48" s="265">
        <f t="shared" si="68"/>
        <v>0</v>
      </c>
      <c r="AL48" s="265">
        <f t="shared" si="69"/>
        <v>0</v>
      </c>
      <c r="AM48" s="265">
        <f t="shared" si="70"/>
        <v>0</v>
      </c>
      <c r="AN48" s="265">
        <f t="shared" si="71"/>
        <v>0</v>
      </c>
      <c r="AO48" s="265">
        <f t="shared" si="72"/>
        <v>0</v>
      </c>
      <c r="AP48" s="265">
        <f t="shared" si="21"/>
        <v>0</v>
      </c>
      <c r="AQ48" s="265">
        <f t="shared" si="22"/>
        <v>0</v>
      </c>
      <c r="AR48" s="265">
        <f t="shared" si="23"/>
        <v>0</v>
      </c>
      <c r="AS48" s="265">
        <f t="shared" si="24"/>
        <v>0</v>
      </c>
      <c r="AT48" s="265">
        <f t="shared" si="73"/>
        <v>0</v>
      </c>
      <c r="AU48" s="265">
        <f t="shared" si="74"/>
        <v>0</v>
      </c>
      <c r="AV48" s="265">
        <f t="shared" si="25"/>
        <v>0</v>
      </c>
      <c r="AW48" s="265">
        <f t="shared" si="26"/>
        <v>0</v>
      </c>
      <c r="AX48" s="265">
        <f t="shared" si="27"/>
        <v>0</v>
      </c>
      <c r="AY48" s="265">
        <f t="shared" si="28"/>
        <v>0</v>
      </c>
      <c r="AZ48" s="265">
        <f t="shared" si="29"/>
        <v>0</v>
      </c>
      <c r="BA48" s="265">
        <f t="shared" si="30"/>
        <v>0</v>
      </c>
      <c r="BB48" s="265">
        <f t="shared" si="31"/>
        <v>0</v>
      </c>
      <c r="BC48" s="265">
        <f t="shared" si="32"/>
        <v>0</v>
      </c>
      <c r="BD48" s="265">
        <f t="shared" si="33"/>
        <v>0</v>
      </c>
      <c r="BE48" s="265">
        <f t="shared" si="34"/>
        <v>0</v>
      </c>
      <c r="BF48" s="265">
        <f t="shared" si="35"/>
        <v>0</v>
      </c>
      <c r="BG48" s="265">
        <f t="shared" si="36"/>
        <v>0</v>
      </c>
      <c r="BH48" s="265">
        <f t="shared" si="75"/>
        <v>0</v>
      </c>
      <c r="BI48" s="265">
        <f t="shared" si="76"/>
        <v>0</v>
      </c>
      <c r="BJ48" s="265">
        <f t="shared" si="37"/>
        <v>0</v>
      </c>
      <c r="BK48" s="265">
        <f t="shared" si="38"/>
        <v>0</v>
      </c>
      <c r="BL48" s="265">
        <f t="shared" si="39"/>
        <v>0</v>
      </c>
      <c r="BM48" s="265">
        <f t="shared" si="40"/>
        <v>0</v>
      </c>
      <c r="BN48" s="265">
        <f t="shared" si="41"/>
        <v>0</v>
      </c>
      <c r="BO48" s="265">
        <f t="shared" si="42"/>
        <v>0</v>
      </c>
      <c r="BP48" s="265">
        <f t="shared" si="77"/>
        <v>0</v>
      </c>
      <c r="BQ48" s="265">
        <f t="shared" si="78"/>
        <v>0</v>
      </c>
      <c r="BR48" s="265">
        <f t="shared" si="43"/>
        <v>0</v>
      </c>
      <c r="BS48" s="265">
        <f t="shared" si="44"/>
        <v>0</v>
      </c>
      <c r="BT48" s="265">
        <f t="shared" si="79"/>
        <v>0</v>
      </c>
      <c r="BU48" s="265">
        <f t="shared" si="80"/>
        <v>0</v>
      </c>
      <c r="BV48" s="265">
        <f t="shared" si="81"/>
        <v>0</v>
      </c>
      <c r="BW48" s="265">
        <f t="shared" si="82"/>
        <v>0</v>
      </c>
      <c r="BX48" s="265">
        <f t="shared" si="45"/>
        <v>0</v>
      </c>
      <c r="BY48" s="265">
        <f t="shared" si="46"/>
        <v>0</v>
      </c>
      <c r="BZ48" s="265">
        <f t="shared" si="47"/>
        <v>0</v>
      </c>
      <c r="CA48" s="265">
        <f t="shared" si="48"/>
        <v>0</v>
      </c>
      <c r="CB48" s="265">
        <f t="shared" si="49"/>
        <v>0</v>
      </c>
      <c r="CC48" s="265">
        <f t="shared" si="50"/>
        <v>0</v>
      </c>
      <c r="CD48" s="265">
        <f t="shared" si="83"/>
        <v>0</v>
      </c>
      <c r="CE48" s="265">
        <f t="shared" si="84"/>
        <v>0</v>
      </c>
      <c r="CF48" s="265">
        <f t="shared" ca="1" si="85"/>
        <v>0</v>
      </c>
      <c r="CG48" s="265">
        <f t="shared" si="86"/>
        <v>0</v>
      </c>
      <c r="CH48" s="265">
        <f t="shared" si="51"/>
        <v>0</v>
      </c>
      <c r="CI48" s="265">
        <f t="shared" si="52"/>
        <v>0</v>
      </c>
      <c r="CJ48" s="265">
        <f t="shared" si="87"/>
        <v>0</v>
      </c>
      <c r="CK48" s="265">
        <f t="shared" si="88"/>
        <v>0</v>
      </c>
      <c r="CL48" s="265">
        <f t="shared" si="53"/>
        <v>0</v>
      </c>
      <c r="CM48" s="265">
        <f t="shared" si="54"/>
        <v>0</v>
      </c>
      <c r="CN48" s="265">
        <f t="shared" si="55"/>
        <v>0</v>
      </c>
      <c r="CO48" s="265">
        <f t="shared" si="56"/>
        <v>0</v>
      </c>
      <c r="CP48" s="265">
        <f t="shared" si="89"/>
        <v>0</v>
      </c>
      <c r="CQ48" s="265">
        <f t="shared" si="90"/>
        <v>0</v>
      </c>
      <c r="CR48" s="265">
        <f t="shared" si="91"/>
        <v>0</v>
      </c>
      <c r="CS48" s="265">
        <f t="shared" si="92"/>
        <v>0</v>
      </c>
      <c r="CT48" s="265">
        <f t="shared" si="57"/>
        <v>0</v>
      </c>
      <c r="CU48" s="265">
        <f t="shared" si="58"/>
        <v>0</v>
      </c>
      <c r="CV48" s="265">
        <f t="shared" si="59"/>
        <v>0</v>
      </c>
      <c r="CW48" s="265">
        <f t="shared" si="60"/>
        <v>0</v>
      </c>
      <c r="CX48" s="265">
        <f t="shared" si="93"/>
        <v>0</v>
      </c>
      <c r="CY48" s="265">
        <f t="shared" si="94"/>
        <v>0</v>
      </c>
      <c r="CZ48" s="265">
        <f t="shared" si="95"/>
        <v>0</v>
      </c>
      <c r="DA48" s="265">
        <f t="shared" ca="1" si="96"/>
        <v>0</v>
      </c>
    </row>
    <row r="49" spans="1:105" s="262" customFormat="1" ht="16.5" customHeight="1">
      <c r="A49" s="63">
        <f t="array" aca="1" ref="A49" ca="1">IF(C49&lt;&gt;0,SUM(($C$11:C49&lt;&gt;0)*1),"")</f>
        <v>11</v>
      </c>
      <c r="B49" s="263">
        <v>42735</v>
      </c>
      <c r="C49" s="266" t="s">
        <v>113</v>
      </c>
      <c r="D49" s="266">
        <f t="shared" si="97"/>
        <v>42735</v>
      </c>
      <c r="E49" s="919" t="s">
        <v>117</v>
      </c>
      <c r="F49" s="920">
        <f ca="1">CU52</f>
        <v>0</v>
      </c>
      <c r="G49" s="921" t="s">
        <v>101</v>
      </c>
      <c r="H49" s="921" t="s">
        <v>107</v>
      </c>
      <c r="I49" s="63">
        <f t="shared" ca="1" si="0"/>
        <v>11</v>
      </c>
      <c r="J49" s="265">
        <f t="shared" si="61"/>
        <v>0</v>
      </c>
      <c r="K49" s="265">
        <f t="shared" si="62"/>
        <v>0</v>
      </c>
      <c r="L49" s="265">
        <f t="shared" si="1"/>
        <v>0</v>
      </c>
      <c r="M49" s="265">
        <f t="shared" si="2"/>
        <v>0</v>
      </c>
      <c r="N49" s="265">
        <f t="shared" si="3"/>
        <v>0</v>
      </c>
      <c r="O49" s="265">
        <f t="shared" si="4"/>
        <v>0</v>
      </c>
      <c r="P49" s="265">
        <f t="shared" si="5"/>
        <v>0</v>
      </c>
      <c r="Q49" s="265">
        <f t="shared" si="6"/>
        <v>0</v>
      </c>
      <c r="R49" s="265">
        <f t="shared" si="7"/>
        <v>0</v>
      </c>
      <c r="S49" s="265">
        <f t="shared" si="8"/>
        <v>0</v>
      </c>
      <c r="T49" s="265">
        <f t="shared" si="9"/>
        <v>0</v>
      </c>
      <c r="U49" s="265">
        <f t="shared" si="10"/>
        <v>0</v>
      </c>
      <c r="V49" s="265">
        <f t="shared" si="11"/>
        <v>0</v>
      </c>
      <c r="W49" s="265">
        <f t="shared" si="12"/>
        <v>0</v>
      </c>
      <c r="X49" s="265">
        <f t="shared" si="13"/>
        <v>0</v>
      </c>
      <c r="Y49" s="265">
        <f t="shared" si="14"/>
        <v>0</v>
      </c>
      <c r="Z49" s="265">
        <f t="shared" si="15"/>
        <v>0</v>
      </c>
      <c r="AA49" s="265">
        <f t="shared" si="16"/>
        <v>0</v>
      </c>
      <c r="AB49" s="265">
        <f t="shared" si="63"/>
        <v>0</v>
      </c>
      <c r="AC49" s="265">
        <f t="shared" si="64"/>
        <v>0</v>
      </c>
      <c r="AD49" s="265">
        <f t="shared" si="17"/>
        <v>0</v>
      </c>
      <c r="AE49" s="265">
        <f t="shared" si="18"/>
        <v>0</v>
      </c>
      <c r="AF49" s="265">
        <f t="shared" si="19"/>
        <v>0</v>
      </c>
      <c r="AG49" s="265">
        <f t="shared" si="20"/>
        <v>0</v>
      </c>
      <c r="AH49" s="265">
        <f t="shared" si="65"/>
        <v>0</v>
      </c>
      <c r="AI49" s="265">
        <f t="shared" si="66"/>
        <v>0</v>
      </c>
      <c r="AJ49" s="265">
        <f t="shared" si="67"/>
        <v>0</v>
      </c>
      <c r="AK49" s="265">
        <f t="shared" si="68"/>
        <v>0</v>
      </c>
      <c r="AL49" s="265">
        <f t="shared" si="69"/>
        <v>0</v>
      </c>
      <c r="AM49" s="265">
        <f t="shared" si="70"/>
        <v>0</v>
      </c>
      <c r="AN49" s="265">
        <f t="shared" si="71"/>
        <v>0</v>
      </c>
      <c r="AO49" s="265">
        <f t="shared" si="72"/>
        <v>0</v>
      </c>
      <c r="AP49" s="265">
        <f t="shared" si="21"/>
        <v>0</v>
      </c>
      <c r="AQ49" s="265">
        <f t="shared" si="22"/>
        <v>0</v>
      </c>
      <c r="AR49" s="265">
        <f t="shared" si="23"/>
        <v>0</v>
      </c>
      <c r="AS49" s="265">
        <f t="shared" si="24"/>
        <v>0</v>
      </c>
      <c r="AT49" s="265">
        <f t="shared" si="73"/>
        <v>0</v>
      </c>
      <c r="AU49" s="265">
        <f t="shared" si="74"/>
        <v>0</v>
      </c>
      <c r="AV49" s="265">
        <f t="shared" si="25"/>
        <v>0</v>
      </c>
      <c r="AW49" s="265">
        <f t="shared" si="26"/>
        <v>0</v>
      </c>
      <c r="AX49" s="265">
        <f t="shared" si="27"/>
        <v>0</v>
      </c>
      <c r="AY49" s="265">
        <f t="shared" si="28"/>
        <v>0</v>
      </c>
      <c r="AZ49" s="265">
        <f t="shared" si="29"/>
        <v>0</v>
      </c>
      <c r="BA49" s="265">
        <f t="shared" si="30"/>
        <v>0</v>
      </c>
      <c r="BB49" s="265">
        <f t="shared" si="31"/>
        <v>0</v>
      </c>
      <c r="BC49" s="265">
        <f t="shared" si="32"/>
        <v>0</v>
      </c>
      <c r="BD49" s="265">
        <f t="shared" si="33"/>
        <v>0</v>
      </c>
      <c r="BE49" s="265">
        <f t="shared" si="34"/>
        <v>0</v>
      </c>
      <c r="BF49" s="265">
        <f t="shared" si="35"/>
        <v>0</v>
      </c>
      <c r="BG49" s="265">
        <f t="shared" si="36"/>
        <v>0</v>
      </c>
      <c r="BH49" s="265">
        <f t="shared" si="75"/>
        <v>0</v>
      </c>
      <c r="BI49" s="265">
        <f t="shared" si="76"/>
        <v>0</v>
      </c>
      <c r="BJ49" s="265">
        <f t="shared" si="37"/>
        <v>0</v>
      </c>
      <c r="BK49" s="265">
        <f t="shared" si="38"/>
        <v>0</v>
      </c>
      <c r="BL49" s="265">
        <f t="shared" si="39"/>
        <v>0</v>
      </c>
      <c r="BM49" s="265">
        <f t="shared" si="40"/>
        <v>0</v>
      </c>
      <c r="BN49" s="265">
        <f t="shared" si="41"/>
        <v>0</v>
      </c>
      <c r="BO49" s="265">
        <f t="shared" si="42"/>
        <v>0</v>
      </c>
      <c r="BP49" s="265">
        <f t="shared" si="77"/>
        <v>0</v>
      </c>
      <c r="BQ49" s="265">
        <f t="shared" si="78"/>
        <v>0</v>
      </c>
      <c r="BR49" s="265">
        <f t="shared" si="43"/>
        <v>0</v>
      </c>
      <c r="BS49" s="265">
        <f t="shared" si="44"/>
        <v>0</v>
      </c>
      <c r="BT49" s="265">
        <f t="shared" si="79"/>
        <v>0</v>
      </c>
      <c r="BU49" s="265">
        <f t="shared" si="80"/>
        <v>0</v>
      </c>
      <c r="BV49" s="265">
        <f t="shared" si="81"/>
        <v>0</v>
      </c>
      <c r="BW49" s="265">
        <f t="shared" si="82"/>
        <v>0</v>
      </c>
      <c r="BX49" s="265">
        <f t="shared" si="45"/>
        <v>0</v>
      </c>
      <c r="BY49" s="265">
        <f t="shared" si="46"/>
        <v>0</v>
      </c>
      <c r="BZ49" s="265">
        <f t="shared" si="47"/>
        <v>0</v>
      </c>
      <c r="CA49" s="265">
        <f t="shared" si="48"/>
        <v>0</v>
      </c>
      <c r="CB49" s="265">
        <f t="shared" si="49"/>
        <v>0</v>
      </c>
      <c r="CC49" s="265">
        <f t="shared" si="50"/>
        <v>0</v>
      </c>
      <c r="CD49" s="265">
        <f t="shared" si="83"/>
        <v>0</v>
      </c>
      <c r="CE49" s="265">
        <f t="shared" si="84"/>
        <v>0</v>
      </c>
      <c r="CF49" s="265">
        <f t="shared" si="85"/>
        <v>0</v>
      </c>
      <c r="CG49" s="265">
        <f t="shared" si="86"/>
        <v>0</v>
      </c>
      <c r="CH49" s="265">
        <f t="shared" si="51"/>
        <v>0</v>
      </c>
      <c r="CI49" s="265">
        <f t="shared" si="52"/>
        <v>0</v>
      </c>
      <c r="CJ49" s="265">
        <f t="shared" si="87"/>
        <v>0</v>
      </c>
      <c r="CK49" s="265">
        <f t="shared" si="88"/>
        <v>0</v>
      </c>
      <c r="CL49" s="265">
        <f t="shared" si="53"/>
        <v>0</v>
      </c>
      <c r="CM49" s="265">
        <f t="shared" si="54"/>
        <v>0</v>
      </c>
      <c r="CN49" s="265">
        <f t="shared" si="55"/>
        <v>0</v>
      </c>
      <c r="CO49" s="265">
        <f t="shared" si="56"/>
        <v>0</v>
      </c>
      <c r="CP49" s="265">
        <f t="shared" si="89"/>
        <v>0</v>
      </c>
      <c r="CQ49" s="265">
        <f t="shared" si="90"/>
        <v>0</v>
      </c>
      <c r="CR49" s="265">
        <f t="shared" si="91"/>
        <v>0</v>
      </c>
      <c r="CS49" s="265">
        <f t="shared" si="92"/>
        <v>0</v>
      </c>
      <c r="CT49" s="265">
        <f t="shared" ca="1" si="57"/>
        <v>0</v>
      </c>
      <c r="CU49" s="265">
        <f t="shared" si="58"/>
        <v>0</v>
      </c>
      <c r="CV49" s="265">
        <f t="shared" si="59"/>
        <v>0</v>
      </c>
      <c r="CW49" s="265">
        <f t="shared" si="60"/>
        <v>0</v>
      </c>
      <c r="CX49" s="265">
        <f t="shared" si="93"/>
        <v>0</v>
      </c>
      <c r="CY49" s="265">
        <f t="shared" si="94"/>
        <v>0</v>
      </c>
      <c r="CZ49" s="265">
        <f t="shared" si="95"/>
        <v>0</v>
      </c>
      <c r="DA49" s="265">
        <f t="shared" ca="1" si="96"/>
        <v>0</v>
      </c>
    </row>
    <row r="50" spans="1:105" s="262" customFormat="1" ht="16.5" customHeight="1">
      <c r="A50" s="63">
        <f t="array" aca="1" ref="A50" ca="1">IF(C50&lt;&gt;0,SUM(($C$11:C50&lt;&gt;0)*1),"")</f>
        <v>12</v>
      </c>
      <c r="B50" s="263">
        <v>42735</v>
      </c>
      <c r="C50" s="266" t="s">
        <v>113</v>
      </c>
      <c r="D50" s="266">
        <f t="shared" si="97"/>
        <v>42735</v>
      </c>
      <c r="E50" s="919" t="s">
        <v>118</v>
      </c>
      <c r="F50" s="920">
        <f ca="1">CV52</f>
        <v>0</v>
      </c>
      <c r="G50" s="921" t="s">
        <v>107</v>
      </c>
      <c r="H50" s="921" t="s">
        <v>103</v>
      </c>
      <c r="I50" s="63">
        <f t="shared" ca="1" si="0"/>
        <v>12</v>
      </c>
      <c r="J50" s="265">
        <f t="shared" si="61"/>
        <v>0</v>
      </c>
      <c r="K50" s="265">
        <f t="shared" si="62"/>
        <v>0</v>
      </c>
      <c r="L50" s="265">
        <f t="shared" si="1"/>
        <v>0</v>
      </c>
      <c r="M50" s="265">
        <f t="shared" si="2"/>
        <v>0</v>
      </c>
      <c r="N50" s="265">
        <f t="shared" si="3"/>
        <v>0</v>
      </c>
      <c r="O50" s="265">
        <f t="shared" si="4"/>
        <v>0</v>
      </c>
      <c r="P50" s="265">
        <f t="shared" si="5"/>
        <v>0</v>
      </c>
      <c r="Q50" s="265">
        <f t="shared" si="6"/>
        <v>0</v>
      </c>
      <c r="R50" s="265">
        <f t="shared" si="7"/>
        <v>0</v>
      </c>
      <c r="S50" s="265">
        <f t="shared" si="8"/>
        <v>0</v>
      </c>
      <c r="T50" s="265">
        <f t="shared" si="9"/>
        <v>0</v>
      </c>
      <c r="U50" s="265">
        <f t="shared" si="10"/>
        <v>0</v>
      </c>
      <c r="V50" s="265">
        <f t="shared" si="11"/>
        <v>0</v>
      </c>
      <c r="W50" s="265">
        <f t="shared" si="12"/>
        <v>0</v>
      </c>
      <c r="X50" s="265">
        <f t="shared" si="13"/>
        <v>0</v>
      </c>
      <c r="Y50" s="265">
        <f t="shared" si="14"/>
        <v>0</v>
      </c>
      <c r="Z50" s="265">
        <f t="shared" si="15"/>
        <v>0</v>
      </c>
      <c r="AA50" s="265">
        <f t="shared" si="16"/>
        <v>0</v>
      </c>
      <c r="AB50" s="265">
        <f t="shared" si="63"/>
        <v>0</v>
      </c>
      <c r="AC50" s="265">
        <f t="shared" si="64"/>
        <v>0</v>
      </c>
      <c r="AD50" s="265">
        <f t="shared" si="17"/>
        <v>0</v>
      </c>
      <c r="AE50" s="265">
        <f t="shared" si="18"/>
        <v>0</v>
      </c>
      <c r="AF50" s="265">
        <f t="shared" si="19"/>
        <v>0</v>
      </c>
      <c r="AG50" s="265">
        <f t="shared" si="20"/>
        <v>0</v>
      </c>
      <c r="AH50" s="265">
        <f t="shared" si="65"/>
        <v>0</v>
      </c>
      <c r="AI50" s="265">
        <f t="shared" si="66"/>
        <v>0</v>
      </c>
      <c r="AJ50" s="265">
        <f t="shared" si="67"/>
        <v>0</v>
      </c>
      <c r="AK50" s="265">
        <f t="shared" si="68"/>
        <v>0</v>
      </c>
      <c r="AL50" s="265">
        <f t="shared" si="69"/>
        <v>0</v>
      </c>
      <c r="AM50" s="265">
        <f t="shared" si="70"/>
        <v>0</v>
      </c>
      <c r="AN50" s="265">
        <f t="shared" si="71"/>
        <v>0</v>
      </c>
      <c r="AO50" s="265">
        <f t="shared" si="72"/>
        <v>0</v>
      </c>
      <c r="AP50" s="265">
        <f t="shared" si="21"/>
        <v>0</v>
      </c>
      <c r="AQ50" s="265">
        <f t="shared" si="22"/>
        <v>0</v>
      </c>
      <c r="AR50" s="265">
        <f t="shared" si="23"/>
        <v>0</v>
      </c>
      <c r="AS50" s="265">
        <f t="shared" si="24"/>
        <v>0</v>
      </c>
      <c r="AT50" s="265">
        <f t="shared" si="73"/>
        <v>0</v>
      </c>
      <c r="AU50" s="265">
        <f t="shared" si="74"/>
        <v>0</v>
      </c>
      <c r="AV50" s="265">
        <f t="shared" si="25"/>
        <v>0</v>
      </c>
      <c r="AW50" s="265">
        <f t="shared" si="26"/>
        <v>0</v>
      </c>
      <c r="AX50" s="265">
        <f t="shared" si="27"/>
        <v>0</v>
      </c>
      <c r="AY50" s="265">
        <f t="shared" si="28"/>
        <v>0</v>
      </c>
      <c r="AZ50" s="265">
        <f t="shared" si="29"/>
        <v>0</v>
      </c>
      <c r="BA50" s="265">
        <f t="shared" si="30"/>
        <v>0</v>
      </c>
      <c r="BB50" s="265">
        <f t="shared" si="31"/>
        <v>0</v>
      </c>
      <c r="BC50" s="265">
        <f t="shared" si="32"/>
        <v>0</v>
      </c>
      <c r="BD50" s="265">
        <f t="shared" si="33"/>
        <v>0</v>
      </c>
      <c r="BE50" s="265">
        <f t="shared" si="34"/>
        <v>0</v>
      </c>
      <c r="BF50" s="265">
        <f t="shared" si="35"/>
        <v>0</v>
      </c>
      <c r="BG50" s="265">
        <f t="shared" si="36"/>
        <v>0</v>
      </c>
      <c r="BH50" s="265">
        <f t="shared" si="75"/>
        <v>0</v>
      </c>
      <c r="BI50" s="265">
        <f t="shared" si="76"/>
        <v>0</v>
      </c>
      <c r="BJ50" s="265">
        <f t="shared" si="37"/>
        <v>0</v>
      </c>
      <c r="BK50" s="265">
        <f t="shared" si="38"/>
        <v>0</v>
      </c>
      <c r="BL50" s="265">
        <f t="shared" si="39"/>
        <v>0</v>
      </c>
      <c r="BM50" s="265">
        <f t="shared" si="40"/>
        <v>0</v>
      </c>
      <c r="BN50" s="265">
        <f t="shared" si="41"/>
        <v>0</v>
      </c>
      <c r="BO50" s="265">
        <f t="shared" si="42"/>
        <v>0</v>
      </c>
      <c r="BP50" s="265">
        <f t="shared" si="77"/>
        <v>0</v>
      </c>
      <c r="BQ50" s="265">
        <f t="shared" si="78"/>
        <v>0</v>
      </c>
      <c r="BR50" s="265">
        <f t="shared" si="43"/>
        <v>0</v>
      </c>
      <c r="BS50" s="265">
        <f t="shared" si="44"/>
        <v>0</v>
      </c>
      <c r="BT50" s="265">
        <f t="shared" si="79"/>
        <v>0</v>
      </c>
      <c r="BU50" s="265">
        <f t="shared" si="80"/>
        <v>0</v>
      </c>
      <c r="BV50" s="265">
        <f t="shared" si="81"/>
        <v>0</v>
      </c>
      <c r="BW50" s="265">
        <f t="shared" si="82"/>
        <v>0</v>
      </c>
      <c r="BX50" s="265">
        <f t="shared" si="45"/>
        <v>0</v>
      </c>
      <c r="BY50" s="265">
        <f t="shared" si="46"/>
        <v>0</v>
      </c>
      <c r="BZ50" s="265">
        <f t="shared" si="47"/>
        <v>0</v>
      </c>
      <c r="CA50" s="265">
        <f t="shared" si="48"/>
        <v>0</v>
      </c>
      <c r="CB50" s="265">
        <f t="shared" si="49"/>
        <v>0</v>
      </c>
      <c r="CC50" s="265">
        <f t="shared" si="50"/>
        <v>0</v>
      </c>
      <c r="CD50" s="265">
        <f t="shared" si="83"/>
        <v>0</v>
      </c>
      <c r="CE50" s="265">
        <f t="shared" si="84"/>
        <v>0</v>
      </c>
      <c r="CF50" s="265">
        <f t="shared" si="85"/>
        <v>0</v>
      </c>
      <c r="CG50" s="265">
        <f t="shared" si="86"/>
        <v>0</v>
      </c>
      <c r="CH50" s="265">
        <f t="shared" si="51"/>
        <v>0</v>
      </c>
      <c r="CI50" s="265">
        <f t="shared" si="52"/>
        <v>0</v>
      </c>
      <c r="CJ50" s="265">
        <f t="shared" si="87"/>
        <v>0</v>
      </c>
      <c r="CK50" s="265">
        <f t="shared" si="88"/>
        <v>0</v>
      </c>
      <c r="CL50" s="265">
        <f t="shared" si="53"/>
        <v>0</v>
      </c>
      <c r="CM50" s="265">
        <f t="shared" si="54"/>
        <v>0</v>
      </c>
      <c r="CN50" s="265">
        <f t="shared" si="55"/>
        <v>0</v>
      </c>
      <c r="CO50" s="265">
        <f t="shared" si="56"/>
        <v>0</v>
      </c>
      <c r="CP50" s="265">
        <f t="shared" si="89"/>
        <v>0</v>
      </c>
      <c r="CQ50" s="265">
        <f t="shared" si="90"/>
        <v>0</v>
      </c>
      <c r="CR50" s="265">
        <f t="shared" si="91"/>
        <v>0</v>
      </c>
      <c r="CS50" s="265">
        <f t="shared" si="92"/>
        <v>0</v>
      </c>
      <c r="CT50" s="265">
        <f t="shared" si="57"/>
        <v>0</v>
      </c>
      <c r="CU50" s="265">
        <f t="shared" si="58"/>
        <v>0</v>
      </c>
      <c r="CV50" s="265">
        <f t="shared" si="59"/>
        <v>0</v>
      </c>
      <c r="CW50" s="265">
        <f t="shared" ca="1" si="60"/>
        <v>0</v>
      </c>
      <c r="CX50" s="265">
        <f t="shared" si="93"/>
        <v>0</v>
      </c>
      <c r="CY50" s="265">
        <f t="shared" si="94"/>
        <v>0</v>
      </c>
      <c r="CZ50" s="265">
        <f t="shared" ca="1" si="95"/>
        <v>0</v>
      </c>
      <c r="DA50" s="265">
        <f t="shared" si="96"/>
        <v>0</v>
      </c>
    </row>
    <row r="51" spans="1:105" s="262" customFormat="1" ht="16.5" customHeight="1">
      <c r="A51" s="63" t="str">
        <f t="array" ref="A51">IF(C51&lt;&gt;0,SUM(($C$11:C51&lt;&gt;0)*1),"")</f>
        <v/>
      </c>
      <c r="B51" s="229"/>
      <c r="C51" s="229"/>
      <c r="D51" s="229"/>
      <c r="E51" s="264"/>
      <c r="F51" s="65"/>
      <c r="G51" s="268"/>
      <c r="H51" s="268"/>
      <c r="I51" s="63" t="str">
        <f>A51</f>
        <v/>
      </c>
      <c r="J51" s="265">
        <f>IF($G51="1111",$F51,0)</f>
        <v>0</v>
      </c>
      <c r="K51" s="265">
        <f>IF($H51="1111",$F51,0)</f>
        <v>0</v>
      </c>
      <c r="L51" s="265">
        <f>IF($G51="1121",$F51,0)</f>
        <v>0</v>
      </c>
      <c r="M51" s="265">
        <f>IF($H51="1121",$F51,0)</f>
        <v>0</v>
      </c>
      <c r="N51" s="265">
        <f>IF($G51="1122",$F51,0)</f>
        <v>0</v>
      </c>
      <c r="O51" s="265">
        <f>IF($H51="1122",$F51,0)</f>
        <v>0</v>
      </c>
      <c r="P51" s="265">
        <f>IF($G51="131",$F51,0)</f>
        <v>0</v>
      </c>
      <c r="Q51" s="265">
        <f>IF($H51="131",$F51,0)</f>
        <v>0</v>
      </c>
      <c r="R51" s="265">
        <f>IF($G51="1331",$F51,0)</f>
        <v>0</v>
      </c>
      <c r="S51" s="265">
        <f>IF($H51="1331",$F51,0)</f>
        <v>0</v>
      </c>
      <c r="T51" s="265">
        <f>IF($G51="1388",$F51,0)</f>
        <v>0</v>
      </c>
      <c r="U51" s="265">
        <f>IF($H51="1388",$F51,0)</f>
        <v>0</v>
      </c>
      <c r="V51" s="265">
        <f>IF($G51="141",$F51,0)</f>
        <v>0</v>
      </c>
      <c r="W51" s="265">
        <f>IF($H51="141",$F51,0)</f>
        <v>0</v>
      </c>
      <c r="X51" s="265">
        <f>IF($G51="1521",$F51,0)</f>
        <v>0</v>
      </c>
      <c r="Y51" s="265">
        <f>IF($H51="1521",$F51,0)</f>
        <v>0</v>
      </c>
      <c r="Z51" s="265">
        <f>IF($G51="1522",$F51,0)</f>
        <v>0</v>
      </c>
      <c r="AA51" s="265">
        <f>IF($H51="1522",$F51,0)</f>
        <v>0</v>
      </c>
      <c r="AB51" s="265">
        <f>IF($G51="153",$F51,0)</f>
        <v>0</v>
      </c>
      <c r="AC51" s="265">
        <f>IF($H51="153",$F51,0)</f>
        <v>0</v>
      </c>
      <c r="AD51" s="265">
        <f>IF($G51="154",$F51,0)</f>
        <v>0</v>
      </c>
      <c r="AE51" s="265">
        <f>IF($H51="154",$F51,0)</f>
        <v>0</v>
      </c>
      <c r="AF51" s="265">
        <f>IF($G51="155",$F51,0)</f>
        <v>0</v>
      </c>
      <c r="AG51" s="265">
        <f>IF($H51="155",$F51,0)</f>
        <v>0</v>
      </c>
      <c r="AH51" s="265">
        <f>IF($G51="2111",$F51,0)</f>
        <v>0</v>
      </c>
      <c r="AI51" s="265">
        <f>IF($H51="2111",$F51,0)</f>
        <v>0</v>
      </c>
      <c r="AJ51" s="265">
        <f>IF($G51="2112",$F51,0)</f>
        <v>0</v>
      </c>
      <c r="AK51" s="265">
        <f>IF($H51="2112",$F51,0)</f>
        <v>0</v>
      </c>
      <c r="AL51" s="265">
        <f>IF($G51="2113",$F51,0)</f>
        <v>0</v>
      </c>
      <c r="AM51" s="265">
        <f>IF($H51="2113",$F51,0)</f>
        <v>0</v>
      </c>
      <c r="AN51" s="265">
        <f>IF($G51="2131",$F51,0)</f>
        <v>0</v>
      </c>
      <c r="AO51" s="265">
        <f>IF($H51="2131",$F51,0)</f>
        <v>0</v>
      </c>
      <c r="AP51" s="265">
        <f>IF($G51="2141",$F51,0)</f>
        <v>0</v>
      </c>
      <c r="AQ51" s="265">
        <f>IF($H51="2141",$F51,0)</f>
        <v>0</v>
      </c>
      <c r="AR51" s="265">
        <f>IF($G51="2143",$F51,0)</f>
        <v>0</v>
      </c>
      <c r="AS51" s="265">
        <f>IF($H51="2143",$F51,0)</f>
        <v>0</v>
      </c>
      <c r="AT51" s="265">
        <f>IF($G51="2412",$F51,0)</f>
        <v>0</v>
      </c>
      <c r="AU51" s="265">
        <f>IF($H51="2412",$F51,0)</f>
        <v>0</v>
      </c>
      <c r="AV51" s="265">
        <f>IF($G51="331",$F51,0)</f>
        <v>0</v>
      </c>
      <c r="AW51" s="265">
        <f>IF($H51="331",$F51,0)</f>
        <v>0</v>
      </c>
      <c r="AX51" s="265">
        <f>IF($G51="33311",$F51,0)</f>
        <v>0</v>
      </c>
      <c r="AY51" s="265">
        <f>IF($H51="33311",$F51,0)</f>
        <v>0</v>
      </c>
      <c r="AZ51" s="265">
        <f>IF($G51="33312",$F51,0)</f>
        <v>0</v>
      </c>
      <c r="BA51" s="265">
        <f>IF($H51="33312",$F51,0)</f>
        <v>0</v>
      </c>
      <c r="BB51" s="265">
        <f>IF($G51="3333",$F51,0)</f>
        <v>0</v>
      </c>
      <c r="BC51" s="265">
        <f>IF($H51="3333",$F51,0)</f>
        <v>0</v>
      </c>
      <c r="BD51" s="265">
        <f>IF($G51="3334",$F51,0)</f>
        <v>0</v>
      </c>
      <c r="BE51" s="265">
        <f>IF($H51="3334",$F51,0)</f>
        <v>0</v>
      </c>
      <c r="BF51" s="265">
        <f>IF($G51="3335",$F51,0)</f>
        <v>0</v>
      </c>
      <c r="BG51" s="265">
        <f>IF($H51="3335",$F51,0)</f>
        <v>0</v>
      </c>
      <c r="BH51" s="265">
        <f>IF($G51="33382",$F51,0)</f>
        <v>0</v>
      </c>
      <c r="BI51" s="265">
        <f>IF($H51="33382",$F51,0)</f>
        <v>0</v>
      </c>
      <c r="BJ51" s="265">
        <f>IF($G51="3341",$F51,0)</f>
        <v>0</v>
      </c>
      <c r="BK51" s="265">
        <f>IF($H51="3341",$F51,0)</f>
        <v>0</v>
      </c>
      <c r="BL51" s="265">
        <f>IF($G51="3383",$F51,0)</f>
        <v>0</v>
      </c>
      <c r="BM51" s="265">
        <f>IF($H51="3383",$F51,0)</f>
        <v>0</v>
      </c>
      <c r="BN51" s="265">
        <f>IF($G51="3384",$F51,0)</f>
        <v>0</v>
      </c>
      <c r="BO51" s="265">
        <f>IF($H51="3384",$F51,0)</f>
        <v>0</v>
      </c>
      <c r="BP51" s="265">
        <f>IF($G51="3386",$F51,0)</f>
        <v>0</v>
      </c>
      <c r="BQ51" s="265">
        <f>IF($H51="3386",$F51,0)</f>
        <v>0</v>
      </c>
      <c r="BR51" s="265">
        <f>IF($G51="3388",$F51,0)</f>
        <v>0</v>
      </c>
      <c r="BS51" s="265">
        <f>IF($H51="3388",$F51,0)</f>
        <v>0</v>
      </c>
      <c r="BT51" s="265">
        <f>IF($G51="3411",$F51,0)</f>
        <v>0</v>
      </c>
      <c r="BU51" s="265">
        <f>IF($H51="3411",$F51,0)</f>
        <v>0</v>
      </c>
      <c r="BV51" s="265">
        <f>IF($G51="3412",$F51,0)</f>
        <v>0</v>
      </c>
      <c r="BW51" s="265">
        <f>IF($H51="3412",$F51,0)</f>
        <v>0</v>
      </c>
      <c r="BX51" s="265">
        <f>IF($G51="4111",$F51,0)</f>
        <v>0</v>
      </c>
      <c r="BY51" s="265">
        <f>IF($H51="4111",$F51,0)</f>
        <v>0</v>
      </c>
      <c r="BZ51" s="265">
        <f>IF($G51="4211",$F51,0)</f>
        <v>0</v>
      </c>
      <c r="CA51" s="265">
        <f>IF($H51="4211",$F51,0)</f>
        <v>0</v>
      </c>
      <c r="CB51" s="265">
        <f>IF($G51="4212",$F51,0)</f>
        <v>0</v>
      </c>
      <c r="CC51" s="265">
        <f>IF($H51="4212",$F51,0)</f>
        <v>0</v>
      </c>
      <c r="CD51" s="265">
        <f>IF($G51="5112N",$F51,0)</f>
        <v>0</v>
      </c>
      <c r="CE51" s="265">
        <f>IF($H51="5112N",$F51,0)</f>
        <v>0</v>
      </c>
      <c r="CF51" s="265">
        <f>IF($G51="5112X",$F51,0)</f>
        <v>0</v>
      </c>
      <c r="CG51" s="265">
        <f>IF($H51="5112X",$F51,0)</f>
        <v>0</v>
      </c>
      <c r="CH51" s="265">
        <f>IF($G51="515",$F51,0)</f>
        <v>0</v>
      </c>
      <c r="CI51" s="265">
        <f>IF($H51="515",$F51,0)</f>
        <v>0</v>
      </c>
      <c r="CJ51" s="265">
        <f>IF($G51="5213",$F51,0)</f>
        <v>0</v>
      </c>
      <c r="CK51" s="265">
        <f>IF($H51="5213",$F51,0)</f>
        <v>0</v>
      </c>
      <c r="CL51" s="265">
        <f>IF($G51="632",$F51,0)</f>
        <v>0</v>
      </c>
      <c r="CM51" s="265">
        <f>IF($H51="632",$F51,0)</f>
        <v>0</v>
      </c>
      <c r="CN51" s="265">
        <f>IF($G51="635",$F51,0)</f>
        <v>0</v>
      </c>
      <c r="CO51" s="265">
        <f>IF($H51="635",$F51,0)</f>
        <v>0</v>
      </c>
      <c r="CP51" s="265">
        <f>IF($G51="641",$F51,0)</f>
        <v>0</v>
      </c>
      <c r="CQ51" s="265">
        <f>IF($H51="641",$F51,0)</f>
        <v>0</v>
      </c>
      <c r="CR51" s="265">
        <f>IF($G51="642",$F51,0)</f>
        <v>0</v>
      </c>
      <c r="CS51" s="265">
        <f>IF($H51="642",$F51,0)</f>
        <v>0</v>
      </c>
      <c r="CT51" s="265">
        <f>IF($G51="711",$F51,0)</f>
        <v>0</v>
      </c>
      <c r="CU51" s="265">
        <f>IF($H51="711",$F51,0)</f>
        <v>0</v>
      </c>
      <c r="CV51" s="265">
        <f>IF($G51="811",$F51,0)</f>
        <v>0</v>
      </c>
      <c r="CW51" s="265">
        <f>IF($H51="811",$F51,0)</f>
        <v>0</v>
      </c>
      <c r="CX51" s="265">
        <f>IF($G51="821",$F51,0)</f>
        <v>0</v>
      </c>
      <c r="CY51" s="265">
        <f>IF($H51="821",$F51,0)</f>
        <v>0</v>
      </c>
      <c r="CZ51" s="265">
        <f>IF($G51="911",$F51,0)</f>
        <v>0</v>
      </c>
      <c r="DA51" s="265">
        <f>IF($H51="911",$F51,0)</f>
        <v>0</v>
      </c>
    </row>
    <row r="52" spans="1:105" s="262" customFormat="1" ht="16.5" customHeight="1">
      <c r="A52" s="269"/>
      <c r="B52" s="229"/>
      <c r="C52" s="298"/>
      <c r="D52" s="229"/>
      <c r="E52" s="264" t="s">
        <v>171</v>
      </c>
      <c r="F52" s="269"/>
      <c r="G52" s="268"/>
      <c r="H52" s="268"/>
      <c r="I52" s="269"/>
      <c r="J52" s="269">
        <f t="shared" ref="J52:AO52" ca="1" si="98">SUM(J11:J51)</f>
        <v>0</v>
      </c>
      <c r="K52" s="269">
        <f t="shared" ca="1" si="98"/>
        <v>0</v>
      </c>
      <c r="L52" s="269">
        <f t="shared" ca="1" si="98"/>
        <v>0</v>
      </c>
      <c r="M52" s="269">
        <f t="shared" ca="1" si="98"/>
        <v>0</v>
      </c>
      <c r="N52" s="269">
        <f t="shared" ca="1" si="98"/>
        <v>0</v>
      </c>
      <c r="O52" s="269">
        <f t="shared" ca="1" si="98"/>
        <v>0</v>
      </c>
      <c r="P52" s="269">
        <f t="shared" ca="1" si="98"/>
        <v>0</v>
      </c>
      <c r="Q52" s="269">
        <f t="shared" ca="1" si="98"/>
        <v>0</v>
      </c>
      <c r="R52" s="269">
        <f t="shared" ca="1" si="98"/>
        <v>0</v>
      </c>
      <c r="S52" s="269">
        <f t="shared" ca="1" si="98"/>
        <v>0</v>
      </c>
      <c r="T52" s="269">
        <f t="shared" ca="1" si="98"/>
        <v>0</v>
      </c>
      <c r="U52" s="269">
        <f t="shared" ca="1" si="98"/>
        <v>0</v>
      </c>
      <c r="V52" s="269">
        <f t="shared" ca="1" si="98"/>
        <v>0</v>
      </c>
      <c r="W52" s="269">
        <f t="shared" ca="1" si="98"/>
        <v>0</v>
      </c>
      <c r="X52" s="269">
        <f t="shared" ca="1" si="98"/>
        <v>0</v>
      </c>
      <c r="Y52" s="269">
        <f t="shared" ca="1" si="98"/>
        <v>0</v>
      </c>
      <c r="Z52" s="269">
        <f t="shared" ca="1" si="98"/>
        <v>0</v>
      </c>
      <c r="AA52" s="269">
        <f t="shared" ca="1" si="98"/>
        <v>0</v>
      </c>
      <c r="AB52" s="269">
        <f t="shared" ca="1" si="98"/>
        <v>0</v>
      </c>
      <c r="AC52" s="269">
        <f t="shared" ca="1" si="98"/>
        <v>0</v>
      </c>
      <c r="AD52" s="269">
        <f t="shared" ca="1" si="98"/>
        <v>0</v>
      </c>
      <c r="AE52" s="269">
        <f t="shared" ca="1" si="98"/>
        <v>0</v>
      </c>
      <c r="AF52" s="269">
        <f t="shared" ca="1" si="98"/>
        <v>0</v>
      </c>
      <c r="AG52" s="269">
        <f t="shared" ca="1" si="98"/>
        <v>0</v>
      </c>
      <c r="AH52" s="269">
        <f t="shared" ca="1" si="98"/>
        <v>0</v>
      </c>
      <c r="AI52" s="269">
        <f t="shared" ca="1" si="98"/>
        <v>0</v>
      </c>
      <c r="AJ52" s="269">
        <f t="shared" ca="1" si="98"/>
        <v>0</v>
      </c>
      <c r="AK52" s="269">
        <f t="shared" ca="1" si="98"/>
        <v>0</v>
      </c>
      <c r="AL52" s="269">
        <f t="shared" ca="1" si="98"/>
        <v>0</v>
      </c>
      <c r="AM52" s="269">
        <f t="shared" ca="1" si="98"/>
        <v>0</v>
      </c>
      <c r="AN52" s="269">
        <f t="shared" ca="1" si="98"/>
        <v>0</v>
      </c>
      <c r="AO52" s="269">
        <f t="shared" ca="1" si="98"/>
        <v>0</v>
      </c>
      <c r="AP52" s="269">
        <f t="shared" ref="AP52:BU52" ca="1" si="99">SUM(AP11:AP51)</f>
        <v>0</v>
      </c>
      <c r="AQ52" s="269">
        <f t="shared" ca="1" si="99"/>
        <v>0</v>
      </c>
      <c r="AR52" s="269">
        <f t="shared" ca="1" si="99"/>
        <v>0</v>
      </c>
      <c r="AS52" s="269">
        <f t="shared" ca="1" si="99"/>
        <v>0</v>
      </c>
      <c r="AT52" s="269">
        <f t="shared" ca="1" si="99"/>
        <v>0</v>
      </c>
      <c r="AU52" s="269">
        <f t="shared" ca="1" si="99"/>
        <v>0</v>
      </c>
      <c r="AV52" s="269">
        <f t="shared" ca="1" si="99"/>
        <v>0</v>
      </c>
      <c r="AW52" s="269">
        <f t="shared" ca="1" si="99"/>
        <v>0</v>
      </c>
      <c r="AX52" s="269">
        <f t="shared" ca="1" si="99"/>
        <v>0</v>
      </c>
      <c r="AY52" s="269">
        <f t="shared" ca="1" si="99"/>
        <v>0</v>
      </c>
      <c r="AZ52" s="269">
        <f t="shared" ca="1" si="99"/>
        <v>0</v>
      </c>
      <c r="BA52" s="269">
        <f t="shared" ca="1" si="99"/>
        <v>0</v>
      </c>
      <c r="BB52" s="269">
        <f t="shared" ca="1" si="99"/>
        <v>0</v>
      </c>
      <c r="BC52" s="269">
        <f t="shared" ca="1" si="99"/>
        <v>0</v>
      </c>
      <c r="BD52" s="269">
        <f t="shared" ca="1" si="99"/>
        <v>0</v>
      </c>
      <c r="BE52" s="269">
        <f t="shared" ca="1" si="99"/>
        <v>0</v>
      </c>
      <c r="BF52" s="269">
        <f t="shared" ca="1" si="99"/>
        <v>0</v>
      </c>
      <c r="BG52" s="269">
        <f t="shared" ca="1" si="99"/>
        <v>0</v>
      </c>
      <c r="BH52" s="269">
        <f t="shared" ca="1" si="99"/>
        <v>0</v>
      </c>
      <c r="BI52" s="269">
        <f t="shared" ca="1" si="99"/>
        <v>0</v>
      </c>
      <c r="BJ52" s="269">
        <f t="shared" ca="1" si="99"/>
        <v>0</v>
      </c>
      <c r="BK52" s="269">
        <f t="shared" ca="1" si="99"/>
        <v>0</v>
      </c>
      <c r="BL52" s="269">
        <f t="shared" ca="1" si="99"/>
        <v>0</v>
      </c>
      <c r="BM52" s="269">
        <f t="shared" ca="1" si="99"/>
        <v>0</v>
      </c>
      <c r="BN52" s="269">
        <f t="shared" ca="1" si="99"/>
        <v>0</v>
      </c>
      <c r="BO52" s="269">
        <f t="shared" ca="1" si="99"/>
        <v>0</v>
      </c>
      <c r="BP52" s="269">
        <f t="shared" ca="1" si="99"/>
        <v>0</v>
      </c>
      <c r="BQ52" s="269">
        <f t="shared" ca="1" si="99"/>
        <v>0</v>
      </c>
      <c r="BR52" s="269">
        <f t="shared" ca="1" si="99"/>
        <v>0</v>
      </c>
      <c r="BS52" s="269">
        <f t="shared" ca="1" si="99"/>
        <v>0</v>
      </c>
      <c r="BT52" s="269">
        <f t="shared" ca="1" si="99"/>
        <v>0</v>
      </c>
      <c r="BU52" s="269">
        <f t="shared" ca="1" si="99"/>
        <v>0</v>
      </c>
      <c r="BV52" s="269">
        <f t="shared" ref="BV52:DA52" ca="1" si="100">SUM(BV11:BV51)</f>
        <v>0</v>
      </c>
      <c r="BW52" s="269">
        <f t="shared" ca="1" si="100"/>
        <v>0</v>
      </c>
      <c r="BX52" s="269">
        <f t="shared" ca="1" si="100"/>
        <v>0</v>
      </c>
      <c r="BY52" s="269">
        <f t="shared" ca="1" si="100"/>
        <v>0</v>
      </c>
      <c r="BZ52" s="269">
        <f t="shared" ca="1" si="100"/>
        <v>0</v>
      </c>
      <c r="CA52" s="269">
        <f t="shared" ca="1" si="100"/>
        <v>0</v>
      </c>
      <c r="CB52" s="269">
        <f t="shared" ca="1" si="100"/>
        <v>0</v>
      </c>
      <c r="CC52" s="269">
        <f t="shared" ca="1" si="100"/>
        <v>0</v>
      </c>
      <c r="CD52" s="269">
        <f t="shared" ca="1" si="100"/>
        <v>0</v>
      </c>
      <c r="CE52" s="269">
        <f t="shared" ca="1" si="100"/>
        <v>0</v>
      </c>
      <c r="CF52" s="269">
        <f t="shared" ca="1" si="100"/>
        <v>0</v>
      </c>
      <c r="CG52" s="269">
        <f t="shared" ca="1" si="100"/>
        <v>0</v>
      </c>
      <c r="CH52" s="269">
        <f t="shared" ca="1" si="100"/>
        <v>0</v>
      </c>
      <c r="CI52" s="269">
        <f t="shared" ca="1" si="100"/>
        <v>0</v>
      </c>
      <c r="CJ52" s="269">
        <f t="shared" ca="1" si="100"/>
        <v>0</v>
      </c>
      <c r="CK52" s="269">
        <f t="shared" ca="1" si="100"/>
        <v>0</v>
      </c>
      <c r="CL52" s="269">
        <f t="shared" ca="1" si="100"/>
        <v>0</v>
      </c>
      <c r="CM52" s="269">
        <f t="shared" ca="1" si="100"/>
        <v>0</v>
      </c>
      <c r="CN52" s="269">
        <f t="shared" ca="1" si="100"/>
        <v>0</v>
      </c>
      <c r="CO52" s="269">
        <f t="shared" ca="1" si="100"/>
        <v>0</v>
      </c>
      <c r="CP52" s="269">
        <f t="shared" ca="1" si="100"/>
        <v>0</v>
      </c>
      <c r="CQ52" s="269">
        <f t="shared" ca="1" si="100"/>
        <v>0</v>
      </c>
      <c r="CR52" s="269">
        <f t="shared" ca="1" si="100"/>
        <v>0</v>
      </c>
      <c r="CS52" s="269">
        <f t="shared" ca="1" si="100"/>
        <v>0</v>
      </c>
      <c r="CT52" s="269">
        <f t="shared" ca="1" si="100"/>
        <v>0</v>
      </c>
      <c r="CU52" s="269">
        <f t="shared" ca="1" si="100"/>
        <v>0</v>
      </c>
      <c r="CV52" s="269">
        <f t="shared" ca="1" si="100"/>
        <v>0</v>
      </c>
      <c r="CW52" s="269">
        <f t="shared" ca="1" si="100"/>
        <v>0</v>
      </c>
      <c r="CX52" s="269">
        <f t="shared" ca="1" si="100"/>
        <v>0</v>
      </c>
      <c r="CY52" s="269">
        <f t="shared" ca="1" si="100"/>
        <v>0</v>
      </c>
      <c r="CZ52" s="269">
        <f t="shared" ca="1" si="100"/>
        <v>0</v>
      </c>
      <c r="DA52" s="269">
        <f t="shared" ca="1" si="100"/>
        <v>0</v>
      </c>
    </row>
    <row r="53" spans="1:105" s="262" customFormat="1" ht="16.5" customHeight="1">
      <c r="A53" s="270"/>
      <c r="B53" s="270"/>
      <c r="C53" s="270"/>
      <c r="D53" s="270"/>
      <c r="E53" s="271" t="s">
        <v>209</v>
      </c>
      <c r="F53" s="270"/>
      <c r="G53" s="272"/>
      <c r="H53" s="272"/>
      <c r="I53" s="270"/>
      <c r="J53" s="292">
        <f ca="1">MAX(J10+J52-K10-K52,0)</f>
        <v>3705039095</v>
      </c>
      <c r="K53" s="292">
        <f ca="1">MAX(K10+K52-J10-J52,0)</f>
        <v>0</v>
      </c>
      <c r="L53" s="292">
        <f ca="1">MAX(L10+L52-M10-M52,0)</f>
        <v>19829295</v>
      </c>
      <c r="M53" s="292">
        <f ca="1">MAX(M10+M52-L10-L52,0)</f>
        <v>0</v>
      </c>
      <c r="N53" s="292">
        <f ca="1">MAX(N10+N52-O10-O52,0)</f>
        <v>2236796790</v>
      </c>
      <c r="O53" s="292">
        <f ca="1">MAX(O10+O52-N10-N52,0)</f>
        <v>0</v>
      </c>
      <c r="P53" s="292">
        <f ca="1">MAX(P10+P52-Q10-Q52,0)</f>
        <v>3343381600</v>
      </c>
      <c r="Q53" s="292">
        <f ca="1">MAX(Q10+Q52-P10-P52,0)</f>
        <v>0</v>
      </c>
      <c r="R53" s="292">
        <f ca="1">MAX(R10+R52-S10-S52,0)</f>
        <v>162420936</v>
      </c>
      <c r="S53" s="292">
        <f ca="1">MAX(S10+S52-R10-R52,0)</f>
        <v>0</v>
      </c>
      <c r="T53" s="292">
        <f ca="1">MAX(T10+T52-U10-U52,0)</f>
        <v>1500000000</v>
      </c>
      <c r="U53" s="292">
        <f ca="1">MAX(U10+U52-T10-T52,0)</f>
        <v>0</v>
      </c>
      <c r="V53" s="292">
        <f ca="1">MAX(V10+V52-W10-W52,0)</f>
        <v>0</v>
      </c>
      <c r="W53" s="292">
        <f ca="1">MAX(W10+W52-V10-V52,0)</f>
        <v>0</v>
      </c>
      <c r="X53" s="292">
        <f ca="1">MAX(X10+X52-Y10-Y52,0)</f>
        <v>2772400000</v>
      </c>
      <c r="Y53" s="292">
        <f ca="1">MAX(Y10+Y52-X10-X52,0)</f>
        <v>0</v>
      </c>
      <c r="Z53" s="292">
        <f ca="1">MAX(Z10+Z52-AA10-AA52,0)</f>
        <v>526519887</v>
      </c>
      <c r="AA53" s="292">
        <f ca="1">MAX(AA10+AA52-Z10-Z52,0)</f>
        <v>0</v>
      </c>
      <c r="AB53" s="292">
        <f ca="1">MAX(AB10+AB52-AC10-AC52,0)</f>
        <v>0</v>
      </c>
      <c r="AC53" s="292">
        <f ca="1">MAX(AC10+AC52-AB10-AB52,0)</f>
        <v>0</v>
      </c>
      <c r="AD53" s="292">
        <f ca="1">MAX(AD10+AD52-AE10-AE52,0)</f>
        <v>0</v>
      </c>
      <c r="AE53" s="292">
        <f ca="1">MAX(AE10+AE52-AD10-AD52,0)</f>
        <v>0</v>
      </c>
      <c r="AF53" s="292">
        <f ca="1">MAX(AF10+AF52-AG10-AG52,0)</f>
        <v>9386323824</v>
      </c>
      <c r="AG53" s="292">
        <f ca="1">MAX(AG10+AG52-AF10-AF52,0)</f>
        <v>0</v>
      </c>
      <c r="AH53" s="292">
        <f ca="1">MAX(AH10+AH52-AI10-AI52,0)</f>
        <v>7490743648</v>
      </c>
      <c r="AI53" s="292">
        <f ca="1">MAX(AI10+AI52-AH10-AH52,0)</f>
        <v>0</v>
      </c>
      <c r="AJ53" s="292">
        <f ca="1">MAX(AJ10+AJ52-AK10-AK52,0)</f>
        <v>3807898863</v>
      </c>
      <c r="AK53" s="292">
        <f ca="1">MAX(AK10+AK52-AJ10-AJ52,0)</f>
        <v>0</v>
      </c>
      <c r="AL53" s="292">
        <f ca="1">MAX(AL10+AL52-AM10-AM52,0)</f>
        <v>3790918485</v>
      </c>
      <c r="AM53" s="292">
        <f ca="1">MAX(AM10+AM52-AL10-AL52,0)</f>
        <v>0</v>
      </c>
      <c r="AN53" s="292">
        <f ca="1">MAX(AN10+AN52-AO10-AO52,0)</f>
        <v>5405781300</v>
      </c>
      <c r="AO53" s="292">
        <f ca="1">MAX(AO10+AO52-AN10-AN52,0)</f>
        <v>0</v>
      </c>
      <c r="AP53" s="292">
        <f ca="1">MAX(AP10+AP52-AQ10-AQ52,0)</f>
        <v>0</v>
      </c>
      <c r="AQ53" s="292">
        <f ca="1">MAX(AQ10+AQ52-AP10-AP52,0)</f>
        <v>9132359256</v>
      </c>
      <c r="AR53" s="292">
        <f ca="1">MAX(AR10+AR52-AS10-AS52,0)</f>
        <v>0</v>
      </c>
      <c r="AS53" s="292">
        <f ca="1">MAX(AS10+AS52-AR10-AR52,0)</f>
        <v>600642360</v>
      </c>
      <c r="AT53" s="292">
        <f ca="1">MAX(AT10+AT52-AU10-AU52,0)</f>
        <v>0</v>
      </c>
      <c r="AU53" s="292">
        <f ca="1">MAX(AU10+AU52-AT10-AT52,0)</f>
        <v>0</v>
      </c>
      <c r="AV53" s="292">
        <f ca="1">MAX(AV10+AV52-AW10-AW52,0)</f>
        <v>0</v>
      </c>
      <c r="AW53" s="292">
        <f ca="1">MAX(AW10+AW52-AV10-AV52,0)</f>
        <v>476953252</v>
      </c>
      <c r="AX53" s="292">
        <f ca="1">MAX(AX10+AX52-AY10-AY52,0)</f>
        <v>0</v>
      </c>
      <c r="AY53" s="292">
        <f ca="1">MAX(AY10+AY52-AX10-AX52,0)</f>
        <v>0</v>
      </c>
      <c r="AZ53" s="292">
        <f ca="1">MAX(AZ10+AZ52-BA10-BA52,0)</f>
        <v>0</v>
      </c>
      <c r="BA53" s="292">
        <f ca="1">MAX(BA10+BA52-AZ10-AZ52,0)</f>
        <v>0</v>
      </c>
      <c r="BB53" s="292">
        <f ca="1">MAX(BB10+BB52-BC10-BC52,0)</f>
        <v>0</v>
      </c>
      <c r="BC53" s="292">
        <f ca="1">MAX(BC10+BC52-BB10-BB52,0)</f>
        <v>0</v>
      </c>
      <c r="BD53" s="292">
        <f ca="1">MAX(BD10+BD52-BE10-BE52,0)</f>
        <v>0</v>
      </c>
      <c r="BE53" s="292">
        <f ca="1">MAX(BE10+BE52-BD10-BD52,0)</f>
        <v>3313435</v>
      </c>
      <c r="BF53" s="292">
        <f ca="1">MAX(BF10+BF52-BG10-BG52,0)</f>
        <v>3389804</v>
      </c>
      <c r="BG53" s="292">
        <f ca="1">MAX(BG10+BG52-BF10-BF52,0)</f>
        <v>0</v>
      </c>
      <c r="BH53" s="292">
        <f ca="1">MAX(BH10+BH52-BI10-BI52,0)</f>
        <v>0</v>
      </c>
      <c r="BI53" s="292">
        <f ca="1">MAX(BI10+BI52-BH10-BH52,0)</f>
        <v>0</v>
      </c>
      <c r="BJ53" s="292">
        <f ca="1">MAX(BJ10+BJ52-BK10-BK52,0)</f>
        <v>0</v>
      </c>
      <c r="BK53" s="292">
        <f ca="1">MAX(BK10+BK52-BJ10-BJ52,0)</f>
        <v>0</v>
      </c>
      <c r="BL53" s="292">
        <f ca="1">MAX(BL10+BL52-BM10-BM52,0)</f>
        <v>0</v>
      </c>
      <c r="BM53" s="292">
        <f ca="1">MAX(BM10+BM52-BL10-BL52,0)</f>
        <v>40272309</v>
      </c>
      <c r="BN53" s="292">
        <f ca="1">MAX(BN10+BN52-BO10-BO52,0)</f>
        <v>0</v>
      </c>
      <c r="BO53" s="292">
        <f ca="1">MAX(BO10+BO52-BN10-BN52,0)</f>
        <v>6403142</v>
      </c>
      <c r="BP53" s="292">
        <f ca="1">MAX(BP10+BP52-BQ10-BQ52,0)</f>
        <v>0</v>
      </c>
      <c r="BQ53" s="292">
        <f ca="1">MAX(BQ10+BQ52-BP10-BP52,0)</f>
        <v>2761373</v>
      </c>
      <c r="BR53" s="292">
        <f ca="1">MAX(BR10+BR52-BS10-BS52,0)</f>
        <v>0</v>
      </c>
      <c r="BS53" s="292">
        <f ca="1">MAX(BS10+BS52-BR10-BR52,0)</f>
        <v>0</v>
      </c>
      <c r="BT53" s="292">
        <f ca="1">MAX(BT10+BT52-BU10-BU52,0)</f>
        <v>0</v>
      </c>
      <c r="BU53" s="292">
        <f ca="1">MAX(BU10+BU52-BT10-BT52,0)</f>
        <v>2169121879</v>
      </c>
      <c r="BV53" s="292">
        <f ca="1">MAX(BV10+BV52-BW10-BW52,0)</f>
        <v>0</v>
      </c>
      <c r="BW53" s="292">
        <f ca="1">MAX(BW10+BW52-BV10-BV52,0)</f>
        <v>21202920500</v>
      </c>
      <c r="BX53" s="292">
        <f ca="1">MAX(BX10+BX52-BY10-BY52,0)</f>
        <v>0</v>
      </c>
      <c r="BY53" s="292">
        <f ca="1">MAX(BY10+BY52-BX10-BX52,0)</f>
        <v>10000000000</v>
      </c>
      <c r="BZ53" s="292">
        <f ca="1">MAX(BZ10+BZ52-CA10-CA52,0)</f>
        <v>0</v>
      </c>
      <c r="CA53" s="292">
        <f ca="1">MAX(CA10+CA52-BZ10-BZ52,0)</f>
        <v>594397022.00000048</v>
      </c>
      <c r="CB53" s="292">
        <f ca="1">MAX(CB10+CB52-CC10-CC52,0)</f>
        <v>77701001</v>
      </c>
      <c r="CC53" s="292">
        <f ca="1">MAX(CC10+CC52-CB10-CB52,0)</f>
        <v>0</v>
      </c>
      <c r="CD53" s="292">
        <f ca="1">MAX(CD10+CD52-CE10-CE52,0)</f>
        <v>0</v>
      </c>
      <c r="CE53" s="292">
        <f ca="1">MAX(CE10+CE52-CD10-CD52,0)</f>
        <v>0</v>
      </c>
      <c r="CF53" s="292">
        <f ca="1">MAX(CF10+CF52-CG10-CG52,0)</f>
        <v>0</v>
      </c>
      <c r="CG53" s="292">
        <f ca="1">MAX(CG10+CG52-CF10-CF52,0)</f>
        <v>0</v>
      </c>
      <c r="CH53" s="292">
        <f ca="1">MAX(CH10+CH52-CI10-CI52,0)</f>
        <v>0</v>
      </c>
      <c r="CI53" s="292">
        <f ca="1">MAX(CI10+CI52-CH10-CH52,0)</f>
        <v>0</v>
      </c>
      <c r="CJ53" s="292">
        <f ca="1">MAX(CJ10+CJ52-CK10-CK52,0)</f>
        <v>0</v>
      </c>
      <c r="CK53" s="292">
        <f ca="1">MAX(CK10+CK52-CJ10-CJ52,0)</f>
        <v>0</v>
      </c>
      <c r="CL53" s="292">
        <f ca="1">MAX(CL10+CL52-CM10-CM52,0)</f>
        <v>0</v>
      </c>
      <c r="CM53" s="292">
        <f ca="1">MAX(CM10+CM52-CL10-CL52,0)</f>
        <v>0</v>
      </c>
      <c r="CN53" s="292">
        <f ca="1">MAX(CN10+CN52-CO10-CO52,0)</f>
        <v>0</v>
      </c>
      <c r="CO53" s="292">
        <f ca="1">MAX(CO10+CO52-CN10-CN52,0)</f>
        <v>0</v>
      </c>
      <c r="CP53" s="292">
        <f ca="1">MAX(CP10+CP52-CQ10-CQ52,0)</f>
        <v>0</v>
      </c>
      <c r="CQ53" s="292">
        <f ca="1">MAX(CQ10+CQ52-CP10-CP52,0)</f>
        <v>0</v>
      </c>
      <c r="CR53" s="292">
        <f ca="1">MAX(CR10+CR52-CS10-CS52,0)</f>
        <v>0</v>
      </c>
      <c r="CS53" s="292">
        <f ca="1">MAX(CS10+CS52-CR10-CR52,0)</f>
        <v>0</v>
      </c>
      <c r="CT53" s="292">
        <f ca="1">MAX(CT10+CT52-CU10-CU52,0)</f>
        <v>0</v>
      </c>
      <c r="CU53" s="292">
        <f ca="1">MAX(CU10+CU52-CT10-CT52,0)</f>
        <v>0</v>
      </c>
      <c r="CV53" s="292">
        <f ca="1">MAX(CV10+CV52-CW10-CW52,0)</f>
        <v>0</v>
      </c>
      <c r="CW53" s="292">
        <f ca="1">MAX(CW10+CW52-CV10-CV52,0)</f>
        <v>0</v>
      </c>
      <c r="CX53" s="292">
        <f ca="1">MAX(CX10+CX52-CY10-CY52,0)</f>
        <v>0</v>
      </c>
      <c r="CY53" s="292">
        <f ca="1">MAX(CY10+CY52-CX10-CX52,0)</f>
        <v>0</v>
      </c>
      <c r="CZ53" s="292">
        <f ca="1">MAX(CZ10+CZ52-DA10-DA52,0)</f>
        <v>0</v>
      </c>
      <c r="DA53" s="292">
        <f ca="1">MAX(DA10+DA52-CZ10-CZ52,0)</f>
        <v>0</v>
      </c>
    </row>
    <row r="54" spans="1:105" s="262" customFormat="1" ht="16.5" customHeight="1">
      <c r="A54" s="274"/>
      <c r="B54" s="274"/>
      <c r="C54" s="275"/>
      <c r="D54" s="274"/>
      <c r="E54" s="276" t="s">
        <v>210</v>
      </c>
      <c r="F54" s="274"/>
      <c r="G54" s="277"/>
      <c r="H54" s="277"/>
      <c r="I54" s="274"/>
      <c r="J54" s="274">
        <f ca="1">J52+'SC-III'!J54</f>
        <v>0</v>
      </c>
      <c r="K54" s="274">
        <f ca="1">K52+'SC-III'!K54</f>
        <v>0</v>
      </c>
      <c r="L54" s="274">
        <f ca="1">L52+'SC-III'!L54</f>
        <v>0</v>
      </c>
      <c r="M54" s="274">
        <f ca="1">M52+'SC-III'!M54</f>
        <v>0</v>
      </c>
      <c r="N54" s="274">
        <f ca="1">N52+'SC-III'!N54</f>
        <v>0</v>
      </c>
      <c r="O54" s="274">
        <f ca="1">O52+'SC-III'!O54</f>
        <v>0</v>
      </c>
      <c r="P54" s="274">
        <f ca="1">P52+'SC-III'!P54</f>
        <v>0</v>
      </c>
      <c r="Q54" s="274">
        <f ca="1">Q52+'SC-III'!Q54</f>
        <v>0</v>
      </c>
      <c r="R54" s="274">
        <f ca="1">R52+'SC-III'!R54</f>
        <v>0</v>
      </c>
      <c r="S54" s="274">
        <f ca="1">S52+'SC-III'!S54</f>
        <v>0</v>
      </c>
      <c r="T54" s="274">
        <f ca="1">T52+'SC-III'!T54</f>
        <v>0</v>
      </c>
      <c r="U54" s="274">
        <f ca="1">U52+'SC-III'!U54</f>
        <v>0</v>
      </c>
      <c r="V54" s="274">
        <f ca="1">V52+'SC-III'!V54</f>
        <v>0</v>
      </c>
      <c r="W54" s="274">
        <f ca="1">W52+'SC-III'!W54</f>
        <v>0</v>
      </c>
      <c r="X54" s="274">
        <f ca="1">X52+'SC-III'!X54</f>
        <v>0</v>
      </c>
      <c r="Y54" s="274">
        <f ca="1">Y52+'SC-III'!Y54</f>
        <v>0</v>
      </c>
      <c r="Z54" s="274">
        <f ca="1">Z52+'SC-III'!Z54</f>
        <v>0</v>
      </c>
      <c r="AA54" s="274">
        <f ca="1">AA52+'SC-III'!AA54</f>
        <v>0</v>
      </c>
      <c r="AB54" s="274">
        <f ca="1">AB52+'SC-III'!AB54</f>
        <v>0</v>
      </c>
      <c r="AC54" s="274">
        <f ca="1">AC52+'SC-III'!AC54</f>
        <v>0</v>
      </c>
      <c r="AD54" s="274">
        <f ca="1">AD52+'SC-III'!AD54</f>
        <v>0</v>
      </c>
      <c r="AE54" s="274">
        <f ca="1">AE52+'SC-III'!AE54</f>
        <v>0</v>
      </c>
      <c r="AF54" s="274">
        <f ca="1">AF52+'SC-III'!AF54</f>
        <v>0</v>
      </c>
      <c r="AG54" s="274">
        <f ca="1">AG52+'SC-III'!AG54</f>
        <v>0</v>
      </c>
      <c r="AH54" s="274">
        <f ca="1">AH52+'SC-III'!AH54</f>
        <v>0</v>
      </c>
      <c r="AI54" s="274">
        <f ca="1">AI52+'SC-III'!AI54</f>
        <v>0</v>
      </c>
      <c r="AJ54" s="274">
        <f ca="1">AJ52+'SC-III'!AJ54</f>
        <v>0</v>
      </c>
      <c r="AK54" s="274">
        <f ca="1">AK52+'SC-III'!AK54</f>
        <v>0</v>
      </c>
      <c r="AL54" s="274">
        <f ca="1">AL52+'SC-III'!AL54</f>
        <v>0</v>
      </c>
      <c r="AM54" s="274">
        <f ca="1">AM52+'SC-III'!AM54</f>
        <v>0</v>
      </c>
      <c r="AN54" s="274">
        <f ca="1">AN52+'SC-III'!AN54</f>
        <v>0</v>
      </c>
      <c r="AO54" s="274">
        <f ca="1">AO52+'SC-III'!AO54</f>
        <v>0</v>
      </c>
      <c r="AP54" s="274">
        <f ca="1">AP52+'SC-III'!AP54</f>
        <v>0</v>
      </c>
      <c r="AQ54" s="274">
        <f ca="1">AQ52+'SC-III'!AQ54</f>
        <v>0</v>
      </c>
      <c r="AR54" s="274">
        <f ca="1">AR52+'SC-III'!AR54</f>
        <v>0</v>
      </c>
      <c r="AS54" s="274">
        <f ca="1">AS52+'SC-III'!AS54</f>
        <v>0</v>
      </c>
      <c r="AT54" s="274">
        <f ca="1">AT52+'SC-III'!AT54</f>
        <v>0</v>
      </c>
      <c r="AU54" s="274">
        <f ca="1">AU52+'SC-III'!AU54</f>
        <v>0</v>
      </c>
      <c r="AV54" s="274">
        <f ca="1">AV52+'SC-III'!AV54</f>
        <v>0</v>
      </c>
      <c r="AW54" s="274">
        <f ca="1">AW52+'SC-III'!AW54</f>
        <v>0</v>
      </c>
      <c r="AX54" s="274">
        <f ca="1">AX52+'SC-III'!AX54</f>
        <v>0</v>
      </c>
      <c r="AY54" s="274">
        <f ca="1">AY52+'SC-III'!AY54</f>
        <v>0</v>
      </c>
      <c r="AZ54" s="274">
        <f ca="1">AZ52+'SC-III'!AZ54</f>
        <v>0</v>
      </c>
      <c r="BA54" s="274">
        <f ca="1">BA52+'SC-III'!BA54</f>
        <v>0</v>
      </c>
      <c r="BB54" s="274">
        <f ca="1">BB52+'SC-III'!BB54</f>
        <v>0</v>
      </c>
      <c r="BC54" s="274">
        <f ca="1">BC52+'SC-III'!BC54</f>
        <v>0</v>
      </c>
      <c r="BD54" s="274">
        <f ca="1">BD52+'SC-III'!BD54</f>
        <v>0</v>
      </c>
      <c r="BE54" s="274">
        <f ca="1">BE52+'SC-III'!BE54</f>
        <v>0</v>
      </c>
      <c r="BF54" s="274">
        <f ca="1">BF52+'SC-III'!BF54</f>
        <v>0</v>
      </c>
      <c r="BG54" s="274">
        <f ca="1">BG52+'SC-III'!BG54</f>
        <v>0</v>
      </c>
      <c r="BH54" s="274">
        <f ca="1">BH52+'SC-III'!BH54</f>
        <v>0</v>
      </c>
      <c r="BI54" s="274">
        <f ca="1">BI52+'SC-III'!BI54</f>
        <v>0</v>
      </c>
      <c r="BJ54" s="274">
        <f ca="1">BJ52+'SC-III'!BJ54</f>
        <v>0</v>
      </c>
      <c r="BK54" s="274">
        <f ca="1">BK52+'SC-III'!BK54</f>
        <v>0</v>
      </c>
      <c r="BL54" s="274">
        <f ca="1">BL52+'SC-III'!BL54</f>
        <v>0</v>
      </c>
      <c r="BM54" s="274">
        <f ca="1">BM52+'SC-III'!BM54</f>
        <v>0</v>
      </c>
      <c r="BN54" s="274">
        <f ca="1">BN52+'SC-III'!BN54</f>
        <v>0</v>
      </c>
      <c r="BO54" s="274">
        <f ca="1">BO52+'SC-III'!BO54</f>
        <v>0</v>
      </c>
      <c r="BP54" s="274">
        <f ca="1">BP52+'SC-III'!BP54</f>
        <v>0</v>
      </c>
      <c r="BQ54" s="274">
        <f ca="1">BQ52+'SC-III'!BQ54</f>
        <v>0</v>
      </c>
      <c r="BR54" s="274">
        <f ca="1">BR52+'SC-III'!BR54</f>
        <v>0</v>
      </c>
      <c r="BS54" s="274">
        <f ca="1">BS52+'SC-III'!BS54</f>
        <v>0</v>
      </c>
      <c r="BT54" s="274">
        <f ca="1">BT52+'SC-III'!BT54</f>
        <v>0</v>
      </c>
      <c r="BU54" s="274">
        <f ca="1">BU52+'SC-III'!BU54</f>
        <v>0</v>
      </c>
      <c r="BV54" s="274">
        <f ca="1">BV52+'SC-III'!BV54</f>
        <v>0</v>
      </c>
      <c r="BW54" s="274">
        <f ca="1">BW52+'SC-III'!BW54</f>
        <v>0</v>
      </c>
      <c r="BX54" s="274">
        <f ca="1">BX52+'SC-III'!BX54</f>
        <v>0</v>
      </c>
      <c r="BY54" s="274">
        <f ca="1">BY52+'SC-III'!BY54</f>
        <v>0</v>
      </c>
      <c r="BZ54" s="274">
        <f ca="1">BZ52+'SC-III'!BZ54</f>
        <v>0</v>
      </c>
      <c r="CA54" s="274">
        <f ca="1">CA52+'SC-III'!CA54</f>
        <v>107861885.00000048</v>
      </c>
      <c r="CB54" s="274">
        <f ca="1">CB52+'SC-III'!CB54</f>
        <v>107861885.00000048</v>
      </c>
      <c r="CC54" s="274">
        <f ca="1">CC52+'SC-III'!CC54</f>
        <v>0</v>
      </c>
      <c r="CD54" s="274">
        <f ca="1">CD52+'SC-III'!CD54</f>
        <v>0</v>
      </c>
      <c r="CE54" s="274">
        <f ca="1">CE52+'SC-III'!CE54</f>
        <v>0</v>
      </c>
      <c r="CF54" s="274">
        <f ca="1">CF52+'SC-III'!CF54</f>
        <v>0</v>
      </c>
      <c r="CG54" s="274">
        <f ca="1">CG52+'SC-III'!CG54</f>
        <v>0</v>
      </c>
      <c r="CH54" s="274">
        <f ca="1">CH52+'SC-III'!CH54</f>
        <v>0</v>
      </c>
      <c r="CI54" s="274">
        <f ca="1">CI52+'SC-III'!CI54</f>
        <v>0</v>
      </c>
      <c r="CJ54" s="274">
        <f ca="1">CJ52+'SC-III'!CJ54</f>
        <v>0</v>
      </c>
      <c r="CK54" s="274">
        <f ca="1">CK52+'SC-III'!CK54</f>
        <v>0</v>
      </c>
      <c r="CL54" s="274">
        <f ca="1">CL52+'SC-III'!CL54</f>
        <v>0</v>
      </c>
      <c r="CM54" s="274">
        <f ca="1">CM52+'SC-III'!CM54</f>
        <v>0</v>
      </c>
      <c r="CN54" s="274">
        <f ca="1">CN52+'SC-III'!CN54</f>
        <v>0</v>
      </c>
      <c r="CO54" s="274">
        <f ca="1">CO52+'SC-III'!CO54</f>
        <v>0</v>
      </c>
      <c r="CP54" s="274">
        <f ca="1">CP52+'SC-III'!CP54</f>
        <v>0</v>
      </c>
      <c r="CQ54" s="274">
        <f ca="1">CQ52+'SC-III'!CQ54</f>
        <v>0</v>
      </c>
      <c r="CR54" s="274">
        <f ca="1">CR52+'SC-III'!CR54</f>
        <v>0</v>
      </c>
      <c r="CS54" s="274">
        <f ca="1">CS52+'SC-III'!CS54</f>
        <v>0</v>
      </c>
      <c r="CT54" s="274">
        <f ca="1">CT52+'SC-III'!CT54</f>
        <v>0</v>
      </c>
      <c r="CU54" s="274">
        <f ca="1">CU52+'SC-III'!CU54</f>
        <v>0</v>
      </c>
      <c r="CV54" s="274">
        <f ca="1">CV52+'SC-III'!CV54</f>
        <v>0</v>
      </c>
      <c r="CW54" s="274">
        <f ca="1">CW52+'SC-III'!CW54</f>
        <v>0</v>
      </c>
      <c r="CX54" s="274">
        <f ca="1">CX52+'SC-III'!CX54</f>
        <v>0</v>
      </c>
      <c r="CY54" s="274">
        <f ca="1">CY52+'SC-III'!CY54</f>
        <v>0</v>
      </c>
      <c r="CZ54" s="274">
        <f ca="1">CZ52+'SC-III'!CZ54</f>
        <v>0</v>
      </c>
      <c r="DA54" s="274">
        <f ca="1">DA52+'SC-III'!DA54</f>
        <v>0</v>
      </c>
    </row>
    <row r="55" spans="1:105" ht="12" customHeight="1">
      <c r="B55" s="279"/>
      <c r="C55" s="280"/>
      <c r="D55" s="280"/>
      <c r="E55" s="280"/>
      <c r="F55" s="280"/>
      <c r="G55" s="281"/>
      <c r="H55" s="281"/>
      <c r="I55" s="280"/>
      <c r="J55" s="280"/>
      <c r="K55" s="280"/>
      <c r="AB55" s="280"/>
      <c r="AC55" s="280"/>
      <c r="AD55" s="280"/>
      <c r="AE55" s="281"/>
      <c r="AF55" s="280"/>
      <c r="AG55" s="281"/>
      <c r="AH55" s="281"/>
      <c r="AI55" s="281"/>
      <c r="AJ55" s="281"/>
      <c r="AK55" s="297"/>
      <c r="AL55" s="280"/>
      <c r="AM55" s="280"/>
      <c r="AN55" s="280"/>
      <c r="AO55" s="280"/>
      <c r="AR55" s="280"/>
      <c r="AS55" s="280"/>
      <c r="AT55" s="280"/>
      <c r="AU55" s="280"/>
      <c r="AV55" s="280"/>
      <c r="AW55" s="280"/>
      <c r="AZ55" s="280"/>
      <c r="BA55" s="280"/>
    </row>
    <row r="56" spans="1:105" ht="12" customHeight="1">
      <c r="B56" s="279"/>
      <c r="C56" s="280"/>
      <c r="D56" s="280"/>
      <c r="E56" s="280"/>
      <c r="F56" s="280"/>
      <c r="G56" s="281"/>
      <c r="H56" s="281"/>
      <c r="I56" s="280"/>
      <c r="J56" s="280"/>
      <c r="K56" s="280"/>
      <c r="AB56" s="280"/>
      <c r="AC56" s="280"/>
      <c r="AD56" s="280"/>
      <c r="AE56" s="281"/>
      <c r="AF56" s="280"/>
      <c r="AG56" s="281"/>
      <c r="AH56" s="281"/>
      <c r="AI56" s="281"/>
      <c r="AJ56" s="281"/>
      <c r="AK56" s="297"/>
      <c r="AL56" s="283" t="s">
        <v>245</v>
      </c>
      <c r="AM56" s="284"/>
      <c r="AN56" s="284"/>
      <c r="AO56" s="284"/>
      <c r="AP56" s="284"/>
      <c r="AQ56" s="284"/>
      <c r="AR56" s="285"/>
      <c r="AS56" s="285"/>
      <c r="AT56" s="284"/>
    </row>
    <row r="57" spans="1:105" ht="12" customHeight="1">
      <c r="J57" s="282"/>
      <c r="K57" s="282"/>
      <c r="L57" s="282"/>
      <c r="M57" s="299"/>
      <c r="N57" s="282"/>
      <c r="O57" s="299"/>
      <c r="P57" s="299"/>
      <c r="Q57" s="299"/>
      <c r="R57" s="282"/>
      <c r="AE57" s="244"/>
      <c r="AG57" s="244"/>
      <c r="AH57" s="244"/>
      <c r="AI57" s="244"/>
      <c r="AJ57" s="244"/>
      <c r="AK57" s="300"/>
      <c r="AL57" s="286" t="s">
        <v>226</v>
      </c>
      <c r="AM57" s="284"/>
      <c r="AN57" s="284"/>
      <c r="AO57" s="284"/>
      <c r="AP57" s="284"/>
      <c r="AQ57" s="284"/>
      <c r="AR57" s="285"/>
      <c r="AS57" s="285"/>
      <c r="AT57" s="284"/>
    </row>
    <row r="58" spans="1:105" s="250" customFormat="1" ht="12" customHeight="1">
      <c r="F58" s="301"/>
      <c r="G58" s="302"/>
      <c r="H58" s="302"/>
      <c r="R58" s="303"/>
      <c r="Z58" s="243"/>
      <c r="AA58" s="243"/>
      <c r="AE58" s="302"/>
      <c r="AG58" s="302"/>
      <c r="AH58" s="302"/>
      <c r="AI58" s="302"/>
      <c r="AJ58" s="302"/>
      <c r="AK58" s="304"/>
      <c r="AL58" s="284"/>
      <c r="AM58" s="284"/>
      <c r="AN58" s="284"/>
      <c r="AO58" s="284"/>
      <c r="AP58" s="284"/>
      <c r="AQ58" s="284"/>
      <c r="AR58" s="284"/>
      <c r="AS58" s="284"/>
      <c r="AT58" s="285"/>
      <c r="AU58" s="243"/>
      <c r="AV58" s="243"/>
      <c r="AW58" s="243"/>
      <c r="AX58" s="243"/>
      <c r="AY58" s="243"/>
      <c r="AZ58" s="243"/>
      <c r="BA58" s="243"/>
    </row>
    <row r="59" spans="1:105" ht="12" customHeight="1">
      <c r="L59" s="262"/>
      <c r="N59" s="262"/>
      <c r="AE59" s="244"/>
      <c r="AG59" s="244"/>
      <c r="AH59" s="244"/>
      <c r="AI59" s="244"/>
      <c r="AJ59" s="244"/>
      <c r="AK59" s="300"/>
      <c r="AL59" s="284"/>
      <c r="AM59" s="284"/>
      <c r="AN59" s="284"/>
      <c r="AO59" s="284"/>
      <c r="AP59" s="284"/>
      <c r="AQ59" s="284"/>
      <c r="AR59" s="284"/>
      <c r="AS59" s="284"/>
      <c r="AT59" s="285"/>
      <c r="AZ59" s="287" t="str">
        <f>"Ngày 31 tháng 12 năm 2015 "</f>
        <v xml:space="preserve">Ngày 31 tháng 12 năm 2015 </v>
      </c>
    </row>
    <row r="60" spans="1:105">
      <c r="J60" s="262"/>
      <c r="K60" s="262"/>
      <c r="AL60" s="284"/>
      <c r="AM60" s="288" t="s">
        <v>11</v>
      </c>
      <c r="AN60" s="284"/>
      <c r="AO60" s="284"/>
      <c r="AP60" s="284"/>
      <c r="AQ60" s="284"/>
      <c r="AR60" s="284"/>
      <c r="AS60" s="289" t="s">
        <v>12</v>
      </c>
      <c r="AT60" s="285"/>
      <c r="AZ60" s="288" t="s">
        <v>128</v>
      </c>
    </row>
    <row r="61" spans="1:105">
      <c r="T61" s="262"/>
      <c r="AL61" s="284"/>
      <c r="AM61" s="290" t="s">
        <v>13</v>
      </c>
      <c r="AN61" s="284"/>
      <c r="AO61" s="284"/>
      <c r="AP61" s="284"/>
      <c r="AQ61" s="284"/>
      <c r="AR61" s="284"/>
      <c r="AS61" s="291" t="s">
        <v>13</v>
      </c>
      <c r="AT61" s="285"/>
      <c r="AZ61" s="290" t="s">
        <v>158</v>
      </c>
    </row>
    <row r="62" spans="1:105">
      <c r="F62" s="262"/>
      <c r="T62" s="262"/>
      <c r="AL62" s="284"/>
      <c r="AM62" s="284"/>
      <c r="AN62" s="284"/>
      <c r="AO62" s="284"/>
      <c r="AP62" s="284"/>
      <c r="AQ62" s="284"/>
      <c r="AR62" s="284"/>
      <c r="AS62" s="284"/>
      <c r="AT62" s="285"/>
      <c r="AZ62" s="284"/>
    </row>
    <row r="63" spans="1:105">
      <c r="F63" s="262"/>
      <c r="T63" s="262"/>
      <c r="AZ63" s="284"/>
    </row>
    <row r="64" spans="1:105">
      <c r="F64" s="262"/>
      <c r="G64" s="262"/>
      <c r="T64" s="262"/>
    </row>
    <row r="65" spans="5:20">
      <c r="F65" s="262"/>
      <c r="T65" s="262"/>
    </row>
    <row r="66" spans="5:20">
      <c r="F66" s="262"/>
      <c r="T66" s="262"/>
    </row>
    <row r="67" spans="5:20">
      <c r="F67" s="262"/>
      <c r="M67" s="282"/>
      <c r="O67" s="282"/>
      <c r="P67" s="282"/>
      <c r="Q67" s="282"/>
      <c r="R67" s="282"/>
      <c r="T67" s="262"/>
    </row>
    <row r="68" spans="5:20">
      <c r="E68" s="293"/>
      <c r="F68" s="262"/>
      <c r="M68" s="282"/>
      <c r="O68" s="282"/>
      <c r="P68" s="282"/>
      <c r="Q68" s="282"/>
      <c r="R68" s="282"/>
    </row>
    <row r="69" spans="5:20">
      <c r="F69" s="282"/>
      <c r="M69" s="282"/>
      <c r="O69" s="282"/>
      <c r="P69" s="282"/>
      <c r="Q69" s="282"/>
      <c r="R69" s="282"/>
    </row>
    <row r="70" spans="5:20">
      <c r="F70" s="282"/>
      <c r="M70" s="282"/>
      <c r="O70" s="282"/>
      <c r="P70" s="282"/>
      <c r="Q70" s="282"/>
      <c r="R70" s="282"/>
    </row>
    <row r="71" spans="5:20">
      <c r="E71" s="282"/>
      <c r="F71" s="282"/>
      <c r="M71" s="282"/>
      <c r="O71" s="282"/>
      <c r="P71" s="282"/>
      <c r="Q71" s="282"/>
      <c r="R71" s="282"/>
    </row>
    <row r="72" spans="5:20">
      <c r="E72" s="282"/>
      <c r="F72" s="282"/>
      <c r="M72" s="282"/>
      <c r="O72" s="282"/>
      <c r="P72" s="282"/>
      <c r="Q72" s="282"/>
      <c r="R72" s="282"/>
    </row>
    <row r="73" spans="5:20">
      <c r="E73" s="282"/>
      <c r="F73" s="282"/>
      <c r="M73" s="282"/>
      <c r="O73" s="282"/>
      <c r="P73" s="282"/>
      <c r="Q73" s="282"/>
      <c r="R73" s="282"/>
    </row>
    <row r="74" spans="5:20">
      <c r="E74" s="282"/>
      <c r="F74" s="282"/>
      <c r="M74" s="282"/>
      <c r="O74" s="282"/>
      <c r="P74" s="282"/>
      <c r="Q74" s="282"/>
      <c r="R74" s="282"/>
    </row>
    <row r="75" spans="5:20">
      <c r="E75" s="282"/>
      <c r="F75" s="282"/>
      <c r="M75" s="282"/>
      <c r="O75" s="282"/>
      <c r="P75" s="282"/>
      <c r="Q75" s="282"/>
      <c r="R75" s="282"/>
    </row>
    <row r="76" spans="5:20">
      <c r="E76" s="282"/>
      <c r="F76" s="282"/>
      <c r="M76" s="282"/>
      <c r="O76" s="282"/>
      <c r="P76" s="282"/>
      <c r="Q76" s="282"/>
      <c r="R76" s="282"/>
    </row>
    <row r="77" spans="5:20">
      <c r="F77" s="282"/>
      <c r="M77" s="282"/>
      <c r="O77" s="282"/>
      <c r="P77" s="282"/>
      <c r="Q77" s="282"/>
      <c r="R77" s="282"/>
    </row>
    <row r="78" spans="5:20">
      <c r="F78" s="282"/>
      <c r="M78" s="282"/>
      <c r="O78" s="282"/>
      <c r="P78" s="282"/>
      <c r="Q78" s="282"/>
      <c r="R78" s="282"/>
    </row>
    <row r="79" spans="5:20">
      <c r="F79" s="282"/>
      <c r="M79" s="282"/>
      <c r="O79" s="282"/>
      <c r="P79" s="282"/>
      <c r="Q79" s="282"/>
      <c r="R79" s="282"/>
    </row>
    <row r="80" spans="5:20">
      <c r="F80" s="282"/>
      <c r="M80" s="282"/>
      <c r="O80" s="282"/>
      <c r="P80" s="282"/>
      <c r="Q80" s="282"/>
      <c r="R80" s="282"/>
    </row>
    <row r="81" spans="6:18">
      <c r="F81" s="282"/>
      <c r="M81" s="282"/>
      <c r="O81" s="282"/>
      <c r="P81" s="282"/>
      <c r="Q81" s="282"/>
      <c r="R81" s="282"/>
    </row>
    <row r="82" spans="6:18">
      <c r="F82" s="282"/>
      <c r="M82" s="282"/>
      <c r="O82" s="282"/>
      <c r="P82" s="282"/>
      <c r="Q82" s="282"/>
      <c r="R82" s="282"/>
    </row>
    <row r="83" spans="6:18">
      <c r="M83" s="282"/>
      <c r="O83" s="282"/>
      <c r="P83" s="282"/>
      <c r="Q83" s="282"/>
      <c r="R83" s="282"/>
    </row>
    <row r="85" spans="6:18">
      <c r="M85" s="282"/>
      <c r="O85" s="282"/>
      <c r="P85" s="282"/>
      <c r="Q85" s="282"/>
      <c r="R85" s="282"/>
    </row>
    <row r="86" spans="6:18">
      <c r="M86" s="282"/>
      <c r="O86" s="282"/>
      <c r="P86" s="282"/>
      <c r="Q86" s="282"/>
      <c r="R86" s="282"/>
    </row>
    <row r="87" spans="6:18">
      <c r="M87" s="282"/>
      <c r="O87" s="282"/>
      <c r="P87" s="282"/>
      <c r="Q87" s="282"/>
      <c r="R87" s="282"/>
    </row>
    <row r="88" spans="6:18">
      <c r="M88" s="282"/>
      <c r="O88" s="282"/>
      <c r="P88" s="282"/>
      <c r="Q88" s="282"/>
      <c r="R88" s="282"/>
    </row>
    <row r="89" spans="6:18">
      <c r="M89" s="282"/>
      <c r="O89" s="282"/>
      <c r="P89" s="282"/>
      <c r="Q89" s="282"/>
      <c r="R89" s="282"/>
    </row>
    <row r="90" spans="6:18">
      <c r="M90" s="282"/>
      <c r="O90" s="282"/>
      <c r="P90" s="282"/>
      <c r="Q90" s="282"/>
      <c r="R90" s="282"/>
    </row>
    <row r="103" spans="13:17">
      <c r="M103" s="282"/>
      <c r="O103" s="282"/>
      <c r="P103" s="282"/>
      <c r="Q103" s="282"/>
    </row>
    <row r="120" spans="13:18">
      <c r="R120" s="282"/>
    </row>
    <row r="121" spans="13:18">
      <c r="R121" s="282"/>
    </row>
    <row r="122" spans="13:18">
      <c r="M122" s="282"/>
      <c r="O122" s="282"/>
      <c r="P122" s="282"/>
      <c r="Q122" s="282"/>
      <c r="R122" s="282"/>
    </row>
    <row r="123" spans="13:18">
      <c r="M123" s="282"/>
      <c r="O123" s="282"/>
      <c r="P123" s="282"/>
      <c r="Q123" s="282"/>
      <c r="R123" s="282"/>
    </row>
    <row r="124" spans="13:18">
      <c r="M124" s="282"/>
      <c r="O124" s="282"/>
      <c r="P124" s="282"/>
      <c r="Q124" s="282"/>
    </row>
    <row r="125" spans="13:18">
      <c r="M125" s="282"/>
      <c r="O125" s="282"/>
      <c r="P125" s="282"/>
      <c r="Q125" s="282"/>
    </row>
    <row r="127" spans="13:18">
      <c r="M127" s="282"/>
      <c r="O127" s="282"/>
      <c r="P127" s="282"/>
      <c r="Q127" s="282"/>
      <c r="R127" s="282"/>
    </row>
    <row r="128" spans="13:18">
      <c r="M128" s="282"/>
      <c r="O128" s="282"/>
      <c r="P128" s="282"/>
      <c r="Q128" s="282"/>
      <c r="R128" s="282"/>
    </row>
    <row r="135" spans="13:18">
      <c r="M135" s="282"/>
      <c r="O135" s="282"/>
      <c r="P135" s="282"/>
      <c r="Q135" s="282"/>
      <c r="R135" s="282"/>
    </row>
    <row r="136" spans="13:18">
      <c r="M136" s="282"/>
      <c r="O136" s="282"/>
      <c r="P136" s="282"/>
      <c r="Q136" s="282"/>
      <c r="R136" s="282"/>
    </row>
    <row r="137" spans="13:18">
      <c r="M137" s="282"/>
      <c r="O137" s="282"/>
      <c r="P137" s="282"/>
      <c r="Q137" s="282"/>
      <c r="R137" s="282"/>
    </row>
    <row r="141" spans="13:18">
      <c r="M141" s="282"/>
      <c r="O141" s="282"/>
      <c r="P141" s="282"/>
      <c r="Q141" s="282"/>
      <c r="R141" s="282"/>
    </row>
    <row r="142" spans="13:18">
      <c r="M142" s="282"/>
      <c r="O142" s="282"/>
      <c r="P142" s="282"/>
      <c r="Q142" s="282"/>
      <c r="R142" s="282"/>
    </row>
    <row r="143" spans="13:18">
      <c r="M143" s="282"/>
      <c r="O143" s="282"/>
      <c r="P143" s="282"/>
      <c r="Q143" s="282"/>
      <c r="R143" s="282"/>
    </row>
    <row r="144" spans="13:18">
      <c r="M144" s="282"/>
      <c r="O144" s="282"/>
      <c r="P144" s="282"/>
      <c r="Q144" s="282"/>
      <c r="R144" s="282"/>
    </row>
    <row r="145" spans="13:18">
      <c r="M145" s="282"/>
      <c r="O145" s="282"/>
      <c r="P145" s="282"/>
      <c r="Q145" s="282"/>
      <c r="R145" s="282"/>
    </row>
    <row r="146" spans="13:18">
      <c r="M146" s="282"/>
      <c r="O146" s="282"/>
      <c r="P146" s="282"/>
      <c r="Q146" s="282"/>
      <c r="R146" s="282"/>
    </row>
    <row r="147" spans="13:18">
      <c r="M147" s="282"/>
      <c r="O147" s="282"/>
      <c r="P147" s="282"/>
      <c r="Q147" s="282"/>
      <c r="R147" s="282"/>
    </row>
    <row r="148" spans="13:18">
      <c r="M148" s="282"/>
      <c r="O148" s="282"/>
      <c r="P148" s="282"/>
      <c r="Q148" s="282"/>
      <c r="R148" s="282"/>
    </row>
    <row r="149" spans="13:18">
      <c r="M149" s="282"/>
      <c r="O149" s="282"/>
      <c r="P149" s="282"/>
      <c r="Q149" s="282"/>
      <c r="R149" s="282"/>
    </row>
    <row r="150" spans="13:18">
      <c r="M150" s="282"/>
      <c r="O150" s="282"/>
      <c r="P150" s="282"/>
      <c r="Q150" s="282"/>
      <c r="R150" s="282"/>
    </row>
    <row r="151" spans="13:18">
      <c r="M151" s="282"/>
      <c r="O151" s="282"/>
      <c r="P151" s="282"/>
      <c r="Q151" s="282"/>
      <c r="R151" s="282"/>
    </row>
    <row r="152" spans="13:18">
      <c r="M152" s="282"/>
      <c r="O152" s="282"/>
      <c r="P152" s="282"/>
      <c r="Q152" s="282"/>
      <c r="R152" s="282"/>
    </row>
    <row r="153" spans="13:18">
      <c r="M153" s="282"/>
      <c r="O153" s="282"/>
      <c r="P153" s="282"/>
      <c r="Q153" s="282"/>
      <c r="R153" s="282"/>
    </row>
    <row r="154" spans="13:18">
      <c r="M154" s="282"/>
      <c r="O154" s="282"/>
      <c r="P154" s="282"/>
      <c r="Q154" s="282"/>
      <c r="R154" s="282"/>
    </row>
    <row r="155" spans="13:18">
      <c r="M155" s="282"/>
      <c r="O155" s="282"/>
      <c r="P155" s="282"/>
      <c r="Q155" s="282"/>
      <c r="R155" s="282"/>
    </row>
    <row r="156" spans="13:18">
      <c r="M156" s="282"/>
      <c r="O156" s="282"/>
      <c r="P156" s="282"/>
      <c r="Q156" s="282"/>
      <c r="R156" s="282"/>
    </row>
    <row r="157" spans="13:18">
      <c r="M157" s="282"/>
      <c r="O157" s="282"/>
      <c r="P157" s="282"/>
      <c r="Q157" s="282"/>
      <c r="R157" s="282"/>
    </row>
    <row r="158" spans="13:18">
      <c r="M158" s="282"/>
      <c r="O158" s="282"/>
      <c r="P158" s="282"/>
      <c r="Q158" s="282"/>
      <c r="R158" s="282"/>
    </row>
    <row r="159" spans="13:18">
      <c r="M159" s="282"/>
      <c r="O159" s="282"/>
      <c r="P159" s="282"/>
      <c r="Q159" s="282"/>
      <c r="R159" s="282"/>
    </row>
    <row r="160" spans="13:18">
      <c r="M160" s="282"/>
      <c r="O160" s="282"/>
      <c r="P160" s="282"/>
      <c r="Q160" s="282"/>
      <c r="R160" s="282"/>
    </row>
    <row r="161" spans="13:18">
      <c r="M161" s="282"/>
      <c r="O161" s="282"/>
      <c r="P161" s="282"/>
      <c r="Q161" s="282"/>
      <c r="R161" s="282"/>
    </row>
    <row r="162" spans="13:18">
      <c r="M162" s="282"/>
      <c r="O162" s="282"/>
      <c r="P162" s="282"/>
      <c r="Q162" s="282"/>
      <c r="R162" s="282"/>
    </row>
    <row r="163" spans="13:18">
      <c r="M163" s="282"/>
      <c r="O163" s="282"/>
      <c r="P163" s="282"/>
      <c r="Q163" s="282"/>
      <c r="R163" s="282"/>
    </row>
    <row r="164" spans="13:18">
      <c r="M164" s="282"/>
      <c r="O164" s="282"/>
      <c r="P164" s="282"/>
      <c r="Q164" s="282"/>
      <c r="R164" s="282"/>
    </row>
    <row r="165" spans="13:18">
      <c r="M165" s="282"/>
      <c r="O165" s="282"/>
      <c r="P165" s="282"/>
      <c r="Q165" s="282"/>
      <c r="R165" s="282"/>
    </row>
    <row r="166" spans="13:18">
      <c r="M166" s="282"/>
      <c r="O166" s="282"/>
      <c r="P166" s="282"/>
      <c r="Q166" s="282"/>
      <c r="R166" s="282"/>
    </row>
    <row r="167" spans="13:18">
      <c r="M167" s="282"/>
      <c r="O167" s="282"/>
      <c r="P167" s="282"/>
      <c r="Q167" s="282"/>
      <c r="R167" s="282"/>
    </row>
    <row r="168" spans="13:18">
      <c r="M168" s="282"/>
      <c r="O168" s="282"/>
      <c r="P168" s="282"/>
      <c r="Q168" s="282"/>
      <c r="R168" s="282"/>
    </row>
    <row r="169" spans="13:18">
      <c r="M169" s="282"/>
      <c r="O169" s="282"/>
      <c r="P169" s="282"/>
      <c r="Q169" s="282"/>
      <c r="R169" s="282"/>
    </row>
    <row r="170" spans="13:18">
      <c r="M170" s="282"/>
      <c r="O170" s="282"/>
      <c r="P170" s="282"/>
      <c r="Q170" s="282"/>
      <c r="R170" s="282"/>
    </row>
    <row r="171" spans="13:18">
      <c r="M171" s="282"/>
      <c r="O171" s="282"/>
      <c r="P171" s="282"/>
      <c r="Q171" s="282"/>
      <c r="R171" s="282"/>
    </row>
    <row r="172" spans="13:18">
      <c r="M172" s="282"/>
      <c r="O172" s="282"/>
      <c r="P172" s="282"/>
      <c r="Q172" s="282"/>
      <c r="R172" s="282"/>
    </row>
    <row r="173" spans="13:18">
      <c r="M173" s="282"/>
      <c r="O173" s="282"/>
      <c r="P173" s="282"/>
      <c r="Q173" s="282"/>
      <c r="R173" s="282"/>
    </row>
    <row r="174" spans="13:18">
      <c r="M174" s="282"/>
      <c r="O174" s="282"/>
      <c r="P174" s="282"/>
      <c r="Q174" s="282"/>
      <c r="R174" s="282"/>
    </row>
    <row r="175" spans="13:18">
      <c r="M175" s="282"/>
      <c r="O175" s="282"/>
      <c r="P175" s="282"/>
      <c r="Q175" s="282"/>
      <c r="R175" s="282"/>
    </row>
    <row r="176" spans="13:18">
      <c r="M176" s="282"/>
      <c r="O176" s="282"/>
      <c r="P176" s="282"/>
      <c r="Q176" s="282"/>
      <c r="R176" s="282"/>
    </row>
    <row r="177" spans="13:18">
      <c r="M177" s="282"/>
      <c r="O177" s="282"/>
      <c r="P177" s="282"/>
      <c r="Q177" s="282"/>
      <c r="R177" s="282"/>
    </row>
    <row r="178" spans="13:18">
      <c r="M178" s="282"/>
      <c r="O178" s="282"/>
      <c r="P178" s="282"/>
      <c r="Q178" s="282"/>
      <c r="R178" s="282"/>
    </row>
    <row r="179" spans="13:18">
      <c r="M179" s="282"/>
      <c r="O179" s="282"/>
      <c r="P179" s="282"/>
      <c r="Q179" s="282"/>
      <c r="R179" s="282"/>
    </row>
    <row r="180" spans="13:18">
      <c r="M180" s="282"/>
      <c r="O180" s="282"/>
      <c r="P180" s="282"/>
      <c r="Q180" s="282"/>
      <c r="R180" s="282"/>
    </row>
    <row r="181" spans="13:18">
      <c r="M181" s="282"/>
      <c r="O181" s="282"/>
      <c r="P181" s="282"/>
      <c r="Q181" s="282"/>
      <c r="R181" s="282"/>
    </row>
    <row r="182" spans="13:18">
      <c r="M182" s="282"/>
      <c r="O182" s="282"/>
      <c r="P182" s="282"/>
      <c r="Q182" s="282"/>
      <c r="R182" s="282"/>
    </row>
    <row r="183" spans="13:18">
      <c r="M183" s="282"/>
      <c r="O183" s="282"/>
      <c r="P183" s="282"/>
      <c r="Q183" s="282"/>
      <c r="R183" s="282"/>
    </row>
    <row r="184" spans="13:18">
      <c r="M184" s="282"/>
      <c r="O184" s="282"/>
      <c r="P184" s="282"/>
      <c r="Q184" s="282"/>
      <c r="R184" s="282"/>
    </row>
    <row r="185" spans="13:18">
      <c r="M185" s="282"/>
      <c r="O185" s="282"/>
      <c r="P185" s="282"/>
      <c r="Q185" s="282"/>
      <c r="R185" s="282"/>
    </row>
    <row r="186" spans="13:18">
      <c r="M186" s="282"/>
      <c r="O186" s="282"/>
      <c r="P186" s="282"/>
      <c r="Q186" s="282"/>
      <c r="R186" s="282"/>
    </row>
    <row r="187" spans="13:18">
      <c r="M187" s="282"/>
      <c r="O187" s="282"/>
      <c r="P187" s="282"/>
      <c r="Q187" s="282"/>
      <c r="R187" s="282"/>
    </row>
    <row r="188" spans="13:18">
      <c r="M188" s="282"/>
      <c r="O188" s="282"/>
      <c r="P188" s="282"/>
      <c r="Q188" s="282"/>
      <c r="R188" s="282"/>
    </row>
    <row r="189" spans="13:18">
      <c r="M189" s="282"/>
      <c r="O189" s="282"/>
      <c r="P189" s="282"/>
      <c r="Q189" s="282"/>
      <c r="R189" s="282"/>
    </row>
    <row r="190" spans="13:18">
      <c r="M190" s="282"/>
      <c r="O190" s="282"/>
      <c r="P190" s="282"/>
      <c r="Q190" s="282"/>
      <c r="R190" s="282"/>
    </row>
    <row r="191" spans="13:18">
      <c r="M191" s="282"/>
      <c r="O191" s="282"/>
      <c r="P191" s="282"/>
      <c r="Q191" s="282"/>
      <c r="R191" s="282"/>
    </row>
    <row r="192" spans="13:18">
      <c r="M192" s="282"/>
      <c r="O192" s="282"/>
      <c r="P192" s="282"/>
      <c r="Q192" s="282"/>
      <c r="R192" s="282"/>
    </row>
    <row r="193" spans="13:18">
      <c r="M193" s="282"/>
      <c r="O193" s="282"/>
      <c r="P193" s="282"/>
      <c r="Q193" s="282"/>
      <c r="R193" s="282"/>
    </row>
    <row r="194" spans="13:18">
      <c r="M194" s="282"/>
      <c r="O194" s="282"/>
      <c r="P194" s="282"/>
      <c r="Q194" s="282"/>
      <c r="R194" s="282"/>
    </row>
    <row r="195" spans="13:18">
      <c r="M195" s="282"/>
      <c r="O195" s="282"/>
      <c r="P195" s="282"/>
      <c r="Q195" s="282"/>
      <c r="R195" s="282"/>
    </row>
    <row r="196" spans="13:18">
      <c r="M196" s="282"/>
      <c r="O196" s="282"/>
      <c r="P196" s="282"/>
      <c r="Q196" s="282"/>
      <c r="R196" s="282"/>
    </row>
    <row r="197" spans="13:18">
      <c r="M197" s="282"/>
      <c r="O197" s="282"/>
      <c r="P197" s="282"/>
      <c r="Q197" s="282"/>
      <c r="R197" s="282"/>
    </row>
    <row r="198" spans="13:18">
      <c r="M198" s="282"/>
      <c r="O198" s="282"/>
      <c r="P198" s="282"/>
      <c r="Q198" s="282"/>
      <c r="R198" s="282"/>
    </row>
    <row r="199" spans="13:18">
      <c r="M199" s="282"/>
      <c r="O199" s="282"/>
      <c r="P199" s="282"/>
      <c r="Q199" s="282"/>
      <c r="R199" s="282"/>
    </row>
    <row r="200" spans="13:18">
      <c r="M200" s="282"/>
      <c r="O200" s="282"/>
      <c r="P200" s="282"/>
      <c r="Q200" s="282"/>
      <c r="R200" s="282"/>
    </row>
    <row r="201" spans="13:18">
      <c r="M201" s="282"/>
      <c r="O201" s="282"/>
      <c r="P201" s="282"/>
      <c r="Q201" s="282"/>
      <c r="R201" s="282"/>
    </row>
    <row r="202" spans="13:18">
      <c r="M202" s="282"/>
      <c r="O202" s="282"/>
      <c r="P202" s="282"/>
      <c r="Q202" s="282"/>
      <c r="R202" s="282"/>
    </row>
    <row r="203" spans="13:18">
      <c r="M203" s="282"/>
      <c r="O203" s="282"/>
      <c r="P203" s="282"/>
      <c r="Q203" s="282"/>
      <c r="R203" s="282"/>
    </row>
    <row r="204" spans="13:18">
      <c r="M204" s="282"/>
      <c r="O204" s="282"/>
      <c r="P204" s="282"/>
      <c r="Q204" s="282"/>
      <c r="R204" s="282"/>
    </row>
    <row r="205" spans="13:18">
      <c r="M205" s="282"/>
      <c r="O205" s="282"/>
      <c r="P205" s="282"/>
      <c r="Q205" s="282"/>
      <c r="R205" s="282"/>
    </row>
    <row r="206" spans="13:18">
      <c r="M206" s="282"/>
      <c r="O206" s="282"/>
      <c r="P206" s="282"/>
      <c r="Q206" s="282"/>
      <c r="R206" s="282"/>
    </row>
    <row r="207" spans="13:18">
      <c r="M207" s="282"/>
      <c r="O207" s="282"/>
      <c r="P207" s="282"/>
      <c r="Q207" s="282"/>
      <c r="R207" s="282"/>
    </row>
    <row r="208" spans="13:18">
      <c r="M208" s="282"/>
      <c r="O208" s="282"/>
      <c r="P208" s="282"/>
      <c r="Q208" s="282"/>
      <c r="R208" s="282"/>
    </row>
    <row r="209" spans="13:18">
      <c r="M209" s="282"/>
      <c r="O209" s="282"/>
      <c r="P209" s="282"/>
      <c r="Q209" s="282"/>
      <c r="R209" s="282"/>
    </row>
    <row r="210" spans="13:18">
      <c r="M210" s="282"/>
      <c r="O210" s="282"/>
      <c r="P210" s="282"/>
      <c r="Q210" s="282"/>
      <c r="R210" s="282"/>
    </row>
    <row r="211" spans="13:18">
      <c r="M211" s="282"/>
      <c r="O211" s="282"/>
      <c r="P211" s="282"/>
      <c r="Q211" s="282"/>
      <c r="R211" s="282"/>
    </row>
    <row r="212" spans="13:18">
      <c r="M212" s="282"/>
      <c r="O212" s="282"/>
      <c r="P212" s="282"/>
      <c r="Q212" s="282"/>
      <c r="R212" s="282"/>
    </row>
    <row r="213" spans="13:18">
      <c r="M213" s="282"/>
      <c r="O213" s="282"/>
      <c r="P213" s="282"/>
      <c r="Q213" s="282"/>
      <c r="R213" s="282"/>
    </row>
    <row r="214" spans="13:18">
      <c r="M214" s="282"/>
      <c r="O214" s="282"/>
      <c r="P214" s="282"/>
      <c r="Q214" s="282"/>
      <c r="R214" s="282"/>
    </row>
    <row r="215" spans="13:18">
      <c r="M215" s="282"/>
      <c r="O215" s="282"/>
      <c r="P215" s="282"/>
      <c r="Q215" s="282"/>
      <c r="R215" s="28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820"/>
  <sheetViews>
    <sheetView tabSelected="1" topLeftCell="A792" workbookViewId="0">
      <selection activeCell="A801" sqref="A801"/>
    </sheetView>
  </sheetViews>
  <sheetFormatPr defaultRowHeight="15"/>
  <cols>
    <col min="1" max="1" width="7.7109375" style="1339" customWidth="1"/>
    <col min="2" max="2" width="6.28515625" style="1339" customWidth="1"/>
    <col min="3" max="3" width="7.42578125" style="1339" customWidth="1"/>
    <col min="4" max="4" width="42.5703125" style="5" customWidth="1"/>
    <col min="5" max="5" width="6.28515625" style="1339" customWidth="1"/>
    <col min="6" max="6" width="14.140625" style="5" customWidth="1"/>
    <col min="7" max="7" width="13.7109375" style="5" customWidth="1"/>
    <col min="8" max="8" width="19.85546875" style="5" customWidth="1"/>
    <col min="9" max="9" width="13.7109375" style="5" customWidth="1"/>
    <col min="10" max="16384" width="9.140625" style="5"/>
  </cols>
  <sheetData>
    <row r="2" spans="1:10" ht="15.75" customHeight="1">
      <c r="A2" s="1" t="s">
        <v>177</v>
      </c>
      <c r="G2" s="1387" t="s">
        <v>178</v>
      </c>
      <c r="H2" s="1387"/>
      <c r="I2" s="1387"/>
    </row>
    <row r="3" spans="1:10" ht="15.75" customHeight="1">
      <c r="A3" s="1" t="s">
        <v>179</v>
      </c>
      <c r="G3" s="1388" t="s">
        <v>141</v>
      </c>
      <c r="H3" s="1388"/>
      <c r="I3" s="1388"/>
    </row>
    <row r="4" spans="1:10">
      <c r="F4" s="17"/>
      <c r="G4" s="1388"/>
      <c r="H4" s="1388"/>
      <c r="I4" s="1388"/>
    </row>
    <row r="5" spans="1:10" ht="17.25" customHeight="1">
      <c r="A5" s="1389" t="s">
        <v>180</v>
      </c>
      <c r="B5" s="1389"/>
      <c r="C5" s="1389"/>
      <c r="D5" s="1389"/>
      <c r="E5" s="1389"/>
      <c r="F5" s="1389"/>
      <c r="G5" s="1389"/>
      <c r="H5" s="1389"/>
      <c r="I5" s="1389"/>
    </row>
    <row r="6" spans="1:10">
      <c r="A6" s="1390" t="s">
        <v>181</v>
      </c>
      <c r="B6" s="1391"/>
      <c r="C6" s="1391"/>
      <c r="D6" s="1391"/>
      <c r="E6" s="1391"/>
      <c r="F6" s="1391"/>
      <c r="G6" s="1391"/>
      <c r="H6" s="1391"/>
      <c r="I6" s="1391"/>
    </row>
    <row r="7" spans="1:10">
      <c r="B7" s="5"/>
      <c r="C7" s="5"/>
      <c r="D7" s="235" t="s">
        <v>182</v>
      </c>
      <c r="E7" s="236" t="s">
        <v>9</v>
      </c>
    </row>
    <row r="8" spans="1:10">
      <c r="B8" s="5"/>
      <c r="C8" s="5"/>
      <c r="D8" s="235" t="s">
        <v>183</v>
      </c>
      <c r="E8" s="5" t="s">
        <v>67</v>
      </c>
    </row>
    <row r="9" spans="1:10">
      <c r="A9" s="1391" t="s">
        <v>29</v>
      </c>
      <c r="B9" s="1392"/>
      <c r="C9" s="1392"/>
      <c r="D9" s="1392"/>
      <c r="E9" s="1392"/>
      <c r="F9" s="1392"/>
      <c r="G9" s="1392"/>
      <c r="H9" s="1392"/>
      <c r="I9" s="1392"/>
    </row>
    <row r="10" spans="1:10" ht="9.75" customHeight="1">
      <c r="C10" s="1393"/>
      <c r="D10" s="1394"/>
      <c r="E10" s="1394"/>
      <c r="F10" s="1394"/>
      <c r="G10" s="1394"/>
      <c r="H10" s="1394"/>
      <c r="I10" s="1394"/>
    </row>
    <row r="11" spans="1:10" s="18" customFormat="1" ht="19.5" customHeight="1">
      <c r="A11" s="1395" t="s">
        <v>21</v>
      </c>
      <c r="B11" s="1385" t="s">
        <v>1</v>
      </c>
      <c r="C11" s="1396"/>
      <c r="D11" s="1395" t="s">
        <v>0</v>
      </c>
      <c r="E11" s="1395" t="s">
        <v>15</v>
      </c>
      <c r="F11" s="1385" t="s">
        <v>22</v>
      </c>
      <c r="G11" s="1396"/>
      <c r="H11" s="1385" t="s">
        <v>31</v>
      </c>
      <c r="I11" s="1386"/>
    </row>
    <row r="12" spans="1:10" s="18" customFormat="1" ht="32.25" customHeight="1">
      <c r="A12" s="1395"/>
      <c r="B12" s="1342" t="s">
        <v>16</v>
      </c>
      <c r="C12" s="1342" t="s">
        <v>32</v>
      </c>
      <c r="D12" s="1395"/>
      <c r="E12" s="1395"/>
      <c r="F12" s="1342" t="s">
        <v>23</v>
      </c>
      <c r="G12" s="1342" t="s">
        <v>24</v>
      </c>
      <c r="H12" s="1342" t="s">
        <v>23</v>
      </c>
      <c r="I12" s="1342" t="s">
        <v>24</v>
      </c>
    </row>
    <row r="13" spans="1:10" s="1338" customFormat="1" ht="11.25" customHeight="1">
      <c r="A13" s="1340" t="s">
        <v>2</v>
      </c>
      <c r="B13" s="1341" t="s">
        <v>3</v>
      </c>
      <c r="C13" s="1340" t="s">
        <v>4</v>
      </c>
      <c r="D13" s="1340" t="s">
        <v>5</v>
      </c>
      <c r="E13" s="1340" t="s">
        <v>6</v>
      </c>
      <c r="F13" s="1340">
        <v>1</v>
      </c>
      <c r="G13" s="1340">
        <v>2</v>
      </c>
      <c r="H13" s="1340">
        <v>3</v>
      </c>
      <c r="I13" s="1340">
        <v>4</v>
      </c>
    </row>
    <row r="14" spans="1:10" s="18" customFormat="1" ht="18" customHeight="1">
      <c r="A14" s="381"/>
      <c r="B14" s="357"/>
      <c r="C14" s="381"/>
      <c r="D14" s="356" t="s">
        <v>7</v>
      </c>
      <c r="E14" s="357"/>
      <c r="F14" s="382"/>
      <c r="G14" s="382"/>
      <c r="H14" s="382">
        <f>VLOOKUP($E$7,DSTK,3,0)</f>
        <v>162420936</v>
      </c>
      <c r="I14" s="382">
        <f>VLOOKUP($E$7,DSTK,4,0)</f>
        <v>0</v>
      </c>
    </row>
    <row r="15" spans="1:10" s="18" customFormat="1" ht="18" customHeight="1">
      <c r="A15" s="318">
        <v>42371</v>
      </c>
      <c r="B15" s="318" t="s">
        <v>851</v>
      </c>
      <c r="C15" s="318">
        <v>42368</v>
      </c>
      <c r="D15" s="383" t="s">
        <v>751</v>
      </c>
      <c r="E15" s="318" t="s">
        <v>61</v>
      </c>
      <c r="F15" s="384">
        <v>440003</v>
      </c>
      <c r="G15" s="382">
        <v>0</v>
      </c>
      <c r="H15" s="385">
        <f>IF(D15&lt;&gt;"",MAX(H14+F15-G15-I14,0),0)</f>
        <v>162860939</v>
      </c>
      <c r="I15" s="385">
        <f>IF(D15&lt;&gt;"",MAX(I14+G15-H14-F15,0),0)</f>
        <v>0</v>
      </c>
      <c r="J15" s="18">
        <v>1</v>
      </c>
    </row>
    <row r="16" spans="1:10" s="18" customFormat="1" ht="18" customHeight="1">
      <c r="A16" s="318">
        <v>42371</v>
      </c>
      <c r="B16" s="318" t="s">
        <v>852</v>
      </c>
      <c r="C16" s="318">
        <v>42369</v>
      </c>
      <c r="D16" s="383" t="s">
        <v>753</v>
      </c>
      <c r="E16" s="318" t="s">
        <v>61</v>
      </c>
      <c r="F16" s="384">
        <v>4715</v>
      </c>
      <c r="G16" s="382">
        <v>0</v>
      </c>
      <c r="H16" s="385">
        <f t="shared" ref="H16:H79" si="0">IF(D16&lt;&gt;"",MAX(H15+F16-G16-I15,0),0)</f>
        <v>162865654</v>
      </c>
      <c r="I16" s="385">
        <f t="shared" ref="I16:I79" si="1">IF(D16&lt;&gt;"",MAX(I15+G16-H15-F16,0),0)</f>
        <v>0</v>
      </c>
      <c r="J16" s="18">
        <v>1</v>
      </c>
    </row>
    <row r="17" spans="1:10" s="18" customFormat="1" ht="18" customHeight="1">
      <c r="A17" s="318">
        <v>42371</v>
      </c>
      <c r="B17" s="318" t="s">
        <v>853</v>
      </c>
      <c r="C17" s="318">
        <v>42367</v>
      </c>
      <c r="D17" s="383" t="s">
        <v>751</v>
      </c>
      <c r="E17" s="318" t="s">
        <v>61</v>
      </c>
      <c r="F17" s="384">
        <v>209090</v>
      </c>
      <c r="G17" s="382">
        <v>0</v>
      </c>
      <c r="H17" s="385">
        <f t="shared" si="0"/>
        <v>163074744</v>
      </c>
      <c r="I17" s="385">
        <f t="shared" si="1"/>
        <v>0</v>
      </c>
      <c r="J17" s="18">
        <v>1</v>
      </c>
    </row>
    <row r="18" spans="1:10" s="18" customFormat="1" ht="18" customHeight="1">
      <c r="A18" s="318">
        <v>42371</v>
      </c>
      <c r="B18" s="318" t="s">
        <v>854</v>
      </c>
      <c r="C18" s="318">
        <v>42367</v>
      </c>
      <c r="D18" s="383" t="s">
        <v>755</v>
      </c>
      <c r="E18" s="318" t="s">
        <v>61</v>
      </c>
      <c r="F18" s="384">
        <v>1200000</v>
      </c>
      <c r="G18" s="382">
        <v>0</v>
      </c>
      <c r="H18" s="385">
        <f t="shared" si="0"/>
        <v>164274744</v>
      </c>
      <c r="I18" s="385">
        <f t="shared" si="1"/>
        <v>0</v>
      </c>
      <c r="J18" s="18">
        <v>1</v>
      </c>
    </row>
    <row r="19" spans="1:10" s="18" customFormat="1" ht="18" customHeight="1">
      <c r="A19" s="318">
        <v>42371</v>
      </c>
      <c r="B19" s="318" t="s">
        <v>855</v>
      </c>
      <c r="C19" s="318">
        <v>42370</v>
      </c>
      <c r="D19" s="383" t="s">
        <v>757</v>
      </c>
      <c r="E19" s="318" t="s">
        <v>61</v>
      </c>
      <c r="F19" s="384">
        <v>62078</v>
      </c>
      <c r="G19" s="382">
        <v>0</v>
      </c>
      <c r="H19" s="385">
        <f t="shared" si="0"/>
        <v>164336822</v>
      </c>
      <c r="I19" s="385">
        <f t="shared" si="1"/>
        <v>0</v>
      </c>
      <c r="J19" s="18">
        <v>1</v>
      </c>
    </row>
    <row r="20" spans="1:10" s="18" customFormat="1" ht="18" customHeight="1">
      <c r="A20" s="318">
        <v>42373</v>
      </c>
      <c r="B20" s="318" t="s">
        <v>858</v>
      </c>
      <c r="C20" s="318">
        <v>42373</v>
      </c>
      <c r="D20" s="383" t="s">
        <v>760</v>
      </c>
      <c r="E20" s="318" t="s">
        <v>61</v>
      </c>
      <c r="F20" s="384">
        <v>1665000</v>
      </c>
      <c r="G20" s="382">
        <v>0</v>
      </c>
      <c r="H20" s="385">
        <f t="shared" si="0"/>
        <v>166001822</v>
      </c>
      <c r="I20" s="385">
        <f t="shared" si="1"/>
        <v>0</v>
      </c>
      <c r="J20" s="18">
        <v>1</v>
      </c>
    </row>
    <row r="21" spans="1:10" s="18" customFormat="1" ht="18" customHeight="1">
      <c r="A21" s="318">
        <v>42373</v>
      </c>
      <c r="B21" s="318" t="s">
        <v>859</v>
      </c>
      <c r="C21" s="318">
        <v>42336</v>
      </c>
      <c r="D21" s="383" t="s">
        <v>755</v>
      </c>
      <c r="E21" s="318" t="s">
        <v>61</v>
      </c>
      <c r="F21" s="384">
        <v>1200000</v>
      </c>
      <c r="G21" s="382">
        <v>0</v>
      </c>
      <c r="H21" s="385">
        <f t="shared" si="0"/>
        <v>167201822</v>
      </c>
      <c r="I21" s="385">
        <f t="shared" si="1"/>
        <v>0</v>
      </c>
      <c r="J21" s="18">
        <v>1</v>
      </c>
    </row>
    <row r="22" spans="1:10" s="18" customFormat="1" ht="18" customHeight="1">
      <c r="A22" s="318">
        <v>42373</v>
      </c>
      <c r="B22" s="318" t="s">
        <v>860</v>
      </c>
      <c r="C22" s="318">
        <v>42373</v>
      </c>
      <c r="D22" s="383" t="s">
        <v>762</v>
      </c>
      <c r="E22" s="318" t="s">
        <v>61</v>
      </c>
      <c r="F22" s="384">
        <v>68400</v>
      </c>
      <c r="G22" s="382">
        <v>0</v>
      </c>
      <c r="H22" s="385">
        <f t="shared" si="0"/>
        <v>167270222</v>
      </c>
      <c r="I22" s="385">
        <f t="shared" si="1"/>
        <v>0</v>
      </c>
      <c r="J22" s="18">
        <v>1</v>
      </c>
    </row>
    <row r="23" spans="1:10" s="18" customFormat="1" ht="18" customHeight="1">
      <c r="A23" s="318">
        <v>42373</v>
      </c>
      <c r="B23" s="318" t="s">
        <v>861</v>
      </c>
      <c r="C23" s="318">
        <v>42373</v>
      </c>
      <c r="D23" s="383" t="s">
        <v>762</v>
      </c>
      <c r="E23" s="318" t="s">
        <v>61</v>
      </c>
      <c r="F23" s="384">
        <v>2982</v>
      </c>
      <c r="G23" s="382">
        <v>0</v>
      </c>
      <c r="H23" s="385">
        <f t="shared" si="0"/>
        <v>167273204</v>
      </c>
      <c r="I23" s="385">
        <f t="shared" si="1"/>
        <v>0</v>
      </c>
      <c r="J23" s="18">
        <v>1</v>
      </c>
    </row>
    <row r="24" spans="1:10" s="18" customFormat="1" ht="18" customHeight="1">
      <c r="A24" s="318">
        <v>42374</v>
      </c>
      <c r="B24" s="318" t="s">
        <v>862</v>
      </c>
      <c r="C24" s="318">
        <v>42374</v>
      </c>
      <c r="D24" s="383" t="s">
        <v>764</v>
      </c>
      <c r="E24" s="318" t="s">
        <v>61</v>
      </c>
      <c r="F24" s="384">
        <v>1689000</v>
      </c>
      <c r="G24" s="382">
        <v>0</v>
      </c>
      <c r="H24" s="385">
        <f t="shared" si="0"/>
        <v>168962204</v>
      </c>
      <c r="I24" s="385">
        <f t="shared" si="1"/>
        <v>0</v>
      </c>
      <c r="J24" s="18">
        <v>1</v>
      </c>
    </row>
    <row r="25" spans="1:10" s="18" customFormat="1" ht="18" customHeight="1">
      <c r="A25" s="318">
        <v>42374</v>
      </c>
      <c r="B25" s="318" t="s">
        <v>863</v>
      </c>
      <c r="C25" s="318">
        <v>42350</v>
      </c>
      <c r="D25" s="383" t="s">
        <v>755</v>
      </c>
      <c r="E25" s="318" t="s">
        <v>61</v>
      </c>
      <c r="F25" s="384">
        <v>1200000</v>
      </c>
      <c r="G25" s="382">
        <v>0</v>
      </c>
      <c r="H25" s="385">
        <f t="shared" si="0"/>
        <v>170162204</v>
      </c>
      <c r="I25" s="385">
        <f t="shared" si="1"/>
        <v>0</v>
      </c>
      <c r="J25" s="18">
        <v>1</v>
      </c>
    </row>
    <row r="26" spans="1:10" s="18" customFormat="1" ht="18" customHeight="1">
      <c r="A26" s="318">
        <v>42374</v>
      </c>
      <c r="B26" s="318" t="s">
        <v>864</v>
      </c>
      <c r="C26" s="318">
        <v>42374</v>
      </c>
      <c r="D26" s="383" t="s">
        <v>762</v>
      </c>
      <c r="E26" s="318" t="s">
        <v>61</v>
      </c>
      <c r="F26" s="384">
        <v>67670</v>
      </c>
      <c r="G26" s="382">
        <v>0</v>
      </c>
      <c r="H26" s="385">
        <f t="shared" si="0"/>
        <v>170229874</v>
      </c>
      <c r="I26" s="385">
        <f t="shared" si="1"/>
        <v>0</v>
      </c>
      <c r="J26" s="18">
        <v>1</v>
      </c>
    </row>
    <row r="27" spans="1:10" s="18" customFormat="1" ht="18" customHeight="1">
      <c r="A27" s="318">
        <v>42376</v>
      </c>
      <c r="B27" s="318" t="s">
        <v>867</v>
      </c>
      <c r="C27" s="318">
        <v>42376</v>
      </c>
      <c r="D27" s="383" t="s">
        <v>767</v>
      </c>
      <c r="E27" s="318" t="s">
        <v>61</v>
      </c>
      <c r="F27" s="384">
        <v>134106</v>
      </c>
      <c r="G27" s="382">
        <v>0</v>
      </c>
      <c r="H27" s="385">
        <f t="shared" si="0"/>
        <v>170363980</v>
      </c>
      <c r="I27" s="385">
        <f t="shared" si="1"/>
        <v>0</v>
      </c>
      <c r="J27" s="18">
        <v>1</v>
      </c>
    </row>
    <row r="28" spans="1:10" s="18" customFormat="1" ht="18" customHeight="1">
      <c r="A28" s="318">
        <v>42377</v>
      </c>
      <c r="B28" s="318" t="s">
        <v>868</v>
      </c>
      <c r="C28" s="318">
        <v>42377</v>
      </c>
      <c r="D28" s="383" t="s">
        <v>769</v>
      </c>
      <c r="E28" s="318" t="s">
        <v>61</v>
      </c>
      <c r="F28" s="384">
        <v>536364</v>
      </c>
      <c r="G28" s="382">
        <v>0</v>
      </c>
      <c r="H28" s="385">
        <f t="shared" si="0"/>
        <v>170900344</v>
      </c>
      <c r="I28" s="385">
        <f t="shared" si="1"/>
        <v>0</v>
      </c>
      <c r="J28" s="18">
        <v>1</v>
      </c>
    </row>
    <row r="29" spans="1:10" s="18" customFormat="1" ht="18" customHeight="1">
      <c r="A29" s="318">
        <v>42377</v>
      </c>
      <c r="B29" s="318" t="s">
        <v>869</v>
      </c>
      <c r="C29" s="318">
        <v>42377</v>
      </c>
      <c r="D29" s="383" t="s">
        <v>771</v>
      </c>
      <c r="E29" s="318" t="s">
        <v>61</v>
      </c>
      <c r="F29" s="384">
        <v>85171</v>
      </c>
      <c r="G29" s="382">
        <v>0</v>
      </c>
      <c r="H29" s="385">
        <f t="shared" si="0"/>
        <v>170985515</v>
      </c>
      <c r="I29" s="385">
        <f t="shared" si="1"/>
        <v>0</v>
      </c>
      <c r="J29" s="18">
        <v>1</v>
      </c>
    </row>
    <row r="30" spans="1:10" s="18" customFormat="1" ht="18" customHeight="1">
      <c r="A30" s="318">
        <v>42380</v>
      </c>
      <c r="B30" s="318" t="s">
        <v>870</v>
      </c>
      <c r="C30" s="318">
        <v>42380</v>
      </c>
      <c r="D30" s="383" t="s">
        <v>757</v>
      </c>
      <c r="E30" s="318" t="s">
        <v>61</v>
      </c>
      <c r="F30" s="384">
        <v>59590</v>
      </c>
      <c r="G30" s="382">
        <v>0</v>
      </c>
      <c r="H30" s="385">
        <f t="shared" si="0"/>
        <v>171045105</v>
      </c>
      <c r="I30" s="385">
        <f t="shared" si="1"/>
        <v>0</v>
      </c>
      <c r="J30" s="18">
        <v>1</v>
      </c>
    </row>
    <row r="31" spans="1:10" s="18" customFormat="1" ht="18" customHeight="1">
      <c r="A31" s="318">
        <v>42381</v>
      </c>
      <c r="B31" s="318" t="s">
        <v>872</v>
      </c>
      <c r="C31" s="318">
        <v>42381</v>
      </c>
      <c r="D31" s="383" t="s">
        <v>762</v>
      </c>
      <c r="E31" s="318" t="s">
        <v>61</v>
      </c>
      <c r="F31" s="384">
        <v>79087</v>
      </c>
      <c r="G31" s="382">
        <v>0</v>
      </c>
      <c r="H31" s="385">
        <f t="shared" si="0"/>
        <v>171124192</v>
      </c>
      <c r="I31" s="385">
        <f t="shared" si="1"/>
        <v>0</v>
      </c>
      <c r="J31" s="18">
        <v>1</v>
      </c>
    </row>
    <row r="32" spans="1:10" s="18" customFormat="1" ht="18" customHeight="1">
      <c r="A32" s="318">
        <v>42381</v>
      </c>
      <c r="B32" s="318" t="s">
        <v>873</v>
      </c>
      <c r="C32" s="318">
        <v>42381</v>
      </c>
      <c r="D32" s="383" t="s">
        <v>773</v>
      </c>
      <c r="E32" s="318" t="s">
        <v>61</v>
      </c>
      <c r="F32" s="384">
        <v>332500</v>
      </c>
      <c r="G32" s="382">
        <v>0</v>
      </c>
      <c r="H32" s="385">
        <f t="shared" si="0"/>
        <v>171456692</v>
      </c>
      <c r="I32" s="385">
        <f t="shared" si="1"/>
        <v>0</v>
      </c>
      <c r="J32" s="18">
        <v>1</v>
      </c>
    </row>
    <row r="33" spans="1:10" s="18" customFormat="1" ht="18" customHeight="1">
      <c r="A33" s="318">
        <v>42383</v>
      </c>
      <c r="B33" s="318" t="s">
        <v>874</v>
      </c>
      <c r="C33" s="318">
        <v>42383</v>
      </c>
      <c r="D33" s="383" t="s">
        <v>767</v>
      </c>
      <c r="E33" s="318" t="s">
        <v>61</v>
      </c>
      <c r="F33" s="384">
        <v>1666290</v>
      </c>
      <c r="G33" s="382">
        <v>0</v>
      </c>
      <c r="H33" s="385">
        <f t="shared" si="0"/>
        <v>173122982</v>
      </c>
      <c r="I33" s="385">
        <f t="shared" si="1"/>
        <v>0</v>
      </c>
      <c r="J33" s="18">
        <v>1</v>
      </c>
    </row>
    <row r="34" spans="1:10" s="18" customFormat="1" ht="18" customHeight="1">
      <c r="A34" s="318">
        <v>42384</v>
      </c>
      <c r="B34" s="318" t="s">
        <v>875</v>
      </c>
      <c r="C34" s="318">
        <v>42384</v>
      </c>
      <c r="D34" s="383" t="s">
        <v>762</v>
      </c>
      <c r="E34" s="318" t="s">
        <v>61</v>
      </c>
      <c r="F34" s="384">
        <v>30603</v>
      </c>
      <c r="G34" s="382">
        <v>0</v>
      </c>
      <c r="H34" s="385">
        <f t="shared" si="0"/>
        <v>173153585</v>
      </c>
      <c r="I34" s="385">
        <f t="shared" si="1"/>
        <v>0</v>
      </c>
      <c r="J34" s="18">
        <v>1</v>
      </c>
    </row>
    <row r="35" spans="1:10" s="18" customFormat="1" ht="18" customHeight="1">
      <c r="A35" s="318">
        <v>42384</v>
      </c>
      <c r="B35" s="318" t="s">
        <v>876</v>
      </c>
      <c r="C35" s="318">
        <v>42384</v>
      </c>
      <c r="D35" s="383" t="s">
        <v>762</v>
      </c>
      <c r="E35" s="318" t="s">
        <v>61</v>
      </c>
      <c r="F35" s="384">
        <v>59315</v>
      </c>
      <c r="G35" s="382">
        <v>0</v>
      </c>
      <c r="H35" s="385">
        <f t="shared" si="0"/>
        <v>173212900</v>
      </c>
      <c r="I35" s="385">
        <f t="shared" si="1"/>
        <v>0</v>
      </c>
      <c r="J35" s="18">
        <v>1</v>
      </c>
    </row>
    <row r="36" spans="1:10" s="18" customFormat="1" ht="18" customHeight="1">
      <c r="A36" s="318">
        <v>42384</v>
      </c>
      <c r="B36" s="318" t="s">
        <v>877</v>
      </c>
      <c r="C36" s="318">
        <v>42384</v>
      </c>
      <c r="D36" s="383" t="s">
        <v>775</v>
      </c>
      <c r="E36" s="318" t="s">
        <v>61</v>
      </c>
      <c r="F36" s="384">
        <v>20000</v>
      </c>
      <c r="G36" s="382">
        <v>0</v>
      </c>
      <c r="H36" s="385">
        <f t="shared" si="0"/>
        <v>173232900</v>
      </c>
      <c r="I36" s="385">
        <f t="shared" si="1"/>
        <v>0</v>
      </c>
      <c r="J36" s="18">
        <v>1</v>
      </c>
    </row>
    <row r="37" spans="1:10" s="18" customFormat="1" ht="18" customHeight="1">
      <c r="A37" s="318">
        <v>42384</v>
      </c>
      <c r="B37" s="318" t="s">
        <v>878</v>
      </c>
      <c r="C37" s="318">
        <v>42384</v>
      </c>
      <c r="D37" s="383" t="s">
        <v>767</v>
      </c>
      <c r="E37" s="318" t="s">
        <v>61</v>
      </c>
      <c r="F37" s="384">
        <v>1743580</v>
      </c>
      <c r="G37" s="382">
        <v>0</v>
      </c>
      <c r="H37" s="385">
        <f t="shared" si="0"/>
        <v>174976480</v>
      </c>
      <c r="I37" s="385">
        <f t="shared" si="1"/>
        <v>0</v>
      </c>
      <c r="J37" s="18">
        <v>1</v>
      </c>
    </row>
    <row r="38" spans="1:10" s="18" customFormat="1" ht="18" customHeight="1">
      <c r="A38" s="318">
        <v>42387</v>
      </c>
      <c r="B38" s="318" t="s">
        <v>879</v>
      </c>
      <c r="C38" s="318">
        <v>42387</v>
      </c>
      <c r="D38" s="383" t="s">
        <v>777</v>
      </c>
      <c r="E38" s="318" t="s">
        <v>61</v>
      </c>
      <c r="F38" s="384">
        <v>134614</v>
      </c>
      <c r="G38" s="382">
        <v>0</v>
      </c>
      <c r="H38" s="385">
        <f t="shared" si="0"/>
        <v>175111094</v>
      </c>
      <c r="I38" s="385">
        <f t="shared" si="1"/>
        <v>0</v>
      </c>
      <c r="J38" s="18">
        <v>1</v>
      </c>
    </row>
    <row r="39" spans="1:10" s="18" customFormat="1" ht="18" customHeight="1">
      <c r="A39" s="318">
        <v>42388</v>
      </c>
      <c r="B39" s="318" t="s">
        <v>881</v>
      </c>
      <c r="C39" s="318">
        <v>42388</v>
      </c>
      <c r="D39" s="383" t="s">
        <v>762</v>
      </c>
      <c r="E39" s="318" t="s">
        <v>61</v>
      </c>
      <c r="F39" s="384">
        <v>2915</v>
      </c>
      <c r="G39" s="382">
        <v>0</v>
      </c>
      <c r="H39" s="385">
        <f t="shared" si="0"/>
        <v>175114009</v>
      </c>
      <c r="I39" s="385">
        <f t="shared" si="1"/>
        <v>0</v>
      </c>
      <c r="J39" s="18">
        <v>1</v>
      </c>
    </row>
    <row r="40" spans="1:10" s="18" customFormat="1" ht="18" customHeight="1">
      <c r="A40" s="318">
        <v>42389</v>
      </c>
      <c r="B40" s="318" t="s">
        <v>882</v>
      </c>
      <c r="C40" s="318">
        <v>42389</v>
      </c>
      <c r="D40" s="383" t="s">
        <v>762</v>
      </c>
      <c r="E40" s="318" t="s">
        <v>61</v>
      </c>
      <c r="F40" s="384">
        <v>68962</v>
      </c>
      <c r="G40" s="382">
        <v>0</v>
      </c>
      <c r="H40" s="385">
        <f t="shared" si="0"/>
        <v>175182971</v>
      </c>
      <c r="I40" s="385">
        <f t="shared" si="1"/>
        <v>0</v>
      </c>
      <c r="J40" s="18">
        <v>1</v>
      </c>
    </row>
    <row r="41" spans="1:10" s="18" customFormat="1" ht="18" customHeight="1">
      <c r="A41" s="318">
        <v>42390</v>
      </c>
      <c r="B41" s="318" t="s">
        <v>883</v>
      </c>
      <c r="C41" s="318">
        <v>42390</v>
      </c>
      <c r="D41" s="383" t="s">
        <v>757</v>
      </c>
      <c r="E41" s="318" t="s">
        <v>61</v>
      </c>
      <c r="F41" s="384">
        <v>38018</v>
      </c>
      <c r="G41" s="382">
        <v>0</v>
      </c>
      <c r="H41" s="385">
        <f t="shared" si="0"/>
        <v>175220989</v>
      </c>
      <c r="I41" s="385">
        <f t="shared" si="1"/>
        <v>0</v>
      </c>
      <c r="J41" s="18">
        <v>1</v>
      </c>
    </row>
    <row r="42" spans="1:10" s="18" customFormat="1" ht="18" customHeight="1">
      <c r="A42" s="318">
        <v>42393</v>
      </c>
      <c r="B42" s="318" t="s">
        <v>888</v>
      </c>
      <c r="C42" s="318">
        <v>42393</v>
      </c>
      <c r="D42" s="383" t="s">
        <v>777</v>
      </c>
      <c r="E42" s="318" t="s">
        <v>61</v>
      </c>
      <c r="F42" s="384">
        <v>113776</v>
      </c>
      <c r="G42" s="382">
        <v>0</v>
      </c>
      <c r="H42" s="385">
        <f t="shared" si="0"/>
        <v>175334765</v>
      </c>
      <c r="I42" s="385">
        <f t="shared" si="1"/>
        <v>0</v>
      </c>
      <c r="J42" s="18">
        <v>1</v>
      </c>
    </row>
    <row r="43" spans="1:10" s="18" customFormat="1" ht="18" customHeight="1">
      <c r="A43" s="318">
        <v>42394</v>
      </c>
      <c r="B43" s="318" t="s">
        <v>891</v>
      </c>
      <c r="C43" s="318">
        <v>42394</v>
      </c>
      <c r="D43" s="383" t="s">
        <v>779</v>
      </c>
      <c r="E43" s="318" t="s">
        <v>61</v>
      </c>
      <c r="F43" s="384">
        <v>1500000</v>
      </c>
      <c r="G43" s="382">
        <v>0</v>
      </c>
      <c r="H43" s="385">
        <f t="shared" si="0"/>
        <v>176834765</v>
      </c>
      <c r="I43" s="385">
        <f t="shared" si="1"/>
        <v>0</v>
      </c>
      <c r="J43" s="18">
        <v>1</v>
      </c>
    </row>
    <row r="44" spans="1:10" s="18" customFormat="1" ht="18" customHeight="1">
      <c r="A44" s="318">
        <v>42398</v>
      </c>
      <c r="B44" s="318" t="s">
        <v>897</v>
      </c>
      <c r="C44" s="318">
        <v>42398</v>
      </c>
      <c r="D44" s="383" t="s">
        <v>762</v>
      </c>
      <c r="E44" s="318" t="s">
        <v>61</v>
      </c>
      <c r="F44" s="384">
        <v>66027</v>
      </c>
      <c r="G44" s="382">
        <v>0</v>
      </c>
      <c r="H44" s="385">
        <f t="shared" si="0"/>
        <v>176900792</v>
      </c>
      <c r="I44" s="385">
        <f t="shared" si="1"/>
        <v>0</v>
      </c>
      <c r="J44" s="18">
        <v>1</v>
      </c>
    </row>
    <row r="45" spans="1:10" s="18" customFormat="1" ht="18" customHeight="1">
      <c r="A45" s="318">
        <v>42399</v>
      </c>
      <c r="B45" s="318" t="s">
        <v>898</v>
      </c>
      <c r="C45" s="318">
        <v>42399</v>
      </c>
      <c r="D45" s="383" t="s">
        <v>762</v>
      </c>
      <c r="E45" s="318" t="s">
        <v>61</v>
      </c>
      <c r="F45" s="384">
        <v>67495</v>
      </c>
      <c r="G45" s="382">
        <v>0</v>
      </c>
      <c r="H45" s="385">
        <f t="shared" si="0"/>
        <v>176968287</v>
      </c>
      <c r="I45" s="385">
        <f t="shared" si="1"/>
        <v>0</v>
      </c>
      <c r="J45" s="18">
        <v>1</v>
      </c>
    </row>
    <row r="46" spans="1:10" s="18" customFormat="1" ht="18" customHeight="1">
      <c r="A46" s="318">
        <v>42400</v>
      </c>
      <c r="B46" s="318" t="s">
        <v>899</v>
      </c>
      <c r="C46" s="318">
        <v>42400</v>
      </c>
      <c r="D46" s="383" t="s">
        <v>777</v>
      </c>
      <c r="E46" s="318" t="s">
        <v>61</v>
      </c>
      <c r="F46" s="384">
        <v>32029</v>
      </c>
      <c r="G46" s="382">
        <v>0</v>
      </c>
      <c r="H46" s="385">
        <f t="shared" si="0"/>
        <v>177000316</v>
      </c>
      <c r="I46" s="385">
        <f t="shared" si="1"/>
        <v>0</v>
      </c>
      <c r="J46" s="18">
        <v>1</v>
      </c>
    </row>
    <row r="47" spans="1:10" s="18" customFormat="1" ht="18" customHeight="1">
      <c r="A47" s="318">
        <v>42400</v>
      </c>
      <c r="B47" s="318" t="s">
        <v>948</v>
      </c>
      <c r="C47" s="318">
        <v>42400</v>
      </c>
      <c r="D47" s="383" t="s">
        <v>762</v>
      </c>
      <c r="E47" s="318" t="s">
        <v>61</v>
      </c>
      <c r="F47" s="384">
        <v>4402</v>
      </c>
      <c r="G47" s="382">
        <v>0</v>
      </c>
      <c r="H47" s="385">
        <f t="shared" si="0"/>
        <v>177004718</v>
      </c>
      <c r="I47" s="385">
        <f t="shared" si="1"/>
        <v>0</v>
      </c>
      <c r="J47" s="18">
        <v>1</v>
      </c>
    </row>
    <row r="48" spans="1:10" s="18" customFormat="1" ht="18" customHeight="1">
      <c r="A48" s="318">
        <v>42400</v>
      </c>
      <c r="B48" s="318" t="s">
        <v>949</v>
      </c>
      <c r="C48" s="318">
        <v>42400</v>
      </c>
      <c r="D48" s="383" t="s">
        <v>781</v>
      </c>
      <c r="E48" s="318" t="s">
        <v>61</v>
      </c>
      <c r="F48" s="384">
        <v>197003</v>
      </c>
      <c r="G48" s="382">
        <v>0</v>
      </c>
      <c r="H48" s="385">
        <f t="shared" si="0"/>
        <v>177201721</v>
      </c>
      <c r="I48" s="385">
        <f t="shared" si="1"/>
        <v>0</v>
      </c>
      <c r="J48" s="18">
        <v>1</v>
      </c>
    </row>
    <row r="49" spans="1:10" s="18" customFormat="1" ht="18" customHeight="1">
      <c r="A49" s="318">
        <v>42400</v>
      </c>
      <c r="B49" s="318" t="s">
        <v>950</v>
      </c>
      <c r="C49" s="318">
        <v>42400</v>
      </c>
      <c r="D49" s="383" t="s">
        <v>783</v>
      </c>
      <c r="E49" s="318" t="s">
        <v>61</v>
      </c>
      <c r="F49" s="384">
        <v>35453</v>
      </c>
      <c r="G49" s="382">
        <v>0</v>
      </c>
      <c r="H49" s="385">
        <f t="shared" si="0"/>
        <v>177237174</v>
      </c>
      <c r="I49" s="385">
        <f t="shared" si="1"/>
        <v>0</v>
      </c>
      <c r="J49" s="18">
        <v>1</v>
      </c>
    </row>
    <row r="50" spans="1:10" s="18" customFormat="1" ht="18" customHeight="1">
      <c r="A50" s="318">
        <v>42380</v>
      </c>
      <c r="B50" s="318" t="s">
        <v>690</v>
      </c>
      <c r="C50" s="318">
        <v>42380</v>
      </c>
      <c r="D50" s="383" t="s">
        <v>696</v>
      </c>
      <c r="E50" s="318" t="s">
        <v>260</v>
      </c>
      <c r="F50" s="384">
        <v>33660</v>
      </c>
      <c r="G50" s="382">
        <v>0</v>
      </c>
      <c r="H50" s="385">
        <f t="shared" si="0"/>
        <v>177270834</v>
      </c>
      <c r="I50" s="385">
        <f t="shared" si="1"/>
        <v>0</v>
      </c>
      <c r="J50" s="18">
        <v>1</v>
      </c>
    </row>
    <row r="51" spans="1:10" s="18" customFormat="1" ht="18" customHeight="1">
      <c r="A51" s="318">
        <v>42383</v>
      </c>
      <c r="B51" s="318" t="s">
        <v>690</v>
      </c>
      <c r="C51" s="318">
        <v>42383</v>
      </c>
      <c r="D51" s="383" t="s">
        <v>730</v>
      </c>
      <c r="E51" s="318" t="s">
        <v>25</v>
      </c>
      <c r="F51" s="384">
        <v>2000</v>
      </c>
      <c r="G51" s="382">
        <v>0</v>
      </c>
      <c r="H51" s="385">
        <f t="shared" si="0"/>
        <v>177272834</v>
      </c>
      <c r="I51" s="385">
        <f t="shared" si="1"/>
        <v>0</v>
      </c>
      <c r="J51" s="18">
        <v>1</v>
      </c>
    </row>
    <row r="52" spans="1:10" s="18" customFormat="1" ht="18" customHeight="1">
      <c r="A52" s="318">
        <v>42394</v>
      </c>
      <c r="B52" s="318" t="s">
        <v>690</v>
      </c>
      <c r="C52" s="318">
        <v>42394</v>
      </c>
      <c r="D52" s="383" t="s">
        <v>696</v>
      </c>
      <c r="E52" s="318" t="s">
        <v>260</v>
      </c>
      <c r="F52" s="384">
        <v>33555</v>
      </c>
      <c r="G52" s="382">
        <v>0</v>
      </c>
      <c r="H52" s="385">
        <f t="shared" si="0"/>
        <v>177306389</v>
      </c>
      <c r="I52" s="385">
        <f t="shared" si="1"/>
        <v>0</v>
      </c>
      <c r="J52" s="18">
        <v>1</v>
      </c>
    </row>
    <row r="53" spans="1:10" s="18" customFormat="1" ht="18" customHeight="1">
      <c r="A53" s="318">
        <v>42396</v>
      </c>
      <c r="B53" s="318" t="s">
        <v>690</v>
      </c>
      <c r="C53" s="318">
        <v>42396</v>
      </c>
      <c r="D53" s="383" t="s">
        <v>730</v>
      </c>
      <c r="E53" s="318" t="s">
        <v>25</v>
      </c>
      <c r="F53" s="384">
        <v>2500</v>
      </c>
      <c r="G53" s="382">
        <v>0</v>
      </c>
      <c r="H53" s="385">
        <f t="shared" si="0"/>
        <v>177308889</v>
      </c>
      <c r="I53" s="385">
        <f t="shared" si="1"/>
        <v>0</v>
      </c>
      <c r="J53" s="18">
        <v>1</v>
      </c>
    </row>
    <row r="54" spans="1:10" s="18" customFormat="1" ht="18" customHeight="1">
      <c r="A54" s="318">
        <v>42398</v>
      </c>
      <c r="B54" s="318" t="s">
        <v>690</v>
      </c>
      <c r="C54" s="318">
        <v>42398</v>
      </c>
      <c r="D54" s="383" t="s">
        <v>746</v>
      </c>
      <c r="E54" s="318" t="s">
        <v>25</v>
      </c>
      <c r="F54" s="384">
        <v>2000</v>
      </c>
      <c r="G54" s="382">
        <v>0</v>
      </c>
      <c r="H54" s="385">
        <f t="shared" si="0"/>
        <v>177310889</v>
      </c>
      <c r="I54" s="385">
        <f t="shared" si="1"/>
        <v>0</v>
      </c>
      <c r="J54" s="18">
        <v>1</v>
      </c>
    </row>
    <row r="55" spans="1:10" s="18" customFormat="1" ht="18" customHeight="1">
      <c r="A55" s="318">
        <v>42399</v>
      </c>
      <c r="B55" s="318" t="s">
        <v>690</v>
      </c>
      <c r="C55" s="318">
        <v>42399</v>
      </c>
      <c r="D55" s="383" t="s">
        <v>730</v>
      </c>
      <c r="E55" s="318" t="s">
        <v>25</v>
      </c>
      <c r="F55" s="384">
        <v>2849</v>
      </c>
      <c r="G55" s="382">
        <v>0</v>
      </c>
      <c r="H55" s="385">
        <f t="shared" si="0"/>
        <v>177313738</v>
      </c>
      <c r="I55" s="385">
        <f t="shared" si="1"/>
        <v>0</v>
      </c>
      <c r="J55" s="18">
        <v>1</v>
      </c>
    </row>
    <row r="56" spans="1:10" s="18" customFormat="1" ht="18" customHeight="1">
      <c r="A56" s="318">
        <v>42399</v>
      </c>
      <c r="B56" s="318" t="s">
        <v>690</v>
      </c>
      <c r="C56" s="318">
        <v>42399</v>
      </c>
      <c r="D56" s="383" t="s">
        <v>730</v>
      </c>
      <c r="E56" s="318" t="s">
        <v>25</v>
      </c>
      <c r="F56" s="384">
        <v>2000</v>
      </c>
      <c r="G56" s="382">
        <v>0</v>
      </c>
      <c r="H56" s="385">
        <f t="shared" si="0"/>
        <v>177315738</v>
      </c>
      <c r="I56" s="385">
        <f t="shared" si="1"/>
        <v>0</v>
      </c>
      <c r="J56" s="18">
        <v>1</v>
      </c>
    </row>
    <row r="57" spans="1:10" s="18" customFormat="1" ht="18" customHeight="1">
      <c r="A57" s="318">
        <v>42399</v>
      </c>
      <c r="B57" s="318" t="s">
        <v>690</v>
      </c>
      <c r="C57" s="318">
        <v>42399</v>
      </c>
      <c r="D57" s="383" t="s">
        <v>730</v>
      </c>
      <c r="E57" s="318" t="s">
        <v>25</v>
      </c>
      <c r="F57" s="384">
        <v>2000</v>
      </c>
      <c r="G57" s="382">
        <v>0</v>
      </c>
      <c r="H57" s="385">
        <f t="shared" si="0"/>
        <v>177317738</v>
      </c>
      <c r="I57" s="385">
        <f t="shared" si="1"/>
        <v>0</v>
      </c>
      <c r="J57" s="18">
        <v>1</v>
      </c>
    </row>
    <row r="58" spans="1:10" s="18" customFormat="1" ht="18" customHeight="1">
      <c r="A58" s="318">
        <v>42374</v>
      </c>
      <c r="B58" s="318" t="s">
        <v>662</v>
      </c>
      <c r="C58" s="318">
        <v>42374</v>
      </c>
      <c r="D58" s="383" t="s">
        <v>634</v>
      </c>
      <c r="E58" s="318" t="s">
        <v>8</v>
      </c>
      <c r="F58" s="384">
        <v>678571</v>
      </c>
      <c r="G58" s="382">
        <v>0</v>
      </c>
      <c r="H58" s="385">
        <f t="shared" si="0"/>
        <v>177996309</v>
      </c>
      <c r="I58" s="385">
        <f t="shared" si="1"/>
        <v>0</v>
      </c>
      <c r="J58" s="18">
        <v>1</v>
      </c>
    </row>
    <row r="59" spans="1:10" s="18" customFormat="1" ht="18" customHeight="1">
      <c r="A59" s="318">
        <v>42374</v>
      </c>
      <c r="B59" s="318" t="s">
        <v>663</v>
      </c>
      <c r="C59" s="318">
        <v>42374</v>
      </c>
      <c r="D59" s="383" t="s">
        <v>635</v>
      </c>
      <c r="E59" s="318" t="s">
        <v>8</v>
      </c>
      <c r="F59" s="384">
        <v>3300000</v>
      </c>
      <c r="G59" s="382">
        <v>0</v>
      </c>
      <c r="H59" s="385">
        <f t="shared" si="0"/>
        <v>181296309</v>
      </c>
      <c r="I59" s="385">
        <f t="shared" si="1"/>
        <v>0</v>
      </c>
      <c r="J59" s="18">
        <v>1</v>
      </c>
    </row>
    <row r="60" spans="1:10" s="18" customFormat="1" ht="18" customHeight="1">
      <c r="A60" s="318">
        <v>42375</v>
      </c>
      <c r="B60" s="318" t="s">
        <v>664</v>
      </c>
      <c r="C60" s="318">
        <v>42375</v>
      </c>
      <c r="D60" s="383" t="s">
        <v>636</v>
      </c>
      <c r="E60" s="318" t="s">
        <v>8</v>
      </c>
      <c r="F60" s="384">
        <v>7776000</v>
      </c>
      <c r="G60" s="382">
        <v>0</v>
      </c>
      <c r="H60" s="385">
        <f t="shared" si="0"/>
        <v>189072309</v>
      </c>
      <c r="I60" s="385">
        <f t="shared" si="1"/>
        <v>0</v>
      </c>
      <c r="J60" s="18">
        <v>1</v>
      </c>
    </row>
    <row r="61" spans="1:10" s="18" customFormat="1" ht="18" customHeight="1">
      <c r="A61" s="318">
        <v>42383</v>
      </c>
      <c r="B61" s="318" t="s">
        <v>665</v>
      </c>
      <c r="C61" s="318">
        <v>42383</v>
      </c>
      <c r="D61" s="383" t="s">
        <v>637</v>
      </c>
      <c r="E61" s="318" t="s">
        <v>8</v>
      </c>
      <c r="F61" s="384">
        <v>3437100</v>
      </c>
      <c r="G61" s="382">
        <v>0</v>
      </c>
      <c r="H61" s="385">
        <f t="shared" si="0"/>
        <v>192509409</v>
      </c>
      <c r="I61" s="385">
        <f t="shared" si="1"/>
        <v>0</v>
      </c>
      <c r="J61" s="18">
        <v>1</v>
      </c>
    </row>
    <row r="62" spans="1:10" s="18" customFormat="1" ht="18" customHeight="1">
      <c r="A62" s="318">
        <v>42391</v>
      </c>
      <c r="B62" s="318" t="s">
        <v>667</v>
      </c>
      <c r="C62" s="318">
        <v>42391</v>
      </c>
      <c r="D62" s="383" t="s">
        <v>639</v>
      </c>
      <c r="E62" s="318" t="s">
        <v>8</v>
      </c>
      <c r="F62" s="384">
        <v>3500000</v>
      </c>
      <c r="G62" s="382">
        <v>0</v>
      </c>
      <c r="H62" s="385">
        <f t="shared" si="0"/>
        <v>196009409</v>
      </c>
      <c r="I62" s="385">
        <f t="shared" si="1"/>
        <v>0</v>
      </c>
      <c r="J62" s="18">
        <v>1</v>
      </c>
    </row>
    <row r="63" spans="1:10" s="18" customFormat="1" ht="18" customHeight="1">
      <c r="A63" s="318">
        <v>42387</v>
      </c>
      <c r="B63" s="318" t="s">
        <v>666</v>
      </c>
      <c r="C63" s="318">
        <v>42387</v>
      </c>
      <c r="D63" s="383" t="s">
        <v>634</v>
      </c>
      <c r="E63" s="318" t="s">
        <v>8</v>
      </c>
      <c r="F63" s="384">
        <v>726190</v>
      </c>
      <c r="G63" s="382">
        <v>0</v>
      </c>
      <c r="H63" s="385">
        <f t="shared" si="0"/>
        <v>196735599</v>
      </c>
      <c r="I63" s="385">
        <f t="shared" si="1"/>
        <v>0</v>
      </c>
      <c r="J63" s="18">
        <v>1</v>
      </c>
    </row>
    <row r="64" spans="1:10" s="18" customFormat="1" ht="18" customHeight="1">
      <c r="A64" s="318">
        <v>42400</v>
      </c>
      <c r="B64" s="318" t="s">
        <v>570</v>
      </c>
      <c r="C64" s="318">
        <v>42370</v>
      </c>
      <c r="D64" s="383" t="s">
        <v>622</v>
      </c>
      <c r="E64" s="318" t="s">
        <v>8</v>
      </c>
      <c r="F64" s="384">
        <v>682356</v>
      </c>
      <c r="G64" s="382">
        <v>0</v>
      </c>
      <c r="H64" s="385">
        <f t="shared" si="0"/>
        <v>197417955</v>
      </c>
      <c r="I64" s="385">
        <f t="shared" si="1"/>
        <v>0</v>
      </c>
      <c r="J64" s="18">
        <v>1</v>
      </c>
    </row>
    <row r="65" spans="1:10" s="18" customFormat="1" ht="18" customHeight="1">
      <c r="A65" s="318">
        <v>42400</v>
      </c>
      <c r="B65" s="318" t="s">
        <v>570</v>
      </c>
      <c r="C65" s="318">
        <v>42380</v>
      </c>
      <c r="D65" s="383" t="s">
        <v>625</v>
      </c>
      <c r="E65" s="318" t="s">
        <v>8</v>
      </c>
      <c r="F65" s="384">
        <v>200000</v>
      </c>
      <c r="G65" s="382">
        <v>0</v>
      </c>
      <c r="H65" s="385">
        <f t="shared" si="0"/>
        <v>197617955</v>
      </c>
      <c r="I65" s="385">
        <f t="shared" si="1"/>
        <v>0</v>
      </c>
      <c r="J65" s="18">
        <v>1</v>
      </c>
    </row>
    <row r="66" spans="1:10" s="18" customFormat="1" ht="18" customHeight="1">
      <c r="A66" s="318">
        <v>42400</v>
      </c>
      <c r="B66" s="318" t="s">
        <v>570</v>
      </c>
      <c r="C66" s="318">
        <v>42381</v>
      </c>
      <c r="D66" s="383" t="s">
        <v>625</v>
      </c>
      <c r="E66" s="318" t="s">
        <v>8</v>
      </c>
      <c r="F66" s="384">
        <v>200000</v>
      </c>
      <c r="G66" s="382">
        <v>0</v>
      </c>
      <c r="H66" s="385">
        <f t="shared" si="0"/>
        <v>197817955</v>
      </c>
      <c r="I66" s="385">
        <f t="shared" si="1"/>
        <v>0</v>
      </c>
      <c r="J66" s="18">
        <v>1</v>
      </c>
    </row>
    <row r="67" spans="1:10" s="18" customFormat="1" ht="18" customHeight="1">
      <c r="A67" s="318">
        <v>42400</v>
      </c>
      <c r="B67" s="318" t="s">
        <v>570</v>
      </c>
      <c r="C67" s="318">
        <v>42394</v>
      </c>
      <c r="D67" s="383" t="s">
        <v>625</v>
      </c>
      <c r="E67" s="318" t="s">
        <v>8</v>
      </c>
      <c r="F67" s="384">
        <v>181818</v>
      </c>
      <c r="G67" s="382">
        <v>0</v>
      </c>
      <c r="H67" s="385">
        <f t="shared" si="0"/>
        <v>197999773</v>
      </c>
      <c r="I67" s="385">
        <f t="shared" si="1"/>
        <v>0</v>
      </c>
      <c r="J67" s="18">
        <v>1</v>
      </c>
    </row>
    <row r="68" spans="1:10" s="18" customFormat="1" ht="18" customHeight="1">
      <c r="A68" s="318">
        <v>42400</v>
      </c>
      <c r="B68" s="318" t="s">
        <v>570</v>
      </c>
      <c r="C68" s="318">
        <v>42398</v>
      </c>
      <c r="D68" s="383" t="s">
        <v>627</v>
      </c>
      <c r="E68" s="318" t="s">
        <v>8</v>
      </c>
      <c r="F68" s="384">
        <v>507756</v>
      </c>
      <c r="G68" s="382">
        <v>0</v>
      </c>
      <c r="H68" s="385">
        <f t="shared" si="0"/>
        <v>198507529</v>
      </c>
      <c r="I68" s="385">
        <f t="shared" si="1"/>
        <v>0</v>
      </c>
      <c r="J68" s="18">
        <v>1</v>
      </c>
    </row>
    <row r="69" spans="1:10" s="18" customFormat="1" ht="18" customHeight="1">
      <c r="A69" s="318">
        <v>42400</v>
      </c>
      <c r="B69" s="318" t="s">
        <v>570</v>
      </c>
      <c r="C69" s="318">
        <v>42398</v>
      </c>
      <c r="D69" s="383" t="s">
        <v>622</v>
      </c>
      <c r="E69" s="318" t="s">
        <v>8</v>
      </c>
      <c r="F69" s="384">
        <v>641376</v>
      </c>
      <c r="G69" s="382">
        <v>0</v>
      </c>
      <c r="H69" s="385">
        <f t="shared" si="0"/>
        <v>199148905</v>
      </c>
      <c r="I69" s="385">
        <f t="shared" si="1"/>
        <v>0</v>
      </c>
      <c r="J69" s="18">
        <v>1</v>
      </c>
    </row>
    <row r="70" spans="1:10" s="18" customFormat="1" ht="18" customHeight="1">
      <c r="A70" s="318">
        <v>42400</v>
      </c>
      <c r="B70" s="318" t="s">
        <v>570</v>
      </c>
      <c r="C70" s="318">
        <v>42400</v>
      </c>
      <c r="D70" s="383" t="s">
        <v>625</v>
      </c>
      <c r="E70" s="318" t="s">
        <v>8</v>
      </c>
      <c r="F70" s="384">
        <v>200000</v>
      </c>
      <c r="G70" s="382">
        <v>0</v>
      </c>
      <c r="H70" s="385">
        <f t="shared" si="0"/>
        <v>199348905</v>
      </c>
      <c r="I70" s="385">
        <f t="shared" si="1"/>
        <v>0</v>
      </c>
      <c r="J70" s="18">
        <v>1</v>
      </c>
    </row>
    <row r="71" spans="1:10" s="18" customFormat="1" ht="18" customHeight="1">
      <c r="A71" s="318">
        <v>42400</v>
      </c>
      <c r="B71" s="318" t="s">
        <v>570</v>
      </c>
      <c r="C71" s="318">
        <v>42375</v>
      </c>
      <c r="D71" s="383" t="s">
        <v>629</v>
      </c>
      <c r="E71" s="318" t="s">
        <v>8</v>
      </c>
      <c r="F71" s="384">
        <v>2465300</v>
      </c>
      <c r="G71" s="382">
        <v>0</v>
      </c>
      <c r="H71" s="385">
        <f t="shared" si="0"/>
        <v>201814205</v>
      </c>
      <c r="I71" s="385">
        <f t="shared" si="1"/>
        <v>0</v>
      </c>
      <c r="J71" s="18">
        <v>1</v>
      </c>
    </row>
    <row r="72" spans="1:10" s="18" customFormat="1" ht="18" customHeight="1">
      <c r="A72" s="318">
        <v>42400</v>
      </c>
      <c r="B72" s="318" t="s">
        <v>570</v>
      </c>
      <c r="C72" s="318">
        <v>42385</v>
      </c>
      <c r="D72" s="383" t="s">
        <v>631</v>
      </c>
      <c r="E72" s="318" t="s">
        <v>8</v>
      </c>
      <c r="F72" s="384">
        <v>2932740</v>
      </c>
      <c r="G72" s="382">
        <v>0</v>
      </c>
      <c r="H72" s="385">
        <f t="shared" si="0"/>
        <v>204746945</v>
      </c>
      <c r="I72" s="385">
        <f t="shared" si="1"/>
        <v>0</v>
      </c>
      <c r="J72" s="18">
        <v>1</v>
      </c>
    </row>
    <row r="73" spans="1:10" s="18" customFormat="1" ht="18" customHeight="1">
      <c r="A73" s="318">
        <v>42400</v>
      </c>
      <c r="B73" s="318" t="s">
        <v>570</v>
      </c>
      <c r="C73" s="318">
        <v>42395</v>
      </c>
      <c r="D73" s="383" t="s">
        <v>633</v>
      </c>
      <c r="E73" s="318" t="s">
        <v>8</v>
      </c>
      <c r="F73" s="384">
        <v>2899150</v>
      </c>
      <c r="G73" s="382">
        <v>0</v>
      </c>
      <c r="H73" s="385">
        <f t="shared" si="0"/>
        <v>207646095</v>
      </c>
      <c r="I73" s="385">
        <f t="shared" si="1"/>
        <v>0</v>
      </c>
      <c r="J73" s="18">
        <v>1</v>
      </c>
    </row>
    <row r="74" spans="1:10" s="18" customFormat="1" ht="18" customHeight="1">
      <c r="A74" s="318">
        <v>42405</v>
      </c>
      <c r="B74" s="318" t="s">
        <v>570</v>
      </c>
      <c r="C74" s="318">
        <v>42405</v>
      </c>
      <c r="D74" s="383" t="s">
        <v>1046</v>
      </c>
      <c r="E74" s="318" t="s">
        <v>576</v>
      </c>
      <c r="F74" s="384">
        <v>238957</v>
      </c>
      <c r="G74" s="382">
        <v>0</v>
      </c>
      <c r="H74" s="385">
        <f t="shared" si="0"/>
        <v>207885052</v>
      </c>
      <c r="I74" s="385">
        <f t="shared" si="1"/>
        <v>0</v>
      </c>
      <c r="J74" s="18">
        <v>2</v>
      </c>
    </row>
    <row r="75" spans="1:10" s="18" customFormat="1" ht="18" customHeight="1">
      <c r="A75" s="318">
        <v>42429</v>
      </c>
      <c r="B75" s="318" t="s">
        <v>570</v>
      </c>
      <c r="C75" s="318">
        <v>42429</v>
      </c>
      <c r="D75" s="383" t="s">
        <v>625</v>
      </c>
      <c r="E75" s="318" t="s">
        <v>8</v>
      </c>
      <c r="F75" s="384">
        <v>200000</v>
      </c>
      <c r="G75" s="382">
        <v>0</v>
      </c>
      <c r="H75" s="385">
        <f t="shared" si="0"/>
        <v>208085052</v>
      </c>
      <c r="I75" s="385">
        <f t="shared" si="1"/>
        <v>0</v>
      </c>
      <c r="J75" s="18">
        <v>2</v>
      </c>
    </row>
    <row r="76" spans="1:10" s="18" customFormat="1" ht="18" customHeight="1">
      <c r="A76" s="318">
        <v>42429</v>
      </c>
      <c r="B76" s="318" t="s">
        <v>570</v>
      </c>
      <c r="C76" s="318">
        <v>42384</v>
      </c>
      <c r="D76" s="383" t="s">
        <v>1071</v>
      </c>
      <c r="E76" s="318" t="s">
        <v>8</v>
      </c>
      <c r="F76" s="384">
        <v>12498182</v>
      </c>
      <c r="G76" s="382">
        <v>0</v>
      </c>
      <c r="H76" s="385">
        <f t="shared" si="0"/>
        <v>220583234</v>
      </c>
      <c r="I76" s="385">
        <f t="shared" si="1"/>
        <v>0</v>
      </c>
      <c r="J76" s="18">
        <v>2</v>
      </c>
    </row>
    <row r="77" spans="1:10" s="18" customFormat="1" ht="18" customHeight="1">
      <c r="A77" s="318">
        <v>42429</v>
      </c>
      <c r="B77" s="318" t="s">
        <v>570</v>
      </c>
      <c r="C77" s="318">
        <v>42406</v>
      </c>
      <c r="D77" s="383" t="s">
        <v>1065</v>
      </c>
      <c r="E77" s="318" t="s">
        <v>8</v>
      </c>
      <c r="F77" s="384">
        <v>2944200</v>
      </c>
      <c r="G77" s="382">
        <v>0</v>
      </c>
      <c r="H77" s="385">
        <f t="shared" si="0"/>
        <v>223527434</v>
      </c>
      <c r="I77" s="385">
        <f t="shared" si="1"/>
        <v>0</v>
      </c>
      <c r="J77" s="18">
        <v>2</v>
      </c>
    </row>
    <row r="78" spans="1:10" s="18" customFormat="1" ht="18" customHeight="1">
      <c r="A78" s="318">
        <v>42429</v>
      </c>
      <c r="B78" s="318" t="s">
        <v>570</v>
      </c>
      <c r="C78" s="318">
        <v>42426</v>
      </c>
      <c r="D78" s="383" t="s">
        <v>1069</v>
      </c>
      <c r="E78" s="318" t="s">
        <v>8</v>
      </c>
      <c r="F78" s="384">
        <v>2110280</v>
      </c>
      <c r="G78" s="382">
        <v>0</v>
      </c>
      <c r="H78" s="385">
        <f t="shared" si="0"/>
        <v>225637714</v>
      </c>
      <c r="I78" s="385">
        <f t="shared" si="1"/>
        <v>0</v>
      </c>
      <c r="J78" s="18">
        <v>2</v>
      </c>
    </row>
    <row r="79" spans="1:10" s="18" customFormat="1" ht="18" customHeight="1">
      <c r="A79" s="318">
        <v>42429</v>
      </c>
      <c r="B79" s="318" t="s">
        <v>878</v>
      </c>
      <c r="C79" s="318">
        <v>42416</v>
      </c>
      <c r="D79" s="383" t="s">
        <v>1067</v>
      </c>
      <c r="E79" s="318" t="s">
        <v>61</v>
      </c>
      <c r="F79" s="384">
        <v>1603810</v>
      </c>
      <c r="G79" s="382">
        <v>0</v>
      </c>
      <c r="H79" s="385">
        <f t="shared" si="0"/>
        <v>227241524</v>
      </c>
      <c r="I79" s="385">
        <f t="shared" si="1"/>
        <v>0</v>
      </c>
      <c r="J79" s="18">
        <v>2</v>
      </c>
    </row>
    <row r="80" spans="1:10" s="18" customFormat="1" ht="18" customHeight="1">
      <c r="A80" s="318">
        <v>42429</v>
      </c>
      <c r="B80" s="318" t="s">
        <v>570</v>
      </c>
      <c r="C80" s="318">
        <v>42407</v>
      </c>
      <c r="D80" s="383" t="s">
        <v>1063</v>
      </c>
      <c r="E80" s="318" t="s">
        <v>8</v>
      </c>
      <c r="F80" s="384">
        <v>531930</v>
      </c>
      <c r="G80" s="382">
        <v>0</v>
      </c>
      <c r="H80" s="385">
        <f t="shared" ref="H80:H143" si="2">IF(D80&lt;&gt;"",MAX(H79+F80-G80-I79,0),0)</f>
        <v>227773454</v>
      </c>
      <c r="I80" s="385">
        <f t="shared" ref="I80:I143" si="3">IF(D80&lt;&gt;"",MAX(I79+G80-H79-F80,0),0)</f>
        <v>0</v>
      </c>
      <c r="J80" s="18">
        <v>2</v>
      </c>
    </row>
    <row r="81" spans="1:10" s="18" customFormat="1" ht="18" customHeight="1">
      <c r="A81" s="318">
        <v>42418</v>
      </c>
      <c r="B81" s="318" t="s">
        <v>570</v>
      </c>
      <c r="C81" s="318">
        <v>42418</v>
      </c>
      <c r="D81" s="383" t="s">
        <v>1046</v>
      </c>
      <c r="E81" s="318" t="s">
        <v>576</v>
      </c>
      <c r="F81" s="384">
        <v>132878</v>
      </c>
      <c r="G81" s="382">
        <v>0</v>
      </c>
      <c r="H81" s="385">
        <f t="shared" si="2"/>
        <v>227906332</v>
      </c>
      <c r="I81" s="385">
        <f t="shared" si="3"/>
        <v>0</v>
      </c>
      <c r="J81" s="18">
        <v>2</v>
      </c>
    </row>
    <row r="82" spans="1:10" s="18" customFormat="1" ht="18" customHeight="1">
      <c r="A82" s="318">
        <v>42401</v>
      </c>
      <c r="B82" s="318" t="s">
        <v>851</v>
      </c>
      <c r="C82" s="318">
        <v>42384</v>
      </c>
      <c r="D82" s="383" t="s">
        <v>982</v>
      </c>
      <c r="E82" s="318" t="s">
        <v>61</v>
      </c>
      <c r="F82" s="384">
        <v>424375</v>
      </c>
      <c r="G82" s="382">
        <v>0</v>
      </c>
      <c r="H82" s="385">
        <f t="shared" si="2"/>
        <v>228330707</v>
      </c>
      <c r="I82" s="385">
        <f t="shared" si="3"/>
        <v>0</v>
      </c>
      <c r="J82" s="18">
        <v>2</v>
      </c>
    </row>
    <row r="83" spans="1:10" s="18" customFormat="1" ht="18" customHeight="1">
      <c r="A83" s="318">
        <v>42402</v>
      </c>
      <c r="B83" s="318" t="s">
        <v>854</v>
      </c>
      <c r="C83" s="318">
        <v>42402</v>
      </c>
      <c r="D83" s="383" t="s">
        <v>984</v>
      </c>
      <c r="E83" s="318" t="s">
        <v>61</v>
      </c>
      <c r="F83" s="384">
        <v>25000</v>
      </c>
      <c r="G83" s="382">
        <v>0</v>
      </c>
      <c r="H83" s="385">
        <f t="shared" si="2"/>
        <v>228355707</v>
      </c>
      <c r="I83" s="385">
        <f t="shared" si="3"/>
        <v>0</v>
      </c>
      <c r="J83" s="18">
        <v>2</v>
      </c>
    </row>
    <row r="84" spans="1:10" s="18" customFormat="1" ht="18" customHeight="1">
      <c r="A84" s="318">
        <v>42402</v>
      </c>
      <c r="B84" s="318" t="s">
        <v>690</v>
      </c>
      <c r="C84" s="318">
        <v>42402</v>
      </c>
      <c r="D84" s="383" t="s">
        <v>730</v>
      </c>
      <c r="E84" s="318" t="s">
        <v>25</v>
      </c>
      <c r="F84" s="384">
        <v>2500</v>
      </c>
      <c r="G84" s="382">
        <v>0</v>
      </c>
      <c r="H84" s="385">
        <f t="shared" si="2"/>
        <v>228358207</v>
      </c>
      <c r="I84" s="385">
        <f t="shared" si="3"/>
        <v>0</v>
      </c>
      <c r="J84" s="18">
        <v>2</v>
      </c>
    </row>
    <row r="85" spans="1:10" s="18" customFormat="1" ht="18" customHeight="1">
      <c r="A85" s="318">
        <v>42403</v>
      </c>
      <c r="B85" s="318" t="s">
        <v>855</v>
      </c>
      <c r="C85" s="318">
        <v>42403</v>
      </c>
      <c r="D85" s="383" t="s">
        <v>986</v>
      </c>
      <c r="E85" s="318" t="s">
        <v>61</v>
      </c>
      <c r="F85" s="384">
        <v>11229</v>
      </c>
      <c r="G85" s="382">
        <v>0</v>
      </c>
      <c r="H85" s="385">
        <f t="shared" si="2"/>
        <v>228369436</v>
      </c>
      <c r="I85" s="385">
        <f t="shared" si="3"/>
        <v>0</v>
      </c>
      <c r="J85" s="18">
        <v>2</v>
      </c>
    </row>
    <row r="86" spans="1:10" s="18" customFormat="1" ht="18" customHeight="1">
      <c r="A86" s="318">
        <v>42403</v>
      </c>
      <c r="B86" s="318" t="s">
        <v>856</v>
      </c>
      <c r="C86" s="318">
        <v>42403</v>
      </c>
      <c r="D86" s="383" t="s">
        <v>988</v>
      </c>
      <c r="E86" s="318" t="s">
        <v>61</v>
      </c>
      <c r="F86" s="384">
        <v>66027</v>
      </c>
      <c r="G86" s="382">
        <v>0</v>
      </c>
      <c r="H86" s="385">
        <f t="shared" si="2"/>
        <v>228435463</v>
      </c>
      <c r="I86" s="385">
        <f t="shared" si="3"/>
        <v>0</v>
      </c>
      <c r="J86" s="18">
        <v>2</v>
      </c>
    </row>
    <row r="87" spans="1:10" s="18" customFormat="1" ht="18" customHeight="1">
      <c r="A87" s="318">
        <v>42403</v>
      </c>
      <c r="B87" s="318" t="s">
        <v>570</v>
      </c>
      <c r="C87" s="318">
        <v>42403</v>
      </c>
      <c r="D87" s="383" t="s">
        <v>1051</v>
      </c>
      <c r="E87" s="318" t="s">
        <v>576</v>
      </c>
      <c r="F87" s="384">
        <v>120595</v>
      </c>
      <c r="G87" s="382">
        <v>0</v>
      </c>
      <c r="H87" s="385">
        <f t="shared" si="2"/>
        <v>228556058</v>
      </c>
      <c r="I87" s="385">
        <f t="shared" si="3"/>
        <v>0</v>
      </c>
      <c r="J87" s="18">
        <v>2</v>
      </c>
    </row>
    <row r="88" spans="1:10" s="18" customFormat="1" ht="18" customHeight="1">
      <c r="A88" s="318">
        <v>42403</v>
      </c>
      <c r="B88" s="318" t="s">
        <v>690</v>
      </c>
      <c r="C88" s="318">
        <v>42403</v>
      </c>
      <c r="D88" s="383" t="s">
        <v>730</v>
      </c>
      <c r="E88" s="318" t="s">
        <v>25</v>
      </c>
      <c r="F88" s="384">
        <v>5000</v>
      </c>
      <c r="G88" s="382">
        <v>0</v>
      </c>
      <c r="H88" s="385">
        <f t="shared" si="2"/>
        <v>228561058</v>
      </c>
      <c r="I88" s="385">
        <f t="shared" si="3"/>
        <v>0</v>
      </c>
      <c r="J88" s="18">
        <v>2</v>
      </c>
    </row>
    <row r="89" spans="1:10" s="18" customFormat="1" ht="18" customHeight="1">
      <c r="A89" s="318">
        <v>42403</v>
      </c>
      <c r="B89" s="318" t="s">
        <v>690</v>
      </c>
      <c r="C89" s="318">
        <v>42403</v>
      </c>
      <c r="D89" s="383" t="s">
        <v>730</v>
      </c>
      <c r="E89" s="318" t="s">
        <v>25</v>
      </c>
      <c r="F89" s="384">
        <v>2000</v>
      </c>
      <c r="G89" s="382">
        <v>0</v>
      </c>
      <c r="H89" s="385">
        <f t="shared" si="2"/>
        <v>228563058</v>
      </c>
      <c r="I89" s="385">
        <f t="shared" si="3"/>
        <v>0</v>
      </c>
      <c r="J89" s="18">
        <v>2</v>
      </c>
    </row>
    <row r="90" spans="1:10" s="18" customFormat="1" ht="18" customHeight="1">
      <c r="A90" s="318">
        <v>42403</v>
      </c>
      <c r="B90" s="318" t="s">
        <v>690</v>
      </c>
      <c r="C90" s="318">
        <v>42403</v>
      </c>
      <c r="D90" s="383" t="s">
        <v>730</v>
      </c>
      <c r="E90" s="318" t="s">
        <v>25</v>
      </c>
      <c r="F90" s="384">
        <v>3000</v>
      </c>
      <c r="G90" s="382">
        <v>0</v>
      </c>
      <c r="H90" s="385">
        <f t="shared" si="2"/>
        <v>228566058</v>
      </c>
      <c r="I90" s="385">
        <f t="shared" si="3"/>
        <v>0</v>
      </c>
      <c r="J90" s="18">
        <v>2</v>
      </c>
    </row>
    <row r="91" spans="1:10" s="18" customFormat="1" ht="18" customHeight="1">
      <c r="A91" s="318">
        <v>42403</v>
      </c>
      <c r="B91" s="318" t="s">
        <v>690</v>
      </c>
      <c r="C91" s="318">
        <v>42403</v>
      </c>
      <c r="D91" s="383" t="s">
        <v>730</v>
      </c>
      <c r="E91" s="318" t="s">
        <v>25</v>
      </c>
      <c r="F91" s="384">
        <v>2500</v>
      </c>
      <c r="G91" s="382">
        <v>0</v>
      </c>
      <c r="H91" s="385">
        <f t="shared" si="2"/>
        <v>228568558</v>
      </c>
      <c r="I91" s="385">
        <f t="shared" si="3"/>
        <v>0</v>
      </c>
      <c r="J91" s="18">
        <v>2</v>
      </c>
    </row>
    <row r="92" spans="1:10" s="18" customFormat="1" ht="18" customHeight="1">
      <c r="A92" s="318">
        <v>42404</v>
      </c>
      <c r="B92" s="318" t="s">
        <v>858</v>
      </c>
      <c r="C92" s="318">
        <v>42404</v>
      </c>
      <c r="D92" s="383" t="s">
        <v>757</v>
      </c>
      <c r="E92" s="318" t="s">
        <v>61</v>
      </c>
      <c r="F92" s="384">
        <v>45287</v>
      </c>
      <c r="G92" s="382">
        <v>0</v>
      </c>
      <c r="H92" s="385">
        <f t="shared" si="2"/>
        <v>228613845</v>
      </c>
      <c r="I92" s="385">
        <f t="shared" si="3"/>
        <v>0</v>
      </c>
      <c r="J92" s="18">
        <v>2</v>
      </c>
    </row>
    <row r="93" spans="1:10" s="18" customFormat="1" ht="18" customHeight="1">
      <c r="A93" s="318">
        <v>42406</v>
      </c>
      <c r="B93" s="318" t="s">
        <v>859</v>
      </c>
      <c r="C93" s="318">
        <v>42406</v>
      </c>
      <c r="D93" s="383" t="s">
        <v>988</v>
      </c>
      <c r="E93" s="318" t="s">
        <v>61</v>
      </c>
      <c r="F93" s="384">
        <v>79852</v>
      </c>
      <c r="G93" s="382">
        <v>0</v>
      </c>
      <c r="H93" s="385">
        <f t="shared" si="2"/>
        <v>228693697</v>
      </c>
      <c r="I93" s="385">
        <f t="shared" si="3"/>
        <v>0</v>
      </c>
      <c r="J93" s="18">
        <v>2</v>
      </c>
    </row>
    <row r="94" spans="1:10" s="18" customFormat="1" ht="18" customHeight="1">
      <c r="A94" s="318">
        <v>42415</v>
      </c>
      <c r="B94" s="318" t="s">
        <v>690</v>
      </c>
      <c r="C94" s="318">
        <v>42415</v>
      </c>
      <c r="D94" s="383" t="s">
        <v>746</v>
      </c>
      <c r="E94" s="318" t="s">
        <v>25</v>
      </c>
      <c r="F94" s="384">
        <v>5000</v>
      </c>
      <c r="G94" s="382">
        <v>0</v>
      </c>
      <c r="H94" s="385">
        <f t="shared" si="2"/>
        <v>228698697</v>
      </c>
      <c r="I94" s="385">
        <f t="shared" si="3"/>
        <v>0</v>
      </c>
      <c r="J94" s="18">
        <v>2</v>
      </c>
    </row>
    <row r="95" spans="1:10" s="18" customFormat="1" ht="18" customHeight="1">
      <c r="A95" s="318">
        <v>42415</v>
      </c>
      <c r="B95" s="318" t="s">
        <v>690</v>
      </c>
      <c r="C95" s="318">
        <v>42415</v>
      </c>
      <c r="D95" s="383" t="s">
        <v>746</v>
      </c>
      <c r="E95" s="318" t="s">
        <v>25</v>
      </c>
      <c r="F95" s="384">
        <v>5000</v>
      </c>
      <c r="G95" s="382">
        <v>0</v>
      </c>
      <c r="H95" s="385">
        <f t="shared" si="2"/>
        <v>228703697</v>
      </c>
      <c r="I95" s="385">
        <f t="shared" si="3"/>
        <v>0</v>
      </c>
      <c r="J95" s="18">
        <v>2</v>
      </c>
    </row>
    <row r="96" spans="1:10" s="18" customFormat="1" ht="18" customHeight="1">
      <c r="A96" s="318">
        <v>42418</v>
      </c>
      <c r="B96" s="318" t="s">
        <v>862</v>
      </c>
      <c r="C96" s="318">
        <v>42418</v>
      </c>
      <c r="D96" s="383" t="s">
        <v>988</v>
      </c>
      <c r="E96" s="318" t="s">
        <v>61</v>
      </c>
      <c r="F96" s="384">
        <v>60239</v>
      </c>
      <c r="G96" s="382">
        <v>0</v>
      </c>
      <c r="H96" s="385">
        <f t="shared" si="2"/>
        <v>228763936</v>
      </c>
      <c r="I96" s="385">
        <f t="shared" si="3"/>
        <v>0</v>
      </c>
      <c r="J96" s="18">
        <v>2</v>
      </c>
    </row>
    <row r="97" spans="1:10" s="18" customFormat="1" ht="18" customHeight="1">
      <c r="A97" s="318">
        <v>42418</v>
      </c>
      <c r="B97" s="318" t="s">
        <v>863</v>
      </c>
      <c r="C97" s="318">
        <v>42418</v>
      </c>
      <c r="D97" s="383" t="s">
        <v>986</v>
      </c>
      <c r="E97" s="318" t="s">
        <v>61</v>
      </c>
      <c r="F97" s="384">
        <v>10698</v>
      </c>
      <c r="G97" s="382">
        <v>0</v>
      </c>
      <c r="H97" s="385">
        <f t="shared" si="2"/>
        <v>228774634</v>
      </c>
      <c r="I97" s="385">
        <f t="shared" si="3"/>
        <v>0</v>
      </c>
      <c r="J97" s="18">
        <v>2</v>
      </c>
    </row>
    <row r="98" spans="1:10" s="18" customFormat="1" ht="18" customHeight="1">
      <c r="A98" s="318">
        <v>42419</v>
      </c>
      <c r="B98" s="318" t="s">
        <v>864</v>
      </c>
      <c r="C98" s="318">
        <v>42419</v>
      </c>
      <c r="D98" s="383" t="s">
        <v>990</v>
      </c>
      <c r="E98" s="318" t="s">
        <v>61</v>
      </c>
      <c r="F98" s="384">
        <v>270263</v>
      </c>
      <c r="G98" s="382">
        <v>0</v>
      </c>
      <c r="H98" s="385">
        <f t="shared" si="2"/>
        <v>229044897</v>
      </c>
      <c r="I98" s="385">
        <f t="shared" si="3"/>
        <v>0</v>
      </c>
      <c r="J98" s="18">
        <v>2</v>
      </c>
    </row>
    <row r="99" spans="1:10" s="18" customFormat="1" ht="18" customHeight="1">
      <c r="A99" s="318">
        <v>42420</v>
      </c>
      <c r="B99" s="318" t="s">
        <v>570</v>
      </c>
      <c r="C99" s="318">
        <v>42420</v>
      </c>
      <c r="D99" s="383" t="s">
        <v>1053</v>
      </c>
      <c r="E99" s="318" t="s">
        <v>576</v>
      </c>
      <c r="F99" s="384">
        <v>345007</v>
      </c>
      <c r="G99" s="382">
        <v>0</v>
      </c>
      <c r="H99" s="385">
        <f t="shared" si="2"/>
        <v>229389904</v>
      </c>
      <c r="I99" s="385">
        <f t="shared" si="3"/>
        <v>0</v>
      </c>
      <c r="J99" s="18">
        <v>2</v>
      </c>
    </row>
    <row r="100" spans="1:10" s="18" customFormat="1" ht="18" customHeight="1">
      <c r="A100" s="318">
        <v>42422</v>
      </c>
      <c r="B100" s="318" t="s">
        <v>865</v>
      </c>
      <c r="C100" s="318">
        <v>42422</v>
      </c>
      <c r="D100" s="383" t="s">
        <v>988</v>
      </c>
      <c r="E100" s="318" t="s">
        <v>61</v>
      </c>
      <c r="F100" s="384">
        <v>53859</v>
      </c>
      <c r="G100" s="382">
        <v>0</v>
      </c>
      <c r="H100" s="385">
        <f t="shared" si="2"/>
        <v>229443763</v>
      </c>
      <c r="I100" s="385">
        <f t="shared" si="3"/>
        <v>0</v>
      </c>
      <c r="J100" s="18">
        <v>2</v>
      </c>
    </row>
    <row r="101" spans="1:10" s="18" customFormat="1" ht="18" customHeight="1">
      <c r="A101" s="318">
        <v>42424</v>
      </c>
      <c r="B101" s="318" t="s">
        <v>868</v>
      </c>
      <c r="C101" s="318">
        <v>42424</v>
      </c>
      <c r="D101" s="383" t="s">
        <v>757</v>
      </c>
      <c r="E101" s="318" t="s">
        <v>61</v>
      </c>
      <c r="F101" s="384">
        <v>31353</v>
      </c>
      <c r="G101" s="382">
        <v>0</v>
      </c>
      <c r="H101" s="385">
        <f t="shared" si="2"/>
        <v>229475116</v>
      </c>
      <c r="I101" s="385">
        <f t="shared" si="3"/>
        <v>0</v>
      </c>
      <c r="J101" s="18">
        <v>2</v>
      </c>
    </row>
    <row r="102" spans="1:10" s="18" customFormat="1" ht="18" customHeight="1">
      <c r="A102" s="318">
        <v>42424</v>
      </c>
      <c r="B102" s="318" t="s">
        <v>690</v>
      </c>
      <c r="C102" s="318">
        <v>42424</v>
      </c>
      <c r="D102" s="383" t="s">
        <v>730</v>
      </c>
      <c r="E102" s="318" t="s">
        <v>25</v>
      </c>
      <c r="F102" s="384">
        <v>4500</v>
      </c>
      <c r="G102" s="382">
        <v>0</v>
      </c>
      <c r="H102" s="385">
        <f t="shared" si="2"/>
        <v>229479616</v>
      </c>
      <c r="I102" s="385">
        <f t="shared" si="3"/>
        <v>0</v>
      </c>
      <c r="J102" s="18">
        <v>2</v>
      </c>
    </row>
    <row r="103" spans="1:10" s="18" customFormat="1" ht="18" customHeight="1">
      <c r="A103" s="318">
        <v>42425</v>
      </c>
      <c r="B103" s="318" t="s">
        <v>870</v>
      </c>
      <c r="C103" s="318">
        <v>42425</v>
      </c>
      <c r="D103" s="383" t="s">
        <v>993</v>
      </c>
      <c r="E103" s="318" t="s">
        <v>61</v>
      </c>
      <c r="F103" s="384">
        <v>1500000</v>
      </c>
      <c r="G103" s="382">
        <v>0</v>
      </c>
      <c r="H103" s="385">
        <f t="shared" si="2"/>
        <v>230979616</v>
      </c>
      <c r="I103" s="385">
        <f t="shared" si="3"/>
        <v>0</v>
      </c>
      <c r="J103" s="18">
        <v>2</v>
      </c>
    </row>
    <row r="104" spans="1:10" s="18" customFormat="1" ht="18" customHeight="1">
      <c r="A104" s="318">
        <v>42426</v>
      </c>
      <c r="B104" s="318" t="s">
        <v>871</v>
      </c>
      <c r="C104" s="318">
        <v>42426</v>
      </c>
      <c r="D104" s="383" t="s">
        <v>995</v>
      </c>
      <c r="E104" s="318" t="s">
        <v>61</v>
      </c>
      <c r="F104" s="384">
        <v>822727</v>
      </c>
      <c r="G104" s="382">
        <v>0</v>
      </c>
      <c r="H104" s="385">
        <f t="shared" si="2"/>
        <v>231802343</v>
      </c>
      <c r="I104" s="385">
        <f t="shared" si="3"/>
        <v>0</v>
      </c>
      <c r="J104" s="18">
        <v>2</v>
      </c>
    </row>
    <row r="105" spans="1:10" s="18" customFormat="1" ht="18" customHeight="1">
      <c r="A105" s="318">
        <v>42427</v>
      </c>
      <c r="B105" s="318" t="s">
        <v>3013</v>
      </c>
      <c r="C105" s="318">
        <v>42427</v>
      </c>
      <c r="D105" s="383" t="s">
        <v>988</v>
      </c>
      <c r="E105" s="318" t="s">
        <v>61</v>
      </c>
      <c r="F105" s="384">
        <v>51232</v>
      </c>
      <c r="G105" s="382">
        <v>0</v>
      </c>
      <c r="H105" s="385">
        <f t="shared" si="2"/>
        <v>231853575</v>
      </c>
      <c r="I105" s="385">
        <f t="shared" si="3"/>
        <v>0</v>
      </c>
      <c r="J105" s="18">
        <v>2</v>
      </c>
    </row>
    <row r="106" spans="1:10" s="18" customFormat="1" ht="18" customHeight="1">
      <c r="A106" s="318">
        <v>42429</v>
      </c>
      <c r="B106" s="318" t="s">
        <v>873</v>
      </c>
      <c r="C106" s="318">
        <v>42429</v>
      </c>
      <c r="D106" s="383" t="s">
        <v>998</v>
      </c>
      <c r="E106" s="318" t="s">
        <v>61</v>
      </c>
      <c r="F106" s="384">
        <v>94591</v>
      </c>
      <c r="G106" s="382">
        <v>0</v>
      </c>
      <c r="H106" s="385">
        <f t="shared" si="2"/>
        <v>231948166</v>
      </c>
      <c r="I106" s="385">
        <f t="shared" si="3"/>
        <v>0</v>
      </c>
      <c r="J106" s="18">
        <v>2</v>
      </c>
    </row>
    <row r="107" spans="1:10" s="18" customFormat="1" ht="18" customHeight="1">
      <c r="A107" s="318">
        <v>42429</v>
      </c>
      <c r="B107" s="318" t="s">
        <v>875</v>
      </c>
      <c r="C107" s="318">
        <v>42429</v>
      </c>
      <c r="D107" s="383" t="s">
        <v>984</v>
      </c>
      <c r="E107" s="318" t="s">
        <v>61</v>
      </c>
      <c r="F107" s="384">
        <v>25000</v>
      </c>
      <c r="G107" s="382">
        <v>0</v>
      </c>
      <c r="H107" s="385">
        <f t="shared" si="2"/>
        <v>231973166</v>
      </c>
      <c r="I107" s="385">
        <f t="shared" si="3"/>
        <v>0</v>
      </c>
      <c r="J107" s="18">
        <v>2</v>
      </c>
    </row>
    <row r="108" spans="1:10" s="18" customFormat="1" ht="18" customHeight="1">
      <c r="A108" s="318">
        <v>42429</v>
      </c>
      <c r="B108" s="318" t="s">
        <v>876</v>
      </c>
      <c r="C108" s="318">
        <v>42429</v>
      </c>
      <c r="D108" s="383" t="s">
        <v>1000</v>
      </c>
      <c r="E108" s="318" t="s">
        <v>61</v>
      </c>
      <c r="F108" s="384">
        <v>146182</v>
      </c>
      <c r="G108" s="382">
        <v>0</v>
      </c>
      <c r="H108" s="385">
        <f t="shared" si="2"/>
        <v>232119348</v>
      </c>
      <c r="I108" s="385">
        <f t="shared" si="3"/>
        <v>0</v>
      </c>
      <c r="J108" s="18">
        <v>2</v>
      </c>
    </row>
    <row r="109" spans="1:10" s="18" customFormat="1" ht="18" customHeight="1">
      <c r="A109" s="318">
        <v>42431</v>
      </c>
      <c r="B109" s="318" t="s">
        <v>662</v>
      </c>
      <c r="C109" s="318">
        <v>42431</v>
      </c>
      <c r="D109" s="383" t="s">
        <v>637</v>
      </c>
      <c r="E109" s="318" t="s">
        <v>8</v>
      </c>
      <c r="F109" s="384">
        <v>1574250</v>
      </c>
      <c r="G109" s="382">
        <v>0</v>
      </c>
      <c r="H109" s="385">
        <f t="shared" si="2"/>
        <v>233693598</v>
      </c>
      <c r="I109" s="385">
        <f t="shared" si="3"/>
        <v>0</v>
      </c>
      <c r="J109" s="18">
        <v>3</v>
      </c>
    </row>
    <row r="110" spans="1:10" s="18" customFormat="1" ht="18" customHeight="1">
      <c r="A110" s="318">
        <v>42446</v>
      </c>
      <c r="B110" s="318" t="s">
        <v>664</v>
      </c>
      <c r="C110" s="318">
        <v>42446</v>
      </c>
      <c r="D110" s="383" t="s">
        <v>1161</v>
      </c>
      <c r="E110" s="318" t="s">
        <v>8</v>
      </c>
      <c r="F110" s="384">
        <v>510000</v>
      </c>
      <c r="G110" s="382">
        <v>0</v>
      </c>
      <c r="H110" s="385">
        <f t="shared" si="2"/>
        <v>234203598</v>
      </c>
      <c r="I110" s="385">
        <f t="shared" si="3"/>
        <v>0</v>
      </c>
      <c r="J110" s="18">
        <v>3</v>
      </c>
    </row>
    <row r="111" spans="1:10" s="18" customFormat="1" ht="18" customHeight="1">
      <c r="A111" s="318">
        <v>42437</v>
      </c>
      <c r="B111" s="318" t="s">
        <v>663</v>
      </c>
      <c r="C111" s="318">
        <v>42437</v>
      </c>
      <c r="D111" s="383" t="s">
        <v>634</v>
      </c>
      <c r="E111" s="318" t="s">
        <v>8</v>
      </c>
      <c r="F111" s="384">
        <v>704762</v>
      </c>
      <c r="G111" s="382">
        <v>0</v>
      </c>
      <c r="H111" s="385">
        <f t="shared" si="2"/>
        <v>234908360</v>
      </c>
      <c r="I111" s="385">
        <f t="shared" si="3"/>
        <v>0</v>
      </c>
      <c r="J111" s="18">
        <v>3</v>
      </c>
    </row>
    <row r="112" spans="1:10" s="18" customFormat="1" ht="18" customHeight="1">
      <c r="A112" s="318">
        <v>42459</v>
      </c>
      <c r="B112" s="318" t="s">
        <v>666</v>
      </c>
      <c r="C112" s="318">
        <v>42459</v>
      </c>
      <c r="D112" s="383" t="s">
        <v>1335</v>
      </c>
      <c r="E112" s="318" t="s">
        <v>8</v>
      </c>
      <c r="F112" s="384">
        <v>828636</v>
      </c>
      <c r="G112" s="382">
        <v>0</v>
      </c>
      <c r="H112" s="385">
        <f t="shared" si="2"/>
        <v>235736996</v>
      </c>
      <c r="I112" s="385">
        <f t="shared" si="3"/>
        <v>0</v>
      </c>
      <c r="J112" s="18">
        <v>3</v>
      </c>
    </row>
    <row r="113" spans="1:10" s="18" customFormat="1" ht="18" customHeight="1">
      <c r="A113" s="318">
        <v>42457</v>
      </c>
      <c r="B113" s="318" t="s">
        <v>665</v>
      </c>
      <c r="C113" s="318">
        <v>42457</v>
      </c>
      <c r="D113" s="383" t="s">
        <v>634</v>
      </c>
      <c r="E113" s="318" t="s">
        <v>8</v>
      </c>
      <c r="F113" s="384">
        <v>704762</v>
      </c>
      <c r="G113" s="382">
        <v>0</v>
      </c>
      <c r="H113" s="385">
        <f t="shared" si="2"/>
        <v>236441758</v>
      </c>
      <c r="I113" s="385">
        <f t="shared" si="3"/>
        <v>0</v>
      </c>
      <c r="J113" s="18">
        <v>3</v>
      </c>
    </row>
    <row r="114" spans="1:10" s="18" customFormat="1" ht="18" customHeight="1">
      <c r="A114" s="318">
        <v>42460</v>
      </c>
      <c r="B114" s="318" t="s">
        <v>570</v>
      </c>
      <c r="C114" s="318">
        <v>42447</v>
      </c>
      <c r="D114" s="383" t="s">
        <v>1153</v>
      </c>
      <c r="E114" s="318" t="s">
        <v>8</v>
      </c>
      <c r="F114" s="384">
        <v>3354545</v>
      </c>
      <c r="G114" s="382">
        <v>0</v>
      </c>
      <c r="H114" s="385">
        <f t="shared" si="2"/>
        <v>239796303</v>
      </c>
      <c r="I114" s="385">
        <f t="shared" si="3"/>
        <v>0</v>
      </c>
      <c r="J114" s="18">
        <v>3</v>
      </c>
    </row>
    <row r="115" spans="1:10" s="18" customFormat="1" ht="18" customHeight="1">
      <c r="A115" s="318">
        <v>42460</v>
      </c>
      <c r="B115" s="318" t="s">
        <v>570</v>
      </c>
      <c r="C115" s="318">
        <v>42445</v>
      </c>
      <c r="D115" s="383" t="s">
        <v>1117</v>
      </c>
      <c r="E115" s="318" t="s">
        <v>8</v>
      </c>
      <c r="F115" s="384">
        <v>521920</v>
      </c>
      <c r="G115" s="382">
        <v>0</v>
      </c>
      <c r="H115" s="385">
        <f t="shared" si="2"/>
        <v>240318223</v>
      </c>
      <c r="I115" s="385">
        <f t="shared" si="3"/>
        <v>0</v>
      </c>
      <c r="J115" s="18">
        <v>3</v>
      </c>
    </row>
    <row r="116" spans="1:10" s="18" customFormat="1" ht="18" customHeight="1">
      <c r="A116" s="318">
        <v>42460</v>
      </c>
      <c r="B116" s="318" t="s">
        <v>570</v>
      </c>
      <c r="C116" s="318">
        <v>42426</v>
      </c>
      <c r="D116" s="383" t="s">
        <v>1128</v>
      </c>
      <c r="E116" s="318" t="s">
        <v>8</v>
      </c>
      <c r="F116" s="384">
        <v>23635</v>
      </c>
      <c r="G116" s="382">
        <v>0</v>
      </c>
      <c r="H116" s="385">
        <f t="shared" si="2"/>
        <v>240341858</v>
      </c>
      <c r="I116" s="385">
        <f t="shared" si="3"/>
        <v>0</v>
      </c>
      <c r="J116" s="18">
        <v>3</v>
      </c>
    </row>
    <row r="117" spans="1:10" s="18" customFormat="1" ht="18" customHeight="1">
      <c r="A117" s="318">
        <v>42460</v>
      </c>
      <c r="B117" s="318" t="s">
        <v>570</v>
      </c>
      <c r="C117" s="318">
        <v>42436</v>
      </c>
      <c r="D117" s="383" t="s">
        <v>1147</v>
      </c>
      <c r="E117" s="318" t="s">
        <v>8</v>
      </c>
      <c r="F117" s="384">
        <v>2068130</v>
      </c>
      <c r="G117" s="382">
        <v>0</v>
      </c>
      <c r="H117" s="385">
        <f t="shared" si="2"/>
        <v>242409988</v>
      </c>
      <c r="I117" s="385">
        <f t="shared" si="3"/>
        <v>0</v>
      </c>
      <c r="J117" s="18">
        <v>3</v>
      </c>
    </row>
    <row r="118" spans="1:10" s="18" customFormat="1" ht="18" customHeight="1">
      <c r="A118" s="318">
        <v>42460</v>
      </c>
      <c r="B118" s="318" t="s">
        <v>570</v>
      </c>
      <c r="C118" s="318">
        <v>42445</v>
      </c>
      <c r="D118" s="383" t="s">
        <v>1149</v>
      </c>
      <c r="E118" s="318" t="s">
        <v>8</v>
      </c>
      <c r="F118" s="384">
        <v>2126920</v>
      </c>
      <c r="G118" s="382">
        <v>0</v>
      </c>
      <c r="H118" s="385">
        <f t="shared" si="2"/>
        <v>244536908</v>
      </c>
      <c r="I118" s="385">
        <f t="shared" si="3"/>
        <v>0</v>
      </c>
      <c r="J118" s="18">
        <v>3</v>
      </c>
    </row>
    <row r="119" spans="1:10" s="18" customFormat="1" ht="18" customHeight="1">
      <c r="A119" s="318">
        <v>42460</v>
      </c>
      <c r="B119" s="318" t="s">
        <v>570</v>
      </c>
      <c r="C119" s="318">
        <v>42455</v>
      </c>
      <c r="D119" s="383" t="s">
        <v>1151</v>
      </c>
      <c r="E119" s="318" t="s">
        <v>8</v>
      </c>
      <c r="F119" s="384">
        <v>2016960</v>
      </c>
      <c r="G119" s="382">
        <v>0</v>
      </c>
      <c r="H119" s="385">
        <f t="shared" si="2"/>
        <v>246553868</v>
      </c>
      <c r="I119" s="385">
        <f t="shared" si="3"/>
        <v>0</v>
      </c>
      <c r="J119" s="18">
        <v>3</v>
      </c>
    </row>
    <row r="120" spans="1:10" s="18" customFormat="1" ht="18" customHeight="1">
      <c r="A120" s="318">
        <v>42430</v>
      </c>
      <c r="B120" s="318" t="s">
        <v>853</v>
      </c>
      <c r="C120" s="318">
        <v>42397</v>
      </c>
      <c r="D120" s="383" t="s">
        <v>1363</v>
      </c>
      <c r="E120" s="318" t="s">
        <v>61</v>
      </c>
      <c r="F120" s="384">
        <v>1078675</v>
      </c>
      <c r="G120" s="382">
        <v>0</v>
      </c>
      <c r="H120" s="385">
        <f t="shared" si="2"/>
        <v>247632543</v>
      </c>
      <c r="I120" s="385">
        <f t="shared" si="3"/>
        <v>0</v>
      </c>
      <c r="J120" s="18">
        <v>3</v>
      </c>
    </row>
    <row r="121" spans="1:10" s="18" customFormat="1" ht="18" customHeight="1">
      <c r="A121" s="318">
        <v>42431</v>
      </c>
      <c r="B121" s="318" t="s">
        <v>864</v>
      </c>
      <c r="C121" s="318">
        <v>42429</v>
      </c>
      <c r="D121" s="383" t="s">
        <v>1363</v>
      </c>
      <c r="E121" s="318" t="s">
        <v>61</v>
      </c>
      <c r="F121" s="384">
        <v>1017425</v>
      </c>
      <c r="G121" s="382">
        <v>0</v>
      </c>
      <c r="H121" s="385">
        <f t="shared" si="2"/>
        <v>248649968</v>
      </c>
      <c r="I121" s="385">
        <f t="shared" si="3"/>
        <v>0</v>
      </c>
      <c r="J121" s="18">
        <v>3</v>
      </c>
    </row>
    <row r="122" spans="1:10" s="18" customFormat="1" ht="18" customHeight="1">
      <c r="A122" s="318">
        <v>42430</v>
      </c>
      <c r="B122" s="318" t="s">
        <v>851</v>
      </c>
      <c r="C122" s="318">
        <v>42400</v>
      </c>
      <c r="D122" s="383" t="s">
        <v>1165</v>
      </c>
      <c r="E122" s="318" t="s">
        <v>61</v>
      </c>
      <c r="F122" s="384">
        <v>8071</v>
      </c>
      <c r="G122" s="382">
        <v>0</v>
      </c>
      <c r="H122" s="385">
        <f t="shared" si="2"/>
        <v>248658039</v>
      </c>
      <c r="I122" s="385">
        <f t="shared" si="3"/>
        <v>0</v>
      </c>
      <c r="J122" s="18">
        <v>3</v>
      </c>
    </row>
    <row r="123" spans="1:10" s="18" customFormat="1" ht="18" customHeight="1">
      <c r="A123" s="318">
        <v>42430</v>
      </c>
      <c r="B123" s="318" t="s">
        <v>852</v>
      </c>
      <c r="C123" s="318">
        <v>42395</v>
      </c>
      <c r="D123" s="383" t="s">
        <v>1353</v>
      </c>
      <c r="E123" s="318" t="s">
        <v>61</v>
      </c>
      <c r="F123" s="384">
        <v>73182</v>
      </c>
      <c r="G123" s="382">
        <v>0</v>
      </c>
      <c r="H123" s="385">
        <f t="shared" si="2"/>
        <v>248731221</v>
      </c>
      <c r="I123" s="385">
        <f t="shared" si="3"/>
        <v>0</v>
      </c>
      <c r="J123" s="18">
        <v>3</v>
      </c>
    </row>
    <row r="124" spans="1:10" s="18" customFormat="1" ht="18" customHeight="1">
      <c r="A124" s="318">
        <v>42430</v>
      </c>
      <c r="B124" s="318" t="s">
        <v>854</v>
      </c>
      <c r="C124" s="318">
        <v>42372</v>
      </c>
      <c r="D124" s="383" t="s">
        <v>1133</v>
      </c>
      <c r="E124" s="318" t="s">
        <v>61</v>
      </c>
      <c r="F124" s="384">
        <v>1727250</v>
      </c>
      <c r="G124" s="382">
        <v>0</v>
      </c>
      <c r="H124" s="385">
        <f t="shared" si="2"/>
        <v>250458471</v>
      </c>
      <c r="I124" s="385">
        <f t="shared" si="3"/>
        <v>0</v>
      </c>
      <c r="J124" s="18">
        <v>3</v>
      </c>
    </row>
    <row r="125" spans="1:10" s="18" customFormat="1" ht="18" customHeight="1">
      <c r="A125" s="318">
        <v>42430</v>
      </c>
      <c r="B125" s="318" t="s">
        <v>855</v>
      </c>
      <c r="C125" s="318">
        <v>42416</v>
      </c>
      <c r="D125" s="383" t="s">
        <v>755</v>
      </c>
      <c r="E125" s="318" t="s">
        <v>61</v>
      </c>
      <c r="F125" s="384">
        <v>1200000</v>
      </c>
      <c r="G125" s="382">
        <v>0</v>
      </c>
      <c r="H125" s="385">
        <f t="shared" si="2"/>
        <v>251658471</v>
      </c>
      <c r="I125" s="385">
        <f t="shared" si="3"/>
        <v>0</v>
      </c>
      <c r="J125" s="18">
        <v>3</v>
      </c>
    </row>
    <row r="126" spans="1:10" s="18" customFormat="1" ht="18" customHeight="1">
      <c r="A126" s="318">
        <v>42430</v>
      </c>
      <c r="B126" s="318" t="s">
        <v>858</v>
      </c>
      <c r="C126" s="318">
        <v>42430</v>
      </c>
      <c r="D126" s="383" t="s">
        <v>757</v>
      </c>
      <c r="E126" s="318" t="s">
        <v>61</v>
      </c>
      <c r="F126" s="384">
        <v>43545</v>
      </c>
      <c r="G126" s="382">
        <v>0</v>
      </c>
      <c r="H126" s="385">
        <f t="shared" si="2"/>
        <v>251702016</v>
      </c>
      <c r="I126" s="385">
        <f t="shared" si="3"/>
        <v>0</v>
      </c>
      <c r="J126" s="18">
        <v>3</v>
      </c>
    </row>
    <row r="127" spans="1:10" s="18" customFormat="1" ht="18" customHeight="1">
      <c r="A127" s="318">
        <v>42430</v>
      </c>
      <c r="B127" s="318" t="s">
        <v>859</v>
      </c>
      <c r="C127" s="318">
        <v>42430</v>
      </c>
      <c r="D127" s="383" t="s">
        <v>1092</v>
      </c>
      <c r="E127" s="318" t="s">
        <v>61</v>
      </c>
      <c r="F127" s="384">
        <v>169750</v>
      </c>
      <c r="G127" s="382">
        <v>0</v>
      </c>
      <c r="H127" s="385">
        <f t="shared" si="2"/>
        <v>251871766</v>
      </c>
      <c r="I127" s="385">
        <f t="shared" si="3"/>
        <v>0</v>
      </c>
      <c r="J127" s="18">
        <v>3</v>
      </c>
    </row>
    <row r="128" spans="1:10" s="18" customFormat="1" ht="18" customHeight="1">
      <c r="A128" s="318">
        <v>42430</v>
      </c>
      <c r="B128" s="318" t="s">
        <v>690</v>
      </c>
      <c r="C128" s="318">
        <v>42430</v>
      </c>
      <c r="D128" s="383" t="s">
        <v>1180</v>
      </c>
      <c r="E128" s="318" t="s">
        <v>25</v>
      </c>
      <c r="F128" s="384">
        <v>4500</v>
      </c>
      <c r="G128" s="382">
        <v>0</v>
      </c>
      <c r="H128" s="385">
        <f t="shared" si="2"/>
        <v>251876266</v>
      </c>
      <c r="I128" s="385">
        <f t="shared" si="3"/>
        <v>0</v>
      </c>
      <c r="J128" s="18">
        <v>3</v>
      </c>
    </row>
    <row r="129" spans="1:10" s="18" customFormat="1" ht="18" customHeight="1">
      <c r="A129" s="318">
        <v>42431</v>
      </c>
      <c r="B129" s="318" t="s">
        <v>861</v>
      </c>
      <c r="C129" s="318">
        <v>42373</v>
      </c>
      <c r="D129" s="383" t="s">
        <v>1133</v>
      </c>
      <c r="E129" s="318" t="s">
        <v>61</v>
      </c>
      <c r="F129" s="384">
        <v>1682250</v>
      </c>
      <c r="G129" s="382">
        <v>0</v>
      </c>
      <c r="H129" s="385">
        <f t="shared" si="2"/>
        <v>253558516</v>
      </c>
      <c r="I129" s="385">
        <f t="shared" si="3"/>
        <v>0</v>
      </c>
      <c r="J129" s="18">
        <v>3</v>
      </c>
    </row>
    <row r="130" spans="1:10" s="18" customFormat="1" ht="18" customHeight="1">
      <c r="A130" s="318">
        <v>42431</v>
      </c>
      <c r="B130" s="318" t="s">
        <v>862</v>
      </c>
      <c r="C130" s="318">
        <v>42375</v>
      </c>
      <c r="D130" s="383" t="s">
        <v>1138</v>
      </c>
      <c r="E130" s="318" t="s">
        <v>61</v>
      </c>
      <c r="F130" s="384">
        <v>1809192</v>
      </c>
      <c r="G130" s="382">
        <v>0</v>
      </c>
      <c r="H130" s="385">
        <f t="shared" si="2"/>
        <v>255367708</v>
      </c>
      <c r="I130" s="385">
        <f t="shared" si="3"/>
        <v>0</v>
      </c>
      <c r="J130" s="18">
        <v>3</v>
      </c>
    </row>
    <row r="131" spans="1:10" s="18" customFormat="1" ht="18" customHeight="1">
      <c r="A131" s="318">
        <v>42431</v>
      </c>
      <c r="B131" s="318" t="s">
        <v>863</v>
      </c>
      <c r="C131" s="318">
        <v>42375</v>
      </c>
      <c r="D131" s="383" t="s">
        <v>1142</v>
      </c>
      <c r="E131" s="318" t="s">
        <v>61</v>
      </c>
      <c r="F131" s="384">
        <v>1809120</v>
      </c>
      <c r="G131" s="382">
        <v>0</v>
      </c>
      <c r="H131" s="385">
        <f t="shared" si="2"/>
        <v>257176828</v>
      </c>
      <c r="I131" s="385">
        <f t="shared" si="3"/>
        <v>0</v>
      </c>
      <c r="J131" s="18">
        <v>3</v>
      </c>
    </row>
    <row r="132" spans="1:10" s="18" customFormat="1" ht="18" customHeight="1">
      <c r="A132" s="318">
        <v>42433</v>
      </c>
      <c r="B132" s="318" t="s">
        <v>865</v>
      </c>
      <c r="C132" s="318">
        <v>42433</v>
      </c>
      <c r="D132" s="383" t="s">
        <v>998</v>
      </c>
      <c r="E132" s="318" t="s">
        <v>61</v>
      </c>
      <c r="F132" s="384">
        <v>110098</v>
      </c>
      <c r="G132" s="382">
        <v>0</v>
      </c>
      <c r="H132" s="385">
        <f t="shared" si="2"/>
        <v>257286926</v>
      </c>
      <c r="I132" s="385">
        <f t="shared" si="3"/>
        <v>0</v>
      </c>
      <c r="J132" s="18">
        <v>3</v>
      </c>
    </row>
    <row r="133" spans="1:10" s="18" customFormat="1" ht="18" customHeight="1">
      <c r="A133" s="318">
        <v>42433</v>
      </c>
      <c r="B133" s="318" t="s">
        <v>866</v>
      </c>
      <c r="C133" s="318">
        <v>42377</v>
      </c>
      <c r="D133" s="383" t="s">
        <v>1133</v>
      </c>
      <c r="E133" s="318" t="s">
        <v>61</v>
      </c>
      <c r="F133" s="384">
        <v>1727250</v>
      </c>
      <c r="G133" s="382">
        <v>0</v>
      </c>
      <c r="H133" s="385">
        <f t="shared" si="2"/>
        <v>259014176</v>
      </c>
      <c r="I133" s="385">
        <f t="shared" si="3"/>
        <v>0</v>
      </c>
      <c r="J133" s="18">
        <v>3</v>
      </c>
    </row>
    <row r="134" spans="1:10" s="18" customFormat="1" ht="18" customHeight="1">
      <c r="A134" s="318">
        <v>42434</v>
      </c>
      <c r="B134" s="318" t="s">
        <v>867</v>
      </c>
      <c r="C134" s="318">
        <v>42434</v>
      </c>
      <c r="D134" s="383" t="s">
        <v>1163</v>
      </c>
      <c r="E134" s="318" t="s">
        <v>61</v>
      </c>
      <c r="F134" s="384">
        <v>191113</v>
      </c>
      <c r="G134" s="382">
        <v>0</v>
      </c>
      <c r="H134" s="385">
        <f t="shared" si="2"/>
        <v>259205289</v>
      </c>
      <c r="I134" s="385">
        <f t="shared" si="3"/>
        <v>0</v>
      </c>
      <c r="J134" s="18">
        <v>3</v>
      </c>
    </row>
    <row r="135" spans="1:10" s="18" customFormat="1" ht="18" customHeight="1">
      <c r="A135" s="318">
        <v>42435</v>
      </c>
      <c r="B135" s="318" t="s">
        <v>868</v>
      </c>
      <c r="C135" s="318">
        <v>42435</v>
      </c>
      <c r="D135" s="383" t="s">
        <v>762</v>
      </c>
      <c r="E135" s="318" t="s">
        <v>61</v>
      </c>
      <c r="F135" s="384">
        <v>56486</v>
      </c>
      <c r="G135" s="382">
        <v>0</v>
      </c>
      <c r="H135" s="385">
        <f t="shared" si="2"/>
        <v>259261775</v>
      </c>
      <c r="I135" s="385">
        <f t="shared" si="3"/>
        <v>0</v>
      </c>
      <c r="J135" s="18">
        <v>3</v>
      </c>
    </row>
    <row r="136" spans="1:10" s="18" customFormat="1" ht="18" customHeight="1">
      <c r="A136" s="318">
        <v>42437</v>
      </c>
      <c r="B136" s="318" t="s">
        <v>872</v>
      </c>
      <c r="C136" s="318">
        <v>42437</v>
      </c>
      <c r="D136" s="383" t="s">
        <v>757</v>
      </c>
      <c r="E136" s="318" t="s">
        <v>61</v>
      </c>
      <c r="F136" s="384">
        <v>45287</v>
      </c>
      <c r="G136" s="382">
        <v>0</v>
      </c>
      <c r="H136" s="385">
        <f t="shared" si="2"/>
        <v>259307062</v>
      </c>
      <c r="I136" s="385">
        <f t="shared" si="3"/>
        <v>0</v>
      </c>
      <c r="J136" s="18">
        <v>3</v>
      </c>
    </row>
    <row r="137" spans="1:10" s="18" customFormat="1" ht="18" customHeight="1">
      <c r="A137" s="318">
        <v>42439</v>
      </c>
      <c r="B137" s="318" t="s">
        <v>876</v>
      </c>
      <c r="C137" s="318">
        <v>42439</v>
      </c>
      <c r="D137" s="383" t="s">
        <v>1106</v>
      </c>
      <c r="E137" s="318" t="s">
        <v>61</v>
      </c>
      <c r="F137" s="384">
        <v>1773727</v>
      </c>
      <c r="G137" s="382">
        <v>0</v>
      </c>
      <c r="H137" s="385">
        <f t="shared" si="2"/>
        <v>261080789</v>
      </c>
      <c r="I137" s="385">
        <f t="shared" si="3"/>
        <v>0</v>
      </c>
      <c r="J137" s="18">
        <v>3</v>
      </c>
    </row>
    <row r="138" spans="1:10" s="18" customFormat="1" ht="18" customHeight="1">
      <c r="A138" s="318">
        <v>42440</v>
      </c>
      <c r="B138" s="318" t="s">
        <v>878</v>
      </c>
      <c r="C138" s="318">
        <v>42440</v>
      </c>
      <c r="D138" s="383" t="s">
        <v>757</v>
      </c>
      <c r="E138" s="318" t="s">
        <v>61</v>
      </c>
      <c r="F138" s="384">
        <v>51384</v>
      </c>
      <c r="G138" s="382">
        <v>0</v>
      </c>
      <c r="H138" s="385">
        <f t="shared" si="2"/>
        <v>261132173</v>
      </c>
      <c r="I138" s="385">
        <f t="shared" si="3"/>
        <v>0</v>
      </c>
      <c r="J138" s="18">
        <v>3</v>
      </c>
    </row>
    <row r="139" spans="1:10" s="18" customFormat="1" ht="18" customHeight="1">
      <c r="A139" s="318">
        <v>42441</v>
      </c>
      <c r="B139" s="318" t="s">
        <v>879</v>
      </c>
      <c r="C139" s="318">
        <v>42441</v>
      </c>
      <c r="D139" s="383" t="s">
        <v>1102</v>
      </c>
      <c r="E139" s="318" t="s">
        <v>61</v>
      </c>
      <c r="F139" s="384">
        <v>200000</v>
      </c>
      <c r="G139" s="382">
        <v>0</v>
      </c>
      <c r="H139" s="385">
        <f t="shared" si="2"/>
        <v>261332173</v>
      </c>
      <c r="I139" s="385">
        <f t="shared" si="3"/>
        <v>0</v>
      </c>
      <c r="J139" s="18">
        <v>3</v>
      </c>
    </row>
    <row r="140" spans="1:10" s="18" customFormat="1" ht="18" customHeight="1">
      <c r="A140" s="318">
        <v>42441</v>
      </c>
      <c r="B140" s="318" t="s">
        <v>880</v>
      </c>
      <c r="C140" s="318">
        <v>42441</v>
      </c>
      <c r="D140" s="383" t="s">
        <v>762</v>
      </c>
      <c r="E140" s="318" t="s">
        <v>61</v>
      </c>
      <c r="F140" s="384">
        <v>64368</v>
      </c>
      <c r="G140" s="382">
        <v>0</v>
      </c>
      <c r="H140" s="385">
        <f t="shared" si="2"/>
        <v>261396541</v>
      </c>
      <c r="I140" s="385">
        <f t="shared" si="3"/>
        <v>0</v>
      </c>
      <c r="J140" s="18">
        <v>3</v>
      </c>
    </row>
    <row r="141" spans="1:10" s="18" customFormat="1" ht="18" customHeight="1">
      <c r="A141" s="318">
        <v>42443</v>
      </c>
      <c r="B141" s="318" t="s">
        <v>881</v>
      </c>
      <c r="C141" s="318">
        <v>42443</v>
      </c>
      <c r="D141" s="383" t="s">
        <v>1113</v>
      </c>
      <c r="E141" s="318" t="s">
        <v>61</v>
      </c>
      <c r="F141" s="384">
        <v>141300</v>
      </c>
      <c r="G141" s="382">
        <v>0</v>
      </c>
      <c r="H141" s="385">
        <f t="shared" si="2"/>
        <v>261537841</v>
      </c>
      <c r="I141" s="385">
        <f t="shared" si="3"/>
        <v>0</v>
      </c>
      <c r="J141" s="18">
        <v>3</v>
      </c>
    </row>
    <row r="142" spans="1:10" s="18" customFormat="1" ht="18" customHeight="1">
      <c r="A142" s="318">
        <v>42443</v>
      </c>
      <c r="B142" s="318" t="s">
        <v>882</v>
      </c>
      <c r="C142" s="318">
        <v>42443</v>
      </c>
      <c r="D142" s="383" t="s">
        <v>1357</v>
      </c>
      <c r="E142" s="318" t="s">
        <v>61</v>
      </c>
      <c r="F142" s="384">
        <v>80000</v>
      </c>
      <c r="G142" s="382">
        <v>0</v>
      </c>
      <c r="H142" s="385">
        <f t="shared" si="2"/>
        <v>261617841</v>
      </c>
      <c r="I142" s="385">
        <f t="shared" si="3"/>
        <v>0</v>
      </c>
      <c r="J142" s="18">
        <v>3</v>
      </c>
    </row>
    <row r="143" spans="1:10" s="18" customFormat="1" ht="18" customHeight="1">
      <c r="A143" s="318">
        <v>42443</v>
      </c>
      <c r="B143" s="318" t="s">
        <v>883</v>
      </c>
      <c r="C143" s="318">
        <v>42443</v>
      </c>
      <c r="D143" s="383" t="s">
        <v>755</v>
      </c>
      <c r="E143" s="318" t="s">
        <v>61</v>
      </c>
      <c r="F143" s="384">
        <v>790000</v>
      </c>
      <c r="G143" s="382">
        <v>0</v>
      </c>
      <c r="H143" s="385">
        <f t="shared" si="2"/>
        <v>262407841</v>
      </c>
      <c r="I143" s="385">
        <f t="shared" si="3"/>
        <v>0</v>
      </c>
      <c r="J143" s="18">
        <v>3</v>
      </c>
    </row>
    <row r="144" spans="1:10" s="18" customFormat="1" ht="18" customHeight="1">
      <c r="A144" s="318">
        <v>42443</v>
      </c>
      <c r="B144" s="318" t="s">
        <v>884</v>
      </c>
      <c r="C144" s="318">
        <v>42443</v>
      </c>
      <c r="D144" s="383" t="s">
        <v>751</v>
      </c>
      <c r="E144" s="318" t="s">
        <v>61</v>
      </c>
      <c r="F144" s="384">
        <v>131820</v>
      </c>
      <c r="G144" s="382">
        <v>0</v>
      </c>
      <c r="H144" s="385">
        <f t="shared" ref="H144:H207" si="4">IF(D144&lt;&gt;"",MAX(H143+F144-G144-I143,0),0)</f>
        <v>262539661</v>
      </c>
      <c r="I144" s="385">
        <f t="shared" ref="I144:I207" si="5">IF(D144&lt;&gt;"",MAX(I143+G144-H143-F144,0),0)</f>
        <v>0</v>
      </c>
      <c r="J144" s="18">
        <v>3</v>
      </c>
    </row>
    <row r="145" spans="1:10" s="18" customFormat="1" ht="18" customHeight="1">
      <c r="A145" s="318">
        <v>42443</v>
      </c>
      <c r="B145" s="318" t="s">
        <v>690</v>
      </c>
      <c r="C145" s="318">
        <v>42443</v>
      </c>
      <c r="D145" s="383" t="s">
        <v>1180</v>
      </c>
      <c r="E145" s="318" t="s">
        <v>25</v>
      </c>
      <c r="F145" s="384">
        <v>2500</v>
      </c>
      <c r="G145" s="382">
        <v>0</v>
      </c>
      <c r="H145" s="385">
        <f t="shared" si="4"/>
        <v>262542161</v>
      </c>
      <c r="I145" s="385">
        <f t="shared" si="5"/>
        <v>0</v>
      </c>
      <c r="J145" s="18">
        <v>3</v>
      </c>
    </row>
    <row r="146" spans="1:10" s="18" customFormat="1" ht="18" customHeight="1">
      <c r="A146" s="318">
        <v>42444</v>
      </c>
      <c r="B146" s="318" t="s">
        <v>690</v>
      </c>
      <c r="C146" s="318">
        <v>42444</v>
      </c>
      <c r="D146" s="383" t="s">
        <v>1173</v>
      </c>
      <c r="E146" s="318" t="s">
        <v>260</v>
      </c>
      <c r="F146" s="384">
        <v>33443</v>
      </c>
      <c r="G146" s="382">
        <v>0</v>
      </c>
      <c r="H146" s="385">
        <f t="shared" si="4"/>
        <v>262575604</v>
      </c>
      <c r="I146" s="385">
        <f t="shared" si="5"/>
        <v>0</v>
      </c>
      <c r="J146" s="18">
        <v>3</v>
      </c>
    </row>
    <row r="147" spans="1:10" s="18" customFormat="1" ht="18" customHeight="1">
      <c r="A147" s="318">
        <v>42444</v>
      </c>
      <c r="B147" s="318" t="s">
        <v>690</v>
      </c>
      <c r="C147" s="318">
        <v>42444</v>
      </c>
      <c r="D147" s="383" t="s">
        <v>1174</v>
      </c>
      <c r="E147" s="318" t="s">
        <v>260</v>
      </c>
      <c r="F147" s="384">
        <v>22295</v>
      </c>
      <c r="G147" s="382">
        <v>0</v>
      </c>
      <c r="H147" s="385">
        <f t="shared" si="4"/>
        <v>262597899</v>
      </c>
      <c r="I147" s="385">
        <f t="shared" si="5"/>
        <v>0</v>
      </c>
      <c r="J147" s="18">
        <v>3</v>
      </c>
    </row>
    <row r="148" spans="1:10" s="18" customFormat="1" ht="18" customHeight="1">
      <c r="A148" s="318">
        <v>42444</v>
      </c>
      <c r="B148" s="318" t="s">
        <v>690</v>
      </c>
      <c r="C148" s="318">
        <v>42444</v>
      </c>
      <c r="D148" s="383" t="s">
        <v>1176</v>
      </c>
      <c r="E148" s="318" t="s">
        <v>260</v>
      </c>
      <c r="F148" s="384">
        <v>70452</v>
      </c>
      <c r="G148" s="382">
        <v>0</v>
      </c>
      <c r="H148" s="385">
        <f t="shared" si="4"/>
        <v>262668351</v>
      </c>
      <c r="I148" s="385">
        <f t="shared" si="5"/>
        <v>0</v>
      </c>
      <c r="J148" s="18">
        <v>3</v>
      </c>
    </row>
    <row r="149" spans="1:10" s="18" customFormat="1" ht="18" customHeight="1">
      <c r="A149" s="318">
        <v>42444</v>
      </c>
      <c r="B149" s="318" t="s">
        <v>690</v>
      </c>
      <c r="C149" s="318">
        <v>42444</v>
      </c>
      <c r="D149" s="383" t="s">
        <v>1180</v>
      </c>
      <c r="E149" s="318" t="s">
        <v>25</v>
      </c>
      <c r="F149" s="384">
        <v>2000</v>
      </c>
      <c r="G149" s="382">
        <v>0</v>
      </c>
      <c r="H149" s="385">
        <f t="shared" si="4"/>
        <v>262670351</v>
      </c>
      <c r="I149" s="385">
        <f t="shared" si="5"/>
        <v>0</v>
      </c>
      <c r="J149" s="18">
        <v>3</v>
      </c>
    </row>
    <row r="150" spans="1:10" s="18" customFormat="1" ht="18" customHeight="1">
      <c r="A150" s="318">
        <v>42444</v>
      </c>
      <c r="B150" s="318" t="s">
        <v>690</v>
      </c>
      <c r="C150" s="318">
        <v>42444</v>
      </c>
      <c r="D150" s="383" t="s">
        <v>1180</v>
      </c>
      <c r="E150" s="318" t="s">
        <v>25</v>
      </c>
      <c r="F150" s="384">
        <v>2000</v>
      </c>
      <c r="G150" s="382">
        <v>0</v>
      </c>
      <c r="H150" s="385">
        <f t="shared" si="4"/>
        <v>262672351</v>
      </c>
      <c r="I150" s="385">
        <f t="shared" si="5"/>
        <v>0</v>
      </c>
      <c r="J150" s="18">
        <v>3</v>
      </c>
    </row>
    <row r="151" spans="1:10" s="18" customFormat="1" ht="18" customHeight="1">
      <c r="A151" s="318">
        <v>42444</v>
      </c>
      <c r="B151" s="318" t="s">
        <v>690</v>
      </c>
      <c r="C151" s="318">
        <v>42444</v>
      </c>
      <c r="D151" s="383" t="s">
        <v>1180</v>
      </c>
      <c r="E151" s="318" t="s">
        <v>25</v>
      </c>
      <c r="F151" s="384">
        <v>2500</v>
      </c>
      <c r="G151" s="382">
        <v>0</v>
      </c>
      <c r="H151" s="385">
        <f t="shared" si="4"/>
        <v>262674851</v>
      </c>
      <c r="I151" s="385">
        <f t="shared" si="5"/>
        <v>0</v>
      </c>
      <c r="J151" s="18">
        <v>3</v>
      </c>
    </row>
    <row r="152" spans="1:10" s="18" customFormat="1" ht="18" customHeight="1">
      <c r="A152" s="318">
        <v>42444</v>
      </c>
      <c r="B152" s="318" t="s">
        <v>690</v>
      </c>
      <c r="C152" s="318">
        <v>42444</v>
      </c>
      <c r="D152" s="383" t="s">
        <v>1180</v>
      </c>
      <c r="E152" s="318" t="s">
        <v>25</v>
      </c>
      <c r="F152" s="384">
        <v>2500</v>
      </c>
      <c r="G152" s="382">
        <v>0</v>
      </c>
      <c r="H152" s="385">
        <f t="shared" si="4"/>
        <v>262677351</v>
      </c>
      <c r="I152" s="385">
        <f t="shared" si="5"/>
        <v>0</v>
      </c>
      <c r="J152" s="18">
        <v>3</v>
      </c>
    </row>
    <row r="153" spans="1:10" s="18" customFormat="1" ht="18" customHeight="1">
      <c r="A153" s="318">
        <v>42444</v>
      </c>
      <c r="B153" s="318" t="s">
        <v>690</v>
      </c>
      <c r="C153" s="318">
        <v>42444</v>
      </c>
      <c r="D153" s="383" t="s">
        <v>1180</v>
      </c>
      <c r="E153" s="318" t="s">
        <v>25</v>
      </c>
      <c r="F153" s="384">
        <v>5000</v>
      </c>
      <c r="G153" s="382">
        <v>0</v>
      </c>
      <c r="H153" s="385">
        <f t="shared" si="4"/>
        <v>262682351</v>
      </c>
      <c r="I153" s="385">
        <f t="shared" si="5"/>
        <v>0</v>
      </c>
      <c r="J153" s="18">
        <v>3</v>
      </c>
    </row>
    <row r="154" spans="1:10" s="18" customFormat="1" ht="18" customHeight="1">
      <c r="A154" s="318">
        <v>42444</v>
      </c>
      <c r="B154" s="318" t="s">
        <v>690</v>
      </c>
      <c r="C154" s="318">
        <v>42444</v>
      </c>
      <c r="D154" s="383" t="s">
        <v>1180</v>
      </c>
      <c r="E154" s="318" t="s">
        <v>25</v>
      </c>
      <c r="F154" s="384">
        <v>2000</v>
      </c>
      <c r="G154" s="382">
        <v>0</v>
      </c>
      <c r="H154" s="385">
        <f t="shared" si="4"/>
        <v>262684351</v>
      </c>
      <c r="I154" s="385">
        <f t="shared" si="5"/>
        <v>0</v>
      </c>
      <c r="J154" s="18">
        <v>3</v>
      </c>
    </row>
    <row r="155" spans="1:10" s="18" customFormat="1" ht="18" customHeight="1">
      <c r="A155" s="318">
        <v>42444</v>
      </c>
      <c r="B155" s="318" t="s">
        <v>690</v>
      </c>
      <c r="C155" s="318">
        <v>42444</v>
      </c>
      <c r="D155" s="383" t="s">
        <v>1180</v>
      </c>
      <c r="E155" s="318" t="s">
        <v>25</v>
      </c>
      <c r="F155" s="384">
        <v>2000</v>
      </c>
      <c r="G155" s="382">
        <v>0</v>
      </c>
      <c r="H155" s="385">
        <f t="shared" si="4"/>
        <v>262686351</v>
      </c>
      <c r="I155" s="385">
        <f t="shared" si="5"/>
        <v>0</v>
      </c>
      <c r="J155" s="18">
        <v>3</v>
      </c>
    </row>
    <row r="156" spans="1:10" s="18" customFormat="1" ht="18" customHeight="1">
      <c r="A156" s="318">
        <v>42444</v>
      </c>
      <c r="B156" s="318" t="s">
        <v>690</v>
      </c>
      <c r="C156" s="318">
        <v>42444</v>
      </c>
      <c r="D156" s="383" t="s">
        <v>1180</v>
      </c>
      <c r="E156" s="318" t="s">
        <v>25</v>
      </c>
      <c r="F156" s="384">
        <v>2000</v>
      </c>
      <c r="G156" s="382">
        <v>0</v>
      </c>
      <c r="H156" s="385">
        <f t="shared" si="4"/>
        <v>262688351</v>
      </c>
      <c r="I156" s="385">
        <f t="shared" si="5"/>
        <v>0</v>
      </c>
      <c r="J156" s="18">
        <v>3</v>
      </c>
    </row>
    <row r="157" spans="1:10" s="18" customFormat="1" ht="18" customHeight="1">
      <c r="A157" s="318">
        <v>42446</v>
      </c>
      <c r="B157" s="318" t="s">
        <v>888</v>
      </c>
      <c r="C157" s="318">
        <v>42446</v>
      </c>
      <c r="D157" s="383" t="s">
        <v>1123</v>
      </c>
      <c r="E157" s="318" t="s">
        <v>61</v>
      </c>
      <c r="F157" s="384">
        <v>103388</v>
      </c>
      <c r="G157" s="382">
        <v>0</v>
      </c>
      <c r="H157" s="385">
        <f t="shared" si="4"/>
        <v>262791739</v>
      </c>
      <c r="I157" s="385">
        <f t="shared" si="5"/>
        <v>0</v>
      </c>
      <c r="J157" s="18">
        <v>3</v>
      </c>
    </row>
    <row r="158" spans="1:10" s="18" customFormat="1" ht="18" customHeight="1">
      <c r="A158" s="318">
        <v>42446</v>
      </c>
      <c r="B158" s="318" t="s">
        <v>890</v>
      </c>
      <c r="C158" s="318">
        <v>42446</v>
      </c>
      <c r="D158" s="383" t="s">
        <v>757</v>
      </c>
      <c r="E158" s="318" t="s">
        <v>61</v>
      </c>
      <c r="F158" s="384">
        <v>51384</v>
      </c>
      <c r="G158" s="382">
        <v>0</v>
      </c>
      <c r="H158" s="385">
        <f t="shared" si="4"/>
        <v>262843123</v>
      </c>
      <c r="I158" s="385">
        <f t="shared" si="5"/>
        <v>0</v>
      </c>
      <c r="J158" s="18">
        <v>3</v>
      </c>
    </row>
    <row r="159" spans="1:10" s="18" customFormat="1" ht="18" customHeight="1">
      <c r="A159" s="318">
        <v>42446</v>
      </c>
      <c r="B159" s="318" t="s">
        <v>690</v>
      </c>
      <c r="C159" s="318">
        <v>42446</v>
      </c>
      <c r="D159" s="383" t="s">
        <v>1184</v>
      </c>
      <c r="E159" s="318" t="s">
        <v>25</v>
      </c>
      <c r="F159" s="384">
        <v>5000</v>
      </c>
      <c r="G159" s="382">
        <v>0</v>
      </c>
      <c r="H159" s="385">
        <f t="shared" si="4"/>
        <v>262848123</v>
      </c>
      <c r="I159" s="385">
        <f t="shared" si="5"/>
        <v>0</v>
      </c>
      <c r="J159" s="18">
        <v>3</v>
      </c>
    </row>
    <row r="160" spans="1:10" s="18" customFormat="1" ht="18" customHeight="1">
      <c r="A160" s="318">
        <v>42446</v>
      </c>
      <c r="B160" s="318" t="s">
        <v>690</v>
      </c>
      <c r="C160" s="318">
        <v>42446</v>
      </c>
      <c r="D160" s="383" t="s">
        <v>1184</v>
      </c>
      <c r="E160" s="318" t="s">
        <v>25</v>
      </c>
      <c r="F160" s="384">
        <v>5000</v>
      </c>
      <c r="G160" s="382">
        <v>0</v>
      </c>
      <c r="H160" s="385">
        <f t="shared" si="4"/>
        <v>262853123</v>
      </c>
      <c r="I160" s="385">
        <f t="shared" si="5"/>
        <v>0</v>
      </c>
      <c r="J160" s="18">
        <v>3</v>
      </c>
    </row>
    <row r="161" spans="1:10" s="18" customFormat="1" ht="18" customHeight="1">
      <c r="A161" s="318">
        <v>42447</v>
      </c>
      <c r="B161" s="318" t="s">
        <v>891</v>
      </c>
      <c r="C161" s="318">
        <v>42447</v>
      </c>
      <c r="D161" s="383" t="s">
        <v>1324</v>
      </c>
      <c r="E161" s="318" t="s">
        <v>61</v>
      </c>
      <c r="F161" s="384">
        <v>55173</v>
      </c>
      <c r="G161" s="382">
        <v>0</v>
      </c>
      <c r="H161" s="385">
        <f t="shared" si="4"/>
        <v>262908296</v>
      </c>
      <c r="I161" s="385">
        <f t="shared" si="5"/>
        <v>0</v>
      </c>
      <c r="J161" s="18">
        <v>3</v>
      </c>
    </row>
    <row r="162" spans="1:10" s="18" customFormat="1" ht="18" customHeight="1">
      <c r="A162" s="318">
        <v>42449</v>
      </c>
      <c r="B162" s="318" t="s">
        <v>894</v>
      </c>
      <c r="C162" s="318">
        <v>42449</v>
      </c>
      <c r="D162" s="383" t="s">
        <v>1324</v>
      </c>
      <c r="E162" s="318" t="s">
        <v>61</v>
      </c>
      <c r="F162" s="384">
        <v>44664</v>
      </c>
      <c r="G162" s="382">
        <v>0</v>
      </c>
      <c r="H162" s="385">
        <f t="shared" si="4"/>
        <v>262952960</v>
      </c>
      <c r="I162" s="385">
        <f t="shared" si="5"/>
        <v>0</v>
      </c>
      <c r="J162" s="18">
        <v>3</v>
      </c>
    </row>
    <row r="163" spans="1:10" s="18" customFormat="1" ht="18" customHeight="1">
      <c r="A163" s="318">
        <v>42450</v>
      </c>
      <c r="B163" s="318" t="s">
        <v>690</v>
      </c>
      <c r="C163" s="318">
        <v>42450</v>
      </c>
      <c r="D163" s="383" t="s">
        <v>1173</v>
      </c>
      <c r="E163" s="318" t="s">
        <v>25</v>
      </c>
      <c r="F163" s="384">
        <v>33390</v>
      </c>
      <c r="G163" s="382">
        <v>0</v>
      </c>
      <c r="H163" s="385">
        <f t="shared" si="4"/>
        <v>262986350</v>
      </c>
      <c r="I163" s="385">
        <f t="shared" si="5"/>
        <v>0</v>
      </c>
      <c r="J163" s="18">
        <v>3</v>
      </c>
    </row>
    <row r="164" spans="1:10" s="18" customFormat="1" ht="18" customHeight="1">
      <c r="A164" s="318">
        <v>42452</v>
      </c>
      <c r="B164" s="318" t="s">
        <v>895</v>
      </c>
      <c r="C164" s="318">
        <v>42452</v>
      </c>
      <c r="D164" s="383" t="s">
        <v>1298</v>
      </c>
      <c r="E164" s="318" t="s">
        <v>61</v>
      </c>
      <c r="F164" s="384">
        <v>102513</v>
      </c>
      <c r="G164" s="382">
        <v>0</v>
      </c>
      <c r="H164" s="385">
        <f t="shared" si="4"/>
        <v>263088863</v>
      </c>
      <c r="I164" s="385">
        <f t="shared" si="5"/>
        <v>0</v>
      </c>
      <c r="J164" s="18">
        <v>3</v>
      </c>
    </row>
    <row r="165" spans="1:10" s="18" customFormat="1" ht="18" customHeight="1">
      <c r="A165" s="318">
        <v>42452</v>
      </c>
      <c r="B165" s="318" t="s">
        <v>896</v>
      </c>
      <c r="C165" s="318">
        <v>42452</v>
      </c>
      <c r="D165" s="383" t="s">
        <v>757</v>
      </c>
      <c r="E165" s="318" t="s">
        <v>61</v>
      </c>
      <c r="F165" s="384">
        <v>52042</v>
      </c>
      <c r="G165" s="382">
        <v>0</v>
      </c>
      <c r="H165" s="385">
        <f t="shared" si="4"/>
        <v>263140905</v>
      </c>
      <c r="I165" s="385">
        <f t="shared" si="5"/>
        <v>0</v>
      </c>
      <c r="J165" s="18">
        <v>3</v>
      </c>
    </row>
    <row r="166" spans="1:10" s="18" customFormat="1" ht="18" customHeight="1">
      <c r="A166" s="318">
        <v>42453</v>
      </c>
      <c r="B166" s="318" t="s">
        <v>898</v>
      </c>
      <c r="C166" s="318">
        <v>42453</v>
      </c>
      <c r="D166" s="383" t="s">
        <v>1324</v>
      </c>
      <c r="E166" s="318" t="s">
        <v>61</v>
      </c>
      <c r="F166" s="384">
        <v>67353</v>
      </c>
      <c r="G166" s="382">
        <v>0</v>
      </c>
      <c r="H166" s="385">
        <f t="shared" si="4"/>
        <v>263208258</v>
      </c>
      <c r="I166" s="385">
        <f t="shared" si="5"/>
        <v>0</v>
      </c>
      <c r="J166" s="18">
        <v>3</v>
      </c>
    </row>
    <row r="167" spans="1:10" s="18" customFormat="1" ht="18" customHeight="1">
      <c r="A167" s="318">
        <v>42454</v>
      </c>
      <c r="B167" s="318" t="s">
        <v>899</v>
      </c>
      <c r="C167" s="318">
        <v>42454</v>
      </c>
      <c r="D167" s="383" t="s">
        <v>757</v>
      </c>
      <c r="E167" s="318" t="s">
        <v>61</v>
      </c>
      <c r="F167" s="384">
        <v>37685</v>
      </c>
      <c r="G167" s="382">
        <v>0</v>
      </c>
      <c r="H167" s="385">
        <f t="shared" si="4"/>
        <v>263245943</v>
      </c>
      <c r="I167" s="385">
        <f t="shared" si="5"/>
        <v>0</v>
      </c>
      <c r="J167" s="18">
        <v>3</v>
      </c>
    </row>
    <row r="168" spans="1:10" s="18" customFormat="1" ht="18" customHeight="1">
      <c r="A168" s="318">
        <v>42454</v>
      </c>
      <c r="B168" s="318" t="s">
        <v>690</v>
      </c>
      <c r="C168" s="318">
        <v>42454</v>
      </c>
      <c r="D168" s="383" t="s">
        <v>1184</v>
      </c>
      <c r="E168" s="318" t="s">
        <v>25</v>
      </c>
      <c r="F168" s="384">
        <v>5000</v>
      </c>
      <c r="G168" s="382">
        <v>0</v>
      </c>
      <c r="H168" s="385">
        <f t="shared" si="4"/>
        <v>263250943</v>
      </c>
      <c r="I168" s="385">
        <f t="shared" si="5"/>
        <v>0</v>
      </c>
      <c r="J168" s="18">
        <v>3</v>
      </c>
    </row>
    <row r="169" spans="1:10" s="18" customFormat="1" ht="18" customHeight="1">
      <c r="A169" s="318">
        <v>42454</v>
      </c>
      <c r="B169" s="318" t="s">
        <v>690</v>
      </c>
      <c r="C169" s="318">
        <v>42454</v>
      </c>
      <c r="D169" s="383" t="s">
        <v>1184</v>
      </c>
      <c r="E169" s="318" t="s">
        <v>25</v>
      </c>
      <c r="F169" s="384">
        <v>5000</v>
      </c>
      <c r="G169" s="382">
        <v>0</v>
      </c>
      <c r="H169" s="385">
        <f t="shared" si="4"/>
        <v>263255943</v>
      </c>
      <c r="I169" s="385">
        <f t="shared" si="5"/>
        <v>0</v>
      </c>
      <c r="J169" s="18">
        <v>3</v>
      </c>
    </row>
    <row r="170" spans="1:10" s="18" customFormat="1" ht="18" customHeight="1">
      <c r="A170" s="318">
        <v>42454</v>
      </c>
      <c r="B170" s="318" t="s">
        <v>690</v>
      </c>
      <c r="C170" s="318">
        <v>42454</v>
      </c>
      <c r="D170" s="383" t="s">
        <v>1184</v>
      </c>
      <c r="E170" s="318" t="s">
        <v>25</v>
      </c>
      <c r="F170" s="384">
        <v>5000</v>
      </c>
      <c r="G170" s="382">
        <v>0</v>
      </c>
      <c r="H170" s="385">
        <f t="shared" si="4"/>
        <v>263260943</v>
      </c>
      <c r="I170" s="385">
        <f t="shared" si="5"/>
        <v>0</v>
      </c>
      <c r="J170" s="18">
        <v>3</v>
      </c>
    </row>
    <row r="171" spans="1:10" s="18" customFormat="1" ht="18" customHeight="1">
      <c r="A171" s="318">
        <v>42454</v>
      </c>
      <c r="B171" s="318" t="s">
        <v>690</v>
      </c>
      <c r="C171" s="318">
        <v>42454</v>
      </c>
      <c r="D171" s="383" t="s">
        <v>1184</v>
      </c>
      <c r="E171" s="318" t="s">
        <v>25</v>
      </c>
      <c r="F171" s="384">
        <v>5000</v>
      </c>
      <c r="G171" s="382">
        <v>0</v>
      </c>
      <c r="H171" s="385">
        <f t="shared" si="4"/>
        <v>263265943</v>
      </c>
      <c r="I171" s="385">
        <f t="shared" si="5"/>
        <v>0</v>
      </c>
      <c r="J171" s="18">
        <v>3</v>
      </c>
    </row>
    <row r="172" spans="1:10" s="18" customFormat="1" ht="18" customHeight="1">
      <c r="A172" s="318">
        <v>42456</v>
      </c>
      <c r="B172" s="318" t="s">
        <v>948</v>
      </c>
      <c r="C172" s="318">
        <v>42456</v>
      </c>
      <c r="D172" s="383" t="s">
        <v>757</v>
      </c>
      <c r="E172" s="318" t="s">
        <v>61</v>
      </c>
      <c r="F172" s="384">
        <v>38583</v>
      </c>
      <c r="G172" s="382">
        <v>0</v>
      </c>
      <c r="H172" s="385">
        <f t="shared" si="4"/>
        <v>263304526</v>
      </c>
      <c r="I172" s="385">
        <f t="shared" si="5"/>
        <v>0</v>
      </c>
      <c r="J172" s="18">
        <v>3</v>
      </c>
    </row>
    <row r="173" spans="1:10" s="18" customFormat="1" ht="18" customHeight="1">
      <c r="A173" s="318">
        <v>42457</v>
      </c>
      <c r="B173" s="318" t="s">
        <v>949</v>
      </c>
      <c r="C173" s="318">
        <v>42457</v>
      </c>
      <c r="D173" s="383" t="s">
        <v>1408</v>
      </c>
      <c r="E173" s="318" t="s">
        <v>61</v>
      </c>
      <c r="F173" s="384">
        <v>1500000</v>
      </c>
      <c r="G173" s="382">
        <v>0</v>
      </c>
      <c r="H173" s="385">
        <f t="shared" si="4"/>
        <v>264804526</v>
      </c>
      <c r="I173" s="385">
        <f t="shared" si="5"/>
        <v>0</v>
      </c>
      <c r="J173" s="18">
        <v>3</v>
      </c>
    </row>
    <row r="174" spans="1:10" s="18" customFormat="1" ht="18" customHeight="1">
      <c r="A174" s="318">
        <v>42458</v>
      </c>
      <c r="B174" s="318" t="s">
        <v>951</v>
      </c>
      <c r="C174" s="318">
        <v>42458</v>
      </c>
      <c r="D174" s="383" t="s">
        <v>1324</v>
      </c>
      <c r="E174" s="318" t="s">
        <v>61</v>
      </c>
      <c r="F174" s="384">
        <v>71476</v>
      </c>
      <c r="G174" s="382">
        <v>0</v>
      </c>
      <c r="H174" s="385">
        <f t="shared" si="4"/>
        <v>264876002</v>
      </c>
      <c r="I174" s="385">
        <f t="shared" si="5"/>
        <v>0</v>
      </c>
      <c r="J174" s="18">
        <v>3</v>
      </c>
    </row>
    <row r="175" spans="1:10" s="18" customFormat="1" ht="18" customHeight="1">
      <c r="A175" s="318">
        <v>42458</v>
      </c>
      <c r="B175" s="318" t="s">
        <v>570</v>
      </c>
      <c r="C175" s="318">
        <v>42458</v>
      </c>
      <c r="D175" s="383" t="s">
        <v>1053</v>
      </c>
      <c r="E175" s="318" t="s">
        <v>576</v>
      </c>
      <c r="F175" s="384">
        <v>352247</v>
      </c>
      <c r="G175" s="382">
        <v>0</v>
      </c>
      <c r="H175" s="385">
        <f t="shared" si="4"/>
        <v>265228249</v>
      </c>
      <c r="I175" s="385">
        <f t="shared" si="5"/>
        <v>0</v>
      </c>
      <c r="J175" s="18">
        <v>3</v>
      </c>
    </row>
    <row r="176" spans="1:10" s="18" customFormat="1" ht="18" customHeight="1">
      <c r="A176" s="318">
        <v>42458</v>
      </c>
      <c r="B176" s="318" t="s">
        <v>690</v>
      </c>
      <c r="C176" s="318">
        <v>42458</v>
      </c>
      <c r="D176" s="383" t="s">
        <v>1178</v>
      </c>
      <c r="E176" s="318" t="s">
        <v>260</v>
      </c>
      <c r="F176" s="384">
        <v>11148</v>
      </c>
      <c r="G176" s="382">
        <v>0</v>
      </c>
      <c r="H176" s="385">
        <f t="shared" si="4"/>
        <v>265239397</v>
      </c>
      <c r="I176" s="385">
        <f t="shared" si="5"/>
        <v>0</v>
      </c>
      <c r="J176" s="18">
        <v>3</v>
      </c>
    </row>
    <row r="177" spans="1:10" s="18" customFormat="1" ht="18" customHeight="1">
      <c r="A177" s="318">
        <v>42459</v>
      </c>
      <c r="B177" s="318" t="s">
        <v>1368</v>
      </c>
      <c r="C177" s="318">
        <v>42459</v>
      </c>
      <c r="D177" s="383" t="s">
        <v>1000</v>
      </c>
      <c r="E177" s="318" t="s">
        <v>61</v>
      </c>
      <c r="F177" s="384">
        <v>46273</v>
      </c>
      <c r="G177" s="382">
        <v>0</v>
      </c>
      <c r="H177" s="385">
        <f t="shared" si="4"/>
        <v>265285670</v>
      </c>
      <c r="I177" s="385">
        <f t="shared" si="5"/>
        <v>0</v>
      </c>
      <c r="J177" s="18">
        <v>3</v>
      </c>
    </row>
    <row r="178" spans="1:10" s="18" customFormat="1" ht="18" customHeight="1">
      <c r="A178" s="318">
        <v>42459</v>
      </c>
      <c r="B178" s="318" t="s">
        <v>690</v>
      </c>
      <c r="C178" s="318">
        <v>42459</v>
      </c>
      <c r="D178" s="383" t="s">
        <v>1180</v>
      </c>
      <c r="E178" s="318" t="s">
        <v>25</v>
      </c>
      <c r="F178" s="384">
        <v>4500</v>
      </c>
      <c r="G178" s="382">
        <v>0</v>
      </c>
      <c r="H178" s="385">
        <f t="shared" si="4"/>
        <v>265290170</v>
      </c>
      <c r="I178" s="385">
        <f t="shared" si="5"/>
        <v>0</v>
      </c>
      <c r="J178" s="18">
        <v>3</v>
      </c>
    </row>
    <row r="179" spans="1:10" s="18" customFormat="1" ht="18" customHeight="1">
      <c r="A179" s="318">
        <v>42460</v>
      </c>
      <c r="B179" s="318" t="s">
        <v>2218</v>
      </c>
      <c r="C179" s="318">
        <v>42460</v>
      </c>
      <c r="D179" s="383" t="s">
        <v>1342</v>
      </c>
      <c r="E179" s="318" t="s">
        <v>61</v>
      </c>
      <c r="F179" s="384">
        <v>179637</v>
      </c>
      <c r="G179" s="382">
        <v>0</v>
      </c>
      <c r="H179" s="385">
        <f t="shared" si="4"/>
        <v>265469807</v>
      </c>
      <c r="I179" s="385">
        <f t="shared" si="5"/>
        <v>0</v>
      </c>
      <c r="J179" s="18">
        <v>3</v>
      </c>
    </row>
    <row r="180" spans="1:10" s="18" customFormat="1" ht="18" customHeight="1">
      <c r="A180" s="318">
        <v>42460</v>
      </c>
      <c r="B180" s="318" t="s">
        <v>2219</v>
      </c>
      <c r="C180" s="318">
        <v>42460</v>
      </c>
      <c r="D180" s="383" t="s">
        <v>1345</v>
      </c>
      <c r="E180" s="318" t="s">
        <v>61</v>
      </c>
      <c r="F180" s="384">
        <v>2967</v>
      </c>
      <c r="G180" s="382">
        <v>0</v>
      </c>
      <c r="H180" s="385">
        <f t="shared" si="4"/>
        <v>265472774</v>
      </c>
      <c r="I180" s="385">
        <f t="shared" si="5"/>
        <v>0</v>
      </c>
      <c r="J180" s="18">
        <v>3</v>
      </c>
    </row>
    <row r="181" spans="1:10" s="18" customFormat="1" ht="18" customHeight="1">
      <c r="A181" s="318">
        <v>42468</v>
      </c>
      <c r="B181" s="318" t="s">
        <v>664</v>
      </c>
      <c r="C181" s="318">
        <v>42468</v>
      </c>
      <c r="D181" s="383" t="s">
        <v>1388</v>
      </c>
      <c r="E181" s="318" t="s">
        <v>8</v>
      </c>
      <c r="F181" s="384">
        <v>2250000</v>
      </c>
      <c r="G181" s="382">
        <v>0</v>
      </c>
      <c r="H181" s="385">
        <f t="shared" si="4"/>
        <v>267722774</v>
      </c>
      <c r="I181" s="385">
        <f t="shared" si="5"/>
        <v>0</v>
      </c>
      <c r="J181" s="18">
        <v>4</v>
      </c>
    </row>
    <row r="182" spans="1:10" s="18" customFormat="1" ht="18" customHeight="1">
      <c r="A182" s="318">
        <v>42471</v>
      </c>
      <c r="B182" s="318" t="s">
        <v>665</v>
      </c>
      <c r="C182" s="318">
        <v>42471</v>
      </c>
      <c r="D182" s="383" t="s">
        <v>1392</v>
      </c>
      <c r="E182" s="318" t="s">
        <v>8</v>
      </c>
      <c r="F182" s="384">
        <v>127280</v>
      </c>
      <c r="G182" s="382">
        <v>0</v>
      </c>
      <c r="H182" s="385">
        <f t="shared" si="4"/>
        <v>267850054</v>
      </c>
      <c r="I182" s="385">
        <f t="shared" si="5"/>
        <v>0</v>
      </c>
      <c r="J182" s="18">
        <v>4</v>
      </c>
    </row>
    <row r="183" spans="1:10" s="18" customFormat="1" ht="18" customHeight="1">
      <c r="A183" s="318">
        <v>42467</v>
      </c>
      <c r="B183" s="318" t="s">
        <v>663</v>
      </c>
      <c r="C183" s="318">
        <v>42467</v>
      </c>
      <c r="D183" s="383" t="s">
        <v>639</v>
      </c>
      <c r="E183" s="318" t="s">
        <v>8</v>
      </c>
      <c r="F183" s="384">
        <v>6300000</v>
      </c>
      <c r="G183" s="382">
        <v>0</v>
      </c>
      <c r="H183" s="385">
        <f t="shared" si="4"/>
        <v>274150054</v>
      </c>
      <c r="I183" s="385">
        <f t="shared" si="5"/>
        <v>0</v>
      </c>
      <c r="J183" s="18">
        <v>4</v>
      </c>
    </row>
    <row r="184" spans="1:10" s="18" customFormat="1" ht="18" customHeight="1">
      <c r="A184" s="318">
        <v>42488</v>
      </c>
      <c r="B184" s="318" t="s">
        <v>1421</v>
      </c>
      <c r="C184" s="318">
        <v>42488</v>
      </c>
      <c r="D184" s="383" t="s">
        <v>1388</v>
      </c>
      <c r="E184" s="318" t="s">
        <v>8</v>
      </c>
      <c r="F184" s="384">
        <v>1040400</v>
      </c>
      <c r="G184" s="382">
        <v>0</v>
      </c>
      <c r="H184" s="385">
        <f t="shared" si="4"/>
        <v>275190454</v>
      </c>
      <c r="I184" s="385">
        <f t="shared" si="5"/>
        <v>0</v>
      </c>
      <c r="J184" s="18">
        <v>4</v>
      </c>
    </row>
    <row r="185" spans="1:10" s="18" customFormat="1" ht="18" customHeight="1">
      <c r="A185" s="318">
        <v>42486</v>
      </c>
      <c r="B185" s="318" t="s">
        <v>667</v>
      </c>
      <c r="C185" s="318">
        <v>42486</v>
      </c>
      <c r="D185" s="383" t="s">
        <v>639</v>
      </c>
      <c r="E185" s="318" t="s">
        <v>8</v>
      </c>
      <c r="F185" s="384">
        <v>2800000</v>
      </c>
      <c r="G185" s="382">
        <v>0</v>
      </c>
      <c r="H185" s="385">
        <f t="shared" si="4"/>
        <v>277990454</v>
      </c>
      <c r="I185" s="385">
        <f t="shared" si="5"/>
        <v>0</v>
      </c>
      <c r="J185" s="18">
        <v>4</v>
      </c>
    </row>
    <row r="186" spans="1:10" s="18" customFormat="1" ht="18" customHeight="1">
      <c r="A186" s="318">
        <v>42471</v>
      </c>
      <c r="B186" s="318" t="s">
        <v>666</v>
      </c>
      <c r="C186" s="318">
        <v>42471</v>
      </c>
      <c r="D186" s="383" t="s">
        <v>1394</v>
      </c>
      <c r="E186" s="318" t="s">
        <v>8</v>
      </c>
      <c r="F186" s="384">
        <v>9941400</v>
      </c>
      <c r="G186" s="382">
        <v>0</v>
      </c>
      <c r="H186" s="385">
        <f t="shared" si="4"/>
        <v>287931854</v>
      </c>
      <c r="I186" s="385">
        <f t="shared" si="5"/>
        <v>0</v>
      </c>
      <c r="J186" s="18">
        <v>4</v>
      </c>
    </row>
    <row r="187" spans="1:10" s="18" customFormat="1" ht="18" customHeight="1">
      <c r="A187" s="318">
        <v>42490</v>
      </c>
      <c r="B187" s="318" t="s">
        <v>570</v>
      </c>
      <c r="C187" s="318">
        <v>42466</v>
      </c>
      <c r="D187" s="383" t="s">
        <v>625</v>
      </c>
      <c r="E187" s="318" t="s">
        <v>8</v>
      </c>
      <c r="F187" s="384">
        <v>200000</v>
      </c>
      <c r="G187" s="382">
        <v>0</v>
      </c>
      <c r="H187" s="385">
        <f t="shared" si="4"/>
        <v>288131854</v>
      </c>
      <c r="I187" s="385">
        <f t="shared" si="5"/>
        <v>0</v>
      </c>
      <c r="J187" s="18">
        <v>4</v>
      </c>
    </row>
    <row r="188" spans="1:10" s="18" customFormat="1" ht="18" customHeight="1">
      <c r="A188" s="318">
        <v>42490</v>
      </c>
      <c r="B188" s="318" t="s">
        <v>570</v>
      </c>
      <c r="C188" s="318">
        <v>42488</v>
      </c>
      <c r="D188" s="383" t="s">
        <v>1412</v>
      </c>
      <c r="E188" s="318" t="s">
        <v>8</v>
      </c>
      <c r="F188" s="384">
        <v>720000</v>
      </c>
      <c r="G188" s="382">
        <v>0</v>
      </c>
      <c r="H188" s="385">
        <f t="shared" si="4"/>
        <v>288851854</v>
      </c>
      <c r="I188" s="385">
        <f t="shared" si="5"/>
        <v>0</v>
      </c>
      <c r="J188" s="18">
        <v>4</v>
      </c>
    </row>
    <row r="189" spans="1:10" s="18" customFormat="1" ht="18" customHeight="1">
      <c r="A189" s="318">
        <v>42490</v>
      </c>
      <c r="B189" s="318" t="s">
        <v>570</v>
      </c>
      <c r="C189" s="318">
        <v>42466</v>
      </c>
      <c r="D189" s="383" t="s">
        <v>1444</v>
      </c>
      <c r="E189" s="318" t="s">
        <v>8</v>
      </c>
      <c r="F189" s="384">
        <v>2384120</v>
      </c>
      <c r="G189" s="382">
        <v>0</v>
      </c>
      <c r="H189" s="385">
        <f t="shared" si="4"/>
        <v>291235974</v>
      </c>
      <c r="I189" s="385">
        <f t="shared" si="5"/>
        <v>0</v>
      </c>
      <c r="J189" s="18">
        <v>4</v>
      </c>
    </row>
    <row r="190" spans="1:10" s="18" customFormat="1" ht="18" customHeight="1">
      <c r="A190" s="318">
        <v>42490</v>
      </c>
      <c r="B190" s="318" t="s">
        <v>570</v>
      </c>
      <c r="C190" s="318">
        <v>42476</v>
      </c>
      <c r="D190" s="383" t="s">
        <v>1446</v>
      </c>
      <c r="E190" s="318" t="s">
        <v>8</v>
      </c>
      <c r="F190" s="384">
        <v>2836980</v>
      </c>
      <c r="G190" s="382">
        <v>0</v>
      </c>
      <c r="H190" s="385">
        <f t="shared" si="4"/>
        <v>294072954</v>
      </c>
      <c r="I190" s="385">
        <f t="shared" si="5"/>
        <v>0</v>
      </c>
      <c r="J190" s="18">
        <v>4</v>
      </c>
    </row>
    <row r="191" spans="1:10" s="18" customFormat="1" ht="18" customHeight="1">
      <c r="A191" s="318">
        <v>42490</v>
      </c>
      <c r="B191" s="318" t="s">
        <v>570</v>
      </c>
      <c r="C191" s="318">
        <v>42486</v>
      </c>
      <c r="D191" s="383" t="s">
        <v>1448</v>
      </c>
      <c r="E191" s="318" t="s">
        <v>8</v>
      </c>
      <c r="F191" s="384">
        <v>2434880</v>
      </c>
      <c r="G191" s="382">
        <v>0</v>
      </c>
      <c r="H191" s="385">
        <f t="shared" si="4"/>
        <v>296507834</v>
      </c>
      <c r="I191" s="385">
        <f t="shared" si="5"/>
        <v>0</v>
      </c>
      <c r="J191" s="18">
        <v>4</v>
      </c>
    </row>
    <row r="192" spans="1:10" s="18" customFormat="1" ht="18" customHeight="1">
      <c r="A192" s="318">
        <v>42490</v>
      </c>
      <c r="B192" s="318" t="s">
        <v>570</v>
      </c>
      <c r="C192" s="318">
        <v>42475</v>
      </c>
      <c r="D192" s="383" t="s">
        <v>1063</v>
      </c>
      <c r="E192" s="318" t="s">
        <v>8</v>
      </c>
      <c r="F192" s="384">
        <v>621886</v>
      </c>
      <c r="G192" s="382">
        <v>0</v>
      </c>
      <c r="H192" s="385">
        <f t="shared" si="4"/>
        <v>297129720</v>
      </c>
      <c r="I192" s="385">
        <f t="shared" si="5"/>
        <v>0</v>
      </c>
      <c r="J192" s="18">
        <v>4</v>
      </c>
    </row>
    <row r="193" spans="1:10" s="18" customFormat="1" ht="18" customHeight="1">
      <c r="A193" s="318">
        <v>42462</v>
      </c>
      <c r="B193" s="318" t="s">
        <v>851</v>
      </c>
      <c r="C193" s="318">
        <v>42462</v>
      </c>
      <c r="D193" s="383" t="s">
        <v>1373</v>
      </c>
      <c r="E193" s="318" t="s">
        <v>61</v>
      </c>
      <c r="F193" s="384">
        <v>103663</v>
      </c>
      <c r="G193" s="382">
        <v>0</v>
      </c>
      <c r="H193" s="385">
        <f t="shared" si="4"/>
        <v>297233383</v>
      </c>
      <c r="I193" s="385">
        <f t="shared" si="5"/>
        <v>0</v>
      </c>
      <c r="J193" s="18">
        <v>4</v>
      </c>
    </row>
    <row r="194" spans="1:10" s="18" customFormat="1" ht="18" customHeight="1">
      <c r="A194" s="318">
        <v>42464</v>
      </c>
      <c r="B194" s="318" t="s">
        <v>855</v>
      </c>
      <c r="C194" s="318">
        <v>42464</v>
      </c>
      <c r="D194" s="383" t="s">
        <v>762</v>
      </c>
      <c r="E194" s="318" t="s">
        <v>61</v>
      </c>
      <c r="F194" s="384">
        <v>64604</v>
      </c>
      <c r="G194" s="382">
        <v>0</v>
      </c>
      <c r="H194" s="385">
        <f t="shared" si="4"/>
        <v>297297987</v>
      </c>
      <c r="I194" s="385">
        <f t="shared" si="5"/>
        <v>0</v>
      </c>
      <c r="J194" s="18">
        <v>4</v>
      </c>
    </row>
    <row r="195" spans="1:10" s="18" customFormat="1" ht="18" customHeight="1">
      <c r="A195" s="318">
        <v>42465</v>
      </c>
      <c r="B195" s="318" t="s">
        <v>856</v>
      </c>
      <c r="C195" s="318">
        <v>42465</v>
      </c>
      <c r="D195" s="383" t="s">
        <v>1378</v>
      </c>
      <c r="E195" s="318" t="s">
        <v>61</v>
      </c>
      <c r="F195" s="384">
        <v>198154</v>
      </c>
      <c r="G195" s="382">
        <v>0</v>
      </c>
      <c r="H195" s="385">
        <f t="shared" si="4"/>
        <v>297496141</v>
      </c>
      <c r="I195" s="385">
        <f t="shared" si="5"/>
        <v>0</v>
      </c>
      <c r="J195" s="18">
        <v>4</v>
      </c>
    </row>
    <row r="196" spans="1:10" s="18" customFormat="1" ht="18" customHeight="1">
      <c r="A196" s="318">
        <v>42466</v>
      </c>
      <c r="B196" s="318" t="s">
        <v>690</v>
      </c>
      <c r="C196" s="318">
        <v>42466</v>
      </c>
      <c r="D196" s="383" t="s">
        <v>1173</v>
      </c>
      <c r="E196" s="318" t="s">
        <v>25</v>
      </c>
      <c r="F196" s="384">
        <v>33390</v>
      </c>
      <c r="G196" s="382">
        <v>0</v>
      </c>
      <c r="H196" s="385">
        <f t="shared" si="4"/>
        <v>297529531</v>
      </c>
      <c r="I196" s="385">
        <f t="shared" si="5"/>
        <v>0</v>
      </c>
      <c r="J196" s="18">
        <v>4</v>
      </c>
    </row>
    <row r="197" spans="1:10" s="18" customFormat="1" ht="18" customHeight="1">
      <c r="A197" s="318">
        <v>42468</v>
      </c>
      <c r="B197" s="318" t="s">
        <v>690</v>
      </c>
      <c r="C197" s="318">
        <v>42468</v>
      </c>
      <c r="D197" s="383" t="s">
        <v>1424</v>
      </c>
      <c r="E197" s="318" t="s">
        <v>260</v>
      </c>
      <c r="F197" s="384">
        <v>11130</v>
      </c>
      <c r="G197" s="382">
        <v>0</v>
      </c>
      <c r="H197" s="385">
        <f t="shared" si="4"/>
        <v>297540661</v>
      </c>
      <c r="I197" s="385">
        <f t="shared" si="5"/>
        <v>0</v>
      </c>
      <c r="J197" s="18">
        <v>4</v>
      </c>
    </row>
    <row r="198" spans="1:10" s="18" customFormat="1" ht="18" customHeight="1">
      <c r="A198" s="318">
        <v>42468</v>
      </c>
      <c r="B198" s="318" t="s">
        <v>690</v>
      </c>
      <c r="C198" s="318">
        <v>42468</v>
      </c>
      <c r="D198" s="383" t="s">
        <v>1180</v>
      </c>
      <c r="E198" s="318" t="s">
        <v>25</v>
      </c>
      <c r="F198" s="384">
        <v>2000</v>
      </c>
      <c r="G198" s="382">
        <v>0</v>
      </c>
      <c r="H198" s="385">
        <f t="shared" si="4"/>
        <v>297542661</v>
      </c>
      <c r="I198" s="385">
        <f t="shared" si="5"/>
        <v>0</v>
      </c>
      <c r="J198" s="18">
        <v>4</v>
      </c>
    </row>
    <row r="199" spans="1:10" s="18" customFormat="1" ht="18" customHeight="1">
      <c r="A199" s="318">
        <v>42468</v>
      </c>
      <c r="B199" s="318" t="s">
        <v>690</v>
      </c>
      <c r="C199" s="318">
        <v>42468</v>
      </c>
      <c r="D199" s="383" t="s">
        <v>1180</v>
      </c>
      <c r="E199" s="318" t="s">
        <v>25</v>
      </c>
      <c r="F199" s="384">
        <v>4500</v>
      </c>
      <c r="G199" s="382">
        <v>0</v>
      </c>
      <c r="H199" s="385">
        <f t="shared" si="4"/>
        <v>297547161</v>
      </c>
      <c r="I199" s="385">
        <f t="shared" si="5"/>
        <v>0</v>
      </c>
      <c r="J199" s="18">
        <v>4</v>
      </c>
    </row>
    <row r="200" spans="1:10" s="18" customFormat="1" ht="18" customHeight="1">
      <c r="A200" s="318">
        <v>42475</v>
      </c>
      <c r="B200" s="318" t="s">
        <v>860</v>
      </c>
      <c r="C200" s="318">
        <v>42475</v>
      </c>
      <c r="D200" s="383" t="s">
        <v>1373</v>
      </c>
      <c r="E200" s="318" t="s">
        <v>61</v>
      </c>
      <c r="F200" s="384">
        <v>287953</v>
      </c>
      <c r="G200" s="382">
        <v>0</v>
      </c>
      <c r="H200" s="385">
        <f t="shared" si="4"/>
        <v>297835114</v>
      </c>
      <c r="I200" s="385">
        <f t="shared" si="5"/>
        <v>0</v>
      </c>
      <c r="J200" s="18">
        <v>4</v>
      </c>
    </row>
    <row r="201" spans="1:10" s="18" customFormat="1" ht="18" customHeight="1">
      <c r="A201" s="318">
        <v>42475</v>
      </c>
      <c r="B201" s="318" t="s">
        <v>690</v>
      </c>
      <c r="C201" s="318">
        <v>42475</v>
      </c>
      <c r="D201" s="383" t="s">
        <v>1424</v>
      </c>
      <c r="E201" s="318" t="s">
        <v>260</v>
      </c>
      <c r="F201" s="384">
        <v>11130</v>
      </c>
      <c r="G201" s="382">
        <v>0</v>
      </c>
      <c r="H201" s="385">
        <f t="shared" si="4"/>
        <v>297846244</v>
      </c>
      <c r="I201" s="385">
        <f t="shared" si="5"/>
        <v>0</v>
      </c>
      <c r="J201" s="18">
        <v>4</v>
      </c>
    </row>
    <row r="202" spans="1:10" s="18" customFormat="1" ht="18" customHeight="1">
      <c r="A202" s="318">
        <v>42475</v>
      </c>
      <c r="B202" s="318" t="s">
        <v>690</v>
      </c>
      <c r="C202" s="318">
        <v>42475</v>
      </c>
      <c r="D202" s="383" t="s">
        <v>1174</v>
      </c>
      <c r="E202" s="318" t="s">
        <v>25</v>
      </c>
      <c r="F202" s="384">
        <v>22280</v>
      </c>
      <c r="G202" s="382">
        <v>0</v>
      </c>
      <c r="H202" s="385">
        <f t="shared" si="4"/>
        <v>297868524</v>
      </c>
      <c r="I202" s="385">
        <f t="shared" si="5"/>
        <v>0</v>
      </c>
      <c r="J202" s="18">
        <v>4</v>
      </c>
    </row>
    <row r="203" spans="1:10" s="18" customFormat="1" ht="18" customHeight="1">
      <c r="A203" s="318">
        <v>42475</v>
      </c>
      <c r="B203" s="318" t="s">
        <v>690</v>
      </c>
      <c r="C203" s="318">
        <v>42475</v>
      </c>
      <c r="D203" s="383" t="s">
        <v>1298</v>
      </c>
      <c r="E203" s="318" t="s">
        <v>25</v>
      </c>
      <c r="F203" s="384">
        <v>61493</v>
      </c>
      <c r="G203" s="382">
        <v>0</v>
      </c>
      <c r="H203" s="385">
        <f t="shared" si="4"/>
        <v>297930017</v>
      </c>
      <c r="I203" s="385">
        <f t="shared" si="5"/>
        <v>0</v>
      </c>
      <c r="J203" s="18">
        <v>4</v>
      </c>
    </row>
    <row r="204" spans="1:10" s="18" customFormat="1" ht="18" customHeight="1">
      <c r="A204" s="318">
        <v>42477</v>
      </c>
      <c r="B204" s="318" t="s">
        <v>862</v>
      </c>
      <c r="C204" s="318">
        <v>42477</v>
      </c>
      <c r="D204" s="383" t="s">
        <v>757</v>
      </c>
      <c r="E204" s="318" t="s">
        <v>61</v>
      </c>
      <c r="F204" s="384">
        <v>48453</v>
      </c>
      <c r="G204" s="382">
        <v>0</v>
      </c>
      <c r="H204" s="385">
        <f t="shared" si="4"/>
        <v>297978470</v>
      </c>
      <c r="I204" s="385">
        <f t="shared" si="5"/>
        <v>0</v>
      </c>
      <c r="J204" s="18">
        <v>4</v>
      </c>
    </row>
    <row r="205" spans="1:10" s="18" customFormat="1" ht="18" customHeight="1">
      <c r="A205" s="318">
        <v>42485</v>
      </c>
      <c r="B205" s="318" t="s">
        <v>866</v>
      </c>
      <c r="C205" s="318">
        <v>42485</v>
      </c>
      <c r="D205" s="383" t="s">
        <v>777</v>
      </c>
      <c r="E205" s="318" t="s">
        <v>61</v>
      </c>
      <c r="F205" s="384">
        <v>166074</v>
      </c>
      <c r="G205" s="382">
        <v>0</v>
      </c>
      <c r="H205" s="385">
        <f t="shared" si="4"/>
        <v>298144544</v>
      </c>
      <c r="I205" s="385">
        <f t="shared" si="5"/>
        <v>0</v>
      </c>
      <c r="J205" s="18">
        <v>4</v>
      </c>
    </row>
    <row r="206" spans="1:10" s="18" customFormat="1" ht="18" customHeight="1">
      <c r="A206" s="318">
        <v>42485</v>
      </c>
      <c r="B206" s="318" t="s">
        <v>690</v>
      </c>
      <c r="C206" s="318">
        <v>42485</v>
      </c>
      <c r="D206" s="383" t="s">
        <v>1180</v>
      </c>
      <c r="E206" s="318" t="s">
        <v>25</v>
      </c>
      <c r="F206" s="384">
        <v>2000</v>
      </c>
      <c r="G206" s="382">
        <v>0</v>
      </c>
      <c r="H206" s="385">
        <f t="shared" si="4"/>
        <v>298146544</v>
      </c>
      <c r="I206" s="385">
        <f t="shared" si="5"/>
        <v>0</v>
      </c>
      <c r="J206" s="18">
        <v>4</v>
      </c>
    </row>
    <row r="207" spans="1:10" s="18" customFormat="1" ht="18" customHeight="1">
      <c r="A207" s="318">
        <v>42485</v>
      </c>
      <c r="B207" s="318" t="s">
        <v>690</v>
      </c>
      <c r="C207" s="318">
        <v>42485</v>
      </c>
      <c r="D207" s="383" t="s">
        <v>1180</v>
      </c>
      <c r="E207" s="318" t="s">
        <v>25</v>
      </c>
      <c r="F207" s="384">
        <v>2000</v>
      </c>
      <c r="G207" s="382">
        <v>0</v>
      </c>
      <c r="H207" s="385">
        <f t="shared" si="4"/>
        <v>298148544</v>
      </c>
      <c r="I207" s="385">
        <f t="shared" si="5"/>
        <v>0</v>
      </c>
      <c r="J207" s="18">
        <v>4</v>
      </c>
    </row>
    <row r="208" spans="1:10" s="18" customFormat="1" ht="18" customHeight="1">
      <c r="A208" s="318">
        <v>42485</v>
      </c>
      <c r="B208" s="318" t="s">
        <v>690</v>
      </c>
      <c r="C208" s="318">
        <v>42485</v>
      </c>
      <c r="D208" s="383" t="s">
        <v>1180</v>
      </c>
      <c r="E208" s="318" t="s">
        <v>25</v>
      </c>
      <c r="F208" s="384">
        <v>4000</v>
      </c>
      <c r="G208" s="382">
        <v>0</v>
      </c>
      <c r="H208" s="385">
        <f t="shared" ref="H208:H271" si="6">IF(D208&lt;&gt;"",MAX(H207+F208-G208-I207,0),0)</f>
        <v>298152544</v>
      </c>
      <c r="I208" s="385">
        <f t="shared" ref="I208:I271" si="7">IF(D208&lt;&gt;"",MAX(I207+G208-H207-F208,0),0)</f>
        <v>0</v>
      </c>
      <c r="J208" s="18">
        <v>4</v>
      </c>
    </row>
    <row r="209" spans="1:10" s="18" customFormat="1" ht="18" customHeight="1">
      <c r="A209" s="318">
        <v>42485</v>
      </c>
      <c r="B209" s="318" t="s">
        <v>690</v>
      </c>
      <c r="C209" s="318">
        <v>42485</v>
      </c>
      <c r="D209" s="383" t="s">
        <v>1180</v>
      </c>
      <c r="E209" s="318" t="s">
        <v>25</v>
      </c>
      <c r="F209" s="384">
        <v>4000</v>
      </c>
      <c r="G209" s="382">
        <v>0</v>
      </c>
      <c r="H209" s="385">
        <f t="shared" si="6"/>
        <v>298156544</v>
      </c>
      <c r="I209" s="385">
        <f t="shared" si="7"/>
        <v>0</v>
      </c>
      <c r="J209" s="18">
        <v>4</v>
      </c>
    </row>
    <row r="210" spans="1:10" s="18" customFormat="1" ht="18" customHeight="1">
      <c r="A210" s="318">
        <v>42486</v>
      </c>
      <c r="B210" s="318" t="s">
        <v>690</v>
      </c>
      <c r="C210" s="318">
        <v>42486</v>
      </c>
      <c r="D210" s="383" t="s">
        <v>1180</v>
      </c>
      <c r="E210" s="318" t="s">
        <v>25</v>
      </c>
      <c r="F210" s="384">
        <v>4500</v>
      </c>
      <c r="G210" s="382">
        <v>0</v>
      </c>
      <c r="H210" s="385">
        <f t="shared" si="6"/>
        <v>298161044</v>
      </c>
      <c r="I210" s="385">
        <f t="shared" si="7"/>
        <v>0</v>
      </c>
      <c r="J210" s="18">
        <v>4</v>
      </c>
    </row>
    <row r="211" spans="1:10" s="18" customFormat="1" ht="18" customHeight="1">
      <c r="A211" s="318">
        <v>42487</v>
      </c>
      <c r="B211" s="318" t="s">
        <v>869</v>
      </c>
      <c r="C211" s="318">
        <v>42487</v>
      </c>
      <c r="D211" s="383" t="s">
        <v>1405</v>
      </c>
      <c r="E211" s="318" t="s">
        <v>61</v>
      </c>
      <c r="F211" s="384">
        <v>1605000</v>
      </c>
      <c r="G211" s="382">
        <v>0</v>
      </c>
      <c r="H211" s="385">
        <f t="shared" si="6"/>
        <v>299766044</v>
      </c>
      <c r="I211" s="385">
        <f t="shared" si="7"/>
        <v>0</v>
      </c>
      <c r="J211" s="18">
        <v>4</v>
      </c>
    </row>
    <row r="212" spans="1:10" s="18" customFormat="1" ht="18" customHeight="1">
      <c r="A212" s="318">
        <v>42487</v>
      </c>
      <c r="B212" s="318" t="s">
        <v>870</v>
      </c>
      <c r="C212" s="318">
        <v>42487</v>
      </c>
      <c r="D212" s="383" t="s">
        <v>1416</v>
      </c>
      <c r="E212" s="318" t="s">
        <v>61</v>
      </c>
      <c r="F212" s="384">
        <v>263800</v>
      </c>
      <c r="G212" s="382">
        <v>0</v>
      </c>
      <c r="H212" s="385">
        <f t="shared" si="6"/>
        <v>300029844</v>
      </c>
      <c r="I212" s="385">
        <f t="shared" si="7"/>
        <v>0</v>
      </c>
      <c r="J212" s="18">
        <v>4</v>
      </c>
    </row>
    <row r="213" spans="1:10" s="18" customFormat="1" ht="18" customHeight="1">
      <c r="A213" s="318">
        <v>42489</v>
      </c>
      <c r="B213" s="318" t="s">
        <v>871</v>
      </c>
      <c r="C213" s="318">
        <v>42489</v>
      </c>
      <c r="D213" s="383" t="s">
        <v>1342</v>
      </c>
      <c r="E213" s="318" t="s">
        <v>61</v>
      </c>
      <c r="F213" s="384">
        <v>81818</v>
      </c>
      <c r="G213" s="382">
        <v>0</v>
      </c>
      <c r="H213" s="385">
        <f t="shared" si="6"/>
        <v>300111662</v>
      </c>
      <c r="I213" s="385">
        <f t="shared" si="7"/>
        <v>0</v>
      </c>
      <c r="J213" s="18">
        <v>4</v>
      </c>
    </row>
    <row r="214" spans="1:10" s="18" customFormat="1" ht="18" customHeight="1">
      <c r="A214" s="318">
        <v>42489</v>
      </c>
      <c r="B214" s="318" t="s">
        <v>872</v>
      </c>
      <c r="C214" s="318">
        <v>42489</v>
      </c>
      <c r="D214" s="383" t="s">
        <v>757</v>
      </c>
      <c r="E214" s="318" t="s">
        <v>61</v>
      </c>
      <c r="F214" s="384">
        <v>54678</v>
      </c>
      <c r="G214" s="382">
        <v>0</v>
      </c>
      <c r="H214" s="385">
        <f t="shared" si="6"/>
        <v>300166340</v>
      </c>
      <c r="I214" s="385">
        <f t="shared" si="7"/>
        <v>0</v>
      </c>
      <c r="J214" s="18">
        <v>4</v>
      </c>
    </row>
    <row r="215" spans="1:10" s="18" customFormat="1" ht="18" customHeight="1">
      <c r="A215" s="318">
        <v>42489</v>
      </c>
      <c r="B215" s="318" t="s">
        <v>690</v>
      </c>
      <c r="C215" s="318">
        <v>42489</v>
      </c>
      <c r="D215" s="383" t="s">
        <v>1451</v>
      </c>
      <c r="E215" s="318" t="s">
        <v>576</v>
      </c>
      <c r="F215" s="384">
        <v>256323</v>
      </c>
      <c r="G215" s="382">
        <v>0</v>
      </c>
      <c r="H215" s="385">
        <f t="shared" si="6"/>
        <v>300422663</v>
      </c>
      <c r="I215" s="385">
        <f t="shared" si="7"/>
        <v>0</v>
      </c>
      <c r="J215" s="18">
        <v>4</v>
      </c>
    </row>
    <row r="216" spans="1:10" s="18" customFormat="1" ht="18" customHeight="1">
      <c r="A216" s="318">
        <v>42499</v>
      </c>
      <c r="B216" s="318" t="s">
        <v>662</v>
      </c>
      <c r="C216" s="318">
        <v>42499</v>
      </c>
      <c r="D216" s="383" t="s">
        <v>637</v>
      </c>
      <c r="E216" s="318" t="s">
        <v>8</v>
      </c>
      <c r="F216" s="384">
        <v>3039098</v>
      </c>
      <c r="G216" s="382">
        <v>0</v>
      </c>
      <c r="H216" s="385">
        <f t="shared" si="6"/>
        <v>303461761</v>
      </c>
      <c r="I216" s="385">
        <f t="shared" si="7"/>
        <v>0</v>
      </c>
      <c r="J216" s="18">
        <v>5</v>
      </c>
    </row>
    <row r="217" spans="1:10" s="18" customFormat="1" ht="18" customHeight="1">
      <c r="A217" s="318">
        <v>42521</v>
      </c>
      <c r="B217" s="318" t="s">
        <v>570</v>
      </c>
      <c r="C217" s="318">
        <v>42502</v>
      </c>
      <c r="D217" s="383" t="s">
        <v>625</v>
      </c>
      <c r="E217" s="318" t="s">
        <v>8</v>
      </c>
      <c r="F217" s="384">
        <v>200000</v>
      </c>
      <c r="G217" s="382">
        <v>0</v>
      </c>
      <c r="H217" s="385">
        <f t="shared" si="6"/>
        <v>303661761</v>
      </c>
      <c r="I217" s="385">
        <f t="shared" si="7"/>
        <v>0</v>
      </c>
      <c r="J217" s="18">
        <v>5</v>
      </c>
    </row>
    <row r="218" spans="1:10" s="18" customFormat="1" ht="18" customHeight="1">
      <c r="A218" s="318">
        <v>42521</v>
      </c>
      <c r="B218" s="318" t="s">
        <v>570</v>
      </c>
      <c r="C218" s="318">
        <v>42503</v>
      </c>
      <c r="D218" s="383" t="s">
        <v>1482</v>
      </c>
      <c r="E218" s="318" t="s">
        <v>8</v>
      </c>
      <c r="F218" s="384">
        <v>850392</v>
      </c>
      <c r="G218" s="382">
        <v>0</v>
      </c>
      <c r="H218" s="385">
        <f t="shared" si="6"/>
        <v>304512153</v>
      </c>
      <c r="I218" s="385">
        <f t="shared" si="7"/>
        <v>0</v>
      </c>
      <c r="J218" s="18">
        <v>5</v>
      </c>
    </row>
    <row r="219" spans="1:10" s="18" customFormat="1" ht="18" customHeight="1">
      <c r="A219" s="318">
        <v>42521</v>
      </c>
      <c r="B219" s="318" t="s">
        <v>570</v>
      </c>
      <c r="C219" s="318">
        <v>42504</v>
      </c>
      <c r="D219" s="383" t="s">
        <v>1488</v>
      </c>
      <c r="E219" s="318" t="s">
        <v>8</v>
      </c>
      <c r="F219" s="384">
        <v>784134</v>
      </c>
      <c r="G219" s="382">
        <v>0</v>
      </c>
      <c r="H219" s="385">
        <f t="shared" si="6"/>
        <v>305296287</v>
      </c>
      <c r="I219" s="385">
        <f t="shared" si="7"/>
        <v>0</v>
      </c>
      <c r="J219" s="18">
        <v>5</v>
      </c>
    </row>
    <row r="220" spans="1:10" s="18" customFormat="1" ht="18" customHeight="1">
      <c r="A220" s="318">
        <v>42521</v>
      </c>
      <c r="B220" s="318" t="s">
        <v>570</v>
      </c>
      <c r="C220" s="318">
        <v>42496</v>
      </c>
      <c r="D220" s="383" t="s">
        <v>1476</v>
      </c>
      <c r="E220" s="318" t="s">
        <v>8</v>
      </c>
      <c r="F220" s="384">
        <v>2589690</v>
      </c>
      <c r="G220" s="382">
        <v>0</v>
      </c>
      <c r="H220" s="385">
        <f t="shared" si="6"/>
        <v>307885977</v>
      </c>
      <c r="I220" s="385">
        <f t="shared" si="7"/>
        <v>0</v>
      </c>
      <c r="J220" s="18">
        <v>5</v>
      </c>
    </row>
    <row r="221" spans="1:10" s="18" customFormat="1" ht="18" customHeight="1">
      <c r="A221" s="318">
        <v>42521</v>
      </c>
      <c r="B221" s="318" t="s">
        <v>570</v>
      </c>
      <c r="C221" s="318">
        <v>42506</v>
      </c>
      <c r="D221" s="383" t="s">
        <v>1478</v>
      </c>
      <c r="E221" s="318" t="s">
        <v>8</v>
      </c>
      <c r="F221" s="384">
        <v>3211150</v>
      </c>
      <c r="G221" s="382">
        <v>0</v>
      </c>
      <c r="H221" s="385">
        <f t="shared" si="6"/>
        <v>311097127</v>
      </c>
      <c r="I221" s="385">
        <f t="shared" si="7"/>
        <v>0</v>
      </c>
      <c r="J221" s="18">
        <v>5</v>
      </c>
    </row>
    <row r="222" spans="1:10" s="18" customFormat="1" ht="18" customHeight="1">
      <c r="A222" s="318">
        <v>42521</v>
      </c>
      <c r="B222" s="318" t="s">
        <v>570</v>
      </c>
      <c r="C222" s="318">
        <v>42516</v>
      </c>
      <c r="D222" s="383" t="s">
        <v>1480</v>
      </c>
      <c r="E222" s="318" t="s">
        <v>8</v>
      </c>
      <c r="F222" s="384">
        <v>2848030</v>
      </c>
      <c r="G222" s="382">
        <v>0</v>
      </c>
      <c r="H222" s="385">
        <f t="shared" si="6"/>
        <v>313945157</v>
      </c>
      <c r="I222" s="385">
        <f t="shared" si="7"/>
        <v>0</v>
      </c>
      <c r="J222" s="18">
        <v>5</v>
      </c>
    </row>
    <row r="223" spans="1:10" s="18" customFormat="1" ht="18" customHeight="1">
      <c r="A223" s="318">
        <v>42508</v>
      </c>
      <c r="B223" s="318" t="s">
        <v>570</v>
      </c>
      <c r="C223" s="318">
        <v>42508</v>
      </c>
      <c r="D223" s="383" t="s">
        <v>1499</v>
      </c>
      <c r="E223" s="318" t="s">
        <v>576</v>
      </c>
      <c r="F223" s="384">
        <v>1759330</v>
      </c>
      <c r="G223" s="382">
        <v>0</v>
      </c>
      <c r="H223" s="385">
        <f t="shared" si="6"/>
        <v>315704487</v>
      </c>
      <c r="I223" s="385">
        <f t="shared" si="7"/>
        <v>0</v>
      </c>
      <c r="J223" s="18">
        <v>5</v>
      </c>
    </row>
    <row r="224" spans="1:10" s="18" customFormat="1" ht="18" customHeight="1">
      <c r="A224" s="318">
        <v>42494</v>
      </c>
      <c r="B224" s="318" t="s">
        <v>852</v>
      </c>
      <c r="C224" s="318">
        <v>42489</v>
      </c>
      <c r="D224" s="383" t="s">
        <v>1469</v>
      </c>
      <c r="E224" s="318" t="s">
        <v>61</v>
      </c>
      <c r="F224" s="384">
        <v>3305</v>
      </c>
      <c r="G224" s="382">
        <v>0</v>
      </c>
      <c r="H224" s="385">
        <f t="shared" si="6"/>
        <v>315707792</v>
      </c>
      <c r="I224" s="385">
        <f t="shared" si="7"/>
        <v>0</v>
      </c>
      <c r="J224" s="18">
        <v>5</v>
      </c>
    </row>
    <row r="225" spans="1:10" s="18" customFormat="1" ht="18" customHeight="1">
      <c r="A225" s="318">
        <v>42494</v>
      </c>
      <c r="B225" s="318" t="s">
        <v>854</v>
      </c>
      <c r="C225" s="318">
        <v>42494</v>
      </c>
      <c r="D225" s="383" t="s">
        <v>998</v>
      </c>
      <c r="E225" s="318" t="s">
        <v>61</v>
      </c>
      <c r="F225" s="384">
        <v>108244</v>
      </c>
      <c r="G225" s="382">
        <v>0</v>
      </c>
      <c r="H225" s="385">
        <f t="shared" si="6"/>
        <v>315816036</v>
      </c>
      <c r="I225" s="385">
        <f t="shared" si="7"/>
        <v>0</v>
      </c>
      <c r="J225" s="18">
        <v>5</v>
      </c>
    </row>
    <row r="226" spans="1:10" s="18" customFormat="1" ht="18" customHeight="1">
      <c r="A226" s="318">
        <v>42494</v>
      </c>
      <c r="B226" s="318" t="s">
        <v>690</v>
      </c>
      <c r="C226" s="318">
        <v>42494</v>
      </c>
      <c r="D226" s="383" t="s">
        <v>1180</v>
      </c>
      <c r="E226" s="318" t="s">
        <v>25</v>
      </c>
      <c r="F226" s="384">
        <v>2500</v>
      </c>
      <c r="G226" s="382">
        <v>0</v>
      </c>
      <c r="H226" s="385">
        <f t="shared" si="6"/>
        <v>315818536</v>
      </c>
      <c r="I226" s="385">
        <f t="shared" si="7"/>
        <v>0</v>
      </c>
      <c r="J226" s="18">
        <v>5</v>
      </c>
    </row>
    <row r="227" spans="1:10" s="18" customFormat="1" ht="18" customHeight="1">
      <c r="A227" s="318">
        <v>42494</v>
      </c>
      <c r="B227" s="318" t="s">
        <v>690</v>
      </c>
      <c r="C227" s="318">
        <v>42494</v>
      </c>
      <c r="D227" s="383" t="s">
        <v>1531</v>
      </c>
      <c r="E227" s="318" t="s">
        <v>25</v>
      </c>
      <c r="F227" s="384">
        <v>2000</v>
      </c>
      <c r="G227" s="382">
        <v>0</v>
      </c>
      <c r="H227" s="385">
        <f t="shared" si="6"/>
        <v>315820536</v>
      </c>
      <c r="I227" s="385">
        <f t="shared" si="7"/>
        <v>0</v>
      </c>
      <c r="J227" s="18">
        <v>5</v>
      </c>
    </row>
    <row r="228" spans="1:10" s="18" customFormat="1" ht="18" customHeight="1">
      <c r="A228" s="318">
        <v>42495</v>
      </c>
      <c r="B228" s="318" t="s">
        <v>855</v>
      </c>
      <c r="C228" s="318">
        <v>42495</v>
      </c>
      <c r="D228" s="383" t="s">
        <v>1453</v>
      </c>
      <c r="E228" s="318" t="s">
        <v>61</v>
      </c>
      <c r="F228" s="384">
        <v>192782</v>
      </c>
      <c r="G228" s="382">
        <v>0</v>
      </c>
      <c r="H228" s="385">
        <f t="shared" si="6"/>
        <v>316013318</v>
      </c>
      <c r="I228" s="385">
        <f t="shared" si="7"/>
        <v>0</v>
      </c>
      <c r="J228" s="18">
        <v>5</v>
      </c>
    </row>
    <row r="229" spans="1:10" s="18" customFormat="1" ht="18" customHeight="1">
      <c r="A229" s="318">
        <v>42500</v>
      </c>
      <c r="B229" s="318" t="s">
        <v>690</v>
      </c>
      <c r="C229" s="318">
        <v>42500</v>
      </c>
      <c r="D229" s="383" t="s">
        <v>1173</v>
      </c>
      <c r="E229" s="318" t="s">
        <v>25</v>
      </c>
      <c r="F229" s="384">
        <v>33390</v>
      </c>
      <c r="G229" s="382">
        <v>0</v>
      </c>
      <c r="H229" s="385">
        <f t="shared" si="6"/>
        <v>316046708</v>
      </c>
      <c r="I229" s="385">
        <f t="shared" si="7"/>
        <v>0</v>
      </c>
      <c r="J229" s="18">
        <v>5</v>
      </c>
    </row>
    <row r="230" spans="1:10" s="18" customFormat="1" ht="18" customHeight="1">
      <c r="A230" s="318">
        <v>42501</v>
      </c>
      <c r="B230" s="318" t="s">
        <v>570</v>
      </c>
      <c r="C230" s="318">
        <v>42501</v>
      </c>
      <c r="D230" s="383" t="s">
        <v>1174</v>
      </c>
      <c r="E230" s="318" t="s">
        <v>254</v>
      </c>
      <c r="F230" s="384">
        <v>22260</v>
      </c>
      <c r="G230" s="382">
        <v>0</v>
      </c>
      <c r="H230" s="385">
        <f t="shared" si="6"/>
        <v>316068968</v>
      </c>
      <c r="I230" s="385">
        <f t="shared" si="7"/>
        <v>0</v>
      </c>
      <c r="J230" s="18">
        <v>5</v>
      </c>
    </row>
    <row r="231" spans="1:10" s="18" customFormat="1" ht="18" customHeight="1">
      <c r="A231" s="318">
        <v>42501</v>
      </c>
      <c r="B231" s="318" t="s">
        <v>570</v>
      </c>
      <c r="C231" s="318">
        <v>42501</v>
      </c>
      <c r="D231" s="383" t="s">
        <v>1298</v>
      </c>
      <c r="E231" s="318" t="s">
        <v>254</v>
      </c>
      <c r="F231" s="384">
        <v>61438</v>
      </c>
      <c r="G231" s="382">
        <v>0</v>
      </c>
      <c r="H231" s="385">
        <f t="shared" si="6"/>
        <v>316130406</v>
      </c>
      <c r="I231" s="385">
        <f t="shared" si="7"/>
        <v>0</v>
      </c>
      <c r="J231" s="18">
        <v>5</v>
      </c>
    </row>
    <row r="232" spans="1:10" s="18" customFormat="1" ht="18" customHeight="1">
      <c r="A232" s="318">
        <v>42502</v>
      </c>
      <c r="B232" s="318" t="s">
        <v>860</v>
      </c>
      <c r="C232" s="318">
        <v>42502</v>
      </c>
      <c r="D232" s="383" t="s">
        <v>1335</v>
      </c>
      <c r="E232" s="318" t="s">
        <v>61</v>
      </c>
      <c r="F232" s="384">
        <v>880454</v>
      </c>
      <c r="G232" s="382">
        <v>0</v>
      </c>
      <c r="H232" s="385">
        <f t="shared" si="6"/>
        <v>317010860</v>
      </c>
      <c r="I232" s="385">
        <f t="shared" si="7"/>
        <v>0</v>
      </c>
      <c r="J232" s="18">
        <v>5</v>
      </c>
    </row>
    <row r="233" spans="1:10" s="18" customFormat="1" ht="18" customHeight="1">
      <c r="A233" s="318">
        <v>42503</v>
      </c>
      <c r="B233" s="318" t="s">
        <v>861</v>
      </c>
      <c r="C233" s="318">
        <v>42503</v>
      </c>
      <c r="D233" s="383" t="s">
        <v>1457</v>
      </c>
      <c r="E233" s="318" t="s">
        <v>61</v>
      </c>
      <c r="F233" s="384">
        <v>35453</v>
      </c>
      <c r="G233" s="382">
        <v>0</v>
      </c>
      <c r="H233" s="385">
        <f t="shared" si="6"/>
        <v>317046313</v>
      </c>
      <c r="I233" s="385">
        <f t="shared" si="7"/>
        <v>0</v>
      </c>
      <c r="J233" s="18">
        <v>5</v>
      </c>
    </row>
    <row r="234" spans="1:10" s="18" customFormat="1" ht="18" customHeight="1">
      <c r="A234" s="318">
        <v>42503</v>
      </c>
      <c r="B234" s="318" t="s">
        <v>570</v>
      </c>
      <c r="C234" s="318">
        <v>42503</v>
      </c>
      <c r="D234" s="383" t="s">
        <v>1174</v>
      </c>
      <c r="E234" s="318" t="s">
        <v>254</v>
      </c>
      <c r="F234" s="384">
        <v>22290</v>
      </c>
      <c r="G234" s="382">
        <v>0</v>
      </c>
      <c r="H234" s="385">
        <f t="shared" si="6"/>
        <v>317068603</v>
      </c>
      <c r="I234" s="385">
        <f t="shared" si="7"/>
        <v>0</v>
      </c>
      <c r="J234" s="18">
        <v>5</v>
      </c>
    </row>
    <row r="235" spans="1:10" s="18" customFormat="1" ht="18" customHeight="1">
      <c r="A235" s="318">
        <v>42503</v>
      </c>
      <c r="B235" s="318" t="s">
        <v>570</v>
      </c>
      <c r="C235" s="318">
        <v>42503</v>
      </c>
      <c r="D235" s="383" t="s">
        <v>1298</v>
      </c>
      <c r="E235" s="318" t="s">
        <v>254</v>
      </c>
      <c r="F235" s="384">
        <v>61520</v>
      </c>
      <c r="G235" s="382">
        <v>0</v>
      </c>
      <c r="H235" s="385">
        <f t="shared" si="6"/>
        <v>317130123</v>
      </c>
      <c r="I235" s="385">
        <f t="shared" si="7"/>
        <v>0</v>
      </c>
      <c r="J235" s="18">
        <v>5</v>
      </c>
    </row>
    <row r="236" spans="1:10" s="18" customFormat="1" ht="18" customHeight="1">
      <c r="A236" s="318">
        <v>42503</v>
      </c>
      <c r="B236" s="318" t="s">
        <v>570</v>
      </c>
      <c r="C236" s="318">
        <v>42503</v>
      </c>
      <c r="D236" s="383" t="s">
        <v>1178</v>
      </c>
      <c r="E236" s="318" t="s">
        <v>254</v>
      </c>
      <c r="F236" s="384">
        <v>11145</v>
      </c>
      <c r="G236" s="382">
        <v>0</v>
      </c>
      <c r="H236" s="385">
        <f t="shared" si="6"/>
        <v>317141268</v>
      </c>
      <c r="I236" s="385">
        <f t="shared" si="7"/>
        <v>0</v>
      </c>
      <c r="J236" s="18">
        <v>5</v>
      </c>
    </row>
    <row r="237" spans="1:10" s="18" customFormat="1" ht="18" customHeight="1">
      <c r="A237" s="318">
        <v>42506</v>
      </c>
      <c r="B237" s="318" t="s">
        <v>864</v>
      </c>
      <c r="C237" s="318">
        <v>42506</v>
      </c>
      <c r="D237" s="383" t="s">
        <v>998</v>
      </c>
      <c r="E237" s="318" t="s">
        <v>61</v>
      </c>
      <c r="F237" s="384">
        <v>267991</v>
      </c>
      <c r="G237" s="382">
        <v>0</v>
      </c>
      <c r="H237" s="385">
        <f t="shared" si="6"/>
        <v>317409259</v>
      </c>
      <c r="I237" s="385">
        <f t="shared" si="7"/>
        <v>0</v>
      </c>
      <c r="J237" s="18">
        <v>5</v>
      </c>
    </row>
    <row r="238" spans="1:10" s="18" customFormat="1" ht="18" customHeight="1">
      <c r="A238" s="318">
        <v>42506</v>
      </c>
      <c r="B238" s="318" t="s">
        <v>690</v>
      </c>
      <c r="C238" s="318">
        <v>42506</v>
      </c>
      <c r="D238" s="383" t="s">
        <v>1180</v>
      </c>
      <c r="E238" s="318" t="s">
        <v>25</v>
      </c>
      <c r="F238" s="384">
        <v>2500</v>
      </c>
      <c r="G238" s="382">
        <v>0</v>
      </c>
      <c r="H238" s="385">
        <f t="shared" si="6"/>
        <v>317411759</v>
      </c>
      <c r="I238" s="385">
        <f t="shared" si="7"/>
        <v>0</v>
      </c>
      <c r="J238" s="18">
        <v>5</v>
      </c>
    </row>
    <row r="239" spans="1:10" s="18" customFormat="1" ht="18" customHeight="1">
      <c r="A239" s="318">
        <v>42506</v>
      </c>
      <c r="B239" s="318" t="s">
        <v>690</v>
      </c>
      <c r="C239" s="318">
        <v>42506</v>
      </c>
      <c r="D239" s="383" t="s">
        <v>1184</v>
      </c>
      <c r="E239" s="318" t="s">
        <v>25</v>
      </c>
      <c r="F239" s="384">
        <v>5000</v>
      </c>
      <c r="G239" s="382">
        <v>0</v>
      </c>
      <c r="H239" s="385">
        <f t="shared" si="6"/>
        <v>317416759</v>
      </c>
      <c r="I239" s="385">
        <f t="shared" si="7"/>
        <v>0</v>
      </c>
      <c r="J239" s="18">
        <v>5</v>
      </c>
    </row>
    <row r="240" spans="1:10" s="18" customFormat="1" ht="18" customHeight="1">
      <c r="A240" s="318">
        <v>42506</v>
      </c>
      <c r="B240" s="318" t="s">
        <v>690</v>
      </c>
      <c r="C240" s="318">
        <v>42506</v>
      </c>
      <c r="D240" s="383" t="s">
        <v>1184</v>
      </c>
      <c r="E240" s="318" t="s">
        <v>25</v>
      </c>
      <c r="F240" s="384">
        <v>5000</v>
      </c>
      <c r="G240" s="382">
        <v>0</v>
      </c>
      <c r="H240" s="385">
        <f t="shared" si="6"/>
        <v>317421759</v>
      </c>
      <c r="I240" s="385">
        <f t="shared" si="7"/>
        <v>0</v>
      </c>
      <c r="J240" s="18">
        <v>5</v>
      </c>
    </row>
    <row r="241" spans="1:10" s="18" customFormat="1" ht="18" customHeight="1">
      <c r="A241" s="318">
        <v>42507</v>
      </c>
      <c r="B241" s="318" t="s">
        <v>690</v>
      </c>
      <c r="C241" s="318">
        <v>42507</v>
      </c>
      <c r="D241" s="383" t="s">
        <v>1180</v>
      </c>
      <c r="E241" s="318" t="s">
        <v>25</v>
      </c>
      <c r="F241" s="384">
        <v>2500</v>
      </c>
      <c r="G241" s="382">
        <v>0</v>
      </c>
      <c r="H241" s="385">
        <f t="shared" si="6"/>
        <v>317424259</v>
      </c>
      <c r="I241" s="385">
        <f t="shared" si="7"/>
        <v>0</v>
      </c>
      <c r="J241" s="18">
        <v>5</v>
      </c>
    </row>
    <row r="242" spans="1:10" s="18" customFormat="1" ht="18" customHeight="1">
      <c r="A242" s="318">
        <v>42510</v>
      </c>
      <c r="B242" s="318" t="s">
        <v>865</v>
      </c>
      <c r="C242" s="318">
        <v>42510</v>
      </c>
      <c r="D242" s="383" t="s">
        <v>998</v>
      </c>
      <c r="E242" s="318" t="s">
        <v>61</v>
      </c>
      <c r="F242" s="384">
        <v>87158</v>
      </c>
      <c r="G242" s="382">
        <v>0</v>
      </c>
      <c r="H242" s="385">
        <f t="shared" si="6"/>
        <v>317511417</v>
      </c>
      <c r="I242" s="385">
        <f t="shared" si="7"/>
        <v>0</v>
      </c>
      <c r="J242" s="18">
        <v>5</v>
      </c>
    </row>
    <row r="243" spans="1:10" s="18" customFormat="1" ht="18" customHeight="1">
      <c r="A243" s="318">
        <v>42510</v>
      </c>
      <c r="B243" s="318" t="s">
        <v>570</v>
      </c>
      <c r="C243" s="318">
        <v>42510</v>
      </c>
      <c r="D243" s="383" t="s">
        <v>1498</v>
      </c>
      <c r="E243" s="318" t="s">
        <v>576</v>
      </c>
      <c r="F243" s="384">
        <v>4902</v>
      </c>
      <c r="G243" s="382">
        <v>0</v>
      </c>
      <c r="H243" s="385">
        <f t="shared" si="6"/>
        <v>317516319</v>
      </c>
      <c r="I243" s="385">
        <f t="shared" si="7"/>
        <v>0</v>
      </c>
      <c r="J243" s="18">
        <v>5</v>
      </c>
    </row>
    <row r="244" spans="1:10" s="18" customFormat="1" ht="18" customHeight="1">
      <c r="A244" s="318">
        <v>42513</v>
      </c>
      <c r="B244" s="318" t="s">
        <v>868</v>
      </c>
      <c r="C244" s="318">
        <v>42513</v>
      </c>
      <c r="D244" s="383" t="s">
        <v>1515</v>
      </c>
      <c r="E244" s="318" t="s">
        <v>61</v>
      </c>
      <c r="F244" s="384">
        <v>24000</v>
      </c>
      <c r="G244" s="382">
        <v>0</v>
      </c>
      <c r="H244" s="385">
        <f t="shared" si="6"/>
        <v>317540319</v>
      </c>
      <c r="I244" s="385">
        <f t="shared" si="7"/>
        <v>0</v>
      </c>
      <c r="J244" s="18">
        <v>5</v>
      </c>
    </row>
    <row r="245" spans="1:10" s="18" customFormat="1" ht="18" customHeight="1">
      <c r="A245" s="318">
        <v>42513</v>
      </c>
      <c r="B245" s="318" t="s">
        <v>869</v>
      </c>
      <c r="C245" s="318">
        <v>42513</v>
      </c>
      <c r="D245" s="383" t="s">
        <v>1515</v>
      </c>
      <c r="E245" s="318" t="s">
        <v>61</v>
      </c>
      <c r="F245" s="384">
        <v>15000</v>
      </c>
      <c r="G245" s="382">
        <v>0</v>
      </c>
      <c r="H245" s="385">
        <f t="shared" si="6"/>
        <v>317555319</v>
      </c>
      <c r="I245" s="385">
        <f t="shared" si="7"/>
        <v>0</v>
      </c>
      <c r="J245" s="18">
        <v>5</v>
      </c>
    </row>
    <row r="246" spans="1:10" s="18" customFormat="1" ht="18" customHeight="1">
      <c r="A246" s="318">
        <v>42514</v>
      </c>
      <c r="B246" s="318" t="s">
        <v>870</v>
      </c>
      <c r="C246" s="318">
        <v>42514</v>
      </c>
      <c r="D246" s="383" t="s">
        <v>998</v>
      </c>
      <c r="E246" s="318" t="s">
        <v>61</v>
      </c>
      <c r="F246" s="384">
        <v>131038</v>
      </c>
      <c r="G246" s="382">
        <v>0</v>
      </c>
      <c r="H246" s="385">
        <f t="shared" si="6"/>
        <v>317686357</v>
      </c>
      <c r="I246" s="385">
        <f t="shared" si="7"/>
        <v>0</v>
      </c>
      <c r="J246" s="18">
        <v>5</v>
      </c>
    </row>
    <row r="247" spans="1:10" s="18" customFormat="1" ht="18" customHeight="1">
      <c r="A247" s="318">
        <v>42514</v>
      </c>
      <c r="B247" s="318" t="s">
        <v>690</v>
      </c>
      <c r="C247" s="318">
        <v>42514</v>
      </c>
      <c r="D247" s="383" t="s">
        <v>1180</v>
      </c>
      <c r="E247" s="318" t="s">
        <v>25</v>
      </c>
      <c r="F247" s="384">
        <v>2500</v>
      </c>
      <c r="G247" s="382">
        <v>0</v>
      </c>
      <c r="H247" s="385">
        <f t="shared" si="6"/>
        <v>317688857</v>
      </c>
      <c r="I247" s="385">
        <f t="shared" si="7"/>
        <v>0</v>
      </c>
      <c r="J247" s="18">
        <v>5</v>
      </c>
    </row>
    <row r="248" spans="1:10" s="18" customFormat="1" ht="18" customHeight="1">
      <c r="A248" s="318">
        <v>42515</v>
      </c>
      <c r="B248" s="318" t="s">
        <v>871</v>
      </c>
      <c r="C248" s="318">
        <v>42515</v>
      </c>
      <c r="D248" s="383" t="s">
        <v>1123</v>
      </c>
      <c r="E248" s="318" t="s">
        <v>61</v>
      </c>
      <c r="F248" s="384">
        <v>152666</v>
      </c>
      <c r="G248" s="382">
        <v>0</v>
      </c>
      <c r="H248" s="385">
        <f t="shared" si="6"/>
        <v>317841523</v>
      </c>
      <c r="I248" s="385">
        <f t="shared" si="7"/>
        <v>0</v>
      </c>
      <c r="J248" s="18">
        <v>5</v>
      </c>
    </row>
    <row r="249" spans="1:10" s="18" customFormat="1" ht="18" customHeight="1">
      <c r="A249" s="318">
        <v>42516</v>
      </c>
      <c r="B249" s="318" t="s">
        <v>872</v>
      </c>
      <c r="C249" s="318">
        <v>42516</v>
      </c>
      <c r="D249" s="383" t="s">
        <v>1511</v>
      </c>
      <c r="E249" s="318" t="s">
        <v>61</v>
      </c>
      <c r="F249" s="384">
        <v>46273</v>
      </c>
      <c r="G249" s="382">
        <v>0</v>
      </c>
      <c r="H249" s="385">
        <f t="shared" si="6"/>
        <v>317887796</v>
      </c>
      <c r="I249" s="385">
        <f t="shared" si="7"/>
        <v>0</v>
      </c>
      <c r="J249" s="18">
        <v>5</v>
      </c>
    </row>
    <row r="250" spans="1:10" s="18" customFormat="1" ht="18" customHeight="1">
      <c r="A250" s="318">
        <v>42517</v>
      </c>
      <c r="B250" s="318" t="s">
        <v>873</v>
      </c>
      <c r="C250" s="318">
        <v>42517</v>
      </c>
      <c r="D250" s="383" t="s">
        <v>1468</v>
      </c>
      <c r="E250" s="318" t="s">
        <v>61</v>
      </c>
      <c r="F250" s="384">
        <v>1605000</v>
      </c>
      <c r="G250" s="382">
        <v>0</v>
      </c>
      <c r="H250" s="385">
        <f t="shared" si="6"/>
        <v>319492796</v>
      </c>
      <c r="I250" s="385">
        <f t="shared" si="7"/>
        <v>0</v>
      </c>
      <c r="J250" s="18">
        <v>5</v>
      </c>
    </row>
    <row r="251" spans="1:10" s="18" customFormat="1" ht="18" customHeight="1">
      <c r="A251" s="318">
        <v>42519</v>
      </c>
      <c r="B251" s="318" t="s">
        <v>874</v>
      </c>
      <c r="C251" s="318">
        <v>42519</v>
      </c>
      <c r="D251" s="383" t="s">
        <v>998</v>
      </c>
      <c r="E251" s="318" t="s">
        <v>61</v>
      </c>
      <c r="F251" s="384">
        <v>159193</v>
      </c>
      <c r="G251" s="382">
        <v>0</v>
      </c>
      <c r="H251" s="385">
        <f t="shared" si="6"/>
        <v>319651989</v>
      </c>
      <c r="I251" s="385">
        <f t="shared" si="7"/>
        <v>0</v>
      </c>
      <c r="J251" s="18">
        <v>5</v>
      </c>
    </row>
    <row r="252" spans="1:10" s="18" customFormat="1" ht="18" customHeight="1">
      <c r="A252" s="318">
        <v>42520</v>
      </c>
      <c r="B252" s="318" t="s">
        <v>875</v>
      </c>
      <c r="C252" s="318">
        <v>42520</v>
      </c>
      <c r="D252" s="383" t="s">
        <v>1515</v>
      </c>
      <c r="E252" s="318" t="s">
        <v>61</v>
      </c>
      <c r="F252" s="384">
        <v>252000</v>
      </c>
      <c r="G252" s="382">
        <v>0</v>
      </c>
      <c r="H252" s="385">
        <f t="shared" si="6"/>
        <v>319903989</v>
      </c>
      <c r="I252" s="385">
        <f t="shared" si="7"/>
        <v>0</v>
      </c>
      <c r="J252" s="18">
        <v>5</v>
      </c>
    </row>
    <row r="253" spans="1:10" s="18" customFormat="1" ht="18" customHeight="1">
      <c r="A253" s="318">
        <v>42520</v>
      </c>
      <c r="B253" s="318" t="s">
        <v>876</v>
      </c>
      <c r="C253" s="318">
        <v>42520</v>
      </c>
      <c r="D253" s="383" t="s">
        <v>1335</v>
      </c>
      <c r="E253" s="318" t="s">
        <v>61</v>
      </c>
      <c r="F253" s="384">
        <v>880451</v>
      </c>
      <c r="G253" s="382">
        <v>0</v>
      </c>
      <c r="H253" s="385">
        <f t="shared" si="6"/>
        <v>320784440</v>
      </c>
      <c r="I253" s="385">
        <f t="shared" si="7"/>
        <v>0</v>
      </c>
      <c r="J253" s="18">
        <v>5</v>
      </c>
    </row>
    <row r="254" spans="1:10" s="18" customFormat="1" ht="18" customHeight="1">
      <c r="A254" s="318">
        <v>42521</v>
      </c>
      <c r="B254" s="318" t="s">
        <v>877</v>
      </c>
      <c r="C254" s="318">
        <v>42521</v>
      </c>
      <c r="D254" s="383" t="s">
        <v>998</v>
      </c>
      <c r="E254" s="318" t="s">
        <v>61</v>
      </c>
      <c r="F254" s="384">
        <v>50336</v>
      </c>
      <c r="G254" s="382">
        <v>0</v>
      </c>
      <c r="H254" s="385">
        <f t="shared" si="6"/>
        <v>320834776</v>
      </c>
      <c r="I254" s="385">
        <f t="shared" si="7"/>
        <v>0</v>
      </c>
      <c r="J254" s="18">
        <v>5</v>
      </c>
    </row>
    <row r="255" spans="1:10" s="18" customFormat="1" ht="18" customHeight="1">
      <c r="A255" s="318">
        <v>42521</v>
      </c>
      <c r="B255" s="318" t="s">
        <v>879</v>
      </c>
      <c r="C255" s="318">
        <v>42521</v>
      </c>
      <c r="D255" s="383" t="s">
        <v>1508</v>
      </c>
      <c r="E255" s="318" t="s">
        <v>61</v>
      </c>
      <c r="F255" s="384">
        <v>200000</v>
      </c>
      <c r="G255" s="382">
        <v>0</v>
      </c>
      <c r="H255" s="385">
        <f t="shared" si="6"/>
        <v>321034776</v>
      </c>
      <c r="I255" s="385">
        <f t="shared" si="7"/>
        <v>0</v>
      </c>
      <c r="J255" s="18">
        <v>5</v>
      </c>
    </row>
    <row r="256" spans="1:10" s="18" customFormat="1" ht="18" customHeight="1">
      <c r="A256" s="318">
        <v>42521</v>
      </c>
      <c r="B256" s="318" t="s">
        <v>881</v>
      </c>
      <c r="C256" s="318">
        <v>42521</v>
      </c>
      <c r="D256" s="383" t="s">
        <v>1472</v>
      </c>
      <c r="E256" s="318" t="s">
        <v>61</v>
      </c>
      <c r="F256" s="384">
        <v>123636</v>
      </c>
      <c r="G256" s="382">
        <v>0</v>
      </c>
      <c r="H256" s="385">
        <f t="shared" si="6"/>
        <v>321158412</v>
      </c>
      <c r="I256" s="385">
        <f t="shared" si="7"/>
        <v>0</v>
      </c>
      <c r="J256" s="18">
        <v>5</v>
      </c>
    </row>
    <row r="257" spans="1:10" s="18" customFormat="1" ht="18" customHeight="1">
      <c r="A257" s="318">
        <v>42521</v>
      </c>
      <c r="B257" s="318" t="s">
        <v>570</v>
      </c>
      <c r="C257" s="318">
        <v>42521</v>
      </c>
      <c r="D257" s="383" t="s">
        <v>1535</v>
      </c>
      <c r="E257" s="318" t="s">
        <v>70</v>
      </c>
      <c r="F257" s="384">
        <v>0</v>
      </c>
      <c r="G257" s="382">
        <v>321158412</v>
      </c>
      <c r="H257" s="385">
        <f t="shared" si="6"/>
        <v>0</v>
      </c>
      <c r="I257" s="385">
        <f t="shared" si="7"/>
        <v>0</v>
      </c>
      <c r="J257" s="18">
        <v>5</v>
      </c>
    </row>
    <row r="258" spans="1:10" s="18" customFormat="1" ht="18" customHeight="1">
      <c r="A258" s="318">
        <v>42530</v>
      </c>
      <c r="B258" s="318" t="s">
        <v>662</v>
      </c>
      <c r="C258" s="318">
        <v>42530</v>
      </c>
      <c r="D258" s="383" t="s">
        <v>637</v>
      </c>
      <c r="E258" s="318" t="s">
        <v>8</v>
      </c>
      <c r="F258" s="384">
        <v>1645200</v>
      </c>
      <c r="G258" s="382">
        <v>0</v>
      </c>
      <c r="H258" s="385">
        <f t="shared" si="6"/>
        <v>1645200</v>
      </c>
      <c r="I258" s="385">
        <f t="shared" si="7"/>
        <v>0</v>
      </c>
      <c r="J258" s="18">
        <v>6</v>
      </c>
    </row>
    <row r="259" spans="1:10" s="18" customFormat="1" ht="18" customHeight="1">
      <c r="A259" s="318">
        <v>42548</v>
      </c>
      <c r="B259" s="318" t="s">
        <v>665</v>
      </c>
      <c r="C259" s="318">
        <v>42548</v>
      </c>
      <c r="D259" s="383" t="s">
        <v>639</v>
      </c>
      <c r="E259" s="318" t="s">
        <v>8</v>
      </c>
      <c r="F259" s="384">
        <v>2608200</v>
      </c>
      <c r="G259" s="382">
        <v>0</v>
      </c>
      <c r="H259" s="385">
        <f t="shared" si="6"/>
        <v>4253400</v>
      </c>
      <c r="I259" s="385">
        <f t="shared" si="7"/>
        <v>0</v>
      </c>
      <c r="J259" s="18">
        <v>6</v>
      </c>
    </row>
    <row r="260" spans="1:10" s="18" customFormat="1" ht="18" customHeight="1">
      <c r="A260" s="318">
        <v>42551</v>
      </c>
      <c r="B260" s="318" t="s">
        <v>666</v>
      </c>
      <c r="C260" s="318">
        <v>42551</v>
      </c>
      <c r="D260" s="383" t="s">
        <v>637</v>
      </c>
      <c r="E260" s="318" t="s">
        <v>8</v>
      </c>
      <c r="F260" s="384">
        <v>1092000</v>
      </c>
      <c r="G260" s="382">
        <v>0</v>
      </c>
      <c r="H260" s="385">
        <f t="shared" si="6"/>
        <v>5345400</v>
      </c>
      <c r="I260" s="385">
        <f t="shared" si="7"/>
        <v>0</v>
      </c>
      <c r="J260" s="18">
        <v>6</v>
      </c>
    </row>
    <row r="261" spans="1:10" s="18" customFormat="1" ht="18" customHeight="1">
      <c r="A261" s="318">
        <v>42551</v>
      </c>
      <c r="B261" s="318" t="s">
        <v>570</v>
      </c>
      <c r="C261" s="318">
        <v>42530</v>
      </c>
      <c r="D261" s="383" t="s">
        <v>1576</v>
      </c>
      <c r="E261" s="318" t="s">
        <v>8</v>
      </c>
      <c r="F261" s="384">
        <v>785538</v>
      </c>
      <c r="G261" s="382">
        <v>0</v>
      </c>
      <c r="H261" s="385">
        <f t="shared" si="6"/>
        <v>6130938</v>
      </c>
      <c r="I261" s="385">
        <f t="shared" si="7"/>
        <v>0</v>
      </c>
      <c r="J261" s="18">
        <v>6</v>
      </c>
    </row>
    <row r="262" spans="1:10" s="18" customFormat="1" ht="18" customHeight="1">
      <c r="A262" s="318">
        <v>42551</v>
      </c>
      <c r="B262" s="318" t="s">
        <v>570</v>
      </c>
      <c r="C262" s="318">
        <v>42536</v>
      </c>
      <c r="D262" s="383" t="s">
        <v>1579</v>
      </c>
      <c r="E262" s="318" t="s">
        <v>8</v>
      </c>
      <c r="F262" s="384">
        <v>851916</v>
      </c>
      <c r="G262" s="382">
        <v>0</v>
      </c>
      <c r="H262" s="385">
        <f t="shared" si="6"/>
        <v>6982854</v>
      </c>
      <c r="I262" s="385">
        <f t="shared" si="7"/>
        <v>0</v>
      </c>
      <c r="J262" s="18">
        <v>6</v>
      </c>
    </row>
    <row r="263" spans="1:10" s="18" customFormat="1" ht="18" customHeight="1">
      <c r="A263" s="318">
        <v>42551</v>
      </c>
      <c r="B263" s="318" t="s">
        <v>570</v>
      </c>
      <c r="C263" s="318">
        <v>42537</v>
      </c>
      <c r="D263" s="383" t="s">
        <v>1576</v>
      </c>
      <c r="E263" s="318" t="s">
        <v>8</v>
      </c>
      <c r="F263" s="384">
        <v>784485</v>
      </c>
      <c r="G263" s="382">
        <v>0</v>
      </c>
      <c r="H263" s="385">
        <f t="shared" si="6"/>
        <v>7767339</v>
      </c>
      <c r="I263" s="385">
        <f t="shared" si="7"/>
        <v>0</v>
      </c>
      <c r="J263" s="18">
        <v>6</v>
      </c>
    </row>
    <row r="264" spans="1:10" s="18" customFormat="1" ht="18" customHeight="1">
      <c r="A264" s="318">
        <v>42551</v>
      </c>
      <c r="B264" s="318" t="s">
        <v>570</v>
      </c>
      <c r="C264" s="318">
        <v>42541</v>
      </c>
      <c r="D264" s="383" t="s">
        <v>1609</v>
      </c>
      <c r="E264" s="318" t="s">
        <v>8</v>
      </c>
      <c r="F264" s="384">
        <v>1844856</v>
      </c>
      <c r="G264" s="382">
        <v>0</v>
      </c>
      <c r="H264" s="385">
        <f t="shared" si="6"/>
        <v>9612195</v>
      </c>
      <c r="I264" s="385">
        <f t="shared" si="7"/>
        <v>0</v>
      </c>
      <c r="J264" s="18">
        <v>6</v>
      </c>
    </row>
    <row r="265" spans="1:10" s="18" customFormat="1" ht="18" customHeight="1">
      <c r="A265" s="318">
        <v>42551</v>
      </c>
      <c r="B265" s="318" t="s">
        <v>570</v>
      </c>
      <c r="C265" s="318">
        <v>42527</v>
      </c>
      <c r="D265" s="383" t="s">
        <v>1641</v>
      </c>
      <c r="E265" s="318" t="s">
        <v>8</v>
      </c>
      <c r="F265" s="384">
        <v>3333490</v>
      </c>
      <c r="G265" s="382">
        <v>0</v>
      </c>
      <c r="H265" s="385">
        <f t="shared" si="6"/>
        <v>12945685</v>
      </c>
      <c r="I265" s="385">
        <f t="shared" si="7"/>
        <v>0</v>
      </c>
      <c r="J265" s="18">
        <v>6</v>
      </c>
    </row>
    <row r="266" spans="1:10" s="18" customFormat="1" ht="18" customHeight="1">
      <c r="A266" s="318">
        <v>42551</v>
      </c>
      <c r="B266" s="318" t="s">
        <v>570</v>
      </c>
      <c r="C266" s="318">
        <v>42537</v>
      </c>
      <c r="D266" s="383" t="s">
        <v>1642</v>
      </c>
      <c r="E266" s="318" t="s">
        <v>8</v>
      </c>
      <c r="F266" s="384">
        <v>2640910</v>
      </c>
      <c r="G266" s="382">
        <v>0</v>
      </c>
      <c r="H266" s="385">
        <f t="shared" si="6"/>
        <v>15586595</v>
      </c>
      <c r="I266" s="385">
        <f t="shared" si="7"/>
        <v>0</v>
      </c>
      <c r="J266" s="18">
        <v>6</v>
      </c>
    </row>
    <row r="267" spans="1:10" s="18" customFormat="1" ht="18" customHeight="1">
      <c r="A267" s="318">
        <v>42551</v>
      </c>
      <c r="B267" s="318" t="s">
        <v>570</v>
      </c>
      <c r="C267" s="318">
        <v>42547</v>
      </c>
      <c r="D267" s="383" t="s">
        <v>1643</v>
      </c>
      <c r="E267" s="318" t="s">
        <v>8</v>
      </c>
      <c r="F267" s="384">
        <v>2542610</v>
      </c>
      <c r="G267" s="382">
        <v>0</v>
      </c>
      <c r="H267" s="385">
        <f t="shared" si="6"/>
        <v>18129205</v>
      </c>
      <c r="I267" s="385">
        <f t="shared" si="7"/>
        <v>0</v>
      </c>
      <c r="J267" s="18">
        <v>6</v>
      </c>
    </row>
    <row r="268" spans="1:10" s="18" customFormat="1" ht="18" customHeight="1">
      <c r="A268" s="318">
        <v>42536</v>
      </c>
      <c r="B268" s="318" t="s">
        <v>570</v>
      </c>
      <c r="C268" s="318">
        <v>42536</v>
      </c>
      <c r="D268" s="383" t="s">
        <v>1174</v>
      </c>
      <c r="E268" s="318" t="s">
        <v>576</v>
      </c>
      <c r="F268" s="384">
        <v>22350</v>
      </c>
      <c r="G268" s="382">
        <v>0</v>
      </c>
      <c r="H268" s="385">
        <f t="shared" si="6"/>
        <v>18151555</v>
      </c>
      <c r="I268" s="385">
        <f t="shared" si="7"/>
        <v>0</v>
      </c>
      <c r="J268" s="18">
        <v>6</v>
      </c>
    </row>
    <row r="269" spans="1:10" s="18" customFormat="1" ht="18" customHeight="1">
      <c r="A269" s="318">
        <v>42536</v>
      </c>
      <c r="B269" s="318" t="s">
        <v>570</v>
      </c>
      <c r="C269" s="318">
        <v>42536</v>
      </c>
      <c r="D269" s="383" t="s">
        <v>1298</v>
      </c>
      <c r="E269" s="318" t="s">
        <v>576</v>
      </c>
      <c r="F269" s="384">
        <v>61686</v>
      </c>
      <c r="G269" s="382">
        <v>0</v>
      </c>
      <c r="H269" s="385">
        <f t="shared" si="6"/>
        <v>18213241</v>
      </c>
      <c r="I269" s="385">
        <f t="shared" si="7"/>
        <v>0</v>
      </c>
      <c r="J269" s="18">
        <v>6</v>
      </c>
    </row>
    <row r="270" spans="1:10" s="18" customFormat="1" ht="18" customHeight="1">
      <c r="A270" s="318">
        <v>42522</v>
      </c>
      <c r="B270" s="318" t="s">
        <v>852</v>
      </c>
      <c r="C270" s="318">
        <v>42479</v>
      </c>
      <c r="D270" s="383" t="s">
        <v>1515</v>
      </c>
      <c r="E270" s="318" t="s">
        <v>61</v>
      </c>
      <c r="F270" s="384">
        <v>20000</v>
      </c>
      <c r="G270" s="382">
        <v>0</v>
      </c>
      <c r="H270" s="385">
        <f t="shared" si="6"/>
        <v>18233241</v>
      </c>
      <c r="I270" s="385">
        <f t="shared" si="7"/>
        <v>0</v>
      </c>
      <c r="J270" s="18">
        <v>6</v>
      </c>
    </row>
    <row r="271" spans="1:10" s="18" customFormat="1" ht="18" customHeight="1">
      <c r="A271" s="318">
        <v>42522</v>
      </c>
      <c r="B271" s="318" t="s">
        <v>853</v>
      </c>
      <c r="C271" s="318">
        <v>42521</v>
      </c>
      <c r="D271" s="383" t="s">
        <v>1547</v>
      </c>
      <c r="E271" s="318" t="s">
        <v>61</v>
      </c>
      <c r="F271" s="384">
        <v>4600</v>
      </c>
      <c r="G271" s="382">
        <v>0</v>
      </c>
      <c r="H271" s="385">
        <f t="shared" si="6"/>
        <v>18237841</v>
      </c>
      <c r="I271" s="385">
        <f t="shared" si="7"/>
        <v>0</v>
      </c>
      <c r="J271" s="18">
        <v>6</v>
      </c>
    </row>
    <row r="272" spans="1:10" s="18" customFormat="1" ht="18" customHeight="1">
      <c r="A272" s="318">
        <v>42523</v>
      </c>
      <c r="B272" s="318" t="s">
        <v>690</v>
      </c>
      <c r="C272" s="318">
        <v>42523</v>
      </c>
      <c r="D272" s="383" t="s">
        <v>1616</v>
      </c>
      <c r="E272" s="318" t="s">
        <v>25</v>
      </c>
      <c r="F272" s="384">
        <v>4500</v>
      </c>
      <c r="G272" s="382">
        <v>0</v>
      </c>
      <c r="H272" s="385">
        <f t="shared" ref="H272:H335" si="8">IF(D272&lt;&gt;"",MAX(H271+F272-G272-I271,0),0)</f>
        <v>18242341</v>
      </c>
      <c r="I272" s="385">
        <f t="shared" ref="I272:I335" si="9">IF(D272&lt;&gt;"",MAX(I271+G272-H271-F272,0),0)</f>
        <v>0</v>
      </c>
      <c r="J272" s="18">
        <v>6</v>
      </c>
    </row>
    <row r="273" spans="1:10" s="18" customFormat="1" ht="18" customHeight="1">
      <c r="A273" s="318">
        <v>42523</v>
      </c>
      <c r="B273" s="318" t="s">
        <v>690</v>
      </c>
      <c r="C273" s="318">
        <v>42523</v>
      </c>
      <c r="D273" s="383" t="s">
        <v>1618</v>
      </c>
      <c r="E273" s="318" t="s">
        <v>25</v>
      </c>
      <c r="F273" s="384">
        <v>11245</v>
      </c>
      <c r="G273" s="382">
        <v>0</v>
      </c>
      <c r="H273" s="385">
        <f t="shared" si="8"/>
        <v>18253586</v>
      </c>
      <c r="I273" s="385">
        <f t="shared" si="9"/>
        <v>0</v>
      </c>
      <c r="J273" s="18">
        <v>6</v>
      </c>
    </row>
    <row r="274" spans="1:10" s="18" customFormat="1" ht="18" customHeight="1">
      <c r="A274" s="318">
        <v>42524</v>
      </c>
      <c r="B274" s="318" t="s">
        <v>855</v>
      </c>
      <c r="C274" s="318">
        <v>42524</v>
      </c>
      <c r="D274" s="383" t="s">
        <v>1324</v>
      </c>
      <c r="E274" s="318" t="s">
        <v>61</v>
      </c>
      <c r="F274" s="384">
        <v>67582</v>
      </c>
      <c r="G274" s="382">
        <v>0</v>
      </c>
      <c r="H274" s="385">
        <f t="shared" si="8"/>
        <v>18321168</v>
      </c>
      <c r="I274" s="385">
        <f t="shared" si="9"/>
        <v>0</v>
      </c>
      <c r="J274" s="18">
        <v>6</v>
      </c>
    </row>
    <row r="275" spans="1:10" s="18" customFormat="1" ht="18" customHeight="1">
      <c r="A275" s="318">
        <v>42525</v>
      </c>
      <c r="B275" s="318" t="s">
        <v>858</v>
      </c>
      <c r="C275" s="318">
        <v>42525</v>
      </c>
      <c r="D275" s="383" t="s">
        <v>757</v>
      </c>
      <c r="E275" s="318" t="s">
        <v>61</v>
      </c>
      <c r="F275" s="384">
        <v>56500</v>
      </c>
      <c r="G275" s="382">
        <v>0</v>
      </c>
      <c r="H275" s="385">
        <f t="shared" si="8"/>
        <v>18377668</v>
      </c>
      <c r="I275" s="385">
        <f t="shared" si="9"/>
        <v>0</v>
      </c>
      <c r="J275" s="18">
        <v>6</v>
      </c>
    </row>
    <row r="276" spans="1:10" s="18" customFormat="1" ht="18" customHeight="1">
      <c r="A276" s="318">
        <v>42527</v>
      </c>
      <c r="B276" s="318" t="s">
        <v>861</v>
      </c>
      <c r="C276" s="318">
        <v>42527</v>
      </c>
      <c r="D276" s="383" t="s">
        <v>1555</v>
      </c>
      <c r="E276" s="318" t="s">
        <v>61</v>
      </c>
      <c r="F276" s="384">
        <v>196501</v>
      </c>
      <c r="G276" s="382">
        <v>0</v>
      </c>
      <c r="H276" s="385">
        <f t="shared" si="8"/>
        <v>18574169</v>
      </c>
      <c r="I276" s="385">
        <f t="shared" si="9"/>
        <v>0</v>
      </c>
      <c r="J276" s="18">
        <v>6</v>
      </c>
    </row>
    <row r="277" spans="1:10" s="18" customFormat="1" ht="18" customHeight="1">
      <c r="A277" s="318">
        <v>42527</v>
      </c>
      <c r="B277" s="318" t="s">
        <v>862</v>
      </c>
      <c r="C277" s="318">
        <v>42527</v>
      </c>
      <c r="D277" s="383" t="s">
        <v>1515</v>
      </c>
      <c r="E277" s="318" t="s">
        <v>61</v>
      </c>
      <c r="F277" s="384">
        <v>72000</v>
      </c>
      <c r="G277" s="382">
        <v>0</v>
      </c>
      <c r="H277" s="385">
        <f t="shared" si="8"/>
        <v>18646169</v>
      </c>
      <c r="I277" s="385">
        <f t="shared" si="9"/>
        <v>0</v>
      </c>
      <c r="J277" s="18">
        <v>6</v>
      </c>
    </row>
    <row r="278" spans="1:10" s="18" customFormat="1" ht="18" customHeight="1">
      <c r="A278" s="318">
        <v>42527</v>
      </c>
      <c r="B278" s="318" t="s">
        <v>690</v>
      </c>
      <c r="C278" s="318">
        <v>42527</v>
      </c>
      <c r="D278" s="383" t="s">
        <v>1616</v>
      </c>
      <c r="E278" s="318" t="s">
        <v>25</v>
      </c>
      <c r="F278" s="384">
        <v>2000</v>
      </c>
      <c r="G278" s="382">
        <v>0</v>
      </c>
      <c r="H278" s="385">
        <f t="shared" si="8"/>
        <v>18648169</v>
      </c>
      <c r="I278" s="385">
        <f t="shared" si="9"/>
        <v>0</v>
      </c>
      <c r="J278" s="18">
        <v>6</v>
      </c>
    </row>
    <row r="279" spans="1:10" s="18" customFormat="1" ht="18" customHeight="1">
      <c r="A279" s="318">
        <v>42527</v>
      </c>
      <c r="B279" s="318" t="s">
        <v>690</v>
      </c>
      <c r="C279" s="318">
        <v>42527</v>
      </c>
      <c r="D279" s="383" t="s">
        <v>1616</v>
      </c>
      <c r="E279" s="318" t="s">
        <v>25</v>
      </c>
      <c r="F279" s="384">
        <v>2000</v>
      </c>
      <c r="G279" s="382">
        <v>0</v>
      </c>
      <c r="H279" s="385">
        <f t="shared" si="8"/>
        <v>18650169</v>
      </c>
      <c r="I279" s="385">
        <f t="shared" si="9"/>
        <v>0</v>
      </c>
      <c r="J279" s="18">
        <v>6</v>
      </c>
    </row>
    <row r="280" spans="1:10" s="18" customFormat="1" ht="18" customHeight="1">
      <c r="A280" s="318">
        <v>42527</v>
      </c>
      <c r="B280" s="318" t="s">
        <v>690</v>
      </c>
      <c r="C280" s="318">
        <v>42527</v>
      </c>
      <c r="D280" s="383" t="s">
        <v>1616</v>
      </c>
      <c r="E280" s="318" t="s">
        <v>25</v>
      </c>
      <c r="F280" s="384">
        <v>2000</v>
      </c>
      <c r="G280" s="382">
        <v>0</v>
      </c>
      <c r="H280" s="385">
        <f t="shared" si="8"/>
        <v>18652169</v>
      </c>
      <c r="I280" s="385">
        <f t="shared" si="9"/>
        <v>0</v>
      </c>
      <c r="J280" s="18">
        <v>6</v>
      </c>
    </row>
    <row r="281" spans="1:10" s="18" customFormat="1" ht="18" customHeight="1">
      <c r="A281" s="318">
        <v>42528</v>
      </c>
      <c r="B281" s="318" t="s">
        <v>690</v>
      </c>
      <c r="C281" s="318">
        <v>42528</v>
      </c>
      <c r="D281" s="383" t="s">
        <v>1174</v>
      </c>
      <c r="E281" s="318" t="s">
        <v>260</v>
      </c>
      <c r="F281" s="384">
        <v>22380</v>
      </c>
      <c r="G281" s="382">
        <v>0</v>
      </c>
      <c r="H281" s="385">
        <f t="shared" si="8"/>
        <v>18674549</v>
      </c>
      <c r="I281" s="385">
        <f t="shared" si="9"/>
        <v>0</v>
      </c>
      <c r="J281" s="18">
        <v>6</v>
      </c>
    </row>
    <row r="282" spans="1:10" s="18" customFormat="1" ht="18" customHeight="1">
      <c r="A282" s="318">
        <v>42528</v>
      </c>
      <c r="B282" s="318" t="s">
        <v>690</v>
      </c>
      <c r="C282" s="318">
        <v>42528</v>
      </c>
      <c r="D282" s="383" t="s">
        <v>1298</v>
      </c>
      <c r="E282" s="318" t="s">
        <v>260</v>
      </c>
      <c r="F282" s="384">
        <v>61769</v>
      </c>
      <c r="G282" s="382">
        <v>0</v>
      </c>
      <c r="H282" s="385">
        <f t="shared" si="8"/>
        <v>18736318</v>
      </c>
      <c r="I282" s="385">
        <f t="shared" si="9"/>
        <v>0</v>
      </c>
      <c r="J282" s="18">
        <v>6</v>
      </c>
    </row>
    <row r="283" spans="1:10" s="18" customFormat="1" ht="18" customHeight="1">
      <c r="A283" s="318">
        <v>42529</v>
      </c>
      <c r="B283" s="318" t="s">
        <v>690</v>
      </c>
      <c r="C283" s="318">
        <v>42529</v>
      </c>
      <c r="D283" s="383" t="s">
        <v>1531</v>
      </c>
      <c r="E283" s="318" t="s">
        <v>25</v>
      </c>
      <c r="F283" s="384">
        <v>46670</v>
      </c>
      <c r="G283" s="382">
        <v>0</v>
      </c>
      <c r="H283" s="385">
        <f t="shared" si="8"/>
        <v>18782988</v>
      </c>
      <c r="I283" s="385">
        <f t="shared" si="9"/>
        <v>0</v>
      </c>
      <c r="J283" s="18">
        <v>6</v>
      </c>
    </row>
    <row r="284" spans="1:10" s="18" customFormat="1" ht="18" customHeight="1">
      <c r="A284" s="318">
        <v>42529</v>
      </c>
      <c r="B284" s="318" t="s">
        <v>690</v>
      </c>
      <c r="C284" s="318">
        <v>42529</v>
      </c>
      <c r="D284" s="383" t="s">
        <v>1173</v>
      </c>
      <c r="E284" s="318" t="s">
        <v>260</v>
      </c>
      <c r="F284" s="384">
        <v>33450</v>
      </c>
      <c r="G284" s="382">
        <v>0</v>
      </c>
      <c r="H284" s="385">
        <f t="shared" si="8"/>
        <v>18816438</v>
      </c>
      <c r="I284" s="385">
        <f t="shared" si="9"/>
        <v>0</v>
      </c>
      <c r="J284" s="18">
        <v>6</v>
      </c>
    </row>
    <row r="285" spans="1:10" s="18" customFormat="1" ht="18" customHeight="1">
      <c r="A285" s="318">
        <v>42529</v>
      </c>
      <c r="B285" s="318" t="s">
        <v>690</v>
      </c>
      <c r="C285" s="318">
        <v>42529</v>
      </c>
      <c r="D285" s="383" t="s">
        <v>1173</v>
      </c>
      <c r="E285" s="318" t="s">
        <v>260</v>
      </c>
      <c r="F285" s="384">
        <v>33450</v>
      </c>
      <c r="G285" s="382">
        <v>0</v>
      </c>
      <c r="H285" s="385">
        <f t="shared" si="8"/>
        <v>18849888</v>
      </c>
      <c r="I285" s="385">
        <f t="shared" si="9"/>
        <v>0</v>
      </c>
      <c r="J285" s="18">
        <v>6</v>
      </c>
    </row>
    <row r="286" spans="1:10" s="18" customFormat="1" ht="18" customHeight="1">
      <c r="A286" s="318">
        <v>42530</v>
      </c>
      <c r="B286" s="318" t="s">
        <v>867</v>
      </c>
      <c r="C286" s="318">
        <v>42530</v>
      </c>
      <c r="D286" s="383" t="s">
        <v>998</v>
      </c>
      <c r="E286" s="318" t="s">
        <v>61</v>
      </c>
      <c r="F286" s="384">
        <v>192727</v>
      </c>
      <c r="G286" s="382">
        <v>0</v>
      </c>
      <c r="H286" s="385">
        <f t="shared" si="8"/>
        <v>19042615</v>
      </c>
      <c r="I286" s="385">
        <f t="shared" si="9"/>
        <v>0</v>
      </c>
      <c r="J286" s="18">
        <v>6</v>
      </c>
    </row>
    <row r="287" spans="1:10" s="18" customFormat="1" ht="18" customHeight="1">
      <c r="A287" s="318">
        <v>42531</v>
      </c>
      <c r="B287" s="318" t="s">
        <v>690</v>
      </c>
      <c r="C287" s="318">
        <v>42531</v>
      </c>
      <c r="D287" s="383" t="s">
        <v>1046</v>
      </c>
      <c r="E287" s="318" t="s">
        <v>25</v>
      </c>
      <c r="F287" s="384">
        <v>140126</v>
      </c>
      <c r="G287" s="382">
        <v>0</v>
      </c>
      <c r="H287" s="385">
        <f t="shared" si="8"/>
        <v>19182741</v>
      </c>
      <c r="I287" s="385">
        <f t="shared" si="9"/>
        <v>0</v>
      </c>
      <c r="J287" s="18">
        <v>6</v>
      </c>
    </row>
    <row r="288" spans="1:10" s="18" customFormat="1" ht="18" customHeight="1">
      <c r="A288" s="318">
        <v>42531</v>
      </c>
      <c r="B288" s="318" t="s">
        <v>690</v>
      </c>
      <c r="C288" s="318">
        <v>42531</v>
      </c>
      <c r="D288" s="383" t="s">
        <v>1173</v>
      </c>
      <c r="E288" s="318" t="s">
        <v>260</v>
      </c>
      <c r="F288" s="384">
        <v>33450</v>
      </c>
      <c r="G288" s="382">
        <v>0</v>
      </c>
      <c r="H288" s="385">
        <f t="shared" si="8"/>
        <v>19216191</v>
      </c>
      <c r="I288" s="385">
        <f t="shared" si="9"/>
        <v>0</v>
      </c>
      <c r="J288" s="18">
        <v>6</v>
      </c>
    </row>
    <row r="289" spans="1:10" s="18" customFormat="1" ht="18" customHeight="1">
      <c r="A289" s="318">
        <v>42534</v>
      </c>
      <c r="B289" s="318" t="s">
        <v>690</v>
      </c>
      <c r="C289" s="318">
        <v>42534</v>
      </c>
      <c r="D289" s="383" t="s">
        <v>1616</v>
      </c>
      <c r="E289" s="318" t="s">
        <v>25</v>
      </c>
      <c r="F289" s="384">
        <v>4500</v>
      </c>
      <c r="G289" s="382">
        <v>0</v>
      </c>
      <c r="H289" s="385">
        <f t="shared" si="8"/>
        <v>19220691</v>
      </c>
      <c r="I289" s="385">
        <f t="shared" si="9"/>
        <v>0</v>
      </c>
      <c r="J289" s="18">
        <v>6</v>
      </c>
    </row>
    <row r="290" spans="1:10" s="18" customFormat="1" ht="18" customHeight="1">
      <c r="A290" s="318">
        <v>42535</v>
      </c>
      <c r="B290" s="318" t="s">
        <v>871</v>
      </c>
      <c r="C290" s="318">
        <v>42535</v>
      </c>
      <c r="D290" s="383" t="s">
        <v>762</v>
      </c>
      <c r="E290" s="318" t="s">
        <v>61</v>
      </c>
      <c r="F290" s="384">
        <v>90000</v>
      </c>
      <c r="G290" s="382">
        <v>0</v>
      </c>
      <c r="H290" s="385">
        <f t="shared" si="8"/>
        <v>19310691</v>
      </c>
      <c r="I290" s="385">
        <f t="shared" si="9"/>
        <v>0</v>
      </c>
      <c r="J290" s="18">
        <v>6</v>
      </c>
    </row>
    <row r="291" spans="1:10" s="18" customFormat="1" ht="18" customHeight="1">
      <c r="A291" s="318">
        <v>42536</v>
      </c>
      <c r="B291" s="318" t="s">
        <v>872</v>
      </c>
      <c r="C291" s="318">
        <v>42536</v>
      </c>
      <c r="D291" s="383" t="s">
        <v>998</v>
      </c>
      <c r="E291" s="318" t="s">
        <v>61</v>
      </c>
      <c r="F291" s="384">
        <v>201191</v>
      </c>
      <c r="G291" s="382">
        <v>0</v>
      </c>
      <c r="H291" s="385">
        <f t="shared" si="8"/>
        <v>19511882</v>
      </c>
      <c r="I291" s="385">
        <f t="shared" si="9"/>
        <v>0</v>
      </c>
      <c r="J291" s="18">
        <v>6</v>
      </c>
    </row>
    <row r="292" spans="1:10" s="18" customFormat="1" ht="18" customHeight="1">
      <c r="A292" s="318">
        <v>42542</v>
      </c>
      <c r="B292" s="318" t="s">
        <v>570</v>
      </c>
      <c r="C292" s="318">
        <v>42542</v>
      </c>
      <c r="D292" s="383" t="s">
        <v>1046</v>
      </c>
      <c r="E292" s="318" t="s">
        <v>576</v>
      </c>
      <c r="F292" s="384">
        <v>108455</v>
      </c>
      <c r="G292" s="382">
        <v>0</v>
      </c>
      <c r="H292" s="385">
        <f t="shared" si="8"/>
        <v>19620337</v>
      </c>
      <c r="I292" s="385">
        <f t="shared" si="9"/>
        <v>0</v>
      </c>
      <c r="J292" s="18">
        <v>6</v>
      </c>
    </row>
    <row r="293" spans="1:10" s="18" customFormat="1" ht="18" customHeight="1">
      <c r="A293" s="318">
        <v>42536</v>
      </c>
      <c r="B293" s="318" t="s">
        <v>690</v>
      </c>
      <c r="C293" s="318">
        <v>42536</v>
      </c>
      <c r="D293" s="383" t="s">
        <v>1184</v>
      </c>
      <c r="E293" s="318" t="s">
        <v>25</v>
      </c>
      <c r="F293" s="384">
        <v>5000</v>
      </c>
      <c r="G293" s="382">
        <v>0</v>
      </c>
      <c r="H293" s="385">
        <f t="shared" si="8"/>
        <v>19625337</v>
      </c>
      <c r="I293" s="385">
        <f t="shared" si="9"/>
        <v>0</v>
      </c>
      <c r="J293" s="18">
        <v>6</v>
      </c>
    </row>
    <row r="294" spans="1:10" s="18" customFormat="1" ht="18" customHeight="1">
      <c r="A294" s="318">
        <v>42537</v>
      </c>
      <c r="B294" s="318" t="s">
        <v>690</v>
      </c>
      <c r="C294" s="318">
        <v>42537</v>
      </c>
      <c r="D294" s="383" t="s">
        <v>1622</v>
      </c>
      <c r="E294" s="318" t="s">
        <v>25</v>
      </c>
      <c r="F294" s="384">
        <v>4500</v>
      </c>
      <c r="G294" s="382">
        <v>0</v>
      </c>
      <c r="H294" s="385">
        <f t="shared" si="8"/>
        <v>19629837</v>
      </c>
      <c r="I294" s="385">
        <f t="shared" si="9"/>
        <v>0</v>
      </c>
      <c r="J294" s="18">
        <v>6</v>
      </c>
    </row>
    <row r="295" spans="1:10" s="18" customFormat="1" ht="18" customHeight="1">
      <c r="A295" s="318">
        <v>42537</v>
      </c>
      <c r="B295" s="318" t="s">
        <v>690</v>
      </c>
      <c r="C295" s="318">
        <v>42537</v>
      </c>
      <c r="D295" s="383" t="s">
        <v>1616</v>
      </c>
      <c r="E295" s="318" t="s">
        <v>25</v>
      </c>
      <c r="F295" s="384">
        <v>2500</v>
      </c>
      <c r="G295" s="382">
        <v>0</v>
      </c>
      <c r="H295" s="385">
        <f t="shared" si="8"/>
        <v>19632337</v>
      </c>
      <c r="I295" s="385">
        <f t="shared" si="9"/>
        <v>0</v>
      </c>
      <c r="J295" s="18">
        <v>6</v>
      </c>
    </row>
    <row r="296" spans="1:10" s="18" customFormat="1" ht="18" customHeight="1">
      <c r="A296" s="318">
        <v>42537</v>
      </c>
      <c r="B296" s="318" t="s">
        <v>690</v>
      </c>
      <c r="C296" s="318">
        <v>42537</v>
      </c>
      <c r="D296" s="383" t="s">
        <v>1616</v>
      </c>
      <c r="E296" s="318" t="s">
        <v>25</v>
      </c>
      <c r="F296" s="384">
        <v>2000</v>
      </c>
      <c r="G296" s="382">
        <v>0</v>
      </c>
      <c r="H296" s="385">
        <f t="shared" si="8"/>
        <v>19634337</v>
      </c>
      <c r="I296" s="385">
        <f t="shared" si="9"/>
        <v>0</v>
      </c>
      <c r="J296" s="18">
        <v>6</v>
      </c>
    </row>
    <row r="297" spans="1:10" s="18" customFormat="1" ht="18" customHeight="1">
      <c r="A297" s="318">
        <v>42537</v>
      </c>
      <c r="B297" s="318" t="s">
        <v>690</v>
      </c>
      <c r="C297" s="318">
        <v>42537</v>
      </c>
      <c r="D297" s="383" t="s">
        <v>1616</v>
      </c>
      <c r="E297" s="318" t="s">
        <v>25</v>
      </c>
      <c r="F297" s="384">
        <v>2000</v>
      </c>
      <c r="G297" s="382">
        <v>0</v>
      </c>
      <c r="H297" s="385">
        <f t="shared" si="8"/>
        <v>19636337</v>
      </c>
      <c r="I297" s="385">
        <f t="shared" si="9"/>
        <v>0</v>
      </c>
      <c r="J297" s="18">
        <v>6</v>
      </c>
    </row>
    <row r="298" spans="1:10" s="18" customFormat="1" ht="18" customHeight="1">
      <c r="A298" s="318">
        <v>42537</v>
      </c>
      <c r="B298" s="318" t="s">
        <v>690</v>
      </c>
      <c r="C298" s="318">
        <v>42537</v>
      </c>
      <c r="D298" s="383" t="s">
        <v>1616</v>
      </c>
      <c r="E298" s="318" t="s">
        <v>25</v>
      </c>
      <c r="F298" s="384">
        <v>2000</v>
      </c>
      <c r="G298" s="382">
        <v>0</v>
      </c>
      <c r="H298" s="385">
        <f t="shared" si="8"/>
        <v>19638337</v>
      </c>
      <c r="I298" s="385">
        <f t="shared" si="9"/>
        <v>0</v>
      </c>
      <c r="J298" s="18">
        <v>6</v>
      </c>
    </row>
    <row r="299" spans="1:10" s="18" customFormat="1" ht="18" customHeight="1">
      <c r="A299" s="318">
        <v>42537</v>
      </c>
      <c r="B299" s="318" t="s">
        <v>690</v>
      </c>
      <c r="C299" s="318">
        <v>42537</v>
      </c>
      <c r="D299" s="383" t="s">
        <v>1616</v>
      </c>
      <c r="E299" s="318" t="s">
        <v>25</v>
      </c>
      <c r="F299" s="384">
        <v>2000</v>
      </c>
      <c r="G299" s="382">
        <v>0</v>
      </c>
      <c r="H299" s="385">
        <f t="shared" si="8"/>
        <v>19640337</v>
      </c>
      <c r="I299" s="385">
        <f t="shared" si="9"/>
        <v>0</v>
      </c>
      <c r="J299" s="18">
        <v>6</v>
      </c>
    </row>
    <row r="300" spans="1:10" s="18" customFormat="1" ht="18" customHeight="1">
      <c r="A300" s="318">
        <v>42537</v>
      </c>
      <c r="B300" s="318" t="s">
        <v>690</v>
      </c>
      <c r="C300" s="318">
        <v>42537</v>
      </c>
      <c r="D300" s="383" t="s">
        <v>1616</v>
      </c>
      <c r="E300" s="318" t="s">
        <v>25</v>
      </c>
      <c r="F300" s="384">
        <v>2000</v>
      </c>
      <c r="G300" s="382">
        <v>0</v>
      </c>
      <c r="H300" s="385">
        <f t="shared" si="8"/>
        <v>19642337</v>
      </c>
      <c r="I300" s="385">
        <f t="shared" si="9"/>
        <v>0</v>
      </c>
      <c r="J300" s="18">
        <v>6</v>
      </c>
    </row>
    <row r="301" spans="1:10" s="18" customFormat="1" ht="18" customHeight="1">
      <c r="A301" s="318">
        <v>42538</v>
      </c>
      <c r="B301" s="318" t="s">
        <v>873</v>
      </c>
      <c r="C301" s="318">
        <v>42538</v>
      </c>
      <c r="D301" s="383" t="s">
        <v>783</v>
      </c>
      <c r="E301" s="318" t="s">
        <v>61</v>
      </c>
      <c r="F301" s="384">
        <v>35456</v>
      </c>
      <c r="G301" s="382">
        <v>0</v>
      </c>
      <c r="H301" s="385">
        <f t="shared" si="8"/>
        <v>19677793</v>
      </c>
      <c r="I301" s="385">
        <f t="shared" si="9"/>
        <v>0</v>
      </c>
      <c r="J301" s="18">
        <v>6</v>
      </c>
    </row>
    <row r="302" spans="1:10" s="18" customFormat="1" ht="18" customHeight="1">
      <c r="A302" s="318">
        <v>42538</v>
      </c>
      <c r="B302" s="318" t="s">
        <v>570</v>
      </c>
      <c r="C302" s="318">
        <v>42538</v>
      </c>
      <c r="D302" s="383" t="s">
        <v>1174</v>
      </c>
      <c r="E302" s="318" t="s">
        <v>576</v>
      </c>
      <c r="F302" s="384">
        <v>22340</v>
      </c>
      <c r="G302" s="382">
        <v>0</v>
      </c>
      <c r="H302" s="385">
        <f t="shared" si="8"/>
        <v>19700133</v>
      </c>
      <c r="I302" s="385">
        <f t="shared" si="9"/>
        <v>0</v>
      </c>
      <c r="J302" s="18">
        <v>6</v>
      </c>
    </row>
    <row r="303" spans="1:10" s="18" customFormat="1" ht="18" customHeight="1">
      <c r="A303" s="318">
        <v>42538</v>
      </c>
      <c r="B303" s="318" t="s">
        <v>570</v>
      </c>
      <c r="C303" s="318">
        <v>42538</v>
      </c>
      <c r="D303" s="383" t="s">
        <v>1298</v>
      </c>
      <c r="E303" s="318" t="s">
        <v>576</v>
      </c>
      <c r="F303" s="384">
        <v>61658</v>
      </c>
      <c r="G303" s="382">
        <v>0</v>
      </c>
      <c r="H303" s="385">
        <f t="shared" si="8"/>
        <v>19761791</v>
      </c>
      <c r="I303" s="385">
        <f t="shared" si="9"/>
        <v>0</v>
      </c>
      <c r="J303" s="18">
        <v>6</v>
      </c>
    </row>
    <row r="304" spans="1:10" s="18" customFormat="1" ht="18" customHeight="1">
      <c r="A304" s="318">
        <v>42538</v>
      </c>
      <c r="B304" s="318" t="s">
        <v>690</v>
      </c>
      <c r="C304" s="318">
        <v>42538</v>
      </c>
      <c r="D304" s="383" t="s">
        <v>1053</v>
      </c>
      <c r="E304" s="318" t="s">
        <v>576</v>
      </c>
      <c r="F304" s="384">
        <v>282510</v>
      </c>
      <c r="G304" s="382">
        <v>0</v>
      </c>
      <c r="H304" s="385">
        <f t="shared" si="8"/>
        <v>20044301</v>
      </c>
      <c r="I304" s="385">
        <f t="shared" si="9"/>
        <v>0</v>
      </c>
      <c r="J304" s="18">
        <v>6</v>
      </c>
    </row>
    <row r="305" spans="1:10" s="18" customFormat="1" ht="18" customHeight="1">
      <c r="A305" s="318">
        <v>42538</v>
      </c>
      <c r="B305" s="318" t="s">
        <v>690</v>
      </c>
      <c r="C305" s="318">
        <v>42538</v>
      </c>
      <c r="D305" s="383" t="s">
        <v>1673</v>
      </c>
      <c r="E305" s="318" t="s">
        <v>25</v>
      </c>
      <c r="F305" s="384">
        <v>44680</v>
      </c>
      <c r="G305" s="382">
        <v>0</v>
      </c>
      <c r="H305" s="385">
        <f t="shared" si="8"/>
        <v>20088981</v>
      </c>
      <c r="I305" s="385">
        <f t="shared" si="9"/>
        <v>0</v>
      </c>
      <c r="J305" s="18">
        <v>6</v>
      </c>
    </row>
    <row r="306" spans="1:10" s="18" customFormat="1" ht="18" customHeight="1">
      <c r="A306" s="318">
        <v>42538</v>
      </c>
      <c r="B306" s="318" t="s">
        <v>690</v>
      </c>
      <c r="C306" s="318">
        <v>42538</v>
      </c>
      <c r="D306" s="383" t="s">
        <v>1424</v>
      </c>
      <c r="E306" s="318" t="s">
        <v>260</v>
      </c>
      <c r="F306" s="384">
        <v>11140</v>
      </c>
      <c r="G306" s="382">
        <v>0</v>
      </c>
      <c r="H306" s="385">
        <f t="shared" si="8"/>
        <v>20100121</v>
      </c>
      <c r="I306" s="385">
        <f t="shared" si="9"/>
        <v>0</v>
      </c>
      <c r="J306" s="18">
        <v>6</v>
      </c>
    </row>
    <row r="307" spans="1:10" s="18" customFormat="1" ht="18" customHeight="1">
      <c r="A307" s="318">
        <v>42538</v>
      </c>
      <c r="B307" s="318" t="s">
        <v>690</v>
      </c>
      <c r="C307" s="318">
        <v>42538</v>
      </c>
      <c r="D307" s="383" t="s">
        <v>1654</v>
      </c>
      <c r="E307" s="318" t="s">
        <v>25</v>
      </c>
      <c r="F307" s="384">
        <v>5000</v>
      </c>
      <c r="G307" s="382">
        <v>0</v>
      </c>
      <c r="H307" s="385">
        <f t="shared" si="8"/>
        <v>20105121</v>
      </c>
      <c r="I307" s="385">
        <f t="shared" si="9"/>
        <v>0</v>
      </c>
      <c r="J307" s="18">
        <v>6</v>
      </c>
    </row>
    <row r="308" spans="1:10" s="18" customFormat="1" ht="18" customHeight="1">
      <c r="A308" s="318">
        <v>42538</v>
      </c>
      <c r="B308" s="318" t="s">
        <v>690</v>
      </c>
      <c r="C308" s="318">
        <v>42538</v>
      </c>
      <c r="D308" s="383" t="s">
        <v>1654</v>
      </c>
      <c r="E308" s="318" t="s">
        <v>25</v>
      </c>
      <c r="F308" s="384">
        <v>5000</v>
      </c>
      <c r="G308" s="382">
        <v>0</v>
      </c>
      <c r="H308" s="385">
        <f t="shared" si="8"/>
        <v>20110121</v>
      </c>
      <c r="I308" s="385">
        <f t="shared" si="9"/>
        <v>0</v>
      </c>
      <c r="J308" s="18">
        <v>6</v>
      </c>
    </row>
    <row r="309" spans="1:10" s="18" customFormat="1" ht="18" customHeight="1">
      <c r="A309" s="318">
        <v>42541</v>
      </c>
      <c r="B309" s="318" t="s">
        <v>876</v>
      </c>
      <c r="C309" s="318">
        <v>42541</v>
      </c>
      <c r="D309" s="383" t="s">
        <v>1562</v>
      </c>
      <c r="E309" s="318" t="s">
        <v>61</v>
      </c>
      <c r="F309" s="384">
        <v>254828</v>
      </c>
      <c r="G309" s="382">
        <v>0</v>
      </c>
      <c r="H309" s="385">
        <f t="shared" si="8"/>
        <v>20364949</v>
      </c>
      <c r="I309" s="385">
        <f t="shared" si="9"/>
        <v>0</v>
      </c>
      <c r="J309" s="18">
        <v>6</v>
      </c>
    </row>
    <row r="310" spans="1:10" s="18" customFormat="1" ht="18" customHeight="1">
      <c r="A310" s="318">
        <v>42541</v>
      </c>
      <c r="B310" s="318" t="s">
        <v>877</v>
      </c>
      <c r="C310" s="318">
        <v>42541</v>
      </c>
      <c r="D310" s="383" t="s">
        <v>762</v>
      </c>
      <c r="E310" s="318" t="s">
        <v>61</v>
      </c>
      <c r="F310" s="384">
        <v>146982</v>
      </c>
      <c r="G310" s="382">
        <v>0</v>
      </c>
      <c r="H310" s="385">
        <f t="shared" si="8"/>
        <v>20511931</v>
      </c>
      <c r="I310" s="385">
        <f t="shared" si="9"/>
        <v>0</v>
      </c>
      <c r="J310" s="18">
        <v>6</v>
      </c>
    </row>
    <row r="311" spans="1:10" s="18" customFormat="1" ht="18" customHeight="1">
      <c r="A311" s="318">
        <v>42543</v>
      </c>
      <c r="B311" s="318" t="s">
        <v>881</v>
      </c>
      <c r="C311" s="318">
        <v>42543</v>
      </c>
      <c r="D311" s="383" t="s">
        <v>1572</v>
      </c>
      <c r="E311" s="318" t="s">
        <v>61</v>
      </c>
      <c r="F311" s="384">
        <v>10756</v>
      </c>
      <c r="G311" s="382">
        <v>0</v>
      </c>
      <c r="H311" s="385">
        <f t="shared" si="8"/>
        <v>20522687</v>
      </c>
      <c r="I311" s="385">
        <f t="shared" si="9"/>
        <v>0</v>
      </c>
      <c r="J311" s="18">
        <v>6</v>
      </c>
    </row>
    <row r="312" spans="1:10" s="18" customFormat="1" ht="18" customHeight="1">
      <c r="A312" s="318">
        <v>42543</v>
      </c>
      <c r="B312" s="318" t="s">
        <v>690</v>
      </c>
      <c r="C312" s="318">
        <v>42543</v>
      </c>
      <c r="D312" s="383" t="s">
        <v>1616</v>
      </c>
      <c r="E312" s="318" t="s">
        <v>25</v>
      </c>
      <c r="F312" s="384">
        <v>2500</v>
      </c>
      <c r="G312" s="382">
        <v>0</v>
      </c>
      <c r="H312" s="385">
        <f t="shared" si="8"/>
        <v>20525187</v>
      </c>
      <c r="I312" s="385">
        <f t="shared" si="9"/>
        <v>0</v>
      </c>
      <c r="J312" s="18">
        <v>6</v>
      </c>
    </row>
    <row r="313" spans="1:10" s="18" customFormat="1" ht="18" customHeight="1">
      <c r="A313" s="318">
        <v>42544</v>
      </c>
      <c r="B313" s="318" t="s">
        <v>883</v>
      </c>
      <c r="C313" s="318">
        <v>42544</v>
      </c>
      <c r="D313" s="383" t="s">
        <v>762</v>
      </c>
      <c r="E313" s="318" t="s">
        <v>61</v>
      </c>
      <c r="F313" s="384">
        <v>85833</v>
      </c>
      <c r="G313" s="382">
        <v>0</v>
      </c>
      <c r="H313" s="385">
        <f t="shared" si="8"/>
        <v>20611020</v>
      </c>
      <c r="I313" s="385">
        <f t="shared" si="9"/>
        <v>0</v>
      </c>
      <c r="J313" s="18">
        <v>6</v>
      </c>
    </row>
    <row r="314" spans="1:10" s="18" customFormat="1" ht="18" customHeight="1">
      <c r="A314" s="318">
        <v>42544</v>
      </c>
      <c r="B314" s="318" t="s">
        <v>884</v>
      </c>
      <c r="C314" s="318">
        <v>42544</v>
      </c>
      <c r="D314" s="383" t="s">
        <v>1585</v>
      </c>
      <c r="E314" s="318" t="s">
        <v>61</v>
      </c>
      <c r="F314" s="384">
        <v>5193</v>
      </c>
      <c r="G314" s="382">
        <v>0</v>
      </c>
      <c r="H314" s="385">
        <f t="shared" si="8"/>
        <v>20616213</v>
      </c>
      <c r="I314" s="385">
        <f t="shared" si="9"/>
        <v>0</v>
      </c>
      <c r="J314" s="18">
        <v>6</v>
      </c>
    </row>
    <row r="315" spans="1:10" s="18" customFormat="1" ht="18" customHeight="1">
      <c r="A315" s="318">
        <v>42544</v>
      </c>
      <c r="B315" s="318" t="s">
        <v>885</v>
      </c>
      <c r="C315" s="318">
        <v>42544</v>
      </c>
      <c r="D315" s="383" t="s">
        <v>1588</v>
      </c>
      <c r="E315" s="318" t="s">
        <v>61</v>
      </c>
      <c r="F315" s="384">
        <v>80000</v>
      </c>
      <c r="G315" s="382">
        <v>0</v>
      </c>
      <c r="H315" s="385">
        <f t="shared" si="8"/>
        <v>20696213</v>
      </c>
      <c r="I315" s="385">
        <f t="shared" si="9"/>
        <v>0</v>
      </c>
      <c r="J315" s="18">
        <v>6</v>
      </c>
    </row>
    <row r="316" spans="1:10" s="18" customFormat="1" ht="18" customHeight="1">
      <c r="A316" s="318">
        <v>42546</v>
      </c>
      <c r="B316" s="318" t="s">
        <v>690</v>
      </c>
      <c r="C316" s="318">
        <v>42546</v>
      </c>
      <c r="D316" s="383" t="s">
        <v>1634</v>
      </c>
      <c r="E316" s="318" t="s">
        <v>25</v>
      </c>
      <c r="F316" s="384">
        <v>5000</v>
      </c>
      <c r="G316" s="382">
        <v>0</v>
      </c>
      <c r="H316" s="385">
        <f t="shared" si="8"/>
        <v>20701213</v>
      </c>
      <c r="I316" s="385">
        <f t="shared" si="9"/>
        <v>0</v>
      </c>
      <c r="J316" s="18">
        <v>6</v>
      </c>
    </row>
    <row r="317" spans="1:10" s="18" customFormat="1" ht="18" customHeight="1">
      <c r="A317" s="318">
        <v>42546</v>
      </c>
      <c r="B317" s="318" t="s">
        <v>690</v>
      </c>
      <c r="C317" s="318">
        <v>42546</v>
      </c>
      <c r="D317" s="383" t="s">
        <v>1634</v>
      </c>
      <c r="E317" s="318" t="s">
        <v>25</v>
      </c>
      <c r="F317" s="384">
        <v>5000</v>
      </c>
      <c r="G317" s="382">
        <v>0</v>
      </c>
      <c r="H317" s="385">
        <f t="shared" si="8"/>
        <v>20706213</v>
      </c>
      <c r="I317" s="385">
        <f t="shared" si="9"/>
        <v>0</v>
      </c>
      <c r="J317" s="18">
        <v>6</v>
      </c>
    </row>
    <row r="318" spans="1:10" s="18" customFormat="1" ht="18" customHeight="1">
      <c r="A318" s="318">
        <v>42546</v>
      </c>
      <c r="B318" s="318" t="s">
        <v>690</v>
      </c>
      <c r="C318" s="318">
        <v>42546</v>
      </c>
      <c r="D318" s="383" t="s">
        <v>1634</v>
      </c>
      <c r="E318" s="318" t="s">
        <v>25</v>
      </c>
      <c r="F318" s="384">
        <v>5000</v>
      </c>
      <c r="G318" s="382">
        <v>0</v>
      </c>
      <c r="H318" s="385">
        <f t="shared" si="8"/>
        <v>20711213</v>
      </c>
      <c r="I318" s="385">
        <f t="shared" si="9"/>
        <v>0</v>
      </c>
      <c r="J318" s="18">
        <v>6</v>
      </c>
    </row>
    <row r="319" spans="1:10" s="18" customFormat="1" ht="18" customHeight="1">
      <c r="A319" s="318">
        <v>42546</v>
      </c>
      <c r="B319" s="318" t="s">
        <v>690</v>
      </c>
      <c r="C319" s="318">
        <v>42546</v>
      </c>
      <c r="D319" s="383" t="s">
        <v>1634</v>
      </c>
      <c r="E319" s="318" t="s">
        <v>25</v>
      </c>
      <c r="F319" s="384">
        <v>5000</v>
      </c>
      <c r="G319" s="382">
        <v>0</v>
      </c>
      <c r="H319" s="385">
        <f t="shared" si="8"/>
        <v>20716213</v>
      </c>
      <c r="I319" s="385">
        <f t="shared" si="9"/>
        <v>0</v>
      </c>
      <c r="J319" s="18">
        <v>6</v>
      </c>
    </row>
    <row r="320" spans="1:10" s="18" customFormat="1" ht="18" customHeight="1">
      <c r="A320" s="318">
        <v>42548</v>
      </c>
      <c r="B320" s="318" t="s">
        <v>890</v>
      </c>
      <c r="C320" s="318">
        <v>42548</v>
      </c>
      <c r="D320" s="383" t="s">
        <v>998</v>
      </c>
      <c r="E320" s="318" t="s">
        <v>61</v>
      </c>
      <c r="F320" s="384">
        <v>122501</v>
      </c>
      <c r="G320" s="382">
        <v>0</v>
      </c>
      <c r="H320" s="385">
        <f t="shared" si="8"/>
        <v>20838714</v>
      </c>
      <c r="I320" s="385">
        <f t="shared" si="9"/>
        <v>0</v>
      </c>
      <c r="J320" s="18">
        <v>6</v>
      </c>
    </row>
    <row r="321" spans="1:10" s="18" customFormat="1" ht="18" customHeight="1">
      <c r="A321" s="318">
        <v>42548</v>
      </c>
      <c r="B321" s="318" t="s">
        <v>891</v>
      </c>
      <c r="C321" s="318">
        <v>42548</v>
      </c>
      <c r="D321" s="383" t="s">
        <v>1593</v>
      </c>
      <c r="E321" s="318" t="s">
        <v>61</v>
      </c>
      <c r="F321" s="384">
        <v>1620000</v>
      </c>
      <c r="G321" s="382">
        <v>0</v>
      </c>
      <c r="H321" s="385">
        <f t="shared" si="8"/>
        <v>22458714</v>
      </c>
      <c r="I321" s="385">
        <f t="shared" si="9"/>
        <v>0</v>
      </c>
      <c r="J321" s="18">
        <v>6</v>
      </c>
    </row>
    <row r="322" spans="1:10" s="18" customFormat="1" ht="18" customHeight="1">
      <c r="A322" s="318">
        <v>42548</v>
      </c>
      <c r="B322" s="318" t="s">
        <v>894</v>
      </c>
      <c r="C322" s="318">
        <v>42548</v>
      </c>
      <c r="D322" s="383" t="s">
        <v>1599</v>
      </c>
      <c r="E322" s="318" t="s">
        <v>61</v>
      </c>
      <c r="F322" s="384">
        <v>1605000</v>
      </c>
      <c r="G322" s="382">
        <v>0</v>
      </c>
      <c r="H322" s="385">
        <f t="shared" si="8"/>
        <v>24063714</v>
      </c>
      <c r="I322" s="385">
        <f t="shared" si="9"/>
        <v>0</v>
      </c>
      <c r="J322" s="18">
        <v>6</v>
      </c>
    </row>
    <row r="323" spans="1:10" s="18" customFormat="1" ht="18" customHeight="1">
      <c r="A323" s="318">
        <v>42549</v>
      </c>
      <c r="B323" s="318" t="s">
        <v>895</v>
      </c>
      <c r="C323" s="318">
        <v>42549</v>
      </c>
      <c r="D323" s="383" t="s">
        <v>1597</v>
      </c>
      <c r="E323" s="318" t="s">
        <v>61</v>
      </c>
      <c r="F323" s="384">
        <v>345000</v>
      </c>
      <c r="G323" s="382">
        <v>0</v>
      </c>
      <c r="H323" s="385">
        <f t="shared" si="8"/>
        <v>24408714</v>
      </c>
      <c r="I323" s="385">
        <f t="shared" si="9"/>
        <v>0</v>
      </c>
      <c r="J323" s="18">
        <v>6</v>
      </c>
    </row>
    <row r="324" spans="1:10" s="18" customFormat="1" ht="18" customHeight="1">
      <c r="A324" s="318">
        <v>42549</v>
      </c>
      <c r="B324" s="318" t="s">
        <v>570</v>
      </c>
      <c r="C324" s="318">
        <v>42549</v>
      </c>
      <c r="D324" s="383" t="s">
        <v>1046</v>
      </c>
      <c r="E324" s="318" t="s">
        <v>576</v>
      </c>
      <c r="F324" s="384">
        <v>445600</v>
      </c>
      <c r="G324" s="382">
        <v>0</v>
      </c>
      <c r="H324" s="385">
        <f t="shared" si="8"/>
        <v>24854314</v>
      </c>
      <c r="I324" s="385">
        <f t="shared" si="9"/>
        <v>0</v>
      </c>
      <c r="J324" s="18">
        <v>6</v>
      </c>
    </row>
    <row r="325" spans="1:10" s="18" customFormat="1" ht="18" customHeight="1">
      <c r="A325" s="318">
        <v>42549</v>
      </c>
      <c r="B325" s="318" t="s">
        <v>690</v>
      </c>
      <c r="C325" s="318">
        <v>42549</v>
      </c>
      <c r="D325" s="383" t="s">
        <v>1674</v>
      </c>
      <c r="E325" s="318" t="s">
        <v>25</v>
      </c>
      <c r="F325" s="384">
        <v>29099</v>
      </c>
      <c r="G325" s="382">
        <v>0</v>
      </c>
      <c r="H325" s="385">
        <f t="shared" si="8"/>
        <v>24883413</v>
      </c>
      <c r="I325" s="385">
        <f t="shared" si="9"/>
        <v>0</v>
      </c>
      <c r="J325" s="18">
        <v>6</v>
      </c>
    </row>
    <row r="326" spans="1:10" s="18" customFormat="1" ht="18" customHeight="1">
      <c r="A326" s="318">
        <v>42549</v>
      </c>
      <c r="B326" s="318" t="s">
        <v>690</v>
      </c>
      <c r="C326" s="318">
        <v>42549</v>
      </c>
      <c r="D326" s="383" t="s">
        <v>1616</v>
      </c>
      <c r="E326" s="318" t="s">
        <v>25</v>
      </c>
      <c r="F326" s="384">
        <v>7000</v>
      </c>
      <c r="G326" s="382">
        <v>0</v>
      </c>
      <c r="H326" s="385">
        <f t="shared" si="8"/>
        <v>24890413</v>
      </c>
      <c r="I326" s="385">
        <f t="shared" si="9"/>
        <v>0</v>
      </c>
      <c r="J326" s="18">
        <v>6</v>
      </c>
    </row>
    <row r="327" spans="1:10" s="18" customFormat="1" ht="18" customHeight="1">
      <c r="A327" s="318">
        <v>42549</v>
      </c>
      <c r="B327" s="318" t="s">
        <v>690</v>
      </c>
      <c r="C327" s="318">
        <v>42549</v>
      </c>
      <c r="D327" s="383" t="s">
        <v>1616</v>
      </c>
      <c r="E327" s="318" t="s">
        <v>25</v>
      </c>
      <c r="F327" s="384">
        <v>2000</v>
      </c>
      <c r="G327" s="382">
        <v>0</v>
      </c>
      <c r="H327" s="385">
        <f t="shared" si="8"/>
        <v>24892413</v>
      </c>
      <c r="I327" s="385">
        <f t="shared" si="9"/>
        <v>0</v>
      </c>
      <c r="J327" s="18">
        <v>6</v>
      </c>
    </row>
    <row r="328" spans="1:10" s="18" customFormat="1" ht="18" customHeight="1">
      <c r="A328" s="318">
        <v>42549</v>
      </c>
      <c r="B328" s="318" t="s">
        <v>690</v>
      </c>
      <c r="C328" s="318">
        <v>42549</v>
      </c>
      <c r="D328" s="383" t="s">
        <v>1616</v>
      </c>
      <c r="E328" s="318" t="s">
        <v>25</v>
      </c>
      <c r="F328" s="384">
        <v>2000</v>
      </c>
      <c r="G328" s="382">
        <v>0</v>
      </c>
      <c r="H328" s="385">
        <f t="shared" si="8"/>
        <v>24894413</v>
      </c>
      <c r="I328" s="385">
        <f t="shared" si="9"/>
        <v>0</v>
      </c>
      <c r="J328" s="18">
        <v>6</v>
      </c>
    </row>
    <row r="329" spans="1:10" s="18" customFormat="1" ht="18" customHeight="1">
      <c r="A329" s="318">
        <v>42549</v>
      </c>
      <c r="B329" s="318" t="s">
        <v>690</v>
      </c>
      <c r="C329" s="318">
        <v>42549</v>
      </c>
      <c r="D329" s="383" t="s">
        <v>1616</v>
      </c>
      <c r="E329" s="318" t="s">
        <v>25</v>
      </c>
      <c r="F329" s="384">
        <v>2000</v>
      </c>
      <c r="G329" s="382">
        <v>0</v>
      </c>
      <c r="H329" s="385">
        <f t="shared" si="8"/>
        <v>24896413</v>
      </c>
      <c r="I329" s="385">
        <f t="shared" si="9"/>
        <v>0</v>
      </c>
      <c r="J329" s="18">
        <v>6</v>
      </c>
    </row>
    <row r="330" spans="1:10" s="18" customFormat="1" ht="18" customHeight="1">
      <c r="A330" s="318">
        <v>42551</v>
      </c>
      <c r="B330" s="318" t="s">
        <v>897</v>
      </c>
      <c r="C330" s="318">
        <v>42551</v>
      </c>
      <c r="D330" s="383" t="s">
        <v>1603</v>
      </c>
      <c r="E330" s="318" t="s">
        <v>61</v>
      </c>
      <c r="F330" s="384">
        <v>141300</v>
      </c>
      <c r="G330" s="382">
        <v>0</v>
      </c>
      <c r="H330" s="385">
        <f t="shared" si="8"/>
        <v>25037713</v>
      </c>
      <c r="I330" s="385">
        <f t="shared" si="9"/>
        <v>0</v>
      </c>
      <c r="J330" s="18">
        <v>6</v>
      </c>
    </row>
    <row r="331" spans="1:10" s="18" customFormat="1" ht="18" customHeight="1">
      <c r="A331" s="318">
        <v>42551</v>
      </c>
      <c r="B331" s="318" t="s">
        <v>898</v>
      </c>
      <c r="C331" s="318">
        <v>42551</v>
      </c>
      <c r="D331" s="383" t="s">
        <v>1472</v>
      </c>
      <c r="E331" s="318" t="s">
        <v>61</v>
      </c>
      <c r="F331" s="384">
        <v>113364</v>
      </c>
      <c r="G331" s="382">
        <v>0</v>
      </c>
      <c r="H331" s="385">
        <f t="shared" si="8"/>
        <v>25151077</v>
      </c>
      <c r="I331" s="385">
        <f t="shared" si="9"/>
        <v>0</v>
      </c>
      <c r="J331" s="18">
        <v>6</v>
      </c>
    </row>
    <row r="332" spans="1:10" s="18" customFormat="1" ht="18" customHeight="1">
      <c r="A332" s="318">
        <v>42551</v>
      </c>
      <c r="B332" s="318" t="s">
        <v>570</v>
      </c>
      <c r="C332" s="318">
        <v>42551</v>
      </c>
      <c r="D332" s="383" t="s">
        <v>1958</v>
      </c>
      <c r="E332" s="318" t="s">
        <v>1568</v>
      </c>
      <c r="F332" s="384">
        <v>4898300</v>
      </c>
      <c r="G332" s="382">
        <v>0</v>
      </c>
      <c r="H332" s="385">
        <f t="shared" si="8"/>
        <v>30049377</v>
      </c>
      <c r="I332" s="385">
        <f t="shared" si="9"/>
        <v>0</v>
      </c>
      <c r="J332" s="18">
        <v>6</v>
      </c>
    </row>
    <row r="333" spans="1:10" s="18" customFormat="1" ht="18" customHeight="1">
      <c r="A333" s="318">
        <v>42551</v>
      </c>
      <c r="B333" s="318" t="s">
        <v>690</v>
      </c>
      <c r="C333" s="318">
        <v>42551</v>
      </c>
      <c r="D333" s="383" t="s">
        <v>1180</v>
      </c>
      <c r="E333" s="318" t="s">
        <v>25</v>
      </c>
      <c r="F333" s="384">
        <v>6702</v>
      </c>
      <c r="G333" s="382">
        <v>0</v>
      </c>
      <c r="H333" s="385">
        <f t="shared" si="8"/>
        <v>30056079</v>
      </c>
      <c r="I333" s="385">
        <f t="shared" si="9"/>
        <v>0</v>
      </c>
      <c r="J333" s="18">
        <v>6</v>
      </c>
    </row>
    <row r="334" spans="1:10" s="18" customFormat="1" ht="18" customHeight="1">
      <c r="A334" s="318">
        <v>42582</v>
      </c>
      <c r="B334" s="318" t="s">
        <v>113</v>
      </c>
      <c r="C334" s="318">
        <v>42582</v>
      </c>
      <c r="D334" s="383" t="s">
        <v>2551</v>
      </c>
      <c r="E334" s="318" t="s">
        <v>915</v>
      </c>
      <c r="F334" s="384">
        <v>0</v>
      </c>
      <c r="G334" s="382">
        <v>49965435</v>
      </c>
      <c r="H334" s="385">
        <f t="shared" si="8"/>
        <v>0</v>
      </c>
      <c r="I334" s="385">
        <f t="shared" si="9"/>
        <v>19909356</v>
      </c>
      <c r="J334" s="18">
        <v>7</v>
      </c>
    </row>
    <row r="335" spans="1:10" s="18" customFormat="1" ht="18" customHeight="1">
      <c r="A335" s="318">
        <v>42578</v>
      </c>
      <c r="B335" s="318" t="s">
        <v>663</v>
      </c>
      <c r="C335" s="318">
        <v>42583</v>
      </c>
      <c r="D335" s="383" t="s">
        <v>637</v>
      </c>
      <c r="E335" s="318" t="s">
        <v>8</v>
      </c>
      <c r="F335" s="384">
        <v>4283500</v>
      </c>
      <c r="G335" s="382">
        <v>0</v>
      </c>
      <c r="H335" s="385">
        <f t="shared" si="8"/>
        <v>0</v>
      </c>
      <c r="I335" s="385">
        <f t="shared" si="9"/>
        <v>15625856</v>
      </c>
      <c r="J335" s="18">
        <v>7</v>
      </c>
    </row>
    <row r="336" spans="1:10" s="18" customFormat="1" ht="18" customHeight="1">
      <c r="A336" s="318">
        <v>42582</v>
      </c>
      <c r="B336" s="318" t="s">
        <v>570</v>
      </c>
      <c r="C336" s="318">
        <v>42538</v>
      </c>
      <c r="D336" s="383" t="s">
        <v>1576</v>
      </c>
      <c r="E336" s="318" t="s">
        <v>8</v>
      </c>
      <c r="F336" s="384">
        <v>366989</v>
      </c>
      <c r="G336" s="382">
        <v>0</v>
      </c>
      <c r="H336" s="385">
        <f t="shared" ref="H336:H399" si="10">IF(D336&lt;&gt;"",MAX(H335+F336-G336-I335,0),0)</f>
        <v>0</v>
      </c>
      <c r="I336" s="385">
        <f t="shared" ref="I336:I399" si="11">IF(D336&lt;&gt;"",MAX(I335+G336-H335-F336,0),0)</f>
        <v>15258867</v>
      </c>
      <c r="J336" s="18">
        <v>7</v>
      </c>
    </row>
    <row r="337" spans="1:10" s="18" customFormat="1" ht="18" customHeight="1">
      <c r="A337" s="318">
        <v>42582</v>
      </c>
      <c r="B337" s="318" t="s">
        <v>570</v>
      </c>
      <c r="C337" s="318">
        <v>42552</v>
      </c>
      <c r="D337" s="383" t="s">
        <v>1731</v>
      </c>
      <c r="E337" s="318" t="s">
        <v>8</v>
      </c>
      <c r="F337" s="384">
        <v>1068182</v>
      </c>
      <c r="G337" s="382">
        <v>0</v>
      </c>
      <c r="H337" s="385">
        <f t="shared" si="10"/>
        <v>0</v>
      </c>
      <c r="I337" s="385">
        <f t="shared" si="11"/>
        <v>14190685</v>
      </c>
      <c r="J337" s="18">
        <v>7</v>
      </c>
    </row>
    <row r="338" spans="1:10" s="18" customFormat="1" ht="18" customHeight="1">
      <c r="A338" s="318">
        <v>42582</v>
      </c>
      <c r="B338" s="318" t="s">
        <v>570</v>
      </c>
      <c r="C338" s="318">
        <v>42560</v>
      </c>
      <c r="D338" s="383" t="s">
        <v>1731</v>
      </c>
      <c r="E338" s="318" t="s">
        <v>8</v>
      </c>
      <c r="F338" s="384">
        <v>1068182</v>
      </c>
      <c r="G338" s="382">
        <v>0</v>
      </c>
      <c r="H338" s="385">
        <f t="shared" si="10"/>
        <v>0</v>
      </c>
      <c r="I338" s="385">
        <f t="shared" si="11"/>
        <v>13122503</v>
      </c>
      <c r="J338" s="18">
        <v>7</v>
      </c>
    </row>
    <row r="339" spans="1:10" s="18" customFormat="1" ht="18" customHeight="1">
      <c r="A339" s="318">
        <v>42582</v>
      </c>
      <c r="B339" s="318" t="s">
        <v>570</v>
      </c>
      <c r="C339" s="318">
        <v>42562</v>
      </c>
      <c r="D339" s="383" t="s">
        <v>1851</v>
      </c>
      <c r="E339" s="318" t="s">
        <v>8</v>
      </c>
      <c r="F339" s="384">
        <v>783959</v>
      </c>
      <c r="G339" s="382">
        <v>0</v>
      </c>
      <c r="H339" s="385">
        <f t="shared" si="10"/>
        <v>0</v>
      </c>
      <c r="I339" s="385">
        <f t="shared" si="11"/>
        <v>12338544</v>
      </c>
      <c r="J339" s="18">
        <v>7</v>
      </c>
    </row>
    <row r="340" spans="1:10" s="18" customFormat="1" ht="18" customHeight="1">
      <c r="A340" s="318">
        <v>42582</v>
      </c>
      <c r="B340" s="318" t="s">
        <v>570</v>
      </c>
      <c r="C340" s="318">
        <v>42556</v>
      </c>
      <c r="D340" s="383" t="s">
        <v>625</v>
      </c>
      <c r="E340" s="318" t="s">
        <v>8</v>
      </c>
      <c r="F340" s="384">
        <v>200000</v>
      </c>
      <c r="G340" s="382">
        <v>0</v>
      </c>
      <c r="H340" s="385">
        <f t="shared" si="10"/>
        <v>0</v>
      </c>
      <c r="I340" s="385">
        <f t="shared" si="11"/>
        <v>12138544</v>
      </c>
      <c r="J340" s="18">
        <v>7</v>
      </c>
    </row>
    <row r="341" spans="1:10" s="18" customFormat="1" ht="18" customHeight="1">
      <c r="A341" s="318">
        <v>42582</v>
      </c>
      <c r="B341" s="318" t="s">
        <v>570</v>
      </c>
      <c r="C341" s="318">
        <v>42573</v>
      </c>
      <c r="D341" s="383" t="s">
        <v>625</v>
      </c>
      <c r="E341" s="318" t="s">
        <v>8</v>
      </c>
      <c r="F341" s="384">
        <v>200000</v>
      </c>
      <c r="G341" s="382">
        <v>0</v>
      </c>
      <c r="H341" s="385">
        <f t="shared" si="10"/>
        <v>0</v>
      </c>
      <c r="I341" s="385">
        <f t="shared" si="11"/>
        <v>11938544</v>
      </c>
      <c r="J341" s="18">
        <v>7</v>
      </c>
    </row>
    <row r="342" spans="1:10" s="18" customFormat="1" ht="18" customHeight="1">
      <c r="A342" s="318">
        <v>42582</v>
      </c>
      <c r="B342" s="318" t="s">
        <v>570</v>
      </c>
      <c r="C342" s="318">
        <v>42577</v>
      </c>
      <c r="D342" s="383" t="s">
        <v>625</v>
      </c>
      <c r="E342" s="318" t="s">
        <v>8</v>
      </c>
      <c r="F342" s="384">
        <v>200000</v>
      </c>
      <c r="G342" s="382">
        <v>0</v>
      </c>
      <c r="H342" s="385">
        <f t="shared" si="10"/>
        <v>0</v>
      </c>
      <c r="I342" s="385">
        <f t="shared" si="11"/>
        <v>11738544</v>
      </c>
      <c r="J342" s="18">
        <v>7</v>
      </c>
    </row>
    <row r="343" spans="1:10" s="18" customFormat="1" ht="18" customHeight="1">
      <c r="A343" s="318">
        <v>42582</v>
      </c>
      <c r="B343" s="318" t="s">
        <v>570</v>
      </c>
      <c r="C343" s="318">
        <v>42557</v>
      </c>
      <c r="D343" s="383" t="s">
        <v>1743</v>
      </c>
      <c r="E343" s="318" t="s">
        <v>8</v>
      </c>
      <c r="F343" s="384">
        <v>1888170</v>
      </c>
      <c r="G343" s="382">
        <v>0</v>
      </c>
      <c r="H343" s="385">
        <f t="shared" si="10"/>
        <v>0</v>
      </c>
      <c r="I343" s="385">
        <f t="shared" si="11"/>
        <v>9850374</v>
      </c>
      <c r="J343" s="18">
        <v>7</v>
      </c>
    </row>
    <row r="344" spans="1:10" s="18" customFormat="1" ht="18" customHeight="1">
      <c r="A344" s="318">
        <v>42582</v>
      </c>
      <c r="B344" s="318" t="s">
        <v>570</v>
      </c>
      <c r="C344" s="318">
        <v>42551</v>
      </c>
      <c r="D344" s="383" t="s">
        <v>1829</v>
      </c>
      <c r="E344" s="318" t="s">
        <v>8</v>
      </c>
      <c r="F344" s="384">
        <v>517877</v>
      </c>
      <c r="G344" s="382">
        <v>0</v>
      </c>
      <c r="H344" s="385">
        <f t="shared" si="10"/>
        <v>0</v>
      </c>
      <c r="I344" s="385">
        <f t="shared" si="11"/>
        <v>9332497</v>
      </c>
      <c r="J344" s="18">
        <v>7</v>
      </c>
    </row>
    <row r="345" spans="1:10" s="18" customFormat="1" ht="18" customHeight="1">
      <c r="A345" s="318">
        <v>42582</v>
      </c>
      <c r="B345" s="318" t="s">
        <v>570</v>
      </c>
      <c r="C345" s="318">
        <v>42581</v>
      </c>
      <c r="D345" s="383" t="s">
        <v>1829</v>
      </c>
      <c r="E345" s="318" t="s">
        <v>8</v>
      </c>
      <c r="F345" s="384">
        <v>576543</v>
      </c>
      <c r="G345" s="382">
        <v>0</v>
      </c>
      <c r="H345" s="385">
        <f t="shared" si="10"/>
        <v>0</v>
      </c>
      <c r="I345" s="385">
        <f t="shared" si="11"/>
        <v>8755954</v>
      </c>
      <c r="J345" s="18">
        <v>7</v>
      </c>
    </row>
    <row r="346" spans="1:10" s="18" customFormat="1" ht="18" customHeight="1">
      <c r="A346" s="318">
        <v>42582</v>
      </c>
      <c r="B346" s="318" t="s">
        <v>570</v>
      </c>
      <c r="C346" s="318">
        <v>42567</v>
      </c>
      <c r="D346" s="383" t="s">
        <v>1746</v>
      </c>
      <c r="E346" s="318" t="s">
        <v>8</v>
      </c>
      <c r="F346" s="384">
        <v>2180530</v>
      </c>
      <c r="G346" s="382">
        <v>0</v>
      </c>
      <c r="H346" s="385">
        <f t="shared" si="10"/>
        <v>0</v>
      </c>
      <c r="I346" s="385">
        <f t="shared" si="11"/>
        <v>6575424</v>
      </c>
      <c r="J346" s="18">
        <v>7</v>
      </c>
    </row>
    <row r="347" spans="1:10" s="18" customFormat="1" ht="18" customHeight="1">
      <c r="A347" s="318">
        <v>42582</v>
      </c>
      <c r="B347" s="318" t="s">
        <v>570</v>
      </c>
      <c r="C347" s="318">
        <v>42577</v>
      </c>
      <c r="D347" s="383" t="s">
        <v>1748</v>
      </c>
      <c r="E347" s="318" t="s">
        <v>8</v>
      </c>
      <c r="F347" s="384">
        <v>1584780</v>
      </c>
      <c r="G347" s="382">
        <v>0</v>
      </c>
      <c r="H347" s="385">
        <f t="shared" si="10"/>
        <v>0</v>
      </c>
      <c r="I347" s="385">
        <f t="shared" si="11"/>
        <v>4990644</v>
      </c>
      <c r="J347" s="18">
        <v>7</v>
      </c>
    </row>
    <row r="348" spans="1:10" s="18" customFormat="1" ht="18" customHeight="1">
      <c r="A348" s="318">
        <v>42582</v>
      </c>
      <c r="B348" s="318" t="s">
        <v>570</v>
      </c>
      <c r="C348" s="318">
        <v>42582</v>
      </c>
      <c r="D348" s="383" t="s">
        <v>1363</v>
      </c>
      <c r="E348" s="318" t="s">
        <v>8</v>
      </c>
      <c r="F348" s="384">
        <v>1802050</v>
      </c>
      <c r="G348" s="382">
        <v>0</v>
      </c>
      <c r="H348" s="385">
        <f t="shared" si="10"/>
        <v>0</v>
      </c>
      <c r="I348" s="385">
        <f t="shared" si="11"/>
        <v>3188594</v>
      </c>
      <c r="J348" s="18">
        <v>7</v>
      </c>
    </row>
    <row r="349" spans="1:10" s="18" customFormat="1" ht="18" customHeight="1">
      <c r="A349" s="318">
        <v>42567</v>
      </c>
      <c r="B349" s="318" t="s">
        <v>662</v>
      </c>
      <c r="C349" s="318">
        <v>42567</v>
      </c>
      <c r="D349" s="383" t="s">
        <v>1392</v>
      </c>
      <c r="E349" s="318" t="s">
        <v>8</v>
      </c>
      <c r="F349" s="384">
        <v>636400</v>
      </c>
      <c r="G349" s="382">
        <v>0</v>
      </c>
      <c r="H349" s="385">
        <f t="shared" si="10"/>
        <v>0</v>
      </c>
      <c r="I349" s="385">
        <f t="shared" si="11"/>
        <v>2552194</v>
      </c>
      <c r="J349" s="18">
        <v>7</v>
      </c>
    </row>
    <row r="350" spans="1:10" s="18" customFormat="1" ht="18" customHeight="1">
      <c r="A350" s="318">
        <v>42552</v>
      </c>
      <c r="B350" s="318" t="s">
        <v>690</v>
      </c>
      <c r="C350" s="318">
        <v>42552</v>
      </c>
      <c r="D350" s="383" t="s">
        <v>1967</v>
      </c>
      <c r="E350" s="318" t="s">
        <v>25</v>
      </c>
      <c r="F350" s="384">
        <v>4470</v>
      </c>
      <c r="G350" s="382">
        <v>0</v>
      </c>
      <c r="H350" s="385">
        <f t="shared" si="10"/>
        <v>0</v>
      </c>
      <c r="I350" s="385">
        <f t="shared" si="11"/>
        <v>2547724</v>
      </c>
      <c r="J350" s="18">
        <v>7</v>
      </c>
    </row>
    <row r="351" spans="1:10" s="18" customFormat="1" ht="18" customHeight="1">
      <c r="A351" s="318">
        <v>42552</v>
      </c>
      <c r="B351" s="318" t="s">
        <v>690</v>
      </c>
      <c r="C351" s="318">
        <v>42552</v>
      </c>
      <c r="D351" s="383" t="s">
        <v>1531</v>
      </c>
      <c r="E351" s="318" t="s">
        <v>25</v>
      </c>
      <c r="F351" s="384">
        <v>1000</v>
      </c>
      <c r="G351" s="382">
        <v>0</v>
      </c>
      <c r="H351" s="385">
        <f t="shared" si="10"/>
        <v>0</v>
      </c>
      <c r="I351" s="385">
        <f t="shared" si="11"/>
        <v>2546724</v>
      </c>
      <c r="J351" s="18">
        <v>7</v>
      </c>
    </row>
    <row r="352" spans="1:10" s="18" customFormat="1" ht="18" customHeight="1">
      <c r="A352" s="318">
        <v>42552</v>
      </c>
      <c r="B352" s="318" t="s">
        <v>690</v>
      </c>
      <c r="C352" s="318">
        <v>42552</v>
      </c>
      <c r="D352" s="383" t="s">
        <v>1750</v>
      </c>
      <c r="E352" s="318" t="s">
        <v>25</v>
      </c>
      <c r="F352" s="384">
        <v>10000</v>
      </c>
      <c r="G352" s="382">
        <v>0</v>
      </c>
      <c r="H352" s="385">
        <f t="shared" si="10"/>
        <v>0</v>
      </c>
      <c r="I352" s="385">
        <f t="shared" si="11"/>
        <v>2536724</v>
      </c>
      <c r="J352" s="18">
        <v>7</v>
      </c>
    </row>
    <row r="353" spans="1:10" s="18" customFormat="1" ht="18" customHeight="1">
      <c r="A353" s="318">
        <v>42553</v>
      </c>
      <c r="B353" s="318" t="s">
        <v>852</v>
      </c>
      <c r="C353" s="318">
        <v>42553</v>
      </c>
      <c r="D353" s="383" t="s">
        <v>1335</v>
      </c>
      <c r="E353" s="318" t="s">
        <v>61</v>
      </c>
      <c r="F353" s="384">
        <v>828182</v>
      </c>
      <c r="G353" s="382">
        <v>0</v>
      </c>
      <c r="H353" s="385">
        <f t="shared" si="10"/>
        <v>0</v>
      </c>
      <c r="I353" s="385">
        <f t="shared" si="11"/>
        <v>1708542</v>
      </c>
      <c r="J353" s="18">
        <v>7</v>
      </c>
    </row>
    <row r="354" spans="1:10" s="18" customFormat="1" ht="18" customHeight="1">
      <c r="A354" s="318">
        <v>42554</v>
      </c>
      <c r="B354" s="318" t="s">
        <v>854</v>
      </c>
      <c r="C354" s="318">
        <v>42554</v>
      </c>
      <c r="D354" s="383" t="s">
        <v>998</v>
      </c>
      <c r="E354" s="318" t="s">
        <v>61</v>
      </c>
      <c r="F354" s="384">
        <v>154244</v>
      </c>
      <c r="G354" s="382">
        <v>0</v>
      </c>
      <c r="H354" s="385">
        <f t="shared" si="10"/>
        <v>0</v>
      </c>
      <c r="I354" s="385">
        <f t="shared" si="11"/>
        <v>1554298</v>
      </c>
      <c r="J354" s="18">
        <v>7</v>
      </c>
    </row>
    <row r="355" spans="1:10" s="18" customFormat="1" ht="18" customHeight="1">
      <c r="A355" s="318">
        <v>42556</v>
      </c>
      <c r="B355" s="318" t="s">
        <v>858</v>
      </c>
      <c r="C355" s="318">
        <v>42556</v>
      </c>
      <c r="D355" s="383" t="s">
        <v>1697</v>
      </c>
      <c r="E355" s="318" t="s">
        <v>61</v>
      </c>
      <c r="F355" s="384">
        <v>1579200</v>
      </c>
      <c r="G355" s="382">
        <v>0</v>
      </c>
      <c r="H355" s="385">
        <f t="shared" si="10"/>
        <v>24902</v>
      </c>
      <c r="I355" s="385">
        <f t="shared" si="11"/>
        <v>0</v>
      </c>
      <c r="J355" s="18">
        <v>7</v>
      </c>
    </row>
    <row r="356" spans="1:10" s="18" customFormat="1" ht="18" customHeight="1">
      <c r="A356" s="318">
        <v>42556</v>
      </c>
      <c r="B356" s="318" t="s">
        <v>690</v>
      </c>
      <c r="C356" s="318">
        <v>42556</v>
      </c>
      <c r="D356" s="383" t="s">
        <v>1616</v>
      </c>
      <c r="E356" s="318" t="s">
        <v>25</v>
      </c>
      <c r="F356" s="384">
        <v>2851</v>
      </c>
      <c r="G356" s="382">
        <v>0</v>
      </c>
      <c r="H356" s="385">
        <f t="shared" si="10"/>
        <v>27753</v>
      </c>
      <c r="I356" s="385">
        <f t="shared" si="11"/>
        <v>0</v>
      </c>
      <c r="J356" s="18">
        <v>7</v>
      </c>
    </row>
    <row r="357" spans="1:10" s="18" customFormat="1" ht="18" customHeight="1">
      <c r="A357" s="318">
        <v>42556</v>
      </c>
      <c r="B357" s="318" t="s">
        <v>690</v>
      </c>
      <c r="C357" s="318">
        <v>42556</v>
      </c>
      <c r="D357" s="383" t="s">
        <v>1616</v>
      </c>
      <c r="E357" s="318" t="s">
        <v>25</v>
      </c>
      <c r="F357" s="384">
        <v>2500</v>
      </c>
      <c r="G357" s="382">
        <v>0</v>
      </c>
      <c r="H357" s="385">
        <f t="shared" si="10"/>
        <v>30253</v>
      </c>
      <c r="I357" s="385">
        <f t="shared" si="11"/>
        <v>0</v>
      </c>
      <c r="J357" s="18">
        <v>7</v>
      </c>
    </row>
    <row r="358" spans="1:10" s="18" customFormat="1" ht="18" customHeight="1">
      <c r="A358" s="318">
        <v>42556</v>
      </c>
      <c r="B358" s="318" t="s">
        <v>690</v>
      </c>
      <c r="C358" s="318">
        <v>42556</v>
      </c>
      <c r="D358" s="383" t="s">
        <v>1616</v>
      </c>
      <c r="E358" s="318" t="s">
        <v>25</v>
      </c>
      <c r="F358" s="384">
        <v>4000</v>
      </c>
      <c r="G358" s="382">
        <v>0</v>
      </c>
      <c r="H358" s="385">
        <f t="shared" si="10"/>
        <v>34253</v>
      </c>
      <c r="I358" s="385">
        <f t="shared" si="11"/>
        <v>0</v>
      </c>
      <c r="J358" s="18">
        <v>7</v>
      </c>
    </row>
    <row r="359" spans="1:10" s="18" customFormat="1" ht="18" customHeight="1">
      <c r="A359" s="318">
        <v>42556</v>
      </c>
      <c r="B359" s="318" t="s">
        <v>690</v>
      </c>
      <c r="C359" s="318">
        <v>42556</v>
      </c>
      <c r="D359" s="383" t="s">
        <v>1616</v>
      </c>
      <c r="E359" s="318" t="s">
        <v>25</v>
      </c>
      <c r="F359" s="384">
        <v>2000</v>
      </c>
      <c r="G359" s="382">
        <v>0</v>
      </c>
      <c r="H359" s="385">
        <f t="shared" si="10"/>
        <v>36253</v>
      </c>
      <c r="I359" s="385">
        <f t="shared" si="11"/>
        <v>0</v>
      </c>
      <c r="J359" s="18">
        <v>7</v>
      </c>
    </row>
    <row r="360" spans="1:10" s="18" customFormat="1" ht="18" customHeight="1">
      <c r="A360" s="318">
        <v>42556</v>
      </c>
      <c r="B360" s="318" t="s">
        <v>690</v>
      </c>
      <c r="C360" s="318">
        <v>42556</v>
      </c>
      <c r="D360" s="383" t="s">
        <v>1616</v>
      </c>
      <c r="E360" s="318" t="s">
        <v>25</v>
      </c>
      <c r="F360" s="384">
        <v>2000</v>
      </c>
      <c r="G360" s="382">
        <v>0</v>
      </c>
      <c r="H360" s="385">
        <f t="shared" si="10"/>
        <v>38253</v>
      </c>
      <c r="I360" s="385">
        <f t="shared" si="11"/>
        <v>0</v>
      </c>
      <c r="J360" s="18">
        <v>7</v>
      </c>
    </row>
    <row r="361" spans="1:10" s="18" customFormat="1" ht="18" customHeight="1">
      <c r="A361" s="318">
        <v>42557</v>
      </c>
      <c r="B361" s="318" t="s">
        <v>859</v>
      </c>
      <c r="C361" s="318">
        <v>42557</v>
      </c>
      <c r="D361" s="383" t="s">
        <v>757</v>
      </c>
      <c r="E361" s="318" t="s">
        <v>61</v>
      </c>
      <c r="F361" s="384">
        <v>72623</v>
      </c>
      <c r="G361" s="382">
        <v>0</v>
      </c>
      <c r="H361" s="385">
        <f t="shared" si="10"/>
        <v>110876</v>
      </c>
      <c r="I361" s="385">
        <f t="shared" si="11"/>
        <v>0</v>
      </c>
      <c r="J361" s="18">
        <v>7</v>
      </c>
    </row>
    <row r="362" spans="1:10" s="18" customFormat="1" ht="18" customHeight="1">
      <c r="A362" s="318">
        <v>42557</v>
      </c>
      <c r="B362" s="318" t="s">
        <v>860</v>
      </c>
      <c r="C362" s="318">
        <v>42557</v>
      </c>
      <c r="D362" s="383" t="s">
        <v>1701</v>
      </c>
      <c r="E362" s="318" t="s">
        <v>61</v>
      </c>
      <c r="F362" s="384">
        <v>199427</v>
      </c>
      <c r="G362" s="382">
        <v>0</v>
      </c>
      <c r="H362" s="385">
        <f t="shared" si="10"/>
        <v>310303</v>
      </c>
      <c r="I362" s="385">
        <f t="shared" si="11"/>
        <v>0</v>
      </c>
      <c r="J362" s="18">
        <v>7</v>
      </c>
    </row>
    <row r="363" spans="1:10" s="18" customFormat="1" ht="18" customHeight="1">
      <c r="A363" s="318">
        <v>42560</v>
      </c>
      <c r="B363" s="318" t="s">
        <v>861</v>
      </c>
      <c r="C363" s="318">
        <v>42560</v>
      </c>
      <c r="D363" s="383" t="s">
        <v>1737</v>
      </c>
      <c r="E363" s="318" t="s">
        <v>61</v>
      </c>
      <c r="F363" s="384">
        <v>64000</v>
      </c>
      <c r="G363" s="382">
        <v>0</v>
      </c>
      <c r="H363" s="385">
        <f t="shared" si="10"/>
        <v>374303</v>
      </c>
      <c r="I363" s="385">
        <f t="shared" si="11"/>
        <v>0</v>
      </c>
      <c r="J363" s="18">
        <v>7</v>
      </c>
    </row>
    <row r="364" spans="1:10" s="18" customFormat="1" ht="18" customHeight="1">
      <c r="A364" s="318">
        <v>42561</v>
      </c>
      <c r="B364" s="318" t="s">
        <v>862</v>
      </c>
      <c r="C364" s="318">
        <v>42561</v>
      </c>
      <c r="D364" s="383" t="s">
        <v>1324</v>
      </c>
      <c r="E364" s="318" t="s">
        <v>61</v>
      </c>
      <c r="F364" s="384">
        <v>75727</v>
      </c>
      <c r="G364" s="382">
        <v>0</v>
      </c>
      <c r="H364" s="385">
        <f t="shared" si="10"/>
        <v>450030</v>
      </c>
      <c r="I364" s="385">
        <f t="shared" si="11"/>
        <v>0</v>
      </c>
      <c r="J364" s="18">
        <v>7</v>
      </c>
    </row>
    <row r="365" spans="1:10" s="18" customFormat="1" ht="18" customHeight="1">
      <c r="A365" s="318">
        <v>42562</v>
      </c>
      <c r="B365" s="318" t="s">
        <v>865</v>
      </c>
      <c r="C365" s="318">
        <v>42562</v>
      </c>
      <c r="D365" s="383" t="s">
        <v>1706</v>
      </c>
      <c r="E365" s="318" t="s">
        <v>61</v>
      </c>
      <c r="F365" s="384">
        <v>34455</v>
      </c>
      <c r="G365" s="382">
        <v>0</v>
      </c>
      <c r="H365" s="385">
        <f t="shared" si="10"/>
        <v>484485</v>
      </c>
      <c r="I365" s="385">
        <f t="shared" si="11"/>
        <v>0</v>
      </c>
      <c r="J365" s="18">
        <v>7</v>
      </c>
    </row>
    <row r="366" spans="1:10" s="18" customFormat="1" ht="18" customHeight="1">
      <c r="A366" s="318">
        <v>42564</v>
      </c>
      <c r="B366" s="318" t="s">
        <v>867</v>
      </c>
      <c r="C366" s="318">
        <v>42564</v>
      </c>
      <c r="D366" s="383" t="s">
        <v>998</v>
      </c>
      <c r="E366" s="318" t="s">
        <v>61</v>
      </c>
      <c r="F366" s="384">
        <v>109841</v>
      </c>
      <c r="G366" s="382">
        <v>0</v>
      </c>
      <c r="H366" s="385">
        <f t="shared" si="10"/>
        <v>594326</v>
      </c>
      <c r="I366" s="385">
        <f t="shared" si="11"/>
        <v>0</v>
      </c>
      <c r="J366" s="18">
        <v>7</v>
      </c>
    </row>
    <row r="367" spans="1:10" s="18" customFormat="1" ht="18" customHeight="1">
      <c r="A367" s="318">
        <v>42564</v>
      </c>
      <c r="B367" s="318" t="s">
        <v>868</v>
      </c>
      <c r="C367" s="318">
        <v>42564</v>
      </c>
      <c r="D367" s="383" t="s">
        <v>1515</v>
      </c>
      <c r="E367" s="318" t="s">
        <v>61</v>
      </c>
      <c r="F367" s="384">
        <v>187500</v>
      </c>
      <c r="G367" s="382">
        <v>0</v>
      </c>
      <c r="H367" s="385">
        <f t="shared" si="10"/>
        <v>781826</v>
      </c>
      <c r="I367" s="385">
        <f t="shared" si="11"/>
        <v>0</v>
      </c>
      <c r="J367" s="18">
        <v>7</v>
      </c>
    </row>
    <row r="368" spans="1:10" s="18" customFormat="1" ht="18" customHeight="1">
      <c r="A368" s="318">
        <v>42564</v>
      </c>
      <c r="B368" s="318" t="s">
        <v>869</v>
      </c>
      <c r="C368" s="318">
        <v>42564</v>
      </c>
      <c r="D368" s="383" t="s">
        <v>998</v>
      </c>
      <c r="E368" s="318" t="s">
        <v>61</v>
      </c>
      <c r="F368" s="384">
        <v>131988</v>
      </c>
      <c r="G368" s="382">
        <v>0</v>
      </c>
      <c r="H368" s="385">
        <f t="shared" si="10"/>
        <v>913814</v>
      </c>
      <c r="I368" s="385">
        <f t="shared" si="11"/>
        <v>0</v>
      </c>
      <c r="J368" s="18">
        <v>7</v>
      </c>
    </row>
    <row r="369" spans="1:10" s="18" customFormat="1" ht="18" customHeight="1">
      <c r="A369" s="318">
        <v>42564</v>
      </c>
      <c r="B369" s="318" t="s">
        <v>690</v>
      </c>
      <c r="C369" s="318">
        <v>42564</v>
      </c>
      <c r="D369" s="383" t="s">
        <v>1616</v>
      </c>
      <c r="E369" s="318" t="s">
        <v>25</v>
      </c>
      <c r="F369" s="384">
        <v>2500</v>
      </c>
      <c r="G369" s="382">
        <v>0</v>
      </c>
      <c r="H369" s="385">
        <f t="shared" si="10"/>
        <v>916314</v>
      </c>
      <c r="I369" s="385">
        <f t="shared" si="11"/>
        <v>0</v>
      </c>
      <c r="J369" s="18">
        <v>7</v>
      </c>
    </row>
    <row r="370" spans="1:10" s="18" customFormat="1" ht="18" customHeight="1">
      <c r="A370" s="318">
        <v>42565</v>
      </c>
      <c r="B370" s="318" t="s">
        <v>870</v>
      </c>
      <c r="C370" s="318">
        <v>42565</v>
      </c>
      <c r="D370" s="383" t="s">
        <v>1324</v>
      </c>
      <c r="E370" s="318" t="s">
        <v>61</v>
      </c>
      <c r="F370" s="384">
        <v>116073</v>
      </c>
      <c r="G370" s="382">
        <v>0</v>
      </c>
      <c r="H370" s="385">
        <f t="shared" si="10"/>
        <v>1032387</v>
      </c>
      <c r="I370" s="385">
        <f t="shared" si="11"/>
        <v>0</v>
      </c>
      <c r="J370" s="18">
        <v>7</v>
      </c>
    </row>
    <row r="371" spans="1:10" s="18" customFormat="1" ht="18" customHeight="1">
      <c r="A371" s="318">
        <v>42566</v>
      </c>
      <c r="B371" s="318" t="s">
        <v>690</v>
      </c>
      <c r="C371" s="318">
        <v>42566</v>
      </c>
      <c r="D371" s="383" t="s">
        <v>1176</v>
      </c>
      <c r="E371" s="318" t="s">
        <v>576</v>
      </c>
      <c r="F371" s="384">
        <v>65028</v>
      </c>
      <c r="G371" s="382">
        <v>0</v>
      </c>
      <c r="H371" s="385">
        <f t="shared" si="10"/>
        <v>1097415</v>
      </c>
      <c r="I371" s="385">
        <f t="shared" si="11"/>
        <v>0</v>
      </c>
      <c r="J371" s="18">
        <v>7</v>
      </c>
    </row>
    <row r="372" spans="1:10" s="18" customFormat="1" ht="18" customHeight="1">
      <c r="A372" s="318">
        <v>42566</v>
      </c>
      <c r="B372" s="318" t="s">
        <v>690</v>
      </c>
      <c r="C372" s="318">
        <v>42566</v>
      </c>
      <c r="D372" s="383" t="s">
        <v>1616</v>
      </c>
      <c r="E372" s="318" t="s">
        <v>25</v>
      </c>
      <c r="F372" s="384">
        <v>4000</v>
      </c>
      <c r="G372" s="382">
        <v>0</v>
      </c>
      <c r="H372" s="385">
        <f t="shared" si="10"/>
        <v>1101415</v>
      </c>
      <c r="I372" s="385">
        <f t="shared" si="11"/>
        <v>0</v>
      </c>
      <c r="J372" s="18">
        <v>7</v>
      </c>
    </row>
    <row r="373" spans="1:10" s="18" customFormat="1" ht="18" customHeight="1">
      <c r="A373" s="318">
        <v>42566</v>
      </c>
      <c r="B373" s="318" t="s">
        <v>690</v>
      </c>
      <c r="C373" s="318">
        <v>42566</v>
      </c>
      <c r="D373" s="383" t="s">
        <v>1174</v>
      </c>
      <c r="E373" s="318" t="s">
        <v>576</v>
      </c>
      <c r="F373" s="384">
        <v>22270</v>
      </c>
      <c r="G373" s="382">
        <v>0</v>
      </c>
      <c r="H373" s="385">
        <f t="shared" si="10"/>
        <v>1123685</v>
      </c>
      <c r="I373" s="385">
        <f t="shared" si="11"/>
        <v>0</v>
      </c>
      <c r="J373" s="18">
        <v>7</v>
      </c>
    </row>
    <row r="374" spans="1:10" s="18" customFormat="1" ht="18" customHeight="1">
      <c r="A374" s="318">
        <v>42566</v>
      </c>
      <c r="B374" s="318" t="s">
        <v>690</v>
      </c>
      <c r="C374" s="318">
        <v>42566</v>
      </c>
      <c r="D374" s="383" t="s">
        <v>1046</v>
      </c>
      <c r="E374" s="318" t="s">
        <v>576</v>
      </c>
      <c r="F374" s="384">
        <v>139410</v>
      </c>
      <c r="G374" s="382">
        <v>0</v>
      </c>
      <c r="H374" s="385">
        <f t="shared" si="10"/>
        <v>1263095</v>
      </c>
      <c r="I374" s="385">
        <f t="shared" si="11"/>
        <v>0</v>
      </c>
      <c r="J374" s="18">
        <v>7</v>
      </c>
    </row>
    <row r="375" spans="1:10" s="18" customFormat="1" ht="18" customHeight="1">
      <c r="A375" s="318">
        <v>42569</v>
      </c>
      <c r="B375" s="318" t="s">
        <v>875</v>
      </c>
      <c r="C375" s="318">
        <v>42569</v>
      </c>
      <c r="D375" s="383" t="s">
        <v>1123</v>
      </c>
      <c r="E375" s="318" t="s">
        <v>61</v>
      </c>
      <c r="F375" s="384">
        <v>206952</v>
      </c>
      <c r="G375" s="382">
        <v>0</v>
      </c>
      <c r="H375" s="385">
        <f t="shared" si="10"/>
        <v>1470047</v>
      </c>
      <c r="I375" s="385">
        <f t="shared" si="11"/>
        <v>0</v>
      </c>
      <c r="J375" s="18">
        <v>7</v>
      </c>
    </row>
    <row r="376" spans="1:10" s="18" customFormat="1" ht="18" customHeight="1">
      <c r="A376" s="318">
        <v>42570</v>
      </c>
      <c r="B376" s="318" t="s">
        <v>876</v>
      </c>
      <c r="C376" s="318">
        <v>42570</v>
      </c>
      <c r="D376" s="383" t="s">
        <v>1515</v>
      </c>
      <c r="E376" s="318" t="s">
        <v>61</v>
      </c>
      <c r="F376" s="384">
        <v>25000</v>
      </c>
      <c r="G376" s="382">
        <v>0</v>
      </c>
      <c r="H376" s="385">
        <f t="shared" si="10"/>
        <v>1495047</v>
      </c>
      <c r="I376" s="385">
        <f t="shared" si="11"/>
        <v>0</v>
      </c>
      <c r="J376" s="18">
        <v>7</v>
      </c>
    </row>
    <row r="377" spans="1:10" s="18" customFormat="1" ht="18" customHeight="1">
      <c r="A377" s="318">
        <v>42572</v>
      </c>
      <c r="B377" s="318" t="s">
        <v>877</v>
      </c>
      <c r="C377" s="318">
        <v>42572</v>
      </c>
      <c r="D377" s="383" t="s">
        <v>1693</v>
      </c>
      <c r="E377" s="318" t="s">
        <v>61</v>
      </c>
      <c r="F377" s="384">
        <v>211909</v>
      </c>
      <c r="G377" s="382">
        <v>0</v>
      </c>
      <c r="H377" s="385">
        <f t="shared" si="10"/>
        <v>1706956</v>
      </c>
      <c r="I377" s="385">
        <f t="shared" si="11"/>
        <v>0</v>
      </c>
      <c r="J377" s="18">
        <v>7</v>
      </c>
    </row>
    <row r="378" spans="1:10" s="18" customFormat="1" ht="18" customHeight="1">
      <c r="A378" s="318">
        <v>42573</v>
      </c>
      <c r="B378" s="318" t="s">
        <v>690</v>
      </c>
      <c r="C378" s="318">
        <v>42573</v>
      </c>
      <c r="D378" s="383" t="s">
        <v>1616</v>
      </c>
      <c r="E378" s="318" t="s">
        <v>25</v>
      </c>
      <c r="F378" s="384">
        <v>2000</v>
      </c>
      <c r="G378" s="382">
        <v>0</v>
      </c>
      <c r="H378" s="385">
        <f t="shared" si="10"/>
        <v>1708956</v>
      </c>
      <c r="I378" s="385">
        <f t="shared" si="11"/>
        <v>0</v>
      </c>
      <c r="J378" s="18">
        <v>7</v>
      </c>
    </row>
    <row r="379" spans="1:10" s="18" customFormat="1" ht="18" customHeight="1">
      <c r="A379" s="318">
        <v>42573</v>
      </c>
      <c r="B379" s="318" t="s">
        <v>690</v>
      </c>
      <c r="C379" s="318">
        <v>42573</v>
      </c>
      <c r="D379" s="383" t="s">
        <v>1616</v>
      </c>
      <c r="E379" s="318" t="s">
        <v>25</v>
      </c>
      <c r="F379" s="384">
        <v>2851</v>
      </c>
      <c r="G379" s="382">
        <v>0</v>
      </c>
      <c r="H379" s="385">
        <f t="shared" si="10"/>
        <v>1711807</v>
      </c>
      <c r="I379" s="385">
        <f t="shared" si="11"/>
        <v>0</v>
      </c>
      <c r="J379" s="18">
        <v>7</v>
      </c>
    </row>
    <row r="380" spans="1:10" s="18" customFormat="1" ht="18" customHeight="1">
      <c r="A380" s="318">
        <v>42573</v>
      </c>
      <c r="B380" s="318" t="s">
        <v>690</v>
      </c>
      <c r="C380" s="318">
        <v>42573</v>
      </c>
      <c r="D380" s="383" t="s">
        <v>1616</v>
      </c>
      <c r="E380" s="318" t="s">
        <v>25</v>
      </c>
      <c r="F380" s="384">
        <v>2000</v>
      </c>
      <c r="G380" s="382">
        <v>0</v>
      </c>
      <c r="H380" s="385">
        <f t="shared" si="10"/>
        <v>1713807</v>
      </c>
      <c r="I380" s="385">
        <f t="shared" si="11"/>
        <v>0</v>
      </c>
      <c r="J380" s="18">
        <v>7</v>
      </c>
    </row>
    <row r="381" spans="1:10" s="18" customFormat="1" ht="18" customHeight="1">
      <c r="A381" s="318">
        <v>42578</v>
      </c>
      <c r="B381" s="318" t="s">
        <v>879</v>
      </c>
      <c r="C381" s="318">
        <v>42578</v>
      </c>
      <c r="D381" s="383" t="s">
        <v>1718</v>
      </c>
      <c r="E381" s="318" t="s">
        <v>61</v>
      </c>
      <c r="F381" s="384">
        <v>1605000</v>
      </c>
      <c r="G381" s="382">
        <v>0</v>
      </c>
      <c r="H381" s="385">
        <f t="shared" si="10"/>
        <v>3318807</v>
      </c>
      <c r="I381" s="385">
        <f t="shared" si="11"/>
        <v>0</v>
      </c>
      <c r="J381" s="18">
        <v>7</v>
      </c>
    </row>
    <row r="382" spans="1:10" s="18" customFormat="1" ht="18" customHeight="1">
      <c r="A382" s="318">
        <v>42579</v>
      </c>
      <c r="B382" s="318" t="s">
        <v>880</v>
      </c>
      <c r="C382" s="318">
        <v>42579</v>
      </c>
      <c r="D382" s="383" t="s">
        <v>998</v>
      </c>
      <c r="E382" s="318" t="s">
        <v>61</v>
      </c>
      <c r="F382" s="384">
        <v>149166</v>
      </c>
      <c r="G382" s="382">
        <v>0</v>
      </c>
      <c r="H382" s="385">
        <f t="shared" si="10"/>
        <v>3467973</v>
      </c>
      <c r="I382" s="385">
        <f t="shared" si="11"/>
        <v>0</v>
      </c>
      <c r="J382" s="18">
        <v>7</v>
      </c>
    </row>
    <row r="383" spans="1:10" s="18" customFormat="1" ht="18" customHeight="1">
      <c r="A383" s="318">
        <v>42579</v>
      </c>
      <c r="B383" s="318" t="s">
        <v>881</v>
      </c>
      <c r="C383" s="318">
        <v>42579</v>
      </c>
      <c r="D383" s="383" t="s">
        <v>1515</v>
      </c>
      <c r="E383" s="318" t="s">
        <v>61</v>
      </c>
      <c r="F383" s="384">
        <v>18000</v>
      </c>
      <c r="G383" s="382">
        <v>0</v>
      </c>
      <c r="H383" s="385">
        <f t="shared" si="10"/>
        <v>3485973</v>
      </c>
      <c r="I383" s="385">
        <f t="shared" si="11"/>
        <v>0</v>
      </c>
      <c r="J383" s="18">
        <v>7</v>
      </c>
    </row>
    <row r="384" spans="1:10" s="18" customFormat="1" ht="18" customHeight="1">
      <c r="A384" s="318">
        <v>42580</v>
      </c>
      <c r="B384" s="318" t="s">
        <v>882</v>
      </c>
      <c r="C384" s="318">
        <v>42580</v>
      </c>
      <c r="D384" s="383" t="s">
        <v>1723</v>
      </c>
      <c r="E384" s="318" t="s">
        <v>61</v>
      </c>
      <c r="F384" s="384">
        <v>193936</v>
      </c>
      <c r="G384" s="382">
        <v>0</v>
      </c>
      <c r="H384" s="385">
        <f t="shared" si="10"/>
        <v>3679909</v>
      </c>
      <c r="I384" s="385">
        <f t="shared" si="11"/>
        <v>0</v>
      </c>
      <c r="J384" s="18">
        <v>7</v>
      </c>
    </row>
    <row r="385" spans="1:10" s="18" customFormat="1" ht="18" customHeight="1">
      <c r="A385" s="318">
        <v>42582</v>
      </c>
      <c r="B385" s="318" t="s">
        <v>883</v>
      </c>
      <c r="C385" s="318">
        <v>42582</v>
      </c>
      <c r="D385" s="383" t="s">
        <v>1324</v>
      </c>
      <c r="E385" s="318" t="s">
        <v>61</v>
      </c>
      <c r="F385" s="384">
        <v>68364</v>
      </c>
      <c r="G385" s="382">
        <v>0</v>
      </c>
      <c r="H385" s="385">
        <f t="shared" si="10"/>
        <v>3748273</v>
      </c>
      <c r="I385" s="385">
        <f t="shared" si="11"/>
        <v>0</v>
      </c>
      <c r="J385" s="18">
        <v>7</v>
      </c>
    </row>
    <row r="386" spans="1:10" s="18" customFormat="1" ht="18" customHeight="1">
      <c r="A386" s="318">
        <v>42582</v>
      </c>
      <c r="B386" s="318" t="s">
        <v>884</v>
      </c>
      <c r="C386" s="318">
        <v>42558</v>
      </c>
      <c r="D386" s="383" t="s">
        <v>773</v>
      </c>
      <c r="E386" s="318" t="s">
        <v>61</v>
      </c>
      <c r="F386" s="384">
        <v>332500</v>
      </c>
      <c r="G386" s="382">
        <v>0</v>
      </c>
      <c r="H386" s="385">
        <f t="shared" si="10"/>
        <v>4080773</v>
      </c>
      <c r="I386" s="385">
        <f t="shared" si="11"/>
        <v>0</v>
      </c>
      <c r="J386" s="18">
        <v>7</v>
      </c>
    </row>
    <row r="387" spans="1:10" s="18" customFormat="1" ht="18" customHeight="1">
      <c r="A387" s="318">
        <v>42582</v>
      </c>
      <c r="B387" s="318" t="s">
        <v>885</v>
      </c>
      <c r="C387" s="318">
        <v>42582</v>
      </c>
      <c r="D387" s="383" t="s">
        <v>1729</v>
      </c>
      <c r="E387" s="318" t="s">
        <v>61</v>
      </c>
      <c r="F387" s="384">
        <v>202727</v>
      </c>
      <c r="G387" s="382">
        <v>0</v>
      </c>
      <c r="H387" s="385">
        <f t="shared" si="10"/>
        <v>4283500</v>
      </c>
      <c r="I387" s="385">
        <f t="shared" si="11"/>
        <v>0</v>
      </c>
      <c r="J387" s="18">
        <v>7</v>
      </c>
    </row>
    <row r="388" spans="1:10" s="18" customFormat="1" ht="18" customHeight="1">
      <c r="A388" s="318">
        <v>42613</v>
      </c>
      <c r="B388" s="318" t="s">
        <v>665</v>
      </c>
      <c r="C388" s="318">
        <v>42613</v>
      </c>
      <c r="D388" s="383" t="s">
        <v>1827</v>
      </c>
      <c r="E388" s="318" t="s">
        <v>8</v>
      </c>
      <c r="F388" s="384">
        <v>7687900</v>
      </c>
      <c r="G388" s="382">
        <v>0</v>
      </c>
      <c r="H388" s="385">
        <f t="shared" si="10"/>
        <v>11971400</v>
      </c>
      <c r="I388" s="385">
        <f t="shared" si="11"/>
        <v>0</v>
      </c>
      <c r="J388" s="18">
        <v>8</v>
      </c>
    </row>
    <row r="389" spans="1:10" s="18" customFormat="1" ht="18" customHeight="1">
      <c r="A389" s="318">
        <v>42606</v>
      </c>
      <c r="B389" s="318" t="s">
        <v>663</v>
      </c>
      <c r="C389" s="318">
        <v>42606</v>
      </c>
      <c r="D389" s="383" t="s">
        <v>637</v>
      </c>
      <c r="E389" s="318" t="s">
        <v>8</v>
      </c>
      <c r="F389" s="384">
        <v>2420000</v>
      </c>
      <c r="G389" s="382">
        <v>0</v>
      </c>
      <c r="H389" s="385">
        <f t="shared" si="10"/>
        <v>14391400</v>
      </c>
      <c r="I389" s="385">
        <f t="shared" si="11"/>
        <v>0</v>
      </c>
      <c r="J389" s="18">
        <v>8</v>
      </c>
    </row>
    <row r="390" spans="1:10" s="18" customFormat="1" ht="18" customHeight="1">
      <c r="A390" s="318">
        <v>42608</v>
      </c>
      <c r="B390" s="318" t="s">
        <v>664</v>
      </c>
      <c r="C390" s="318">
        <v>42608</v>
      </c>
      <c r="D390" s="383" t="s">
        <v>1161</v>
      </c>
      <c r="E390" s="318" t="s">
        <v>8</v>
      </c>
      <c r="F390" s="384">
        <v>480000</v>
      </c>
      <c r="G390" s="382">
        <v>0</v>
      </c>
      <c r="H390" s="385">
        <f t="shared" si="10"/>
        <v>14871400</v>
      </c>
      <c r="I390" s="385">
        <f t="shared" si="11"/>
        <v>0</v>
      </c>
      <c r="J390" s="18">
        <v>8</v>
      </c>
    </row>
    <row r="391" spans="1:10" s="18" customFormat="1" ht="18" customHeight="1">
      <c r="A391" s="318">
        <v>42613</v>
      </c>
      <c r="B391" s="318" t="s">
        <v>570</v>
      </c>
      <c r="C391" s="318">
        <v>42585</v>
      </c>
      <c r="D391" s="383" t="s">
        <v>1731</v>
      </c>
      <c r="E391" s="318" t="s">
        <v>8</v>
      </c>
      <c r="F391" s="384">
        <v>3204545</v>
      </c>
      <c r="G391" s="382">
        <v>0</v>
      </c>
      <c r="H391" s="385">
        <f t="shared" si="10"/>
        <v>18075945</v>
      </c>
      <c r="I391" s="385">
        <f t="shared" si="11"/>
        <v>0</v>
      </c>
      <c r="J391" s="18">
        <v>8</v>
      </c>
    </row>
    <row r="392" spans="1:10" s="18" customFormat="1" ht="18" customHeight="1">
      <c r="A392" s="318">
        <v>42613</v>
      </c>
      <c r="B392" s="318" t="s">
        <v>570</v>
      </c>
      <c r="C392" s="318">
        <v>42591</v>
      </c>
      <c r="D392" s="383" t="s">
        <v>625</v>
      </c>
      <c r="E392" s="318" t="s">
        <v>8</v>
      </c>
      <c r="F392" s="384">
        <v>200000</v>
      </c>
      <c r="G392" s="382">
        <v>0</v>
      </c>
      <c r="H392" s="385">
        <f t="shared" si="10"/>
        <v>18275945</v>
      </c>
      <c r="I392" s="385">
        <f t="shared" si="11"/>
        <v>0</v>
      </c>
      <c r="J392" s="18">
        <v>8</v>
      </c>
    </row>
    <row r="393" spans="1:10" s="18" customFormat="1" ht="18" customHeight="1">
      <c r="A393" s="318">
        <v>42613</v>
      </c>
      <c r="B393" s="318" t="s">
        <v>570</v>
      </c>
      <c r="C393" s="318">
        <v>42600</v>
      </c>
      <c r="D393" s="383" t="s">
        <v>1848</v>
      </c>
      <c r="E393" s="318" t="s">
        <v>8</v>
      </c>
      <c r="F393" s="384">
        <v>373154</v>
      </c>
      <c r="G393" s="382">
        <v>0</v>
      </c>
      <c r="H393" s="385">
        <f t="shared" si="10"/>
        <v>18649099</v>
      </c>
      <c r="I393" s="385">
        <f t="shared" si="11"/>
        <v>0</v>
      </c>
      <c r="J393" s="18">
        <v>8</v>
      </c>
    </row>
    <row r="394" spans="1:10" s="18" customFormat="1" ht="18" customHeight="1">
      <c r="A394" s="318">
        <v>42613</v>
      </c>
      <c r="B394" s="318" t="s">
        <v>570</v>
      </c>
      <c r="C394" s="318">
        <v>42593</v>
      </c>
      <c r="D394" s="383" t="s">
        <v>625</v>
      </c>
      <c r="E394" s="318" t="s">
        <v>8</v>
      </c>
      <c r="F394" s="384">
        <v>200000</v>
      </c>
      <c r="G394" s="382">
        <v>0</v>
      </c>
      <c r="H394" s="385">
        <f t="shared" si="10"/>
        <v>18849099</v>
      </c>
      <c r="I394" s="385">
        <f t="shared" si="11"/>
        <v>0</v>
      </c>
      <c r="J394" s="18">
        <v>8</v>
      </c>
    </row>
    <row r="395" spans="1:10" s="18" customFormat="1" ht="18" customHeight="1">
      <c r="A395" s="318">
        <v>42613</v>
      </c>
      <c r="B395" s="318" t="s">
        <v>570</v>
      </c>
      <c r="C395" s="318">
        <v>42613</v>
      </c>
      <c r="D395" s="383" t="s">
        <v>1848</v>
      </c>
      <c r="E395" s="318" t="s">
        <v>8</v>
      </c>
      <c r="F395" s="384">
        <v>438292</v>
      </c>
      <c r="G395" s="382">
        <v>0</v>
      </c>
      <c r="H395" s="385">
        <f t="shared" si="10"/>
        <v>19287391</v>
      </c>
      <c r="I395" s="385">
        <f t="shared" si="11"/>
        <v>0</v>
      </c>
      <c r="J395" s="18">
        <v>8</v>
      </c>
    </row>
    <row r="396" spans="1:10" s="18" customFormat="1" ht="18" customHeight="1">
      <c r="A396" s="318">
        <v>42613</v>
      </c>
      <c r="B396" s="318" t="s">
        <v>570</v>
      </c>
      <c r="C396" s="318">
        <v>42590</v>
      </c>
      <c r="D396" s="383" t="s">
        <v>1851</v>
      </c>
      <c r="E396" s="318" t="s">
        <v>8</v>
      </c>
      <c r="F396" s="384">
        <v>850773</v>
      </c>
      <c r="G396" s="382">
        <v>0</v>
      </c>
      <c r="H396" s="385">
        <f t="shared" si="10"/>
        <v>20138164</v>
      </c>
      <c r="I396" s="385">
        <f t="shared" si="11"/>
        <v>0</v>
      </c>
      <c r="J396" s="18">
        <v>8</v>
      </c>
    </row>
    <row r="397" spans="1:10" s="18" customFormat="1" ht="18" customHeight="1">
      <c r="A397" s="318">
        <v>42613</v>
      </c>
      <c r="B397" s="318" t="s">
        <v>570</v>
      </c>
      <c r="C397" s="318">
        <v>42611</v>
      </c>
      <c r="D397" s="383" t="s">
        <v>625</v>
      </c>
      <c r="E397" s="318" t="s">
        <v>8</v>
      </c>
      <c r="F397" s="384">
        <v>204136</v>
      </c>
      <c r="G397" s="382">
        <v>0</v>
      </c>
      <c r="H397" s="385">
        <f t="shared" si="10"/>
        <v>20342300</v>
      </c>
      <c r="I397" s="385">
        <f t="shared" si="11"/>
        <v>0</v>
      </c>
      <c r="J397" s="18">
        <v>8</v>
      </c>
    </row>
    <row r="398" spans="1:10" s="18" customFormat="1" ht="18" customHeight="1">
      <c r="A398" s="318">
        <v>42613</v>
      </c>
      <c r="B398" s="318" t="s">
        <v>570</v>
      </c>
      <c r="C398" s="318">
        <v>42589</v>
      </c>
      <c r="D398" s="383" t="s">
        <v>1834</v>
      </c>
      <c r="E398" s="318" t="s">
        <v>8</v>
      </c>
      <c r="F398" s="384">
        <v>2952810</v>
      </c>
      <c r="G398" s="382">
        <v>0</v>
      </c>
      <c r="H398" s="385">
        <f t="shared" si="10"/>
        <v>23295110</v>
      </c>
      <c r="I398" s="385">
        <f t="shared" si="11"/>
        <v>0</v>
      </c>
      <c r="J398" s="18">
        <v>8</v>
      </c>
    </row>
    <row r="399" spans="1:10" s="18" customFormat="1" ht="18" customHeight="1">
      <c r="A399" s="318">
        <v>42613</v>
      </c>
      <c r="B399" s="318" t="s">
        <v>570</v>
      </c>
      <c r="C399" s="318">
        <v>42598</v>
      </c>
      <c r="D399" s="383" t="s">
        <v>1837</v>
      </c>
      <c r="E399" s="318" t="s">
        <v>8</v>
      </c>
      <c r="F399" s="384">
        <v>2193180</v>
      </c>
      <c r="G399" s="382">
        <v>0</v>
      </c>
      <c r="H399" s="385">
        <f t="shared" si="10"/>
        <v>25488290</v>
      </c>
      <c r="I399" s="385">
        <f t="shared" si="11"/>
        <v>0</v>
      </c>
      <c r="J399" s="18">
        <v>8</v>
      </c>
    </row>
    <row r="400" spans="1:10" s="18" customFormat="1" ht="18" customHeight="1">
      <c r="A400" s="318">
        <v>42613</v>
      </c>
      <c r="B400" s="318" t="s">
        <v>570</v>
      </c>
      <c r="C400" s="318">
        <v>42608</v>
      </c>
      <c r="D400" s="383" t="s">
        <v>1839</v>
      </c>
      <c r="E400" s="318" t="s">
        <v>8</v>
      </c>
      <c r="F400" s="384">
        <v>2188050</v>
      </c>
      <c r="G400" s="382">
        <v>0</v>
      </c>
      <c r="H400" s="385">
        <f t="shared" ref="H400:H463" si="12">IF(D400&lt;&gt;"",MAX(H399+F400-G400-I399,0),0)</f>
        <v>27676340</v>
      </c>
      <c r="I400" s="385">
        <f t="shared" ref="I400:I463" si="13">IF(D400&lt;&gt;"",MAX(I399+G400-H399-F400,0),0)</f>
        <v>0</v>
      </c>
      <c r="J400" s="18">
        <v>8</v>
      </c>
    </row>
    <row r="401" spans="1:10" s="18" customFormat="1" ht="18" customHeight="1">
      <c r="A401" s="318">
        <v>42593</v>
      </c>
      <c r="B401" s="318" t="s">
        <v>570</v>
      </c>
      <c r="C401" s="318">
        <v>42593</v>
      </c>
      <c r="D401" s="383" t="s">
        <v>1046</v>
      </c>
      <c r="E401" s="318" t="s">
        <v>576</v>
      </c>
      <c r="F401" s="384">
        <v>158785</v>
      </c>
      <c r="G401" s="382">
        <v>0</v>
      </c>
      <c r="H401" s="385">
        <f t="shared" si="12"/>
        <v>27835125</v>
      </c>
      <c r="I401" s="385">
        <f t="shared" si="13"/>
        <v>0</v>
      </c>
      <c r="J401" s="18">
        <v>8</v>
      </c>
    </row>
    <row r="402" spans="1:10" s="18" customFormat="1" ht="18" customHeight="1">
      <c r="A402" s="318">
        <v>42583</v>
      </c>
      <c r="B402" s="318" t="s">
        <v>690</v>
      </c>
      <c r="C402" s="318">
        <v>42583</v>
      </c>
      <c r="D402" s="383" t="s">
        <v>1180</v>
      </c>
      <c r="E402" s="318" t="s">
        <v>260</v>
      </c>
      <c r="F402" s="384">
        <v>6684</v>
      </c>
      <c r="G402" s="382">
        <v>0</v>
      </c>
      <c r="H402" s="385">
        <f t="shared" si="12"/>
        <v>27841809</v>
      </c>
      <c r="I402" s="385">
        <f t="shared" si="13"/>
        <v>0</v>
      </c>
      <c r="J402" s="18">
        <v>8</v>
      </c>
    </row>
    <row r="403" spans="1:10" s="18" customFormat="1" ht="18" customHeight="1">
      <c r="A403" s="318">
        <v>42583</v>
      </c>
      <c r="B403" s="318" t="s">
        <v>690</v>
      </c>
      <c r="C403" s="318">
        <v>42583</v>
      </c>
      <c r="D403" s="383" t="s">
        <v>1173</v>
      </c>
      <c r="E403" s="318" t="s">
        <v>25</v>
      </c>
      <c r="F403" s="384">
        <v>11135</v>
      </c>
      <c r="G403" s="382">
        <v>0</v>
      </c>
      <c r="H403" s="385">
        <f t="shared" si="12"/>
        <v>27852944</v>
      </c>
      <c r="I403" s="385">
        <f t="shared" si="13"/>
        <v>0</v>
      </c>
      <c r="J403" s="18">
        <v>8</v>
      </c>
    </row>
    <row r="404" spans="1:10" s="18" customFormat="1" ht="18" customHeight="1">
      <c r="A404" s="318">
        <v>42585</v>
      </c>
      <c r="B404" s="318" t="s">
        <v>852</v>
      </c>
      <c r="C404" s="318">
        <v>42585</v>
      </c>
      <c r="D404" s="383" t="s">
        <v>757</v>
      </c>
      <c r="E404" s="318" t="s">
        <v>61</v>
      </c>
      <c r="F404" s="384">
        <v>59215</v>
      </c>
      <c r="G404" s="382">
        <v>0</v>
      </c>
      <c r="H404" s="385">
        <f t="shared" si="12"/>
        <v>27912159</v>
      </c>
      <c r="I404" s="385">
        <f t="shared" si="13"/>
        <v>0</v>
      </c>
      <c r="J404" s="18">
        <v>8</v>
      </c>
    </row>
    <row r="405" spans="1:10" s="18" customFormat="1" ht="18" customHeight="1">
      <c r="A405" s="318">
        <v>42586</v>
      </c>
      <c r="B405" s="318" t="s">
        <v>853</v>
      </c>
      <c r="C405" s="318">
        <v>42586</v>
      </c>
      <c r="D405" s="383" t="s">
        <v>1783</v>
      </c>
      <c r="E405" s="318" t="s">
        <v>61</v>
      </c>
      <c r="F405" s="384">
        <v>36000</v>
      </c>
      <c r="G405" s="382">
        <v>0</v>
      </c>
      <c r="H405" s="385">
        <f t="shared" si="12"/>
        <v>27948159</v>
      </c>
      <c r="I405" s="385">
        <f t="shared" si="13"/>
        <v>0</v>
      </c>
      <c r="J405" s="18">
        <v>8</v>
      </c>
    </row>
    <row r="406" spans="1:10" s="18" customFormat="1" ht="18" customHeight="1">
      <c r="A406" s="318">
        <v>42586</v>
      </c>
      <c r="B406" s="318" t="s">
        <v>690</v>
      </c>
      <c r="C406" s="318">
        <v>42586</v>
      </c>
      <c r="D406" s="383" t="s">
        <v>1180</v>
      </c>
      <c r="E406" s="318" t="s">
        <v>25</v>
      </c>
      <c r="F406" s="384">
        <v>2000</v>
      </c>
      <c r="G406" s="382">
        <v>0</v>
      </c>
      <c r="H406" s="385">
        <f t="shared" si="12"/>
        <v>27950159</v>
      </c>
      <c r="I406" s="385">
        <f t="shared" si="13"/>
        <v>0</v>
      </c>
      <c r="J406" s="18">
        <v>8</v>
      </c>
    </row>
    <row r="407" spans="1:10" s="18" customFormat="1" ht="18" customHeight="1">
      <c r="A407" s="318">
        <v>42586</v>
      </c>
      <c r="B407" s="318" t="s">
        <v>690</v>
      </c>
      <c r="C407" s="318">
        <v>42586</v>
      </c>
      <c r="D407" s="383" t="s">
        <v>1180</v>
      </c>
      <c r="E407" s="318" t="s">
        <v>25</v>
      </c>
      <c r="F407" s="384">
        <v>4000</v>
      </c>
      <c r="G407" s="382">
        <v>0</v>
      </c>
      <c r="H407" s="385">
        <f t="shared" si="12"/>
        <v>27954159</v>
      </c>
      <c r="I407" s="385">
        <f t="shared" si="13"/>
        <v>0</v>
      </c>
      <c r="J407" s="18">
        <v>8</v>
      </c>
    </row>
    <row r="408" spans="1:10" s="18" customFormat="1" ht="18" customHeight="1">
      <c r="A408" s="318">
        <v>42586</v>
      </c>
      <c r="B408" s="318" t="s">
        <v>690</v>
      </c>
      <c r="C408" s="318">
        <v>42586</v>
      </c>
      <c r="D408" s="383" t="s">
        <v>1180</v>
      </c>
      <c r="E408" s="318" t="s">
        <v>25</v>
      </c>
      <c r="F408" s="384">
        <v>4000</v>
      </c>
      <c r="G408" s="382">
        <v>0</v>
      </c>
      <c r="H408" s="385">
        <f t="shared" si="12"/>
        <v>27958159</v>
      </c>
      <c r="I408" s="385">
        <f t="shared" si="13"/>
        <v>0</v>
      </c>
      <c r="J408" s="18">
        <v>8</v>
      </c>
    </row>
    <row r="409" spans="1:10" s="18" customFormat="1" ht="18" customHeight="1">
      <c r="A409" s="318">
        <v>42586</v>
      </c>
      <c r="B409" s="318" t="s">
        <v>690</v>
      </c>
      <c r="C409" s="318">
        <v>42586</v>
      </c>
      <c r="D409" s="383" t="s">
        <v>1180</v>
      </c>
      <c r="E409" s="318" t="s">
        <v>25</v>
      </c>
      <c r="F409" s="384">
        <v>4500</v>
      </c>
      <c r="G409" s="382">
        <v>0</v>
      </c>
      <c r="H409" s="385">
        <f t="shared" si="12"/>
        <v>27962659</v>
      </c>
      <c r="I409" s="385">
        <f t="shared" si="13"/>
        <v>0</v>
      </c>
      <c r="J409" s="18">
        <v>8</v>
      </c>
    </row>
    <row r="410" spans="1:10" s="18" customFormat="1" ht="18" customHeight="1">
      <c r="A410" s="318">
        <v>42586</v>
      </c>
      <c r="B410" s="318" t="s">
        <v>690</v>
      </c>
      <c r="C410" s="318">
        <v>42586</v>
      </c>
      <c r="D410" s="383" t="s">
        <v>1180</v>
      </c>
      <c r="E410" s="318" t="s">
        <v>25</v>
      </c>
      <c r="F410" s="384">
        <v>2000</v>
      </c>
      <c r="G410" s="382">
        <v>0</v>
      </c>
      <c r="H410" s="385">
        <f t="shared" si="12"/>
        <v>27964659</v>
      </c>
      <c r="I410" s="385">
        <f t="shared" si="13"/>
        <v>0</v>
      </c>
      <c r="J410" s="18">
        <v>8</v>
      </c>
    </row>
    <row r="411" spans="1:10" s="18" customFormat="1" ht="18" customHeight="1">
      <c r="A411" s="318">
        <v>42586</v>
      </c>
      <c r="B411" s="318" t="s">
        <v>690</v>
      </c>
      <c r="C411" s="318">
        <v>42586</v>
      </c>
      <c r="D411" s="383" t="s">
        <v>1180</v>
      </c>
      <c r="E411" s="318" t="s">
        <v>25</v>
      </c>
      <c r="F411" s="384">
        <v>2000</v>
      </c>
      <c r="G411" s="382">
        <v>0</v>
      </c>
      <c r="H411" s="385">
        <f t="shared" si="12"/>
        <v>27966659</v>
      </c>
      <c r="I411" s="385">
        <f t="shared" si="13"/>
        <v>0</v>
      </c>
      <c r="J411" s="18">
        <v>8</v>
      </c>
    </row>
    <row r="412" spans="1:10" s="18" customFormat="1" ht="18" customHeight="1">
      <c r="A412" s="318">
        <v>42587</v>
      </c>
      <c r="B412" s="318" t="s">
        <v>855</v>
      </c>
      <c r="C412" s="318">
        <v>42587</v>
      </c>
      <c r="D412" s="383" t="s">
        <v>783</v>
      </c>
      <c r="E412" s="318" t="s">
        <v>61</v>
      </c>
      <c r="F412" s="384">
        <v>35453</v>
      </c>
      <c r="G412" s="382">
        <v>0</v>
      </c>
      <c r="H412" s="385">
        <f t="shared" si="12"/>
        <v>28002112</v>
      </c>
      <c r="I412" s="385">
        <f t="shared" si="13"/>
        <v>0</v>
      </c>
      <c r="J412" s="18">
        <v>8</v>
      </c>
    </row>
    <row r="413" spans="1:10" s="18" customFormat="1" ht="18" customHeight="1">
      <c r="A413" s="318">
        <v>42588</v>
      </c>
      <c r="B413" s="318" t="s">
        <v>856</v>
      </c>
      <c r="C413" s="318">
        <v>42588</v>
      </c>
      <c r="D413" s="383" t="s">
        <v>1786</v>
      </c>
      <c r="E413" s="318" t="s">
        <v>61</v>
      </c>
      <c r="F413" s="384">
        <v>201663</v>
      </c>
      <c r="G413" s="382">
        <v>0</v>
      </c>
      <c r="H413" s="385">
        <f t="shared" si="12"/>
        <v>28203775</v>
      </c>
      <c r="I413" s="385">
        <f t="shared" si="13"/>
        <v>0</v>
      </c>
      <c r="J413" s="18">
        <v>8</v>
      </c>
    </row>
    <row r="414" spans="1:10" s="18" customFormat="1" ht="18" customHeight="1">
      <c r="A414" s="318">
        <v>42588</v>
      </c>
      <c r="B414" s="318" t="s">
        <v>858</v>
      </c>
      <c r="C414" s="318">
        <v>42588</v>
      </c>
      <c r="D414" s="383" t="s">
        <v>1335</v>
      </c>
      <c r="E414" s="318" t="s">
        <v>61</v>
      </c>
      <c r="F414" s="384">
        <v>812728</v>
      </c>
      <c r="G414" s="382">
        <v>0</v>
      </c>
      <c r="H414" s="385">
        <f t="shared" si="12"/>
        <v>29016503</v>
      </c>
      <c r="I414" s="385">
        <f t="shared" si="13"/>
        <v>0</v>
      </c>
      <c r="J414" s="18">
        <v>8</v>
      </c>
    </row>
    <row r="415" spans="1:10" s="18" customFormat="1" ht="18" customHeight="1">
      <c r="A415" s="318">
        <v>42589</v>
      </c>
      <c r="B415" s="318" t="s">
        <v>859</v>
      </c>
      <c r="C415" s="318">
        <v>42589</v>
      </c>
      <c r="D415" s="383" t="s">
        <v>1790</v>
      </c>
      <c r="E415" s="318" t="s">
        <v>61</v>
      </c>
      <c r="F415" s="384">
        <v>125713</v>
      </c>
      <c r="G415" s="382">
        <v>0</v>
      </c>
      <c r="H415" s="385">
        <f t="shared" si="12"/>
        <v>29142216</v>
      </c>
      <c r="I415" s="385">
        <f t="shared" si="13"/>
        <v>0</v>
      </c>
      <c r="J415" s="18">
        <v>8</v>
      </c>
    </row>
    <row r="416" spans="1:10" s="18" customFormat="1" ht="18" customHeight="1">
      <c r="A416" s="318">
        <v>42592</v>
      </c>
      <c r="B416" s="318" t="s">
        <v>861</v>
      </c>
      <c r="C416" s="318">
        <v>42592</v>
      </c>
      <c r="D416" s="383" t="s">
        <v>1790</v>
      </c>
      <c r="E416" s="318" t="s">
        <v>61</v>
      </c>
      <c r="F416" s="384">
        <v>124946</v>
      </c>
      <c r="G416" s="382">
        <v>0</v>
      </c>
      <c r="H416" s="385">
        <f t="shared" si="12"/>
        <v>29267162</v>
      </c>
      <c r="I416" s="385">
        <f t="shared" si="13"/>
        <v>0</v>
      </c>
      <c r="J416" s="18">
        <v>8</v>
      </c>
    </row>
    <row r="417" spans="1:10" s="18" customFormat="1" ht="18" customHeight="1">
      <c r="A417" s="318">
        <v>42593</v>
      </c>
      <c r="B417" s="318" t="s">
        <v>570</v>
      </c>
      <c r="C417" s="318">
        <v>42593</v>
      </c>
      <c r="D417" s="383" t="s">
        <v>1174</v>
      </c>
      <c r="E417" s="318" t="s">
        <v>576</v>
      </c>
      <c r="F417" s="384">
        <v>22270</v>
      </c>
      <c r="G417" s="382">
        <v>0</v>
      </c>
      <c r="H417" s="385">
        <f t="shared" si="12"/>
        <v>29289432</v>
      </c>
      <c r="I417" s="385">
        <f t="shared" si="13"/>
        <v>0</v>
      </c>
      <c r="J417" s="18">
        <v>8</v>
      </c>
    </row>
    <row r="418" spans="1:10" s="18" customFormat="1" ht="18" customHeight="1">
      <c r="A418" s="318">
        <v>42593</v>
      </c>
      <c r="B418" s="318" t="s">
        <v>570</v>
      </c>
      <c r="C418" s="318">
        <v>42593</v>
      </c>
      <c r="D418" s="383" t="s">
        <v>1178</v>
      </c>
      <c r="E418" s="318" t="s">
        <v>576</v>
      </c>
      <c r="F418" s="384">
        <v>115804</v>
      </c>
      <c r="G418" s="382">
        <v>0</v>
      </c>
      <c r="H418" s="385">
        <f t="shared" si="12"/>
        <v>29405236</v>
      </c>
      <c r="I418" s="385">
        <f t="shared" si="13"/>
        <v>0</v>
      </c>
      <c r="J418" s="18">
        <v>8</v>
      </c>
    </row>
    <row r="419" spans="1:10" s="18" customFormat="1" ht="18" customHeight="1">
      <c r="A419" s="318">
        <v>42594</v>
      </c>
      <c r="B419" s="318" t="s">
        <v>863</v>
      </c>
      <c r="C419" s="318">
        <v>42594</v>
      </c>
      <c r="D419" s="383" t="s">
        <v>1794</v>
      </c>
      <c r="E419" s="318" t="s">
        <v>61</v>
      </c>
      <c r="F419" s="384">
        <v>1038546</v>
      </c>
      <c r="G419" s="382">
        <v>0</v>
      </c>
      <c r="H419" s="385">
        <f t="shared" si="12"/>
        <v>30443782</v>
      </c>
      <c r="I419" s="385">
        <f t="shared" si="13"/>
        <v>0</v>
      </c>
      <c r="J419" s="18">
        <v>8</v>
      </c>
    </row>
    <row r="420" spans="1:10" s="18" customFormat="1" ht="18" customHeight="1">
      <c r="A420" s="318">
        <v>42594</v>
      </c>
      <c r="B420" s="318" t="s">
        <v>690</v>
      </c>
      <c r="C420" s="318">
        <v>42594</v>
      </c>
      <c r="D420" s="383" t="s">
        <v>1180</v>
      </c>
      <c r="E420" s="318" t="s">
        <v>25</v>
      </c>
      <c r="F420" s="384">
        <v>2500</v>
      </c>
      <c r="G420" s="382">
        <v>0</v>
      </c>
      <c r="H420" s="385">
        <f t="shared" si="12"/>
        <v>30446282</v>
      </c>
      <c r="I420" s="385">
        <f t="shared" si="13"/>
        <v>0</v>
      </c>
      <c r="J420" s="18">
        <v>8</v>
      </c>
    </row>
    <row r="421" spans="1:10" s="18" customFormat="1" ht="18" customHeight="1">
      <c r="A421" s="318">
        <v>42595</v>
      </c>
      <c r="B421" s="318" t="s">
        <v>864</v>
      </c>
      <c r="C421" s="318">
        <v>42595</v>
      </c>
      <c r="D421" s="383" t="s">
        <v>1324</v>
      </c>
      <c r="E421" s="318" t="s">
        <v>61</v>
      </c>
      <c r="F421" s="384">
        <v>106836</v>
      </c>
      <c r="G421" s="382">
        <v>0</v>
      </c>
      <c r="H421" s="385">
        <f t="shared" si="12"/>
        <v>30553118</v>
      </c>
      <c r="I421" s="385">
        <f t="shared" si="13"/>
        <v>0</v>
      </c>
      <c r="J421" s="18">
        <v>8</v>
      </c>
    </row>
    <row r="422" spans="1:10" s="18" customFormat="1" ht="18" customHeight="1">
      <c r="A422" s="318">
        <v>42597</v>
      </c>
      <c r="B422" s="318" t="s">
        <v>866</v>
      </c>
      <c r="C422" s="318">
        <v>42597</v>
      </c>
      <c r="D422" s="383" t="s">
        <v>757</v>
      </c>
      <c r="E422" s="318" t="s">
        <v>61</v>
      </c>
      <c r="F422" s="384">
        <v>53000</v>
      </c>
      <c r="G422" s="382">
        <v>0</v>
      </c>
      <c r="H422" s="385">
        <f t="shared" si="12"/>
        <v>30606118</v>
      </c>
      <c r="I422" s="385">
        <f t="shared" si="13"/>
        <v>0</v>
      </c>
      <c r="J422" s="18">
        <v>8</v>
      </c>
    </row>
    <row r="423" spans="1:10" s="18" customFormat="1" ht="18" customHeight="1">
      <c r="A423" s="318">
        <v>42598</v>
      </c>
      <c r="B423" s="318" t="s">
        <v>867</v>
      </c>
      <c r="C423" s="318">
        <v>42598</v>
      </c>
      <c r="D423" s="383" t="s">
        <v>1324</v>
      </c>
      <c r="E423" s="318" t="s">
        <v>61</v>
      </c>
      <c r="F423" s="384">
        <v>78349</v>
      </c>
      <c r="G423" s="382">
        <v>0</v>
      </c>
      <c r="H423" s="385">
        <f t="shared" si="12"/>
        <v>30684467</v>
      </c>
      <c r="I423" s="385">
        <f t="shared" si="13"/>
        <v>0</v>
      </c>
      <c r="J423" s="18">
        <v>8</v>
      </c>
    </row>
    <row r="424" spans="1:10" s="18" customFormat="1" ht="18" customHeight="1">
      <c r="A424" s="318">
        <v>42598</v>
      </c>
      <c r="B424" s="318" t="s">
        <v>690</v>
      </c>
      <c r="C424" s="318">
        <v>42598</v>
      </c>
      <c r="D424" s="383" t="s">
        <v>1634</v>
      </c>
      <c r="E424" s="318" t="s">
        <v>25</v>
      </c>
      <c r="F424" s="384">
        <v>5000</v>
      </c>
      <c r="G424" s="382">
        <v>0</v>
      </c>
      <c r="H424" s="385">
        <f t="shared" si="12"/>
        <v>30689467</v>
      </c>
      <c r="I424" s="385">
        <f t="shared" si="13"/>
        <v>0</v>
      </c>
      <c r="J424" s="18">
        <v>8</v>
      </c>
    </row>
    <row r="425" spans="1:10" s="18" customFormat="1" ht="18" customHeight="1">
      <c r="A425" s="318">
        <v>42598</v>
      </c>
      <c r="B425" s="318" t="s">
        <v>690</v>
      </c>
      <c r="C425" s="318">
        <v>42598</v>
      </c>
      <c r="D425" s="383" t="s">
        <v>1634</v>
      </c>
      <c r="E425" s="318" t="s">
        <v>25</v>
      </c>
      <c r="F425" s="384">
        <v>5000</v>
      </c>
      <c r="G425" s="382">
        <v>0</v>
      </c>
      <c r="H425" s="385">
        <f t="shared" si="12"/>
        <v>30694467</v>
      </c>
      <c r="I425" s="385">
        <f t="shared" si="13"/>
        <v>0</v>
      </c>
      <c r="J425" s="18">
        <v>8</v>
      </c>
    </row>
    <row r="426" spans="1:10" s="18" customFormat="1" ht="18" customHeight="1">
      <c r="A426" s="318">
        <v>42599</v>
      </c>
      <c r="B426" s="318" t="s">
        <v>868</v>
      </c>
      <c r="C426" s="318">
        <v>42599</v>
      </c>
      <c r="D426" s="383" t="s">
        <v>757</v>
      </c>
      <c r="E426" s="318" t="s">
        <v>61</v>
      </c>
      <c r="F426" s="384">
        <v>61480</v>
      </c>
      <c r="G426" s="382">
        <v>0</v>
      </c>
      <c r="H426" s="385">
        <f t="shared" si="12"/>
        <v>30755947</v>
      </c>
      <c r="I426" s="385">
        <f t="shared" si="13"/>
        <v>0</v>
      </c>
      <c r="J426" s="18">
        <v>8</v>
      </c>
    </row>
    <row r="427" spans="1:10" s="18" customFormat="1" ht="18" customHeight="1">
      <c r="A427" s="318">
        <v>42600</v>
      </c>
      <c r="B427" s="318" t="s">
        <v>869</v>
      </c>
      <c r="C427" s="318">
        <v>42600</v>
      </c>
      <c r="D427" s="383" t="s">
        <v>1324</v>
      </c>
      <c r="E427" s="318" t="s">
        <v>61</v>
      </c>
      <c r="F427" s="384">
        <v>40574</v>
      </c>
      <c r="G427" s="382">
        <v>0</v>
      </c>
      <c r="H427" s="385">
        <f t="shared" si="12"/>
        <v>30796521</v>
      </c>
      <c r="I427" s="385">
        <f t="shared" si="13"/>
        <v>0</v>
      </c>
      <c r="J427" s="18">
        <v>8</v>
      </c>
    </row>
    <row r="428" spans="1:10" s="18" customFormat="1" ht="18" customHeight="1">
      <c r="A428" s="318">
        <v>42601</v>
      </c>
      <c r="B428" s="318" t="s">
        <v>690</v>
      </c>
      <c r="C428" s="318">
        <v>42601</v>
      </c>
      <c r="D428" s="383" t="s">
        <v>1531</v>
      </c>
      <c r="E428" s="318" t="s">
        <v>25</v>
      </c>
      <c r="F428" s="384">
        <v>1000</v>
      </c>
      <c r="G428" s="382">
        <v>0</v>
      </c>
      <c r="H428" s="385">
        <f t="shared" si="12"/>
        <v>30797521</v>
      </c>
      <c r="I428" s="385">
        <f t="shared" si="13"/>
        <v>0</v>
      </c>
      <c r="J428" s="18">
        <v>8</v>
      </c>
    </row>
    <row r="429" spans="1:10" s="18" customFormat="1" ht="18" customHeight="1">
      <c r="A429" s="318">
        <v>42601</v>
      </c>
      <c r="B429" s="318" t="s">
        <v>690</v>
      </c>
      <c r="C429" s="318">
        <v>42601</v>
      </c>
      <c r="D429" s="383" t="s">
        <v>1180</v>
      </c>
      <c r="E429" s="318" t="s">
        <v>25</v>
      </c>
      <c r="F429" s="384">
        <v>15000</v>
      </c>
      <c r="G429" s="382">
        <v>0</v>
      </c>
      <c r="H429" s="385">
        <f t="shared" si="12"/>
        <v>30812521</v>
      </c>
      <c r="I429" s="385">
        <f t="shared" si="13"/>
        <v>0</v>
      </c>
      <c r="J429" s="18">
        <v>8</v>
      </c>
    </row>
    <row r="430" spans="1:10" s="18" customFormat="1" ht="18" customHeight="1">
      <c r="A430" s="318">
        <v>42601</v>
      </c>
      <c r="B430" s="318" t="s">
        <v>690</v>
      </c>
      <c r="C430" s="318">
        <v>42601</v>
      </c>
      <c r="D430" s="383" t="s">
        <v>1180</v>
      </c>
      <c r="E430" s="318" t="s">
        <v>25</v>
      </c>
      <c r="F430" s="384">
        <v>2000</v>
      </c>
      <c r="G430" s="382">
        <v>0</v>
      </c>
      <c r="H430" s="385">
        <f t="shared" si="12"/>
        <v>30814521</v>
      </c>
      <c r="I430" s="385">
        <f t="shared" si="13"/>
        <v>0</v>
      </c>
      <c r="J430" s="18">
        <v>8</v>
      </c>
    </row>
    <row r="431" spans="1:10" s="18" customFormat="1" ht="18" customHeight="1">
      <c r="A431" s="318">
        <v>42601</v>
      </c>
      <c r="B431" s="318" t="s">
        <v>690</v>
      </c>
      <c r="C431" s="318">
        <v>42601</v>
      </c>
      <c r="D431" s="383" t="s">
        <v>1180</v>
      </c>
      <c r="E431" s="318" t="s">
        <v>25</v>
      </c>
      <c r="F431" s="384">
        <v>2000</v>
      </c>
      <c r="G431" s="382">
        <v>0</v>
      </c>
      <c r="H431" s="385">
        <f t="shared" si="12"/>
        <v>30816521</v>
      </c>
      <c r="I431" s="385">
        <f t="shared" si="13"/>
        <v>0</v>
      </c>
      <c r="J431" s="18">
        <v>8</v>
      </c>
    </row>
    <row r="432" spans="1:10" s="18" customFormat="1" ht="18" customHeight="1">
      <c r="A432" s="318">
        <v>42601</v>
      </c>
      <c r="B432" s="318" t="s">
        <v>690</v>
      </c>
      <c r="C432" s="318">
        <v>42601</v>
      </c>
      <c r="D432" s="383" t="s">
        <v>1180</v>
      </c>
      <c r="E432" s="318" t="s">
        <v>25</v>
      </c>
      <c r="F432" s="384">
        <v>2000</v>
      </c>
      <c r="G432" s="382">
        <v>0</v>
      </c>
      <c r="H432" s="385">
        <f t="shared" si="12"/>
        <v>30818521</v>
      </c>
      <c r="I432" s="385">
        <f t="shared" si="13"/>
        <v>0</v>
      </c>
      <c r="J432" s="18">
        <v>8</v>
      </c>
    </row>
    <row r="433" spans="1:10" s="18" customFormat="1" ht="18" customHeight="1">
      <c r="A433" s="318">
        <v>42601</v>
      </c>
      <c r="B433" s="318" t="s">
        <v>690</v>
      </c>
      <c r="C433" s="318">
        <v>42601</v>
      </c>
      <c r="D433" s="383" t="s">
        <v>1180</v>
      </c>
      <c r="E433" s="318" t="s">
        <v>25</v>
      </c>
      <c r="F433" s="384">
        <v>2000</v>
      </c>
      <c r="G433" s="382">
        <v>0</v>
      </c>
      <c r="H433" s="385">
        <f t="shared" si="12"/>
        <v>30820521</v>
      </c>
      <c r="I433" s="385">
        <f t="shared" si="13"/>
        <v>0</v>
      </c>
      <c r="J433" s="18">
        <v>8</v>
      </c>
    </row>
    <row r="434" spans="1:10" s="18" customFormat="1" ht="18" customHeight="1">
      <c r="A434" s="318">
        <v>42601</v>
      </c>
      <c r="B434" s="318" t="s">
        <v>690</v>
      </c>
      <c r="C434" s="318">
        <v>42601</v>
      </c>
      <c r="D434" s="383" t="s">
        <v>1180</v>
      </c>
      <c r="E434" s="318" t="s">
        <v>25</v>
      </c>
      <c r="F434" s="384">
        <v>2000</v>
      </c>
      <c r="G434" s="382">
        <v>0</v>
      </c>
      <c r="H434" s="385">
        <f t="shared" si="12"/>
        <v>30822521</v>
      </c>
      <c r="I434" s="385">
        <f t="shared" si="13"/>
        <v>0</v>
      </c>
      <c r="J434" s="18">
        <v>8</v>
      </c>
    </row>
    <row r="435" spans="1:10" s="18" customFormat="1" ht="18" customHeight="1">
      <c r="A435" s="318">
        <v>42605</v>
      </c>
      <c r="B435" s="318" t="s">
        <v>871</v>
      </c>
      <c r="C435" s="318">
        <v>42605</v>
      </c>
      <c r="D435" s="383" t="s">
        <v>1324</v>
      </c>
      <c r="E435" s="318" t="s">
        <v>61</v>
      </c>
      <c r="F435" s="384">
        <v>68663</v>
      </c>
      <c r="G435" s="382">
        <v>0</v>
      </c>
      <c r="H435" s="385">
        <f t="shared" si="12"/>
        <v>30891184</v>
      </c>
      <c r="I435" s="385">
        <f t="shared" si="13"/>
        <v>0</v>
      </c>
      <c r="J435" s="18">
        <v>8</v>
      </c>
    </row>
    <row r="436" spans="1:10" s="18" customFormat="1" ht="18" customHeight="1">
      <c r="A436" s="318">
        <v>42606</v>
      </c>
      <c r="B436" s="318" t="s">
        <v>872</v>
      </c>
      <c r="C436" s="318">
        <v>42606</v>
      </c>
      <c r="D436" s="383" t="s">
        <v>1324</v>
      </c>
      <c r="E436" s="318" t="s">
        <v>61</v>
      </c>
      <c r="F436" s="384">
        <v>58436</v>
      </c>
      <c r="G436" s="382">
        <v>0</v>
      </c>
      <c r="H436" s="385">
        <f t="shared" si="12"/>
        <v>30949620</v>
      </c>
      <c r="I436" s="385">
        <f t="shared" si="13"/>
        <v>0</v>
      </c>
      <c r="J436" s="18">
        <v>8</v>
      </c>
    </row>
    <row r="437" spans="1:10" s="18" customFormat="1" ht="18" customHeight="1">
      <c r="A437" s="318">
        <v>42606</v>
      </c>
      <c r="B437" s="318" t="s">
        <v>690</v>
      </c>
      <c r="C437" s="318">
        <v>42606</v>
      </c>
      <c r="D437" s="383" t="s">
        <v>1180</v>
      </c>
      <c r="E437" s="318" t="s">
        <v>25</v>
      </c>
      <c r="F437" s="384">
        <v>4000</v>
      </c>
      <c r="G437" s="382">
        <v>0</v>
      </c>
      <c r="H437" s="385">
        <f t="shared" si="12"/>
        <v>30953620</v>
      </c>
      <c r="I437" s="385">
        <f t="shared" si="13"/>
        <v>0</v>
      </c>
      <c r="J437" s="18">
        <v>8</v>
      </c>
    </row>
    <row r="438" spans="1:10" s="18" customFormat="1" ht="18" customHeight="1">
      <c r="A438" s="318">
        <v>42608</v>
      </c>
      <c r="B438" s="318" t="s">
        <v>875</v>
      </c>
      <c r="C438" s="318">
        <v>42608</v>
      </c>
      <c r="D438" s="383" t="s">
        <v>1335</v>
      </c>
      <c r="E438" s="318" t="s">
        <v>61</v>
      </c>
      <c r="F438" s="384">
        <v>812727</v>
      </c>
      <c r="G438" s="382">
        <v>0</v>
      </c>
      <c r="H438" s="385">
        <f t="shared" si="12"/>
        <v>31766347</v>
      </c>
      <c r="I438" s="385">
        <f t="shared" si="13"/>
        <v>0</v>
      </c>
      <c r="J438" s="18">
        <v>8</v>
      </c>
    </row>
    <row r="439" spans="1:10" s="18" customFormat="1" ht="18" customHeight="1">
      <c r="A439" s="318">
        <v>42609</v>
      </c>
      <c r="B439" s="318" t="s">
        <v>876</v>
      </c>
      <c r="C439" s="318">
        <v>42609</v>
      </c>
      <c r="D439" s="383" t="s">
        <v>3036</v>
      </c>
      <c r="E439" s="318" t="s">
        <v>61</v>
      </c>
      <c r="F439" s="384">
        <v>1605000</v>
      </c>
      <c r="G439" s="382">
        <v>0</v>
      </c>
      <c r="H439" s="385">
        <f t="shared" si="12"/>
        <v>33371347</v>
      </c>
      <c r="I439" s="385">
        <f t="shared" si="13"/>
        <v>0</v>
      </c>
      <c r="J439" s="18">
        <v>8</v>
      </c>
    </row>
    <row r="440" spans="1:10" s="18" customFormat="1" ht="18" customHeight="1">
      <c r="A440" s="318">
        <v>42610</v>
      </c>
      <c r="B440" s="318" t="s">
        <v>877</v>
      </c>
      <c r="C440" s="318">
        <v>42610</v>
      </c>
      <c r="D440" s="383" t="s">
        <v>757</v>
      </c>
      <c r="E440" s="318" t="s">
        <v>61</v>
      </c>
      <c r="F440" s="384">
        <v>57385</v>
      </c>
      <c r="G440" s="382">
        <v>0</v>
      </c>
      <c r="H440" s="385">
        <f t="shared" si="12"/>
        <v>33428732</v>
      </c>
      <c r="I440" s="385">
        <f t="shared" si="13"/>
        <v>0</v>
      </c>
      <c r="J440" s="18">
        <v>8</v>
      </c>
    </row>
    <row r="441" spans="1:10" s="18" customFormat="1" ht="18" customHeight="1">
      <c r="A441" s="318">
        <v>42611</v>
      </c>
      <c r="B441" s="318" t="s">
        <v>878</v>
      </c>
      <c r="C441" s="318">
        <v>42611</v>
      </c>
      <c r="D441" s="383" t="s">
        <v>1790</v>
      </c>
      <c r="E441" s="318" t="s">
        <v>61</v>
      </c>
      <c r="F441" s="384">
        <v>132870</v>
      </c>
      <c r="G441" s="382">
        <v>0</v>
      </c>
      <c r="H441" s="385">
        <f t="shared" si="12"/>
        <v>33561602</v>
      </c>
      <c r="I441" s="385">
        <f t="shared" si="13"/>
        <v>0</v>
      </c>
      <c r="J441" s="18">
        <v>8</v>
      </c>
    </row>
    <row r="442" spans="1:10" s="18" customFormat="1" ht="18" customHeight="1">
      <c r="A442" s="318">
        <v>42611</v>
      </c>
      <c r="B442" s="318" t="s">
        <v>690</v>
      </c>
      <c r="C442" s="318">
        <v>42611</v>
      </c>
      <c r="D442" s="383" t="s">
        <v>1180</v>
      </c>
      <c r="E442" s="318" t="s">
        <v>25</v>
      </c>
      <c r="F442" s="384">
        <v>6300</v>
      </c>
      <c r="G442" s="382">
        <v>0</v>
      </c>
      <c r="H442" s="385">
        <f t="shared" si="12"/>
        <v>33567902</v>
      </c>
      <c r="I442" s="385">
        <f t="shared" si="13"/>
        <v>0</v>
      </c>
      <c r="J442" s="18">
        <v>8</v>
      </c>
    </row>
    <row r="443" spans="1:10" s="18" customFormat="1" ht="18" customHeight="1">
      <c r="A443" s="318">
        <v>42612</v>
      </c>
      <c r="B443" s="318" t="s">
        <v>880</v>
      </c>
      <c r="C443" s="318">
        <v>42612</v>
      </c>
      <c r="D443" s="383" t="s">
        <v>1342</v>
      </c>
      <c r="E443" s="318" t="s">
        <v>61</v>
      </c>
      <c r="F443" s="384">
        <v>24545</v>
      </c>
      <c r="G443" s="382">
        <v>0</v>
      </c>
      <c r="H443" s="385">
        <f t="shared" si="12"/>
        <v>33592447</v>
      </c>
      <c r="I443" s="385">
        <f t="shared" si="13"/>
        <v>0</v>
      </c>
      <c r="J443" s="18">
        <v>8</v>
      </c>
    </row>
    <row r="444" spans="1:10" s="18" customFormat="1" ht="18" customHeight="1">
      <c r="A444" s="318">
        <v>42612</v>
      </c>
      <c r="B444" s="318" t="s">
        <v>690</v>
      </c>
      <c r="C444" s="318">
        <v>42612</v>
      </c>
      <c r="D444" s="383" t="s">
        <v>1531</v>
      </c>
      <c r="E444" s="318" t="s">
        <v>25</v>
      </c>
      <c r="F444" s="384">
        <v>1000</v>
      </c>
      <c r="G444" s="382">
        <v>0</v>
      </c>
      <c r="H444" s="385">
        <f t="shared" si="12"/>
        <v>33593447</v>
      </c>
      <c r="I444" s="385">
        <f t="shared" si="13"/>
        <v>0</v>
      </c>
      <c r="J444" s="18">
        <v>8</v>
      </c>
    </row>
    <row r="445" spans="1:10" s="18" customFormat="1" ht="18" customHeight="1">
      <c r="A445" s="318">
        <v>42613</v>
      </c>
      <c r="B445" s="318" t="s">
        <v>881</v>
      </c>
      <c r="C445" s="318">
        <v>42613</v>
      </c>
      <c r="D445" s="383" t="s">
        <v>1913</v>
      </c>
      <c r="E445" s="318" t="s">
        <v>61</v>
      </c>
      <c r="F445" s="384">
        <v>256910</v>
      </c>
      <c r="G445" s="382">
        <v>0</v>
      </c>
      <c r="H445" s="385">
        <f t="shared" si="12"/>
        <v>33850357</v>
      </c>
      <c r="I445" s="385">
        <f t="shared" si="13"/>
        <v>0</v>
      </c>
      <c r="J445" s="18">
        <v>8</v>
      </c>
    </row>
    <row r="446" spans="1:10" s="18" customFormat="1" ht="18" customHeight="1">
      <c r="A446" s="318">
        <v>42613</v>
      </c>
      <c r="B446" s="318" t="s">
        <v>690</v>
      </c>
      <c r="C446" s="318">
        <v>42613</v>
      </c>
      <c r="D446" s="383" t="s">
        <v>1180</v>
      </c>
      <c r="E446" s="318" t="s">
        <v>25</v>
      </c>
      <c r="F446" s="384">
        <v>2500</v>
      </c>
      <c r="G446" s="382">
        <v>0</v>
      </c>
      <c r="H446" s="385">
        <f t="shared" si="12"/>
        <v>33852857</v>
      </c>
      <c r="I446" s="385">
        <f t="shared" si="13"/>
        <v>0</v>
      </c>
      <c r="J446" s="18">
        <v>8</v>
      </c>
    </row>
    <row r="447" spans="1:10" s="18" customFormat="1" ht="18" customHeight="1">
      <c r="A447" s="318">
        <v>42642</v>
      </c>
      <c r="B447" s="318" t="s">
        <v>664</v>
      </c>
      <c r="C447" s="318">
        <v>42642</v>
      </c>
      <c r="D447" s="383" t="s">
        <v>2049</v>
      </c>
      <c r="E447" s="318" t="s">
        <v>8</v>
      </c>
      <c r="F447" s="384">
        <v>2702500</v>
      </c>
      <c r="G447" s="382">
        <v>0</v>
      </c>
      <c r="H447" s="385">
        <f t="shared" si="12"/>
        <v>36555357</v>
      </c>
      <c r="I447" s="385">
        <f t="shared" si="13"/>
        <v>0</v>
      </c>
      <c r="J447" s="18">
        <v>9</v>
      </c>
    </row>
    <row r="448" spans="1:10" s="18" customFormat="1" ht="18" customHeight="1">
      <c r="A448" s="318">
        <v>42633</v>
      </c>
      <c r="B448" s="318" t="s">
        <v>662</v>
      </c>
      <c r="C448" s="318">
        <v>42643</v>
      </c>
      <c r="D448" s="383" t="s">
        <v>637</v>
      </c>
      <c r="E448" s="318" t="s">
        <v>8</v>
      </c>
      <c r="F448" s="384">
        <v>7573930</v>
      </c>
      <c r="G448" s="382">
        <v>0</v>
      </c>
      <c r="H448" s="385">
        <f t="shared" si="12"/>
        <v>44129287</v>
      </c>
      <c r="I448" s="385">
        <f t="shared" si="13"/>
        <v>0</v>
      </c>
      <c r="J448" s="18">
        <v>9</v>
      </c>
    </row>
    <row r="449" spans="1:10" s="18" customFormat="1" ht="18" customHeight="1">
      <c r="A449" s="318">
        <v>42643</v>
      </c>
      <c r="B449" s="318" t="s">
        <v>570</v>
      </c>
      <c r="C449" s="318">
        <v>42621</v>
      </c>
      <c r="D449" s="383" t="s">
        <v>1975</v>
      </c>
      <c r="E449" s="318" t="s">
        <v>8</v>
      </c>
      <c r="F449" s="384">
        <v>1935564</v>
      </c>
      <c r="G449" s="382">
        <v>0</v>
      </c>
      <c r="H449" s="385">
        <f t="shared" si="12"/>
        <v>46064851</v>
      </c>
      <c r="I449" s="385">
        <f t="shared" si="13"/>
        <v>0</v>
      </c>
      <c r="J449" s="18">
        <v>9</v>
      </c>
    </row>
    <row r="450" spans="1:10" s="18" customFormat="1" ht="18" customHeight="1">
      <c r="A450" s="318">
        <v>42625</v>
      </c>
      <c r="B450" s="318" t="s">
        <v>570</v>
      </c>
      <c r="C450" s="318">
        <v>42625</v>
      </c>
      <c r="D450" s="383" t="s">
        <v>625</v>
      </c>
      <c r="E450" s="318" t="s">
        <v>8</v>
      </c>
      <c r="F450" s="384">
        <v>200000</v>
      </c>
      <c r="G450" s="382">
        <v>0</v>
      </c>
      <c r="H450" s="385">
        <f t="shared" si="12"/>
        <v>46264851</v>
      </c>
      <c r="I450" s="385">
        <f t="shared" si="13"/>
        <v>0</v>
      </c>
      <c r="J450" s="18">
        <v>9</v>
      </c>
    </row>
    <row r="451" spans="1:10" s="18" customFormat="1" ht="18" customHeight="1">
      <c r="A451" s="318">
        <v>42627</v>
      </c>
      <c r="B451" s="318" t="s">
        <v>570</v>
      </c>
      <c r="C451" s="318">
        <v>42627</v>
      </c>
      <c r="D451" s="383" t="s">
        <v>625</v>
      </c>
      <c r="E451" s="318" t="s">
        <v>8</v>
      </c>
      <c r="F451" s="384">
        <v>200000</v>
      </c>
      <c r="G451" s="382">
        <v>0</v>
      </c>
      <c r="H451" s="385">
        <f t="shared" si="12"/>
        <v>46464851</v>
      </c>
      <c r="I451" s="385">
        <f t="shared" si="13"/>
        <v>0</v>
      </c>
      <c r="J451" s="18">
        <v>9</v>
      </c>
    </row>
    <row r="452" spans="1:10" s="18" customFormat="1" ht="18" customHeight="1">
      <c r="A452" s="318">
        <v>42635</v>
      </c>
      <c r="B452" s="318" t="s">
        <v>570</v>
      </c>
      <c r="C452" s="318">
        <v>42635</v>
      </c>
      <c r="D452" s="383" t="s">
        <v>625</v>
      </c>
      <c r="E452" s="318" t="s">
        <v>8</v>
      </c>
      <c r="F452" s="384">
        <v>16342870</v>
      </c>
      <c r="G452" s="382">
        <v>0</v>
      </c>
      <c r="H452" s="385">
        <f t="shared" si="12"/>
        <v>62807721</v>
      </c>
      <c r="I452" s="385">
        <f t="shared" si="13"/>
        <v>0</v>
      </c>
      <c r="J452" s="18">
        <v>9</v>
      </c>
    </row>
    <row r="453" spans="1:10" s="18" customFormat="1" ht="18" customHeight="1">
      <c r="A453" s="318">
        <v>42640</v>
      </c>
      <c r="B453" s="318" t="s">
        <v>570</v>
      </c>
      <c r="C453" s="318">
        <v>42640</v>
      </c>
      <c r="D453" s="383" t="s">
        <v>1991</v>
      </c>
      <c r="E453" s="318" t="s">
        <v>8</v>
      </c>
      <c r="F453" s="384">
        <v>4680000</v>
      </c>
      <c r="G453" s="382">
        <v>0</v>
      </c>
      <c r="H453" s="385">
        <f t="shared" si="12"/>
        <v>67487721</v>
      </c>
      <c r="I453" s="385">
        <f t="shared" si="13"/>
        <v>0</v>
      </c>
      <c r="J453" s="18">
        <v>9</v>
      </c>
    </row>
    <row r="454" spans="1:10" s="18" customFormat="1" ht="18" customHeight="1">
      <c r="A454" s="318">
        <v>42640</v>
      </c>
      <c r="B454" s="318" t="s">
        <v>570</v>
      </c>
      <c r="C454" s="318">
        <v>42640</v>
      </c>
      <c r="D454" s="383" t="s">
        <v>1988</v>
      </c>
      <c r="E454" s="318" t="s">
        <v>8</v>
      </c>
      <c r="F454" s="384">
        <v>58163</v>
      </c>
      <c r="G454" s="382">
        <v>0</v>
      </c>
      <c r="H454" s="385">
        <f t="shared" si="12"/>
        <v>67545884</v>
      </c>
      <c r="I454" s="385">
        <f t="shared" si="13"/>
        <v>0</v>
      </c>
      <c r="J454" s="18">
        <v>9</v>
      </c>
    </row>
    <row r="455" spans="1:10" s="18" customFormat="1" ht="18" customHeight="1">
      <c r="A455" s="318">
        <v>42641</v>
      </c>
      <c r="B455" s="318" t="s">
        <v>570</v>
      </c>
      <c r="C455" s="318">
        <v>42641</v>
      </c>
      <c r="D455" s="383" t="s">
        <v>1993</v>
      </c>
      <c r="E455" s="318" t="s">
        <v>8</v>
      </c>
      <c r="F455" s="384">
        <v>4700000</v>
      </c>
      <c r="G455" s="382">
        <v>0</v>
      </c>
      <c r="H455" s="385">
        <f t="shared" si="12"/>
        <v>72245884</v>
      </c>
      <c r="I455" s="385">
        <f t="shared" si="13"/>
        <v>0</v>
      </c>
      <c r="J455" s="18">
        <v>9</v>
      </c>
    </row>
    <row r="456" spans="1:10" s="18" customFormat="1" ht="18" customHeight="1">
      <c r="A456" s="318">
        <v>42643</v>
      </c>
      <c r="B456" s="318" t="s">
        <v>570</v>
      </c>
      <c r="C456" s="318">
        <v>42602</v>
      </c>
      <c r="D456" s="383" t="s">
        <v>1979</v>
      </c>
      <c r="E456" s="318" t="s">
        <v>8</v>
      </c>
      <c r="F456" s="384">
        <v>1973525</v>
      </c>
      <c r="G456" s="382">
        <v>0</v>
      </c>
      <c r="H456" s="385">
        <f t="shared" si="12"/>
        <v>74219409</v>
      </c>
      <c r="I456" s="385">
        <f t="shared" si="13"/>
        <v>0</v>
      </c>
      <c r="J456" s="18">
        <v>9</v>
      </c>
    </row>
    <row r="457" spans="1:10" s="18" customFormat="1" ht="18" customHeight="1">
      <c r="A457" s="318">
        <v>42621</v>
      </c>
      <c r="B457" s="318" t="s">
        <v>570</v>
      </c>
      <c r="C457" s="318">
        <v>42621</v>
      </c>
      <c r="D457" s="383" t="s">
        <v>1997</v>
      </c>
      <c r="E457" s="318" t="s">
        <v>8</v>
      </c>
      <c r="F457" s="384">
        <v>1967390</v>
      </c>
      <c r="G457" s="382">
        <v>0</v>
      </c>
      <c r="H457" s="385">
        <f t="shared" si="12"/>
        <v>76186799</v>
      </c>
      <c r="I457" s="385">
        <f t="shared" si="13"/>
        <v>0</v>
      </c>
      <c r="J457" s="18">
        <v>9</v>
      </c>
    </row>
    <row r="458" spans="1:10" s="18" customFormat="1" ht="18" customHeight="1">
      <c r="A458" s="318">
        <v>42629</v>
      </c>
      <c r="B458" s="318" t="s">
        <v>570</v>
      </c>
      <c r="C458" s="318">
        <v>42629</v>
      </c>
      <c r="D458" s="383" t="s">
        <v>1999</v>
      </c>
      <c r="E458" s="318" t="s">
        <v>8</v>
      </c>
      <c r="F458" s="384">
        <v>2196080</v>
      </c>
      <c r="G458" s="382">
        <v>0</v>
      </c>
      <c r="H458" s="385">
        <f t="shared" si="12"/>
        <v>78382879</v>
      </c>
      <c r="I458" s="385">
        <f t="shared" si="13"/>
        <v>0</v>
      </c>
      <c r="J458" s="18">
        <v>9</v>
      </c>
    </row>
    <row r="459" spans="1:10" s="18" customFormat="1" ht="18" customHeight="1">
      <c r="A459" s="318">
        <v>42639</v>
      </c>
      <c r="B459" s="318" t="s">
        <v>570</v>
      </c>
      <c r="C459" s="318">
        <v>42639</v>
      </c>
      <c r="D459" s="383" t="s">
        <v>2001</v>
      </c>
      <c r="E459" s="318" t="s">
        <v>8</v>
      </c>
      <c r="F459" s="384">
        <v>1911240</v>
      </c>
      <c r="G459" s="382">
        <v>0</v>
      </c>
      <c r="H459" s="385">
        <f t="shared" si="12"/>
        <v>80294119</v>
      </c>
      <c r="I459" s="385">
        <f t="shared" si="13"/>
        <v>0</v>
      </c>
      <c r="J459" s="18">
        <v>9</v>
      </c>
    </row>
    <row r="460" spans="1:10" s="18" customFormat="1" ht="18" customHeight="1">
      <c r="A460" s="318">
        <v>42634</v>
      </c>
      <c r="B460" s="318" t="s">
        <v>663</v>
      </c>
      <c r="C460" s="318">
        <v>42634</v>
      </c>
      <c r="D460" s="383" t="s">
        <v>639</v>
      </c>
      <c r="E460" s="318" t="s">
        <v>8</v>
      </c>
      <c r="F460" s="384">
        <v>3360000</v>
      </c>
      <c r="G460" s="382">
        <v>0</v>
      </c>
      <c r="H460" s="385">
        <f t="shared" si="12"/>
        <v>83654119</v>
      </c>
      <c r="I460" s="385">
        <f t="shared" si="13"/>
        <v>0</v>
      </c>
      <c r="J460" s="18">
        <v>9</v>
      </c>
    </row>
    <row r="461" spans="1:10" s="18" customFormat="1" ht="18" customHeight="1">
      <c r="A461" s="318">
        <v>42643</v>
      </c>
      <c r="B461" s="318" t="s">
        <v>570</v>
      </c>
      <c r="C461" s="318">
        <v>42643</v>
      </c>
      <c r="D461" s="383" t="s">
        <v>1412</v>
      </c>
      <c r="E461" s="318" t="s">
        <v>8</v>
      </c>
      <c r="F461" s="384">
        <v>2696000</v>
      </c>
      <c r="G461" s="382">
        <v>0</v>
      </c>
      <c r="H461" s="385">
        <f t="shared" si="12"/>
        <v>86350119</v>
      </c>
      <c r="I461" s="385">
        <f t="shared" si="13"/>
        <v>0</v>
      </c>
      <c r="J461" s="18">
        <v>9</v>
      </c>
    </row>
    <row r="462" spans="1:10" s="18" customFormat="1" ht="18" customHeight="1">
      <c r="A462" s="318">
        <v>42614</v>
      </c>
      <c r="B462" s="318" t="s">
        <v>852</v>
      </c>
      <c r="C462" s="318">
        <v>42590</v>
      </c>
      <c r="D462" s="383" t="s">
        <v>2018</v>
      </c>
      <c r="E462" s="318" t="s">
        <v>61</v>
      </c>
      <c r="F462" s="384">
        <v>7000</v>
      </c>
      <c r="G462" s="382">
        <v>0</v>
      </c>
      <c r="H462" s="385">
        <f t="shared" si="12"/>
        <v>86357119</v>
      </c>
      <c r="I462" s="385">
        <f t="shared" si="13"/>
        <v>0</v>
      </c>
      <c r="J462" s="18">
        <v>9</v>
      </c>
    </row>
    <row r="463" spans="1:10" s="18" customFormat="1" ht="18" customHeight="1">
      <c r="A463" s="318">
        <v>42614</v>
      </c>
      <c r="B463" s="318" t="s">
        <v>851</v>
      </c>
      <c r="C463" s="318">
        <v>42614</v>
      </c>
      <c r="D463" s="383" t="s">
        <v>2016</v>
      </c>
      <c r="E463" s="318" t="s">
        <v>61</v>
      </c>
      <c r="F463" s="384">
        <v>19000</v>
      </c>
      <c r="G463" s="382">
        <v>0</v>
      </c>
      <c r="H463" s="385">
        <f t="shared" si="12"/>
        <v>86376119</v>
      </c>
      <c r="I463" s="385">
        <f t="shared" si="13"/>
        <v>0</v>
      </c>
      <c r="J463" s="18">
        <v>9</v>
      </c>
    </row>
    <row r="464" spans="1:10" s="18" customFormat="1" ht="18" customHeight="1">
      <c r="A464" s="318">
        <v>42614</v>
      </c>
      <c r="B464" s="318" t="s">
        <v>853</v>
      </c>
      <c r="C464" s="318">
        <v>42597</v>
      </c>
      <c r="D464" s="383" t="s">
        <v>2021</v>
      </c>
      <c r="E464" s="318" t="s">
        <v>61</v>
      </c>
      <c r="F464" s="384">
        <v>100000</v>
      </c>
      <c r="G464" s="382">
        <v>0</v>
      </c>
      <c r="H464" s="385">
        <f t="shared" ref="H464:H527" si="14">IF(D464&lt;&gt;"",MAX(H463+F464-G464-I463,0),0)</f>
        <v>86476119</v>
      </c>
      <c r="I464" s="385">
        <f t="shared" ref="I464:I527" si="15">IF(D464&lt;&gt;"",MAX(I463+G464-H463-F464,0),0)</f>
        <v>0</v>
      </c>
      <c r="J464" s="18">
        <v>9</v>
      </c>
    </row>
    <row r="465" spans="1:10" s="18" customFormat="1" ht="18" customHeight="1">
      <c r="A465" s="318">
        <v>42617</v>
      </c>
      <c r="B465" s="318" t="s">
        <v>858</v>
      </c>
      <c r="C465" s="318">
        <v>42617</v>
      </c>
      <c r="D465" s="383" t="s">
        <v>1324</v>
      </c>
      <c r="E465" s="318" t="s">
        <v>61</v>
      </c>
      <c r="F465" s="384">
        <v>58436</v>
      </c>
      <c r="G465" s="382">
        <v>0</v>
      </c>
      <c r="H465" s="385">
        <f t="shared" si="14"/>
        <v>86534555</v>
      </c>
      <c r="I465" s="385">
        <f t="shared" si="15"/>
        <v>0</v>
      </c>
      <c r="J465" s="18">
        <v>9</v>
      </c>
    </row>
    <row r="466" spans="1:10" s="18" customFormat="1" ht="18" customHeight="1">
      <c r="A466" s="318">
        <v>42618</v>
      </c>
      <c r="B466" s="318" t="s">
        <v>859</v>
      </c>
      <c r="C466" s="318">
        <v>42618</v>
      </c>
      <c r="D466" s="383" t="s">
        <v>1324</v>
      </c>
      <c r="E466" s="318" t="s">
        <v>61</v>
      </c>
      <c r="F466" s="384">
        <v>61358</v>
      </c>
      <c r="G466" s="382">
        <v>0</v>
      </c>
      <c r="H466" s="385">
        <f t="shared" si="14"/>
        <v>86595913</v>
      </c>
      <c r="I466" s="385">
        <f t="shared" si="15"/>
        <v>0</v>
      </c>
      <c r="J466" s="18">
        <v>9</v>
      </c>
    </row>
    <row r="467" spans="1:10" s="18" customFormat="1" ht="18" customHeight="1">
      <c r="A467" s="318">
        <v>42618</v>
      </c>
      <c r="B467" s="318" t="s">
        <v>860</v>
      </c>
      <c r="C467" s="318">
        <v>42618</v>
      </c>
      <c r="D467" s="383" t="s">
        <v>2028</v>
      </c>
      <c r="E467" s="318" t="s">
        <v>61</v>
      </c>
      <c r="F467" s="384">
        <v>201586</v>
      </c>
      <c r="G467" s="382">
        <v>0</v>
      </c>
      <c r="H467" s="385">
        <f t="shared" si="14"/>
        <v>86797499</v>
      </c>
      <c r="I467" s="385">
        <f t="shared" si="15"/>
        <v>0</v>
      </c>
      <c r="J467" s="18">
        <v>9</v>
      </c>
    </row>
    <row r="468" spans="1:10" s="18" customFormat="1" ht="18" customHeight="1">
      <c r="A468" s="318">
        <v>42618</v>
      </c>
      <c r="B468" s="318" t="s">
        <v>690</v>
      </c>
      <c r="C468" s="318">
        <v>42618</v>
      </c>
      <c r="D468" s="383" t="s">
        <v>1616</v>
      </c>
      <c r="E468" s="318" t="s">
        <v>25</v>
      </c>
      <c r="F468" s="384">
        <v>4466</v>
      </c>
      <c r="G468" s="382">
        <v>0</v>
      </c>
      <c r="H468" s="385">
        <f t="shared" si="14"/>
        <v>86801965</v>
      </c>
      <c r="I468" s="385">
        <f t="shared" si="15"/>
        <v>0</v>
      </c>
      <c r="J468" s="18">
        <v>9</v>
      </c>
    </row>
    <row r="469" spans="1:10" s="18" customFormat="1" ht="18" customHeight="1">
      <c r="A469" s="318">
        <v>42621</v>
      </c>
      <c r="B469" s="318" t="s">
        <v>690</v>
      </c>
      <c r="C469" s="318">
        <v>42621</v>
      </c>
      <c r="D469" s="383" t="s">
        <v>1616</v>
      </c>
      <c r="E469" s="318" t="s">
        <v>25</v>
      </c>
      <c r="F469" s="384">
        <v>90124</v>
      </c>
      <c r="G469" s="382">
        <v>0</v>
      </c>
      <c r="H469" s="385">
        <f t="shared" si="14"/>
        <v>86892089</v>
      </c>
      <c r="I469" s="385">
        <f t="shared" si="15"/>
        <v>0</v>
      </c>
      <c r="J469" s="18">
        <v>9</v>
      </c>
    </row>
    <row r="470" spans="1:10" s="18" customFormat="1" ht="18" customHeight="1">
      <c r="A470" s="318">
        <v>42622</v>
      </c>
      <c r="B470" s="318" t="s">
        <v>690</v>
      </c>
      <c r="C470" s="318">
        <v>42622</v>
      </c>
      <c r="D470" s="383" t="s">
        <v>2010</v>
      </c>
      <c r="E470" s="318" t="s">
        <v>25</v>
      </c>
      <c r="F470" s="384">
        <v>220302</v>
      </c>
      <c r="G470" s="382">
        <v>0</v>
      </c>
      <c r="H470" s="385">
        <f t="shared" si="14"/>
        <v>87112391</v>
      </c>
      <c r="I470" s="385">
        <f t="shared" si="15"/>
        <v>0</v>
      </c>
      <c r="J470" s="18">
        <v>9</v>
      </c>
    </row>
    <row r="471" spans="1:10" s="18" customFormat="1" ht="18" customHeight="1">
      <c r="A471" s="318">
        <v>42624</v>
      </c>
      <c r="B471" s="318" t="s">
        <v>865</v>
      </c>
      <c r="C471" s="318">
        <v>42618</v>
      </c>
      <c r="D471" s="383" t="s">
        <v>757</v>
      </c>
      <c r="E471" s="318" t="s">
        <v>61</v>
      </c>
      <c r="F471" s="384">
        <v>127176</v>
      </c>
      <c r="G471" s="382">
        <v>0</v>
      </c>
      <c r="H471" s="385">
        <f t="shared" si="14"/>
        <v>87239567</v>
      </c>
      <c r="I471" s="385">
        <f t="shared" si="15"/>
        <v>0</v>
      </c>
      <c r="J471" s="18">
        <v>9</v>
      </c>
    </row>
    <row r="472" spans="1:10" s="18" customFormat="1" ht="18" customHeight="1">
      <c r="A472" s="318">
        <v>42626</v>
      </c>
      <c r="B472" s="318" t="s">
        <v>866</v>
      </c>
      <c r="C472" s="318">
        <v>42626</v>
      </c>
      <c r="D472" s="383" t="s">
        <v>2031</v>
      </c>
      <c r="E472" s="318" t="s">
        <v>61</v>
      </c>
      <c r="F472" s="384">
        <v>140378</v>
      </c>
      <c r="G472" s="382">
        <v>0</v>
      </c>
      <c r="H472" s="385">
        <f t="shared" si="14"/>
        <v>87379945</v>
      </c>
      <c r="I472" s="385">
        <f t="shared" si="15"/>
        <v>0</v>
      </c>
      <c r="J472" s="18">
        <v>9</v>
      </c>
    </row>
    <row r="473" spans="1:10" s="18" customFormat="1" ht="18" customHeight="1">
      <c r="A473" s="318">
        <v>42628</v>
      </c>
      <c r="B473" s="318" t="s">
        <v>869</v>
      </c>
      <c r="C473" s="318">
        <v>42628</v>
      </c>
      <c r="D473" s="383" t="s">
        <v>2034</v>
      </c>
      <c r="E473" s="318" t="s">
        <v>61</v>
      </c>
      <c r="F473" s="384">
        <v>167300</v>
      </c>
      <c r="G473" s="382">
        <v>0</v>
      </c>
      <c r="H473" s="385">
        <f t="shared" si="14"/>
        <v>87547245</v>
      </c>
      <c r="I473" s="385">
        <f t="shared" si="15"/>
        <v>0</v>
      </c>
      <c r="J473" s="18">
        <v>9</v>
      </c>
    </row>
    <row r="474" spans="1:10" s="18" customFormat="1" ht="18" customHeight="1">
      <c r="A474" s="318">
        <v>42630</v>
      </c>
      <c r="B474" s="318" t="s">
        <v>690</v>
      </c>
      <c r="C474" s="318">
        <v>42630</v>
      </c>
      <c r="D474" s="383" t="s">
        <v>1634</v>
      </c>
      <c r="E474" s="318" t="s">
        <v>25</v>
      </c>
      <c r="F474" s="384">
        <v>5000</v>
      </c>
      <c r="G474" s="382">
        <v>0</v>
      </c>
      <c r="H474" s="385">
        <f t="shared" si="14"/>
        <v>87552245</v>
      </c>
      <c r="I474" s="385">
        <f t="shared" si="15"/>
        <v>0</v>
      </c>
      <c r="J474" s="18">
        <v>9</v>
      </c>
    </row>
    <row r="475" spans="1:10" s="18" customFormat="1" ht="18" customHeight="1">
      <c r="A475" s="318">
        <v>42630</v>
      </c>
      <c r="B475" s="318" t="s">
        <v>690</v>
      </c>
      <c r="C475" s="318">
        <v>42630</v>
      </c>
      <c r="D475" s="383" t="s">
        <v>1634</v>
      </c>
      <c r="E475" s="318" t="s">
        <v>25</v>
      </c>
      <c r="F475" s="384">
        <v>5000</v>
      </c>
      <c r="G475" s="382">
        <v>0</v>
      </c>
      <c r="H475" s="385">
        <f t="shared" si="14"/>
        <v>87557245</v>
      </c>
      <c r="I475" s="385">
        <f t="shared" si="15"/>
        <v>0</v>
      </c>
      <c r="J475" s="18">
        <v>9</v>
      </c>
    </row>
    <row r="476" spans="1:10" s="18" customFormat="1" ht="18" customHeight="1">
      <c r="A476" s="318">
        <v>42632</v>
      </c>
      <c r="B476" s="318" t="s">
        <v>871</v>
      </c>
      <c r="C476" s="318">
        <v>42632</v>
      </c>
      <c r="D476" s="383" t="s">
        <v>1324</v>
      </c>
      <c r="E476" s="318" t="s">
        <v>61</v>
      </c>
      <c r="F476" s="384">
        <v>87655</v>
      </c>
      <c r="G476" s="382">
        <v>0</v>
      </c>
      <c r="H476" s="385">
        <f t="shared" si="14"/>
        <v>87644900</v>
      </c>
      <c r="I476" s="385">
        <f t="shared" si="15"/>
        <v>0</v>
      </c>
      <c r="J476" s="18">
        <v>9</v>
      </c>
    </row>
    <row r="477" spans="1:10" s="18" customFormat="1" ht="18" customHeight="1">
      <c r="A477" s="318">
        <v>42634</v>
      </c>
      <c r="B477" s="318" t="s">
        <v>690</v>
      </c>
      <c r="C477" s="318">
        <v>42634</v>
      </c>
      <c r="D477" s="383" t="s">
        <v>1173</v>
      </c>
      <c r="E477" s="318" t="s">
        <v>260</v>
      </c>
      <c r="F477" s="384">
        <v>33450</v>
      </c>
      <c r="G477" s="382">
        <v>0</v>
      </c>
      <c r="H477" s="385">
        <f t="shared" si="14"/>
        <v>87678350</v>
      </c>
      <c r="I477" s="385">
        <f t="shared" si="15"/>
        <v>0</v>
      </c>
      <c r="J477" s="18">
        <v>9</v>
      </c>
    </row>
    <row r="478" spans="1:10" s="18" customFormat="1" ht="18" customHeight="1">
      <c r="A478" s="318">
        <v>42635</v>
      </c>
      <c r="B478" s="318" t="s">
        <v>872</v>
      </c>
      <c r="C478" s="318">
        <v>42635</v>
      </c>
      <c r="D478" s="383" t="s">
        <v>1335</v>
      </c>
      <c r="E478" s="318" t="s">
        <v>61</v>
      </c>
      <c r="F478" s="384">
        <v>833182</v>
      </c>
      <c r="G478" s="382">
        <v>0</v>
      </c>
      <c r="H478" s="385">
        <f t="shared" si="14"/>
        <v>88511532</v>
      </c>
      <c r="I478" s="385">
        <f t="shared" si="15"/>
        <v>0</v>
      </c>
      <c r="J478" s="18">
        <v>9</v>
      </c>
    </row>
    <row r="479" spans="1:10" s="18" customFormat="1" ht="18" customHeight="1">
      <c r="A479" s="318">
        <v>42635</v>
      </c>
      <c r="B479" s="318" t="s">
        <v>690</v>
      </c>
      <c r="C479" s="318">
        <v>42635</v>
      </c>
      <c r="D479" s="383" t="s">
        <v>1180</v>
      </c>
      <c r="E479" s="318" t="s">
        <v>25</v>
      </c>
      <c r="F479" s="384">
        <v>2000</v>
      </c>
      <c r="G479" s="382">
        <v>0</v>
      </c>
      <c r="H479" s="385">
        <f t="shared" si="14"/>
        <v>88513532</v>
      </c>
      <c r="I479" s="385">
        <f t="shared" si="15"/>
        <v>0</v>
      </c>
      <c r="J479" s="18">
        <v>9</v>
      </c>
    </row>
    <row r="480" spans="1:10" s="18" customFormat="1" ht="18" customHeight="1">
      <c r="A480" s="318">
        <v>42635</v>
      </c>
      <c r="B480" s="318" t="s">
        <v>690</v>
      </c>
      <c r="C480" s="318">
        <v>42635</v>
      </c>
      <c r="D480" s="383" t="s">
        <v>1180</v>
      </c>
      <c r="E480" s="318" t="s">
        <v>25</v>
      </c>
      <c r="F480" s="384">
        <v>2500</v>
      </c>
      <c r="G480" s="382">
        <v>0</v>
      </c>
      <c r="H480" s="385">
        <f t="shared" si="14"/>
        <v>88516032</v>
      </c>
      <c r="I480" s="385">
        <f t="shared" si="15"/>
        <v>0</v>
      </c>
      <c r="J480" s="18">
        <v>9</v>
      </c>
    </row>
    <row r="481" spans="1:10" s="18" customFormat="1" ht="18" customHeight="1">
      <c r="A481" s="318">
        <v>42635</v>
      </c>
      <c r="B481" s="318" t="s">
        <v>690</v>
      </c>
      <c r="C481" s="318">
        <v>42635</v>
      </c>
      <c r="D481" s="383" t="s">
        <v>1180</v>
      </c>
      <c r="E481" s="318" t="s">
        <v>25</v>
      </c>
      <c r="F481" s="384">
        <v>2000</v>
      </c>
      <c r="G481" s="382">
        <v>0</v>
      </c>
      <c r="H481" s="385">
        <f t="shared" si="14"/>
        <v>88518032</v>
      </c>
      <c r="I481" s="385">
        <f t="shared" si="15"/>
        <v>0</v>
      </c>
      <c r="J481" s="18">
        <v>9</v>
      </c>
    </row>
    <row r="482" spans="1:10" s="18" customFormat="1" ht="18" customHeight="1">
      <c r="A482" s="318">
        <v>42638</v>
      </c>
      <c r="B482" s="318" t="s">
        <v>876</v>
      </c>
      <c r="C482" s="318">
        <v>42638</v>
      </c>
      <c r="D482" s="383" t="s">
        <v>2031</v>
      </c>
      <c r="E482" s="318" t="s">
        <v>61</v>
      </c>
      <c r="F482" s="384">
        <v>169349</v>
      </c>
      <c r="G482" s="382">
        <v>0</v>
      </c>
      <c r="H482" s="385">
        <f t="shared" si="14"/>
        <v>88687381</v>
      </c>
      <c r="I482" s="385">
        <f t="shared" si="15"/>
        <v>0</v>
      </c>
      <c r="J482" s="18">
        <v>9</v>
      </c>
    </row>
    <row r="483" spans="1:10" s="18" customFormat="1" ht="18" customHeight="1">
      <c r="A483" s="318">
        <v>42639</v>
      </c>
      <c r="B483" s="318" t="s">
        <v>690</v>
      </c>
      <c r="C483" s="318">
        <v>42639</v>
      </c>
      <c r="D483" s="383" t="s">
        <v>1634</v>
      </c>
      <c r="E483" s="318" t="s">
        <v>25</v>
      </c>
      <c r="F483" s="384">
        <v>5000</v>
      </c>
      <c r="G483" s="382">
        <v>0</v>
      </c>
      <c r="H483" s="385">
        <f t="shared" si="14"/>
        <v>88692381</v>
      </c>
      <c r="I483" s="385">
        <f t="shared" si="15"/>
        <v>0</v>
      </c>
      <c r="J483" s="18">
        <v>9</v>
      </c>
    </row>
    <row r="484" spans="1:10" s="18" customFormat="1" ht="18" customHeight="1">
      <c r="A484" s="318">
        <v>42639</v>
      </c>
      <c r="B484" s="318" t="s">
        <v>690</v>
      </c>
      <c r="C484" s="318">
        <v>42639</v>
      </c>
      <c r="D484" s="383" t="s">
        <v>1634</v>
      </c>
      <c r="E484" s="318" t="s">
        <v>25</v>
      </c>
      <c r="F484" s="384">
        <v>5000</v>
      </c>
      <c r="G484" s="382">
        <v>0</v>
      </c>
      <c r="H484" s="385">
        <f t="shared" si="14"/>
        <v>88697381</v>
      </c>
      <c r="I484" s="385">
        <f t="shared" si="15"/>
        <v>0</v>
      </c>
      <c r="J484" s="18">
        <v>9</v>
      </c>
    </row>
    <row r="485" spans="1:10" s="18" customFormat="1" ht="18" customHeight="1">
      <c r="A485" s="318">
        <v>42639</v>
      </c>
      <c r="B485" s="318" t="s">
        <v>690</v>
      </c>
      <c r="C485" s="318">
        <v>42639</v>
      </c>
      <c r="D485" s="383" t="s">
        <v>1634</v>
      </c>
      <c r="E485" s="318" t="s">
        <v>25</v>
      </c>
      <c r="F485" s="384">
        <v>5000</v>
      </c>
      <c r="G485" s="382">
        <v>0</v>
      </c>
      <c r="H485" s="385">
        <f t="shared" si="14"/>
        <v>88702381</v>
      </c>
      <c r="I485" s="385">
        <f t="shared" si="15"/>
        <v>0</v>
      </c>
      <c r="J485" s="18">
        <v>9</v>
      </c>
    </row>
    <row r="486" spans="1:10" s="18" customFormat="1" ht="18" customHeight="1">
      <c r="A486" s="318">
        <v>42639</v>
      </c>
      <c r="B486" s="318" t="s">
        <v>690</v>
      </c>
      <c r="C486" s="318">
        <v>42639</v>
      </c>
      <c r="D486" s="383" t="s">
        <v>1634</v>
      </c>
      <c r="E486" s="318" t="s">
        <v>25</v>
      </c>
      <c r="F486" s="384">
        <v>5000</v>
      </c>
      <c r="G486" s="382">
        <v>0</v>
      </c>
      <c r="H486" s="385">
        <f t="shared" si="14"/>
        <v>88707381</v>
      </c>
      <c r="I486" s="385">
        <f t="shared" si="15"/>
        <v>0</v>
      </c>
      <c r="J486" s="18">
        <v>9</v>
      </c>
    </row>
    <row r="487" spans="1:10" s="18" customFormat="1" ht="18" customHeight="1">
      <c r="A487" s="318">
        <v>42640</v>
      </c>
      <c r="B487" s="318" t="s">
        <v>879</v>
      </c>
      <c r="C487" s="318">
        <v>42640</v>
      </c>
      <c r="D487" s="383" t="s">
        <v>2039</v>
      </c>
      <c r="E487" s="318" t="s">
        <v>61</v>
      </c>
      <c r="F487" s="384">
        <v>1605000</v>
      </c>
      <c r="G487" s="382">
        <v>0</v>
      </c>
      <c r="H487" s="385">
        <f t="shared" si="14"/>
        <v>90312381</v>
      </c>
      <c r="I487" s="385">
        <f t="shared" si="15"/>
        <v>0</v>
      </c>
      <c r="J487" s="18">
        <v>9</v>
      </c>
    </row>
    <row r="488" spans="1:10" s="18" customFormat="1" ht="18" customHeight="1">
      <c r="A488" s="318">
        <v>42640</v>
      </c>
      <c r="B488" s="318" t="s">
        <v>880</v>
      </c>
      <c r="C488" s="318">
        <v>42640</v>
      </c>
      <c r="D488" s="383" t="s">
        <v>2043</v>
      </c>
      <c r="E488" s="318" t="s">
        <v>61</v>
      </c>
      <c r="F488" s="384">
        <v>99818</v>
      </c>
      <c r="G488" s="382">
        <v>0</v>
      </c>
      <c r="H488" s="385">
        <f t="shared" si="14"/>
        <v>90412199</v>
      </c>
      <c r="I488" s="385">
        <f t="shared" si="15"/>
        <v>0</v>
      </c>
      <c r="J488" s="18">
        <v>9</v>
      </c>
    </row>
    <row r="489" spans="1:10" s="18" customFormat="1" ht="18" customHeight="1">
      <c r="A489" s="318">
        <v>42642</v>
      </c>
      <c r="B489" s="318" t="s">
        <v>690</v>
      </c>
      <c r="C489" s="318">
        <v>42642</v>
      </c>
      <c r="D489" s="383" t="s">
        <v>1616</v>
      </c>
      <c r="E489" s="318" t="s">
        <v>25</v>
      </c>
      <c r="F489" s="384">
        <v>3600</v>
      </c>
      <c r="G489" s="382">
        <v>0</v>
      </c>
      <c r="H489" s="385">
        <f t="shared" si="14"/>
        <v>90415799</v>
      </c>
      <c r="I489" s="385">
        <f t="shared" si="15"/>
        <v>0</v>
      </c>
      <c r="J489" s="18">
        <v>9</v>
      </c>
    </row>
    <row r="490" spans="1:10" s="18" customFormat="1" ht="18" customHeight="1">
      <c r="A490" s="318">
        <v>42643</v>
      </c>
      <c r="B490" s="318" t="s">
        <v>882</v>
      </c>
      <c r="C490" s="318">
        <v>42643</v>
      </c>
      <c r="D490" s="383" t="s">
        <v>1342</v>
      </c>
      <c r="E490" s="318" t="s">
        <v>61</v>
      </c>
      <c r="F490" s="384">
        <v>238182</v>
      </c>
      <c r="G490" s="382">
        <v>0</v>
      </c>
      <c r="H490" s="385">
        <f t="shared" si="14"/>
        <v>90653981</v>
      </c>
      <c r="I490" s="385">
        <f t="shared" si="15"/>
        <v>0</v>
      </c>
      <c r="J490" s="18">
        <v>9</v>
      </c>
    </row>
    <row r="491" spans="1:10" s="18" customFormat="1" ht="18" customHeight="1">
      <c r="A491" s="318">
        <v>42674</v>
      </c>
      <c r="B491" s="318" t="s">
        <v>570</v>
      </c>
      <c r="C491" s="318">
        <v>42674</v>
      </c>
      <c r="D491" s="383" t="s">
        <v>1731</v>
      </c>
      <c r="E491" s="318" t="s">
        <v>8</v>
      </c>
      <c r="F491" s="384">
        <v>2670455</v>
      </c>
      <c r="G491" s="382">
        <v>0</v>
      </c>
      <c r="H491" s="385">
        <f t="shared" si="14"/>
        <v>93324436</v>
      </c>
      <c r="I491" s="385">
        <f t="shared" si="15"/>
        <v>0</v>
      </c>
      <c r="J491" s="18">
        <v>10</v>
      </c>
    </row>
    <row r="492" spans="1:10" s="18" customFormat="1" ht="18" customHeight="1">
      <c r="A492" s="318">
        <v>42674</v>
      </c>
      <c r="B492" s="318" t="s">
        <v>570</v>
      </c>
      <c r="C492" s="318">
        <v>42674</v>
      </c>
      <c r="D492" s="383" t="s">
        <v>625</v>
      </c>
      <c r="E492" s="318" t="s">
        <v>8</v>
      </c>
      <c r="F492" s="384">
        <v>200000</v>
      </c>
      <c r="G492" s="382">
        <v>0</v>
      </c>
      <c r="H492" s="385">
        <f t="shared" si="14"/>
        <v>93524436</v>
      </c>
      <c r="I492" s="385">
        <f t="shared" si="15"/>
        <v>0</v>
      </c>
      <c r="J492" s="18">
        <v>10</v>
      </c>
    </row>
    <row r="493" spans="1:10" s="18" customFormat="1" ht="18" customHeight="1">
      <c r="A493" s="318">
        <v>42674</v>
      </c>
      <c r="B493" s="318" t="s">
        <v>570</v>
      </c>
      <c r="C493" s="318">
        <v>42674</v>
      </c>
      <c r="D493" s="383" t="s">
        <v>2099</v>
      </c>
      <c r="E493" s="318" t="s">
        <v>8</v>
      </c>
      <c r="F493" s="384">
        <v>1187080</v>
      </c>
      <c r="G493" s="382">
        <v>0</v>
      </c>
      <c r="H493" s="385">
        <f t="shared" si="14"/>
        <v>94711516</v>
      </c>
      <c r="I493" s="385">
        <f t="shared" si="15"/>
        <v>0</v>
      </c>
      <c r="J493" s="18">
        <v>10</v>
      </c>
    </row>
    <row r="494" spans="1:10" s="18" customFormat="1" ht="18" customHeight="1">
      <c r="A494" s="318">
        <v>42674</v>
      </c>
      <c r="B494" s="318" t="s">
        <v>570</v>
      </c>
      <c r="C494" s="318">
        <v>42674</v>
      </c>
      <c r="D494" s="383" t="s">
        <v>2103</v>
      </c>
      <c r="E494" s="318" t="s">
        <v>8</v>
      </c>
      <c r="F494" s="384">
        <v>4680000</v>
      </c>
      <c r="G494" s="382">
        <v>0</v>
      </c>
      <c r="H494" s="385">
        <f t="shared" si="14"/>
        <v>99391516</v>
      </c>
      <c r="I494" s="385">
        <f t="shared" si="15"/>
        <v>0</v>
      </c>
      <c r="J494" s="18">
        <v>10</v>
      </c>
    </row>
    <row r="495" spans="1:10" s="18" customFormat="1" ht="18" customHeight="1">
      <c r="A495" s="318">
        <v>42674</v>
      </c>
      <c r="B495" s="318" t="s">
        <v>570</v>
      </c>
      <c r="C495" s="318">
        <v>42643</v>
      </c>
      <c r="D495" s="383" t="s">
        <v>2126</v>
      </c>
      <c r="E495" s="318" t="s">
        <v>8</v>
      </c>
      <c r="F495" s="384">
        <v>850964</v>
      </c>
      <c r="G495" s="382">
        <v>0</v>
      </c>
      <c r="H495" s="385">
        <f t="shared" si="14"/>
        <v>100242480</v>
      </c>
      <c r="I495" s="385">
        <f t="shared" si="15"/>
        <v>0</v>
      </c>
      <c r="J495" s="18">
        <v>10</v>
      </c>
    </row>
    <row r="496" spans="1:10" s="18" customFormat="1" ht="18" customHeight="1">
      <c r="A496" s="318">
        <v>42674</v>
      </c>
      <c r="B496" s="318" t="s">
        <v>570</v>
      </c>
      <c r="C496" s="318">
        <v>42674</v>
      </c>
      <c r="D496" s="383" t="s">
        <v>625</v>
      </c>
      <c r="E496" s="318" t="s">
        <v>8</v>
      </c>
      <c r="F496" s="384">
        <v>333300</v>
      </c>
      <c r="G496" s="382">
        <v>0</v>
      </c>
      <c r="H496" s="385">
        <f t="shared" si="14"/>
        <v>100575780</v>
      </c>
      <c r="I496" s="385">
        <f t="shared" si="15"/>
        <v>0</v>
      </c>
      <c r="J496" s="18">
        <v>10</v>
      </c>
    </row>
    <row r="497" spans="1:10" s="18" customFormat="1" ht="18" customHeight="1">
      <c r="A497" s="318">
        <v>42674</v>
      </c>
      <c r="B497" s="318" t="s">
        <v>570</v>
      </c>
      <c r="C497" s="318">
        <v>42674</v>
      </c>
      <c r="D497" s="383" t="s">
        <v>2094</v>
      </c>
      <c r="E497" s="318" t="s">
        <v>8</v>
      </c>
      <c r="F497" s="384">
        <v>12508103</v>
      </c>
      <c r="G497" s="382">
        <v>0</v>
      </c>
      <c r="H497" s="385">
        <f t="shared" si="14"/>
        <v>113083883</v>
      </c>
      <c r="I497" s="385">
        <f t="shared" si="15"/>
        <v>0</v>
      </c>
      <c r="J497" s="18">
        <v>10</v>
      </c>
    </row>
    <row r="498" spans="1:10" s="18" customFormat="1" ht="18" customHeight="1">
      <c r="A498" s="318">
        <v>42674</v>
      </c>
      <c r="B498" s="318" t="s">
        <v>570</v>
      </c>
      <c r="C498" s="318">
        <v>42674</v>
      </c>
      <c r="D498" s="383" t="s">
        <v>2113</v>
      </c>
      <c r="E498" s="318" t="s">
        <v>8</v>
      </c>
      <c r="F498" s="384">
        <v>373361</v>
      </c>
      <c r="G498" s="382">
        <v>0</v>
      </c>
      <c r="H498" s="385">
        <f t="shared" si="14"/>
        <v>113457244</v>
      </c>
      <c r="I498" s="385">
        <f t="shared" si="15"/>
        <v>0</v>
      </c>
      <c r="J498" s="18">
        <v>10</v>
      </c>
    </row>
    <row r="499" spans="1:10" s="18" customFormat="1" ht="18" customHeight="1">
      <c r="A499" s="318">
        <v>42674</v>
      </c>
      <c r="B499" s="318" t="s">
        <v>570</v>
      </c>
      <c r="C499" s="318">
        <v>42669</v>
      </c>
      <c r="D499" s="383" t="s">
        <v>2123</v>
      </c>
      <c r="E499" s="318" t="s">
        <v>8</v>
      </c>
      <c r="F499" s="384">
        <v>2342139</v>
      </c>
      <c r="G499" s="382">
        <v>0</v>
      </c>
      <c r="H499" s="385">
        <f t="shared" si="14"/>
        <v>115799383</v>
      </c>
      <c r="I499" s="385">
        <f t="shared" si="15"/>
        <v>0</v>
      </c>
      <c r="J499" s="18">
        <v>10</v>
      </c>
    </row>
    <row r="500" spans="1:10" s="18" customFormat="1" ht="18" customHeight="1">
      <c r="A500" s="318">
        <v>42674</v>
      </c>
      <c r="B500" s="318" t="s">
        <v>570</v>
      </c>
      <c r="C500" s="318">
        <v>42613</v>
      </c>
      <c r="D500" s="383" t="s">
        <v>2131</v>
      </c>
      <c r="E500" s="318" t="s">
        <v>8</v>
      </c>
      <c r="F500" s="384">
        <v>505306</v>
      </c>
      <c r="G500" s="382">
        <v>0</v>
      </c>
      <c r="H500" s="385">
        <f t="shared" si="14"/>
        <v>116304689</v>
      </c>
      <c r="I500" s="385">
        <f t="shared" si="15"/>
        <v>0</v>
      </c>
      <c r="J500" s="18">
        <v>10</v>
      </c>
    </row>
    <row r="501" spans="1:10" s="18" customFormat="1" ht="18" customHeight="1">
      <c r="A501" s="318">
        <v>42674</v>
      </c>
      <c r="B501" s="318" t="s">
        <v>570</v>
      </c>
      <c r="C501" s="318">
        <v>42643</v>
      </c>
      <c r="D501" s="383" t="s">
        <v>2131</v>
      </c>
      <c r="E501" s="318" t="s">
        <v>8</v>
      </c>
      <c r="F501" s="384">
        <v>515782</v>
      </c>
      <c r="G501" s="382">
        <v>0</v>
      </c>
      <c r="H501" s="385">
        <f t="shared" si="14"/>
        <v>116820471</v>
      </c>
      <c r="I501" s="385">
        <f t="shared" si="15"/>
        <v>0</v>
      </c>
      <c r="J501" s="18">
        <v>10</v>
      </c>
    </row>
    <row r="502" spans="1:10" s="18" customFormat="1" ht="18" customHeight="1">
      <c r="A502" s="318">
        <v>42674</v>
      </c>
      <c r="B502" s="318" t="s">
        <v>570</v>
      </c>
      <c r="C502" s="318">
        <v>42649</v>
      </c>
      <c r="D502" s="383" t="s">
        <v>2160</v>
      </c>
      <c r="E502" s="318" t="s">
        <v>8</v>
      </c>
      <c r="F502" s="384">
        <v>1890660</v>
      </c>
      <c r="G502" s="382">
        <v>0</v>
      </c>
      <c r="H502" s="385">
        <f t="shared" si="14"/>
        <v>118711131</v>
      </c>
      <c r="I502" s="385">
        <f t="shared" si="15"/>
        <v>0</v>
      </c>
      <c r="J502" s="18">
        <v>10</v>
      </c>
    </row>
    <row r="503" spans="1:10" s="18" customFormat="1" ht="18" customHeight="1">
      <c r="A503" s="318">
        <v>42674</v>
      </c>
      <c r="B503" s="318" t="s">
        <v>570</v>
      </c>
      <c r="C503" s="318">
        <v>42660</v>
      </c>
      <c r="D503" s="383" t="s">
        <v>3035</v>
      </c>
      <c r="E503" s="318" t="s">
        <v>8</v>
      </c>
      <c r="F503" s="384">
        <v>2212620</v>
      </c>
      <c r="G503" s="382">
        <v>0</v>
      </c>
      <c r="H503" s="385">
        <f t="shared" si="14"/>
        <v>120923751</v>
      </c>
      <c r="I503" s="385">
        <f t="shared" si="15"/>
        <v>0</v>
      </c>
      <c r="J503" s="18">
        <v>10</v>
      </c>
    </row>
    <row r="504" spans="1:10" s="18" customFormat="1" ht="18" customHeight="1">
      <c r="A504" s="318">
        <v>42674</v>
      </c>
      <c r="B504" s="318" t="s">
        <v>570</v>
      </c>
      <c r="C504" s="318">
        <v>42669</v>
      </c>
      <c r="D504" s="383" t="s">
        <v>2164</v>
      </c>
      <c r="E504" s="318" t="s">
        <v>8</v>
      </c>
      <c r="F504" s="384">
        <v>2057710</v>
      </c>
      <c r="G504" s="382">
        <v>0</v>
      </c>
      <c r="H504" s="385">
        <f t="shared" si="14"/>
        <v>122981461</v>
      </c>
      <c r="I504" s="385">
        <f t="shared" si="15"/>
        <v>0</v>
      </c>
      <c r="J504" s="18">
        <v>10</v>
      </c>
    </row>
    <row r="505" spans="1:10" s="18" customFormat="1" ht="18" customHeight="1">
      <c r="A505" s="318">
        <v>42646</v>
      </c>
      <c r="B505" s="318" t="s">
        <v>853</v>
      </c>
      <c r="C505" s="318">
        <v>42646</v>
      </c>
      <c r="D505" s="383" t="s">
        <v>2056</v>
      </c>
      <c r="E505" s="318" t="s">
        <v>61</v>
      </c>
      <c r="F505" s="384">
        <v>9091</v>
      </c>
      <c r="G505" s="382">
        <v>0</v>
      </c>
      <c r="H505" s="385">
        <f t="shared" si="14"/>
        <v>122990552</v>
      </c>
      <c r="I505" s="385">
        <f t="shared" si="15"/>
        <v>0</v>
      </c>
      <c r="J505" s="18">
        <v>10</v>
      </c>
    </row>
    <row r="506" spans="1:10" s="18" customFormat="1" ht="18" customHeight="1">
      <c r="A506" s="318">
        <v>42646</v>
      </c>
      <c r="B506" s="318" t="s">
        <v>854</v>
      </c>
      <c r="C506" s="318">
        <v>42646</v>
      </c>
      <c r="D506" s="383" t="s">
        <v>757</v>
      </c>
      <c r="E506" s="318" t="s">
        <v>61</v>
      </c>
      <c r="F506" s="384">
        <v>55682</v>
      </c>
      <c r="G506" s="382">
        <v>0</v>
      </c>
      <c r="H506" s="385">
        <f t="shared" si="14"/>
        <v>123046234</v>
      </c>
      <c r="I506" s="385">
        <f t="shared" si="15"/>
        <v>0</v>
      </c>
      <c r="J506" s="18">
        <v>10</v>
      </c>
    </row>
    <row r="507" spans="1:10" s="18" customFormat="1" ht="18" customHeight="1">
      <c r="A507" s="318">
        <v>42646</v>
      </c>
      <c r="B507" s="318" t="s">
        <v>690</v>
      </c>
      <c r="C507" s="318">
        <v>42646</v>
      </c>
      <c r="D507" s="383" t="s">
        <v>1616</v>
      </c>
      <c r="E507" s="318" t="s">
        <v>25</v>
      </c>
      <c r="F507" s="384">
        <v>5000</v>
      </c>
      <c r="G507" s="382">
        <v>0</v>
      </c>
      <c r="H507" s="385">
        <f t="shared" si="14"/>
        <v>123051234</v>
      </c>
      <c r="I507" s="385">
        <f t="shared" si="15"/>
        <v>0</v>
      </c>
      <c r="J507" s="18">
        <v>10</v>
      </c>
    </row>
    <row r="508" spans="1:10" s="18" customFormat="1" ht="18" customHeight="1">
      <c r="A508" s="318">
        <v>42646</v>
      </c>
      <c r="B508" s="318" t="s">
        <v>690</v>
      </c>
      <c r="C508" s="318">
        <v>42646</v>
      </c>
      <c r="D508" s="383" t="s">
        <v>1616</v>
      </c>
      <c r="E508" s="318" t="s">
        <v>25</v>
      </c>
      <c r="F508" s="384">
        <v>1000</v>
      </c>
      <c r="G508" s="382">
        <v>0</v>
      </c>
      <c r="H508" s="385">
        <f t="shared" si="14"/>
        <v>123052234</v>
      </c>
      <c r="I508" s="385">
        <f t="shared" si="15"/>
        <v>0</v>
      </c>
      <c r="J508" s="18">
        <v>10</v>
      </c>
    </row>
    <row r="509" spans="1:10" s="18" customFormat="1" ht="18" customHeight="1">
      <c r="A509" s="318">
        <v>42647</v>
      </c>
      <c r="B509" s="318" t="s">
        <v>856</v>
      </c>
      <c r="C509" s="318">
        <v>42647</v>
      </c>
      <c r="D509" s="383" t="s">
        <v>2056</v>
      </c>
      <c r="E509" s="318" t="s">
        <v>61</v>
      </c>
      <c r="F509" s="384">
        <v>18182</v>
      </c>
      <c r="G509" s="382">
        <v>0</v>
      </c>
      <c r="H509" s="385">
        <f t="shared" si="14"/>
        <v>123070416</v>
      </c>
      <c r="I509" s="385">
        <f t="shared" si="15"/>
        <v>0</v>
      </c>
      <c r="J509" s="18">
        <v>10</v>
      </c>
    </row>
    <row r="510" spans="1:10" s="18" customFormat="1" ht="18" customHeight="1">
      <c r="A510" s="318">
        <v>42647</v>
      </c>
      <c r="B510" s="318" t="s">
        <v>690</v>
      </c>
      <c r="C510" s="318">
        <v>42647</v>
      </c>
      <c r="D510" s="383" t="s">
        <v>1424</v>
      </c>
      <c r="E510" s="318" t="s">
        <v>260</v>
      </c>
      <c r="F510" s="384">
        <v>11138</v>
      </c>
      <c r="G510" s="382">
        <v>0</v>
      </c>
      <c r="H510" s="385">
        <f t="shared" si="14"/>
        <v>123081554</v>
      </c>
      <c r="I510" s="385">
        <f t="shared" si="15"/>
        <v>0</v>
      </c>
      <c r="J510" s="18">
        <v>10</v>
      </c>
    </row>
    <row r="511" spans="1:10" s="18" customFormat="1" ht="18" customHeight="1">
      <c r="A511" s="318">
        <v>42647</v>
      </c>
      <c r="B511" s="318" t="s">
        <v>690</v>
      </c>
      <c r="C511" s="318">
        <v>42647</v>
      </c>
      <c r="D511" s="383" t="s">
        <v>1180</v>
      </c>
      <c r="E511" s="318" t="s">
        <v>25</v>
      </c>
      <c r="F511" s="384">
        <v>4500</v>
      </c>
      <c r="G511" s="382">
        <v>0</v>
      </c>
      <c r="H511" s="385">
        <f t="shared" si="14"/>
        <v>123086054</v>
      </c>
      <c r="I511" s="385">
        <f t="shared" si="15"/>
        <v>0</v>
      </c>
      <c r="J511" s="18">
        <v>10</v>
      </c>
    </row>
    <row r="512" spans="1:10" s="18" customFormat="1" ht="18" customHeight="1">
      <c r="A512" s="318">
        <v>42648</v>
      </c>
      <c r="B512" s="318" t="s">
        <v>861</v>
      </c>
      <c r="C512" s="318">
        <v>42648</v>
      </c>
      <c r="D512" s="383" t="s">
        <v>2069</v>
      </c>
      <c r="E512" s="318" t="s">
        <v>61</v>
      </c>
      <c r="F512" s="384">
        <v>194537</v>
      </c>
      <c r="G512" s="382">
        <v>0</v>
      </c>
      <c r="H512" s="385">
        <f t="shared" si="14"/>
        <v>123280591</v>
      </c>
      <c r="I512" s="385">
        <f t="shared" si="15"/>
        <v>0</v>
      </c>
      <c r="J512" s="18">
        <v>10</v>
      </c>
    </row>
    <row r="513" spans="1:10" s="18" customFormat="1" ht="18" customHeight="1">
      <c r="A513" s="318">
        <v>42648</v>
      </c>
      <c r="B513" s="318" t="s">
        <v>690</v>
      </c>
      <c r="C513" s="318">
        <v>42648</v>
      </c>
      <c r="D513" s="383" t="s">
        <v>2148</v>
      </c>
      <c r="E513" s="318" t="s">
        <v>25</v>
      </c>
      <c r="F513" s="384">
        <v>1000</v>
      </c>
      <c r="G513" s="382">
        <v>0</v>
      </c>
      <c r="H513" s="385">
        <f t="shared" si="14"/>
        <v>123281591</v>
      </c>
      <c r="I513" s="385">
        <f t="shared" si="15"/>
        <v>0</v>
      </c>
      <c r="J513" s="18">
        <v>10</v>
      </c>
    </row>
    <row r="514" spans="1:10" s="18" customFormat="1" ht="18" customHeight="1">
      <c r="A514" s="318">
        <v>42649</v>
      </c>
      <c r="B514" s="318" t="s">
        <v>863</v>
      </c>
      <c r="C514" s="318">
        <v>42649</v>
      </c>
      <c r="D514" s="383" t="s">
        <v>2068</v>
      </c>
      <c r="E514" s="318" t="s">
        <v>61</v>
      </c>
      <c r="F514" s="384">
        <v>35453</v>
      </c>
      <c r="G514" s="382">
        <v>0</v>
      </c>
      <c r="H514" s="385">
        <f t="shared" si="14"/>
        <v>123317044</v>
      </c>
      <c r="I514" s="385">
        <f t="shared" si="15"/>
        <v>0</v>
      </c>
      <c r="J514" s="18">
        <v>10</v>
      </c>
    </row>
    <row r="515" spans="1:10" s="18" customFormat="1" ht="18" customHeight="1">
      <c r="A515" s="318">
        <v>42650</v>
      </c>
      <c r="B515" s="318" t="s">
        <v>866</v>
      </c>
      <c r="C515" s="318">
        <v>42650</v>
      </c>
      <c r="D515" s="383" t="s">
        <v>2068</v>
      </c>
      <c r="E515" s="318" t="s">
        <v>61</v>
      </c>
      <c r="F515" s="384">
        <v>115000</v>
      </c>
      <c r="G515" s="382">
        <v>0</v>
      </c>
      <c r="H515" s="385">
        <f t="shared" si="14"/>
        <v>123432044</v>
      </c>
      <c r="I515" s="385">
        <f t="shared" si="15"/>
        <v>0</v>
      </c>
      <c r="J515" s="18">
        <v>10</v>
      </c>
    </row>
    <row r="516" spans="1:10" s="18" customFormat="1" ht="18" customHeight="1">
      <c r="A516" s="318">
        <v>42650</v>
      </c>
      <c r="B516" s="318" t="s">
        <v>867</v>
      </c>
      <c r="C516" s="318">
        <v>42650</v>
      </c>
      <c r="D516" s="383" t="s">
        <v>2071</v>
      </c>
      <c r="E516" s="318" t="s">
        <v>61</v>
      </c>
      <c r="F516" s="384">
        <v>252730</v>
      </c>
      <c r="G516" s="382">
        <v>0</v>
      </c>
      <c r="H516" s="385">
        <f t="shared" si="14"/>
        <v>123684774</v>
      </c>
      <c r="I516" s="385">
        <f t="shared" si="15"/>
        <v>0</v>
      </c>
      <c r="J516" s="18">
        <v>10</v>
      </c>
    </row>
    <row r="517" spans="1:10" s="18" customFormat="1" ht="18" customHeight="1">
      <c r="A517" s="318">
        <v>42650</v>
      </c>
      <c r="B517" s="318" t="s">
        <v>868</v>
      </c>
      <c r="C517" s="318">
        <v>42650</v>
      </c>
      <c r="D517" s="383" t="s">
        <v>2075</v>
      </c>
      <c r="E517" s="318" t="s">
        <v>61</v>
      </c>
      <c r="F517" s="384">
        <v>252730</v>
      </c>
      <c r="G517" s="382">
        <v>0</v>
      </c>
      <c r="H517" s="385">
        <f t="shared" si="14"/>
        <v>123937504</v>
      </c>
      <c r="I517" s="385">
        <f t="shared" si="15"/>
        <v>0</v>
      </c>
      <c r="J517" s="18">
        <v>10</v>
      </c>
    </row>
    <row r="518" spans="1:10" s="18" customFormat="1" ht="18" customHeight="1">
      <c r="A518" s="318">
        <v>42650</v>
      </c>
      <c r="B518" s="318" t="s">
        <v>690</v>
      </c>
      <c r="C518" s="318">
        <v>42650</v>
      </c>
      <c r="D518" s="383" t="s">
        <v>2141</v>
      </c>
      <c r="E518" s="318" t="s">
        <v>260</v>
      </c>
      <c r="F518" s="384">
        <v>6687</v>
      </c>
      <c r="G518" s="382">
        <v>0</v>
      </c>
      <c r="H518" s="385">
        <f t="shared" si="14"/>
        <v>123944191</v>
      </c>
      <c r="I518" s="385">
        <f t="shared" si="15"/>
        <v>0</v>
      </c>
      <c r="J518" s="18">
        <v>10</v>
      </c>
    </row>
    <row r="519" spans="1:10" s="18" customFormat="1" ht="18" customHeight="1">
      <c r="A519" s="318">
        <v>42650</v>
      </c>
      <c r="B519" s="318" t="s">
        <v>690</v>
      </c>
      <c r="C519" s="318">
        <v>42650</v>
      </c>
      <c r="D519" s="383" t="s">
        <v>2200</v>
      </c>
      <c r="E519" s="318" t="s">
        <v>25</v>
      </c>
      <c r="F519" s="384">
        <v>217391</v>
      </c>
      <c r="G519" s="382">
        <v>0</v>
      </c>
      <c r="H519" s="385">
        <f t="shared" si="14"/>
        <v>124161582</v>
      </c>
      <c r="I519" s="385">
        <f t="shared" si="15"/>
        <v>0</v>
      </c>
      <c r="J519" s="18">
        <v>10</v>
      </c>
    </row>
    <row r="520" spans="1:10" s="18" customFormat="1" ht="18" customHeight="1">
      <c r="A520" s="318">
        <v>42650</v>
      </c>
      <c r="B520" s="318" t="s">
        <v>690</v>
      </c>
      <c r="C520" s="318">
        <v>42650</v>
      </c>
      <c r="D520" s="383" t="s">
        <v>2148</v>
      </c>
      <c r="E520" s="318" t="s">
        <v>25</v>
      </c>
      <c r="F520" s="384">
        <v>1000</v>
      </c>
      <c r="G520" s="382">
        <v>0</v>
      </c>
      <c r="H520" s="385">
        <f t="shared" si="14"/>
        <v>124162582</v>
      </c>
      <c r="I520" s="385">
        <f t="shared" si="15"/>
        <v>0</v>
      </c>
      <c r="J520" s="18">
        <v>10</v>
      </c>
    </row>
    <row r="521" spans="1:10" s="18" customFormat="1" ht="18" customHeight="1">
      <c r="A521" s="318">
        <v>42674</v>
      </c>
      <c r="B521" s="318" t="s">
        <v>570</v>
      </c>
      <c r="C521" s="318">
        <v>42674</v>
      </c>
      <c r="D521" s="383" t="s">
        <v>2103</v>
      </c>
      <c r="E521" s="318" t="s">
        <v>8</v>
      </c>
      <c r="F521" s="384">
        <v>4680000</v>
      </c>
      <c r="G521" s="382">
        <v>0</v>
      </c>
      <c r="H521" s="385">
        <f t="shared" si="14"/>
        <v>128842582</v>
      </c>
      <c r="I521" s="385">
        <f t="shared" si="15"/>
        <v>0</v>
      </c>
      <c r="J521" s="18">
        <v>10</v>
      </c>
    </row>
    <row r="522" spans="1:10" s="18" customFormat="1" ht="18" customHeight="1">
      <c r="A522" s="318">
        <v>42650</v>
      </c>
      <c r="B522" s="318" t="s">
        <v>690</v>
      </c>
      <c r="C522" s="318">
        <v>42650</v>
      </c>
      <c r="D522" s="383" t="s">
        <v>2148</v>
      </c>
      <c r="E522" s="318" t="s">
        <v>25</v>
      </c>
      <c r="F522" s="384">
        <v>1000</v>
      </c>
      <c r="G522" s="382">
        <v>0</v>
      </c>
      <c r="H522" s="385">
        <f t="shared" si="14"/>
        <v>128843582</v>
      </c>
      <c r="I522" s="385">
        <f t="shared" si="15"/>
        <v>0</v>
      </c>
      <c r="J522" s="18">
        <v>10</v>
      </c>
    </row>
    <row r="523" spans="1:10" s="18" customFormat="1" ht="18" customHeight="1">
      <c r="A523" s="318">
        <v>42650</v>
      </c>
      <c r="B523" s="318" t="s">
        <v>690</v>
      </c>
      <c r="C523" s="318">
        <v>42650</v>
      </c>
      <c r="D523" s="383" t="s">
        <v>2148</v>
      </c>
      <c r="E523" s="318" t="s">
        <v>25</v>
      </c>
      <c r="F523" s="384">
        <v>1000</v>
      </c>
      <c r="G523" s="382">
        <v>0</v>
      </c>
      <c r="H523" s="385">
        <f t="shared" si="14"/>
        <v>128844582</v>
      </c>
      <c r="I523" s="385">
        <f t="shared" si="15"/>
        <v>0</v>
      </c>
      <c r="J523" s="18">
        <v>10</v>
      </c>
    </row>
    <row r="524" spans="1:10" s="18" customFormat="1" ht="18" customHeight="1">
      <c r="A524" s="318">
        <v>42650</v>
      </c>
      <c r="B524" s="318" t="s">
        <v>690</v>
      </c>
      <c r="C524" s="318">
        <v>42650</v>
      </c>
      <c r="D524" s="383" t="s">
        <v>2148</v>
      </c>
      <c r="E524" s="318" t="s">
        <v>25</v>
      </c>
      <c r="F524" s="384">
        <v>1000</v>
      </c>
      <c r="G524" s="382">
        <v>0</v>
      </c>
      <c r="H524" s="385">
        <f t="shared" si="14"/>
        <v>128845582</v>
      </c>
      <c r="I524" s="385">
        <f t="shared" si="15"/>
        <v>0</v>
      </c>
      <c r="J524" s="18">
        <v>10</v>
      </c>
    </row>
    <row r="525" spans="1:10" s="18" customFormat="1" ht="18" customHeight="1">
      <c r="A525" s="318">
        <v>42653</v>
      </c>
      <c r="B525" s="318" t="s">
        <v>570</v>
      </c>
      <c r="C525" s="318">
        <v>42653</v>
      </c>
      <c r="D525" s="383" t="s">
        <v>1046</v>
      </c>
      <c r="E525" s="318" t="s">
        <v>576</v>
      </c>
      <c r="F525" s="384">
        <v>164835</v>
      </c>
      <c r="G525" s="382">
        <v>0</v>
      </c>
      <c r="H525" s="385">
        <f t="shared" si="14"/>
        <v>129010417</v>
      </c>
      <c r="I525" s="385">
        <f t="shared" si="15"/>
        <v>0</v>
      </c>
      <c r="J525" s="18">
        <v>10</v>
      </c>
    </row>
    <row r="526" spans="1:10" s="18" customFormat="1" ht="18" customHeight="1">
      <c r="A526" s="318">
        <v>42653</v>
      </c>
      <c r="B526" s="318" t="s">
        <v>570</v>
      </c>
      <c r="C526" s="318">
        <v>42653</v>
      </c>
      <c r="D526" s="383" t="s">
        <v>1174</v>
      </c>
      <c r="E526" s="318" t="s">
        <v>576</v>
      </c>
      <c r="F526" s="384">
        <v>22275</v>
      </c>
      <c r="G526" s="382">
        <v>0</v>
      </c>
      <c r="H526" s="385">
        <f t="shared" si="14"/>
        <v>129032692</v>
      </c>
      <c r="I526" s="385">
        <f t="shared" si="15"/>
        <v>0</v>
      </c>
      <c r="J526" s="18">
        <v>10</v>
      </c>
    </row>
    <row r="527" spans="1:10" s="18" customFormat="1" ht="18" customHeight="1">
      <c r="A527" s="318">
        <v>42653</v>
      </c>
      <c r="B527" s="318" t="s">
        <v>570</v>
      </c>
      <c r="C527" s="318">
        <v>42653</v>
      </c>
      <c r="D527" s="383" t="s">
        <v>1176</v>
      </c>
      <c r="E527" s="318" t="s">
        <v>576</v>
      </c>
      <c r="F527" s="384">
        <v>115830</v>
      </c>
      <c r="G527" s="382">
        <v>0</v>
      </c>
      <c r="H527" s="385">
        <f t="shared" si="14"/>
        <v>129148522</v>
      </c>
      <c r="I527" s="385">
        <f t="shared" si="15"/>
        <v>0</v>
      </c>
      <c r="J527" s="18">
        <v>10</v>
      </c>
    </row>
    <row r="528" spans="1:10" s="18" customFormat="1" ht="18" customHeight="1">
      <c r="A528" s="318">
        <v>42653</v>
      </c>
      <c r="B528" s="318" t="s">
        <v>690</v>
      </c>
      <c r="C528" s="318">
        <v>42653</v>
      </c>
      <c r="D528" s="383" t="s">
        <v>2148</v>
      </c>
      <c r="E528" s="318" t="s">
        <v>25</v>
      </c>
      <c r="F528" s="384">
        <v>1000</v>
      </c>
      <c r="G528" s="382">
        <v>0</v>
      </c>
      <c r="H528" s="385">
        <f t="shared" ref="H528:H591" si="16">IF(D528&lt;&gt;"",MAX(H527+F528-G528-I527,0),0)</f>
        <v>129149522</v>
      </c>
      <c r="I528" s="385">
        <f t="shared" ref="I528:I591" si="17">IF(D528&lt;&gt;"",MAX(I527+G528-H527-F528,0),0)</f>
        <v>0</v>
      </c>
      <c r="J528" s="18">
        <v>10</v>
      </c>
    </row>
    <row r="529" spans="1:10" s="18" customFormat="1" ht="18" customHeight="1">
      <c r="A529" s="318">
        <v>42656</v>
      </c>
      <c r="B529" s="318" t="s">
        <v>874</v>
      </c>
      <c r="C529" s="318">
        <v>42656</v>
      </c>
      <c r="D529" s="383" t="s">
        <v>986</v>
      </c>
      <c r="E529" s="318" t="s">
        <v>61</v>
      </c>
      <c r="F529" s="384">
        <v>119273</v>
      </c>
      <c r="G529" s="382">
        <v>0</v>
      </c>
      <c r="H529" s="385">
        <f t="shared" si="16"/>
        <v>129268795</v>
      </c>
      <c r="I529" s="385">
        <f t="shared" si="17"/>
        <v>0</v>
      </c>
      <c r="J529" s="18">
        <v>10</v>
      </c>
    </row>
    <row r="530" spans="1:10" s="18" customFormat="1" ht="18" customHeight="1">
      <c r="A530" s="318">
        <v>42656</v>
      </c>
      <c r="B530" s="318" t="s">
        <v>875</v>
      </c>
      <c r="C530" s="318">
        <v>42656</v>
      </c>
      <c r="D530" s="383" t="s">
        <v>1335</v>
      </c>
      <c r="E530" s="318" t="s">
        <v>61</v>
      </c>
      <c r="F530" s="384">
        <v>884091</v>
      </c>
      <c r="G530" s="382">
        <v>0</v>
      </c>
      <c r="H530" s="385">
        <f t="shared" si="16"/>
        <v>130152886</v>
      </c>
      <c r="I530" s="385">
        <f t="shared" si="17"/>
        <v>0</v>
      </c>
      <c r="J530" s="18">
        <v>10</v>
      </c>
    </row>
    <row r="531" spans="1:10" s="18" customFormat="1" ht="18" customHeight="1">
      <c r="A531" s="318">
        <v>42659</v>
      </c>
      <c r="B531" s="318" t="s">
        <v>877</v>
      </c>
      <c r="C531" s="318">
        <v>42659</v>
      </c>
      <c r="D531" s="383" t="s">
        <v>2031</v>
      </c>
      <c r="E531" s="318" t="s">
        <v>61</v>
      </c>
      <c r="F531" s="384">
        <v>300125</v>
      </c>
      <c r="G531" s="382">
        <v>0</v>
      </c>
      <c r="H531" s="385">
        <f t="shared" si="16"/>
        <v>130453011</v>
      </c>
      <c r="I531" s="385">
        <f t="shared" si="17"/>
        <v>0</v>
      </c>
      <c r="J531" s="18">
        <v>10</v>
      </c>
    </row>
    <row r="532" spans="1:10" s="18" customFormat="1" ht="18" customHeight="1">
      <c r="A532" s="318">
        <v>42661</v>
      </c>
      <c r="B532" s="318" t="s">
        <v>880</v>
      </c>
      <c r="C532" s="318">
        <v>42661</v>
      </c>
      <c r="D532" s="383" t="s">
        <v>762</v>
      </c>
      <c r="E532" s="318" t="s">
        <v>61</v>
      </c>
      <c r="F532" s="384">
        <v>93273</v>
      </c>
      <c r="G532" s="382">
        <v>0</v>
      </c>
      <c r="H532" s="385">
        <f t="shared" si="16"/>
        <v>130546284</v>
      </c>
      <c r="I532" s="385">
        <f t="shared" si="17"/>
        <v>0</v>
      </c>
      <c r="J532" s="18">
        <v>10</v>
      </c>
    </row>
    <row r="533" spans="1:10" s="18" customFormat="1" ht="18" customHeight="1">
      <c r="A533" s="318">
        <v>42662</v>
      </c>
      <c r="B533" s="318" t="s">
        <v>883</v>
      </c>
      <c r="C533" s="318">
        <v>42662</v>
      </c>
      <c r="D533" s="383" t="s">
        <v>1123</v>
      </c>
      <c r="E533" s="318" t="s">
        <v>61</v>
      </c>
      <c r="F533" s="384">
        <v>315714</v>
      </c>
      <c r="G533" s="382">
        <v>0</v>
      </c>
      <c r="H533" s="385">
        <f t="shared" si="16"/>
        <v>130861998</v>
      </c>
      <c r="I533" s="385">
        <f t="shared" si="17"/>
        <v>0</v>
      </c>
      <c r="J533" s="18">
        <v>10</v>
      </c>
    </row>
    <row r="534" spans="1:10" s="18" customFormat="1" ht="18" customHeight="1">
      <c r="A534" s="318">
        <v>42662</v>
      </c>
      <c r="B534" s="318" t="s">
        <v>884</v>
      </c>
      <c r="C534" s="318">
        <v>42662</v>
      </c>
      <c r="D534" s="383" t="s">
        <v>2031</v>
      </c>
      <c r="E534" s="318" t="s">
        <v>61</v>
      </c>
      <c r="F534" s="384">
        <v>153245</v>
      </c>
      <c r="G534" s="382">
        <v>0</v>
      </c>
      <c r="H534" s="385">
        <f t="shared" si="16"/>
        <v>131015243</v>
      </c>
      <c r="I534" s="385">
        <f t="shared" si="17"/>
        <v>0</v>
      </c>
      <c r="J534" s="18">
        <v>10</v>
      </c>
    </row>
    <row r="535" spans="1:10" s="18" customFormat="1" ht="18" customHeight="1">
      <c r="A535" s="318">
        <v>42662</v>
      </c>
      <c r="B535" s="318" t="s">
        <v>690</v>
      </c>
      <c r="C535" s="318">
        <v>42662</v>
      </c>
      <c r="D535" s="383" t="s">
        <v>2148</v>
      </c>
      <c r="E535" s="318" t="s">
        <v>25</v>
      </c>
      <c r="F535" s="384">
        <v>2000</v>
      </c>
      <c r="G535" s="382">
        <v>0</v>
      </c>
      <c r="H535" s="385">
        <f t="shared" si="16"/>
        <v>131017243</v>
      </c>
      <c r="I535" s="385">
        <f t="shared" si="17"/>
        <v>0</v>
      </c>
      <c r="J535" s="18">
        <v>10</v>
      </c>
    </row>
    <row r="536" spans="1:10" s="18" customFormat="1" ht="18" customHeight="1">
      <c r="A536" s="318">
        <v>42662</v>
      </c>
      <c r="B536" s="318" t="s">
        <v>690</v>
      </c>
      <c r="C536" s="318">
        <v>42662</v>
      </c>
      <c r="D536" s="383" t="s">
        <v>2148</v>
      </c>
      <c r="E536" s="318" t="s">
        <v>25</v>
      </c>
      <c r="F536" s="384">
        <v>2288</v>
      </c>
      <c r="G536" s="382">
        <v>0</v>
      </c>
      <c r="H536" s="385">
        <f t="shared" si="16"/>
        <v>131019531</v>
      </c>
      <c r="I536" s="385">
        <f t="shared" si="17"/>
        <v>0</v>
      </c>
      <c r="J536" s="18">
        <v>10</v>
      </c>
    </row>
    <row r="537" spans="1:10" s="18" customFormat="1" ht="18" customHeight="1">
      <c r="A537" s="318">
        <v>42662</v>
      </c>
      <c r="B537" s="318" t="s">
        <v>690</v>
      </c>
      <c r="C537" s="318">
        <v>42662</v>
      </c>
      <c r="D537" s="383" t="s">
        <v>2148</v>
      </c>
      <c r="E537" s="318" t="s">
        <v>25</v>
      </c>
      <c r="F537" s="384">
        <v>2000</v>
      </c>
      <c r="G537" s="382">
        <v>0</v>
      </c>
      <c r="H537" s="385">
        <f t="shared" si="16"/>
        <v>131021531</v>
      </c>
      <c r="I537" s="385">
        <f t="shared" si="17"/>
        <v>0</v>
      </c>
      <c r="J537" s="18">
        <v>10</v>
      </c>
    </row>
    <row r="538" spans="1:10" s="18" customFormat="1" ht="18" customHeight="1">
      <c r="A538" s="318">
        <v>42662</v>
      </c>
      <c r="B538" s="318" t="s">
        <v>690</v>
      </c>
      <c r="C538" s="318">
        <v>42662</v>
      </c>
      <c r="D538" s="383" t="s">
        <v>2148</v>
      </c>
      <c r="E538" s="318" t="s">
        <v>25</v>
      </c>
      <c r="F538" s="384">
        <v>4000</v>
      </c>
      <c r="G538" s="382">
        <v>0</v>
      </c>
      <c r="H538" s="385">
        <f t="shared" si="16"/>
        <v>131025531</v>
      </c>
      <c r="I538" s="385">
        <f t="shared" si="17"/>
        <v>0</v>
      </c>
      <c r="J538" s="18">
        <v>10</v>
      </c>
    </row>
    <row r="539" spans="1:10" s="18" customFormat="1" ht="18" customHeight="1">
      <c r="A539" s="318">
        <v>42667</v>
      </c>
      <c r="B539" s="318" t="s">
        <v>690</v>
      </c>
      <c r="C539" s="318">
        <v>42667</v>
      </c>
      <c r="D539" s="383" t="s">
        <v>1616</v>
      </c>
      <c r="E539" s="318" t="s">
        <v>25</v>
      </c>
      <c r="F539" s="384">
        <v>2000</v>
      </c>
      <c r="G539" s="382">
        <v>0</v>
      </c>
      <c r="H539" s="385">
        <f t="shared" si="16"/>
        <v>131027531</v>
      </c>
      <c r="I539" s="385">
        <f t="shared" si="17"/>
        <v>0</v>
      </c>
      <c r="J539" s="18">
        <v>10</v>
      </c>
    </row>
    <row r="540" spans="1:10" s="18" customFormat="1" ht="18" customHeight="1">
      <c r="A540" s="318">
        <v>42667</v>
      </c>
      <c r="B540" s="318" t="s">
        <v>690</v>
      </c>
      <c r="C540" s="318">
        <v>42667</v>
      </c>
      <c r="D540" s="383" t="s">
        <v>1616</v>
      </c>
      <c r="E540" s="318" t="s">
        <v>25</v>
      </c>
      <c r="F540" s="384">
        <v>2000</v>
      </c>
      <c r="G540" s="382">
        <v>0</v>
      </c>
      <c r="H540" s="385">
        <f t="shared" si="16"/>
        <v>131029531</v>
      </c>
      <c r="I540" s="385">
        <f t="shared" si="17"/>
        <v>0</v>
      </c>
      <c r="J540" s="18">
        <v>10</v>
      </c>
    </row>
    <row r="541" spans="1:10" s="18" customFormat="1" ht="18" customHeight="1">
      <c r="A541" s="318">
        <v>42670</v>
      </c>
      <c r="B541" s="318" t="s">
        <v>894</v>
      </c>
      <c r="C541" s="318">
        <v>42670</v>
      </c>
      <c r="D541" s="383" t="s">
        <v>2087</v>
      </c>
      <c r="E541" s="318" t="s">
        <v>61</v>
      </c>
      <c r="F541" s="384">
        <v>1605000</v>
      </c>
      <c r="G541" s="382">
        <v>0</v>
      </c>
      <c r="H541" s="385">
        <f t="shared" si="16"/>
        <v>132634531</v>
      </c>
      <c r="I541" s="385">
        <f t="shared" si="17"/>
        <v>0</v>
      </c>
      <c r="J541" s="18">
        <v>10</v>
      </c>
    </row>
    <row r="542" spans="1:10" s="18" customFormat="1" ht="18" customHeight="1">
      <c r="A542" s="318">
        <v>42673</v>
      </c>
      <c r="B542" s="318" t="s">
        <v>898</v>
      </c>
      <c r="C542" s="318">
        <v>42673</v>
      </c>
      <c r="D542" s="383" t="s">
        <v>2031</v>
      </c>
      <c r="E542" s="318" t="s">
        <v>61</v>
      </c>
      <c r="F542" s="384">
        <v>367444</v>
      </c>
      <c r="G542" s="382">
        <v>0</v>
      </c>
      <c r="H542" s="385">
        <f t="shared" si="16"/>
        <v>133001975</v>
      </c>
      <c r="I542" s="385">
        <f t="shared" si="17"/>
        <v>0</v>
      </c>
      <c r="J542" s="18">
        <v>10</v>
      </c>
    </row>
    <row r="543" spans="1:10" s="18" customFormat="1" ht="18" customHeight="1">
      <c r="A543" s="318">
        <v>42674</v>
      </c>
      <c r="B543" s="318" t="s">
        <v>899</v>
      </c>
      <c r="C543" s="318">
        <v>42668</v>
      </c>
      <c r="D543" s="383" t="s">
        <v>2135</v>
      </c>
      <c r="E543" s="318" t="s">
        <v>61</v>
      </c>
      <c r="F543" s="384">
        <v>29865</v>
      </c>
      <c r="G543" s="382">
        <v>0</v>
      </c>
      <c r="H543" s="385">
        <f t="shared" si="16"/>
        <v>133031840</v>
      </c>
      <c r="I543" s="385">
        <f t="shared" si="17"/>
        <v>0</v>
      </c>
      <c r="J543" s="18">
        <v>10</v>
      </c>
    </row>
    <row r="544" spans="1:10" s="18" customFormat="1" ht="18" customHeight="1">
      <c r="A544" s="318">
        <v>42674</v>
      </c>
      <c r="B544" s="318" t="s">
        <v>948</v>
      </c>
      <c r="C544" s="318">
        <v>42674</v>
      </c>
      <c r="D544" s="383" t="s">
        <v>1342</v>
      </c>
      <c r="E544" s="318" t="s">
        <v>61</v>
      </c>
      <c r="F544" s="384">
        <v>218636</v>
      </c>
      <c r="G544" s="382">
        <v>0</v>
      </c>
      <c r="H544" s="385">
        <f t="shared" si="16"/>
        <v>133250476</v>
      </c>
      <c r="I544" s="385">
        <f t="shared" si="17"/>
        <v>0</v>
      </c>
      <c r="J544" s="18">
        <v>10</v>
      </c>
    </row>
    <row r="545" spans="1:10" s="18" customFormat="1" ht="18" customHeight="1">
      <c r="A545" s="318">
        <v>42674</v>
      </c>
      <c r="B545" s="318" t="s">
        <v>951</v>
      </c>
      <c r="C545" s="318">
        <v>42643</v>
      </c>
      <c r="D545" s="383" t="s">
        <v>755</v>
      </c>
      <c r="E545" s="318" t="s">
        <v>61</v>
      </c>
      <c r="F545" s="384">
        <v>400000</v>
      </c>
      <c r="G545" s="382">
        <v>0</v>
      </c>
      <c r="H545" s="385">
        <f t="shared" si="16"/>
        <v>133650476</v>
      </c>
      <c r="I545" s="385">
        <f t="shared" si="17"/>
        <v>0</v>
      </c>
      <c r="J545" s="18">
        <v>10</v>
      </c>
    </row>
    <row r="546" spans="1:10" s="18" customFormat="1" ht="18" customHeight="1">
      <c r="A546" s="318">
        <v>42674</v>
      </c>
      <c r="B546" s="318" t="s">
        <v>951</v>
      </c>
      <c r="C546" s="318">
        <v>42674</v>
      </c>
      <c r="D546" s="383" t="s">
        <v>755</v>
      </c>
      <c r="E546" s="318" t="s">
        <v>61</v>
      </c>
      <c r="F546" s="384">
        <v>400000</v>
      </c>
      <c r="G546" s="382">
        <v>0</v>
      </c>
      <c r="H546" s="385">
        <f t="shared" si="16"/>
        <v>134050476</v>
      </c>
      <c r="I546" s="385">
        <f t="shared" si="17"/>
        <v>0</v>
      </c>
      <c r="J546" s="18">
        <v>10</v>
      </c>
    </row>
    <row r="547" spans="1:10" s="18" customFormat="1" ht="18" customHeight="1">
      <c r="A547" s="318">
        <v>42674</v>
      </c>
      <c r="B547" s="318" t="s">
        <v>951</v>
      </c>
      <c r="C547" s="318">
        <v>42674</v>
      </c>
      <c r="D547" s="383" t="s">
        <v>755</v>
      </c>
      <c r="E547" s="318" t="s">
        <v>61</v>
      </c>
      <c r="F547" s="384">
        <v>400000</v>
      </c>
      <c r="G547" s="382">
        <v>0</v>
      </c>
      <c r="H547" s="385">
        <f t="shared" si="16"/>
        <v>134450476</v>
      </c>
      <c r="I547" s="385">
        <f t="shared" si="17"/>
        <v>0</v>
      </c>
      <c r="J547" s="18">
        <v>10</v>
      </c>
    </row>
    <row r="548" spans="1:10" s="18" customFormat="1" ht="18" customHeight="1">
      <c r="A548" s="318">
        <v>42674</v>
      </c>
      <c r="B548" s="318" t="s">
        <v>690</v>
      </c>
      <c r="C548" s="318">
        <v>42674</v>
      </c>
      <c r="D548" s="383" t="s">
        <v>2145</v>
      </c>
      <c r="E548" s="318" t="s">
        <v>260</v>
      </c>
      <c r="F548" s="384">
        <v>122595</v>
      </c>
      <c r="G548" s="382">
        <v>0</v>
      </c>
      <c r="H548" s="385">
        <f t="shared" si="16"/>
        <v>134573071</v>
      </c>
      <c r="I548" s="385">
        <f t="shared" si="17"/>
        <v>0</v>
      </c>
      <c r="J548" s="18">
        <v>10</v>
      </c>
    </row>
    <row r="549" spans="1:10" s="18" customFormat="1" ht="18" customHeight="1">
      <c r="A549" s="318">
        <v>42704</v>
      </c>
      <c r="B549" s="318" t="s">
        <v>113</v>
      </c>
      <c r="C549" s="318">
        <v>42704</v>
      </c>
      <c r="D549" s="383" t="s">
        <v>2552</v>
      </c>
      <c r="E549" s="318" t="s">
        <v>915</v>
      </c>
      <c r="F549" s="384">
        <v>0</v>
      </c>
      <c r="G549" s="382">
        <v>68769000</v>
      </c>
      <c r="H549" s="385">
        <f t="shared" si="16"/>
        <v>65804071</v>
      </c>
      <c r="I549" s="385">
        <f t="shared" si="17"/>
        <v>0</v>
      </c>
      <c r="J549" s="18">
        <v>11</v>
      </c>
    </row>
    <row r="550" spans="1:10" s="18" customFormat="1" ht="18" customHeight="1">
      <c r="A550" s="318">
        <v>42683</v>
      </c>
      <c r="B550" s="318" t="s">
        <v>664</v>
      </c>
      <c r="C550" s="318">
        <v>42683</v>
      </c>
      <c r="D550" s="383" t="s">
        <v>637</v>
      </c>
      <c r="E550" s="318" t="s">
        <v>8</v>
      </c>
      <c r="F550" s="384">
        <v>1800000</v>
      </c>
      <c r="G550" s="382">
        <v>0</v>
      </c>
      <c r="H550" s="385">
        <f t="shared" si="16"/>
        <v>67604071</v>
      </c>
      <c r="I550" s="385">
        <f t="shared" si="17"/>
        <v>0</v>
      </c>
      <c r="J550" s="18">
        <v>11</v>
      </c>
    </row>
    <row r="551" spans="1:10" s="18" customFormat="1" ht="18" customHeight="1">
      <c r="A551" s="318">
        <v>42689</v>
      </c>
      <c r="B551" s="318" t="s">
        <v>2499</v>
      </c>
      <c r="C551" s="318">
        <v>42689</v>
      </c>
      <c r="D551" s="383" t="s">
        <v>637</v>
      </c>
      <c r="E551" s="318" t="s">
        <v>8</v>
      </c>
      <c r="F551" s="384">
        <v>1755000</v>
      </c>
      <c r="G551" s="382">
        <v>0</v>
      </c>
      <c r="H551" s="385">
        <f t="shared" si="16"/>
        <v>69359071</v>
      </c>
      <c r="I551" s="385">
        <f t="shared" si="17"/>
        <v>0</v>
      </c>
      <c r="J551" s="18">
        <v>11</v>
      </c>
    </row>
    <row r="552" spans="1:10" s="18" customFormat="1" ht="18" customHeight="1">
      <c r="A552" s="318">
        <v>42684</v>
      </c>
      <c r="B552" s="318" t="s">
        <v>665</v>
      </c>
      <c r="C552" s="318">
        <v>42684</v>
      </c>
      <c r="D552" s="383" t="s">
        <v>637</v>
      </c>
      <c r="E552" s="318" t="s">
        <v>8</v>
      </c>
      <c r="F552" s="384">
        <v>1800000</v>
      </c>
      <c r="G552" s="382">
        <v>0</v>
      </c>
      <c r="H552" s="385">
        <f t="shared" si="16"/>
        <v>71159071</v>
      </c>
      <c r="I552" s="385">
        <f t="shared" si="17"/>
        <v>0</v>
      </c>
      <c r="J552" s="18">
        <v>11</v>
      </c>
    </row>
    <row r="553" spans="1:10" s="18" customFormat="1" ht="18" customHeight="1">
      <c r="A553" s="318">
        <v>42693</v>
      </c>
      <c r="B553" s="318" t="s">
        <v>2502</v>
      </c>
      <c r="C553" s="318">
        <v>42693</v>
      </c>
      <c r="D553" s="383" t="s">
        <v>637</v>
      </c>
      <c r="E553" s="318" t="s">
        <v>8</v>
      </c>
      <c r="F553" s="384">
        <v>1800000</v>
      </c>
      <c r="G553" s="382">
        <v>0</v>
      </c>
      <c r="H553" s="385">
        <f t="shared" si="16"/>
        <v>72959071</v>
      </c>
      <c r="I553" s="385">
        <f t="shared" si="17"/>
        <v>0</v>
      </c>
      <c r="J553" s="18">
        <v>11</v>
      </c>
    </row>
    <row r="554" spans="1:10" s="18" customFormat="1" ht="18" customHeight="1">
      <c r="A554" s="318">
        <v>42701</v>
      </c>
      <c r="B554" s="318" t="s">
        <v>2506</v>
      </c>
      <c r="C554" s="318">
        <v>42701</v>
      </c>
      <c r="D554" s="383" t="s">
        <v>637</v>
      </c>
      <c r="E554" s="318" t="s">
        <v>8</v>
      </c>
      <c r="F554" s="384">
        <v>1800000</v>
      </c>
      <c r="G554" s="382">
        <v>0</v>
      </c>
      <c r="H554" s="385">
        <f t="shared" si="16"/>
        <v>74759071</v>
      </c>
      <c r="I554" s="385">
        <f t="shared" si="17"/>
        <v>0</v>
      </c>
      <c r="J554" s="18">
        <v>11</v>
      </c>
    </row>
    <row r="555" spans="1:10" s="18" customFormat="1" ht="18" customHeight="1">
      <c r="A555" s="318">
        <v>42702</v>
      </c>
      <c r="B555" s="318" t="s">
        <v>2515</v>
      </c>
      <c r="C555" s="318">
        <v>42702</v>
      </c>
      <c r="D555" s="383" t="s">
        <v>637</v>
      </c>
      <c r="E555" s="318" t="s">
        <v>8</v>
      </c>
      <c r="F555" s="384">
        <v>765000</v>
      </c>
      <c r="G555" s="382">
        <v>0</v>
      </c>
      <c r="H555" s="385">
        <f t="shared" si="16"/>
        <v>75524071</v>
      </c>
      <c r="I555" s="385">
        <f t="shared" si="17"/>
        <v>0</v>
      </c>
      <c r="J555" s="18">
        <v>11</v>
      </c>
    </row>
    <row r="556" spans="1:10" s="18" customFormat="1" ht="18" customHeight="1">
      <c r="A556" s="318">
        <v>42697</v>
      </c>
      <c r="B556" s="318" t="s">
        <v>2504</v>
      </c>
      <c r="C556" s="318">
        <v>42697</v>
      </c>
      <c r="D556" s="383" t="s">
        <v>637</v>
      </c>
      <c r="E556" s="318" t="s">
        <v>8</v>
      </c>
      <c r="F556" s="384">
        <v>1508850</v>
      </c>
      <c r="G556" s="382">
        <v>0</v>
      </c>
      <c r="H556" s="385">
        <f t="shared" si="16"/>
        <v>77032921</v>
      </c>
      <c r="I556" s="385">
        <f t="shared" si="17"/>
        <v>0</v>
      </c>
      <c r="J556" s="18">
        <v>11</v>
      </c>
    </row>
    <row r="557" spans="1:10" s="18" customFormat="1" ht="18" customHeight="1">
      <c r="A557" s="318">
        <v>42703</v>
      </c>
      <c r="B557" s="318" t="s">
        <v>2516</v>
      </c>
      <c r="C557" s="318">
        <v>42703</v>
      </c>
      <c r="D557" s="383" t="s">
        <v>637</v>
      </c>
      <c r="E557" s="318" t="s">
        <v>8</v>
      </c>
      <c r="F557" s="384">
        <v>1800000</v>
      </c>
      <c r="G557" s="382">
        <v>0</v>
      </c>
      <c r="H557" s="385">
        <f t="shared" si="16"/>
        <v>78832921</v>
      </c>
      <c r="I557" s="385">
        <f t="shared" si="17"/>
        <v>0</v>
      </c>
      <c r="J557" s="18">
        <v>11</v>
      </c>
    </row>
    <row r="558" spans="1:10" s="18" customFormat="1" ht="18" customHeight="1">
      <c r="A558" s="318">
        <v>42685</v>
      </c>
      <c r="B558" s="318" t="s">
        <v>667</v>
      </c>
      <c r="C558" s="318">
        <v>42685</v>
      </c>
      <c r="D558" s="383" t="s">
        <v>637</v>
      </c>
      <c r="E558" s="318" t="s">
        <v>8</v>
      </c>
      <c r="F558" s="384">
        <v>5351170</v>
      </c>
      <c r="G558" s="382">
        <v>0</v>
      </c>
      <c r="H558" s="385">
        <f t="shared" si="16"/>
        <v>84184091</v>
      </c>
      <c r="I558" s="385">
        <f t="shared" si="17"/>
        <v>0</v>
      </c>
      <c r="J558" s="18">
        <v>11</v>
      </c>
    </row>
    <row r="559" spans="1:10" s="18" customFormat="1" ht="18" customHeight="1">
      <c r="A559" s="318">
        <v>42677</v>
      </c>
      <c r="B559" s="318" t="s">
        <v>570</v>
      </c>
      <c r="C559" s="318">
        <v>42677</v>
      </c>
      <c r="D559" s="383" t="s">
        <v>2281</v>
      </c>
      <c r="E559" s="318" t="s">
        <v>8</v>
      </c>
      <c r="F559" s="384">
        <v>52000000</v>
      </c>
      <c r="G559" s="382">
        <v>0</v>
      </c>
      <c r="H559" s="385">
        <f t="shared" si="16"/>
        <v>136184091</v>
      </c>
      <c r="I559" s="385">
        <f t="shared" si="17"/>
        <v>0</v>
      </c>
      <c r="J559" s="18">
        <v>11</v>
      </c>
    </row>
    <row r="560" spans="1:10" s="18" customFormat="1" ht="18" customHeight="1">
      <c r="A560" s="318">
        <v>42681</v>
      </c>
      <c r="B560" s="318" t="s">
        <v>570</v>
      </c>
      <c r="C560" s="318">
        <v>42681</v>
      </c>
      <c r="D560" s="383" t="s">
        <v>2281</v>
      </c>
      <c r="E560" s="318" t="s">
        <v>8</v>
      </c>
      <c r="F560" s="384">
        <v>26000000</v>
      </c>
      <c r="G560" s="382">
        <v>0</v>
      </c>
      <c r="H560" s="385">
        <f t="shared" si="16"/>
        <v>162184091</v>
      </c>
      <c r="I560" s="385">
        <f t="shared" si="17"/>
        <v>0</v>
      </c>
      <c r="J560" s="18">
        <v>11</v>
      </c>
    </row>
    <row r="561" spans="1:10" s="18" customFormat="1" ht="18" customHeight="1">
      <c r="A561" s="318">
        <v>42683</v>
      </c>
      <c r="B561" s="318" t="s">
        <v>570</v>
      </c>
      <c r="C561" s="318">
        <v>42683</v>
      </c>
      <c r="D561" s="383" t="s">
        <v>625</v>
      </c>
      <c r="E561" s="318" t="s">
        <v>8</v>
      </c>
      <c r="F561" s="384">
        <v>200000</v>
      </c>
      <c r="G561" s="382">
        <v>0</v>
      </c>
      <c r="H561" s="385">
        <f t="shared" si="16"/>
        <v>162384091</v>
      </c>
      <c r="I561" s="385">
        <f t="shared" si="17"/>
        <v>0</v>
      </c>
      <c r="J561" s="18">
        <v>11</v>
      </c>
    </row>
    <row r="562" spans="1:10" s="18" customFormat="1" ht="18" customHeight="1">
      <c r="A562" s="318">
        <v>42685</v>
      </c>
      <c r="B562" s="318" t="s">
        <v>570</v>
      </c>
      <c r="C562" s="318">
        <v>42685</v>
      </c>
      <c r="D562" s="383" t="s">
        <v>2184</v>
      </c>
      <c r="E562" s="318" t="s">
        <v>8</v>
      </c>
      <c r="F562" s="384">
        <v>378499</v>
      </c>
      <c r="G562" s="382">
        <v>0</v>
      </c>
      <c r="H562" s="385">
        <f t="shared" si="16"/>
        <v>162762590</v>
      </c>
      <c r="I562" s="385">
        <f t="shared" si="17"/>
        <v>0</v>
      </c>
      <c r="J562" s="18">
        <v>11</v>
      </c>
    </row>
    <row r="563" spans="1:10" s="18" customFormat="1" ht="18" customHeight="1">
      <c r="A563" s="318">
        <v>42682</v>
      </c>
      <c r="B563" s="318" t="s">
        <v>570</v>
      </c>
      <c r="C563" s="318">
        <v>42682</v>
      </c>
      <c r="D563" s="383" t="s">
        <v>2191</v>
      </c>
      <c r="E563" s="318" t="s">
        <v>8</v>
      </c>
      <c r="F563" s="384">
        <v>1988249</v>
      </c>
      <c r="G563" s="382">
        <v>0</v>
      </c>
      <c r="H563" s="385">
        <f t="shared" si="16"/>
        <v>164750839</v>
      </c>
      <c r="I563" s="385">
        <f t="shared" si="17"/>
        <v>0</v>
      </c>
      <c r="J563" s="18">
        <v>11</v>
      </c>
    </row>
    <row r="564" spans="1:10" s="18" customFormat="1" ht="18" customHeight="1">
      <c r="A564" s="318">
        <v>42682</v>
      </c>
      <c r="B564" s="318" t="s">
        <v>570</v>
      </c>
      <c r="C564" s="318">
        <v>42682</v>
      </c>
      <c r="D564" s="383" t="s">
        <v>2193</v>
      </c>
      <c r="E564" s="318" t="s">
        <v>8</v>
      </c>
      <c r="F564" s="384">
        <v>3891510</v>
      </c>
      <c r="G564" s="382">
        <v>0</v>
      </c>
      <c r="H564" s="385">
        <f t="shared" si="16"/>
        <v>168642349</v>
      </c>
      <c r="I564" s="385">
        <f t="shared" si="17"/>
        <v>0</v>
      </c>
      <c r="J564" s="18">
        <v>11</v>
      </c>
    </row>
    <row r="565" spans="1:10" s="18" customFormat="1" ht="18" customHeight="1">
      <c r="A565" s="318">
        <v>42692</v>
      </c>
      <c r="B565" s="318" t="s">
        <v>570</v>
      </c>
      <c r="C565" s="318">
        <v>42692</v>
      </c>
      <c r="D565" s="383" t="s">
        <v>2191</v>
      </c>
      <c r="E565" s="318" t="s">
        <v>8</v>
      </c>
      <c r="F565" s="384">
        <v>1995361</v>
      </c>
      <c r="G565" s="382">
        <v>0</v>
      </c>
      <c r="H565" s="385">
        <f t="shared" si="16"/>
        <v>170637710</v>
      </c>
      <c r="I565" s="385">
        <f t="shared" si="17"/>
        <v>0</v>
      </c>
      <c r="J565" s="18">
        <v>11</v>
      </c>
    </row>
    <row r="566" spans="1:10" s="18" customFormat="1" ht="18" customHeight="1">
      <c r="A566" s="318">
        <v>42689</v>
      </c>
      <c r="B566" s="318" t="s">
        <v>570</v>
      </c>
      <c r="C566" s="318">
        <v>42689</v>
      </c>
      <c r="D566" s="383" t="s">
        <v>2281</v>
      </c>
      <c r="E566" s="318" t="s">
        <v>8</v>
      </c>
      <c r="F566" s="384">
        <v>26000000</v>
      </c>
      <c r="G566" s="382">
        <v>0</v>
      </c>
      <c r="H566" s="385">
        <f t="shared" si="16"/>
        <v>196637710</v>
      </c>
      <c r="I566" s="385">
        <f t="shared" si="17"/>
        <v>0</v>
      </c>
      <c r="J566" s="18">
        <v>11</v>
      </c>
    </row>
    <row r="567" spans="1:10" s="18" customFormat="1" ht="18" customHeight="1">
      <c r="A567" s="318">
        <v>42698</v>
      </c>
      <c r="B567" s="318" t="s">
        <v>570</v>
      </c>
      <c r="C567" s="318">
        <v>42698</v>
      </c>
      <c r="D567" s="383" t="s">
        <v>2281</v>
      </c>
      <c r="E567" s="318" t="s">
        <v>8</v>
      </c>
      <c r="F567" s="384">
        <v>26000000</v>
      </c>
      <c r="G567" s="382">
        <v>0</v>
      </c>
      <c r="H567" s="385">
        <f t="shared" si="16"/>
        <v>222637710</v>
      </c>
      <c r="I567" s="385">
        <f t="shared" si="17"/>
        <v>0</v>
      </c>
      <c r="J567" s="18">
        <v>11</v>
      </c>
    </row>
    <row r="568" spans="1:10" s="18" customFormat="1" ht="18" customHeight="1">
      <c r="A568" s="318">
        <v>42704</v>
      </c>
      <c r="B568" s="318" t="s">
        <v>570</v>
      </c>
      <c r="C568" s="318">
        <v>42704</v>
      </c>
      <c r="D568" s="383" t="s">
        <v>2386</v>
      </c>
      <c r="E568" s="318" t="s">
        <v>8</v>
      </c>
      <c r="F568" s="384">
        <v>2066146</v>
      </c>
      <c r="G568" s="382">
        <v>0</v>
      </c>
      <c r="H568" s="385">
        <f t="shared" si="16"/>
        <v>224703856</v>
      </c>
      <c r="I568" s="385">
        <f t="shared" si="17"/>
        <v>0</v>
      </c>
      <c r="J568" s="18">
        <v>11</v>
      </c>
    </row>
    <row r="569" spans="1:10" s="18" customFormat="1" ht="18" customHeight="1">
      <c r="A569" s="318">
        <v>42685</v>
      </c>
      <c r="B569" s="318" t="s">
        <v>570</v>
      </c>
      <c r="C569" s="318">
        <v>42685</v>
      </c>
      <c r="D569" s="383" t="s">
        <v>1063</v>
      </c>
      <c r="E569" s="318" t="s">
        <v>8</v>
      </c>
      <c r="F569" s="384">
        <v>1109552</v>
      </c>
      <c r="G569" s="382">
        <v>0</v>
      </c>
      <c r="H569" s="385">
        <f t="shared" si="16"/>
        <v>225813408</v>
      </c>
      <c r="I569" s="385">
        <f t="shared" si="17"/>
        <v>0</v>
      </c>
      <c r="J569" s="18">
        <v>11</v>
      </c>
    </row>
    <row r="570" spans="1:10" s="18" customFormat="1" ht="18" customHeight="1">
      <c r="A570" s="318">
        <v>42688</v>
      </c>
      <c r="B570" s="318" t="s">
        <v>570</v>
      </c>
      <c r="C570" s="318">
        <v>42688</v>
      </c>
      <c r="D570" s="383" t="s">
        <v>1063</v>
      </c>
      <c r="E570" s="318" t="s">
        <v>8</v>
      </c>
      <c r="F570" s="384">
        <v>1109056</v>
      </c>
      <c r="G570" s="382">
        <v>0</v>
      </c>
      <c r="H570" s="385">
        <f t="shared" si="16"/>
        <v>226922464</v>
      </c>
      <c r="I570" s="385">
        <f t="shared" si="17"/>
        <v>0</v>
      </c>
      <c r="J570" s="18">
        <v>11</v>
      </c>
    </row>
    <row r="571" spans="1:10" s="18" customFormat="1" ht="18" customHeight="1">
      <c r="A571" s="318">
        <v>42702</v>
      </c>
      <c r="B571" s="318" t="s">
        <v>570</v>
      </c>
      <c r="C571" s="318">
        <v>42702</v>
      </c>
      <c r="D571" s="383" t="s">
        <v>1063</v>
      </c>
      <c r="E571" s="318" t="s">
        <v>8</v>
      </c>
      <c r="F571" s="384">
        <v>2145876</v>
      </c>
      <c r="G571" s="382">
        <v>0</v>
      </c>
      <c r="H571" s="385">
        <f t="shared" si="16"/>
        <v>229068340</v>
      </c>
      <c r="I571" s="385">
        <f t="shared" si="17"/>
        <v>0</v>
      </c>
      <c r="J571" s="18">
        <v>11</v>
      </c>
    </row>
    <row r="572" spans="1:10" s="18" customFormat="1" ht="18" customHeight="1">
      <c r="A572" s="318">
        <v>42688</v>
      </c>
      <c r="B572" s="318" t="s">
        <v>570</v>
      </c>
      <c r="C572" s="318">
        <v>42688</v>
      </c>
      <c r="D572" s="383" t="s">
        <v>2184</v>
      </c>
      <c r="E572" s="318" t="s">
        <v>8</v>
      </c>
      <c r="F572" s="384">
        <v>378637</v>
      </c>
      <c r="G572" s="382">
        <v>0</v>
      </c>
      <c r="H572" s="385">
        <f t="shared" si="16"/>
        <v>229446977</v>
      </c>
      <c r="I572" s="385">
        <f t="shared" si="17"/>
        <v>0</v>
      </c>
      <c r="J572" s="18">
        <v>11</v>
      </c>
    </row>
    <row r="573" spans="1:10" s="18" customFormat="1" ht="18" customHeight="1">
      <c r="A573" s="318">
        <v>42702</v>
      </c>
      <c r="B573" s="318" t="s">
        <v>570</v>
      </c>
      <c r="C573" s="318">
        <v>42702</v>
      </c>
      <c r="D573" s="383" t="s">
        <v>2281</v>
      </c>
      <c r="E573" s="318" t="s">
        <v>8</v>
      </c>
      <c r="F573" s="384">
        <v>52000000</v>
      </c>
      <c r="G573" s="382">
        <v>0</v>
      </c>
      <c r="H573" s="385">
        <f t="shared" si="16"/>
        <v>281446977</v>
      </c>
      <c r="I573" s="385">
        <f t="shared" si="17"/>
        <v>0</v>
      </c>
      <c r="J573" s="18">
        <v>11</v>
      </c>
    </row>
    <row r="574" spans="1:10" s="18" customFormat="1" ht="18" customHeight="1">
      <c r="A574" s="318">
        <v>42704</v>
      </c>
      <c r="B574" s="318" t="s">
        <v>570</v>
      </c>
      <c r="C574" s="318">
        <v>42695</v>
      </c>
      <c r="D574" s="383" t="s">
        <v>625</v>
      </c>
      <c r="E574" s="318" t="s">
        <v>8</v>
      </c>
      <c r="F574" s="384">
        <v>200000</v>
      </c>
      <c r="G574" s="382">
        <v>0</v>
      </c>
      <c r="H574" s="385">
        <f t="shared" si="16"/>
        <v>281646977</v>
      </c>
      <c r="I574" s="385">
        <f t="shared" si="17"/>
        <v>0</v>
      </c>
      <c r="J574" s="18">
        <v>11</v>
      </c>
    </row>
    <row r="575" spans="1:10" s="18" customFormat="1" ht="18" customHeight="1">
      <c r="A575" s="318">
        <v>42704</v>
      </c>
      <c r="B575" s="318" t="s">
        <v>570</v>
      </c>
      <c r="C575" s="318">
        <v>42704</v>
      </c>
      <c r="D575" s="383" t="s">
        <v>625</v>
      </c>
      <c r="E575" s="318" t="s">
        <v>8</v>
      </c>
      <c r="F575" s="384">
        <v>200000</v>
      </c>
      <c r="G575" s="382">
        <v>0</v>
      </c>
      <c r="H575" s="385">
        <f t="shared" si="16"/>
        <v>281846977</v>
      </c>
      <c r="I575" s="385">
        <f t="shared" si="17"/>
        <v>0</v>
      </c>
      <c r="J575" s="18">
        <v>11</v>
      </c>
    </row>
    <row r="576" spans="1:10" s="18" customFormat="1" ht="18" customHeight="1">
      <c r="A576" s="318">
        <v>42698</v>
      </c>
      <c r="B576" s="318" t="s">
        <v>570</v>
      </c>
      <c r="C576" s="318">
        <v>42698</v>
      </c>
      <c r="D576" s="383" t="s">
        <v>2193</v>
      </c>
      <c r="E576" s="318" t="s">
        <v>8</v>
      </c>
      <c r="F576" s="384">
        <v>1982730</v>
      </c>
      <c r="G576" s="382">
        <v>0</v>
      </c>
      <c r="H576" s="385">
        <f t="shared" si="16"/>
        <v>283829707</v>
      </c>
      <c r="I576" s="385">
        <f t="shared" si="17"/>
        <v>0</v>
      </c>
      <c r="J576" s="18">
        <v>11</v>
      </c>
    </row>
    <row r="577" spans="1:10" s="18" customFormat="1" ht="18" customHeight="1">
      <c r="A577" s="318">
        <v>42678</v>
      </c>
      <c r="B577" s="318" t="s">
        <v>662</v>
      </c>
      <c r="C577" s="318">
        <v>42678</v>
      </c>
      <c r="D577" s="383" t="s">
        <v>634</v>
      </c>
      <c r="E577" s="318" t="s">
        <v>8</v>
      </c>
      <c r="F577" s="384">
        <v>761905</v>
      </c>
      <c r="G577" s="382">
        <v>0</v>
      </c>
      <c r="H577" s="385">
        <f t="shared" si="16"/>
        <v>284591612</v>
      </c>
      <c r="I577" s="385">
        <f t="shared" si="17"/>
        <v>0</v>
      </c>
      <c r="J577" s="18">
        <v>11</v>
      </c>
    </row>
    <row r="578" spans="1:10" s="18" customFormat="1" ht="18" customHeight="1">
      <c r="A578" s="318">
        <v>42681</v>
      </c>
      <c r="B578" s="318" t="s">
        <v>570</v>
      </c>
      <c r="C578" s="318">
        <v>42681</v>
      </c>
      <c r="D578" s="383" t="s">
        <v>2349</v>
      </c>
      <c r="E578" s="318" t="s">
        <v>8</v>
      </c>
      <c r="F578" s="384">
        <v>2839370</v>
      </c>
      <c r="G578" s="382">
        <v>0</v>
      </c>
      <c r="H578" s="385">
        <f t="shared" si="16"/>
        <v>287430982</v>
      </c>
      <c r="I578" s="385">
        <f t="shared" si="17"/>
        <v>0</v>
      </c>
      <c r="J578" s="18">
        <v>11</v>
      </c>
    </row>
    <row r="579" spans="1:10" s="18" customFormat="1" ht="18" customHeight="1">
      <c r="A579" s="318">
        <v>42693</v>
      </c>
      <c r="B579" s="318" t="s">
        <v>2500</v>
      </c>
      <c r="C579" s="318">
        <v>42693</v>
      </c>
      <c r="D579" s="383" t="s">
        <v>639</v>
      </c>
      <c r="E579" s="318" t="s">
        <v>8</v>
      </c>
      <c r="F579" s="384">
        <v>3500000</v>
      </c>
      <c r="G579" s="382">
        <v>0</v>
      </c>
      <c r="H579" s="385">
        <f t="shared" si="16"/>
        <v>290930982</v>
      </c>
      <c r="I579" s="385">
        <f t="shared" si="17"/>
        <v>0</v>
      </c>
      <c r="J579" s="18">
        <v>11</v>
      </c>
    </row>
    <row r="580" spans="1:10" s="18" customFormat="1" ht="18" customHeight="1">
      <c r="A580" s="318">
        <v>42690</v>
      </c>
      <c r="B580" s="318" t="s">
        <v>570</v>
      </c>
      <c r="C580" s="318">
        <v>42690</v>
      </c>
      <c r="D580" s="383" t="s">
        <v>2350</v>
      </c>
      <c r="E580" s="318" t="s">
        <v>8</v>
      </c>
      <c r="F580" s="384">
        <v>3107920</v>
      </c>
      <c r="G580" s="382">
        <v>0</v>
      </c>
      <c r="H580" s="385">
        <f t="shared" si="16"/>
        <v>294038902</v>
      </c>
      <c r="I580" s="385">
        <f t="shared" si="17"/>
        <v>0</v>
      </c>
      <c r="J580" s="18">
        <v>11</v>
      </c>
    </row>
    <row r="581" spans="1:10" s="18" customFormat="1" ht="18" customHeight="1">
      <c r="A581" s="318">
        <v>42685</v>
      </c>
      <c r="B581" s="318" t="s">
        <v>666</v>
      </c>
      <c r="C581" s="318">
        <v>42685</v>
      </c>
      <c r="D581" s="383" t="s">
        <v>1161</v>
      </c>
      <c r="E581" s="318" t="s">
        <v>8</v>
      </c>
      <c r="F581" s="384">
        <v>480000</v>
      </c>
      <c r="G581" s="382">
        <v>0</v>
      </c>
      <c r="H581" s="385">
        <f t="shared" si="16"/>
        <v>294518902</v>
      </c>
      <c r="I581" s="385">
        <f t="shared" si="17"/>
        <v>0</v>
      </c>
      <c r="J581" s="18">
        <v>11</v>
      </c>
    </row>
    <row r="582" spans="1:10" s="18" customFormat="1" ht="18" customHeight="1">
      <c r="A582" s="318">
        <v>42700</v>
      </c>
      <c r="B582" s="318" t="s">
        <v>570</v>
      </c>
      <c r="C582" s="318">
        <v>42700</v>
      </c>
      <c r="D582" s="383" t="s">
        <v>2352</v>
      </c>
      <c r="E582" s="318" t="s">
        <v>8</v>
      </c>
      <c r="F582" s="384">
        <v>2533540</v>
      </c>
      <c r="G582" s="382">
        <v>0</v>
      </c>
      <c r="H582" s="385">
        <f t="shared" si="16"/>
        <v>297052442</v>
      </c>
      <c r="I582" s="385">
        <f t="shared" si="17"/>
        <v>0</v>
      </c>
      <c r="J582" s="18">
        <v>11</v>
      </c>
    </row>
    <row r="583" spans="1:10" s="18" customFormat="1" ht="18" customHeight="1">
      <c r="A583" s="318">
        <v>42675</v>
      </c>
      <c r="B583" s="318" t="s">
        <v>851</v>
      </c>
      <c r="C583" s="318">
        <v>42675</v>
      </c>
      <c r="D583" s="383" t="s">
        <v>2034</v>
      </c>
      <c r="E583" s="318" t="s">
        <v>61</v>
      </c>
      <c r="F583" s="384">
        <v>180300</v>
      </c>
      <c r="G583" s="382">
        <v>0</v>
      </c>
      <c r="H583" s="385">
        <f t="shared" si="16"/>
        <v>297232742</v>
      </c>
      <c r="I583" s="385">
        <f t="shared" si="17"/>
        <v>0</v>
      </c>
      <c r="J583" s="18">
        <v>11</v>
      </c>
    </row>
    <row r="584" spans="1:10" s="18" customFormat="1" ht="18" customHeight="1">
      <c r="A584" s="318">
        <v>42675</v>
      </c>
      <c r="B584" s="318" t="s">
        <v>852</v>
      </c>
      <c r="C584" s="318">
        <v>42665</v>
      </c>
      <c r="D584" s="383" t="s">
        <v>1783</v>
      </c>
      <c r="E584" s="318" t="s">
        <v>61</v>
      </c>
      <c r="F584" s="384">
        <v>15000</v>
      </c>
      <c r="G584" s="382">
        <v>0</v>
      </c>
      <c r="H584" s="385">
        <f t="shared" si="16"/>
        <v>297247742</v>
      </c>
      <c r="I584" s="385">
        <f t="shared" si="17"/>
        <v>0</v>
      </c>
      <c r="J584" s="18">
        <v>11</v>
      </c>
    </row>
    <row r="585" spans="1:10" s="18" customFormat="1" ht="18" customHeight="1">
      <c r="A585" s="318">
        <v>42675</v>
      </c>
      <c r="B585" s="318" t="s">
        <v>853</v>
      </c>
      <c r="C585" s="318">
        <v>42675</v>
      </c>
      <c r="D585" s="383" t="s">
        <v>2390</v>
      </c>
      <c r="E585" s="318" t="s">
        <v>61</v>
      </c>
      <c r="F585" s="384">
        <v>13283</v>
      </c>
      <c r="G585" s="382">
        <v>0</v>
      </c>
      <c r="H585" s="385">
        <f t="shared" si="16"/>
        <v>297261025</v>
      </c>
      <c r="I585" s="385">
        <f t="shared" si="17"/>
        <v>0</v>
      </c>
      <c r="J585" s="18">
        <v>11</v>
      </c>
    </row>
    <row r="586" spans="1:10" s="18" customFormat="1" ht="18" customHeight="1">
      <c r="A586" s="318">
        <v>42675</v>
      </c>
      <c r="B586" s="318" t="s">
        <v>854</v>
      </c>
      <c r="C586" s="318">
        <v>42675</v>
      </c>
      <c r="D586" s="383" t="s">
        <v>771</v>
      </c>
      <c r="E586" s="318" t="s">
        <v>61</v>
      </c>
      <c r="F586" s="384">
        <v>188156</v>
      </c>
      <c r="G586" s="382">
        <v>0</v>
      </c>
      <c r="H586" s="385">
        <f t="shared" si="16"/>
        <v>297449181</v>
      </c>
      <c r="I586" s="385">
        <f t="shared" si="17"/>
        <v>0</v>
      </c>
      <c r="J586" s="18">
        <v>11</v>
      </c>
    </row>
    <row r="587" spans="1:10" s="18" customFormat="1" ht="18" customHeight="1">
      <c r="A587" s="318">
        <v>42675</v>
      </c>
      <c r="B587" s="318" t="s">
        <v>855</v>
      </c>
      <c r="C587" s="318">
        <v>42675</v>
      </c>
      <c r="D587" s="383" t="s">
        <v>2394</v>
      </c>
      <c r="E587" s="318" t="s">
        <v>61</v>
      </c>
      <c r="F587" s="384">
        <v>948636</v>
      </c>
      <c r="G587" s="382">
        <v>0</v>
      </c>
      <c r="H587" s="385">
        <f t="shared" si="16"/>
        <v>298397817</v>
      </c>
      <c r="I587" s="385">
        <f t="shared" si="17"/>
        <v>0</v>
      </c>
      <c r="J587" s="18">
        <v>11</v>
      </c>
    </row>
    <row r="588" spans="1:10" s="18" customFormat="1" ht="18" customHeight="1">
      <c r="A588" s="318">
        <v>42675</v>
      </c>
      <c r="B588" s="318" t="s">
        <v>690</v>
      </c>
      <c r="C588" s="318">
        <v>42675</v>
      </c>
      <c r="D588" s="383" t="s">
        <v>2342</v>
      </c>
      <c r="E588" s="318" t="s">
        <v>25</v>
      </c>
      <c r="F588" s="384">
        <v>1000</v>
      </c>
      <c r="G588" s="382">
        <v>0</v>
      </c>
      <c r="H588" s="385">
        <f t="shared" si="16"/>
        <v>298398817</v>
      </c>
      <c r="I588" s="385">
        <f t="shared" si="17"/>
        <v>0</v>
      </c>
      <c r="J588" s="18">
        <v>11</v>
      </c>
    </row>
    <row r="589" spans="1:10" s="18" customFormat="1" ht="18" customHeight="1">
      <c r="A589" s="318">
        <v>42675</v>
      </c>
      <c r="B589" s="318" t="s">
        <v>690</v>
      </c>
      <c r="C589" s="318">
        <v>42675</v>
      </c>
      <c r="D589" s="383" t="s">
        <v>2141</v>
      </c>
      <c r="E589" s="318" t="s">
        <v>260</v>
      </c>
      <c r="F589" s="384">
        <v>6681</v>
      </c>
      <c r="G589" s="382">
        <v>0</v>
      </c>
      <c r="H589" s="385">
        <f t="shared" si="16"/>
        <v>298405498</v>
      </c>
      <c r="I589" s="385">
        <f t="shared" si="17"/>
        <v>0</v>
      </c>
      <c r="J589" s="18">
        <v>11</v>
      </c>
    </row>
    <row r="590" spans="1:10" s="18" customFormat="1" ht="18" customHeight="1">
      <c r="A590" s="318">
        <v>42676</v>
      </c>
      <c r="B590" s="318" t="s">
        <v>690</v>
      </c>
      <c r="C590" s="318">
        <v>42676</v>
      </c>
      <c r="D590" s="383" t="s">
        <v>1173</v>
      </c>
      <c r="E590" s="318" t="s">
        <v>260</v>
      </c>
      <c r="F590" s="384">
        <v>11150</v>
      </c>
      <c r="G590" s="382">
        <v>0</v>
      </c>
      <c r="H590" s="385">
        <f t="shared" si="16"/>
        <v>298416648</v>
      </c>
      <c r="I590" s="385">
        <f t="shared" si="17"/>
        <v>0</v>
      </c>
      <c r="J590" s="18">
        <v>11</v>
      </c>
    </row>
    <row r="591" spans="1:10" s="18" customFormat="1" ht="18" customHeight="1">
      <c r="A591" s="318">
        <v>42676</v>
      </c>
      <c r="B591" s="318" t="s">
        <v>690</v>
      </c>
      <c r="C591" s="318">
        <v>42676</v>
      </c>
      <c r="D591" s="383" t="s">
        <v>1178</v>
      </c>
      <c r="E591" s="318" t="s">
        <v>260</v>
      </c>
      <c r="F591" s="384">
        <v>11150</v>
      </c>
      <c r="G591" s="382">
        <v>0</v>
      </c>
      <c r="H591" s="385">
        <f t="shared" si="16"/>
        <v>298427798</v>
      </c>
      <c r="I591" s="385">
        <f t="shared" si="17"/>
        <v>0</v>
      </c>
      <c r="J591" s="18">
        <v>11</v>
      </c>
    </row>
    <row r="592" spans="1:10" s="18" customFormat="1" ht="18" customHeight="1">
      <c r="A592" s="318">
        <v>42676</v>
      </c>
      <c r="B592" s="318" t="s">
        <v>690</v>
      </c>
      <c r="C592" s="318">
        <v>42676</v>
      </c>
      <c r="D592" s="383" t="s">
        <v>2148</v>
      </c>
      <c r="E592" s="318" t="s">
        <v>25</v>
      </c>
      <c r="F592" s="384">
        <v>3000</v>
      </c>
      <c r="G592" s="382">
        <v>0</v>
      </c>
      <c r="H592" s="385">
        <f t="shared" ref="H592:H655" si="18">IF(D592&lt;&gt;"",MAX(H591+F592-G592-I591,0),0)</f>
        <v>298430798</v>
      </c>
      <c r="I592" s="385">
        <f t="shared" ref="I592:I655" si="19">IF(D592&lt;&gt;"",MAX(I591+G592-H591-F592,0),0)</f>
        <v>0</v>
      </c>
      <c r="J592" s="18">
        <v>11</v>
      </c>
    </row>
    <row r="593" spans="1:10" s="18" customFormat="1" ht="18" customHeight="1">
      <c r="A593" s="318">
        <v>42676</v>
      </c>
      <c r="B593" s="318" t="s">
        <v>690</v>
      </c>
      <c r="C593" s="318">
        <v>42676</v>
      </c>
      <c r="D593" s="383" t="s">
        <v>2148</v>
      </c>
      <c r="E593" s="318" t="s">
        <v>25</v>
      </c>
      <c r="F593" s="384">
        <v>5000</v>
      </c>
      <c r="G593" s="382">
        <v>0</v>
      </c>
      <c r="H593" s="385">
        <f t="shared" si="18"/>
        <v>298435798</v>
      </c>
      <c r="I593" s="385">
        <f t="shared" si="19"/>
        <v>0</v>
      </c>
      <c r="J593" s="18">
        <v>11</v>
      </c>
    </row>
    <row r="594" spans="1:10" s="18" customFormat="1" ht="18" customHeight="1">
      <c r="A594" s="318">
        <v>42676</v>
      </c>
      <c r="B594" s="318" t="s">
        <v>690</v>
      </c>
      <c r="C594" s="318">
        <v>42676</v>
      </c>
      <c r="D594" s="383" t="s">
        <v>2148</v>
      </c>
      <c r="E594" s="318" t="s">
        <v>25</v>
      </c>
      <c r="F594" s="384">
        <v>2000</v>
      </c>
      <c r="G594" s="382">
        <v>0</v>
      </c>
      <c r="H594" s="385">
        <f t="shared" si="18"/>
        <v>298437798</v>
      </c>
      <c r="I594" s="385">
        <f t="shared" si="19"/>
        <v>0</v>
      </c>
      <c r="J594" s="18">
        <v>11</v>
      </c>
    </row>
    <row r="595" spans="1:10" s="18" customFormat="1" ht="18" customHeight="1">
      <c r="A595" s="318">
        <v>42676</v>
      </c>
      <c r="B595" s="318" t="s">
        <v>690</v>
      </c>
      <c r="C595" s="318">
        <v>42676</v>
      </c>
      <c r="D595" s="383" t="s">
        <v>2148</v>
      </c>
      <c r="E595" s="318" t="s">
        <v>25</v>
      </c>
      <c r="F595" s="384">
        <v>3089</v>
      </c>
      <c r="G595" s="382">
        <v>0</v>
      </c>
      <c r="H595" s="385">
        <f t="shared" si="18"/>
        <v>298440887</v>
      </c>
      <c r="I595" s="385">
        <f t="shared" si="19"/>
        <v>0</v>
      </c>
      <c r="J595" s="18">
        <v>11</v>
      </c>
    </row>
    <row r="596" spans="1:10" s="18" customFormat="1" ht="18" customHeight="1">
      <c r="A596" s="318">
        <v>42677</v>
      </c>
      <c r="B596" s="318" t="s">
        <v>861</v>
      </c>
      <c r="C596" s="318">
        <v>42677</v>
      </c>
      <c r="D596" s="383" t="s">
        <v>2075</v>
      </c>
      <c r="E596" s="318" t="s">
        <v>61</v>
      </c>
      <c r="F596" s="384">
        <v>505744</v>
      </c>
      <c r="G596" s="382">
        <v>0</v>
      </c>
      <c r="H596" s="385">
        <f t="shared" si="18"/>
        <v>298946631</v>
      </c>
      <c r="I596" s="385">
        <f t="shared" si="19"/>
        <v>0</v>
      </c>
      <c r="J596" s="18">
        <v>11</v>
      </c>
    </row>
    <row r="597" spans="1:10" s="18" customFormat="1" ht="18" customHeight="1">
      <c r="A597" s="318">
        <v>42677</v>
      </c>
      <c r="B597" s="318" t="s">
        <v>862</v>
      </c>
      <c r="C597" s="318">
        <v>42677</v>
      </c>
      <c r="D597" s="383" t="s">
        <v>2398</v>
      </c>
      <c r="E597" s="318" t="s">
        <v>61</v>
      </c>
      <c r="F597" s="384">
        <v>115000</v>
      </c>
      <c r="G597" s="382">
        <v>0</v>
      </c>
      <c r="H597" s="385">
        <f t="shared" si="18"/>
        <v>299061631</v>
      </c>
      <c r="I597" s="385">
        <f t="shared" si="19"/>
        <v>0</v>
      </c>
      <c r="J597" s="18">
        <v>11</v>
      </c>
    </row>
    <row r="598" spans="1:10" s="18" customFormat="1" ht="18" customHeight="1">
      <c r="A598" s="318">
        <v>42678</v>
      </c>
      <c r="B598" s="318" t="s">
        <v>863</v>
      </c>
      <c r="C598" s="318">
        <v>42678</v>
      </c>
      <c r="D598" s="383" t="s">
        <v>771</v>
      </c>
      <c r="E598" s="318" t="s">
        <v>61</v>
      </c>
      <c r="F598" s="384">
        <v>79727</v>
      </c>
      <c r="G598" s="382">
        <v>0</v>
      </c>
      <c r="H598" s="385">
        <f t="shared" si="18"/>
        <v>299141358</v>
      </c>
      <c r="I598" s="385">
        <f t="shared" si="19"/>
        <v>0</v>
      </c>
      <c r="J598" s="18">
        <v>11</v>
      </c>
    </row>
    <row r="599" spans="1:10" s="18" customFormat="1" ht="18" customHeight="1">
      <c r="A599" s="318">
        <v>42679</v>
      </c>
      <c r="B599" s="318" t="s">
        <v>663</v>
      </c>
      <c r="C599" s="318">
        <v>42679</v>
      </c>
      <c r="D599" s="383" t="s">
        <v>634</v>
      </c>
      <c r="E599" s="318" t="s">
        <v>8</v>
      </c>
      <c r="F599" s="384">
        <v>761905</v>
      </c>
      <c r="G599" s="382">
        <v>0</v>
      </c>
      <c r="H599" s="385">
        <f t="shared" si="18"/>
        <v>299903263</v>
      </c>
      <c r="I599" s="385">
        <f t="shared" si="19"/>
        <v>0</v>
      </c>
      <c r="J599" s="18">
        <v>11</v>
      </c>
    </row>
    <row r="600" spans="1:10" s="18" customFormat="1" ht="18" customHeight="1">
      <c r="A600" s="318">
        <v>42680</v>
      </c>
      <c r="B600" s="318" t="s">
        <v>869</v>
      </c>
      <c r="C600" s="318">
        <v>42680</v>
      </c>
      <c r="D600" s="383" t="s">
        <v>771</v>
      </c>
      <c r="E600" s="318" t="s">
        <v>61</v>
      </c>
      <c r="F600" s="384">
        <v>81554</v>
      </c>
      <c r="G600" s="382">
        <v>0</v>
      </c>
      <c r="H600" s="385">
        <f t="shared" si="18"/>
        <v>299984817</v>
      </c>
      <c r="I600" s="385">
        <f t="shared" si="19"/>
        <v>0</v>
      </c>
      <c r="J600" s="18">
        <v>11</v>
      </c>
    </row>
    <row r="601" spans="1:10" s="18" customFormat="1" ht="18" customHeight="1">
      <c r="A601" s="318">
        <v>42680</v>
      </c>
      <c r="B601" s="318" t="s">
        <v>870</v>
      </c>
      <c r="C601" s="318">
        <v>42680</v>
      </c>
      <c r="D601" s="383" t="s">
        <v>2404</v>
      </c>
      <c r="E601" s="318" t="s">
        <v>61</v>
      </c>
      <c r="F601" s="384">
        <v>200204</v>
      </c>
      <c r="G601" s="382">
        <v>0</v>
      </c>
      <c r="H601" s="385">
        <f t="shared" si="18"/>
        <v>300185021</v>
      </c>
      <c r="I601" s="385">
        <f t="shared" si="19"/>
        <v>0</v>
      </c>
      <c r="J601" s="18">
        <v>11</v>
      </c>
    </row>
    <row r="602" spans="1:10" s="18" customFormat="1" ht="18" customHeight="1">
      <c r="A602" s="318">
        <v>42681</v>
      </c>
      <c r="B602" s="318" t="s">
        <v>871</v>
      </c>
      <c r="C602" s="318">
        <v>42681</v>
      </c>
      <c r="D602" s="383" t="s">
        <v>3037</v>
      </c>
      <c r="E602" s="318" t="s">
        <v>61</v>
      </c>
      <c r="F602" s="384">
        <v>795610</v>
      </c>
      <c r="G602" s="382">
        <v>0</v>
      </c>
      <c r="H602" s="385">
        <f t="shared" si="18"/>
        <v>300980631</v>
      </c>
      <c r="I602" s="385">
        <f t="shared" si="19"/>
        <v>0</v>
      </c>
      <c r="J602" s="18">
        <v>11</v>
      </c>
    </row>
    <row r="603" spans="1:10" s="18" customFormat="1" ht="18" customHeight="1">
      <c r="A603" s="318">
        <v>42684</v>
      </c>
      <c r="B603" s="318" t="s">
        <v>874</v>
      </c>
      <c r="C603" s="318">
        <v>42684</v>
      </c>
      <c r="D603" s="383" t="s">
        <v>2394</v>
      </c>
      <c r="E603" s="318" t="s">
        <v>61</v>
      </c>
      <c r="F603" s="384">
        <v>948636</v>
      </c>
      <c r="G603" s="382">
        <v>0</v>
      </c>
      <c r="H603" s="385">
        <f t="shared" si="18"/>
        <v>301929267</v>
      </c>
      <c r="I603" s="385">
        <f t="shared" si="19"/>
        <v>0</v>
      </c>
      <c r="J603" s="18">
        <v>11</v>
      </c>
    </row>
    <row r="604" spans="1:10" s="18" customFormat="1" ht="18" customHeight="1">
      <c r="A604" s="318">
        <v>42684</v>
      </c>
      <c r="B604" s="318" t="s">
        <v>690</v>
      </c>
      <c r="C604" s="318">
        <v>42684</v>
      </c>
      <c r="D604" s="383" t="s">
        <v>2477</v>
      </c>
      <c r="E604" s="318" t="s">
        <v>25</v>
      </c>
      <c r="F604" s="384">
        <v>162831</v>
      </c>
      <c r="G604" s="382">
        <v>0</v>
      </c>
      <c r="H604" s="385">
        <f t="shared" si="18"/>
        <v>302092098</v>
      </c>
      <c r="I604" s="385">
        <f t="shared" si="19"/>
        <v>0</v>
      </c>
      <c r="J604" s="18">
        <v>11</v>
      </c>
    </row>
    <row r="605" spans="1:10" s="18" customFormat="1" ht="18" customHeight="1">
      <c r="A605" s="318">
        <v>42685</v>
      </c>
      <c r="B605" s="318" t="s">
        <v>690</v>
      </c>
      <c r="C605" s="318">
        <v>42685</v>
      </c>
      <c r="D605" s="383" t="s">
        <v>1618</v>
      </c>
      <c r="E605" s="318" t="s">
        <v>25</v>
      </c>
      <c r="F605" s="384">
        <v>11180</v>
      </c>
      <c r="G605" s="382">
        <v>0</v>
      </c>
      <c r="H605" s="385">
        <f t="shared" si="18"/>
        <v>302103278</v>
      </c>
      <c r="I605" s="385">
        <f t="shared" si="19"/>
        <v>0</v>
      </c>
      <c r="J605" s="18">
        <v>11</v>
      </c>
    </row>
    <row r="606" spans="1:10" s="18" customFormat="1" ht="18" customHeight="1">
      <c r="A606" s="318">
        <v>42686</v>
      </c>
      <c r="B606" s="318" t="s">
        <v>879</v>
      </c>
      <c r="C606" s="318">
        <v>42686</v>
      </c>
      <c r="D606" s="383" t="s">
        <v>2394</v>
      </c>
      <c r="E606" s="318" t="s">
        <v>61</v>
      </c>
      <c r="F606" s="384">
        <v>795610</v>
      </c>
      <c r="G606" s="382">
        <v>0</v>
      </c>
      <c r="H606" s="385">
        <f t="shared" si="18"/>
        <v>302898888</v>
      </c>
      <c r="I606" s="385">
        <f t="shared" si="19"/>
        <v>0</v>
      </c>
      <c r="J606" s="18">
        <v>11</v>
      </c>
    </row>
    <row r="607" spans="1:10" s="18" customFormat="1" ht="18" customHeight="1">
      <c r="A607" s="318">
        <v>42689</v>
      </c>
      <c r="B607" s="318" t="s">
        <v>883</v>
      </c>
      <c r="C607" s="318">
        <v>42689</v>
      </c>
      <c r="D607" s="383" t="s">
        <v>1783</v>
      </c>
      <c r="E607" s="318" t="s">
        <v>61</v>
      </c>
      <c r="F607" s="384">
        <v>80000</v>
      </c>
      <c r="G607" s="382">
        <v>0</v>
      </c>
      <c r="H607" s="385">
        <f t="shared" si="18"/>
        <v>302978888</v>
      </c>
      <c r="I607" s="385">
        <f t="shared" si="19"/>
        <v>0</v>
      </c>
      <c r="J607" s="18">
        <v>11</v>
      </c>
    </row>
    <row r="608" spans="1:10" s="18" customFormat="1" ht="18" customHeight="1">
      <c r="A608" s="318">
        <v>42689</v>
      </c>
      <c r="B608" s="318" t="s">
        <v>884</v>
      </c>
      <c r="C608" s="318">
        <v>42689</v>
      </c>
      <c r="D608" s="383" t="s">
        <v>2416</v>
      </c>
      <c r="E608" s="318" t="s">
        <v>61</v>
      </c>
      <c r="F608" s="384">
        <v>385507</v>
      </c>
      <c r="G608" s="382">
        <v>0</v>
      </c>
      <c r="H608" s="385">
        <f t="shared" si="18"/>
        <v>303364395</v>
      </c>
      <c r="I608" s="385">
        <f t="shared" si="19"/>
        <v>0</v>
      </c>
      <c r="J608" s="18">
        <v>11</v>
      </c>
    </row>
    <row r="609" spans="1:10" s="18" customFormat="1" ht="18" customHeight="1">
      <c r="A609" s="318">
        <v>42689</v>
      </c>
      <c r="B609" s="318" t="s">
        <v>885</v>
      </c>
      <c r="C609" s="318">
        <v>42689</v>
      </c>
      <c r="D609" s="383" t="s">
        <v>2420</v>
      </c>
      <c r="E609" s="318" t="s">
        <v>61</v>
      </c>
      <c r="F609" s="384">
        <v>316627</v>
      </c>
      <c r="G609" s="382">
        <v>0</v>
      </c>
      <c r="H609" s="385">
        <f t="shared" si="18"/>
        <v>303681022</v>
      </c>
      <c r="I609" s="385">
        <f t="shared" si="19"/>
        <v>0</v>
      </c>
      <c r="J609" s="18">
        <v>11</v>
      </c>
    </row>
    <row r="610" spans="1:10" s="18" customFormat="1" ht="18" customHeight="1">
      <c r="A610" s="318">
        <v>42689</v>
      </c>
      <c r="B610" s="318" t="s">
        <v>570</v>
      </c>
      <c r="C610" s="318">
        <v>42689</v>
      </c>
      <c r="D610" s="383" t="s">
        <v>2484</v>
      </c>
      <c r="E610" s="318" t="s">
        <v>1568</v>
      </c>
      <c r="F610" s="384">
        <v>9805400</v>
      </c>
      <c r="G610" s="382">
        <v>0</v>
      </c>
      <c r="H610" s="385">
        <f t="shared" si="18"/>
        <v>313486422</v>
      </c>
      <c r="I610" s="385">
        <f t="shared" si="19"/>
        <v>0</v>
      </c>
      <c r="J610" s="18">
        <v>11</v>
      </c>
    </row>
    <row r="611" spans="1:10" s="18" customFormat="1" ht="18" customHeight="1">
      <c r="A611" s="318">
        <v>42689</v>
      </c>
      <c r="B611" s="318" t="s">
        <v>690</v>
      </c>
      <c r="C611" s="318">
        <v>42689</v>
      </c>
      <c r="D611" s="383" t="s">
        <v>2342</v>
      </c>
      <c r="E611" s="318" t="s">
        <v>25</v>
      </c>
      <c r="F611" s="384">
        <v>2500</v>
      </c>
      <c r="G611" s="382">
        <v>0</v>
      </c>
      <c r="H611" s="385">
        <f t="shared" si="18"/>
        <v>313488922</v>
      </c>
      <c r="I611" s="385">
        <f t="shared" si="19"/>
        <v>0</v>
      </c>
      <c r="J611" s="18">
        <v>11</v>
      </c>
    </row>
    <row r="612" spans="1:10" s="18" customFormat="1" ht="18" customHeight="1">
      <c r="A612" s="318">
        <v>42689</v>
      </c>
      <c r="B612" s="318" t="s">
        <v>690</v>
      </c>
      <c r="C612" s="318">
        <v>42689</v>
      </c>
      <c r="D612" s="383" t="s">
        <v>2478</v>
      </c>
      <c r="E612" s="318" t="s">
        <v>25</v>
      </c>
      <c r="F612" s="384">
        <v>162831</v>
      </c>
      <c r="G612" s="382">
        <v>0</v>
      </c>
      <c r="H612" s="385">
        <f t="shared" si="18"/>
        <v>313651753</v>
      </c>
      <c r="I612" s="385">
        <f t="shared" si="19"/>
        <v>0</v>
      </c>
      <c r="J612" s="18">
        <v>11</v>
      </c>
    </row>
    <row r="613" spans="1:10" s="18" customFormat="1" ht="18" customHeight="1">
      <c r="A613" s="318">
        <v>42689</v>
      </c>
      <c r="B613" s="318" t="s">
        <v>690</v>
      </c>
      <c r="C613" s="318">
        <v>42689</v>
      </c>
      <c r="D613" s="383" t="s">
        <v>2141</v>
      </c>
      <c r="E613" s="318" t="s">
        <v>260</v>
      </c>
      <c r="F613" s="384">
        <v>6689</v>
      </c>
      <c r="G613" s="382">
        <v>0</v>
      </c>
      <c r="H613" s="385">
        <f t="shared" si="18"/>
        <v>313658442</v>
      </c>
      <c r="I613" s="385">
        <f t="shared" si="19"/>
        <v>0</v>
      </c>
      <c r="J613" s="18">
        <v>11</v>
      </c>
    </row>
    <row r="614" spans="1:10" s="18" customFormat="1" ht="18" customHeight="1">
      <c r="A614" s="318">
        <v>42690</v>
      </c>
      <c r="B614" s="318" t="s">
        <v>690</v>
      </c>
      <c r="C614" s="318">
        <v>42690</v>
      </c>
      <c r="D614" s="383" t="s">
        <v>2344</v>
      </c>
      <c r="E614" s="318" t="s">
        <v>25</v>
      </c>
      <c r="F614" s="384">
        <v>5000</v>
      </c>
      <c r="G614" s="382">
        <v>0</v>
      </c>
      <c r="H614" s="385">
        <f t="shared" si="18"/>
        <v>313663442</v>
      </c>
      <c r="I614" s="385">
        <f t="shared" si="19"/>
        <v>0</v>
      </c>
      <c r="J614" s="18">
        <v>11</v>
      </c>
    </row>
    <row r="615" spans="1:10" s="18" customFormat="1" ht="18" customHeight="1">
      <c r="A615" s="318">
        <v>42690</v>
      </c>
      <c r="B615" s="318" t="s">
        <v>690</v>
      </c>
      <c r="C615" s="318">
        <v>42690</v>
      </c>
      <c r="D615" s="383" t="s">
        <v>2344</v>
      </c>
      <c r="E615" s="318" t="s">
        <v>25</v>
      </c>
      <c r="F615" s="384">
        <v>5000</v>
      </c>
      <c r="G615" s="382">
        <v>0</v>
      </c>
      <c r="H615" s="385">
        <f t="shared" si="18"/>
        <v>313668442</v>
      </c>
      <c r="I615" s="385">
        <f t="shared" si="19"/>
        <v>0</v>
      </c>
      <c r="J615" s="18">
        <v>11</v>
      </c>
    </row>
    <row r="616" spans="1:10" s="18" customFormat="1" ht="18" customHeight="1">
      <c r="A616" s="318">
        <v>42690</v>
      </c>
      <c r="B616" s="318" t="s">
        <v>690</v>
      </c>
      <c r="C616" s="318">
        <v>42690</v>
      </c>
      <c r="D616" s="383" t="s">
        <v>2480</v>
      </c>
      <c r="E616" s="318" t="s">
        <v>25</v>
      </c>
      <c r="F616" s="384">
        <v>188076</v>
      </c>
      <c r="G616" s="382">
        <v>0</v>
      </c>
      <c r="H616" s="385">
        <f t="shared" si="18"/>
        <v>313856518</v>
      </c>
      <c r="I616" s="385">
        <f t="shared" si="19"/>
        <v>0</v>
      </c>
      <c r="J616" s="18">
        <v>11</v>
      </c>
    </row>
    <row r="617" spans="1:10" s="18" customFormat="1" ht="18" customHeight="1">
      <c r="A617" s="318">
        <v>42690</v>
      </c>
      <c r="B617" s="318" t="s">
        <v>690</v>
      </c>
      <c r="C617" s="318">
        <v>42690</v>
      </c>
      <c r="D617" s="383" t="s">
        <v>2480</v>
      </c>
      <c r="E617" s="318" t="s">
        <v>25</v>
      </c>
      <c r="F617" s="384">
        <v>11195</v>
      </c>
      <c r="G617" s="382">
        <v>0</v>
      </c>
      <c r="H617" s="385">
        <f t="shared" si="18"/>
        <v>313867713</v>
      </c>
      <c r="I617" s="385">
        <f t="shared" si="19"/>
        <v>0</v>
      </c>
      <c r="J617" s="18">
        <v>11</v>
      </c>
    </row>
    <row r="618" spans="1:10" s="18" customFormat="1" ht="18" customHeight="1">
      <c r="A618" s="318">
        <v>42692</v>
      </c>
      <c r="B618" s="318" t="s">
        <v>897</v>
      </c>
      <c r="C618" s="318">
        <v>42692</v>
      </c>
      <c r="D618" s="383" t="s">
        <v>2428</v>
      </c>
      <c r="E618" s="318" t="s">
        <v>61</v>
      </c>
      <c r="F618" s="384">
        <v>90909</v>
      </c>
      <c r="G618" s="382">
        <v>0</v>
      </c>
      <c r="H618" s="385">
        <f t="shared" si="18"/>
        <v>313958622</v>
      </c>
      <c r="I618" s="385">
        <f t="shared" si="19"/>
        <v>0</v>
      </c>
      <c r="J618" s="18">
        <v>11</v>
      </c>
    </row>
    <row r="619" spans="1:10" s="18" customFormat="1" ht="18" customHeight="1">
      <c r="A619" s="318">
        <v>42693</v>
      </c>
      <c r="B619" s="318" t="s">
        <v>899</v>
      </c>
      <c r="C619" s="318">
        <v>42693</v>
      </c>
      <c r="D619" s="383" t="s">
        <v>771</v>
      </c>
      <c r="E619" s="318" t="s">
        <v>61</v>
      </c>
      <c r="F619" s="384">
        <v>92747</v>
      </c>
      <c r="G619" s="382">
        <v>0</v>
      </c>
      <c r="H619" s="385">
        <f t="shared" si="18"/>
        <v>314051369</v>
      </c>
      <c r="I619" s="385">
        <f t="shared" si="19"/>
        <v>0</v>
      </c>
      <c r="J619" s="18">
        <v>11</v>
      </c>
    </row>
    <row r="620" spans="1:10" s="18" customFormat="1" ht="18" customHeight="1">
      <c r="A620" s="318">
        <v>42696</v>
      </c>
      <c r="B620" s="318" t="s">
        <v>690</v>
      </c>
      <c r="C620" s="318">
        <v>42696</v>
      </c>
      <c r="D620" s="383" t="s">
        <v>2476</v>
      </c>
      <c r="E620" s="318" t="s">
        <v>260</v>
      </c>
      <c r="F620" s="384">
        <v>226000</v>
      </c>
      <c r="G620" s="382">
        <v>0</v>
      </c>
      <c r="H620" s="385">
        <f t="shared" si="18"/>
        <v>314277369</v>
      </c>
      <c r="I620" s="385">
        <f t="shared" si="19"/>
        <v>0</v>
      </c>
      <c r="J620" s="18">
        <v>11</v>
      </c>
    </row>
    <row r="621" spans="1:10" s="18" customFormat="1" ht="18" customHeight="1">
      <c r="A621" s="318">
        <v>42697</v>
      </c>
      <c r="B621" s="318" t="s">
        <v>951</v>
      </c>
      <c r="C621" s="318">
        <v>42697</v>
      </c>
      <c r="D621" s="383" t="s">
        <v>1585</v>
      </c>
      <c r="E621" s="318" t="s">
        <v>61</v>
      </c>
      <c r="F621" s="384">
        <v>5924</v>
      </c>
      <c r="G621" s="382">
        <v>0</v>
      </c>
      <c r="H621" s="385">
        <f t="shared" si="18"/>
        <v>314283293</v>
      </c>
      <c r="I621" s="385">
        <f t="shared" si="19"/>
        <v>0</v>
      </c>
      <c r="J621" s="18">
        <v>11</v>
      </c>
    </row>
    <row r="622" spans="1:10" s="18" customFormat="1" ht="18" customHeight="1">
      <c r="A622" s="318">
        <v>42697</v>
      </c>
      <c r="B622" s="318" t="s">
        <v>952</v>
      </c>
      <c r="C622" s="318">
        <v>42697</v>
      </c>
      <c r="D622" s="383" t="s">
        <v>2435</v>
      </c>
      <c r="E622" s="318" t="s">
        <v>61</v>
      </c>
      <c r="F622" s="384">
        <v>80000</v>
      </c>
      <c r="G622" s="382">
        <v>0</v>
      </c>
      <c r="H622" s="385">
        <f t="shared" si="18"/>
        <v>314363293</v>
      </c>
      <c r="I622" s="385">
        <f t="shared" si="19"/>
        <v>0</v>
      </c>
      <c r="J622" s="18">
        <v>11</v>
      </c>
    </row>
    <row r="623" spans="1:10" s="18" customFormat="1" ht="18" customHeight="1">
      <c r="A623" s="318">
        <v>42697</v>
      </c>
      <c r="B623" s="318" t="s">
        <v>570</v>
      </c>
      <c r="C623" s="318">
        <v>42697</v>
      </c>
      <c r="D623" s="383" t="s">
        <v>1046</v>
      </c>
      <c r="E623" s="318" t="s">
        <v>576</v>
      </c>
      <c r="F623" s="384">
        <v>288278</v>
      </c>
      <c r="G623" s="382">
        <v>0</v>
      </c>
      <c r="H623" s="385">
        <f t="shared" si="18"/>
        <v>314651571</v>
      </c>
      <c r="I623" s="385">
        <f t="shared" si="19"/>
        <v>0</v>
      </c>
      <c r="J623" s="18">
        <v>11</v>
      </c>
    </row>
    <row r="624" spans="1:10" s="18" customFormat="1" ht="18" customHeight="1">
      <c r="A624" s="318">
        <v>42697</v>
      </c>
      <c r="B624" s="318" t="s">
        <v>570</v>
      </c>
      <c r="C624" s="318">
        <v>42697</v>
      </c>
      <c r="D624" s="383" t="s">
        <v>1174</v>
      </c>
      <c r="E624" s="318" t="s">
        <v>576</v>
      </c>
      <c r="F624" s="384">
        <v>22610</v>
      </c>
      <c r="G624" s="382">
        <v>0</v>
      </c>
      <c r="H624" s="385">
        <f t="shared" si="18"/>
        <v>314674181</v>
      </c>
      <c r="I624" s="385">
        <f t="shared" si="19"/>
        <v>0</v>
      </c>
      <c r="J624" s="18">
        <v>11</v>
      </c>
    </row>
    <row r="625" spans="1:10" s="18" customFormat="1" ht="18" customHeight="1">
      <c r="A625" s="318">
        <v>42697</v>
      </c>
      <c r="B625" s="318" t="s">
        <v>570</v>
      </c>
      <c r="C625" s="318">
        <v>42697</v>
      </c>
      <c r="D625" s="383" t="s">
        <v>1176</v>
      </c>
      <c r="E625" s="318" t="s">
        <v>576</v>
      </c>
      <c r="F625" s="384">
        <v>66021</v>
      </c>
      <c r="G625" s="382">
        <v>0</v>
      </c>
      <c r="H625" s="385">
        <f t="shared" si="18"/>
        <v>314740202</v>
      </c>
      <c r="I625" s="385">
        <f t="shared" si="19"/>
        <v>0</v>
      </c>
      <c r="J625" s="18">
        <v>11</v>
      </c>
    </row>
    <row r="626" spans="1:10" s="18" customFormat="1" ht="18" customHeight="1">
      <c r="A626" s="318">
        <v>42697</v>
      </c>
      <c r="B626" s="318" t="s">
        <v>690</v>
      </c>
      <c r="C626" s="318">
        <v>42697</v>
      </c>
      <c r="D626" s="383" t="s">
        <v>1616</v>
      </c>
      <c r="E626" s="318" t="s">
        <v>25</v>
      </c>
      <c r="F626" s="384">
        <v>67500</v>
      </c>
      <c r="G626" s="382">
        <v>0</v>
      </c>
      <c r="H626" s="385">
        <f t="shared" si="18"/>
        <v>314807702</v>
      </c>
      <c r="I626" s="385">
        <f t="shared" si="19"/>
        <v>0</v>
      </c>
      <c r="J626" s="18">
        <v>11</v>
      </c>
    </row>
    <row r="627" spans="1:10" s="18" customFormat="1" ht="18" customHeight="1">
      <c r="A627" s="318">
        <v>42697</v>
      </c>
      <c r="B627" s="318" t="s">
        <v>690</v>
      </c>
      <c r="C627" s="318">
        <v>42697</v>
      </c>
      <c r="D627" s="383" t="s">
        <v>1616</v>
      </c>
      <c r="E627" s="318" t="s">
        <v>25</v>
      </c>
      <c r="F627" s="384">
        <v>100000</v>
      </c>
      <c r="G627" s="382">
        <v>0</v>
      </c>
      <c r="H627" s="385">
        <f t="shared" si="18"/>
        <v>314907702</v>
      </c>
      <c r="I627" s="385">
        <f t="shared" si="19"/>
        <v>0</v>
      </c>
      <c r="J627" s="18">
        <v>11</v>
      </c>
    </row>
    <row r="628" spans="1:10" s="18" customFormat="1" ht="18" customHeight="1">
      <c r="A628" s="318">
        <v>42697</v>
      </c>
      <c r="B628" s="318" t="s">
        <v>690</v>
      </c>
      <c r="C628" s="318">
        <v>42697</v>
      </c>
      <c r="D628" s="383" t="s">
        <v>1616</v>
      </c>
      <c r="E628" s="318" t="s">
        <v>25</v>
      </c>
      <c r="F628" s="384">
        <v>1000</v>
      </c>
      <c r="G628" s="382">
        <v>0</v>
      </c>
      <c r="H628" s="385">
        <f t="shared" si="18"/>
        <v>314908702</v>
      </c>
      <c r="I628" s="385">
        <f t="shared" si="19"/>
        <v>0</v>
      </c>
      <c r="J628" s="18">
        <v>11</v>
      </c>
    </row>
    <row r="629" spans="1:10" s="18" customFormat="1" ht="18" customHeight="1">
      <c r="A629" s="318">
        <v>42698</v>
      </c>
      <c r="B629" s="318" t="s">
        <v>2217</v>
      </c>
      <c r="C629" s="318">
        <v>42698</v>
      </c>
      <c r="D629" s="383" t="s">
        <v>2440</v>
      </c>
      <c r="E629" s="318" t="s">
        <v>61</v>
      </c>
      <c r="F629" s="384">
        <v>576000</v>
      </c>
      <c r="G629" s="382">
        <v>0</v>
      </c>
      <c r="H629" s="385">
        <f t="shared" si="18"/>
        <v>315484702</v>
      </c>
      <c r="I629" s="385">
        <f t="shared" si="19"/>
        <v>0</v>
      </c>
      <c r="J629" s="18">
        <v>11</v>
      </c>
    </row>
    <row r="630" spans="1:10" s="18" customFormat="1" ht="18" customHeight="1">
      <c r="A630" s="318">
        <v>42698</v>
      </c>
      <c r="B630" s="318" t="s">
        <v>690</v>
      </c>
      <c r="C630" s="318">
        <v>42698</v>
      </c>
      <c r="D630" s="383" t="s">
        <v>1616</v>
      </c>
      <c r="E630" s="318" t="s">
        <v>25</v>
      </c>
      <c r="F630" s="384">
        <v>4000</v>
      </c>
      <c r="G630" s="382">
        <v>0</v>
      </c>
      <c r="H630" s="385">
        <f t="shared" si="18"/>
        <v>315488702</v>
      </c>
      <c r="I630" s="385">
        <f t="shared" si="19"/>
        <v>0</v>
      </c>
      <c r="J630" s="18">
        <v>11</v>
      </c>
    </row>
    <row r="631" spans="1:10" s="18" customFormat="1" ht="18" customHeight="1">
      <c r="A631" s="318">
        <v>42698</v>
      </c>
      <c r="B631" s="318" t="s">
        <v>690</v>
      </c>
      <c r="C631" s="318">
        <v>42698</v>
      </c>
      <c r="D631" s="383" t="s">
        <v>2342</v>
      </c>
      <c r="E631" s="318" t="s">
        <v>25</v>
      </c>
      <c r="F631" s="384">
        <v>2000</v>
      </c>
      <c r="G631" s="382">
        <v>0</v>
      </c>
      <c r="H631" s="385">
        <f t="shared" si="18"/>
        <v>315490702</v>
      </c>
      <c r="I631" s="385">
        <f t="shared" si="19"/>
        <v>0</v>
      </c>
      <c r="J631" s="18">
        <v>11</v>
      </c>
    </row>
    <row r="632" spans="1:10" s="18" customFormat="1" ht="18" customHeight="1">
      <c r="A632" s="318">
        <v>42698</v>
      </c>
      <c r="B632" s="318" t="s">
        <v>690</v>
      </c>
      <c r="C632" s="318">
        <v>42698</v>
      </c>
      <c r="D632" s="383" t="s">
        <v>2342</v>
      </c>
      <c r="E632" s="318" t="s">
        <v>25</v>
      </c>
      <c r="F632" s="384">
        <v>2000</v>
      </c>
      <c r="G632" s="382">
        <v>0</v>
      </c>
      <c r="H632" s="385">
        <f t="shared" si="18"/>
        <v>315492702</v>
      </c>
      <c r="I632" s="385">
        <f t="shared" si="19"/>
        <v>0</v>
      </c>
      <c r="J632" s="18">
        <v>11</v>
      </c>
    </row>
    <row r="633" spans="1:10" s="18" customFormat="1" ht="18" customHeight="1">
      <c r="A633" s="318">
        <v>42699</v>
      </c>
      <c r="B633" s="318" t="s">
        <v>2218</v>
      </c>
      <c r="C633" s="318">
        <v>42699</v>
      </c>
      <c r="D633" s="383" t="s">
        <v>2486</v>
      </c>
      <c r="E633" s="318" t="s">
        <v>61</v>
      </c>
      <c r="F633" s="384">
        <v>10050</v>
      </c>
      <c r="G633" s="382">
        <v>0</v>
      </c>
      <c r="H633" s="385">
        <f t="shared" si="18"/>
        <v>315502752</v>
      </c>
      <c r="I633" s="385">
        <f t="shared" si="19"/>
        <v>0</v>
      </c>
      <c r="J633" s="18">
        <v>11</v>
      </c>
    </row>
    <row r="634" spans="1:10" s="18" customFormat="1" ht="18" customHeight="1">
      <c r="A634" s="318">
        <v>42699</v>
      </c>
      <c r="B634" s="318" t="s">
        <v>690</v>
      </c>
      <c r="C634" s="318">
        <v>42699</v>
      </c>
      <c r="D634" s="383" t="s">
        <v>1616</v>
      </c>
      <c r="E634" s="318" t="s">
        <v>25</v>
      </c>
      <c r="F634" s="384">
        <v>39570</v>
      </c>
      <c r="G634" s="382">
        <v>0</v>
      </c>
      <c r="H634" s="385">
        <f t="shared" si="18"/>
        <v>315542322</v>
      </c>
      <c r="I634" s="385">
        <f t="shared" si="19"/>
        <v>0</v>
      </c>
      <c r="J634" s="18">
        <v>11</v>
      </c>
    </row>
    <row r="635" spans="1:10" s="18" customFormat="1" ht="18" customHeight="1">
      <c r="A635" s="318">
        <v>42699</v>
      </c>
      <c r="B635" s="318" t="s">
        <v>690</v>
      </c>
      <c r="C635" s="318">
        <v>42699</v>
      </c>
      <c r="D635" s="383" t="s">
        <v>1616</v>
      </c>
      <c r="E635" s="318" t="s">
        <v>25</v>
      </c>
      <c r="F635" s="384">
        <v>43235</v>
      </c>
      <c r="G635" s="382">
        <v>0</v>
      </c>
      <c r="H635" s="385">
        <f t="shared" si="18"/>
        <v>315585557</v>
      </c>
      <c r="I635" s="385">
        <f t="shared" si="19"/>
        <v>0</v>
      </c>
      <c r="J635" s="18">
        <v>11</v>
      </c>
    </row>
    <row r="636" spans="1:10" s="18" customFormat="1" ht="18" customHeight="1">
      <c r="A636" s="318">
        <v>42699</v>
      </c>
      <c r="B636" s="318" t="s">
        <v>690</v>
      </c>
      <c r="C636" s="318">
        <v>42699</v>
      </c>
      <c r="D636" s="383" t="s">
        <v>1616</v>
      </c>
      <c r="E636" s="318" t="s">
        <v>25</v>
      </c>
      <c r="F636" s="384">
        <v>16244</v>
      </c>
      <c r="G636" s="382">
        <v>0</v>
      </c>
      <c r="H636" s="385">
        <f t="shared" si="18"/>
        <v>315601801</v>
      </c>
      <c r="I636" s="385">
        <f t="shared" si="19"/>
        <v>0</v>
      </c>
      <c r="J636" s="18">
        <v>11</v>
      </c>
    </row>
    <row r="637" spans="1:10" s="18" customFormat="1" ht="18" customHeight="1">
      <c r="A637" s="318">
        <v>42702</v>
      </c>
      <c r="B637" s="318" t="s">
        <v>2221</v>
      </c>
      <c r="C637" s="318">
        <v>42702</v>
      </c>
      <c r="D637" s="383" t="s">
        <v>2444</v>
      </c>
      <c r="E637" s="318" t="s">
        <v>61</v>
      </c>
      <c r="F637" s="384">
        <v>1605000</v>
      </c>
      <c r="G637" s="382">
        <v>0</v>
      </c>
      <c r="H637" s="385">
        <f t="shared" si="18"/>
        <v>317206801</v>
      </c>
      <c r="I637" s="385">
        <f t="shared" si="19"/>
        <v>0</v>
      </c>
      <c r="J637" s="18">
        <v>11</v>
      </c>
    </row>
    <row r="638" spans="1:10" s="18" customFormat="1" ht="18" customHeight="1">
      <c r="A638" s="318">
        <v>42702</v>
      </c>
      <c r="B638" s="318" t="s">
        <v>690</v>
      </c>
      <c r="C638" s="318">
        <v>42702</v>
      </c>
      <c r="D638" s="383" t="s">
        <v>2481</v>
      </c>
      <c r="E638" s="318" t="s">
        <v>25</v>
      </c>
      <c r="F638" s="384">
        <v>165961</v>
      </c>
      <c r="G638" s="382">
        <v>0</v>
      </c>
      <c r="H638" s="385">
        <f t="shared" si="18"/>
        <v>317372762</v>
      </c>
      <c r="I638" s="385">
        <f t="shared" si="19"/>
        <v>0</v>
      </c>
      <c r="J638" s="18">
        <v>11</v>
      </c>
    </row>
    <row r="639" spans="1:10" s="18" customFormat="1" ht="18" customHeight="1">
      <c r="A639" s="318">
        <v>42703</v>
      </c>
      <c r="B639" s="318" t="s">
        <v>690</v>
      </c>
      <c r="C639" s="318">
        <v>42703</v>
      </c>
      <c r="D639" s="383" t="s">
        <v>1616</v>
      </c>
      <c r="E639" s="318" t="s">
        <v>25</v>
      </c>
      <c r="F639" s="384">
        <v>1000</v>
      </c>
      <c r="G639" s="382">
        <v>0</v>
      </c>
      <c r="H639" s="385">
        <f t="shared" si="18"/>
        <v>317373762</v>
      </c>
      <c r="I639" s="385">
        <f t="shared" si="19"/>
        <v>0</v>
      </c>
      <c r="J639" s="18">
        <v>11</v>
      </c>
    </row>
    <row r="640" spans="1:10" s="18" customFormat="1" ht="18" customHeight="1">
      <c r="A640" s="318">
        <v>42703</v>
      </c>
      <c r="B640" s="318" t="s">
        <v>690</v>
      </c>
      <c r="C640" s="318">
        <v>42703</v>
      </c>
      <c r="D640" s="383" t="s">
        <v>1616</v>
      </c>
      <c r="E640" s="318" t="s">
        <v>25</v>
      </c>
      <c r="F640" s="384">
        <v>1000</v>
      </c>
      <c r="G640" s="382">
        <v>0</v>
      </c>
      <c r="H640" s="385">
        <f t="shared" si="18"/>
        <v>317374762</v>
      </c>
      <c r="I640" s="385">
        <f t="shared" si="19"/>
        <v>0</v>
      </c>
      <c r="J640" s="18">
        <v>11</v>
      </c>
    </row>
    <row r="641" spans="1:10" s="18" customFormat="1" ht="18" customHeight="1">
      <c r="A641" s="318">
        <v>42703</v>
      </c>
      <c r="B641" s="318" t="s">
        <v>690</v>
      </c>
      <c r="C641" s="318">
        <v>42703</v>
      </c>
      <c r="D641" s="383" t="s">
        <v>1616</v>
      </c>
      <c r="E641" s="318" t="s">
        <v>25</v>
      </c>
      <c r="F641" s="384">
        <v>50223</v>
      </c>
      <c r="G641" s="382">
        <v>0</v>
      </c>
      <c r="H641" s="385">
        <f t="shared" si="18"/>
        <v>317424985</v>
      </c>
      <c r="I641" s="385">
        <f t="shared" si="19"/>
        <v>0</v>
      </c>
      <c r="J641" s="18">
        <v>11</v>
      </c>
    </row>
    <row r="642" spans="1:10" s="18" customFormat="1" ht="18" customHeight="1">
      <c r="A642" s="318">
        <v>42703</v>
      </c>
      <c r="B642" s="318" t="s">
        <v>690</v>
      </c>
      <c r="C642" s="318">
        <v>42703</v>
      </c>
      <c r="D642" s="383" t="s">
        <v>1616</v>
      </c>
      <c r="E642" s="318" t="s">
        <v>25</v>
      </c>
      <c r="F642" s="384">
        <v>45240</v>
      </c>
      <c r="G642" s="382">
        <v>0</v>
      </c>
      <c r="H642" s="385">
        <f t="shared" si="18"/>
        <v>317470225</v>
      </c>
      <c r="I642" s="385">
        <f t="shared" si="19"/>
        <v>0</v>
      </c>
      <c r="J642" s="18">
        <v>11</v>
      </c>
    </row>
    <row r="643" spans="1:10" s="18" customFormat="1" ht="18" customHeight="1">
      <c r="A643" s="318">
        <v>42703</v>
      </c>
      <c r="B643" s="318" t="s">
        <v>690</v>
      </c>
      <c r="C643" s="318">
        <v>42703</v>
      </c>
      <c r="D643" s="383" t="s">
        <v>1616</v>
      </c>
      <c r="E643" s="318" t="s">
        <v>25</v>
      </c>
      <c r="F643" s="384">
        <v>1000</v>
      </c>
      <c r="G643" s="382">
        <v>0</v>
      </c>
      <c r="H643" s="385">
        <f t="shared" si="18"/>
        <v>317471225</v>
      </c>
      <c r="I643" s="385">
        <f t="shared" si="19"/>
        <v>0</v>
      </c>
      <c r="J643" s="18">
        <v>11</v>
      </c>
    </row>
    <row r="644" spans="1:10" s="18" customFormat="1" ht="18" customHeight="1">
      <c r="A644" s="318">
        <v>42704</v>
      </c>
      <c r="B644" s="318" t="s">
        <v>2927</v>
      </c>
      <c r="C644" s="318">
        <v>42704</v>
      </c>
      <c r="D644" s="383" t="s">
        <v>2420</v>
      </c>
      <c r="E644" s="318" t="s">
        <v>61</v>
      </c>
      <c r="F644" s="384">
        <v>294319</v>
      </c>
      <c r="G644" s="382">
        <v>0</v>
      </c>
      <c r="H644" s="385">
        <f t="shared" si="18"/>
        <v>317765544</v>
      </c>
      <c r="I644" s="385">
        <f t="shared" si="19"/>
        <v>0</v>
      </c>
      <c r="J644" s="18">
        <v>11</v>
      </c>
    </row>
    <row r="645" spans="1:10" s="18" customFormat="1" ht="18" customHeight="1">
      <c r="A645" s="318">
        <v>42704</v>
      </c>
      <c r="B645" s="318" t="s">
        <v>2928</v>
      </c>
      <c r="C645" s="318">
        <v>42704</v>
      </c>
      <c r="D645" s="383" t="s">
        <v>1342</v>
      </c>
      <c r="E645" s="318" t="s">
        <v>61</v>
      </c>
      <c r="F645" s="384">
        <v>194545</v>
      </c>
      <c r="G645" s="382">
        <v>0</v>
      </c>
      <c r="H645" s="385">
        <f t="shared" si="18"/>
        <v>317960089</v>
      </c>
      <c r="I645" s="385">
        <f t="shared" si="19"/>
        <v>0</v>
      </c>
      <c r="J645" s="18">
        <v>11</v>
      </c>
    </row>
    <row r="646" spans="1:10" s="18" customFormat="1" ht="18" customHeight="1">
      <c r="A646" s="318">
        <v>42704</v>
      </c>
      <c r="B646" s="318" t="s">
        <v>690</v>
      </c>
      <c r="C646" s="318">
        <v>42704</v>
      </c>
      <c r="D646" s="383" t="s">
        <v>2342</v>
      </c>
      <c r="E646" s="318" t="s">
        <v>25</v>
      </c>
      <c r="F646" s="384">
        <v>2500</v>
      </c>
      <c r="G646" s="382">
        <v>0</v>
      </c>
      <c r="H646" s="385">
        <f t="shared" si="18"/>
        <v>317962589</v>
      </c>
      <c r="I646" s="385">
        <f t="shared" si="19"/>
        <v>0</v>
      </c>
      <c r="J646" s="18">
        <v>11</v>
      </c>
    </row>
    <row r="647" spans="1:10" s="18" customFormat="1" ht="18" customHeight="1">
      <c r="A647" s="318">
        <v>42735</v>
      </c>
      <c r="B647" s="318" t="s">
        <v>113</v>
      </c>
      <c r="C647" s="318">
        <v>42735</v>
      </c>
      <c r="D647" s="383" t="s">
        <v>2553</v>
      </c>
      <c r="E647" s="318" t="s">
        <v>915</v>
      </c>
      <c r="F647" s="384">
        <v>0</v>
      </c>
      <c r="G647" s="382">
        <v>79524100</v>
      </c>
      <c r="H647" s="385">
        <f t="shared" si="18"/>
        <v>238438489</v>
      </c>
      <c r="I647" s="385">
        <f t="shared" si="19"/>
        <v>0</v>
      </c>
      <c r="J647" s="18">
        <v>12</v>
      </c>
    </row>
    <row r="648" spans="1:10" s="18" customFormat="1" ht="18" customHeight="1">
      <c r="A648" s="318">
        <v>42705</v>
      </c>
      <c r="B648" s="318" t="s">
        <v>662</v>
      </c>
      <c r="C648" s="318">
        <v>42705</v>
      </c>
      <c r="D648" s="383" t="s">
        <v>637</v>
      </c>
      <c r="E648" s="318" t="s">
        <v>8</v>
      </c>
      <c r="F648" s="384">
        <v>1800000</v>
      </c>
      <c r="G648" s="382">
        <v>0</v>
      </c>
      <c r="H648" s="385">
        <f t="shared" si="18"/>
        <v>240238489</v>
      </c>
      <c r="I648" s="385">
        <f t="shared" si="19"/>
        <v>0</v>
      </c>
      <c r="J648" s="18">
        <v>12</v>
      </c>
    </row>
    <row r="649" spans="1:10" s="18" customFormat="1" ht="18" customHeight="1">
      <c r="A649" s="318">
        <v>42709</v>
      </c>
      <c r="B649" s="318" t="s">
        <v>666</v>
      </c>
      <c r="C649" s="318">
        <v>42709</v>
      </c>
      <c r="D649" s="383" t="s">
        <v>2555</v>
      </c>
      <c r="E649" s="318" t="s">
        <v>8</v>
      </c>
      <c r="F649" s="384">
        <v>1771570</v>
      </c>
      <c r="G649" s="382">
        <v>0</v>
      </c>
      <c r="H649" s="385">
        <f t="shared" si="18"/>
        <v>242010059</v>
      </c>
      <c r="I649" s="385">
        <f t="shared" si="19"/>
        <v>0</v>
      </c>
      <c r="J649" s="18">
        <v>12</v>
      </c>
    </row>
    <row r="650" spans="1:10" s="18" customFormat="1" ht="18" customHeight="1">
      <c r="A650" s="318">
        <v>42709</v>
      </c>
      <c r="B650" s="318" t="s">
        <v>1421</v>
      </c>
      <c r="C650" s="318">
        <v>42709</v>
      </c>
      <c r="D650" s="383" t="s">
        <v>634</v>
      </c>
      <c r="E650" s="318" t="s">
        <v>8</v>
      </c>
      <c r="F650" s="384">
        <v>900952</v>
      </c>
      <c r="G650" s="382">
        <v>0</v>
      </c>
      <c r="H650" s="385">
        <f t="shared" si="18"/>
        <v>242911011</v>
      </c>
      <c r="I650" s="385">
        <f t="shared" si="19"/>
        <v>0</v>
      </c>
      <c r="J650" s="18">
        <v>12</v>
      </c>
    </row>
    <row r="651" spans="1:10" s="18" customFormat="1" ht="18" customHeight="1">
      <c r="A651" s="318">
        <v>42710</v>
      </c>
      <c r="B651" s="318" t="s">
        <v>2499</v>
      </c>
      <c r="C651" s="318">
        <v>42710</v>
      </c>
      <c r="D651" s="383" t="s">
        <v>2555</v>
      </c>
      <c r="E651" s="318" t="s">
        <v>8</v>
      </c>
      <c r="F651" s="384">
        <v>1610000</v>
      </c>
      <c r="G651" s="382">
        <v>0</v>
      </c>
      <c r="H651" s="385">
        <f t="shared" si="18"/>
        <v>244521011</v>
      </c>
      <c r="I651" s="385">
        <f t="shared" si="19"/>
        <v>0</v>
      </c>
      <c r="J651" s="18">
        <v>12</v>
      </c>
    </row>
    <row r="652" spans="1:10" s="18" customFormat="1" ht="18" customHeight="1">
      <c r="A652" s="318">
        <v>42706</v>
      </c>
      <c r="B652" s="318" t="s">
        <v>664</v>
      </c>
      <c r="C652" s="318">
        <v>42706</v>
      </c>
      <c r="D652" s="383" t="s">
        <v>637</v>
      </c>
      <c r="E652" s="318" t="s">
        <v>8</v>
      </c>
      <c r="F652" s="384">
        <v>1200000</v>
      </c>
      <c r="G652" s="382">
        <v>0</v>
      </c>
      <c r="H652" s="385">
        <f t="shared" si="18"/>
        <v>245721011</v>
      </c>
      <c r="I652" s="385">
        <f t="shared" si="19"/>
        <v>0</v>
      </c>
      <c r="J652" s="18">
        <v>12</v>
      </c>
    </row>
    <row r="653" spans="1:10" s="18" customFormat="1" ht="18" customHeight="1">
      <c r="A653" s="318">
        <v>42705</v>
      </c>
      <c r="B653" s="318" t="s">
        <v>663</v>
      </c>
      <c r="C653" s="318">
        <v>42705</v>
      </c>
      <c r="D653" s="383" t="s">
        <v>637</v>
      </c>
      <c r="E653" s="318" t="s">
        <v>8</v>
      </c>
      <c r="F653" s="384">
        <v>1800000</v>
      </c>
      <c r="G653" s="382">
        <v>0</v>
      </c>
      <c r="H653" s="385">
        <f t="shared" si="18"/>
        <v>247521011</v>
      </c>
      <c r="I653" s="385">
        <f t="shared" si="19"/>
        <v>0</v>
      </c>
      <c r="J653" s="18">
        <v>12</v>
      </c>
    </row>
    <row r="654" spans="1:10" s="18" customFormat="1" ht="18" customHeight="1">
      <c r="A654" s="318">
        <v>42707</v>
      </c>
      <c r="B654" s="318" t="s">
        <v>665</v>
      </c>
      <c r="C654" s="318">
        <v>42707</v>
      </c>
      <c r="D654" s="383" t="s">
        <v>637</v>
      </c>
      <c r="E654" s="318" t="s">
        <v>8</v>
      </c>
      <c r="F654" s="384">
        <v>1800000</v>
      </c>
      <c r="G654" s="382">
        <v>0</v>
      </c>
      <c r="H654" s="385">
        <f t="shared" si="18"/>
        <v>249321011</v>
      </c>
      <c r="I654" s="385">
        <f t="shared" si="19"/>
        <v>0</v>
      </c>
      <c r="J654" s="18">
        <v>12</v>
      </c>
    </row>
    <row r="655" spans="1:10" s="18" customFormat="1" ht="18" customHeight="1">
      <c r="A655" s="318">
        <v>42709</v>
      </c>
      <c r="B655" s="318" t="s">
        <v>667</v>
      </c>
      <c r="C655" s="318">
        <v>42709</v>
      </c>
      <c r="D655" s="383" t="s">
        <v>637</v>
      </c>
      <c r="E655" s="318" t="s">
        <v>8</v>
      </c>
      <c r="F655" s="384">
        <v>1800000</v>
      </c>
      <c r="G655" s="382">
        <v>0</v>
      </c>
      <c r="H655" s="385">
        <f t="shared" si="18"/>
        <v>251121011</v>
      </c>
      <c r="I655" s="385">
        <f t="shared" si="19"/>
        <v>0</v>
      </c>
      <c r="J655" s="18">
        <v>12</v>
      </c>
    </row>
    <row r="656" spans="1:10" s="18" customFormat="1" ht="18" customHeight="1">
      <c r="A656" s="318">
        <v>42710</v>
      </c>
      <c r="B656" s="318" t="s">
        <v>2502</v>
      </c>
      <c r="C656" s="318">
        <v>42710</v>
      </c>
      <c r="D656" s="383" t="s">
        <v>637</v>
      </c>
      <c r="E656" s="318" t="s">
        <v>8</v>
      </c>
      <c r="F656" s="384">
        <v>1800000</v>
      </c>
      <c r="G656" s="382">
        <v>0</v>
      </c>
      <c r="H656" s="385">
        <f t="shared" ref="H656:H719" si="20">IF(D656&lt;&gt;"",MAX(H655+F656-G656-I655,0),0)</f>
        <v>252921011</v>
      </c>
      <c r="I656" s="385">
        <f t="shared" ref="I656:I719" si="21">IF(D656&lt;&gt;"",MAX(I655+G656-H655-F656,0),0)</f>
        <v>0</v>
      </c>
      <c r="J656" s="18">
        <v>12</v>
      </c>
    </row>
    <row r="657" spans="1:10" s="18" customFormat="1" ht="18" customHeight="1">
      <c r="A657" s="318">
        <v>42710</v>
      </c>
      <c r="B657" s="318" t="s">
        <v>2500</v>
      </c>
      <c r="C657" s="318">
        <v>42710</v>
      </c>
      <c r="D657" s="383" t="s">
        <v>637</v>
      </c>
      <c r="E657" s="318" t="s">
        <v>8</v>
      </c>
      <c r="F657" s="384">
        <v>1800000</v>
      </c>
      <c r="G657" s="382">
        <v>0</v>
      </c>
      <c r="H657" s="385">
        <f t="shared" si="20"/>
        <v>254721011</v>
      </c>
      <c r="I657" s="385">
        <f t="shared" si="21"/>
        <v>0</v>
      </c>
      <c r="J657" s="18">
        <v>12</v>
      </c>
    </row>
    <row r="658" spans="1:10" s="18" customFormat="1" ht="18" customHeight="1">
      <c r="A658" s="318">
        <v>42711</v>
      </c>
      <c r="B658" s="318" t="s">
        <v>2515</v>
      </c>
      <c r="C658" s="318">
        <v>42711</v>
      </c>
      <c r="D658" s="383" t="s">
        <v>637</v>
      </c>
      <c r="E658" s="318" t="s">
        <v>8</v>
      </c>
      <c r="F658" s="384">
        <v>1800000</v>
      </c>
      <c r="G658" s="382">
        <v>0</v>
      </c>
      <c r="H658" s="385">
        <f t="shared" si="20"/>
        <v>256521011</v>
      </c>
      <c r="I658" s="385">
        <f t="shared" si="21"/>
        <v>0</v>
      </c>
      <c r="J658" s="18">
        <v>12</v>
      </c>
    </row>
    <row r="659" spans="1:10" s="18" customFormat="1" ht="18" customHeight="1">
      <c r="A659" s="318">
        <v>42714</v>
      </c>
      <c r="B659" s="318" t="s">
        <v>2576</v>
      </c>
      <c r="C659" s="318">
        <v>42714</v>
      </c>
      <c r="D659" s="383" t="s">
        <v>637</v>
      </c>
      <c r="E659" s="318" t="s">
        <v>8</v>
      </c>
      <c r="F659" s="384">
        <v>600000</v>
      </c>
      <c r="G659" s="382">
        <v>0</v>
      </c>
      <c r="H659" s="385">
        <f t="shared" si="20"/>
        <v>257121011</v>
      </c>
      <c r="I659" s="385">
        <f t="shared" si="21"/>
        <v>0</v>
      </c>
      <c r="J659" s="18">
        <v>12</v>
      </c>
    </row>
    <row r="660" spans="1:10" s="18" customFormat="1" ht="18" customHeight="1">
      <c r="A660" s="318">
        <v>42713</v>
      </c>
      <c r="B660" s="318" t="s">
        <v>2516</v>
      </c>
      <c r="C660" s="318">
        <v>42713</v>
      </c>
      <c r="D660" s="383" t="s">
        <v>637</v>
      </c>
      <c r="E660" s="318" t="s">
        <v>8</v>
      </c>
      <c r="F660" s="384">
        <v>1800000</v>
      </c>
      <c r="G660" s="382">
        <v>0</v>
      </c>
      <c r="H660" s="385">
        <f t="shared" si="20"/>
        <v>258921011</v>
      </c>
      <c r="I660" s="385">
        <f t="shared" si="21"/>
        <v>0</v>
      </c>
      <c r="J660" s="18">
        <v>12</v>
      </c>
    </row>
    <row r="661" spans="1:10" s="18" customFormat="1" ht="18" customHeight="1">
      <c r="A661" s="318">
        <v>42716</v>
      </c>
      <c r="B661" s="318" t="s">
        <v>2579</v>
      </c>
      <c r="C661" s="318">
        <v>42716</v>
      </c>
      <c r="D661" s="383" t="s">
        <v>637</v>
      </c>
      <c r="E661" s="318" t="s">
        <v>8</v>
      </c>
      <c r="F661" s="384">
        <v>1800000</v>
      </c>
      <c r="G661" s="382">
        <v>0</v>
      </c>
      <c r="H661" s="385">
        <f t="shared" si="20"/>
        <v>260721011</v>
      </c>
      <c r="I661" s="385">
        <f t="shared" si="21"/>
        <v>0</v>
      </c>
      <c r="J661" s="18">
        <v>12</v>
      </c>
    </row>
    <row r="662" spans="1:10" s="18" customFormat="1" ht="18" customHeight="1">
      <c r="A662" s="318">
        <v>42714</v>
      </c>
      <c r="B662" s="318" t="s">
        <v>2575</v>
      </c>
      <c r="C662" s="318">
        <v>42714</v>
      </c>
      <c r="D662" s="383" t="s">
        <v>637</v>
      </c>
      <c r="E662" s="318" t="s">
        <v>8</v>
      </c>
      <c r="F662" s="384">
        <v>1800000</v>
      </c>
      <c r="G662" s="382">
        <v>0</v>
      </c>
      <c r="H662" s="385">
        <f t="shared" si="20"/>
        <v>262521011</v>
      </c>
      <c r="I662" s="385">
        <f t="shared" si="21"/>
        <v>0</v>
      </c>
      <c r="J662" s="18">
        <v>12</v>
      </c>
    </row>
    <row r="663" spans="1:10" s="18" customFormat="1" ht="18" customHeight="1">
      <c r="A663" s="318">
        <v>42715</v>
      </c>
      <c r="B663" s="318" t="s">
        <v>2577</v>
      </c>
      <c r="C663" s="318">
        <v>42715</v>
      </c>
      <c r="D663" s="383" t="s">
        <v>637</v>
      </c>
      <c r="E663" s="318" t="s">
        <v>8</v>
      </c>
      <c r="F663" s="384">
        <v>1800000</v>
      </c>
      <c r="G663" s="382">
        <v>0</v>
      </c>
      <c r="H663" s="385">
        <f t="shared" si="20"/>
        <v>264321011</v>
      </c>
      <c r="I663" s="385">
        <f t="shared" si="21"/>
        <v>0</v>
      </c>
      <c r="J663" s="18">
        <v>12</v>
      </c>
    </row>
    <row r="664" spans="1:10" s="18" customFormat="1" ht="18" customHeight="1">
      <c r="A664" s="318">
        <v>42724</v>
      </c>
      <c r="B664" s="318" t="s">
        <v>2767</v>
      </c>
      <c r="C664" s="318">
        <v>42724</v>
      </c>
      <c r="D664" s="383" t="s">
        <v>2594</v>
      </c>
      <c r="E664" s="318" t="s">
        <v>8</v>
      </c>
      <c r="F664" s="384">
        <v>120000</v>
      </c>
      <c r="G664" s="382">
        <v>0</v>
      </c>
      <c r="H664" s="385">
        <f t="shared" si="20"/>
        <v>264441011</v>
      </c>
      <c r="I664" s="385">
        <f t="shared" si="21"/>
        <v>0</v>
      </c>
      <c r="J664" s="18">
        <v>12</v>
      </c>
    </row>
    <row r="665" spans="1:10" s="18" customFormat="1" ht="18" customHeight="1">
      <c r="A665" s="318">
        <v>42716</v>
      </c>
      <c r="B665" s="318" t="s">
        <v>2578</v>
      </c>
      <c r="C665" s="318">
        <v>42716</v>
      </c>
      <c r="D665" s="383" t="s">
        <v>637</v>
      </c>
      <c r="E665" s="318" t="s">
        <v>8</v>
      </c>
      <c r="F665" s="384">
        <v>1800000</v>
      </c>
      <c r="G665" s="382">
        <v>0</v>
      </c>
      <c r="H665" s="385">
        <f t="shared" si="20"/>
        <v>266241011</v>
      </c>
      <c r="I665" s="385">
        <f t="shared" si="21"/>
        <v>0</v>
      </c>
      <c r="J665" s="18">
        <v>12</v>
      </c>
    </row>
    <row r="666" spans="1:10" s="18" customFormat="1" ht="18" customHeight="1">
      <c r="A666" s="318">
        <v>42717</v>
      </c>
      <c r="B666" s="318" t="s">
        <v>2592</v>
      </c>
      <c r="C666" s="318">
        <v>42717</v>
      </c>
      <c r="D666" s="383" t="s">
        <v>637</v>
      </c>
      <c r="E666" s="318" t="s">
        <v>8</v>
      </c>
      <c r="F666" s="384">
        <v>1800000</v>
      </c>
      <c r="G666" s="382">
        <v>0</v>
      </c>
      <c r="H666" s="385">
        <f t="shared" si="20"/>
        <v>268041011</v>
      </c>
      <c r="I666" s="385">
        <f t="shared" si="21"/>
        <v>0</v>
      </c>
      <c r="J666" s="18">
        <v>12</v>
      </c>
    </row>
    <row r="667" spans="1:10" s="18" customFormat="1" ht="18" customHeight="1">
      <c r="A667" s="318">
        <v>42718</v>
      </c>
      <c r="B667" s="318" t="s">
        <v>2665</v>
      </c>
      <c r="C667" s="318">
        <v>42718</v>
      </c>
      <c r="D667" s="383" t="s">
        <v>637</v>
      </c>
      <c r="E667" s="318" t="s">
        <v>8</v>
      </c>
      <c r="F667" s="384">
        <v>1800000</v>
      </c>
      <c r="G667" s="382">
        <v>0</v>
      </c>
      <c r="H667" s="385">
        <f t="shared" si="20"/>
        <v>269841011</v>
      </c>
      <c r="I667" s="385">
        <f t="shared" si="21"/>
        <v>0</v>
      </c>
      <c r="J667" s="18">
        <v>12</v>
      </c>
    </row>
    <row r="668" spans="1:10" s="18" customFormat="1" ht="18" customHeight="1">
      <c r="A668" s="318">
        <v>42725</v>
      </c>
      <c r="B668" s="318" t="s">
        <v>2772</v>
      </c>
      <c r="C668" s="318">
        <v>42725</v>
      </c>
      <c r="D668" s="383" t="s">
        <v>2594</v>
      </c>
      <c r="E668" s="318" t="s">
        <v>8</v>
      </c>
      <c r="F668" s="384">
        <v>1200000</v>
      </c>
      <c r="G668" s="382">
        <v>0</v>
      </c>
      <c r="H668" s="385">
        <f t="shared" si="20"/>
        <v>271041011</v>
      </c>
      <c r="I668" s="385">
        <f t="shared" si="21"/>
        <v>0</v>
      </c>
      <c r="J668" s="18">
        <v>12</v>
      </c>
    </row>
    <row r="669" spans="1:10" s="18" customFormat="1" ht="18" customHeight="1">
      <c r="A669" s="318">
        <v>42719</v>
      </c>
      <c r="B669" s="318" t="s">
        <v>2666</v>
      </c>
      <c r="C669" s="318">
        <v>42719</v>
      </c>
      <c r="D669" s="383" t="s">
        <v>637</v>
      </c>
      <c r="E669" s="318" t="s">
        <v>8</v>
      </c>
      <c r="F669" s="384">
        <v>1800000</v>
      </c>
      <c r="G669" s="382">
        <v>0</v>
      </c>
      <c r="H669" s="385">
        <f t="shared" si="20"/>
        <v>272841011</v>
      </c>
      <c r="I669" s="385">
        <f t="shared" si="21"/>
        <v>0</v>
      </c>
      <c r="J669" s="18">
        <v>12</v>
      </c>
    </row>
    <row r="670" spans="1:10" s="18" customFormat="1" ht="18" customHeight="1">
      <c r="A670" s="318">
        <v>42720</v>
      </c>
      <c r="B670" s="318" t="s">
        <v>2687</v>
      </c>
      <c r="C670" s="318">
        <v>42720</v>
      </c>
      <c r="D670" s="383" t="s">
        <v>637</v>
      </c>
      <c r="E670" s="318" t="s">
        <v>8</v>
      </c>
      <c r="F670" s="384">
        <v>1800000</v>
      </c>
      <c r="G670" s="382">
        <v>0</v>
      </c>
      <c r="H670" s="385">
        <f t="shared" si="20"/>
        <v>274641011</v>
      </c>
      <c r="I670" s="385">
        <f t="shared" si="21"/>
        <v>0</v>
      </c>
      <c r="J670" s="18">
        <v>12</v>
      </c>
    </row>
    <row r="671" spans="1:10" s="18" customFormat="1" ht="18" customHeight="1">
      <c r="A671" s="318">
        <v>42719</v>
      </c>
      <c r="B671" s="318" t="s">
        <v>2685</v>
      </c>
      <c r="C671" s="318">
        <v>42719</v>
      </c>
      <c r="D671" s="383" t="s">
        <v>637</v>
      </c>
      <c r="E671" s="318" t="s">
        <v>8</v>
      </c>
      <c r="F671" s="384">
        <v>1800000</v>
      </c>
      <c r="G671" s="382">
        <v>0</v>
      </c>
      <c r="H671" s="385">
        <f t="shared" si="20"/>
        <v>276441011</v>
      </c>
      <c r="I671" s="385">
        <f t="shared" si="21"/>
        <v>0</v>
      </c>
      <c r="J671" s="18">
        <v>12</v>
      </c>
    </row>
    <row r="672" spans="1:10" s="18" customFormat="1" ht="18" customHeight="1">
      <c r="A672" s="318">
        <v>42728</v>
      </c>
      <c r="B672" s="318" t="s">
        <v>2889</v>
      </c>
      <c r="C672" s="318">
        <v>42728</v>
      </c>
      <c r="D672" s="383" t="s">
        <v>637</v>
      </c>
      <c r="E672" s="318" t="s">
        <v>8</v>
      </c>
      <c r="F672" s="384">
        <v>607200</v>
      </c>
      <c r="G672" s="382">
        <v>0</v>
      </c>
      <c r="H672" s="385">
        <f t="shared" si="20"/>
        <v>277048211</v>
      </c>
      <c r="I672" s="385">
        <f t="shared" si="21"/>
        <v>0</v>
      </c>
      <c r="J672" s="18">
        <v>12</v>
      </c>
    </row>
    <row r="673" spans="1:10" s="18" customFormat="1" ht="18" customHeight="1">
      <c r="A673" s="318">
        <v>42728</v>
      </c>
      <c r="B673" s="318" t="s">
        <v>2889</v>
      </c>
      <c r="C673" s="318">
        <v>42728</v>
      </c>
      <c r="D673" s="383" t="s">
        <v>637</v>
      </c>
      <c r="E673" s="318" t="s">
        <v>8</v>
      </c>
      <c r="F673" s="384">
        <v>393900</v>
      </c>
      <c r="G673" s="382">
        <v>0</v>
      </c>
      <c r="H673" s="385">
        <f t="shared" si="20"/>
        <v>277442111</v>
      </c>
      <c r="I673" s="385">
        <f t="shared" si="21"/>
        <v>0</v>
      </c>
      <c r="J673" s="18">
        <v>12</v>
      </c>
    </row>
    <row r="674" spans="1:10" s="18" customFormat="1" ht="18" customHeight="1">
      <c r="A674" s="318">
        <v>42728</v>
      </c>
      <c r="B674" s="318" t="s">
        <v>2889</v>
      </c>
      <c r="C674" s="318">
        <v>42728</v>
      </c>
      <c r="D674" s="383" t="s">
        <v>637</v>
      </c>
      <c r="E674" s="318" t="s">
        <v>8</v>
      </c>
      <c r="F674" s="384">
        <v>170000</v>
      </c>
      <c r="G674" s="382">
        <v>0</v>
      </c>
      <c r="H674" s="385">
        <f t="shared" si="20"/>
        <v>277612111</v>
      </c>
      <c r="I674" s="385">
        <f t="shared" si="21"/>
        <v>0</v>
      </c>
      <c r="J674" s="18">
        <v>12</v>
      </c>
    </row>
    <row r="675" spans="1:10" s="18" customFormat="1" ht="18" customHeight="1">
      <c r="A675" s="318">
        <v>42728</v>
      </c>
      <c r="B675" s="318" t="s">
        <v>2889</v>
      </c>
      <c r="C675" s="318">
        <v>42728</v>
      </c>
      <c r="D675" s="383" t="s">
        <v>637</v>
      </c>
      <c r="E675" s="318" t="s">
        <v>8</v>
      </c>
      <c r="F675" s="384">
        <v>598500</v>
      </c>
      <c r="G675" s="382">
        <v>0</v>
      </c>
      <c r="H675" s="385">
        <f t="shared" si="20"/>
        <v>278210611</v>
      </c>
      <c r="I675" s="385">
        <f t="shared" si="21"/>
        <v>0</v>
      </c>
      <c r="J675" s="18">
        <v>12</v>
      </c>
    </row>
    <row r="676" spans="1:10" s="18" customFormat="1" ht="18" customHeight="1">
      <c r="A676" s="318">
        <v>42721</v>
      </c>
      <c r="B676" s="318" t="s">
        <v>2690</v>
      </c>
      <c r="C676" s="318">
        <v>42721</v>
      </c>
      <c r="D676" s="383" t="s">
        <v>637</v>
      </c>
      <c r="E676" s="318" t="s">
        <v>8</v>
      </c>
      <c r="F676" s="384">
        <v>1800000</v>
      </c>
      <c r="G676" s="382">
        <v>0</v>
      </c>
      <c r="H676" s="385">
        <f t="shared" si="20"/>
        <v>280010611</v>
      </c>
      <c r="I676" s="385">
        <f t="shared" si="21"/>
        <v>0</v>
      </c>
      <c r="J676" s="18">
        <v>12</v>
      </c>
    </row>
    <row r="677" spans="1:10" s="18" customFormat="1" ht="18" customHeight="1">
      <c r="A677" s="318">
        <v>42722</v>
      </c>
      <c r="B677" s="318" t="s">
        <v>2693</v>
      </c>
      <c r="C677" s="318">
        <v>42722</v>
      </c>
      <c r="D677" s="383" t="s">
        <v>637</v>
      </c>
      <c r="E677" s="318" t="s">
        <v>8</v>
      </c>
      <c r="F677" s="384">
        <v>1800000</v>
      </c>
      <c r="G677" s="382">
        <v>0</v>
      </c>
      <c r="H677" s="385">
        <f t="shared" si="20"/>
        <v>281810611</v>
      </c>
      <c r="I677" s="385">
        <f t="shared" si="21"/>
        <v>0</v>
      </c>
      <c r="J677" s="18">
        <v>12</v>
      </c>
    </row>
    <row r="678" spans="1:10" s="18" customFormat="1" ht="18" customHeight="1">
      <c r="A678" s="318">
        <v>42720</v>
      </c>
      <c r="B678" s="318" t="s">
        <v>2689</v>
      </c>
      <c r="C678" s="318">
        <v>42720</v>
      </c>
      <c r="D678" s="383" t="s">
        <v>637</v>
      </c>
      <c r="E678" s="318" t="s">
        <v>8</v>
      </c>
      <c r="F678" s="384">
        <v>1800000</v>
      </c>
      <c r="G678" s="382">
        <v>0</v>
      </c>
      <c r="H678" s="385">
        <f t="shared" si="20"/>
        <v>283610611</v>
      </c>
      <c r="I678" s="385">
        <f t="shared" si="21"/>
        <v>0</v>
      </c>
      <c r="J678" s="18">
        <v>12</v>
      </c>
    </row>
    <row r="679" spans="1:10" s="18" customFormat="1" ht="18" customHeight="1">
      <c r="A679" s="318">
        <v>42723</v>
      </c>
      <c r="B679" s="318" t="s">
        <v>2765</v>
      </c>
      <c r="C679" s="318">
        <v>42723</v>
      </c>
      <c r="D679" s="383" t="s">
        <v>637</v>
      </c>
      <c r="E679" s="318" t="s">
        <v>8</v>
      </c>
      <c r="F679" s="384">
        <v>1800000</v>
      </c>
      <c r="G679" s="382">
        <v>0</v>
      </c>
      <c r="H679" s="385">
        <f t="shared" si="20"/>
        <v>285410611</v>
      </c>
      <c r="I679" s="385">
        <f t="shared" si="21"/>
        <v>0</v>
      </c>
      <c r="J679" s="18">
        <v>12</v>
      </c>
    </row>
    <row r="680" spans="1:10" s="18" customFormat="1" ht="18" customHeight="1">
      <c r="A680" s="318">
        <v>42719</v>
      </c>
      <c r="B680" s="318" t="s">
        <v>570</v>
      </c>
      <c r="C680" s="318">
        <v>42719</v>
      </c>
      <c r="D680" s="383" t="s">
        <v>2598</v>
      </c>
      <c r="E680" s="318" t="s">
        <v>8</v>
      </c>
      <c r="F680" s="384">
        <v>2143050</v>
      </c>
      <c r="G680" s="382">
        <v>0</v>
      </c>
      <c r="H680" s="385">
        <f t="shared" si="20"/>
        <v>287553661</v>
      </c>
      <c r="I680" s="385">
        <f t="shared" si="21"/>
        <v>0</v>
      </c>
      <c r="J680" s="18">
        <v>12</v>
      </c>
    </row>
    <row r="681" spans="1:10" s="18" customFormat="1" ht="18" customHeight="1">
      <c r="A681" s="318">
        <v>42734</v>
      </c>
      <c r="B681" s="318" t="s">
        <v>570</v>
      </c>
      <c r="C681" s="318">
        <v>42683</v>
      </c>
      <c r="D681" s="383" t="s">
        <v>755</v>
      </c>
      <c r="E681" s="318" t="s">
        <v>8</v>
      </c>
      <c r="F681" s="384">
        <v>2240000</v>
      </c>
      <c r="G681" s="382">
        <v>0</v>
      </c>
      <c r="H681" s="385">
        <f t="shared" si="20"/>
        <v>289793661</v>
      </c>
      <c r="I681" s="385">
        <f t="shared" si="21"/>
        <v>0</v>
      </c>
      <c r="J681" s="18">
        <v>12</v>
      </c>
    </row>
    <row r="682" spans="1:10" s="18" customFormat="1" ht="18" customHeight="1">
      <c r="A682" s="318">
        <v>42734</v>
      </c>
      <c r="B682" s="318" t="s">
        <v>570</v>
      </c>
      <c r="C682" s="318">
        <v>42703</v>
      </c>
      <c r="D682" s="383" t="s">
        <v>755</v>
      </c>
      <c r="E682" s="318" t="s">
        <v>8</v>
      </c>
      <c r="F682" s="384">
        <v>4760000</v>
      </c>
      <c r="G682" s="382">
        <v>0</v>
      </c>
      <c r="H682" s="385">
        <f t="shared" si="20"/>
        <v>294553661</v>
      </c>
      <c r="I682" s="385">
        <f t="shared" si="21"/>
        <v>0</v>
      </c>
      <c r="J682" s="18">
        <v>12</v>
      </c>
    </row>
    <row r="683" spans="1:10" s="18" customFormat="1" ht="18" customHeight="1">
      <c r="A683" s="318">
        <v>42734</v>
      </c>
      <c r="B683" s="318" t="s">
        <v>570</v>
      </c>
      <c r="C683" s="318">
        <v>42714</v>
      </c>
      <c r="D683" s="383" t="s">
        <v>755</v>
      </c>
      <c r="E683" s="318" t="s">
        <v>8</v>
      </c>
      <c r="F683" s="384">
        <v>3780000</v>
      </c>
      <c r="G683" s="382">
        <v>0</v>
      </c>
      <c r="H683" s="385">
        <f t="shared" si="20"/>
        <v>298333661</v>
      </c>
      <c r="I683" s="385">
        <f t="shared" si="21"/>
        <v>0</v>
      </c>
      <c r="J683" s="18">
        <v>12</v>
      </c>
    </row>
    <row r="684" spans="1:10" s="18" customFormat="1" ht="18" customHeight="1">
      <c r="A684" s="318">
        <v>42734</v>
      </c>
      <c r="B684" s="318" t="s">
        <v>570</v>
      </c>
      <c r="C684" s="318">
        <v>42720</v>
      </c>
      <c r="D684" s="383" t="s">
        <v>755</v>
      </c>
      <c r="E684" s="318" t="s">
        <v>8</v>
      </c>
      <c r="F684" s="384">
        <v>3500000</v>
      </c>
      <c r="G684" s="382">
        <v>0</v>
      </c>
      <c r="H684" s="385">
        <f t="shared" si="20"/>
        <v>301833661</v>
      </c>
      <c r="I684" s="385">
        <f t="shared" si="21"/>
        <v>0</v>
      </c>
      <c r="J684" s="18">
        <v>12</v>
      </c>
    </row>
    <row r="685" spans="1:10" s="18" customFormat="1" ht="18" customHeight="1">
      <c r="A685" s="318">
        <v>42734</v>
      </c>
      <c r="B685" s="318" t="s">
        <v>570</v>
      </c>
      <c r="C685" s="318">
        <v>42704</v>
      </c>
      <c r="D685" s="383" t="s">
        <v>2529</v>
      </c>
      <c r="E685" s="318" t="s">
        <v>8</v>
      </c>
      <c r="F685" s="384">
        <v>1909091</v>
      </c>
      <c r="G685" s="382">
        <v>0</v>
      </c>
      <c r="H685" s="385">
        <f t="shared" si="20"/>
        <v>303742752</v>
      </c>
      <c r="I685" s="385">
        <f t="shared" si="21"/>
        <v>0</v>
      </c>
      <c r="J685" s="18">
        <v>12</v>
      </c>
    </row>
    <row r="686" spans="1:10" s="18" customFormat="1" ht="18" customHeight="1">
      <c r="A686" s="318">
        <v>42707</v>
      </c>
      <c r="B686" s="318" t="s">
        <v>570</v>
      </c>
      <c r="C686" s="318">
        <v>42707</v>
      </c>
      <c r="D686" s="383" t="s">
        <v>1117</v>
      </c>
      <c r="E686" s="318" t="s">
        <v>8</v>
      </c>
      <c r="F686" s="384">
        <v>2088926</v>
      </c>
      <c r="G686" s="382">
        <v>0</v>
      </c>
      <c r="H686" s="385">
        <f t="shared" si="20"/>
        <v>305831678</v>
      </c>
      <c r="I686" s="385">
        <f t="shared" si="21"/>
        <v>0</v>
      </c>
      <c r="J686" s="18">
        <v>12</v>
      </c>
    </row>
    <row r="687" spans="1:10" s="18" customFormat="1" ht="18" customHeight="1">
      <c r="A687" s="318">
        <v>42718</v>
      </c>
      <c r="B687" s="318" t="s">
        <v>570</v>
      </c>
      <c r="C687" s="318">
        <v>42718</v>
      </c>
      <c r="D687" s="383" t="s">
        <v>1117</v>
      </c>
      <c r="E687" s="318" t="s">
        <v>8</v>
      </c>
      <c r="F687" s="384">
        <v>3028576</v>
      </c>
      <c r="G687" s="382">
        <v>0</v>
      </c>
      <c r="H687" s="385">
        <f t="shared" si="20"/>
        <v>308860254</v>
      </c>
      <c r="I687" s="385">
        <f t="shared" si="21"/>
        <v>0</v>
      </c>
      <c r="J687" s="18">
        <v>12</v>
      </c>
    </row>
    <row r="688" spans="1:10" s="18" customFormat="1" ht="18" customHeight="1">
      <c r="A688" s="318">
        <v>42724</v>
      </c>
      <c r="B688" s="318" t="s">
        <v>570</v>
      </c>
      <c r="C688" s="318">
        <v>42724</v>
      </c>
      <c r="D688" s="383" t="s">
        <v>1117</v>
      </c>
      <c r="E688" s="318" t="s">
        <v>8</v>
      </c>
      <c r="F688" s="384">
        <v>3039240</v>
      </c>
      <c r="G688" s="382">
        <v>0</v>
      </c>
      <c r="H688" s="385">
        <f t="shared" si="20"/>
        <v>311899494</v>
      </c>
      <c r="I688" s="385">
        <f t="shared" si="21"/>
        <v>0</v>
      </c>
      <c r="J688" s="18">
        <v>12</v>
      </c>
    </row>
    <row r="689" spans="1:10" s="18" customFormat="1" ht="18" customHeight="1">
      <c r="A689" s="318">
        <v>42731</v>
      </c>
      <c r="B689" s="318" t="s">
        <v>570</v>
      </c>
      <c r="C689" s="318">
        <v>42731</v>
      </c>
      <c r="D689" s="383" t="s">
        <v>1117</v>
      </c>
      <c r="E689" s="318" t="s">
        <v>8</v>
      </c>
      <c r="F689" s="384">
        <v>3040573</v>
      </c>
      <c r="G689" s="382">
        <v>0</v>
      </c>
      <c r="H689" s="385">
        <f t="shared" si="20"/>
        <v>314940067</v>
      </c>
      <c r="I689" s="385">
        <f t="shared" si="21"/>
        <v>0</v>
      </c>
      <c r="J689" s="18">
        <v>12</v>
      </c>
    </row>
    <row r="690" spans="1:10" s="18" customFormat="1" ht="18" customHeight="1">
      <c r="A690" s="318">
        <v>42723</v>
      </c>
      <c r="B690" s="318" t="s">
        <v>570</v>
      </c>
      <c r="C690" s="318">
        <v>42723</v>
      </c>
      <c r="D690" s="383" t="s">
        <v>625</v>
      </c>
      <c r="E690" s="318" t="s">
        <v>8</v>
      </c>
      <c r="F690" s="384">
        <v>200000</v>
      </c>
      <c r="G690" s="382">
        <v>0</v>
      </c>
      <c r="H690" s="385">
        <f t="shared" si="20"/>
        <v>315140067</v>
      </c>
      <c r="I690" s="385">
        <f t="shared" si="21"/>
        <v>0</v>
      </c>
      <c r="J690" s="18">
        <v>12</v>
      </c>
    </row>
    <row r="691" spans="1:10" s="18" customFormat="1" ht="18" customHeight="1">
      <c r="A691" s="318">
        <v>42719</v>
      </c>
      <c r="B691" s="318" t="s">
        <v>570</v>
      </c>
      <c r="C691" s="318">
        <v>42719</v>
      </c>
      <c r="D691" s="383" t="s">
        <v>2819</v>
      </c>
      <c r="E691" s="318" t="s">
        <v>8</v>
      </c>
      <c r="F691" s="384">
        <v>3893670</v>
      </c>
      <c r="G691" s="382">
        <v>0</v>
      </c>
      <c r="H691" s="385">
        <f t="shared" si="20"/>
        <v>319033737</v>
      </c>
      <c r="I691" s="385">
        <f t="shared" si="21"/>
        <v>0</v>
      </c>
      <c r="J691" s="18">
        <v>12</v>
      </c>
    </row>
    <row r="692" spans="1:10" s="18" customFormat="1" ht="18" customHeight="1">
      <c r="A692" s="318">
        <v>42730</v>
      </c>
      <c r="B692" s="318" t="s">
        <v>570</v>
      </c>
      <c r="C692" s="318">
        <v>42730</v>
      </c>
      <c r="D692" s="383" t="s">
        <v>625</v>
      </c>
      <c r="E692" s="318" t="s">
        <v>8</v>
      </c>
      <c r="F692" s="384">
        <v>513592</v>
      </c>
      <c r="G692" s="382">
        <v>0</v>
      </c>
      <c r="H692" s="385">
        <f t="shared" si="20"/>
        <v>319547329</v>
      </c>
      <c r="I692" s="385">
        <f t="shared" si="21"/>
        <v>0</v>
      </c>
      <c r="J692" s="18">
        <v>12</v>
      </c>
    </row>
    <row r="693" spans="1:10" s="18" customFormat="1" ht="18" customHeight="1">
      <c r="A693" s="318">
        <v>42710</v>
      </c>
      <c r="B693" s="318" t="s">
        <v>570</v>
      </c>
      <c r="C693" s="318">
        <v>42710</v>
      </c>
      <c r="D693" s="383" t="s">
        <v>2281</v>
      </c>
      <c r="E693" s="318" t="s">
        <v>8</v>
      </c>
      <c r="F693" s="384">
        <v>26000000</v>
      </c>
      <c r="G693" s="382">
        <v>0</v>
      </c>
      <c r="H693" s="385">
        <f t="shared" si="20"/>
        <v>345547329</v>
      </c>
      <c r="I693" s="385">
        <f t="shared" si="21"/>
        <v>0</v>
      </c>
      <c r="J693" s="18">
        <v>12</v>
      </c>
    </row>
    <row r="694" spans="1:10" s="18" customFormat="1" ht="18" customHeight="1">
      <c r="A694" s="318">
        <v>42715</v>
      </c>
      <c r="B694" s="318" t="s">
        <v>570</v>
      </c>
      <c r="C694" s="318">
        <v>42715</v>
      </c>
      <c r="D694" s="383" t="s">
        <v>2281</v>
      </c>
      <c r="E694" s="318" t="s">
        <v>8</v>
      </c>
      <c r="F694" s="384">
        <v>26000000</v>
      </c>
      <c r="G694" s="382">
        <v>0</v>
      </c>
      <c r="H694" s="385">
        <f t="shared" si="20"/>
        <v>371547329</v>
      </c>
      <c r="I694" s="385">
        <f t="shared" si="21"/>
        <v>0</v>
      </c>
      <c r="J694" s="18">
        <v>12</v>
      </c>
    </row>
    <row r="695" spans="1:10" s="18" customFormat="1" ht="18" customHeight="1">
      <c r="A695" s="318">
        <v>42705</v>
      </c>
      <c r="B695" s="318" t="s">
        <v>570</v>
      </c>
      <c r="C695" s="318">
        <v>42674</v>
      </c>
      <c r="D695" s="383" t="s">
        <v>2131</v>
      </c>
      <c r="E695" s="318" t="s">
        <v>8</v>
      </c>
      <c r="F695" s="384">
        <v>506878</v>
      </c>
      <c r="G695" s="382">
        <v>0</v>
      </c>
      <c r="H695" s="385">
        <f t="shared" si="20"/>
        <v>372054207</v>
      </c>
      <c r="I695" s="385">
        <f t="shared" si="21"/>
        <v>0</v>
      </c>
      <c r="J695" s="18">
        <v>12</v>
      </c>
    </row>
    <row r="696" spans="1:10" s="18" customFormat="1" ht="18" customHeight="1">
      <c r="A696" s="318">
        <v>42728</v>
      </c>
      <c r="B696" s="318" t="s">
        <v>2889</v>
      </c>
      <c r="C696" s="318">
        <v>42728</v>
      </c>
      <c r="D696" s="383" t="s">
        <v>637</v>
      </c>
      <c r="E696" s="318" t="s">
        <v>8</v>
      </c>
      <c r="F696" s="384">
        <v>819450</v>
      </c>
      <c r="G696" s="382">
        <v>0</v>
      </c>
      <c r="H696" s="385">
        <f t="shared" si="20"/>
        <v>372873657</v>
      </c>
      <c r="I696" s="385">
        <f t="shared" si="21"/>
        <v>0</v>
      </c>
      <c r="J696" s="18">
        <v>12</v>
      </c>
    </row>
    <row r="697" spans="1:10" s="18" customFormat="1" ht="18" customHeight="1">
      <c r="A697" s="318">
        <v>42727</v>
      </c>
      <c r="B697" s="318" t="s">
        <v>2777</v>
      </c>
      <c r="C697" s="318">
        <v>42727</v>
      </c>
      <c r="D697" s="383" t="s">
        <v>2895</v>
      </c>
      <c r="E697" s="318" t="s">
        <v>8</v>
      </c>
      <c r="F697" s="384">
        <v>9941400</v>
      </c>
      <c r="G697" s="382">
        <v>0</v>
      </c>
      <c r="H697" s="385">
        <f t="shared" si="20"/>
        <v>382815057</v>
      </c>
      <c r="I697" s="385">
        <f t="shared" si="21"/>
        <v>0</v>
      </c>
      <c r="J697" s="18">
        <v>12</v>
      </c>
    </row>
    <row r="698" spans="1:10" s="18" customFormat="1" ht="18" customHeight="1">
      <c r="A698" s="318">
        <v>42719</v>
      </c>
      <c r="B698" s="318" t="s">
        <v>570</v>
      </c>
      <c r="C698" s="318">
        <v>42719</v>
      </c>
      <c r="D698" s="383" t="s">
        <v>2281</v>
      </c>
      <c r="E698" s="318" t="s">
        <v>8</v>
      </c>
      <c r="F698" s="384">
        <v>52000000</v>
      </c>
      <c r="G698" s="382">
        <v>0</v>
      </c>
      <c r="H698" s="385">
        <f t="shared" si="20"/>
        <v>434815057</v>
      </c>
      <c r="I698" s="385">
        <f t="shared" si="21"/>
        <v>0</v>
      </c>
      <c r="J698" s="18">
        <v>12</v>
      </c>
    </row>
    <row r="699" spans="1:10" s="18" customFormat="1" ht="18" customHeight="1">
      <c r="A699" s="318">
        <v>42722</v>
      </c>
      <c r="B699" s="318" t="s">
        <v>570</v>
      </c>
      <c r="C699" s="318">
        <v>42722</v>
      </c>
      <c r="D699" s="383" t="s">
        <v>2281</v>
      </c>
      <c r="E699" s="318" t="s">
        <v>8</v>
      </c>
      <c r="F699" s="384">
        <v>26000000</v>
      </c>
      <c r="G699" s="382">
        <v>0</v>
      </c>
      <c r="H699" s="385">
        <f t="shared" si="20"/>
        <v>460815057</v>
      </c>
      <c r="I699" s="385">
        <f t="shared" si="21"/>
        <v>0</v>
      </c>
      <c r="J699" s="18">
        <v>12</v>
      </c>
    </row>
    <row r="700" spans="1:10" s="18" customFormat="1" ht="18" customHeight="1">
      <c r="A700" s="318">
        <v>42734</v>
      </c>
      <c r="B700" s="318" t="s">
        <v>570</v>
      </c>
      <c r="C700" s="318">
        <v>42734</v>
      </c>
      <c r="D700" s="383" t="s">
        <v>625</v>
      </c>
      <c r="E700" s="318" t="s">
        <v>8</v>
      </c>
      <c r="F700" s="384">
        <v>200000</v>
      </c>
      <c r="G700" s="382">
        <v>0</v>
      </c>
      <c r="H700" s="385">
        <f t="shared" si="20"/>
        <v>461015057</v>
      </c>
      <c r="I700" s="385">
        <f t="shared" si="21"/>
        <v>0</v>
      </c>
      <c r="J700" s="18">
        <v>12</v>
      </c>
    </row>
    <row r="701" spans="1:10" s="18" customFormat="1" ht="18" customHeight="1">
      <c r="A701" s="318">
        <v>42705</v>
      </c>
      <c r="B701" s="318" t="s">
        <v>570</v>
      </c>
      <c r="C701" s="318">
        <v>42704</v>
      </c>
      <c r="D701" s="383" t="s">
        <v>2131</v>
      </c>
      <c r="E701" s="318" t="s">
        <v>8</v>
      </c>
      <c r="F701" s="384">
        <v>500427</v>
      </c>
      <c r="G701" s="382">
        <v>0</v>
      </c>
      <c r="H701" s="385">
        <f t="shared" si="20"/>
        <v>461515484</v>
      </c>
      <c r="I701" s="385">
        <f t="shared" si="21"/>
        <v>0</v>
      </c>
      <c r="J701" s="18">
        <v>12</v>
      </c>
    </row>
    <row r="702" spans="1:10" s="18" customFormat="1" ht="18" customHeight="1">
      <c r="A702" s="318">
        <v>42710</v>
      </c>
      <c r="B702" s="318" t="s">
        <v>570</v>
      </c>
      <c r="C702" s="318">
        <v>42710</v>
      </c>
      <c r="D702" s="383" t="s">
        <v>2625</v>
      </c>
      <c r="E702" s="318" t="s">
        <v>8</v>
      </c>
      <c r="F702" s="384">
        <v>2970900</v>
      </c>
      <c r="G702" s="382">
        <v>0</v>
      </c>
      <c r="H702" s="385">
        <f t="shared" si="20"/>
        <v>464486384</v>
      </c>
      <c r="I702" s="385">
        <f t="shared" si="21"/>
        <v>0</v>
      </c>
      <c r="J702" s="18">
        <v>12</v>
      </c>
    </row>
    <row r="703" spans="1:10" s="18" customFormat="1" ht="18" customHeight="1">
      <c r="A703" s="318">
        <v>42706</v>
      </c>
      <c r="B703" s="318" t="s">
        <v>570</v>
      </c>
      <c r="C703" s="318">
        <v>42706</v>
      </c>
      <c r="D703" s="383" t="s">
        <v>2384</v>
      </c>
      <c r="E703" s="318" t="s">
        <v>8</v>
      </c>
      <c r="F703" s="384">
        <v>383467</v>
      </c>
      <c r="G703" s="382">
        <v>0</v>
      </c>
      <c r="H703" s="385">
        <f t="shared" si="20"/>
        <v>464869851</v>
      </c>
      <c r="I703" s="385">
        <f t="shared" si="21"/>
        <v>0</v>
      </c>
      <c r="J703" s="18">
        <v>12</v>
      </c>
    </row>
    <row r="704" spans="1:10" s="18" customFormat="1" ht="18" customHeight="1">
      <c r="A704" s="318">
        <v>42728</v>
      </c>
      <c r="B704" s="318" t="s">
        <v>2889</v>
      </c>
      <c r="C704" s="318">
        <v>42728</v>
      </c>
      <c r="D704" s="383" t="s">
        <v>637</v>
      </c>
      <c r="E704" s="318" t="s">
        <v>8</v>
      </c>
      <c r="F704" s="384">
        <v>1404000</v>
      </c>
      <c r="G704" s="382">
        <v>0</v>
      </c>
      <c r="H704" s="385">
        <f t="shared" si="20"/>
        <v>466273851</v>
      </c>
      <c r="I704" s="385">
        <f t="shared" si="21"/>
        <v>0</v>
      </c>
      <c r="J704" s="18">
        <v>12</v>
      </c>
    </row>
    <row r="705" spans="1:10" s="18" customFormat="1" ht="18" customHeight="1">
      <c r="A705" s="318">
        <v>42735</v>
      </c>
      <c r="B705" s="318" t="s">
        <v>570</v>
      </c>
      <c r="C705" s="318">
        <v>42735</v>
      </c>
      <c r="D705" s="383" t="s">
        <v>625</v>
      </c>
      <c r="E705" s="318" t="s">
        <v>8</v>
      </c>
      <c r="F705" s="384">
        <v>200000</v>
      </c>
      <c r="G705" s="382">
        <v>0</v>
      </c>
      <c r="H705" s="385">
        <f t="shared" si="20"/>
        <v>466473851</v>
      </c>
      <c r="I705" s="385">
        <f t="shared" si="21"/>
        <v>0</v>
      </c>
      <c r="J705" s="18">
        <v>12</v>
      </c>
    </row>
    <row r="706" spans="1:10" s="18" customFormat="1" ht="18" customHeight="1">
      <c r="A706" s="318">
        <v>42724</v>
      </c>
      <c r="B706" s="318" t="s">
        <v>2768</v>
      </c>
      <c r="C706" s="318">
        <v>42724</v>
      </c>
      <c r="D706" s="383" t="s">
        <v>3038</v>
      </c>
      <c r="E706" s="318" t="s">
        <v>8</v>
      </c>
      <c r="F706" s="384">
        <v>1800000</v>
      </c>
      <c r="G706" s="382">
        <v>0</v>
      </c>
      <c r="H706" s="385">
        <f t="shared" si="20"/>
        <v>468273851</v>
      </c>
      <c r="I706" s="385">
        <f t="shared" si="21"/>
        <v>0</v>
      </c>
      <c r="J706" s="18">
        <v>12</v>
      </c>
    </row>
    <row r="707" spans="1:10" s="18" customFormat="1" ht="18" customHeight="1">
      <c r="A707" s="318">
        <v>42720</v>
      </c>
      <c r="B707" s="318" t="s">
        <v>570</v>
      </c>
      <c r="C707" s="318">
        <v>42720</v>
      </c>
      <c r="D707" s="383" t="s">
        <v>2629</v>
      </c>
      <c r="E707" s="318" t="s">
        <v>8</v>
      </c>
      <c r="F707" s="384">
        <v>2814850</v>
      </c>
      <c r="G707" s="382">
        <v>0</v>
      </c>
      <c r="H707" s="385">
        <f t="shared" si="20"/>
        <v>471088701</v>
      </c>
      <c r="I707" s="385">
        <f t="shared" si="21"/>
        <v>0</v>
      </c>
      <c r="J707" s="18">
        <v>12</v>
      </c>
    </row>
    <row r="708" spans="1:10" s="18" customFormat="1" ht="18" customHeight="1">
      <c r="A708" s="318">
        <v>42721</v>
      </c>
      <c r="B708" s="318" t="s">
        <v>2692</v>
      </c>
      <c r="C708" s="318">
        <v>42721</v>
      </c>
      <c r="D708" s="383" t="s">
        <v>637</v>
      </c>
      <c r="E708" s="318" t="s">
        <v>8</v>
      </c>
      <c r="F708" s="384">
        <v>135000</v>
      </c>
      <c r="G708" s="382">
        <v>0</v>
      </c>
      <c r="H708" s="385">
        <f t="shared" si="20"/>
        <v>471223701</v>
      </c>
      <c r="I708" s="385">
        <f t="shared" si="21"/>
        <v>0</v>
      </c>
      <c r="J708" s="18">
        <v>12</v>
      </c>
    </row>
    <row r="709" spans="1:10" s="18" customFormat="1" ht="18" customHeight="1">
      <c r="A709" s="318">
        <v>42725</v>
      </c>
      <c r="B709" s="318" t="s">
        <v>2770</v>
      </c>
      <c r="C709" s="318">
        <v>42725</v>
      </c>
      <c r="D709" s="383" t="s">
        <v>637</v>
      </c>
      <c r="E709" s="318" t="s">
        <v>8</v>
      </c>
      <c r="F709" s="384">
        <v>1800000</v>
      </c>
      <c r="G709" s="382">
        <v>0</v>
      </c>
      <c r="H709" s="385">
        <f t="shared" si="20"/>
        <v>473023701</v>
      </c>
      <c r="I709" s="385">
        <f t="shared" si="21"/>
        <v>0</v>
      </c>
      <c r="J709" s="18">
        <v>12</v>
      </c>
    </row>
    <row r="710" spans="1:10" s="18" customFormat="1" ht="18" customHeight="1">
      <c r="A710" s="318">
        <v>42705</v>
      </c>
      <c r="B710" s="318" t="s">
        <v>852</v>
      </c>
      <c r="C710" s="318">
        <v>42705</v>
      </c>
      <c r="D710" s="383" t="s">
        <v>1357</v>
      </c>
      <c r="E710" s="318" t="s">
        <v>61</v>
      </c>
      <c r="F710" s="384">
        <v>37273</v>
      </c>
      <c r="G710" s="382">
        <v>0</v>
      </c>
      <c r="H710" s="385">
        <f t="shared" si="20"/>
        <v>473060974</v>
      </c>
      <c r="I710" s="385">
        <f t="shared" si="21"/>
        <v>0</v>
      </c>
      <c r="J710" s="18">
        <v>12</v>
      </c>
    </row>
    <row r="711" spans="1:10" s="18" customFormat="1" ht="18" customHeight="1">
      <c r="A711" s="318">
        <v>42705</v>
      </c>
      <c r="B711" s="318" t="s">
        <v>853</v>
      </c>
      <c r="C711" s="318">
        <v>42705</v>
      </c>
      <c r="D711" s="383" t="s">
        <v>2814</v>
      </c>
      <c r="E711" s="318" t="s">
        <v>61</v>
      </c>
      <c r="F711" s="384">
        <v>46364</v>
      </c>
      <c r="G711" s="382">
        <v>0</v>
      </c>
      <c r="H711" s="385">
        <f t="shared" si="20"/>
        <v>473107338</v>
      </c>
      <c r="I711" s="385">
        <f t="shared" si="21"/>
        <v>0</v>
      </c>
      <c r="J711" s="18">
        <v>12</v>
      </c>
    </row>
    <row r="712" spans="1:10" s="18" customFormat="1" ht="18" customHeight="1">
      <c r="A712" s="318">
        <v>42705</v>
      </c>
      <c r="B712" s="318" t="s">
        <v>854</v>
      </c>
      <c r="C712" s="318">
        <v>42705</v>
      </c>
      <c r="D712" s="383" t="s">
        <v>2814</v>
      </c>
      <c r="E712" s="318" t="s">
        <v>61</v>
      </c>
      <c r="F712" s="384">
        <v>1163636</v>
      </c>
      <c r="G712" s="382">
        <v>0</v>
      </c>
      <c r="H712" s="385">
        <f t="shared" si="20"/>
        <v>474270974</v>
      </c>
      <c r="I712" s="385">
        <f t="shared" si="21"/>
        <v>0</v>
      </c>
      <c r="J712" s="18">
        <v>12</v>
      </c>
    </row>
    <row r="713" spans="1:10" s="18" customFormat="1" ht="18" customHeight="1">
      <c r="A713" s="318">
        <v>42706</v>
      </c>
      <c r="B713" s="318" t="s">
        <v>856</v>
      </c>
      <c r="C713" s="318">
        <v>42706</v>
      </c>
      <c r="D713" s="383" t="s">
        <v>1335</v>
      </c>
      <c r="E713" s="318" t="s">
        <v>61</v>
      </c>
      <c r="F713" s="384">
        <v>940455</v>
      </c>
      <c r="G713" s="382">
        <v>0</v>
      </c>
      <c r="H713" s="385">
        <f t="shared" si="20"/>
        <v>475211429</v>
      </c>
      <c r="I713" s="385">
        <f t="shared" si="21"/>
        <v>0</v>
      </c>
      <c r="J713" s="18">
        <v>12</v>
      </c>
    </row>
    <row r="714" spans="1:10" s="18" customFormat="1" ht="18" customHeight="1">
      <c r="A714" s="318">
        <v>42706</v>
      </c>
      <c r="B714" s="318" t="s">
        <v>859</v>
      </c>
      <c r="C714" s="318">
        <v>42706</v>
      </c>
      <c r="D714" s="383" t="s">
        <v>2604</v>
      </c>
      <c r="E714" s="318" t="s">
        <v>61</v>
      </c>
      <c r="F714" s="384">
        <v>8947</v>
      </c>
      <c r="G714" s="382">
        <v>0</v>
      </c>
      <c r="H714" s="385">
        <f t="shared" si="20"/>
        <v>475220376</v>
      </c>
      <c r="I714" s="385">
        <f t="shared" si="21"/>
        <v>0</v>
      </c>
      <c r="J714" s="18">
        <v>12</v>
      </c>
    </row>
    <row r="715" spans="1:10" s="18" customFormat="1" ht="18" customHeight="1">
      <c r="A715" s="318">
        <v>42706</v>
      </c>
      <c r="B715" s="318" t="s">
        <v>860</v>
      </c>
      <c r="C715" s="318">
        <v>42706</v>
      </c>
      <c r="D715" s="383" t="s">
        <v>2814</v>
      </c>
      <c r="E715" s="318" t="s">
        <v>61</v>
      </c>
      <c r="F715" s="384">
        <v>875455</v>
      </c>
      <c r="G715" s="382">
        <v>0</v>
      </c>
      <c r="H715" s="385">
        <f t="shared" si="20"/>
        <v>476095831</v>
      </c>
      <c r="I715" s="385">
        <f t="shared" si="21"/>
        <v>0</v>
      </c>
      <c r="J715" s="18">
        <v>12</v>
      </c>
    </row>
    <row r="716" spans="1:10" s="18" customFormat="1" ht="18" customHeight="1">
      <c r="A716" s="318">
        <v>42709</v>
      </c>
      <c r="B716" s="318" t="s">
        <v>862</v>
      </c>
      <c r="C716" s="318">
        <v>42709</v>
      </c>
      <c r="D716" s="383" t="s">
        <v>2031</v>
      </c>
      <c r="E716" s="318" t="s">
        <v>61</v>
      </c>
      <c r="F716" s="384">
        <v>119954</v>
      </c>
      <c r="G716" s="382">
        <v>0</v>
      </c>
      <c r="H716" s="385">
        <f t="shared" si="20"/>
        <v>476215785</v>
      </c>
      <c r="I716" s="385">
        <f t="shared" si="21"/>
        <v>0</v>
      </c>
      <c r="J716" s="18">
        <v>12</v>
      </c>
    </row>
    <row r="717" spans="1:10" s="18" customFormat="1" ht="18" customHeight="1">
      <c r="A717" s="318">
        <v>42726</v>
      </c>
      <c r="B717" s="318" t="s">
        <v>2774</v>
      </c>
      <c r="C717" s="318">
        <v>42726</v>
      </c>
      <c r="D717" s="383" t="s">
        <v>637</v>
      </c>
      <c r="E717" s="318" t="s">
        <v>8</v>
      </c>
      <c r="F717" s="384">
        <v>412500</v>
      </c>
      <c r="G717" s="382">
        <v>0</v>
      </c>
      <c r="H717" s="385">
        <f t="shared" si="20"/>
        <v>476628285</v>
      </c>
      <c r="I717" s="385">
        <f t="shared" si="21"/>
        <v>0</v>
      </c>
      <c r="J717" s="18">
        <v>12</v>
      </c>
    </row>
    <row r="718" spans="1:10" s="18" customFormat="1" ht="18" customHeight="1">
      <c r="A718" s="318">
        <v>42709</v>
      </c>
      <c r="B718" s="318" t="s">
        <v>866</v>
      </c>
      <c r="C718" s="318">
        <v>42709</v>
      </c>
      <c r="D718" s="383" t="s">
        <v>2720</v>
      </c>
      <c r="E718" s="318" t="s">
        <v>61</v>
      </c>
      <c r="F718" s="384">
        <v>212601</v>
      </c>
      <c r="G718" s="382">
        <v>0</v>
      </c>
      <c r="H718" s="385">
        <f t="shared" si="20"/>
        <v>476840886</v>
      </c>
      <c r="I718" s="385">
        <f t="shared" si="21"/>
        <v>0</v>
      </c>
      <c r="J718" s="18">
        <v>12</v>
      </c>
    </row>
    <row r="719" spans="1:10" s="18" customFormat="1" ht="18" customHeight="1">
      <c r="A719" s="318">
        <v>42709</v>
      </c>
      <c r="B719" s="318" t="s">
        <v>690</v>
      </c>
      <c r="C719" s="318">
        <v>42709</v>
      </c>
      <c r="D719" s="383" t="s">
        <v>2787</v>
      </c>
      <c r="E719" s="318" t="s">
        <v>260</v>
      </c>
      <c r="F719" s="384">
        <v>227200</v>
      </c>
      <c r="G719" s="382">
        <v>0</v>
      </c>
      <c r="H719" s="385">
        <f t="shared" si="20"/>
        <v>477068086</v>
      </c>
      <c r="I719" s="385">
        <f t="shared" si="21"/>
        <v>0</v>
      </c>
      <c r="J719" s="18">
        <v>12</v>
      </c>
    </row>
    <row r="720" spans="1:10" s="18" customFormat="1" ht="18" customHeight="1">
      <c r="A720" s="318">
        <v>42709</v>
      </c>
      <c r="B720" s="318" t="s">
        <v>690</v>
      </c>
      <c r="C720" s="318">
        <v>42709</v>
      </c>
      <c r="D720" s="383" t="s">
        <v>2010</v>
      </c>
      <c r="E720" s="318" t="s">
        <v>260</v>
      </c>
      <c r="F720" s="384">
        <v>6816</v>
      </c>
      <c r="G720" s="382">
        <v>0</v>
      </c>
      <c r="H720" s="385">
        <f t="shared" ref="H720:H783" si="22">IF(D720&lt;&gt;"",MAX(H719+F720-G720-I719,0),0)</f>
        <v>477074902</v>
      </c>
      <c r="I720" s="385">
        <f t="shared" ref="I720:I783" si="23">IF(D720&lt;&gt;"",MAX(I719+G720-H719-F720,0),0)</f>
        <v>0</v>
      </c>
      <c r="J720" s="18">
        <v>12</v>
      </c>
    </row>
    <row r="721" spans="1:10" s="18" customFormat="1" ht="18" customHeight="1">
      <c r="A721" s="318">
        <v>42724</v>
      </c>
      <c r="B721" s="318" t="s">
        <v>2769</v>
      </c>
      <c r="C721" s="318">
        <v>42724</v>
      </c>
      <c r="D721" s="383" t="s">
        <v>637</v>
      </c>
      <c r="E721" s="318" t="s">
        <v>8</v>
      </c>
      <c r="F721" s="384">
        <v>1800000</v>
      </c>
      <c r="G721" s="382">
        <v>0</v>
      </c>
      <c r="H721" s="385">
        <f t="shared" si="22"/>
        <v>478874902</v>
      </c>
      <c r="I721" s="385">
        <f t="shared" si="23"/>
        <v>0</v>
      </c>
      <c r="J721" s="18">
        <v>12</v>
      </c>
    </row>
    <row r="722" spans="1:10" s="18" customFormat="1" ht="18" customHeight="1">
      <c r="A722" s="318">
        <v>42711</v>
      </c>
      <c r="B722" s="318" t="s">
        <v>875</v>
      </c>
      <c r="C722" s="318">
        <v>42711</v>
      </c>
      <c r="D722" s="383" t="s">
        <v>2398</v>
      </c>
      <c r="E722" s="318" t="s">
        <v>61</v>
      </c>
      <c r="F722" s="384">
        <v>90000</v>
      </c>
      <c r="G722" s="382">
        <v>0</v>
      </c>
      <c r="H722" s="385">
        <f t="shared" si="22"/>
        <v>478964902</v>
      </c>
      <c r="I722" s="385">
        <f t="shared" si="23"/>
        <v>0</v>
      </c>
      <c r="J722" s="18">
        <v>12</v>
      </c>
    </row>
    <row r="723" spans="1:10" s="18" customFormat="1" ht="18" customHeight="1">
      <c r="A723" s="318">
        <v>42711</v>
      </c>
      <c r="B723" s="318" t="s">
        <v>876</v>
      </c>
      <c r="C723" s="318">
        <v>42711</v>
      </c>
      <c r="D723" s="383" t="s">
        <v>2698</v>
      </c>
      <c r="E723" s="318" t="s">
        <v>61</v>
      </c>
      <c r="F723" s="384">
        <v>26182</v>
      </c>
      <c r="G723" s="382">
        <v>0</v>
      </c>
      <c r="H723" s="385">
        <f t="shared" si="22"/>
        <v>478991084</v>
      </c>
      <c r="I723" s="385">
        <f t="shared" si="23"/>
        <v>0</v>
      </c>
      <c r="J723" s="18">
        <v>12</v>
      </c>
    </row>
    <row r="724" spans="1:10" s="18" customFormat="1" ht="18" customHeight="1">
      <c r="A724" s="318">
        <v>42711</v>
      </c>
      <c r="B724" s="318" t="s">
        <v>690</v>
      </c>
      <c r="C724" s="318">
        <v>42711</v>
      </c>
      <c r="D724" s="383" t="s">
        <v>2148</v>
      </c>
      <c r="E724" s="318" t="s">
        <v>25</v>
      </c>
      <c r="F724" s="384">
        <v>16580</v>
      </c>
      <c r="G724" s="382">
        <v>0</v>
      </c>
      <c r="H724" s="385">
        <f t="shared" si="22"/>
        <v>479007664</v>
      </c>
      <c r="I724" s="385">
        <f t="shared" si="23"/>
        <v>0</v>
      </c>
      <c r="J724" s="18">
        <v>12</v>
      </c>
    </row>
    <row r="725" spans="1:10" s="18" customFormat="1" ht="18" customHeight="1">
      <c r="A725" s="318">
        <v>42711</v>
      </c>
      <c r="B725" s="318" t="s">
        <v>690</v>
      </c>
      <c r="C725" s="318">
        <v>42711</v>
      </c>
      <c r="D725" s="383" t="s">
        <v>2148</v>
      </c>
      <c r="E725" s="318" t="s">
        <v>25</v>
      </c>
      <c r="F725" s="384">
        <v>54748</v>
      </c>
      <c r="G725" s="382">
        <v>0</v>
      </c>
      <c r="H725" s="385">
        <f t="shared" si="22"/>
        <v>479062412</v>
      </c>
      <c r="I725" s="385">
        <f t="shared" si="23"/>
        <v>0</v>
      </c>
      <c r="J725" s="18">
        <v>12</v>
      </c>
    </row>
    <row r="726" spans="1:10" s="18" customFormat="1" ht="18" customHeight="1">
      <c r="A726" s="318">
        <v>42711</v>
      </c>
      <c r="B726" s="318" t="s">
        <v>690</v>
      </c>
      <c r="C726" s="318">
        <v>42711</v>
      </c>
      <c r="D726" s="383" t="s">
        <v>2148</v>
      </c>
      <c r="E726" s="318" t="s">
        <v>25</v>
      </c>
      <c r="F726" s="384">
        <v>87563</v>
      </c>
      <c r="G726" s="382">
        <v>0</v>
      </c>
      <c r="H726" s="385">
        <f t="shared" si="22"/>
        <v>479149975</v>
      </c>
      <c r="I726" s="385">
        <f t="shared" si="23"/>
        <v>0</v>
      </c>
      <c r="J726" s="18">
        <v>12</v>
      </c>
    </row>
    <row r="727" spans="1:10" s="18" customFormat="1" ht="18" customHeight="1">
      <c r="A727" s="318">
        <v>42712</v>
      </c>
      <c r="B727" s="318" t="s">
        <v>878</v>
      </c>
      <c r="C727" s="318">
        <v>42712</v>
      </c>
      <c r="D727" s="383" t="s">
        <v>2804</v>
      </c>
      <c r="E727" s="318" t="s">
        <v>61</v>
      </c>
      <c r="F727" s="384">
        <v>167727</v>
      </c>
      <c r="G727" s="382">
        <v>0</v>
      </c>
      <c r="H727" s="385">
        <f t="shared" si="22"/>
        <v>479317702</v>
      </c>
      <c r="I727" s="385">
        <f t="shared" si="23"/>
        <v>0</v>
      </c>
      <c r="J727" s="18">
        <v>12</v>
      </c>
    </row>
    <row r="728" spans="1:10" s="18" customFormat="1" ht="18" customHeight="1">
      <c r="A728" s="318">
        <v>42712</v>
      </c>
      <c r="B728" s="318" t="s">
        <v>879</v>
      </c>
      <c r="C728" s="318">
        <v>42712</v>
      </c>
      <c r="D728" s="383" t="s">
        <v>2811</v>
      </c>
      <c r="E728" s="318" t="s">
        <v>61</v>
      </c>
      <c r="F728" s="384">
        <v>490909</v>
      </c>
      <c r="G728" s="382">
        <v>0</v>
      </c>
      <c r="H728" s="385">
        <f t="shared" si="22"/>
        <v>479808611</v>
      </c>
      <c r="I728" s="385">
        <f t="shared" si="23"/>
        <v>0</v>
      </c>
      <c r="J728" s="18">
        <v>12</v>
      </c>
    </row>
    <row r="729" spans="1:10" s="18" customFormat="1" ht="18" customHeight="1">
      <c r="A729" s="318">
        <v>42713</v>
      </c>
      <c r="B729" s="318" t="s">
        <v>690</v>
      </c>
      <c r="C729" s="318">
        <v>42713</v>
      </c>
      <c r="D729" s="383" t="s">
        <v>2148</v>
      </c>
      <c r="E729" s="318" t="s">
        <v>25</v>
      </c>
      <c r="F729" s="384">
        <v>2500</v>
      </c>
      <c r="G729" s="382">
        <v>0</v>
      </c>
      <c r="H729" s="385">
        <f t="shared" si="22"/>
        <v>479811111</v>
      </c>
      <c r="I729" s="385">
        <f t="shared" si="23"/>
        <v>0</v>
      </c>
      <c r="J729" s="18">
        <v>12</v>
      </c>
    </row>
    <row r="730" spans="1:10" s="18" customFormat="1" ht="18" customHeight="1">
      <c r="A730" s="318">
        <v>42735</v>
      </c>
      <c r="B730" s="318" t="s">
        <v>570</v>
      </c>
      <c r="C730" s="318">
        <v>42735</v>
      </c>
      <c r="D730" s="383" t="s">
        <v>2828</v>
      </c>
      <c r="E730" s="318" t="s">
        <v>8</v>
      </c>
      <c r="F730" s="384">
        <v>5617735</v>
      </c>
      <c r="G730" s="382">
        <v>0</v>
      </c>
      <c r="H730" s="385">
        <f t="shared" si="22"/>
        <v>485428846</v>
      </c>
      <c r="I730" s="385">
        <f t="shared" si="23"/>
        <v>0</v>
      </c>
      <c r="J730" s="18">
        <v>12</v>
      </c>
    </row>
    <row r="731" spans="1:10" s="18" customFormat="1" ht="18" customHeight="1">
      <c r="A731" s="318">
        <v>42713</v>
      </c>
      <c r="B731" s="318" t="s">
        <v>690</v>
      </c>
      <c r="C731" s="318">
        <v>42713</v>
      </c>
      <c r="D731" s="383" t="s">
        <v>2148</v>
      </c>
      <c r="E731" s="318" t="s">
        <v>25</v>
      </c>
      <c r="F731" s="384">
        <v>6000</v>
      </c>
      <c r="G731" s="382">
        <v>0</v>
      </c>
      <c r="H731" s="385">
        <f t="shared" si="22"/>
        <v>485434846</v>
      </c>
      <c r="I731" s="385">
        <f t="shared" si="23"/>
        <v>0</v>
      </c>
      <c r="J731" s="18">
        <v>12</v>
      </c>
    </row>
    <row r="732" spans="1:10" s="18" customFormat="1" ht="18" customHeight="1">
      <c r="A732" s="318">
        <v>42727</v>
      </c>
      <c r="B732" s="318" t="s">
        <v>570</v>
      </c>
      <c r="C732" s="318">
        <v>42727</v>
      </c>
      <c r="D732" s="383" t="s">
        <v>2896</v>
      </c>
      <c r="E732" s="318" t="s">
        <v>8</v>
      </c>
      <c r="F732" s="384">
        <v>350000</v>
      </c>
      <c r="G732" s="382">
        <v>0</v>
      </c>
      <c r="H732" s="385">
        <f t="shared" si="22"/>
        <v>485784846</v>
      </c>
      <c r="I732" s="385">
        <f t="shared" si="23"/>
        <v>0</v>
      </c>
      <c r="J732" s="18">
        <v>12</v>
      </c>
    </row>
    <row r="733" spans="1:10" s="18" customFormat="1" ht="18" customHeight="1">
      <c r="A733" s="318">
        <v>42713</v>
      </c>
      <c r="B733" s="318" t="s">
        <v>690</v>
      </c>
      <c r="C733" s="318">
        <v>42713</v>
      </c>
      <c r="D733" s="383" t="s">
        <v>2148</v>
      </c>
      <c r="E733" s="318" t="s">
        <v>25</v>
      </c>
      <c r="F733" s="384">
        <v>2000</v>
      </c>
      <c r="G733" s="382">
        <v>0</v>
      </c>
      <c r="H733" s="385">
        <f t="shared" si="22"/>
        <v>485786846</v>
      </c>
      <c r="I733" s="385">
        <f t="shared" si="23"/>
        <v>0</v>
      </c>
      <c r="J733" s="18">
        <v>12</v>
      </c>
    </row>
    <row r="734" spans="1:10" s="18" customFormat="1" ht="18" customHeight="1">
      <c r="A734" s="318">
        <v>42727</v>
      </c>
      <c r="B734" s="318" t="s">
        <v>2776</v>
      </c>
      <c r="C734" s="318">
        <v>42727</v>
      </c>
      <c r="D734" s="383" t="s">
        <v>637</v>
      </c>
      <c r="E734" s="318" t="s">
        <v>8</v>
      </c>
      <c r="F734" s="384">
        <v>1800000</v>
      </c>
      <c r="G734" s="382">
        <v>0</v>
      </c>
      <c r="H734" s="385">
        <f t="shared" si="22"/>
        <v>487586846</v>
      </c>
      <c r="I734" s="385">
        <f t="shared" si="23"/>
        <v>0</v>
      </c>
      <c r="J734" s="18">
        <v>12</v>
      </c>
    </row>
    <row r="735" spans="1:10" s="18" customFormat="1" ht="18" customHeight="1">
      <c r="A735" s="318">
        <v>42715</v>
      </c>
      <c r="B735" s="318" t="s">
        <v>887</v>
      </c>
      <c r="C735" s="318">
        <v>42715</v>
      </c>
      <c r="D735" s="383" t="s">
        <v>2031</v>
      </c>
      <c r="E735" s="318" t="s">
        <v>61</v>
      </c>
      <c r="F735" s="384">
        <v>250742</v>
      </c>
      <c r="G735" s="382">
        <v>0</v>
      </c>
      <c r="H735" s="385">
        <f t="shared" si="22"/>
        <v>487837588</v>
      </c>
      <c r="I735" s="385">
        <f t="shared" si="23"/>
        <v>0</v>
      </c>
      <c r="J735" s="18">
        <v>12</v>
      </c>
    </row>
    <row r="736" spans="1:10" s="18" customFormat="1" ht="18" customHeight="1">
      <c r="A736" s="318">
        <v>42725</v>
      </c>
      <c r="B736" s="318" t="s">
        <v>2771</v>
      </c>
      <c r="C736" s="318">
        <v>42725</v>
      </c>
      <c r="D736" s="383" t="s">
        <v>637</v>
      </c>
      <c r="E736" s="318" t="s">
        <v>8</v>
      </c>
      <c r="F736" s="384">
        <v>1800000</v>
      </c>
      <c r="G736" s="382">
        <v>0</v>
      </c>
      <c r="H736" s="385">
        <f t="shared" si="22"/>
        <v>489637588</v>
      </c>
      <c r="I736" s="385">
        <f t="shared" si="23"/>
        <v>0</v>
      </c>
      <c r="J736" s="18">
        <v>12</v>
      </c>
    </row>
    <row r="737" spans="1:10" s="18" customFormat="1" ht="18" customHeight="1">
      <c r="A737" s="318">
        <v>42717</v>
      </c>
      <c r="B737" s="318" t="s">
        <v>894</v>
      </c>
      <c r="C737" s="318">
        <v>42717</v>
      </c>
      <c r="D737" s="383" t="s">
        <v>2615</v>
      </c>
      <c r="E737" s="318" t="s">
        <v>61</v>
      </c>
      <c r="F737" s="384">
        <v>1560000</v>
      </c>
      <c r="G737" s="382">
        <v>0</v>
      </c>
      <c r="H737" s="385">
        <f t="shared" si="22"/>
        <v>491197588</v>
      </c>
      <c r="I737" s="385">
        <f t="shared" si="23"/>
        <v>0</v>
      </c>
      <c r="J737" s="18">
        <v>12</v>
      </c>
    </row>
    <row r="738" spans="1:10" s="18" customFormat="1" ht="18" customHeight="1">
      <c r="A738" s="318">
        <v>42717</v>
      </c>
      <c r="B738" s="318" t="s">
        <v>690</v>
      </c>
      <c r="C738" s="318">
        <v>42717</v>
      </c>
      <c r="D738" s="383" t="s">
        <v>2901</v>
      </c>
      <c r="E738" s="318" t="s">
        <v>25</v>
      </c>
      <c r="F738" s="384">
        <v>226500</v>
      </c>
      <c r="G738" s="382">
        <v>0</v>
      </c>
      <c r="H738" s="385">
        <f t="shared" si="22"/>
        <v>491424088</v>
      </c>
      <c r="I738" s="385">
        <f t="shared" si="23"/>
        <v>0</v>
      </c>
      <c r="J738" s="18">
        <v>12</v>
      </c>
    </row>
    <row r="739" spans="1:10" s="18" customFormat="1" ht="18" customHeight="1">
      <c r="A739" s="318">
        <v>42717</v>
      </c>
      <c r="B739" s="318" t="s">
        <v>690</v>
      </c>
      <c r="C739" s="318">
        <v>42717</v>
      </c>
      <c r="D739" s="383" t="s">
        <v>2010</v>
      </c>
      <c r="E739" s="318" t="s">
        <v>260</v>
      </c>
      <c r="F739" s="384">
        <v>6816</v>
      </c>
      <c r="G739" s="382">
        <v>0</v>
      </c>
      <c r="H739" s="385">
        <f t="shared" si="22"/>
        <v>491430904</v>
      </c>
      <c r="I739" s="385">
        <f t="shared" si="23"/>
        <v>0</v>
      </c>
      <c r="J739" s="18">
        <v>12</v>
      </c>
    </row>
    <row r="740" spans="1:10" s="18" customFormat="1" ht="18" customHeight="1">
      <c r="A740" s="318">
        <v>42718</v>
      </c>
      <c r="B740" s="318" t="s">
        <v>896</v>
      </c>
      <c r="C740" s="318">
        <v>42718</v>
      </c>
      <c r="D740" s="383" t="s">
        <v>2618</v>
      </c>
      <c r="E740" s="318" t="s">
        <v>61</v>
      </c>
      <c r="F740" s="384">
        <v>198300</v>
      </c>
      <c r="G740" s="382">
        <v>0</v>
      </c>
      <c r="H740" s="385">
        <f t="shared" si="22"/>
        <v>491629204</v>
      </c>
      <c r="I740" s="385">
        <f t="shared" si="23"/>
        <v>0</v>
      </c>
      <c r="J740" s="18">
        <v>12</v>
      </c>
    </row>
    <row r="741" spans="1:10" s="18" customFormat="1" ht="18" customHeight="1">
      <c r="A741" s="318">
        <v>42718</v>
      </c>
      <c r="B741" s="318" t="s">
        <v>690</v>
      </c>
      <c r="C741" s="318">
        <v>42718</v>
      </c>
      <c r="D741" s="383" t="s">
        <v>2010</v>
      </c>
      <c r="E741" s="318" t="s">
        <v>25</v>
      </c>
      <c r="F741" s="384">
        <v>300628</v>
      </c>
      <c r="G741" s="382">
        <v>0</v>
      </c>
      <c r="H741" s="385">
        <f t="shared" si="22"/>
        <v>491929832</v>
      </c>
      <c r="I741" s="385">
        <f t="shared" si="23"/>
        <v>0</v>
      </c>
      <c r="J741" s="18">
        <v>12</v>
      </c>
    </row>
    <row r="742" spans="1:10" s="18" customFormat="1" ht="18" customHeight="1">
      <c r="A742" s="318">
        <v>42718</v>
      </c>
      <c r="B742" s="318" t="s">
        <v>690</v>
      </c>
      <c r="C742" s="318">
        <v>42718</v>
      </c>
      <c r="D742" s="383" t="s">
        <v>2148</v>
      </c>
      <c r="E742" s="318" t="s">
        <v>25</v>
      </c>
      <c r="F742" s="384">
        <v>1000</v>
      </c>
      <c r="G742" s="382">
        <v>0</v>
      </c>
      <c r="H742" s="385">
        <f t="shared" si="22"/>
        <v>491930832</v>
      </c>
      <c r="I742" s="385">
        <f t="shared" si="23"/>
        <v>0</v>
      </c>
      <c r="J742" s="18">
        <v>12</v>
      </c>
    </row>
    <row r="743" spans="1:10" s="18" customFormat="1" ht="18" customHeight="1">
      <c r="A743" s="318">
        <v>42718</v>
      </c>
      <c r="B743" s="318" t="s">
        <v>690</v>
      </c>
      <c r="C743" s="318">
        <v>42718</v>
      </c>
      <c r="D743" s="383" t="s">
        <v>2148</v>
      </c>
      <c r="E743" s="318" t="s">
        <v>25</v>
      </c>
      <c r="F743" s="384">
        <v>43290</v>
      </c>
      <c r="G743" s="382">
        <v>0</v>
      </c>
      <c r="H743" s="385">
        <f t="shared" si="22"/>
        <v>491974122</v>
      </c>
      <c r="I743" s="385">
        <f t="shared" si="23"/>
        <v>0</v>
      </c>
      <c r="J743" s="18">
        <v>12</v>
      </c>
    </row>
    <row r="744" spans="1:10" s="18" customFormat="1" ht="18" customHeight="1">
      <c r="A744" s="318">
        <v>42718</v>
      </c>
      <c r="B744" s="318" t="s">
        <v>690</v>
      </c>
      <c r="C744" s="318">
        <v>42718</v>
      </c>
      <c r="D744" s="383" t="s">
        <v>2148</v>
      </c>
      <c r="E744" s="318" t="s">
        <v>25</v>
      </c>
      <c r="F744" s="384">
        <v>1000</v>
      </c>
      <c r="G744" s="382">
        <v>0</v>
      </c>
      <c r="H744" s="385">
        <f t="shared" si="22"/>
        <v>491975122</v>
      </c>
      <c r="I744" s="385">
        <f t="shared" si="23"/>
        <v>0</v>
      </c>
      <c r="J744" s="18">
        <v>12</v>
      </c>
    </row>
    <row r="745" spans="1:10" s="18" customFormat="1" ht="18" customHeight="1">
      <c r="A745" s="318">
        <v>42718</v>
      </c>
      <c r="B745" s="318" t="s">
        <v>690</v>
      </c>
      <c r="C745" s="318">
        <v>42718</v>
      </c>
      <c r="D745" s="383" t="s">
        <v>2148</v>
      </c>
      <c r="E745" s="318" t="s">
        <v>25</v>
      </c>
      <c r="F745" s="384">
        <v>29233</v>
      </c>
      <c r="G745" s="382">
        <v>0</v>
      </c>
      <c r="H745" s="385">
        <f t="shared" si="22"/>
        <v>492004355</v>
      </c>
      <c r="I745" s="385">
        <f t="shared" si="23"/>
        <v>0</v>
      </c>
      <c r="J745" s="18">
        <v>12</v>
      </c>
    </row>
    <row r="746" spans="1:10" s="18" customFormat="1" ht="18" customHeight="1">
      <c r="A746" s="318">
        <v>42718</v>
      </c>
      <c r="B746" s="318" t="s">
        <v>690</v>
      </c>
      <c r="C746" s="318">
        <v>42718</v>
      </c>
      <c r="D746" s="383" t="s">
        <v>1616</v>
      </c>
      <c r="E746" s="318" t="s">
        <v>25</v>
      </c>
      <c r="F746" s="384">
        <v>25161</v>
      </c>
      <c r="G746" s="382">
        <v>0</v>
      </c>
      <c r="H746" s="385">
        <f t="shared" si="22"/>
        <v>492029516</v>
      </c>
      <c r="I746" s="385">
        <f t="shared" si="23"/>
        <v>0</v>
      </c>
      <c r="J746" s="18">
        <v>12</v>
      </c>
    </row>
    <row r="747" spans="1:10" s="18" customFormat="1" ht="18" customHeight="1">
      <c r="A747" s="318">
        <v>42719</v>
      </c>
      <c r="B747" s="318" t="s">
        <v>948</v>
      </c>
      <c r="C747" s="318">
        <v>42719</v>
      </c>
      <c r="D747" s="383" t="s">
        <v>2615</v>
      </c>
      <c r="E747" s="318" t="s">
        <v>61</v>
      </c>
      <c r="F747" s="384">
        <v>1560000</v>
      </c>
      <c r="G747" s="382">
        <v>0</v>
      </c>
      <c r="H747" s="385">
        <f t="shared" si="22"/>
        <v>493589516</v>
      </c>
      <c r="I747" s="385">
        <f t="shared" si="23"/>
        <v>0</v>
      </c>
      <c r="J747" s="18">
        <v>12</v>
      </c>
    </row>
    <row r="748" spans="1:10" s="18" customFormat="1" ht="18" customHeight="1">
      <c r="A748" s="318">
        <v>42719</v>
      </c>
      <c r="B748" s="318" t="s">
        <v>949</v>
      </c>
      <c r="C748" s="318">
        <v>42719</v>
      </c>
      <c r="D748" s="383" t="s">
        <v>2031</v>
      </c>
      <c r="E748" s="318" t="s">
        <v>61</v>
      </c>
      <c r="F748" s="384">
        <v>145166</v>
      </c>
      <c r="G748" s="382">
        <v>0</v>
      </c>
      <c r="H748" s="385">
        <f t="shared" si="22"/>
        <v>493734682</v>
      </c>
      <c r="I748" s="385">
        <f t="shared" si="23"/>
        <v>0</v>
      </c>
      <c r="J748" s="18">
        <v>12</v>
      </c>
    </row>
    <row r="749" spans="1:10" s="18" customFormat="1" ht="18" customHeight="1">
      <c r="A749" s="318">
        <v>42728</v>
      </c>
      <c r="B749" s="318" t="s">
        <v>2778</v>
      </c>
      <c r="C749" s="318">
        <v>42728</v>
      </c>
      <c r="D749" s="383" t="s">
        <v>637</v>
      </c>
      <c r="E749" s="318" t="s">
        <v>8</v>
      </c>
      <c r="F749" s="384">
        <v>1800000</v>
      </c>
      <c r="G749" s="382">
        <v>0</v>
      </c>
      <c r="H749" s="385">
        <f t="shared" si="22"/>
        <v>495534682</v>
      </c>
      <c r="I749" s="385">
        <f t="shared" si="23"/>
        <v>0</v>
      </c>
      <c r="J749" s="18">
        <v>12</v>
      </c>
    </row>
    <row r="750" spans="1:10" s="18" customFormat="1" ht="18" customHeight="1">
      <c r="A750" s="318">
        <v>42726</v>
      </c>
      <c r="B750" s="318" t="s">
        <v>2775</v>
      </c>
      <c r="C750" s="318">
        <v>42726</v>
      </c>
      <c r="D750" s="383" t="s">
        <v>637</v>
      </c>
      <c r="E750" s="318" t="s">
        <v>8</v>
      </c>
      <c r="F750" s="384">
        <v>1454250</v>
      </c>
      <c r="G750" s="382">
        <v>0</v>
      </c>
      <c r="H750" s="385">
        <f t="shared" si="22"/>
        <v>496988932</v>
      </c>
      <c r="I750" s="385">
        <f t="shared" si="23"/>
        <v>0</v>
      </c>
      <c r="J750" s="18">
        <v>12</v>
      </c>
    </row>
    <row r="751" spans="1:10" s="18" customFormat="1" ht="18" customHeight="1">
      <c r="A751" s="318">
        <v>42720</v>
      </c>
      <c r="B751" s="318" t="s">
        <v>2217</v>
      </c>
      <c r="C751" s="318">
        <v>42720</v>
      </c>
      <c r="D751" s="383" t="s">
        <v>2808</v>
      </c>
      <c r="E751" s="318" t="s">
        <v>61</v>
      </c>
      <c r="F751" s="384">
        <v>1109091</v>
      </c>
      <c r="G751" s="382">
        <v>0</v>
      </c>
      <c r="H751" s="385">
        <f t="shared" si="22"/>
        <v>498098023</v>
      </c>
      <c r="I751" s="385">
        <f t="shared" si="23"/>
        <v>0</v>
      </c>
      <c r="J751" s="18">
        <v>12</v>
      </c>
    </row>
    <row r="752" spans="1:10" s="18" customFormat="1" ht="18" customHeight="1">
      <c r="A752" s="318">
        <v>42720</v>
      </c>
      <c r="B752" s="318" t="s">
        <v>690</v>
      </c>
      <c r="C752" s="318">
        <v>42720</v>
      </c>
      <c r="D752" s="383" t="s">
        <v>2903</v>
      </c>
      <c r="E752" s="318" t="s">
        <v>25</v>
      </c>
      <c r="F752" s="384">
        <v>125596</v>
      </c>
      <c r="G752" s="382">
        <v>0</v>
      </c>
      <c r="H752" s="385">
        <f t="shared" si="22"/>
        <v>498223619</v>
      </c>
      <c r="I752" s="385">
        <f t="shared" si="23"/>
        <v>0</v>
      </c>
      <c r="J752" s="18">
        <v>12</v>
      </c>
    </row>
    <row r="753" spans="1:10" s="18" customFormat="1" ht="18" customHeight="1">
      <c r="A753" s="318">
        <v>42721</v>
      </c>
      <c r="B753" s="318" t="s">
        <v>690</v>
      </c>
      <c r="C753" s="318">
        <v>42721</v>
      </c>
      <c r="D753" s="383" t="s">
        <v>1634</v>
      </c>
      <c r="E753" s="318" t="s">
        <v>25</v>
      </c>
      <c r="F753" s="384">
        <v>5000</v>
      </c>
      <c r="G753" s="382">
        <v>0</v>
      </c>
      <c r="H753" s="385">
        <f t="shared" si="22"/>
        <v>498228619</v>
      </c>
      <c r="I753" s="385">
        <f t="shared" si="23"/>
        <v>0</v>
      </c>
      <c r="J753" s="18">
        <v>12</v>
      </c>
    </row>
    <row r="754" spans="1:10" s="18" customFormat="1" ht="18" customHeight="1">
      <c r="A754" s="318">
        <v>42721</v>
      </c>
      <c r="B754" s="318" t="s">
        <v>690</v>
      </c>
      <c r="C754" s="318">
        <v>42721</v>
      </c>
      <c r="D754" s="383" t="s">
        <v>1634</v>
      </c>
      <c r="E754" s="318" t="s">
        <v>25</v>
      </c>
      <c r="F754" s="384">
        <v>5000</v>
      </c>
      <c r="G754" s="382">
        <v>0</v>
      </c>
      <c r="H754" s="385">
        <f t="shared" si="22"/>
        <v>498233619</v>
      </c>
      <c r="I754" s="385">
        <f t="shared" si="23"/>
        <v>0</v>
      </c>
      <c r="J754" s="18">
        <v>12</v>
      </c>
    </row>
    <row r="755" spans="1:10" s="18" customFormat="1" ht="18" customHeight="1">
      <c r="A755" s="318">
        <v>42721</v>
      </c>
      <c r="B755" s="318" t="s">
        <v>690</v>
      </c>
      <c r="C755" s="318">
        <v>42721</v>
      </c>
      <c r="D755" s="383" t="s">
        <v>2898</v>
      </c>
      <c r="E755" s="318" t="s">
        <v>576</v>
      </c>
      <c r="F755" s="384">
        <v>227100</v>
      </c>
      <c r="G755" s="382">
        <v>0</v>
      </c>
      <c r="H755" s="385">
        <f t="shared" si="22"/>
        <v>498460719</v>
      </c>
      <c r="I755" s="385">
        <f t="shared" si="23"/>
        <v>0</v>
      </c>
      <c r="J755" s="18">
        <v>12</v>
      </c>
    </row>
    <row r="756" spans="1:10" s="18" customFormat="1" ht="18" customHeight="1">
      <c r="A756" s="318">
        <v>42722</v>
      </c>
      <c r="B756" s="318" t="s">
        <v>2923</v>
      </c>
      <c r="C756" s="318">
        <v>42722</v>
      </c>
      <c r="D756" s="383" t="s">
        <v>2031</v>
      </c>
      <c r="E756" s="318" t="s">
        <v>61</v>
      </c>
      <c r="F756" s="384">
        <v>238462</v>
      </c>
      <c r="G756" s="382">
        <v>0</v>
      </c>
      <c r="H756" s="385">
        <f t="shared" si="22"/>
        <v>498699181</v>
      </c>
      <c r="I756" s="385">
        <f t="shared" si="23"/>
        <v>0</v>
      </c>
      <c r="J756" s="18">
        <v>12</v>
      </c>
    </row>
    <row r="757" spans="1:10" s="18" customFormat="1" ht="18" customHeight="1">
      <c r="A757" s="318">
        <v>42729</v>
      </c>
      <c r="B757" s="318" t="s">
        <v>2890</v>
      </c>
      <c r="C757" s="318">
        <v>42729</v>
      </c>
      <c r="D757" s="383" t="s">
        <v>637</v>
      </c>
      <c r="E757" s="318" t="s">
        <v>8</v>
      </c>
      <c r="F757" s="384">
        <v>1800000</v>
      </c>
      <c r="G757" s="382">
        <v>0</v>
      </c>
      <c r="H757" s="385">
        <f t="shared" si="22"/>
        <v>500499181</v>
      </c>
      <c r="I757" s="385">
        <f t="shared" si="23"/>
        <v>0</v>
      </c>
      <c r="J757" s="18">
        <v>12</v>
      </c>
    </row>
    <row r="758" spans="1:10" s="18" customFormat="1" ht="18" customHeight="1">
      <c r="A758" s="318">
        <v>42723</v>
      </c>
      <c r="B758" s="318" t="s">
        <v>2926</v>
      </c>
      <c r="C758" s="318">
        <v>42723</v>
      </c>
      <c r="D758" s="383" t="s">
        <v>2031</v>
      </c>
      <c r="E758" s="318" t="s">
        <v>61</v>
      </c>
      <c r="F758" s="384">
        <v>55287</v>
      </c>
      <c r="G758" s="382">
        <v>0</v>
      </c>
      <c r="H758" s="385">
        <f t="shared" si="22"/>
        <v>500554468</v>
      </c>
      <c r="I758" s="385">
        <f t="shared" si="23"/>
        <v>0</v>
      </c>
      <c r="J758" s="18">
        <v>12</v>
      </c>
    </row>
    <row r="759" spans="1:10" s="18" customFormat="1" ht="18" customHeight="1">
      <c r="A759" s="318">
        <v>42723</v>
      </c>
      <c r="B759" s="318" t="s">
        <v>690</v>
      </c>
      <c r="C759" s="318">
        <v>42723</v>
      </c>
      <c r="D759" s="383" t="s">
        <v>2148</v>
      </c>
      <c r="E759" s="318" t="s">
        <v>25</v>
      </c>
      <c r="F759" s="384">
        <v>52525</v>
      </c>
      <c r="G759" s="382">
        <v>0</v>
      </c>
      <c r="H759" s="385">
        <f t="shared" si="22"/>
        <v>500606993</v>
      </c>
      <c r="I759" s="385">
        <f t="shared" si="23"/>
        <v>0</v>
      </c>
      <c r="J759" s="18">
        <v>12</v>
      </c>
    </row>
    <row r="760" spans="1:10" s="18" customFormat="1" ht="18" customHeight="1">
      <c r="A760" s="318">
        <v>42723</v>
      </c>
      <c r="B760" s="318" t="s">
        <v>690</v>
      </c>
      <c r="C760" s="318">
        <v>42723</v>
      </c>
      <c r="D760" s="383" t="s">
        <v>2148</v>
      </c>
      <c r="E760" s="318" t="s">
        <v>25</v>
      </c>
      <c r="F760" s="384">
        <v>4000</v>
      </c>
      <c r="G760" s="382">
        <v>0</v>
      </c>
      <c r="H760" s="385">
        <f t="shared" si="22"/>
        <v>500610993</v>
      </c>
      <c r="I760" s="385">
        <f t="shared" si="23"/>
        <v>0</v>
      </c>
      <c r="J760" s="18">
        <v>12</v>
      </c>
    </row>
    <row r="761" spans="1:10" s="18" customFormat="1" ht="18" customHeight="1">
      <c r="A761" s="318">
        <v>42723</v>
      </c>
      <c r="B761" s="318" t="s">
        <v>690</v>
      </c>
      <c r="C761" s="318">
        <v>42723</v>
      </c>
      <c r="D761" s="383" t="s">
        <v>2898</v>
      </c>
      <c r="E761" s="318" t="s">
        <v>576</v>
      </c>
      <c r="F761" s="384">
        <v>227200</v>
      </c>
      <c r="G761" s="382">
        <v>0</v>
      </c>
      <c r="H761" s="385">
        <f t="shared" si="22"/>
        <v>500838193</v>
      </c>
      <c r="I761" s="385">
        <f t="shared" si="23"/>
        <v>0</v>
      </c>
      <c r="J761" s="18">
        <v>12</v>
      </c>
    </row>
    <row r="762" spans="1:10" s="18" customFormat="1" ht="18" customHeight="1">
      <c r="A762" s="318">
        <v>42724</v>
      </c>
      <c r="B762" s="318" t="s">
        <v>2930</v>
      </c>
      <c r="C762" s="318">
        <v>42724</v>
      </c>
      <c r="D762" s="383" t="s">
        <v>2623</v>
      </c>
      <c r="E762" s="318" t="s">
        <v>61</v>
      </c>
      <c r="F762" s="384">
        <v>788352</v>
      </c>
      <c r="G762" s="382">
        <v>0</v>
      </c>
      <c r="H762" s="385">
        <f t="shared" si="22"/>
        <v>501626545</v>
      </c>
      <c r="I762" s="385">
        <f t="shared" si="23"/>
        <v>0</v>
      </c>
      <c r="J762" s="18">
        <v>12</v>
      </c>
    </row>
    <row r="763" spans="1:10" s="18" customFormat="1" ht="18" customHeight="1">
      <c r="A763" s="318">
        <v>42724</v>
      </c>
      <c r="B763" s="318" t="s">
        <v>2933</v>
      </c>
      <c r="C763" s="318">
        <v>42724</v>
      </c>
      <c r="D763" s="383" t="s">
        <v>1335</v>
      </c>
      <c r="E763" s="318" t="s">
        <v>61</v>
      </c>
      <c r="F763" s="384">
        <v>940455</v>
      </c>
      <c r="G763" s="382">
        <v>0</v>
      </c>
      <c r="H763" s="385">
        <f t="shared" si="22"/>
        <v>502567000</v>
      </c>
      <c r="I763" s="385">
        <f t="shared" si="23"/>
        <v>0</v>
      </c>
      <c r="J763" s="18">
        <v>12</v>
      </c>
    </row>
    <row r="764" spans="1:10" s="18" customFormat="1" ht="18" customHeight="1">
      <c r="A764" s="318">
        <v>42728</v>
      </c>
      <c r="B764" s="318" t="s">
        <v>2779</v>
      </c>
      <c r="C764" s="318">
        <v>42728</v>
      </c>
      <c r="D764" s="383" t="s">
        <v>637</v>
      </c>
      <c r="E764" s="318" t="s">
        <v>8</v>
      </c>
      <c r="F764" s="384">
        <v>1800000</v>
      </c>
      <c r="G764" s="382">
        <v>0</v>
      </c>
      <c r="H764" s="385">
        <f t="shared" si="22"/>
        <v>504367000</v>
      </c>
      <c r="I764" s="385">
        <f t="shared" si="23"/>
        <v>0</v>
      </c>
      <c r="J764" s="18">
        <v>12</v>
      </c>
    </row>
    <row r="765" spans="1:10" s="18" customFormat="1" ht="18" customHeight="1">
      <c r="A765" s="318">
        <v>42730</v>
      </c>
      <c r="B765" s="318" t="s">
        <v>570</v>
      </c>
      <c r="C765" s="318">
        <v>42730</v>
      </c>
      <c r="D765" s="383" t="s">
        <v>2628</v>
      </c>
      <c r="E765" s="318" t="s">
        <v>8</v>
      </c>
      <c r="F765" s="384">
        <v>2841960</v>
      </c>
      <c r="G765" s="382">
        <v>0</v>
      </c>
      <c r="H765" s="385">
        <f t="shared" si="22"/>
        <v>507208960</v>
      </c>
      <c r="I765" s="385">
        <f t="shared" si="23"/>
        <v>0</v>
      </c>
      <c r="J765" s="18">
        <v>12</v>
      </c>
    </row>
    <row r="766" spans="1:10" s="18" customFormat="1" ht="18" customHeight="1">
      <c r="A766" s="318">
        <v>42724</v>
      </c>
      <c r="B766" s="318" t="s">
        <v>690</v>
      </c>
      <c r="C766" s="318">
        <v>42724</v>
      </c>
      <c r="D766" s="383" t="s">
        <v>2148</v>
      </c>
      <c r="E766" s="318" t="s">
        <v>25</v>
      </c>
      <c r="F766" s="384">
        <v>4500</v>
      </c>
      <c r="G766" s="382">
        <v>0</v>
      </c>
      <c r="H766" s="385">
        <f t="shared" si="22"/>
        <v>507213460</v>
      </c>
      <c r="I766" s="385">
        <f t="shared" si="23"/>
        <v>0</v>
      </c>
      <c r="J766" s="18">
        <v>12</v>
      </c>
    </row>
    <row r="767" spans="1:10" s="18" customFormat="1" ht="18" customHeight="1">
      <c r="A767" s="318">
        <v>42726</v>
      </c>
      <c r="B767" s="318" t="s">
        <v>2773</v>
      </c>
      <c r="C767" s="318">
        <v>42726</v>
      </c>
      <c r="D767" s="383" t="s">
        <v>2594</v>
      </c>
      <c r="E767" s="318" t="s">
        <v>8</v>
      </c>
      <c r="F767" s="384">
        <v>1200000</v>
      </c>
      <c r="G767" s="382">
        <v>0</v>
      </c>
      <c r="H767" s="385">
        <f t="shared" si="22"/>
        <v>508413460</v>
      </c>
      <c r="I767" s="385">
        <f t="shared" si="23"/>
        <v>0</v>
      </c>
      <c r="J767" s="18">
        <v>12</v>
      </c>
    </row>
    <row r="768" spans="1:10" s="18" customFormat="1" ht="18" customHeight="1">
      <c r="A768" s="318">
        <v>42730</v>
      </c>
      <c r="B768" s="318" t="s">
        <v>2891</v>
      </c>
      <c r="C768" s="318">
        <v>42730</v>
      </c>
      <c r="D768" s="383" t="s">
        <v>637</v>
      </c>
      <c r="E768" s="318" t="s">
        <v>8</v>
      </c>
      <c r="F768" s="384">
        <v>900000</v>
      </c>
      <c r="G768" s="382">
        <v>0</v>
      </c>
      <c r="H768" s="385">
        <f t="shared" si="22"/>
        <v>509313460</v>
      </c>
      <c r="I768" s="385">
        <f t="shared" si="23"/>
        <v>0</v>
      </c>
      <c r="J768" s="18">
        <v>12</v>
      </c>
    </row>
    <row r="769" spans="1:10" s="18" customFormat="1" ht="18" customHeight="1">
      <c r="A769" s="318">
        <v>42725</v>
      </c>
      <c r="B769" s="318" t="s">
        <v>2939</v>
      </c>
      <c r="C769" s="318">
        <v>42725</v>
      </c>
      <c r="D769" s="383" t="s">
        <v>2824</v>
      </c>
      <c r="E769" s="318" t="s">
        <v>61</v>
      </c>
      <c r="F769" s="384">
        <v>396000</v>
      </c>
      <c r="G769" s="382">
        <v>0</v>
      </c>
      <c r="H769" s="385">
        <f t="shared" si="22"/>
        <v>509709460</v>
      </c>
      <c r="I769" s="385">
        <f t="shared" si="23"/>
        <v>0</v>
      </c>
      <c r="J769" s="18">
        <v>12</v>
      </c>
    </row>
    <row r="770" spans="1:10" s="18" customFormat="1" ht="18" customHeight="1">
      <c r="A770" s="318">
        <v>42725</v>
      </c>
      <c r="B770" s="318" t="s">
        <v>690</v>
      </c>
      <c r="C770" s="318">
        <v>42725</v>
      </c>
      <c r="D770" s="383" t="s">
        <v>2900</v>
      </c>
      <c r="E770" s="318" t="s">
        <v>260</v>
      </c>
      <c r="F770" s="384">
        <v>34110</v>
      </c>
      <c r="G770" s="382">
        <v>0</v>
      </c>
      <c r="H770" s="385">
        <f t="shared" si="22"/>
        <v>509743570</v>
      </c>
      <c r="I770" s="385">
        <f t="shared" si="23"/>
        <v>0</v>
      </c>
      <c r="J770" s="18">
        <v>12</v>
      </c>
    </row>
    <row r="771" spans="1:10" s="18" customFormat="1" ht="18" customHeight="1">
      <c r="A771" s="318">
        <v>42726</v>
      </c>
      <c r="B771" s="318" t="s">
        <v>690</v>
      </c>
      <c r="C771" s="318">
        <v>42726</v>
      </c>
      <c r="D771" s="383" t="s">
        <v>2148</v>
      </c>
      <c r="E771" s="318" t="s">
        <v>25</v>
      </c>
      <c r="F771" s="384">
        <v>43850</v>
      </c>
      <c r="G771" s="382">
        <v>0</v>
      </c>
      <c r="H771" s="385">
        <f t="shared" si="22"/>
        <v>509787420</v>
      </c>
      <c r="I771" s="385">
        <f t="shared" si="23"/>
        <v>0</v>
      </c>
      <c r="J771" s="18">
        <v>12</v>
      </c>
    </row>
    <row r="772" spans="1:10" s="18" customFormat="1" ht="18" customHeight="1">
      <c r="A772" s="318">
        <v>42726</v>
      </c>
      <c r="B772" s="318" t="s">
        <v>690</v>
      </c>
      <c r="C772" s="318">
        <v>42726</v>
      </c>
      <c r="D772" s="383" t="s">
        <v>2148</v>
      </c>
      <c r="E772" s="318" t="s">
        <v>25</v>
      </c>
      <c r="F772" s="384">
        <v>73892</v>
      </c>
      <c r="G772" s="382">
        <v>0</v>
      </c>
      <c r="H772" s="385">
        <f t="shared" si="22"/>
        <v>509861312</v>
      </c>
      <c r="I772" s="385">
        <f t="shared" si="23"/>
        <v>0</v>
      </c>
      <c r="J772" s="18">
        <v>12</v>
      </c>
    </row>
    <row r="773" spans="1:10" s="18" customFormat="1" ht="18" customHeight="1">
      <c r="A773" s="318">
        <v>42726</v>
      </c>
      <c r="B773" s="318" t="s">
        <v>690</v>
      </c>
      <c r="C773" s="318">
        <v>42726</v>
      </c>
      <c r="D773" s="383" t="s">
        <v>2749</v>
      </c>
      <c r="E773" s="318" t="s">
        <v>25</v>
      </c>
      <c r="F773" s="384">
        <v>2879</v>
      </c>
      <c r="G773" s="382">
        <v>0</v>
      </c>
      <c r="H773" s="385">
        <f t="shared" si="22"/>
        <v>509864191</v>
      </c>
      <c r="I773" s="385">
        <f t="shared" si="23"/>
        <v>0</v>
      </c>
      <c r="J773" s="18">
        <v>12</v>
      </c>
    </row>
    <row r="774" spans="1:10" s="18" customFormat="1" ht="18" customHeight="1">
      <c r="A774" s="318">
        <v>42728</v>
      </c>
      <c r="B774" s="318" t="s">
        <v>2949</v>
      </c>
      <c r="C774" s="318">
        <v>42728</v>
      </c>
      <c r="D774" s="383" t="s">
        <v>2669</v>
      </c>
      <c r="E774" s="318" t="s">
        <v>61</v>
      </c>
      <c r="F774" s="384">
        <v>712950</v>
      </c>
      <c r="G774" s="382">
        <v>0</v>
      </c>
      <c r="H774" s="385">
        <f t="shared" si="22"/>
        <v>510577141</v>
      </c>
      <c r="I774" s="385">
        <f t="shared" si="23"/>
        <v>0</v>
      </c>
      <c r="J774" s="18">
        <v>12</v>
      </c>
    </row>
    <row r="775" spans="1:10" s="18" customFormat="1" ht="18" customHeight="1">
      <c r="A775" s="318">
        <v>42731</v>
      </c>
      <c r="B775" s="318" t="s">
        <v>2892</v>
      </c>
      <c r="C775" s="318">
        <v>42731</v>
      </c>
      <c r="D775" s="383" t="s">
        <v>637</v>
      </c>
      <c r="E775" s="318" t="s">
        <v>8</v>
      </c>
      <c r="F775" s="384">
        <v>1035000</v>
      </c>
      <c r="G775" s="382">
        <v>0</v>
      </c>
      <c r="H775" s="385">
        <f t="shared" si="22"/>
        <v>511612141</v>
      </c>
      <c r="I775" s="385">
        <f t="shared" si="23"/>
        <v>0</v>
      </c>
      <c r="J775" s="18">
        <v>12</v>
      </c>
    </row>
    <row r="776" spans="1:10" s="18" customFormat="1" ht="18" customHeight="1">
      <c r="A776" s="318">
        <v>42731</v>
      </c>
      <c r="B776" s="318" t="s">
        <v>2893</v>
      </c>
      <c r="C776" s="318">
        <v>42731</v>
      </c>
      <c r="D776" s="383" t="s">
        <v>637</v>
      </c>
      <c r="E776" s="318" t="s">
        <v>8</v>
      </c>
      <c r="F776" s="384">
        <v>1522500</v>
      </c>
      <c r="G776" s="382">
        <v>0</v>
      </c>
      <c r="H776" s="385">
        <f t="shared" si="22"/>
        <v>513134641</v>
      </c>
      <c r="I776" s="385">
        <f t="shared" si="23"/>
        <v>0</v>
      </c>
      <c r="J776" s="18">
        <v>12</v>
      </c>
    </row>
    <row r="777" spans="1:10" s="18" customFormat="1" ht="18" customHeight="1">
      <c r="A777" s="318">
        <v>42728</v>
      </c>
      <c r="B777" s="318" t="s">
        <v>690</v>
      </c>
      <c r="C777" s="318">
        <v>42728</v>
      </c>
      <c r="D777" s="383" t="s">
        <v>2898</v>
      </c>
      <c r="E777" s="318" t="s">
        <v>576</v>
      </c>
      <c r="F777" s="384">
        <v>227200</v>
      </c>
      <c r="G777" s="382">
        <v>0</v>
      </c>
      <c r="H777" s="385">
        <f t="shared" si="22"/>
        <v>513361841</v>
      </c>
      <c r="I777" s="385">
        <f t="shared" si="23"/>
        <v>0</v>
      </c>
      <c r="J777" s="18">
        <v>12</v>
      </c>
    </row>
    <row r="778" spans="1:10" s="18" customFormat="1" ht="18" customHeight="1">
      <c r="A778" s="318">
        <v>42730</v>
      </c>
      <c r="B778" s="318" t="s">
        <v>2956</v>
      </c>
      <c r="C778" s="318">
        <v>42730</v>
      </c>
      <c r="D778" s="383" t="s">
        <v>1335</v>
      </c>
      <c r="E778" s="318" t="s">
        <v>61</v>
      </c>
      <c r="F778" s="384">
        <v>940455</v>
      </c>
      <c r="G778" s="382">
        <v>0</v>
      </c>
      <c r="H778" s="385">
        <f t="shared" si="22"/>
        <v>514302296</v>
      </c>
      <c r="I778" s="385">
        <f t="shared" si="23"/>
        <v>0</v>
      </c>
      <c r="J778" s="18">
        <v>12</v>
      </c>
    </row>
    <row r="779" spans="1:10" s="18" customFormat="1" ht="18" customHeight="1">
      <c r="A779" s="318">
        <v>42730</v>
      </c>
      <c r="B779" s="318" t="s">
        <v>2958</v>
      </c>
      <c r="C779" s="318">
        <v>42730</v>
      </c>
      <c r="D779" s="383" t="s">
        <v>2031</v>
      </c>
      <c r="E779" s="318" t="s">
        <v>61</v>
      </c>
      <c r="F779" s="384">
        <v>205622</v>
      </c>
      <c r="G779" s="382">
        <v>0</v>
      </c>
      <c r="H779" s="385">
        <f t="shared" si="22"/>
        <v>514507918</v>
      </c>
      <c r="I779" s="385">
        <f t="shared" si="23"/>
        <v>0</v>
      </c>
      <c r="J779" s="18">
        <v>12</v>
      </c>
    </row>
    <row r="780" spans="1:10" s="18" customFormat="1" ht="18" customHeight="1">
      <c r="A780" s="318">
        <v>42730</v>
      </c>
      <c r="B780" s="318" t="s">
        <v>690</v>
      </c>
      <c r="C780" s="318">
        <v>42730</v>
      </c>
      <c r="D780" s="383" t="s">
        <v>2148</v>
      </c>
      <c r="E780" s="318" t="s">
        <v>25</v>
      </c>
      <c r="F780" s="384">
        <v>10920</v>
      </c>
      <c r="G780" s="382">
        <v>0</v>
      </c>
      <c r="H780" s="385">
        <f t="shared" si="22"/>
        <v>514518838</v>
      </c>
      <c r="I780" s="385">
        <f t="shared" si="23"/>
        <v>0</v>
      </c>
      <c r="J780" s="18">
        <v>12</v>
      </c>
    </row>
    <row r="781" spans="1:10" s="18" customFormat="1" ht="18" customHeight="1">
      <c r="A781" s="318">
        <v>42730</v>
      </c>
      <c r="B781" s="318" t="s">
        <v>690</v>
      </c>
      <c r="C781" s="318">
        <v>42730</v>
      </c>
      <c r="D781" s="383" t="s">
        <v>2148</v>
      </c>
      <c r="E781" s="318" t="s">
        <v>25</v>
      </c>
      <c r="F781" s="384">
        <v>3000</v>
      </c>
      <c r="G781" s="382">
        <v>0</v>
      </c>
      <c r="H781" s="385">
        <f t="shared" si="22"/>
        <v>514521838</v>
      </c>
      <c r="I781" s="385">
        <f t="shared" si="23"/>
        <v>0</v>
      </c>
      <c r="J781" s="18">
        <v>12</v>
      </c>
    </row>
    <row r="782" spans="1:10" s="18" customFormat="1" ht="18" customHeight="1">
      <c r="A782" s="318">
        <v>42730</v>
      </c>
      <c r="B782" s="318" t="s">
        <v>690</v>
      </c>
      <c r="C782" s="318">
        <v>42730</v>
      </c>
      <c r="D782" s="383" t="s">
        <v>1634</v>
      </c>
      <c r="E782" s="318" t="s">
        <v>25</v>
      </c>
      <c r="F782" s="384">
        <v>5000</v>
      </c>
      <c r="G782" s="382">
        <v>0</v>
      </c>
      <c r="H782" s="385">
        <f t="shared" si="22"/>
        <v>514526838</v>
      </c>
      <c r="I782" s="385">
        <f t="shared" si="23"/>
        <v>0</v>
      </c>
      <c r="J782" s="18">
        <v>12</v>
      </c>
    </row>
    <row r="783" spans="1:10" s="18" customFormat="1" ht="18" customHeight="1">
      <c r="A783" s="318">
        <v>42730</v>
      </c>
      <c r="B783" s="318" t="s">
        <v>690</v>
      </c>
      <c r="C783" s="318">
        <v>42730</v>
      </c>
      <c r="D783" s="383" t="s">
        <v>1634</v>
      </c>
      <c r="E783" s="318" t="s">
        <v>25</v>
      </c>
      <c r="F783" s="384">
        <v>5000</v>
      </c>
      <c r="G783" s="382">
        <v>0</v>
      </c>
      <c r="H783" s="385">
        <f t="shared" si="22"/>
        <v>514531838</v>
      </c>
      <c r="I783" s="385">
        <f t="shared" si="23"/>
        <v>0</v>
      </c>
      <c r="J783" s="18">
        <v>12</v>
      </c>
    </row>
    <row r="784" spans="1:10" s="18" customFormat="1" ht="18" customHeight="1">
      <c r="A784" s="318">
        <v>42730</v>
      </c>
      <c r="B784" s="318" t="s">
        <v>690</v>
      </c>
      <c r="C784" s="318">
        <v>42730</v>
      </c>
      <c r="D784" s="383" t="s">
        <v>1634</v>
      </c>
      <c r="E784" s="318" t="s">
        <v>25</v>
      </c>
      <c r="F784" s="384">
        <v>5000</v>
      </c>
      <c r="G784" s="382">
        <v>0</v>
      </c>
      <c r="H784" s="385">
        <f t="shared" ref="H784:H807" si="24">IF(D784&lt;&gt;"",MAX(H783+F784-G784-I783,0),0)</f>
        <v>514536838</v>
      </c>
      <c r="I784" s="385">
        <f t="shared" ref="I784:I807" si="25">IF(D784&lt;&gt;"",MAX(I783+G784-H783-F784,0),0)</f>
        <v>0</v>
      </c>
      <c r="J784" s="18">
        <v>12</v>
      </c>
    </row>
    <row r="785" spans="1:10" s="18" customFormat="1" ht="18" customHeight="1">
      <c r="A785" s="318">
        <v>42730</v>
      </c>
      <c r="B785" s="318" t="s">
        <v>690</v>
      </c>
      <c r="C785" s="318">
        <v>42730</v>
      </c>
      <c r="D785" s="383" t="s">
        <v>1634</v>
      </c>
      <c r="E785" s="318" t="s">
        <v>25</v>
      </c>
      <c r="F785" s="384">
        <v>5000</v>
      </c>
      <c r="G785" s="382">
        <v>0</v>
      </c>
      <c r="H785" s="385">
        <f t="shared" si="24"/>
        <v>514541838</v>
      </c>
      <c r="I785" s="385">
        <f t="shared" si="25"/>
        <v>0</v>
      </c>
      <c r="J785" s="18">
        <v>12</v>
      </c>
    </row>
    <row r="786" spans="1:10" s="18" customFormat="1" ht="18" customHeight="1">
      <c r="A786" s="318">
        <v>42731</v>
      </c>
      <c r="B786" s="318" t="s">
        <v>2961</v>
      </c>
      <c r="C786" s="318">
        <v>42731</v>
      </c>
      <c r="D786" s="383" t="s">
        <v>2702</v>
      </c>
      <c r="E786" s="318" t="s">
        <v>61</v>
      </c>
      <c r="F786" s="384">
        <v>1605000</v>
      </c>
      <c r="G786" s="382">
        <v>0</v>
      </c>
      <c r="H786" s="385">
        <f t="shared" si="24"/>
        <v>516146838</v>
      </c>
      <c r="I786" s="385">
        <f t="shared" si="25"/>
        <v>0</v>
      </c>
      <c r="J786" s="18">
        <v>12</v>
      </c>
    </row>
    <row r="787" spans="1:10" s="18" customFormat="1" ht="18" customHeight="1">
      <c r="A787" s="318">
        <v>42732</v>
      </c>
      <c r="B787" s="318" t="s">
        <v>2894</v>
      </c>
      <c r="C787" s="318">
        <v>42732</v>
      </c>
      <c r="D787" s="383" t="s">
        <v>637</v>
      </c>
      <c r="E787" s="318" t="s">
        <v>8</v>
      </c>
      <c r="F787" s="384">
        <v>1522500</v>
      </c>
      <c r="G787" s="382">
        <v>0</v>
      </c>
      <c r="H787" s="385">
        <f t="shared" si="24"/>
        <v>517669338</v>
      </c>
      <c r="I787" s="385">
        <f t="shared" si="25"/>
        <v>0</v>
      </c>
      <c r="J787" s="18">
        <v>12</v>
      </c>
    </row>
    <row r="788" spans="1:10" s="18" customFormat="1" ht="18" customHeight="1">
      <c r="A788" s="318">
        <v>42733</v>
      </c>
      <c r="B788" s="318" t="s">
        <v>690</v>
      </c>
      <c r="C788" s="318">
        <v>42733</v>
      </c>
      <c r="D788" s="383" t="s">
        <v>2148</v>
      </c>
      <c r="E788" s="318" t="s">
        <v>25</v>
      </c>
      <c r="F788" s="384">
        <v>4500</v>
      </c>
      <c r="G788" s="382">
        <v>0</v>
      </c>
      <c r="H788" s="385">
        <f t="shared" si="24"/>
        <v>517673838</v>
      </c>
      <c r="I788" s="385">
        <f t="shared" si="25"/>
        <v>0</v>
      </c>
      <c r="J788" s="18">
        <v>12</v>
      </c>
    </row>
    <row r="789" spans="1:10" s="18" customFormat="1" ht="18" customHeight="1">
      <c r="A789" s="318">
        <v>42733</v>
      </c>
      <c r="B789" s="318" t="s">
        <v>690</v>
      </c>
      <c r="C789" s="318">
        <v>42733</v>
      </c>
      <c r="D789" s="383" t="s">
        <v>2904</v>
      </c>
      <c r="E789" s="318" t="s">
        <v>25</v>
      </c>
      <c r="F789" s="384">
        <v>228000</v>
      </c>
      <c r="G789" s="382">
        <v>0</v>
      </c>
      <c r="H789" s="385">
        <f t="shared" si="24"/>
        <v>517901838</v>
      </c>
      <c r="I789" s="385">
        <f t="shared" si="25"/>
        <v>0</v>
      </c>
      <c r="J789" s="18">
        <v>12</v>
      </c>
    </row>
    <row r="790" spans="1:10" s="18" customFormat="1" ht="18" customHeight="1">
      <c r="A790" s="318">
        <v>42734</v>
      </c>
      <c r="B790" s="318" t="s">
        <v>690</v>
      </c>
      <c r="C790" s="318">
        <v>42734</v>
      </c>
      <c r="D790" s="383" t="s">
        <v>2148</v>
      </c>
      <c r="E790" s="318" t="s">
        <v>25</v>
      </c>
      <c r="F790" s="384">
        <v>119250</v>
      </c>
      <c r="G790" s="382">
        <v>0</v>
      </c>
      <c r="H790" s="385">
        <f t="shared" si="24"/>
        <v>518021088</v>
      </c>
      <c r="I790" s="385">
        <f t="shared" si="25"/>
        <v>0</v>
      </c>
      <c r="J790" s="18">
        <v>12</v>
      </c>
    </row>
    <row r="791" spans="1:10" s="18" customFormat="1" ht="18" customHeight="1">
      <c r="A791" s="318">
        <v>42734</v>
      </c>
      <c r="B791" s="318" t="s">
        <v>690</v>
      </c>
      <c r="C791" s="318">
        <v>42734</v>
      </c>
      <c r="D791" s="383" t="s">
        <v>1616</v>
      </c>
      <c r="E791" s="318" t="s">
        <v>25</v>
      </c>
      <c r="F791" s="384">
        <v>11028</v>
      </c>
      <c r="G791" s="382">
        <v>0</v>
      </c>
      <c r="H791" s="385">
        <f t="shared" si="24"/>
        <v>518032116</v>
      </c>
      <c r="I791" s="385">
        <f t="shared" si="25"/>
        <v>0</v>
      </c>
      <c r="J791" s="18">
        <v>12</v>
      </c>
    </row>
    <row r="792" spans="1:10" s="18" customFormat="1" ht="18" customHeight="1">
      <c r="A792" s="318">
        <v>42734</v>
      </c>
      <c r="B792" s="318" t="s">
        <v>690</v>
      </c>
      <c r="C792" s="318">
        <v>42734</v>
      </c>
      <c r="D792" s="383" t="s">
        <v>2749</v>
      </c>
      <c r="E792" s="318" t="s">
        <v>25</v>
      </c>
      <c r="F792" s="384">
        <v>17905</v>
      </c>
      <c r="G792" s="382">
        <v>0</v>
      </c>
      <c r="H792" s="385">
        <f t="shared" si="24"/>
        <v>518050021</v>
      </c>
      <c r="I792" s="385">
        <f t="shared" si="25"/>
        <v>0</v>
      </c>
      <c r="J792" s="18">
        <v>12</v>
      </c>
    </row>
    <row r="793" spans="1:10" s="18" customFormat="1" ht="18" customHeight="1">
      <c r="A793" s="318">
        <v>42734</v>
      </c>
      <c r="B793" s="318" t="s">
        <v>690</v>
      </c>
      <c r="C793" s="318">
        <v>42734</v>
      </c>
      <c r="D793" s="383" t="s">
        <v>2010</v>
      </c>
      <c r="E793" s="318" t="s">
        <v>260</v>
      </c>
      <c r="F793" s="384">
        <v>6816</v>
      </c>
      <c r="G793" s="382">
        <v>0</v>
      </c>
      <c r="H793" s="385">
        <f t="shared" si="24"/>
        <v>518056837</v>
      </c>
      <c r="I793" s="385">
        <f t="shared" si="25"/>
        <v>0</v>
      </c>
      <c r="J793" s="18">
        <v>12</v>
      </c>
    </row>
    <row r="794" spans="1:10" s="18" customFormat="1" ht="18" customHeight="1">
      <c r="A794" s="318">
        <v>42735</v>
      </c>
      <c r="B794" s="318" t="s">
        <v>2969</v>
      </c>
      <c r="C794" s="318">
        <v>42735</v>
      </c>
      <c r="D794" s="383" t="s">
        <v>2031</v>
      </c>
      <c r="E794" s="318" t="s">
        <v>61</v>
      </c>
      <c r="F794" s="384">
        <v>162833</v>
      </c>
      <c r="G794" s="382">
        <v>0</v>
      </c>
      <c r="H794" s="385">
        <f t="shared" si="24"/>
        <v>518219670</v>
      </c>
      <c r="I794" s="385">
        <f t="shared" si="25"/>
        <v>0</v>
      </c>
      <c r="J794" s="18">
        <v>12</v>
      </c>
    </row>
    <row r="795" spans="1:10" s="18" customFormat="1" ht="18" customHeight="1">
      <c r="A795" s="318">
        <v>42735</v>
      </c>
      <c r="B795" s="318" t="s">
        <v>2970</v>
      </c>
      <c r="C795" s="318">
        <v>42735</v>
      </c>
      <c r="D795" s="383" t="s">
        <v>1342</v>
      </c>
      <c r="E795" s="318" t="s">
        <v>61</v>
      </c>
      <c r="F795" s="384">
        <v>225909</v>
      </c>
      <c r="G795" s="382">
        <v>0</v>
      </c>
      <c r="H795" s="385">
        <f t="shared" si="24"/>
        <v>518445579</v>
      </c>
      <c r="I795" s="385">
        <f t="shared" si="25"/>
        <v>0</v>
      </c>
      <c r="J795" s="18">
        <v>12</v>
      </c>
    </row>
    <row r="796" spans="1:10" s="18" customFormat="1" ht="18" customHeight="1">
      <c r="A796" s="318">
        <v>42735</v>
      </c>
      <c r="B796" s="318" t="s">
        <v>2971</v>
      </c>
      <c r="C796" s="318">
        <v>42735</v>
      </c>
      <c r="D796" s="383" t="s">
        <v>2838</v>
      </c>
      <c r="E796" s="318" t="s">
        <v>61</v>
      </c>
      <c r="F796" s="384">
        <v>25412</v>
      </c>
      <c r="G796" s="382">
        <v>0</v>
      </c>
      <c r="H796" s="385">
        <f t="shared" si="24"/>
        <v>518470991</v>
      </c>
      <c r="I796" s="385">
        <f t="shared" si="25"/>
        <v>0</v>
      </c>
      <c r="J796" s="18">
        <v>12</v>
      </c>
    </row>
    <row r="797" spans="1:10" s="18" customFormat="1" ht="18" customHeight="1">
      <c r="A797" s="318" t="str">
        <f ca="1">IF(ROWS($1:783)&gt;COUNT(Dong5),"",OFFSET(TH!C$1,SMALL(Dong5,ROWS($1:783)),))</f>
        <v/>
      </c>
      <c r="B797" s="318" t="str">
        <f ca="1">IF(ROWS($1:783)&gt;COUNT(Dong5),"",OFFSET(TH!D$1,SMALL(Dong5,ROWS($1:783)),))</f>
        <v/>
      </c>
      <c r="C797" s="318" t="str">
        <f ca="1">IF(ROWS($1:783)&gt;COUNT(Dong5),"",OFFSET(TH!E$1,SMALL(Dong5,ROWS($1:783)),))</f>
        <v/>
      </c>
      <c r="D797" s="383" t="str">
        <f ca="1">IF(ROWS($1:783)&gt;COUNT(Dong5),"",OFFSET(TH!F$1,SMALL(Dong5,ROWS($1:783)),))</f>
        <v/>
      </c>
      <c r="E797" s="318" t="str">
        <f ca="1">IF(ROWS($1:783)&gt;COUNT(Dong5),"",IF(OFFSET(TH!N$1,SMALL(Dong5,ROWS($1:783)),)=$E$7,OFFSET(TH!O$1,SMALL(Dong5,ROWS($1:783)),),OFFSET(TH!N$1,SMALL(Dong5,ROWS($1:783)),)))</f>
        <v/>
      </c>
      <c r="F797" s="384">
        <f ca="1">IF(ROWS($1:783)&gt;COUNT(Dong5),0,IF(OFFSET(TH!N$1,SMALL(Dong5,ROWS($1:783)),)=$E$7,OFFSET(TH!M$1,SMALL(Dong5,ROWS($1:783)),),0))</f>
        <v>0</v>
      </c>
      <c r="G797" s="382">
        <f ca="1">IF(ROWS($1:783)&gt;COUNT(Dong5),0,IF(OFFSET(TH!O$1,SMALL(Dong5,ROWS($1:783)),)=$E$7,OFFSET(TH!M$1,SMALL(Dong5,ROWS($1:783)),),0))</f>
        <v>0</v>
      </c>
      <c r="H797" s="385">
        <f t="shared" ref="H797:H805" ca="1" si="26">IF(D797&lt;&gt;"",MAX(H796+F797-G797-I796,0),0)</f>
        <v>0</v>
      </c>
      <c r="I797" s="385">
        <f t="shared" ref="I797:I805" ca="1" si="27">IF(D797&lt;&gt;"",MAX(I796+G797-H796-F797,0),0)</f>
        <v>0</v>
      </c>
    </row>
    <row r="798" spans="1:10" s="18" customFormat="1" ht="18" customHeight="1">
      <c r="A798" s="318" t="str">
        <f ca="1">IF(ROWS($1:784)&gt;COUNT(Dong5),"",OFFSET(TH!C$1,SMALL(Dong5,ROWS($1:784)),))</f>
        <v/>
      </c>
      <c r="B798" s="318" t="str">
        <f ca="1">IF(ROWS($1:784)&gt;COUNT(Dong5),"",OFFSET(TH!D$1,SMALL(Dong5,ROWS($1:784)),))</f>
        <v/>
      </c>
      <c r="C798" s="318" t="str">
        <f ca="1">IF(ROWS($1:784)&gt;COUNT(Dong5),"",OFFSET(TH!E$1,SMALL(Dong5,ROWS($1:784)),))</f>
        <v/>
      </c>
      <c r="D798" s="383" t="str">
        <f ca="1">IF(ROWS($1:784)&gt;COUNT(Dong5),"",OFFSET(TH!F$1,SMALL(Dong5,ROWS($1:784)),))</f>
        <v/>
      </c>
      <c r="E798" s="318" t="str">
        <f ca="1">IF(ROWS($1:784)&gt;COUNT(Dong5),"",IF(OFFSET(TH!N$1,SMALL(Dong5,ROWS($1:784)),)=$E$7,OFFSET(TH!O$1,SMALL(Dong5,ROWS($1:784)),),OFFSET(TH!N$1,SMALL(Dong5,ROWS($1:784)),)))</f>
        <v/>
      </c>
      <c r="F798" s="384">
        <f ca="1">IF(ROWS($1:784)&gt;COUNT(Dong5),0,IF(OFFSET(TH!N$1,SMALL(Dong5,ROWS($1:784)),)=$E$7,OFFSET(TH!M$1,SMALL(Dong5,ROWS($1:784)),),0))</f>
        <v>0</v>
      </c>
      <c r="G798" s="382">
        <f ca="1">IF(ROWS($1:784)&gt;COUNT(Dong5),0,IF(OFFSET(TH!O$1,SMALL(Dong5,ROWS($1:784)),)=$E$7,OFFSET(TH!M$1,SMALL(Dong5,ROWS($1:784)),),0))</f>
        <v>0</v>
      </c>
      <c r="H798" s="385">
        <f t="shared" ca="1" si="26"/>
        <v>0</v>
      </c>
      <c r="I798" s="385">
        <f t="shared" ca="1" si="27"/>
        <v>0</v>
      </c>
    </row>
    <row r="799" spans="1:10" s="18" customFormat="1" ht="18" customHeight="1">
      <c r="A799" s="318" t="str">
        <f ca="1">IF(ROWS($1:785)&gt;COUNT(Dong5),"",OFFSET(TH!C$1,SMALL(Dong5,ROWS($1:785)),))</f>
        <v/>
      </c>
      <c r="B799" s="318" t="str">
        <f ca="1">IF(ROWS($1:785)&gt;COUNT(Dong5),"",OFFSET(TH!D$1,SMALL(Dong5,ROWS($1:785)),))</f>
        <v/>
      </c>
      <c r="C799" s="318" t="str">
        <f ca="1">IF(ROWS($1:785)&gt;COUNT(Dong5),"",OFFSET(TH!E$1,SMALL(Dong5,ROWS($1:785)),))</f>
        <v/>
      </c>
      <c r="D799" s="383" t="str">
        <f ca="1">IF(ROWS($1:785)&gt;COUNT(Dong5),"",OFFSET(TH!F$1,SMALL(Dong5,ROWS($1:785)),))</f>
        <v/>
      </c>
      <c r="E799" s="318" t="str">
        <f ca="1">IF(ROWS($1:785)&gt;COUNT(Dong5),"",IF(OFFSET(TH!N$1,SMALL(Dong5,ROWS($1:785)),)=$E$7,OFFSET(TH!O$1,SMALL(Dong5,ROWS($1:785)),),OFFSET(TH!N$1,SMALL(Dong5,ROWS($1:785)),)))</f>
        <v/>
      </c>
      <c r="F799" s="384">
        <f ca="1">IF(ROWS($1:785)&gt;COUNT(Dong5),0,IF(OFFSET(TH!N$1,SMALL(Dong5,ROWS($1:785)),)=$E$7,OFFSET(TH!M$1,SMALL(Dong5,ROWS($1:785)),),0))</f>
        <v>0</v>
      </c>
      <c r="G799" s="382">
        <f ca="1">IF(ROWS($1:785)&gt;COUNT(Dong5),0,IF(OFFSET(TH!O$1,SMALL(Dong5,ROWS($1:785)),)=$E$7,OFFSET(TH!M$1,SMALL(Dong5,ROWS($1:785)),),0))</f>
        <v>0</v>
      </c>
      <c r="H799" s="385">
        <f t="shared" ca="1" si="26"/>
        <v>0</v>
      </c>
      <c r="I799" s="385">
        <f t="shared" ca="1" si="27"/>
        <v>0</v>
      </c>
    </row>
    <row r="800" spans="1:10" s="18" customFormat="1" ht="18" customHeight="1">
      <c r="A800" s="318" t="str">
        <f ca="1">IF(ROWS($1:786)&gt;COUNT(Dong5),"",OFFSET(TH!C$1,SMALL(Dong5,ROWS($1:786)),))</f>
        <v/>
      </c>
      <c r="B800" s="318" t="str">
        <f ca="1">IF(ROWS($1:786)&gt;COUNT(Dong5),"",OFFSET(TH!D$1,SMALL(Dong5,ROWS($1:786)),))</f>
        <v/>
      </c>
      <c r="C800" s="318" t="str">
        <f ca="1">IF(ROWS($1:786)&gt;COUNT(Dong5),"",OFFSET(TH!E$1,SMALL(Dong5,ROWS($1:786)),))</f>
        <v/>
      </c>
      <c r="D800" s="383" t="str">
        <f ca="1">IF(ROWS($1:786)&gt;COUNT(Dong5),"",OFFSET(TH!F$1,SMALL(Dong5,ROWS($1:786)),))</f>
        <v/>
      </c>
      <c r="E800" s="318" t="str">
        <f ca="1">IF(ROWS($1:786)&gt;COUNT(Dong5),"",IF(OFFSET(TH!N$1,SMALL(Dong5,ROWS($1:786)),)=$E$7,OFFSET(TH!O$1,SMALL(Dong5,ROWS($1:786)),),OFFSET(TH!N$1,SMALL(Dong5,ROWS($1:786)),)))</f>
        <v/>
      </c>
      <c r="F800" s="384">
        <f ca="1">IF(ROWS($1:786)&gt;COUNT(Dong5),0,IF(OFFSET(TH!N$1,SMALL(Dong5,ROWS($1:786)),)=$E$7,OFFSET(TH!M$1,SMALL(Dong5,ROWS($1:786)),),0))</f>
        <v>0</v>
      </c>
      <c r="G800" s="382">
        <f ca="1">IF(ROWS($1:786)&gt;COUNT(Dong5),0,IF(OFFSET(TH!O$1,SMALL(Dong5,ROWS($1:786)),)=$E$7,OFFSET(TH!M$1,SMALL(Dong5,ROWS($1:786)),),0))</f>
        <v>0</v>
      </c>
      <c r="H800" s="385">
        <f t="shared" ca="1" si="26"/>
        <v>0</v>
      </c>
      <c r="I800" s="385">
        <f t="shared" ca="1" si="27"/>
        <v>0</v>
      </c>
    </row>
    <row r="801" spans="1:9" s="18" customFormat="1" ht="18" customHeight="1">
      <c r="A801" s="318" t="str">
        <f ca="1">IF(ROWS($1:787)&gt;COUNT(Dong5),"",OFFSET(TH!C$1,SMALL(Dong5,ROWS($1:787)),))</f>
        <v/>
      </c>
      <c r="B801" s="318" t="str">
        <f ca="1">IF(ROWS($1:787)&gt;COUNT(Dong5),"",OFFSET(TH!D$1,SMALL(Dong5,ROWS($1:787)),))</f>
        <v/>
      </c>
      <c r="C801" s="318" t="str">
        <f ca="1">IF(ROWS($1:787)&gt;COUNT(Dong5),"",OFFSET(TH!E$1,SMALL(Dong5,ROWS($1:787)),))</f>
        <v/>
      </c>
      <c r="D801" s="383" t="str">
        <f ca="1">IF(ROWS($1:787)&gt;COUNT(Dong5),"",OFFSET(TH!F$1,SMALL(Dong5,ROWS($1:787)),))</f>
        <v/>
      </c>
      <c r="E801" s="318" t="str">
        <f ca="1">IF(ROWS($1:787)&gt;COUNT(Dong5),"",IF(OFFSET(TH!N$1,SMALL(Dong5,ROWS($1:787)),)=$E$7,OFFSET(TH!O$1,SMALL(Dong5,ROWS($1:787)),),OFFSET(TH!N$1,SMALL(Dong5,ROWS($1:787)),)))</f>
        <v/>
      </c>
      <c r="F801" s="384">
        <f ca="1">IF(ROWS($1:787)&gt;COUNT(Dong5),0,IF(OFFSET(TH!N$1,SMALL(Dong5,ROWS($1:787)),)=$E$7,OFFSET(TH!M$1,SMALL(Dong5,ROWS($1:787)),),0))</f>
        <v>0</v>
      </c>
      <c r="G801" s="382">
        <f ca="1">IF(ROWS($1:787)&gt;COUNT(Dong5),0,IF(OFFSET(TH!O$1,SMALL(Dong5,ROWS($1:787)),)=$E$7,OFFSET(TH!M$1,SMALL(Dong5,ROWS($1:787)),),0))</f>
        <v>0</v>
      </c>
      <c r="H801" s="385">
        <f t="shared" ca="1" si="26"/>
        <v>0</v>
      </c>
      <c r="I801" s="385">
        <f t="shared" ca="1" si="27"/>
        <v>0</v>
      </c>
    </row>
    <row r="802" spans="1:9" s="18" customFormat="1" ht="18" customHeight="1">
      <c r="A802" s="318" t="str">
        <f ca="1">IF(ROWS($1:788)&gt;COUNT(Dong5),"",OFFSET(TH!C$1,SMALL(Dong5,ROWS($1:788)),))</f>
        <v/>
      </c>
      <c r="B802" s="318" t="str">
        <f ca="1">IF(ROWS($1:788)&gt;COUNT(Dong5),"",OFFSET(TH!D$1,SMALL(Dong5,ROWS($1:788)),))</f>
        <v/>
      </c>
      <c r="C802" s="318" t="str">
        <f ca="1">IF(ROWS($1:788)&gt;COUNT(Dong5),"",OFFSET(TH!E$1,SMALL(Dong5,ROWS($1:788)),))</f>
        <v/>
      </c>
      <c r="D802" s="383" t="str">
        <f ca="1">IF(ROWS($1:788)&gt;COUNT(Dong5),"",OFFSET(TH!F$1,SMALL(Dong5,ROWS($1:788)),))</f>
        <v/>
      </c>
      <c r="E802" s="318" t="str">
        <f ca="1">IF(ROWS($1:788)&gt;COUNT(Dong5),"",IF(OFFSET(TH!N$1,SMALL(Dong5,ROWS($1:788)),)=$E$7,OFFSET(TH!O$1,SMALL(Dong5,ROWS($1:788)),),OFFSET(TH!N$1,SMALL(Dong5,ROWS($1:788)),)))</f>
        <v/>
      </c>
      <c r="F802" s="384">
        <f ca="1">IF(ROWS($1:788)&gt;COUNT(Dong5),0,IF(OFFSET(TH!N$1,SMALL(Dong5,ROWS($1:788)),)=$E$7,OFFSET(TH!M$1,SMALL(Dong5,ROWS($1:788)),),0))</f>
        <v>0</v>
      </c>
      <c r="G802" s="382">
        <f ca="1">IF(ROWS($1:788)&gt;COUNT(Dong5),0,IF(OFFSET(TH!O$1,SMALL(Dong5,ROWS($1:788)),)=$E$7,OFFSET(TH!M$1,SMALL(Dong5,ROWS($1:788)),),0))</f>
        <v>0</v>
      </c>
      <c r="H802" s="385">
        <f t="shared" ca="1" si="26"/>
        <v>0</v>
      </c>
      <c r="I802" s="385">
        <f t="shared" ca="1" si="27"/>
        <v>0</v>
      </c>
    </row>
    <row r="803" spans="1:9" s="18" customFormat="1" ht="18" customHeight="1">
      <c r="A803" s="318" t="str">
        <f ca="1">IF(ROWS($1:789)&gt;COUNT(Dong5),"",OFFSET(TH!C$1,SMALL(Dong5,ROWS($1:789)),))</f>
        <v/>
      </c>
      <c r="B803" s="318" t="str">
        <f ca="1">IF(ROWS($1:789)&gt;COUNT(Dong5),"",OFFSET(TH!D$1,SMALL(Dong5,ROWS($1:789)),))</f>
        <v/>
      </c>
      <c r="C803" s="318" t="str">
        <f ca="1">IF(ROWS($1:789)&gt;COUNT(Dong5),"",OFFSET(TH!E$1,SMALL(Dong5,ROWS($1:789)),))</f>
        <v/>
      </c>
      <c r="D803" s="383" t="str">
        <f ca="1">IF(ROWS($1:789)&gt;COUNT(Dong5),"",OFFSET(TH!F$1,SMALL(Dong5,ROWS($1:789)),))</f>
        <v/>
      </c>
      <c r="E803" s="318" t="str">
        <f ca="1">IF(ROWS($1:789)&gt;COUNT(Dong5),"",IF(OFFSET(TH!N$1,SMALL(Dong5,ROWS($1:789)),)=$E$7,OFFSET(TH!O$1,SMALL(Dong5,ROWS($1:789)),),OFFSET(TH!N$1,SMALL(Dong5,ROWS($1:789)),)))</f>
        <v/>
      </c>
      <c r="F803" s="384">
        <f ca="1">IF(ROWS($1:789)&gt;COUNT(Dong5),0,IF(OFFSET(TH!N$1,SMALL(Dong5,ROWS($1:789)),)=$E$7,OFFSET(TH!M$1,SMALL(Dong5,ROWS($1:789)),),0))</f>
        <v>0</v>
      </c>
      <c r="G803" s="382">
        <f ca="1">IF(ROWS($1:789)&gt;COUNT(Dong5),0,IF(OFFSET(TH!O$1,SMALL(Dong5,ROWS($1:789)),)=$E$7,OFFSET(TH!M$1,SMALL(Dong5,ROWS($1:789)),),0))</f>
        <v>0</v>
      </c>
      <c r="H803" s="385">
        <f t="shared" ca="1" si="26"/>
        <v>0</v>
      </c>
      <c r="I803" s="385">
        <f t="shared" ca="1" si="27"/>
        <v>0</v>
      </c>
    </row>
    <row r="804" spans="1:9" s="18" customFormat="1" ht="18" customHeight="1">
      <c r="A804" s="318" t="str">
        <f ca="1">IF(ROWS($1:790)&gt;COUNT(Dong5),"",OFFSET(TH!C$1,SMALL(Dong5,ROWS($1:790)),))</f>
        <v/>
      </c>
      <c r="B804" s="318" t="str">
        <f ca="1">IF(ROWS($1:790)&gt;COUNT(Dong5),"",OFFSET(TH!D$1,SMALL(Dong5,ROWS($1:790)),))</f>
        <v/>
      </c>
      <c r="C804" s="318" t="str">
        <f ca="1">IF(ROWS($1:790)&gt;COUNT(Dong5),"",OFFSET(TH!E$1,SMALL(Dong5,ROWS($1:790)),))</f>
        <v/>
      </c>
      <c r="D804" s="383" t="str">
        <f ca="1">IF(ROWS($1:790)&gt;COUNT(Dong5),"",OFFSET(TH!F$1,SMALL(Dong5,ROWS($1:790)),))</f>
        <v/>
      </c>
      <c r="E804" s="318" t="str">
        <f ca="1">IF(ROWS($1:790)&gt;COUNT(Dong5),"",IF(OFFSET(TH!N$1,SMALL(Dong5,ROWS($1:790)),)=$E$7,OFFSET(TH!O$1,SMALL(Dong5,ROWS($1:790)),),OFFSET(TH!N$1,SMALL(Dong5,ROWS($1:790)),)))</f>
        <v/>
      </c>
      <c r="F804" s="384">
        <f ca="1">IF(ROWS($1:790)&gt;COUNT(Dong5),0,IF(OFFSET(TH!N$1,SMALL(Dong5,ROWS($1:790)),)=$E$7,OFFSET(TH!M$1,SMALL(Dong5,ROWS($1:790)),),0))</f>
        <v>0</v>
      </c>
      <c r="G804" s="382">
        <f ca="1">IF(ROWS($1:790)&gt;COUNT(Dong5),0,IF(OFFSET(TH!O$1,SMALL(Dong5,ROWS($1:790)),)=$E$7,OFFSET(TH!M$1,SMALL(Dong5,ROWS($1:790)),),0))</f>
        <v>0</v>
      </c>
      <c r="H804" s="385">
        <f t="shared" ca="1" si="26"/>
        <v>0</v>
      </c>
      <c r="I804" s="385">
        <f t="shared" ca="1" si="27"/>
        <v>0</v>
      </c>
    </row>
    <row r="805" spans="1:9" s="18" customFormat="1" ht="18" customHeight="1">
      <c r="A805" s="318" t="str">
        <f ca="1">IF(ROWS($1:791)&gt;COUNT(Dong5),"",OFFSET(TH!C$1,SMALL(Dong5,ROWS($1:791)),))</f>
        <v/>
      </c>
      <c r="B805" s="318" t="str">
        <f ca="1">IF(ROWS($1:791)&gt;COUNT(Dong5),"",OFFSET(TH!D$1,SMALL(Dong5,ROWS($1:791)),))</f>
        <v/>
      </c>
      <c r="C805" s="318" t="str">
        <f ca="1">IF(ROWS($1:791)&gt;COUNT(Dong5),"",OFFSET(TH!E$1,SMALL(Dong5,ROWS($1:791)),))</f>
        <v/>
      </c>
      <c r="D805" s="383" t="str">
        <f ca="1">IF(ROWS($1:791)&gt;COUNT(Dong5),"",OFFSET(TH!F$1,SMALL(Dong5,ROWS($1:791)),))</f>
        <v/>
      </c>
      <c r="E805" s="318" t="str">
        <f ca="1">IF(ROWS($1:791)&gt;COUNT(Dong5),"",IF(OFFSET(TH!N$1,SMALL(Dong5,ROWS($1:791)),)=$E$7,OFFSET(TH!O$1,SMALL(Dong5,ROWS($1:791)),),OFFSET(TH!N$1,SMALL(Dong5,ROWS($1:791)),)))</f>
        <v/>
      </c>
      <c r="F805" s="384">
        <f ca="1">IF(ROWS($1:791)&gt;COUNT(Dong5),0,IF(OFFSET(TH!N$1,SMALL(Dong5,ROWS($1:791)),)=$E$7,OFFSET(TH!M$1,SMALL(Dong5,ROWS($1:791)),),0))</f>
        <v>0</v>
      </c>
      <c r="G805" s="382">
        <f ca="1">IF(ROWS($1:791)&gt;COUNT(Dong5),0,IF(OFFSET(TH!O$1,SMALL(Dong5,ROWS($1:791)),)=$E$7,OFFSET(TH!M$1,SMALL(Dong5,ROWS($1:791)),),0))</f>
        <v>0</v>
      </c>
      <c r="H805" s="385">
        <f t="shared" ca="1" si="26"/>
        <v>0</v>
      </c>
      <c r="I805" s="385">
        <f t="shared" ca="1" si="27"/>
        <v>0</v>
      </c>
    </row>
    <row r="806" spans="1:9" s="18" customFormat="1" ht="18" customHeight="1">
      <c r="A806" s="318"/>
      <c r="B806" s="319"/>
      <c r="C806" s="318"/>
      <c r="D806" s="370" t="s">
        <v>155</v>
      </c>
      <c r="E806" s="319" t="s">
        <v>20</v>
      </c>
      <c r="F806" s="386">
        <f>SUM(F15:F796)</f>
        <v>875467002</v>
      </c>
      <c r="G806" s="386">
        <f>SUM(G15:G796)</f>
        <v>519416947</v>
      </c>
      <c r="H806" s="385">
        <f ca="1">IF(D806&lt;&gt;"",MAX(H805+F806-G806-I805,0),0)</f>
        <v>356050055</v>
      </c>
      <c r="I806" s="385">
        <f ca="1">IF(D806&lt;&gt;"",MAX(I805+G806-H805-F806,0),0)</f>
        <v>0</v>
      </c>
    </row>
    <row r="807" spans="1:9" s="18" customFormat="1" ht="18" customHeight="1">
      <c r="A807" s="387"/>
      <c r="B807" s="375"/>
      <c r="C807" s="387"/>
      <c r="D807" s="374" t="s">
        <v>10</v>
      </c>
      <c r="E807" s="375" t="s">
        <v>20</v>
      </c>
      <c r="F807" s="388" t="s">
        <v>20</v>
      </c>
      <c r="G807" s="388" t="s">
        <v>20</v>
      </c>
      <c r="H807" s="388">
        <f>IF(D807&lt;&gt;"",MAX(H14+F806-G806-I14,0),0)</f>
        <v>518470991</v>
      </c>
      <c r="I807" s="388">
        <f ca="1">IF(D807&lt;&gt;"",MAX(I14+G806-H806-F14,0),0)</f>
        <v>163366892</v>
      </c>
    </row>
    <row r="808" spans="1:9" s="18" customFormat="1" ht="9.75" customHeight="1">
      <c r="A808" s="1338"/>
      <c r="B808" s="1338"/>
      <c r="C808" s="1338"/>
      <c r="E808" s="1338"/>
    </row>
    <row r="809" spans="1:9" s="18" customFormat="1" ht="12.75">
      <c r="A809" s="1338"/>
      <c r="B809" s="1338"/>
      <c r="C809" s="390" t="s">
        <v>246</v>
      </c>
      <c r="E809" s="1338"/>
    </row>
    <row r="810" spans="1:9" s="18" customFormat="1" ht="12.75">
      <c r="A810" s="1338"/>
      <c r="B810" s="1338"/>
      <c r="C810" s="28" t="s">
        <v>3003</v>
      </c>
      <c r="E810" s="1338"/>
    </row>
    <row r="811" spans="1:9" s="18" customFormat="1" ht="13.5" customHeight="1">
      <c r="A811" s="1338"/>
      <c r="B811" s="1338"/>
      <c r="C811" s="1338"/>
      <c r="E811" s="1384" t="s">
        <v>3002</v>
      </c>
      <c r="F811" s="1384"/>
      <c r="G811" s="1384"/>
      <c r="H811" s="1384"/>
      <c r="I811" s="1384"/>
    </row>
    <row r="812" spans="1:9" s="18" customFormat="1" ht="12.75">
      <c r="A812" s="1384" t="s">
        <v>11</v>
      </c>
      <c r="B812" s="1384"/>
      <c r="C812" s="1384"/>
      <c r="D812" s="1384"/>
      <c r="E812" s="1384" t="s">
        <v>12</v>
      </c>
      <c r="F812" s="1384"/>
      <c r="G812" s="1384"/>
      <c r="H812" s="1384"/>
      <c r="I812" s="1384"/>
    </row>
    <row r="813" spans="1:9" s="18" customFormat="1" ht="12.75">
      <c r="A813" s="1384" t="s">
        <v>13</v>
      </c>
      <c r="B813" s="1384"/>
      <c r="C813" s="1384"/>
      <c r="D813" s="1384"/>
      <c r="E813" s="1384" t="s">
        <v>13</v>
      </c>
      <c r="F813" s="1384"/>
      <c r="G813" s="1384"/>
      <c r="H813" s="1384"/>
      <c r="I813" s="1384"/>
    </row>
    <row r="814" spans="1:9" s="18" customFormat="1" ht="12.75">
      <c r="A814" s="1338"/>
      <c r="B814" s="1338"/>
      <c r="C814" s="1338"/>
      <c r="E814" s="1338"/>
    </row>
    <row r="815" spans="1:9">
      <c r="D815" s="237"/>
      <c r="F815" s="238"/>
    </row>
    <row r="820" spans="1:10" s="1339" customFormat="1">
      <c r="A820" s="1397" t="s">
        <v>223</v>
      </c>
      <c r="B820" s="1397"/>
      <c r="C820" s="1397"/>
      <c r="D820" s="1397"/>
      <c r="F820" s="5"/>
      <c r="G820" s="5"/>
      <c r="H820" s="5"/>
      <c r="I820" s="5"/>
      <c r="J820" s="5"/>
    </row>
  </sheetData>
  <sortState ref="A31:J73">
    <sortCondition ref="B31:B73"/>
  </sortState>
  <mergeCells count="18">
    <mergeCell ref="E811:I811"/>
    <mergeCell ref="A812:D812"/>
    <mergeCell ref="E812:I812"/>
    <mergeCell ref="A813:D813"/>
    <mergeCell ref="E813:I813"/>
    <mergeCell ref="A820:D820"/>
    <mergeCell ref="A11:A12"/>
    <mergeCell ref="B11:C11"/>
    <mergeCell ref="D11:D12"/>
    <mergeCell ref="E11:E12"/>
    <mergeCell ref="F11:G11"/>
    <mergeCell ref="H11:I11"/>
    <mergeCell ref="G2:I2"/>
    <mergeCell ref="G3:I4"/>
    <mergeCell ref="A5:I5"/>
    <mergeCell ref="A6:I6"/>
    <mergeCell ref="A9:I9"/>
    <mergeCell ref="C10:I10"/>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FFFF00"/>
  </sheetPr>
  <dimension ref="A2:J820"/>
  <sheetViews>
    <sheetView workbookViewId="0">
      <selection activeCell="J15" sqref="J15"/>
    </sheetView>
  </sheetViews>
  <sheetFormatPr defaultRowHeight="15"/>
  <cols>
    <col min="1" max="1" width="7.7109375" style="213" customWidth="1"/>
    <col min="2" max="2" width="6.28515625" style="213" customWidth="1"/>
    <col min="3" max="3" width="7.42578125" style="213" customWidth="1"/>
    <col min="4" max="4" width="34.5703125" style="5" customWidth="1"/>
    <col min="5" max="5" width="6.28515625" style="213"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177</v>
      </c>
      <c r="G2" s="1387" t="s">
        <v>178</v>
      </c>
      <c r="H2" s="1387"/>
      <c r="I2" s="1387"/>
    </row>
    <row r="3" spans="1:10" ht="15.75" customHeight="1">
      <c r="A3" s="1" t="s">
        <v>179</v>
      </c>
      <c r="G3" s="1388" t="s">
        <v>141</v>
      </c>
      <c r="H3" s="1388"/>
      <c r="I3" s="1388"/>
    </row>
    <row r="4" spans="1:10">
      <c r="F4" s="17"/>
      <c r="G4" s="1388"/>
      <c r="H4" s="1388"/>
      <c r="I4" s="1388"/>
    </row>
    <row r="5" spans="1:10" ht="17.25" customHeight="1">
      <c r="A5" s="1389" t="s">
        <v>180</v>
      </c>
      <c r="B5" s="1389"/>
      <c r="C5" s="1389"/>
      <c r="D5" s="1389"/>
      <c r="E5" s="1389"/>
      <c r="F5" s="1389"/>
      <c r="G5" s="1389"/>
      <c r="H5" s="1389"/>
      <c r="I5" s="1389"/>
    </row>
    <row r="6" spans="1:10">
      <c r="A6" s="1390" t="s">
        <v>181</v>
      </c>
      <c r="B6" s="1391"/>
      <c r="C6" s="1391"/>
      <c r="D6" s="1391"/>
      <c r="E6" s="1391"/>
      <c r="F6" s="1391"/>
      <c r="G6" s="1391"/>
      <c r="H6" s="1391"/>
      <c r="I6" s="1391"/>
    </row>
    <row r="7" spans="1:10">
      <c r="B7" s="5"/>
      <c r="C7" s="5"/>
      <c r="D7" s="235" t="s">
        <v>182</v>
      </c>
      <c r="E7" s="236" t="s">
        <v>9</v>
      </c>
    </row>
    <row r="8" spans="1:10">
      <c r="B8" s="5"/>
      <c r="C8" s="5"/>
      <c r="D8" s="235" t="s">
        <v>183</v>
      </c>
      <c r="E8" s="5" t="str">
        <f>VLOOKUP($E$7,DSTK,2,0)</f>
        <v xml:space="preserve"> Thuế GTGT được khấu trừ của HH, DV </v>
      </c>
    </row>
    <row r="9" spans="1:10">
      <c r="A9" s="1391" t="s">
        <v>29</v>
      </c>
      <c r="B9" s="1392"/>
      <c r="C9" s="1392"/>
      <c r="D9" s="1392"/>
      <c r="E9" s="1392"/>
      <c r="F9" s="1392"/>
      <c r="G9" s="1392"/>
      <c r="H9" s="1392"/>
      <c r="I9" s="1392"/>
    </row>
    <row r="10" spans="1:10" ht="9.75" customHeight="1">
      <c r="C10" s="1393"/>
      <c r="D10" s="1394"/>
      <c r="E10" s="1394"/>
      <c r="F10" s="1394"/>
      <c r="G10" s="1394"/>
      <c r="H10" s="1394"/>
      <c r="I10" s="1394"/>
    </row>
    <row r="11" spans="1:10" s="18" customFormat="1" ht="19.5" customHeight="1">
      <c r="A11" s="1395" t="s">
        <v>21</v>
      </c>
      <c r="B11" s="1385" t="s">
        <v>1</v>
      </c>
      <c r="C11" s="1396"/>
      <c r="D11" s="1395" t="s">
        <v>0</v>
      </c>
      <c r="E11" s="1395" t="s">
        <v>15</v>
      </c>
      <c r="F11" s="1385" t="s">
        <v>22</v>
      </c>
      <c r="G11" s="1396"/>
      <c r="H11" s="1385" t="s">
        <v>31</v>
      </c>
      <c r="I11" s="1386"/>
    </row>
    <row r="12" spans="1:10" s="18" customFormat="1" ht="32.25" customHeight="1">
      <c r="A12" s="1395"/>
      <c r="B12" s="380" t="s">
        <v>16</v>
      </c>
      <c r="C12" s="380" t="s">
        <v>32</v>
      </c>
      <c r="D12" s="1395"/>
      <c r="E12" s="1395"/>
      <c r="F12" s="380" t="s">
        <v>23</v>
      </c>
      <c r="G12" s="380" t="s">
        <v>24</v>
      </c>
      <c r="H12" s="380" t="s">
        <v>23</v>
      </c>
      <c r="I12" s="380" t="s">
        <v>24</v>
      </c>
    </row>
    <row r="13" spans="1:10" s="337" customFormat="1" ht="11.25" customHeight="1">
      <c r="A13" s="341" t="s">
        <v>2</v>
      </c>
      <c r="B13" s="342" t="s">
        <v>3</v>
      </c>
      <c r="C13" s="341" t="s">
        <v>4</v>
      </c>
      <c r="D13" s="341" t="s">
        <v>5</v>
      </c>
      <c r="E13" s="341" t="s">
        <v>6</v>
      </c>
      <c r="F13" s="341">
        <v>1</v>
      </c>
      <c r="G13" s="341">
        <v>2</v>
      </c>
      <c r="H13" s="341">
        <v>3</v>
      </c>
      <c r="I13" s="341">
        <v>4</v>
      </c>
    </row>
    <row r="14" spans="1:10" s="18" customFormat="1" ht="18" customHeight="1">
      <c r="A14" s="381"/>
      <c r="B14" s="357"/>
      <c r="C14" s="381"/>
      <c r="D14" s="356" t="s">
        <v>7</v>
      </c>
      <c r="E14" s="357"/>
      <c r="F14" s="382"/>
      <c r="G14" s="382"/>
      <c r="H14" s="382">
        <f>VLOOKUP($E$7,DSTK,3,0)</f>
        <v>162420936</v>
      </c>
      <c r="I14" s="382">
        <f>VLOOKUP($E$7,DSTK,4,0)</f>
        <v>0</v>
      </c>
    </row>
    <row r="15" spans="1:10" s="18" customFormat="1" ht="18" customHeight="1">
      <c r="A15" s="318">
        <f ca="1">IF(ROWS($1:1)&gt;COUNT(Dong5),"",OFFSET(TH!C$1,SMALL(Dong5,ROWS($1:1)),))</f>
        <v>42582</v>
      </c>
      <c r="B15" s="318" t="str">
        <f ca="1">IF(ROWS($1:1)&gt;COUNT(Dong5),"",OFFSET(TH!D$1,SMALL(Dong5,ROWS($1:1)),))</f>
        <v>BTKC</v>
      </c>
      <c r="C15" s="318">
        <f ca="1">IF(ROWS($1:1)&gt;COUNT(Dong5),"",OFFSET(TH!E$1,SMALL(Dong5,ROWS($1:1)),))</f>
        <v>42582</v>
      </c>
      <c r="D15" s="383" t="str">
        <f ca="1">IF(ROWS($1:1)&gt;COUNT(Dong5),"",OFFSET(TH!F$1,SMALL(Dong5,ROWS($1:1)),))</f>
        <v>K/C Thuế GTGT đầu ra T7/2016</v>
      </c>
      <c r="E15" s="318" t="str">
        <f ca="1">IF(ROWS($1:1)&gt;COUNT(Dong5),"",IF(OFFSET(TH!N$1,SMALL(Dong5,ROWS($1:1)),)=$E$7,OFFSET(TH!O$1,SMALL(Dong5,ROWS($1:1)),),OFFSET(TH!N$1,SMALL(Dong5,ROWS($1:1)),)))</f>
        <v>33311</v>
      </c>
      <c r="F15" s="384">
        <f ca="1">IF(ROWS($1:1)&gt;COUNT(Dong5),0,IF(OFFSET(TH!N$1,SMALL(Dong5,ROWS($1:1)),)=$E$7,OFFSET(TH!M$1,SMALL(Dong5,ROWS($1:1)),),0))</f>
        <v>0</v>
      </c>
      <c r="G15" s="382">
        <f ca="1">IF(ROWS($1:1)&gt;COUNT(Dong5),0,IF(OFFSET(TH!O$1,SMALL(Dong5,ROWS($1:1)),)=$E$7,OFFSET(TH!M$1,SMALL(Dong5,ROWS($1:1)),),0))</f>
        <v>49965435</v>
      </c>
      <c r="H15" s="385">
        <f ca="1">IF(D15&lt;&gt;"",MAX(H14+F15-G15-I14,0),0)</f>
        <v>112455501</v>
      </c>
      <c r="I15" s="385">
        <f ca="1">IF(D15&lt;&gt;"",MAX(I14+G15-H14-F15,0),0)</f>
        <v>0</v>
      </c>
      <c r="J15" s="18">
        <f ca="1">MONTH(A15)</f>
        <v>7</v>
      </c>
    </row>
    <row r="16" spans="1:10" s="18" customFormat="1" ht="18" customHeight="1">
      <c r="A16" s="318">
        <f ca="1">IF(ROWS($1:2)&gt;COUNT(Dong5),"",OFFSET(TH!C$1,SMALL(Dong5,ROWS($1:2)),))</f>
        <v>42704</v>
      </c>
      <c r="B16" s="318" t="str">
        <f ca="1">IF(ROWS($1:2)&gt;COUNT(Dong5),"",OFFSET(TH!D$1,SMALL(Dong5,ROWS($1:2)),))</f>
        <v>BTKC</v>
      </c>
      <c r="C16" s="318">
        <f ca="1">IF(ROWS($1:2)&gt;COUNT(Dong5),"",OFFSET(TH!E$1,SMALL(Dong5,ROWS($1:2)),))</f>
        <v>42704</v>
      </c>
      <c r="D16" s="383" t="str">
        <f ca="1">IF(ROWS($1:2)&gt;COUNT(Dong5),"",OFFSET(TH!F$1,SMALL(Dong5,ROWS($1:2)),))</f>
        <v>K/C Thuế GTGT đầu ra T11/2016</v>
      </c>
      <c r="E16" s="318" t="str">
        <f ca="1">IF(ROWS($1:2)&gt;COUNT(Dong5),"",IF(OFFSET(TH!N$1,SMALL(Dong5,ROWS($1:2)),)=$E$7,OFFSET(TH!O$1,SMALL(Dong5,ROWS($1:2)),),OFFSET(TH!N$1,SMALL(Dong5,ROWS($1:2)),)))</f>
        <v>33311</v>
      </c>
      <c r="F16" s="384">
        <f ca="1">IF(ROWS($1:2)&gt;COUNT(Dong5),0,IF(OFFSET(TH!N$1,SMALL(Dong5,ROWS($1:2)),)=$E$7,OFFSET(TH!M$1,SMALL(Dong5,ROWS($1:2)),),0))</f>
        <v>0</v>
      </c>
      <c r="G16" s="382">
        <f ca="1">IF(ROWS($1:2)&gt;COUNT(Dong5),0,IF(OFFSET(TH!O$1,SMALL(Dong5,ROWS($1:2)),)=$E$7,OFFSET(TH!M$1,SMALL(Dong5,ROWS($1:2)),),0))</f>
        <v>68769000</v>
      </c>
      <c r="H16" s="385">
        <f ca="1">IF(D16&lt;&gt;"",MAX(H15+F16-G16-I15,0),0)</f>
        <v>43686501</v>
      </c>
      <c r="I16" s="385">
        <f ca="1">IF(D16&lt;&gt;"",MAX(I15+G16-H15-F16,0),0)</f>
        <v>0</v>
      </c>
      <c r="J16" s="18">
        <f ca="1">MONTH(A16)</f>
        <v>11</v>
      </c>
    </row>
    <row r="17" spans="1:10" s="18" customFormat="1" ht="18" customHeight="1">
      <c r="A17" s="318">
        <f ca="1">IF(ROWS($1:3)&gt;COUNT(Dong5),"",OFFSET(TH!C$1,SMALL(Dong5,ROWS($1:3)),))</f>
        <v>42735</v>
      </c>
      <c r="B17" s="318" t="str">
        <f ca="1">IF(ROWS($1:3)&gt;COUNT(Dong5),"",OFFSET(TH!D$1,SMALL(Dong5,ROWS($1:3)),))</f>
        <v>BTKC</v>
      </c>
      <c r="C17" s="318">
        <f ca="1">IF(ROWS($1:3)&gt;COUNT(Dong5),"",OFFSET(TH!E$1,SMALL(Dong5,ROWS($1:3)),))</f>
        <v>42735</v>
      </c>
      <c r="D17" s="383" t="str">
        <f ca="1">IF(ROWS($1:3)&gt;COUNT(Dong5),"",OFFSET(TH!F$1,SMALL(Dong5,ROWS($1:3)),))</f>
        <v>K/C Thuế GTGT đầu ra T12/2016</v>
      </c>
      <c r="E17" s="318" t="str">
        <f ca="1">IF(ROWS($1:3)&gt;COUNT(Dong5),"",IF(OFFSET(TH!N$1,SMALL(Dong5,ROWS($1:3)),)=$E$7,OFFSET(TH!O$1,SMALL(Dong5,ROWS($1:3)),),OFFSET(TH!N$1,SMALL(Dong5,ROWS($1:3)),)))</f>
        <v>33311</v>
      </c>
      <c r="F17" s="384">
        <f ca="1">IF(ROWS($1:3)&gt;COUNT(Dong5),0,IF(OFFSET(TH!N$1,SMALL(Dong5,ROWS($1:3)),)=$E$7,OFFSET(TH!M$1,SMALL(Dong5,ROWS($1:3)),),0))</f>
        <v>0</v>
      </c>
      <c r="G17" s="382">
        <f ca="1">IF(ROWS($1:3)&gt;COUNT(Dong5),0,IF(OFFSET(TH!O$1,SMALL(Dong5,ROWS($1:3)),)=$E$7,OFFSET(TH!M$1,SMALL(Dong5,ROWS($1:3)),),0))</f>
        <v>79524100</v>
      </c>
      <c r="H17" s="385">
        <f ca="1">IF(D17&lt;&gt;"",MAX(H16+F17-G17-I16,0),0)</f>
        <v>0</v>
      </c>
      <c r="I17" s="385">
        <f ca="1">IF(D17&lt;&gt;"",MAX(I16+G17-H16-F17,0),0)</f>
        <v>35837599</v>
      </c>
      <c r="J17" s="18">
        <f ca="1">MONTH(A17)</f>
        <v>12</v>
      </c>
    </row>
    <row r="18" spans="1:10" s="18" customFormat="1" ht="18" customHeight="1">
      <c r="A18" s="318">
        <f ca="1">IF(ROWS($1:4)&gt;COUNT(Dong5),"",OFFSET(TH!C$1,SMALL(Dong5,ROWS($1:4)),))</f>
        <v>42405</v>
      </c>
      <c r="B18" s="318" t="str">
        <f ca="1">IF(ROWS($1:4)&gt;COUNT(Dong5),"",OFFSET(TH!D$1,SMALL(Dong5,ROWS($1:4)),))</f>
        <v>CTGS</v>
      </c>
      <c r="C18" s="318">
        <f ca="1">IF(ROWS($1:4)&gt;COUNT(Dong5),"",OFFSET(TH!E$1,SMALL(Dong5,ROWS($1:4)),))</f>
        <v>42405</v>
      </c>
      <c r="D18" s="383" t="str">
        <f ca="1">IF(ROWS($1:4)&gt;COUNT(Dong5),"",OFFSET(TH!F$1,SMALL(Dong5,ROWS($1:4)),))</f>
        <v>VAT Phí thanh toán bộ chứng từ</v>
      </c>
      <c r="E18" s="318" t="str">
        <f ca="1">IF(ROWS($1:4)&gt;COUNT(Dong5),"",IF(OFFSET(TH!N$1,SMALL(Dong5,ROWS($1:4)),)=$E$7,OFFSET(TH!O$1,SMALL(Dong5,ROWS($1:4)),),OFFSET(TH!N$1,SMALL(Dong5,ROWS($1:4)),)))</f>
        <v>131</v>
      </c>
      <c r="F18" s="384">
        <f ca="1">IF(ROWS($1:4)&gt;COUNT(Dong5),0,IF(OFFSET(TH!N$1,SMALL(Dong5,ROWS($1:4)),)=$E$7,OFFSET(TH!M$1,SMALL(Dong5,ROWS($1:4)),),0))</f>
        <v>238957</v>
      </c>
      <c r="G18" s="382">
        <f ca="1">IF(ROWS($1:4)&gt;COUNT(Dong5),0,IF(OFFSET(TH!O$1,SMALL(Dong5,ROWS($1:4)),)=$E$7,OFFSET(TH!M$1,SMALL(Dong5,ROWS($1:4)),),0))</f>
        <v>0</v>
      </c>
      <c r="H18" s="385">
        <f ca="1">IF(D18&lt;&gt;"",MAX(H17+F18-G18-I17,0),0)</f>
        <v>0</v>
      </c>
      <c r="I18" s="385">
        <f ca="1">IF(D18&lt;&gt;"",MAX(I17+G18-H17-F18,0),0)</f>
        <v>35598642</v>
      </c>
      <c r="J18" s="18">
        <f ca="1">MONTH(A18)</f>
        <v>2</v>
      </c>
    </row>
    <row r="19" spans="1:10" s="18" customFormat="1" ht="18" customHeight="1">
      <c r="A19" s="318">
        <f ca="1">IF(ROWS($1:5)&gt;COUNT(Dong5),"",OFFSET(TH!C$1,SMALL(Dong5,ROWS($1:5)),))</f>
        <v>42374</v>
      </c>
      <c r="B19" s="318" t="str">
        <f ca="1">IF(ROWS($1:5)&gt;COUNT(Dong5),"",OFFSET(TH!D$1,SMALL(Dong5,ROWS($1:5)),))</f>
        <v>VL/N01</v>
      </c>
      <c r="C19" s="318">
        <f ca="1">IF(ROWS($1:5)&gt;COUNT(Dong5),"",OFFSET(TH!E$1,SMALL(Dong5,ROWS($1:5)),))</f>
        <v>42374</v>
      </c>
      <c r="D19" s="383" t="str">
        <f ca="1">IF(ROWS($1:5)&gt;COUNT(Dong5),"",OFFSET(TH!F$1,SMALL(Dong5,ROWS($1:5)),))</f>
        <v>VAT Đường</v>
      </c>
      <c r="E19" s="318" t="str">
        <f ca="1">IF(ROWS($1:5)&gt;COUNT(Dong5),"",IF(OFFSET(TH!N$1,SMALL(Dong5,ROWS($1:5)),)=$E$7,OFFSET(TH!O$1,SMALL(Dong5,ROWS($1:5)),),OFFSET(TH!N$1,SMALL(Dong5,ROWS($1:5)),)))</f>
        <v>331</v>
      </c>
      <c r="F19" s="384">
        <f ca="1">IF(ROWS($1:5)&gt;COUNT(Dong5),0,IF(OFFSET(TH!N$1,SMALL(Dong5,ROWS($1:5)),)=$E$7,OFFSET(TH!M$1,SMALL(Dong5,ROWS($1:5)),),0))</f>
        <v>678571</v>
      </c>
      <c r="G19" s="382">
        <f ca="1">IF(ROWS($1:5)&gt;COUNT(Dong5),0,IF(OFFSET(TH!O$1,SMALL(Dong5,ROWS($1:5)),)=$E$7,OFFSET(TH!M$1,SMALL(Dong5,ROWS($1:5)),),0))</f>
        <v>0</v>
      </c>
      <c r="H19" s="385">
        <f ca="1">IF(D19&lt;&gt;"",MAX(H18+F19-G19-I18,0),0)</f>
        <v>0</v>
      </c>
      <c r="I19" s="385">
        <f ca="1">IF(D19&lt;&gt;"",MAX(I18+G19-H18-F19,0),0)</f>
        <v>34920071</v>
      </c>
      <c r="J19" s="18">
        <f ca="1">MONTH(A19)</f>
        <v>1</v>
      </c>
    </row>
    <row r="20" spans="1:10" s="18" customFormat="1" ht="18" customHeight="1">
      <c r="A20" s="318">
        <f ca="1">IF(ROWS($1:6)&gt;COUNT(Dong5),"",OFFSET(TH!C$1,SMALL(Dong5,ROWS($1:6)),))</f>
        <v>42374</v>
      </c>
      <c r="B20" s="318" t="str">
        <f ca="1">IF(ROWS($1:6)&gt;COUNT(Dong5),"",OFFSET(TH!D$1,SMALL(Dong5,ROWS($1:6)),))</f>
        <v>VL/N02</v>
      </c>
      <c r="C20" s="318">
        <f ca="1">IF(ROWS($1:6)&gt;COUNT(Dong5),"",OFFSET(TH!E$1,SMALL(Dong5,ROWS($1:6)),))</f>
        <v>42374</v>
      </c>
      <c r="D20" s="383" t="str">
        <f ca="1">IF(ROWS($1:6)&gt;COUNT(Dong5),"",OFFSET(TH!F$1,SMALL(Dong5,ROWS($1:6)),))</f>
        <v>VAT Túi PE</v>
      </c>
      <c r="E20" s="318" t="str">
        <f ca="1">IF(ROWS($1:6)&gt;COUNT(Dong5),"",IF(OFFSET(TH!N$1,SMALL(Dong5,ROWS($1:6)),)=$E$7,OFFSET(TH!O$1,SMALL(Dong5,ROWS($1:6)),),OFFSET(TH!N$1,SMALL(Dong5,ROWS($1:6)),)))</f>
        <v>331</v>
      </c>
      <c r="F20" s="384">
        <f ca="1">IF(ROWS($1:6)&gt;COUNT(Dong5),0,IF(OFFSET(TH!N$1,SMALL(Dong5,ROWS($1:6)),)=$E$7,OFFSET(TH!M$1,SMALL(Dong5,ROWS($1:6)),),0))</f>
        <v>3300000</v>
      </c>
      <c r="G20" s="382">
        <f ca="1">IF(ROWS($1:6)&gt;COUNT(Dong5),0,IF(OFFSET(TH!O$1,SMALL(Dong5,ROWS($1:6)),)=$E$7,OFFSET(TH!M$1,SMALL(Dong5,ROWS($1:6)),),0))</f>
        <v>0</v>
      </c>
      <c r="H20" s="385">
        <f ca="1">IF(D20&lt;&gt;"",MAX(H19+F20-G20-I19,0),0)</f>
        <v>0</v>
      </c>
      <c r="I20" s="385">
        <f ca="1">IF(D20&lt;&gt;"",MAX(I19+G20-H19-F20,0),0)</f>
        <v>31620071</v>
      </c>
      <c r="J20" s="18">
        <f ca="1">MONTH(A20)</f>
        <v>1</v>
      </c>
    </row>
    <row r="21" spans="1:10" s="18" customFormat="1" ht="18" customHeight="1">
      <c r="A21" s="318">
        <f ca="1">IF(ROWS($1:7)&gt;COUNT(Dong5),"",OFFSET(TH!C$1,SMALL(Dong5,ROWS($1:7)),))</f>
        <v>42375</v>
      </c>
      <c r="B21" s="318" t="str">
        <f ca="1">IF(ROWS($1:7)&gt;COUNT(Dong5),"",OFFSET(TH!D$1,SMALL(Dong5,ROWS($1:7)),))</f>
        <v>VL/N03</v>
      </c>
      <c r="C21" s="318">
        <f ca="1">IF(ROWS($1:7)&gt;COUNT(Dong5),"",OFFSET(TH!E$1,SMALL(Dong5,ROWS($1:7)),))</f>
        <v>42375</v>
      </c>
      <c r="D21" s="383" t="str">
        <f ca="1">IF(ROWS($1:7)&gt;COUNT(Dong5),"",OFFSET(TH!F$1,SMALL(Dong5,ROWS($1:7)),))</f>
        <v>VAT Sorbitol</v>
      </c>
      <c r="E21" s="318" t="str">
        <f ca="1">IF(ROWS($1:7)&gt;COUNT(Dong5),"",IF(OFFSET(TH!N$1,SMALL(Dong5,ROWS($1:7)),)=$E$7,OFFSET(TH!O$1,SMALL(Dong5,ROWS($1:7)),),OFFSET(TH!N$1,SMALL(Dong5,ROWS($1:7)),)))</f>
        <v>331</v>
      </c>
      <c r="F21" s="384">
        <f ca="1">IF(ROWS($1:7)&gt;COUNT(Dong5),0,IF(OFFSET(TH!N$1,SMALL(Dong5,ROWS($1:7)),)=$E$7,OFFSET(TH!M$1,SMALL(Dong5,ROWS($1:7)),),0))</f>
        <v>7776000</v>
      </c>
      <c r="G21" s="382">
        <f ca="1">IF(ROWS($1:7)&gt;COUNT(Dong5),0,IF(OFFSET(TH!O$1,SMALL(Dong5,ROWS($1:7)),)=$E$7,OFFSET(TH!M$1,SMALL(Dong5,ROWS($1:7)),),0))</f>
        <v>0</v>
      </c>
      <c r="H21" s="385">
        <f ca="1">IF(D21&lt;&gt;"",MAX(H20+F21-G21-I20,0),0)</f>
        <v>0</v>
      </c>
      <c r="I21" s="385">
        <f ca="1">IF(D21&lt;&gt;"",MAX(I20+G21-H20-F21,0),0)</f>
        <v>23844071</v>
      </c>
      <c r="J21" s="18">
        <f ca="1">MONTH(A21)</f>
        <v>1</v>
      </c>
    </row>
    <row r="22" spans="1:10" s="18" customFormat="1" ht="18" customHeight="1">
      <c r="A22" s="318">
        <f ca="1">IF(ROWS($1:8)&gt;COUNT(Dong5),"",OFFSET(TH!C$1,SMALL(Dong5,ROWS($1:8)),))</f>
        <v>42383</v>
      </c>
      <c r="B22" s="318" t="str">
        <f ca="1">IF(ROWS($1:8)&gt;COUNT(Dong5),"",OFFSET(TH!D$1,SMALL(Dong5,ROWS($1:8)),))</f>
        <v>VL/N04</v>
      </c>
      <c r="C22" s="318">
        <f ca="1">IF(ROWS($1:8)&gt;COUNT(Dong5),"",OFFSET(TH!E$1,SMALL(Dong5,ROWS($1:8)),))</f>
        <v>42383</v>
      </c>
      <c r="D22" s="383" t="str">
        <f ca="1">IF(ROWS($1:8)&gt;COUNT(Dong5),"",OFFSET(TH!F$1,SMALL(Dong5,ROWS($1:8)),))</f>
        <v>VAT Thùng carton</v>
      </c>
      <c r="E22" s="318" t="str">
        <f ca="1">IF(ROWS($1:8)&gt;COUNT(Dong5),"",IF(OFFSET(TH!N$1,SMALL(Dong5,ROWS($1:8)),)=$E$7,OFFSET(TH!O$1,SMALL(Dong5,ROWS($1:8)),),OFFSET(TH!N$1,SMALL(Dong5,ROWS($1:8)),)))</f>
        <v>331</v>
      </c>
      <c r="F22" s="384">
        <f ca="1">IF(ROWS($1:8)&gt;COUNT(Dong5),0,IF(OFFSET(TH!N$1,SMALL(Dong5,ROWS($1:8)),)=$E$7,OFFSET(TH!M$1,SMALL(Dong5,ROWS($1:8)),),0))</f>
        <v>3437100</v>
      </c>
      <c r="G22" s="382">
        <f ca="1">IF(ROWS($1:8)&gt;COUNT(Dong5),0,IF(OFFSET(TH!O$1,SMALL(Dong5,ROWS($1:8)),)=$E$7,OFFSET(TH!M$1,SMALL(Dong5,ROWS($1:8)),),0))</f>
        <v>0</v>
      </c>
      <c r="H22" s="385">
        <f ca="1">IF(D22&lt;&gt;"",MAX(H21+F22-G22-I21,0),0)</f>
        <v>0</v>
      </c>
      <c r="I22" s="385">
        <f ca="1">IF(D22&lt;&gt;"",MAX(I21+G22-H21-F22,0),0)</f>
        <v>20406971</v>
      </c>
      <c r="J22" s="18">
        <f ca="1">MONTH(A22)</f>
        <v>1</v>
      </c>
    </row>
    <row r="23" spans="1:10" s="18" customFormat="1" ht="18" customHeight="1">
      <c r="A23" s="318">
        <f ca="1">IF(ROWS($1:9)&gt;COUNT(Dong5),"",OFFSET(TH!C$1,SMALL(Dong5,ROWS($1:9)),))</f>
        <v>42391</v>
      </c>
      <c r="B23" s="318" t="str">
        <f ca="1">IF(ROWS($1:9)&gt;COUNT(Dong5),"",OFFSET(TH!D$1,SMALL(Dong5,ROWS($1:9)),))</f>
        <v>VL/N06</v>
      </c>
      <c r="C23" s="318">
        <f ca="1">IF(ROWS($1:9)&gt;COUNT(Dong5),"",OFFSET(TH!E$1,SMALL(Dong5,ROWS($1:9)),))</f>
        <v>42391</v>
      </c>
      <c r="D23" s="383" t="str">
        <f ca="1">IF(ROWS($1:9)&gt;COUNT(Dong5),"",OFFSET(TH!F$1,SMALL(Dong5,ROWS($1:9)),))</f>
        <v>VAT Hộp ghẹ</v>
      </c>
      <c r="E23" s="318" t="str">
        <f ca="1">IF(ROWS($1:9)&gt;COUNT(Dong5),"",IF(OFFSET(TH!N$1,SMALL(Dong5,ROWS($1:9)),)=$E$7,OFFSET(TH!O$1,SMALL(Dong5,ROWS($1:9)),),OFFSET(TH!N$1,SMALL(Dong5,ROWS($1:9)),)))</f>
        <v>331</v>
      </c>
      <c r="F23" s="384">
        <f ca="1">IF(ROWS($1:9)&gt;COUNT(Dong5),0,IF(OFFSET(TH!N$1,SMALL(Dong5,ROWS($1:9)),)=$E$7,OFFSET(TH!M$1,SMALL(Dong5,ROWS($1:9)),),0))</f>
        <v>3500000</v>
      </c>
      <c r="G23" s="382">
        <f ca="1">IF(ROWS($1:9)&gt;COUNT(Dong5),0,IF(OFFSET(TH!O$1,SMALL(Dong5,ROWS($1:9)),)=$E$7,OFFSET(TH!M$1,SMALL(Dong5,ROWS($1:9)),),0))</f>
        <v>0</v>
      </c>
      <c r="H23" s="385">
        <f ca="1">IF(D23&lt;&gt;"",MAX(H22+F23-G23-I22,0),0)</f>
        <v>0</v>
      </c>
      <c r="I23" s="385">
        <f ca="1">IF(D23&lt;&gt;"",MAX(I22+G23-H22-F23,0),0)</f>
        <v>16906971</v>
      </c>
      <c r="J23" s="18">
        <f ca="1">MONTH(A23)</f>
        <v>1</v>
      </c>
    </row>
    <row r="24" spans="1:10" s="18" customFormat="1" ht="18" customHeight="1">
      <c r="A24" s="318">
        <f ca="1">IF(ROWS($1:10)&gt;COUNT(Dong5),"",OFFSET(TH!C$1,SMALL(Dong5,ROWS($1:10)),))</f>
        <v>42431</v>
      </c>
      <c r="B24" s="318" t="str">
        <f ca="1">IF(ROWS($1:10)&gt;COUNT(Dong5),"",OFFSET(TH!D$1,SMALL(Dong5,ROWS($1:10)),))</f>
        <v>VL/N01</v>
      </c>
      <c r="C24" s="318">
        <f ca="1">IF(ROWS($1:10)&gt;COUNT(Dong5),"",OFFSET(TH!E$1,SMALL(Dong5,ROWS($1:10)),))</f>
        <v>42431</v>
      </c>
      <c r="D24" s="383" t="str">
        <f ca="1">IF(ROWS($1:10)&gt;COUNT(Dong5),"",OFFSET(TH!F$1,SMALL(Dong5,ROWS($1:10)),))</f>
        <v>VAT Thùng carton</v>
      </c>
      <c r="E24" s="318" t="str">
        <f ca="1">IF(ROWS($1:10)&gt;COUNT(Dong5),"",IF(OFFSET(TH!N$1,SMALL(Dong5,ROWS($1:10)),)=$E$7,OFFSET(TH!O$1,SMALL(Dong5,ROWS($1:10)),),OFFSET(TH!N$1,SMALL(Dong5,ROWS($1:10)),)))</f>
        <v>331</v>
      </c>
      <c r="F24" s="384">
        <f ca="1">IF(ROWS($1:10)&gt;COUNT(Dong5),0,IF(OFFSET(TH!N$1,SMALL(Dong5,ROWS($1:10)),)=$E$7,OFFSET(TH!M$1,SMALL(Dong5,ROWS($1:10)),),0))</f>
        <v>1574250</v>
      </c>
      <c r="G24" s="382">
        <f ca="1">IF(ROWS($1:10)&gt;COUNT(Dong5),0,IF(OFFSET(TH!O$1,SMALL(Dong5,ROWS($1:10)),)=$E$7,OFFSET(TH!M$1,SMALL(Dong5,ROWS($1:10)),),0))</f>
        <v>0</v>
      </c>
      <c r="H24" s="385">
        <f ca="1">IF(D24&lt;&gt;"",MAX(H23+F24-G24-I23,0),0)</f>
        <v>0</v>
      </c>
      <c r="I24" s="385">
        <f ca="1">IF(D24&lt;&gt;"",MAX(I23+G24-H23-F24,0),0)</f>
        <v>15332721</v>
      </c>
      <c r="J24" s="18">
        <f ca="1">MONTH(A24)</f>
        <v>3</v>
      </c>
    </row>
    <row r="25" spans="1:10" s="18" customFormat="1" ht="18" customHeight="1">
      <c r="A25" s="318">
        <f ca="1">IF(ROWS($1:11)&gt;COUNT(Dong5),"",OFFSET(TH!C$1,SMALL(Dong5,ROWS($1:11)),))</f>
        <v>42387</v>
      </c>
      <c r="B25" s="318" t="str">
        <f ca="1">IF(ROWS($1:11)&gt;COUNT(Dong5),"",OFFSET(TH!D$1,SMALL(Dong5,ROWS($1:11)),))</f>
        <v>VL/N05</v>
      </c>
      <c r="C25" s="318">
        <f ca="1">IF(ROWS($1:11)&gt;COUNT(Dong5),"",OFFSET(TH!E$1,SMALL(Dong5,ROWS($1:11)),))</f>
        <v>42387</v>
      </c>
      <c r="D25" s="383" t="str">
        <f ca="1">IF(ROWS($1:11)&gt;COUNT(Dong5),"",OFFSET(TH!F$1,SMALL(Dong5,ROWS($1:11)),))</f>
        <v>VAT Đường</v>
      </c>
      <c r="E25" s="318" t="str">
        <f ca="1">IF(ROWS($1:11)&gt;COUNT(Dong5),"",IF(OFFSET(TH!N$1,SMALL(Dong5,ROWS($1:11)),)=$E$7,OFFSET(TH!O$1,SMALL(Dong5,ROWS($1:11)),),OFFSET(TH!N$1,SMALL(Dong5,ROWS($1:11)),)))</f>
        <v>331</v>
      </c>
      <c r="F25" s="384">
        <f ca="1">IF(ROWS($1:11)&gt;COUNT(Dong5),0,IF(OFFSET(TH!N$1,SMALL(Dong5,ROWS($1:11)),)=$E$7,OFFSET(TH!M$1,SMALL(Dong5,ROWS($1:11)),),0))</f>
        <v>726190</v>
      </c>
      <c r="G25" s="382">
        <f ca="1">IF(ROWS($1:11)&gt;COUNT(Dong5),0,IF(OFFSET(TH!O$1,SMALL(Dong5,ROWS($1:11)),)=$E$7,OFFSET(TH!M$1,SMALL(Dong5,ROWS($1:11)),),0))</f>
        <v>0</v>
      </c>
      <c r="H25" s="385">
        <f ca="1">IF(D25&lt;&gt;"",MAX(H24+F25-G25-I24,0),0)</f>
        <v>0</v>
      </c>
      <c r="I25" s="385">
        <f ca="1">IF(D25&lt;&gt;"",MAX(I24+G25-H24-F25,0),0)</f>
        <v>14606531</v>
      </c>
      <c r="J25" s="18">
        <f ca="1">MONTH(A25)</f>
        <v>1</v>
      </c>
    </row>
    <row r="26" spans="1:10" s="18" customFormat="1" ht="18" customHeight="1">
      <c r="A26" s="318">
        <f ca="1">IF(ROWS($1:12)&gt;COUNT(Dong5),"",OFFSET(TH!C$1,SMALL(Dong5,ROWS($1:12)),))</f>
        <v>42446</v>
      </c>
      <c r="B26" s="318" t="str">
        <f ca="1">IF(ROWS($1:12)&gt;COUNT(Dong5),"",OFFSET(TH!D$1,SMALL(Dong5,ROWS($1:12)),))</f>
        <v>VL/N03</v>
      </c>
      <c r="C26" s="318">
        <f ca="1">IF(ROWS($1:12)&gt;COUNT(Dong5),"",OFFSET(TH!E$1,SMALL(Dong5,ROWS($1:12)),))</f>
        <v>42446</v>
      </c>
      <c r="D26" s="383" t="str">
        <f ca="1">IF(ROWS($1:12)&gt;COUNT(Dong5),"",OFFSET(TH!F$1,SMALL(Dong5,ROWS($1:12)),))</f>
        <v>VAT Băng keo</v>
      </c>
      <c r="E26" s="318" t="str">
        <f ca="1">IF(ROWS($1:12)&gt;COUNT(Dong5),"",IF(OFFSET(TH!N$1,SMALL(Dong5,ROWS($1:12)),)=$E$7,OFFSET(TH!O$1,SMALL(Dong5,ROWS($1:12)),),OFFSET(TH!N$1,SMALL(Dong5,ROWS($1:12)),)))</f>
        <v>331</v>
      </c>
      <c r="F26" s="384">
        <f ca="1">IF(ROWS($1:12)&gt;COUNT(Dong5),0,IF(OFFSET(TH!N$1,SMALL(Dong5,ROWS($1:12)),)=$E$7,OFFSET(TH!M$1,SMALL(Dong5,ROWS($1:12)),),0))</f>
        <v>510000</v>
      </c>
      <c r="G26" s="382">
        <f ca="1">IF(ROWS($1:12)&gt;COUNT(Dong5),0,IF(OFFSET(TH!O$1,SMALL(Dong5,ROWS($1:12)),)=$E$7,OFFSET(TH!M$1,SMALL(Dong5,ROWS($1:12)),),0))</f>
        <v>0</v>
      </c>
      <c r="H26" s="385">
        <f ca="1">IF(D26&lt;&gt;"",MAX(H25+F26-G26-I25,0),0)</f>
        <v>0</v>
      </c>
      <c r="I26" s="385">
        <f ca="1">IF(D26&lt;&gt;"",MAX(I25+G26-H25-F26,0),0)</f>
        <v>14096531</v>
      </c>
      <c r="J26" s="18">
        <f ca="1">MONTH(A26)</f>
        <v>3</v>
      </c>
    </row>
    <row r="27" spans="1:10" s="18" customFormat="1" ht="18" customHeight="1">
      <c r="A27" s="318">
        <f ca="1">IF(ROWS($1:13)&gt;COUNT(Dong5),"",OFFSET(TH!C$1,SMALL(Dong5,ROWS($1:13)),))</f>
        <v>42437</v>
      </c>
      <c r="B27" s="318" t="str">
        <f ca="1">IF(ROWS($1:13)&gt;COUNT(Dong5),"",OFFSET(TH!D$1,SMALL(Dong5,ROWS($1:13)),))</f>
        <v>VL/N02</v>
      </c>
      <c r="C27" s="318">
        <f ca="1">IF(ROWS($1:13)&gt;COUNT(Dong5),"",OFFSET(TH!E$1,SMALL(Dong5,ROWS($1:13)),))</f>
        <v>42437</v>
      </c>
      <c r="D27" s="383" t="str">
        <f ca="1">IF(ROWS($1:13)&gt;COUNT(Dong5),"",OFFSET(TH!F$1,SMALL(Dong5,ROWS($1:13)),))</f>
        <v>VAT Đường</v>
      </c>
      <c r="E27" s="318" t="str">
        <f ca="1">IF(ROWS($1:13)&gt;COUNT(Dong5),"",IF(OFFSET(TH!N$1,SMALL(Dong5,ROWS($1:13)),)=$E$7,OFFSET(TH!O$1,SMALL(Dong5,ROWS($1:13)),),OFFSET(TH!N$1,SMALL(Dong5,ROWS($1:13)),)))</f>
        <v>331</v>
      </c>
      <c r="F27" s="384">
        <f ca="1">IF(ROWS($1:13)&gt;COUNT(Dong5),0,IF(OFFSET(TH!N$1,SMALL(Dong5,ROWS($1:13)),)=$E$7,OFFSET(TH!M$1,SMALL(Dong5,ROWS($1:13)),),0))</f>
        <v>704762</v>
      </c>
      <c r="G27" s="382">
        <f ca="1">IF(ROWS($1:13)&gt;COUNT(Dong5),0,IF(OFFSET(TH!O$1,SMALL(Dong5,ROWS($1:13)),)=$E$7,OFFSET(TH!M$1,SMALL(Dong5,ROWS($1:13)),),0))</f>
        <v>0</v>
      </c>
      <c r="H27" s="385">
        <f ca="1">IF(D27&lt;&gt;"",MAX(H26+F27-G27-I26,0),0)</f>
        <v>0</v>
      </c>
      <c r="I27" s="385">
        <f ca="1">IF(D27&lt;&gt;"",MAX(I26+G27-H26-F27,0),0)</f>
        <v>13391769</v>
      </c>
      <c r="J27" s="18">
        <f ca="1">MONTH(A27)</f>
        <v>3</v>
      </c>
    </row>
    <row r="28" spans="1:10" s="18" customFormat="1" ht="18" customHeight="1">
      <c r="A28" s="318">
        <f ca="1">IF(ROWS($1:14)&gt;COUNT(Dong5),"",OFFSET(TH!C$1,SMALL(Dong5,ROWS($1:14)),))</f>
        <v>42459</v>
      </c>
      <c r="B28" s="318" t="str">
        <f ca="1">IF(ROWS($1:14)&gt;COUNT(Dong5),"",OFFSET(TH!D$1,SMALL(Dong5,ROWS($1:14)),))</f>
        <v>VL/N05</v>
      </c>
      <c r="C28" s="318">
        <f ca="1">IF(ROWS($1:14)&gt;COUNT(Dong5),"",OFFSET(TH!E$1,SMALL(Dong5,ROWS($1:14)),))</f>
        <v>42459</v>
      </c>
      <c r="D28" s="383" t="str">
        <f ca="1">IF(ROWS($1:14)&gt;COUNT(Dong5),"",OFFSET(TH!F$1,SMALL(Dong5,ROWS($1:14)),))</f>
        <v>VAT Gas</v>
      </c>
      <c r="E28" s="318" t="str">
        <f ca="1">IF(ROWS($1:14)&gt;COUNT(Dong5),"",IF(OFFSET(TH!N$1,SMALL(Dong5,ROWS($1:14)),)=$E$7,OFFSET(TH!O$1,SMALL(Dong5,ROWS($1:14)),),OFFSET(TH!N$1,SMALL(Dong5,ROWS($1:14)),)))</f>
        <v>331</v>
      </c>
      <c r="F28" s="384">
        <f ca="1">IF(ROWS($1:14)&gt;COUNT(Dong5),0,IF(OFFSET(TH!N$1,SMALL(Dong5,ROWS($1:14)),)=$E$7,OFFSET(TH!M$1,SMALL(Dong5,ROWS($1:14)),),0))</f>
        <v>828636</v>
      </c>
      <c r="G28" s="382">
        <f ca="1">IF(ROWS($1:14)&gt;COUNT(Dong5),0,IF(OFFSET(TH!O$1,SMALL(Dong5,ROWS($1:14)),)=$E$7,OFFSET(TH!M$1,SMALL(Dong5,ROWS($1:14)),),0))</f>
        <v>0</v>
      </c>
      <c r="H28" s="385">
        <f ca="1">IF(D28&lt;&gt;"",MAX(H27+F28-G28-I27,0),0)</f>
        <v>0</v>
      </c>
      <c r="I28" s="385">
        <f ca="1">IF(D28&lt;&gt;"",MAX(I27+G28-H27-F28,0),0)</f>
        <v>12563133</v>
      </c>
      <c r="J28" s="18">
        <f ca="1">MONTH(A28)</f>
        <v>3</v>
      </c>
    </row>
    <row r="29" spans="1:10" s="18" customFormat="1" ht="18" customHeight="1">
      <c r="A29" s="318">
        <f ca="1">IF(ROWS($1:15)&gt;COUNT(Dong5),"",OFFSET(TH!C$1,SMALL(Dong5,ROWS($1:15)),))</f>
        <v>42468</v>
      </c>
      <c r="B29" s="318" t="str">
        <f ca="1">IF(ROWS($1:15)&gt;COUNT(Dong5),"",OFFSET(TH!D$1,SMALL(Dong5,ROWS($1:15)),))</f>
        <v>VL/N03</v>
      </c>
      <c r="C29" s="318">
        <f ca="1">IF(ROWS($1:15)&gt;COUNT(Dong5),"",OFFSET(TH!E$1,SMALL(Dong5,ROWS($1:15)),))</f>
        <v>42468</v>
      </c>
      <c r="D29" s="383" t="str">
        <f ca="1">IF(ROWS($1:15)&gt;COUNT(Dong5),"",OFFSET(TH!F$1,SMALL(Dong5,ROWS($1:15)),))</f>
        <v>VAT Thùng carton 46.5x34.5x26.5</v>
      </c>
      <c r="E29" s="318" t="str">
        <f ca="1">IF(ROWS($1:15)&gt;COUNT(Dong5),"",IF(OFFSET(TH!N$1,SMALL(Dong5,ROWS($1:15)),)=$E$7,OFFSET(TH!O$1,SMALL(Dong5,ROWS($1:15)),),OFFSET(TH!N$1,SMALL(Dong5,ROWS($1:15)),)))</f>
        <v>331</v>
      </c>
      <c r="F29" s="384">
        <f ca="1">IF(ROWS($1:15)&gt;COUNT(Dong5),0,IF(OFFSET(TH!N$1,SMALL(Dong5,ROWS($1:15)),)=$E$7,OFFSET(TH!M$1,SMALL(Dong5,ROWS($1:15)),),0))</f>
        <v>2250000</v>
      </c>
      <c r="G29" s="382">
        <f ca="1">IF(ROWS($1:15)&gt;COUNT(Dong5),0,IF(OFFSET(TH!O$1,SMALL(Dong5,ROWS($1:15)),)=$E$7,OFFSET(TH!M$1,SMALL(Dong5,ROWS($1:15)),),0))</f>
        <v>0</v>
      </c>
      <c r="H29" s="385">
        <f ca="1">IF(D29&lt;&gt;"",MAX(H28+F29-G29-I28,0),0)</f>
        <v>0</v>
      </c>
      <c r="I29" s="385">
        <f ca="1">IF(D29&lt;&gt;"",MAX(I28+G29-H28-F29,0),0)</f>
        <v>10313133</v>
      </c>
      <c r="J29" s="18">
        <f ca="1">MONTH(A29)</f>
        <v>4</v>
      </c>
    </row>
    <row r="30" spans="1:10" s="18" customFormat="1" ht="18" customHeight="1">
      <c r="A30" s="318">
        <f ca="1">IF(ROWS($1:16)&gt;COUNT(Dong5),"",OFFSET(TH!C$1,SMALL(Dong5,ROWS($1:16)),))</f>
        <v>42471</v>
      </c>
      <c r="B30" s="318" t="str">
        <f ca="1">IF(ROWS($1:16)&gt;COUNT(Dong5),"",OFFSET(TH!D$1,SMALL(Dong5,ROWS($1:16)),))</f>
        <v>VL/N04</v>
      </c>
      <c r="C30" s="318">
        <f ca="1">IF(ROWS($1:16)&gt;COUNT(Dong5),"",OFFSET(TH!E$1,SMALL(Dong5,ROWS($1:16)),))</f>
        <v>42471</v>
      </c>
      <c r="D30" s="383" t="str">
        <f ca="1">IF(ROWS($1:16)&gt;COUNT(Dong5),"",OFFSET(TH!F$1,SMALL(Dong5,ROWS($1:16)),))</f>
        <v>VAT Tinh bột bắp</v>
      </c>
      <c r="E30" s="318" t="str">
        <f ca="1">IF(ROWS($1:16)&gt;COUNT(Dong5),"",IF(OFFSET(TH!N$1,SMALL(Dong5,ROWS($1:16)),)=$E$7,OFFSET(TH!O$1,SMALL(Dong5,ROWS($1:16)),),OFFSET(TH!N$1,SMALL(Dong5,ROWS($1:16)),)))</f>
        <v>331</v>
      </c>
      <c r="F30" s="384">
        <f ca="1">IF(ROWS($1:16)&gt;COUNT(Dong5),0,IF(OFFSET(TH!N$1,SMALL(Dong5,ROWS($1:16)),)=$E$7,OFFSET(TH!M$1,SMALL(Dong5,ROWS($1:16)),),0))</f>
        <v>127280</v>
      </c>
      <c r="G30" s="382">
        <f ca="1">IF(ROWS($1:16)&gt;COUNT(Dong5),0,IF(OFFSET(TH!O$1,SMALL(Dong5,ROWS($1:16)),)=$E$7,OFFSET(TH!M$1,SMALL(Dong5,ROWS($1:16)),),0))</f>
        <v>0</v>
      </c>
      <c r="H30" s="385">
        <f ca="1">IF(D30&lt;&gt;"",MAX(H29+F30-G30-I29,0),0)</f>
        <v>0</v>
      </c>
      <c r="I30" s="385">
        <f ca="1">IF(D30&lt;&gt;"",MAX(I29+G30-H29-F30,0),0)</f>
        <v>10185853</v>
      </c>
      <c r="J30" s="18">
        <f ca="1">MONTH(A30)</f>
        <v>4</v>
      </c>
    </row>
    <row r="31" spans="1:10" s="18" customFormat="1" ht="18" customHeight="1">
      <c r="A31" s="318">
        <f ca="1">IF(ROWS($1:17)&gt;COUNT(Dong5),"",OFFSET(TH!C$1,SMALL(Dong5,ROWS($1:17)),))</f>
        <v>42467</v>
      </c>
      <c r="B31" s="318" t="str">
        <f ca="1">IF(ROWS($1:17)&gt;COUNT(Dong5),"",OFFSET(TH!D$1,SMALL(Dong5,ROWS($1:17)),))</f>
        <v>VL/N02</v>
      </c>
      <c r="C31" s="318">
        <f ca="1">IF(ROWS($1:17)&gt;COUNT(Dong5),"",OFFSET(TH!E$1,SMALL(Dong5,ROWS($1:17)),))</f>
        <v>42467</v>
      </c>
      <c r="D31" s="383" t="str">
        <f ca="1">IF(ROWS($1:17)&gt;COUNT(Dong5),"",OFFSET(TH!F$1,SMALL(Dong5,ROWS($1:17)),))</f>
        <v>VAT Hộp ghẹ</v>
      </c>
      <c r="E31" s="318" t="str">
        <f ca="1">IF(ROWS($1:17)&gt;COUNT(Dong5),"",IF(OFFSET(TH!N$1,SMALL(Dong5,ROWS($1:17)),)=$E$7,OFFSET(TH!O$1,SMALL(Dong5,ROWS($1:17)),),OFFSET(TH!N$1,SMALL(Dong5,ROWS($1:17)),)))</f>
        <v>331</v>
      </c>
      <c r="F31" s="384">
        <f ca="1">IF(ROWS($1:17)&gt;COUNT(Dong5),0,IF(OFFSET(TH!N$1,SMALL(Dong5,ROWS($1:17)),)=$E$7,OFFSET(TH!M$1,SMALL(Dong5,ROWS($1:17)),),0))</f>
        <v>6300000</v>
      </c>
      <c r="G31" s="382">
        <f ca="1">IF(ROWS($1:17)&gt;COUNT(Dong5),0,IF(OFFSET(TH!O$1,SMALL(Dong5,ROWS($1:17)),)=$E$7,OFFSET(TH!M$1,SMALL(Dong5,ROWS($1:17)),),0))</f>
        <v>0</v>
      </c>
      <c r="H31" s="385">
        <f ca="1">IF(D31&lt;&gt;"",MAX(H30+F31-G31-I30,0),0)</f>
        <v>0</v>
      </c>
      <c r="I31" s="385">
        <f ca="1">IF(D31&lt;&gt;"",MAX(I30+G31-H30-F31,0),0)</f>
        <v>3885853</v>
      </c>
      <c r="J31" s="18">
        <f ca="1">MONTH(A31)</f>
        <v>4</v>
      </c>
    </row>
    <row r="32" spans="1:10" s="18" customFormat="1" ht="18" customHeight="1">
      <c r="A32" s="318">
        <f ca="1">IF(ROWS($1:18)&gt;COUNT(Dong5),"",OFFSET(TH!C$1,SMALL(Dong5,ROWS($1:18)),))</f>
        <v>42488</v>
      </c>
      <c r="B32" s="318" t="str">
        <f ca="1">IF(ROWS($1:18)&gt;COUNT(Dong5),"",OFFSET(TH!D$1,SMALL(Dong5,ROWS($1:18)),))</f>
        <v>VL/N07</v>
      </c>
      <c r="C32" s="318">
        <f ca="1">IF(ROWS($1:18)&gt;COUNT(Dong5),"",OFFSET(TH!E$1,SMALL(Dong5,ROWS($1:18)),))</f>
        <v>42488</v>
      </c>
      <c r="D32" s="383" t="str">
        <f ca="1">IF(ROWS($1:18)&gt;COUNT(Dong5),"",OFFSET(TH!F$1,SMALL(Dong5,ROWS($1:18)),))</f>
        <v>VAT Thùng carton 46.5x34.5x26.5</v>
      </c>
      <c r="E32" s="318" t="str">
        <f ca="1">IF(ROWS($1:18)&gt;COUNT(Dong5),"",IF(OFFSET(TH!N$1,SMALL(Dong5,ROWS($1:18)),)=$E$7,OFFSET(TH!O$1,SMALL(Dong5,ROWS($1:18)),),OFFSET(TH!N$1,SMALL(Dong5,ROWS($1:18)),)))</f>
        <v>331</v>
      </c>
      <c r="F32" s="384">
        <f ca="1">IF(ROWS($1:18)&gt;COUNT(Dong5),0,IF(OFFSET(TH!N$1,SMALL(Dong5,ROWS($1:18)),)=$E$7,OFFSET(TH!M$1,SMALL(Dong5,ROWS($1:18)),),0))</f>
        <v>1040400</v>
      </c>
      <c r="G32" s="382">
        <f ca="1">IF(ROWS($1:18)&gt;COUNT(Dong5),0,IF(OFFSET(TH!O$1,SMALL(Dong5,ROWS($1:18)),)=$E$7,OFFSET(TH!M$1,SMALL(Dong5,ROWS($1:18)),),0))</f>
        <v>0</v>
      </c>
      <c r="H32" s="385">
        <f ca="1">IF(D32&lt;&gt;"",MAX(H31+F32-G32-I31,0),0)</f>
        <v>0</v>
      </c>
      <c r="I32" s="385">
        <f ca="1">IF(D32&lt;&gt;"",MAX(I31+G32-H31-F32,0),0)</f>
        <v>2845453</v>
      </c>
      <c r="J32" s="18">
        <f ca="1">MONTH(A32)</f>
        <v>4</v>
      </c>
    </row>
    <row r="33" spans="1:10" s="18" customFormat="1" ht="18" customHeight="1">
      <c r="A33" s="318">
        <f ca="1">IF(ROWS($1:19)&gt;COUNT(Dong5),"",OFFSET(TH!C$1,SMALL(Dong5,ROWS($1:19)),))</f>
        <v>42499</v>
      </c>
      <c r="B33" s="318" t="str">
        <f ca="1">IF(ROWS($1:19)&gt;COUNT(Dong5),"",OFFSET(TH!D$1,SMALL(Dong5,ROWS($1:19)),))</f>
        <v>VL/N01</v>
      </c>
      <c r="C33" s="318">
        <f ca="1">IF(ROWS($1:19)&gt;COUNT(Dong5),"",OFFSET(TH!E$1,SMALL(Dong5,ROWS($1:19)),))</f>
        <v>42499</v>
      </c>
      <c r="D33" s="383" t="str">
        <f ca="1">IF(ROWS($1:19)&gt;COUNT(Dong5),"",OFFSET(TH!F$1,SMALL(Dong5,ROWS($1:19)),))</f>
        <v>VAT Thùng carton</v>
      </c>
      <c r="E33" s="318" t="str">
        <f ca="1">IF(ROWS($1:19)&gt;COUNT(Dong5),"",IF(OFFSET(TH!N$1,SMALL(Dong5,ROWS($1:19)),)=$E$7,OFFSET(TH!O$1,SMALL(Dong5,ROWS($1:19)),),OFFSET(TH!N$1,SMALL(Dong5,ROWS($1:19)),)))</f>
        <v>331</v>
      </c>
      <c r="F33" s="384">
        <f ca="1">IF(ROWS($1:19)&gt;COUNT(Dong5),0,IF(OFFSET(TH!N$1,SMALL(Dong5,ROWS($1:19)),)=$E$7,OFFSET(TH!M$1,SMALL(Dong5,ROWS($1:19)),),0))</f>
        <v>3039098</v>
      </c>
      <c r="G33" s="382">
        <f ca="1">IF(ROWS($1:19)&gt;COUNT(Dong5),0,IF(OFFSET(TH!O$1,SMALL(Dong5,ROWS($1:19)),)=$E$7,OFFSET(TH!M$1,SMALL(Dong5,ROWS($1:19)),),0))</f>
        <v>0</v>
      </c>
      <c r="H33" s="385">
        <f ca="1">IF(D33&lt;&gt;"",MAX(H32+F33-G33-I32,0),0)</f>
        <v>193645</v>
      </c>
      <c r="I33" s="385">
        <f ca="1">IF(D33&lt;&gt;"",MAX(I32+G33-H32-F33,0),0)</f>
        <v>0</v>
      </c>
      <c r="J33" s="18">
        <f ca="1">MONTH(A33)</f>
        <v>5</v>
      </c>
    </row>
    <row r="34" spans="1:10" s="18" customFormat="1" ht="18" customHeight="1">
      <c r="A34" s="318">
        <f ca="1">IF(ROWS($1:20)&gt;COUNT(Dong5),"",OFFSET(TH!C$1,SMALL(Dong5,ROWS($1:20)),))</f>
        <v>42530</v>
      </c>
      <c r="B34" s="318" t="str">
        <f ca="1">IF(ROWS($1:20)&gt;COUNT(Dong5),"",OFFSET(TH!D$1,SMALL(Dong5,ROWS($1:20)),))</f>
        <v>VL/N01</v>
      </c>
      <c r="C34" s="318">
        <f ca="1">IF(ROWS($1:20)&gt;COUNT(Dong5),"",OFFSET(TH!E$1,SMALL(Dong5,ROWS($1:20)),))</f>
        <v>42530</v>
      </c>
      <c r="D34" s="383" t="str">
        <f ca="1">IF(ROWS($1:20)&gt;COUNT(Dong5),"",OFFSET(TH!F$1,SMALL(Dong5,ROWS($1:20)),))</f>
        <v>VAT Thùng carton</v>
      </c>
      <c r="E34" s="318" t="str">
        <f ca="1">IF(ROWS($1:20)&gt;COUNT(Dong5),"",IF(OFFSET(TH!N$1,SMALL(Dong5,ROWS($1:20)),)=$E$7,OFFSET(TH!O$1,SMALL(Dong5,ROWS($1:20)),),OFFSET(TH!N$1,SMALL(Dong5,ROWS($1:20)),)))</f>
        <v>331</v>
      </c>
      <c r="F34" s="384">
        <f ca="1">IF(ROWS($1:20)&gt;COUNT(Dong5),0,IF(OFFSET(TH!N$1,SMALL(Dong5,ROWS($1:20)),)=$E$7,OFFSET(TH!M$1,SMALL(Dong5,ROWS($1:20)),),0))</f>
        <v>1645200</v>
      </c>
      <c r="G34" s="382">
        <f ca="1">IF(ROWS($1:20)&gt;COUNT(Dong5),0,IF(OFFSET(TH!O$1,SMALL(Dong5,ROWS($1:20)),)=$E$7,OFFSET(TH!M$1,SMALL(Dong5,ROWS($1:20)),),0))</f>
        <v>0</v>
      </c>
      <c r="H34" s="385">
        <f ca="1">IF(D34&lt;&gt;"",MAX(H33+F34-G34-I33,0),0)</f>
        <v>1838845</v>
      </c>
      <c r="I34" s="385">
        <f ca="1">IF(D34&lt;&gt;"",MAX(I33+G34-H33-F34,0),0)</f>
        <v>0</v>
      </c>
      <c r="J34" s="18">
        <f ca="1">MONTH(A34)</f>
        <v>6</v>
      </c>
    </row>
    <row r="35" spans="1:10" s="18" customFormat="1" ht="18" customHeight="1">
      <c r="A35" s="318">
        <f ca="1">IF(ROWS($1:21)&gt;COUNT(Dong5),"",OFFSET(TH!C$1,SMALL(Dong5,ROWS($1:21)),))</f>
        <v>42548</v>
      </c>
      <c r="B35" s="318" t="str">
        <f ca="1">IF(ROWS($1:21)&gt;COUNT(Dong5),"",OFFSET(TH!D$1,SMALL(Dong5,ROWS($1:21)),))</f>
        <v>VL/N04</v>
      </c>
      <c r="C35" s="318">
        <f ca="1">IF(ROWS($1:21)&gt;COUNT(Dong5),"",OFFSET(TH!E$1,SMALL(Dong5,ROWS($1:21)),))</f>
        <v>42548</v>
      </c>
      <c r="D35" s="383" t="str">
        <f ca="1">IF(ROWS($1:21)&gt;COUNT(Dong5),"",OFFSET(TH!F$1,SMALL(Dong5,ROWS($1:21)),))</f>
        <v>VAT Hộp ghẹ</v>
      </c>
      <c r="E35" s="318" t="str">
        <f ca="1">IF(ROWS($1:21)&gt;COUNT(Dong5),"",IF(OFFSET(TH!N$1,SMALL(Dong5,ROWS($1:21)),)=$E$7,OFFSET(TH!O$1,SMALL(Dong5,ROWS($1:21)),),OFFSET(TH!N$1,SMALL(Dong5,ROWS($1:21)),)))</f>
        <v>331</v>
      </c>
      <c r="F35" s="384">
        <f ca="1">IF(ROWS($1:21)&gt;COUNT(Dong5),0,IF(OFFSET(TH!N$1,SMALL(Dong5,ROWS($1:21)),)=$E$7,OFFSET(TH!M$1,SMALL(Dong5,ROWS($1:21)),),0))</f>
        <v>2608200</v>
      </c>
      <c r="G35" s="382">
        <f ca="1">IF(ROWS($1:21)&gt;COUNT(Dong5),0,IF(OFFSET(TH!O$1,SMALL(Dong5,ROWS($1:21)),)=$E$7,OFFSET(TH!M$1,SMALL(Dong5,ROWS($1:21)),),0))</f>
        <v>0</v>
      </c>
      <c r="H35" s="385">
        <f ca="1">IF(D35&lt;&gt;"",MAX(H34+F35-G35-I34,0),0)</f>
        <v>4447045</v>
      </c>
      <c r="I35" s="385">
        <f ca="1">IF(D35&lt;&gt;"",MAX(I34+G35-H34-F35,0),0)</f>
        <v>0</v>
      </c>
      <c r="J35" s="18">
        <f ca="1">MONTH(A35)</f>
        <v>6</v>
      </c>
    </row>
    <row r="36" spans="1:10" s="18" customFormat="1" ht="18" customHeight="1">
      <c r="A36" s="318">
        <f ca="1">IF(ROWS($1:22)&gt;COUNT(Dong5),"",OFFSET(TH!C$1,SMALL(Dong5,ROWS($1:22)),))</f>
        <v>42551</v>
      </c>
      <c r="B36" s="318" t="str">
        <f ca="1">IF(ROWS($1:22)&gt;COUNT(Dong5),"",OFFSET(TH!D$1,SMALL(Dong5,ROWS($1:22)),))</f>
        <v>VL/N05</v>
      </c>
      <c r="C36" s="318">
        <f ca="1">IF(ROWS($1:22)&gt;COUNT(Dong5),"",OFFSET(TH!E$1,SMALL(Dong5,ROWS($1:22)),))</f>
        <v>42551</v>
      </c>
      <c r="D36" s="383" t="str">
        <f ca="1">IF(ROWS($1:22)&gt;COUNT(Dong5),"",OFFSET(TH!F$1,SMALL(Dong5,ROWS($1:22)),))</f>
        <v>VAT Thùng carton</v>
      </c>
      <c r="E36" s="318" t="str">
        <f ca="1">IF(ROWS($1:22)&gt;COUNT(Dong5),"",IF(OFFSET(TH!N$1,SMALL(Dong5,ROWS($1:22)),)=$E$7,OFFSET(TH!O$1,SMALL(Dong5,ROWS($1:22)),),OFFSET(TH!N$1,SMALL(Dong5,ROWS($1:22)),)))</f>
        <v>331</v>
      </c>
      <c r="F36" s="384">
        <f ca="1">IF(ROWS($1:22)&gt;COUNT(Dong5),0,IF(OFFSET(TH!N$1,SMALL(Dong5,ROWS($1:22)),)=$E$7,OFFSET(TH!M$1,SMALL(Dong5,ROWS($1:22)),),0))</f>
        <v>1092000</v>
      </c>
      <c r="G36" s="382">
        <f ca="1">IF(ROWS($1:22)&gt;COUNT(Dong5),0,IF(OFFSET(TH!O$1,SMALL(Dong5,ROWS($1:22)),)=$E$7,OFFSET(TH!M$1,SMALL(Dong5,ROWS($1:22)),),0))</f>
        <v>0</v>
      </c>
      <c r="H36" s="385">
        <f ca="1">IF(D36&lt;&gt;"",MAX(H35+F36-G36-I35,0),0)</f>
        <v>5539045</v>
      </c>
      <c r="I36" s="385">
        <f ca="1">IF(D36&lt;&gt;"",MAX(I35+G36-H35-F36,0),0)</f>
        <v>0</v>
      </c>
      <c r="J36" s="18">
        <f ca="1">MONTH(A36)</f>
        <v>6</v>
      </c>
    </row>
    <row r="37" spans="1:10" s="18" customFormat="1" ht="18" customHeight="1">
      <c r="A37" s="318">
        <f ca="1">IF(ROWS($1:23)&gt;COUNT(Dong5),"",OFFSET(TH!C$1,SMALL(Dong5,ROWS($1:23)),))</f>
        <v>42578</v>
      </c>
      <c r="B37" s="318" t="str">
        <f ca="1">IF(ROWS($1:23)&gt;COUNT(Dong5),"",OFFSET(TH!D$1,SMALL(Dong5,ROWS($1:23)),))</f>
        <v>VL/N02</v>
      </c>
      <c r="C37" s="318">
        <f ca="1">IF(ROWS($1:23)&gt;COUNT(Dong5),"",OFFSET(TH!E$1,SMALL(Dong5,ROWS($1:23)),))</f>
        <v>42583</v>
      </c>
      <c r="D37" s="383" t="str">
        <f ca="1">IF(ROWS($1:23)&gt;COUNT(Dong5),"",OFFSET(TH!F$1,SMALL(Dong5,ROWS($1:23)),))</f>
        <v>VAT Thùng carton</v>
      </c>
      <c r="E37" s="318" t="str">
        <f ca="1">IF(ROWS($1:23)&gt;COUNT(Dong5),"",IF(OFFSET(TH!N$1,SMALL(Dong5,ROWS($1:23)),)=$E$7,OFFSET(TH!O$1,SMALL(Dong5,ROWS($1:23)),),OFFSET(TH!N$1,SMALL(Dong5,ROWS($1:23)),)))</f>
        <v>331</v>
      </c>
      <c r="F37" s="384">
        <f ca="1">IF(ROWS($1:23)&gt;COUNT(Dong5),0,IF(OFFSET(TH!N$1,SMALL(Dong5,ROWS($1:23)),)=$E$7,OFFSET(TH!M$1,SMALL(Dong5,ROWS($1:23)),),0))</f>
        <v>4283500</v>
      </c>
      <c r="G37" s="382">
        <f ca="1">IF(ROWS($1:23)&gt;COUNT(Dong5),0,IF(OFFSET(TH!O$1,SMALL(Dong5,ROWS($1:23)),)=$E$7,OFFSET(TH!M$1,SMALL(Dong5,ROWS($1:23)),),0))</f>
        <v>0</v>
      </c>
      <c r="H37" s="385">
        <f ca="1">IF(D37&lt;&gt;"",MAX(H36+F37-G37-I36,0),0)</f>
        <v>9822545</v>
      </c>
      <c r="I37" s="385">
        <f ca="1">IF(D37&lt;&gt;"",MAX(I36+G37-H36-F37,0),0)</f>
        <v>0</v>
      </c>
      <c r="J37" s="18">
        <f ca="1">MONTH(A37)</f>
        <v>7</v>
      </c>
    </row>
    <row r="38" spans="1:10" s="18" customFormat="1" ht="18" customHeight="1">
      <c r="A38" s="318">
        <f ca="1">IF(ROWS($1:24)&gt;COUNT(Dong5),"",OFFSET(TH!C$1,SMALL(Dong5,ROWS($1:24)),))</f>
        <v>42613</v>
      </c>
      <c r="B38" s="318" t="str">
        <f ca="1">IF(ROWS($1:24)&gt;COUNT(Dong5),"",OFFSET(TH!D$1,SMALL(Dong5,ROWS($1:24)),))</f>
        <v>VL/N04</v>
      </c>
      <c r="C38" s="318">
        <f ca="1">IF(ROWS($1:24)&gt;COUNT(Dong5),"",OFFSET(TH!E$1,SMALL(Dong5,ROWS($1:24)),))</f>
        <v>42613</v>
      </c>
      <c r="D38" s="383" t="str">
        <f ca="1">IF(ROWS($1:24)&gt;COUNT(Dong5),"",OFFSET(TH!F$1,SMALL(Dong5,ROWS($1:24)),))</f>
        <v>VAT Túi PA, PP</v>
      </c>
      <c r="E38" s="318" t="str">
        <f ca="1">IF(ROWS($1:24)&gt;COUNT(Dong5),"",IF(OFFSET(TH!N$1,SMALL(Dong5,ROWS($1:24)),)=$E$7,OFFSET(TH!O$1,SMALL(Dong5,ROWS($1:24)),),OFFSET(TH!N$1,SMALL(Dong5,ROWS($1:24)),)))</f>
        <v>331</v>
      </c>
      <c r="F38" s="384">
        <f ca="1">IF(ROWS($1:24)&gt;COUNT(Dong5),0,IF(OFFSET(TH!N$1,SMALL(Dong5,ROWS($1:24)),)=$E$7,OFFSET(TH!M$1,SMALL(Dong5,ROWS($1:24)),),0))</f>
        <v>7687900</v>
      </c>
      <c r="G38" s="382">
        <f ca="1">IF(ROWS($1:24)&gt;COUNT(Dong5),0,IF(OFFSET(TH!O$1,SMALL(Dong5,ROWS($1:24)),)=$E$7,OFFSET(TH!M$1,SMALL(Dong5,ROWS($1:24)),),0))</f>
        <v>0</v>
      </c>
      <c r="H38" s="385">
        <f ca="1">IF(D38&lt;&gt;"",MAX(H37+F38-G38-I37,0),0)</f>
        <v>17510445</v>
      </c>
      <c r="I38" s="385">
        <f ca="1">IF(D38&lt;&gt;"",MAX(I37+G38-H37-F38,0),0)</f>
        <v>0</v>
      </c>
      <c r="J38" s="18">
        <f ca="1">MONTH(A38)</f>
        <v>8</v>
      </c>
    </row>
    <row r="39" spans="1:10" s="18" customFormat="1" ht="18" customHeight="1">
      <c r="A39" s="318">
        <f ca="1">IF(ROWS($1:25)&gt;COUNT(Dong5),"",OFFSET(TH!C$1,SMALL(Dong5,ROWS($1:25)),))</f>
        <v>42486</v>
      </c>
      <c r="B39" s="318" t="str">
        <f ca="1">IF(ROWS($1:25)&gt;COUNT(Dong5),"",OFFSET(TH!D$1,SMALL(Dong5,ROWS($1:25)),))</f>
        <v>VL/N06</v>
      </c>
      <c r="C39" s="318">
        <f ca="1">IF(ROWS($1:25)&gt;COUNT(Dong5),"",OFFSET(TH!E$1,SMALL(Dong5,ROWS($1:25)),))</f>
        <v>42486</v>
      </c>
      <c r="D39" s="383" t="str">
        <f ca="1">IF(ROWS($1:25)&gt;COUNT(Dong5),"",OFFSET(TH!F$1,SMALL(Dong5,ROWS($1:25)),))</f>
        <v>VAT Hộp ghẹ</v>
      </c>
      <c r="E39" s="318" t="str">
        <f ca="1">IF(ROWS($1:25)&gt;COUNT(Dong5),"",IF(OFFSET(TH!N$1,SMALL(Dong5,ROWS($1:25)),)=$E$7,OFFSET(TH!O$1,SMALL(Dong5,ROWS($1:25)),),OFFSET(TH!N$1,SMALL(Dong5,ROWS($1:25)),)))</f>
        <v>331</v>
      </c>
      <c r="F39" s="384">
        <f ca="1">IF(ROWS($1:25)&gt;COUNT(Dong5),0,IF(OFFSET(TH!N$1,SMALL(Dong5,ROWS($1:25)),)=$E$7,OFFSET(TH!M$1,SMALL(Dong5,ROWS($1:25)),),0))</f>
        <v>2800000</v>
      </c>
      <c r="G39" s="382">
        <f ca="1">IF(ROWS($1:25)&gt;COUNT(Dong5),0,IF(OFFSET(TH!O$1,SMALL(Dong5,ROWS($1:25)),)=$E$7,OFFSET(TH!M$1,SMALL(Dong5,ROWS($1:25)),),0))</f>
        <v>0</v>
      </c>
      <c r="H39" s="385">
        <f ca="1">IF(D39&lt;&gt;"",MAX(H38+F39-G39-I38,0),0)</f>
        <v>20310445</v>
      </c>
      <c r="I39" s="385">
        <f ca="1">IF(D39&lt;&gt;"",MAX(I38+G39-H38-F39,0),0)</f>
        <v>0</v>
      </c>
      <c r="J39" s="18">
        <f ca="1">MONTH(A39)</f>
        <v>4</v>
      </c>
    </row>
    <row r="40" spans="1:10" s="18" customFormat="1" ht="18" customHeight="1">
      <c r="A40" s="318">
        <f ca="1">IF(ROWS($1:26)&gt;COUNT(Dong5),"",OFFSET(TH!C$1,SMALL(Dong5,ROWS($1:26)),))</f>
        <v>42642</v>
      </c>
      <c r="B40" s="318" t="str">
        <f ca="1">IF(ROWS($1:26)&gt;COUNT(Dong5),"",OFFSET(TH!D$1,SMALL(Dong5,ROWS($1:26)),))</f>
        <v>VL/N03</v>
      </c>
      <c r="C40" s="318">
        <f ca="1">IF(ROWS($1:26)&gt;COUNT(Dong5),"",OFFSET(TH!E$1,SMALL(Dong5,ROWS($1:26)),))</f>
        <v>42642</v>
      </c>
      <c r="D40" s="383" t="str">
        <f ca="1">IF(ROWS($1:26)&gt;COUNT(Dong5),"",OFFSET(TH!F$1,SMALL(Dong5,ROWS($1:26)),))</f>
        <v>VAT Túi PA 20x52</v>
      </c>
      <c r="E40" s="318" t="str">
        <f ca="1">IF(ROWS($1:26)&gt;COUNT(Dong5),"",IF(OFFSET(TH!N$1,SMALL(Dong5,ROWS($1:26)),)=$E$7,OFFSET(TH!O$1,SMALL(Dong5,ROWS($1:26)),),OFFSET(TH!N$1,SMALL(Dong5,ROWS($1:26)),)))</f>
        <v>331</v>
      </c>
      <c r="F40" s="384">
        <f ca="1">IF(ROWS($1:26)&gt;COUNT(Dong5),0,IF(OFFSET(TH!N$1,SMALL(Dong5,ROWS($1:26)),)=$E$7,OFFSET(TH!M$1,SMALL(Dong5,ROWS($1:26)),),0))</f>
        <v>2702500</v>
      </c>
      <c r="G40" s="382">
        <f ca="1">IF(ROWS($1:26)&gt;COUNT(Dong5),0,IF(OFFSET(TH!O$1,SMALL(Dong5,ROWS($1:26)),)=$E$7,OFFSET(TH!M$1,SMALL(Dong5,ROWS($1:26)),),0))</f>
        <v>0</v>
      </c>
      <c r="H40" s="385">
        <f ca="1">IF(D40&lt;&gt;"",MAX(H39+F40-G40-I39,0),0)</f>
        <v>23012945</v>
      </c>
      <c r="I40" s="385">
        <f ca="1">IF(D40&lt;&gt;"",MAX(I39+G40-H39-F40,0),0)</f>
        <v>0</v>
      </c>
      <c r="J40" s="18">
        <f ca="1">MONTH(A40)</f>
        <v>9</v>
      </c>
    </row>
    <row r="41" spans="1:10" s="18" customFormat="1" ht="18" customHeight="1">
      <c r="A41" s="318">
        <f ca="1">IF(ROWS($1:27)&gt;COUNT(Dong5),"",OFFSET(TH!C$1,SMALL(Dong5,ROWS($1:27)),))</f>
        <v>42606</v>
      </c>
      <c r="B41" s="318" t="str">
        <f ca="1">IF(ROWS($1:27)&gt;COUNT(Dong5),"",OFFSET(TH!D$1,SMALL(Dong5,ROWS($1:27)),))</f>
        <v>VL/N02</v>
      </c>
      <c r="C41" s="318">
        <f ca="1">IF(ROWS($1:27)&gt;COUNT(Dong5),"",OFFSET(TH!E$1,SMALL(Dong5,ROWS($1:27)),))</f>
        <v>42606</v>
      </c>
      <c r="D41" s="383" t="str">
        <f ca="1">IF(ROWS($1:27)&gt;COUNT(Dong5),"",OFFSET(TH!F$1,SMALL(Dong5,ROWS($1:27)),))</f>
        <v>VAT Thùng carton</v>
      </c>
      <c r="E41" s="318" t="str">
        <f ca="1">IF(ROWS($1:27)&gt;COUNT(Dong5),"",IF(OFFSET(TH!N$1,SMALL(Dong5,ROWS($1:27)),)=$E$7,OFFSET(TH!O$1,SMALL(Dong5,ROWS($1:27)),),OFFSET(TH!N$1,SMALL(Dong5,ROWS($1:27)),)))</f>
        <v>331</v>
      </c>
      <c r="F41" s="384">
        <f ca="1">IF(ROWS($1:27)&gt;COUNT(Dong5),0,IF(OFFSET(TH!N$1,SMALL(Dong5,ROWS($1:27)),)=$E$7,OFFSET(TH!M$1,SMALL(Dong5,ROWS($1:27)),),0))</f>
        <v>2420000</v>
      </c>
      <c r="G41" s="382">
        <f ca="1">IF(ROWS($1:27)&gt;COUNT(Dong5),0,IF(OFFSET(TH!O$1,SMALL(Dong5,ROWS($1:27)),)=$E$7,OFFSET(TH!M$1,SMALL(Dong5,ROWS($1:27)),),0))</f>
        <v>0</v>
      </c>
      <c r="H41" s="385">
        <f ca="1">IF(D41&lt;&gt;"",MAX(H40+F41-G41-I40,0),0)</f>
        <v>25432945</v>
      </c>
      <c r="I41" s="385">
        <f ca="1">IF(D41&lt;&gt;"",MAX(I40+G41-H40-F41,0),0)</f>
        <v>0</v>
      </c>
      <c r="J41" s="18">
        <f ca="1">MONTH(A41)</f>
        <v>8</v>
      </c>
    </row>
    <row r="42" spans="1:10" s="18" customFormat="1" ht="18" customHeight="1">
      <c r="A42" s="318">
        <f ca="1">IF(ROWS($1:28)&gt;COUNT(Dong5),"",OFFSET(TH!C$1,SMALL(Dong5,ROWS($1:28)),))</f>
        <v>42457</v>
      </c>
      <c r="B42" s="318" t="str">
        <f ca="1">IF(ROWS($1:28)&gt;COUNT(Dong5),"",OFFSET(TH!D$1,SMALL(Dong5,ROWS($1:28)),))</f>
        <v>VL/N04</v>
      </c>
      <c r="C42" s="318">
        <f ca="1">IF(ROWS($1:28)&gt;COUNT(Dong5),"",OFFSET(TH!E$1,SMALL(Dong5,ROWS($1:28)),))</f>
        <v>42457</v>
      </c>
      <c r="D42" s="383" t="str">
        <f ca="1">IF(ROWS($1:28)&gt;COUNT(Dong5),"",OFFSET(TH!F$1,SMALL(Dong5,ROWS($1:28)),))</f>
        <v>VAT Đường</v>
      </c>
      <c r="E42" s="318" t="str">
        <f ca="1">IF(ROWS($1:28)&gt;COUNT(Dong5),"",IF(OFFSET(TH!N$1,SMALL(Dong5,ROWS($1:28)),)=$E$7,OFFSET(TH!O$1,SMALL(Dong5,ROWS($1:28)),),OFFSET(TH!N$1,SMALL(Dong5,ROWS($1:28)),)))</f>
        <v>331</v>
      </c>
      <c r="F42" s="384">
        <f ca="1">IF(ROWS($1:28)&gt;COUNT(Dong5),0,IF(OFFSET(TH!N$1,SMALL(Dong5,ROWS($1:28)),)=$E$7,OFFSET(TH!M$1,SMALL(Dong5,ROWS($1:28)),),0))</f>
        <v>704762</v>
      </c>
      <c r="G42" s="382">
        <f ca="1">IF(ROWS($1:28)&gt;COUNT(Dong5),0,IF(OFFSET(TH!O$1,SMALL(Dong5,ROWS($1:28)),)=$E$7,OFFSET(TH!M$1,SMALL(Dong5,ROWS($1:28)),),0))</f>
        <v>0</v>
      </c>
      <c r="H42" s="385">
        <f ca="1">IF(D42&lt;&gt;"",MAX(H41+F42-G42-I41,0),0)</f>
        <v>26137707</v>
      </c>
      <c r="I42" s="385">
        <f ca="1">IF(D42&lt;&gt;"",MAX(I41+G42-H41-F42,0),0)</f>
        <v>0</v>
      </c>
      <c r="J42" s="18">
        <f ca="1">MONTH(A42)</f>
        <v>3</v>
      </c>
    </row>
    <row r="43" spans="1:10" s="18" customFormat="1" ht="18" customHeight="1">
      <c r="A43" s="318">
        <f ca="1">IF(ROWS($1:29)&gt;COUNT(Dong5),"",OFFSET(TH!C$1,SMALL(Dong5,ROWS($1:29)),))</f>
        <v>42683</v>
      </c>
      <c r="B43" s="318" t="str">
        <f ca="1">IF(ROWS($1:29)&gt;COUNT(Dong5),"",OFFSET(TH!D$1,SMALL(Dong5,ROWS($1:29)),))</f>
        <v>VL/N03</v>
      </c>
      <c r="C43" s="318">
        <f ca="1">IF(ROWS($1:29)&gt;COUNT(Dong5),"",OFFSET(TH!E$1,SMALL(Dong5,ROWS($1:29)),))</f>
        <v>42683</v>
      </c>
      <c r="D43" s="383" t="str">
        <f ca="1">IF(ROWS($1:29)&gt;COUNT(Dong5),"",OFFSET(TH!F$1,SMALL(Dong5,ROWS($1:29)),))</f>
        <v>VAT Thùng carton</v>
      </c>
      <c r="E43" s="318" t="str">
        <f ca="1">IF(ROWS($1:29)&gt;COUNT(Dong5),"",IF(OFFSET(TH!N$1,SMALL(Dong5,ROWS($1:29)),)=$E$7,OFFSET(TH!O$1,SMALL(Dong5,ROWS($1:29)),),OFFSET(TH!N$1,SMALL(Dong5,ROWS($1:29)),)))</f>
        <v>331</v>
      </c>
      <c r="F43" s="384">
        <f ca="1">IF(ROWS($1:29)&gt;COUNT(Dong5),0,IF(OFFSET(TH!N$1,SMALL(Dong5,ROWS($1:29)),)=$E$7,OFFSET(TH!M$1,SMALL(Dong5,ROWS($1:29)),),0))</f>
        <v>1800000</v>
      </c>
      <c r="G43" s="382">
        <f ca="1">IF(ROWS($1:29)&gt;COUNT(Dong5),0,IF(OFFSET(TH!O$1,SMALL(Dong5,ROWS($1:29)),)=$E$7,OFFSET(TH!M$1,SMALL(Dong5,ROWS($1:29)),),0))</f>
        <v>0</v>
      </c>
      <c r="H43" s="385">
        <f ca="1">IF(D43&lt;&gt;"",MAX(H42+F43-G43-I42,0),0)</f>
        <v>27937707</v>
      </c>
      <c r="I43" s="385">
        <f ca="1">IF(D43&lt;&gt;"",MAX(I42+G43-H42-F43,0),0)</f>
        <v>0</v>
      </c>
      <c r="J43" s="18">
        <f ca="1">MONTH(A43)</f>
        <v>11</v>
      </c>
    </row>
    <row r="44" spans="1:10" s="18" customFormat="1" ht="18" customHeight="1">
      <c r="A44" s="318">
        <f ca="1">IF(ROWS($1:30)&gt;COUNT(Dong5),"",OFFSET(TH!C$1,SMALL(Dong5,ROWS($1:30)),))</f>
        <v>42608</v>
      </c>
      <c r="B44" s="318" t="str">
        <f ca="1">IF(ROWS($1:30)&gt;COUNT(Dong5),"",OFFSET(TH!D$1,SMALL(Dong5,ROWS($1:30)),))</f>
        <v>VL/N03</v>
      </c>
      <c r="C44" s="318">
        <f ca="1">IF(ROWS($1:30)&gt;COUNT(Dong5),"",OFFSET(TH!E$1,SMALL(Dong5,ROWS($1:30)),))</f>
        <v>42608</v>
      </c>
      <c r="D44" s="383" t="str">
        <f ca="1">IF(ROWS($1:30)&gt;COUNT(Dong5),"",OFFSET(TH!F$1,SMALL(Dong5,ROWS($1:30)),))</f>
        <v>VAT Băng keo</v>
      </c>
      <c r="E44" s="318" t="str">
        <f ca="1">IF(ROWS($1:30)&gt;COUNT(Dong5),"",IF(OFFSET(TH!N$1,SMALL(Dong5,ROWS($1:30)),)=$E$7,OFFSET(TH!O$1,SMALL(Dong5,ROWS($1:30)),),OFFSET(TH!N$1,SMALL(Dong5,ROWS($1:30)),)))</f>
        <v>331</v>
      </c>
      <c r="F44" s="384">
        <f ca="1">IF(ROWS($1:30)&gt;COUNT(Dong5),0,IF(OFFSET(TH!N$1,SMALL(Dong5,ROWS($1:30)),)=$E$7,OFFSET(TH!M$1,SMALL(Dong5,ROWS($1:30)),),0))</f>
        <v>480000</v>
      </c>
      <c r="G44" s="382">
        <f ca="1">IF(ROWS($1:30)&gt;COUNT(Dong5),0,IF(OFFSET(TH!O$1,SMALL(Dong5,ROWS($1:30)),)=$E$7,OFFSET(TH!M$1,SMALL(Dong5,ROWS($1:30)),),0))</f>
        <v>0</v>
      </c>
      <c r="H44" s="385">
        <f ca="1">IF(D44&lt;&gt;"",MAX(H43+F44-G44-I43,0),0)</f>
        <v>28417707</v>
      </c>
      <c r="I44" s="385">
        <f ca="1">IF(D44&lt;&gt;"",MAX(I43+G44-H43-F44,0),0)</f>
        <v>0</v>
      </c>
      <c r="J44" s="18">
        <f ca="1">MONTH(A44)</f>
        <v>8</v>
      </c>
    </row>
    <row r="45" spans="1:10" s="18" customFormat="1" ht="18" customHeight="1">
      <c r="A45" s="318">
        <f ca="1">IF(ROWS($1:31)&gt;COUNT(Dong5),"",OFFSET(TH!C$1,SMALL(Dong5,ROWS($1:31)),))</f>
        <v>42633</v>
      </c>
      <c r="B45" s="318" t="str">
        <f ca="1">IF(ROWS($1:31)&gt;COUNT(Dong5),"",OFFSET(TH!D$1,SMALL(Dong5,ROWS($1:31)),))</f>
        <v>VL/N01</v>
      </c>
      <c r="C45" s="318">
        <f ca="1">IF(ROWS($1:31)&gt;COUNT(Dong5),"",OFFSET(TH!E$1,SMALL(Dong5,ROWS($1:31)),))</f>
        <v>42643</v>
      </c>
      <c r="D45" s="383" t="str">
        <f ca="1">IF(ROWS($1:31)&gt;COUNT(Dong5),"",OFFSET(TH!F$1,SMALL(Dong5,ROWS($1:31)),))</f>
        <v>VAT Thùng carton</v>
      </c>
      <c r="E45" s="318" t="str">
        <f ca="1">IF(ROWS($1:31)&gt;COUNT(Dong5),"",IF(OFFSET(TH!N$1,SMALL(Dong5,ROWS($1:31)),)=$E$7,OFFSET(TH!O$1,SMALL(Dong5,ROWS($1:31)),),OFFSET(TH!N$1,SMALL(Dong5,ROWS($1:31)),)))</f>
        <v>331</v>
      </c>
      <c r="F45" s="384">
        <f ca="1">IF(ROWS($1:31)&gt;COUNT(Dong5),0,IF(OFFSET(TH!N$1,SMALL(Dong5,ROWS($1:31)),)=$E$7,OFFSET(TH!M$1,SMALL(Dong5,ROWS($1:31)),),0))</f>
        <v>7573930</v>
      </c>
      <c r="G45" s="382">
        <f ca="1">IF(ROWS($1:31)&gt;COUNT(Dong5),0,IF(OFFSET(TH!O$1,SMALL(Dong5,ROWS($1:31)),)=$E$7,OFFSET(TH!M$1,SMALL(Dong5,ROWS($1:31)),),0))</f>
        <v>0</v>
      </c>
      <c r="H45" s="385">
        <f ca="1">IF(D45&lt;&gt;"",MAX(H44+F45-G45-I44,0),0)</f>
        <v>35991637</v>
      </c>
      <c r="I45" s="385">
        <f ca="1">IF(D45&lt;&gt;"",MAX(I44+G45-H44-F45,0),0)</f>
        <v>0</v>
      </c>
      <c r="J45" s="18">
        <f ca="1">MONTH(A45)</f>
        <v>9</v>
      </c>
    </row>
    <row r="46" spans="1:10" s="18" customFormat="1" ht="18" customHeight="1">
      <c r="A46" s="318">
        <f ca="1">IF(ROWS($1:32)&gt;COUNT(Dong5),"",OFFSET(TH!C$1,SMALL(Dong5,ROWS($1:32)),))</f>
        <v>42689</v>
      </c>
      <c r="B46" s="318" t="str">
        <f ca="1">IF(ROWS($1:32)&gt;COUNT(Dong5),"",OFFSET(TH!D$1,SMALL(Dong5,ROWS($1:32)),))</f>
        <v>VL/N08</v>
      </c>
      <c r="C46" s="318">
        <f ca="1">IF(ROWS($1:32)&gt;COUNT(Dong5),"",OFFSET(TH!E$1,SMALL(Dong5,ROWS($1:32)),))</f>
        <v>42689</v>
      </c>
      <c r="D46" s="383" t="str">
        <f ca="1">IF(ROWS($1:32)&gt;COUNT(Dong5),"",OFFSET(TH!F$1,SMALL(Dong5,ROWS($1:32)),))</f>
        <v>VAT Thùng carton</v>
      </c>
      <c r="E46" s="318" t="str">
        <f ca="1">IF(ROWS($1:32)&gt;COUNT(Dong5),"",IF(OFFSET(TH!N$1,SMALL(Dong5,ROWS($1:32)),)=$E$7,OFFSET(TH!O$1,SMALL(Dong5,ROWS($1:32)),),OFFSET(TH!N$1,SMALL(Dong5,ROWS($1:32)),)))</f>
        <v>331</v>
      </c>
      <c r="F46" s="384">
        <f ca="1">IF(ROWS($1:32)&gt;COUNT(Dong5),0,IF(OFFSET(TH!N$1,SMALL(Dong5,ROWS($1:32)),)=$E$7,OFFSET(TH!M$1,SMALL(Dong5,ROWS($1:32)),),0))</f>
        <v>1755000</v>
      </c>
      <c r="G46" s="382">
        <f ca="1">IF(ROWS($1:32)&gt;COUNT(Dong5),0,IF(OFFSET(TH!O$1,SMALL(Dong5,ROWS($1:32)),)=$E$7,OFFSET(TH!M$1,SMALL(Dong5,ROWS($1:32)),),0))</f>
        <v>0</v>
      </c>
      <c r="H46" s="385">
        <f ca="1">IF(D46&lt;&gt;"",MAX(H45+F46-G46-I45,0),0)</f>
        <v>37746637</v>
      </c>
      <c r="I46" s="385">
        <f ca="1">IF(D46&lt;&gt;"",MAX(I45+G46-H45-F46,0),0)</f>
        <v>0</v>
      </c>
      <c r="J46" s="18">
        <f ca="1">MONTH(A46)</f>
        <v>11</v>
      </c>
    </row>
    <row r="47" spans="1:10" s="18" customFormat="1" ht="18" customHeight="1">
      <c r="A47" s="318">
        <f ca="1">IF(ROWS($1:33)&gt;COUNT(Dong5),"",OFFSET(TH!C$1,SMALL(Dong5,ROWS($1:33)),))</f>
        <v>42684</v>
      </c>
      <c r="B47" s="318" t="str">
        <f ca="1">IF(ROWS($1:33)&gt;COUNT(Dong5),"",OFFSET(TH!D$1,SMALL(Dong5,ROWS($1:33)),))</f>
        <v>VL/N04</v>
      </c>
      <c r="C47" s="318">
        <f ca="1">IF(ROWS($1:33)&gt;COUNT(Dong5),"",OFFSET(TH!E$1,SMALL(Dong5,ROWS($1:33)),))</f>
        <v>42684</v>
      </c>
      <c r="D47" s="383" t="str">
        <f ca="1">IF(ROWS($1:33)&gt;COUNT(Dong5),"",OFFSET(TH!F$1,SMALL(Dong5,ROWS($1:33)),))</f>
        <v>VAT Thùng carton</v>
      </c>
      <c r="E47" s="318" t="str">
        <f ca="1">IF(ROWS($1:33)&gt;COUNT(Dong5),"",IF(OFFSET(TH!N$1,SMALL(Dong5,ROWS($1:33)),)=$E$7,OFFSET(TH!O$1,SMALL(Dong5,ROWS($1:33)),),OFFSET(TH!N$1,SMALL(Dong5,ROWS($1:33)),)))</f>
        <v>331</v>
      </c>
      <c r="F47" s="384">
        <f ca="1">IF(ROWS($1:33)&gt;COUNT(Dong5),0,IF(OFFSET(TH!N$1,SMALL(Dong5,ROWS($1:33)),)=$E$7,OFFSET(TH!M$1,SMALL(Dong5,ROWS($1:33)),),0))</f>
        <v>1800000</v>
      </c>
      <c r="G47" s="382">
        <f ca="1">IF(ROWS($1:33)&gt;COUNT(Dong5),0,IF(OFFSET(TH!O$1,SMALL(Dong5,ROWS($1:33)),)=$E$7,OFFSET(TH!M$1,SMALL(Dong5,ROWS($1:33)),),0))</f>
        <v>0</v>
      </c>
      <c r="H47" s="385">
        <f ca="1">IF(D47&lt;&gt;"",MAX(H46+F47-G47-I46,0),0)</f>
        <v>39546637</v>
      </c>
      <c r="I47" s="385">
        <f ca="1">IF(D47&lt;&gt;"",MAX(I46+G47-H46-F47,0),0)</f>
        <v>0</v>
      </c>
      <c r="J47" s="18">
        <f ca="1">MONTH(A47)</f>
        <v>11</v>
      </c>
    </row>
    <row r="48" spans="1:10" s="18" customFormat="1" ht="18" customHeight="1">
      <c r="A48" s="318">
        <f ca="1">IF(ROWS($1:34)&gt;COUNT(Dong5),"",OFFSET(TH!C$1,SMALL(Dong5,ROWS($1:34)),))</f>
        <v>42693</v>
      </c>
      <c r="B48" s="318" t="str">
        <f ca="1">IF(ROWS($1:34)&gt;COUNT(Dong5),"",OFFSET(TH!D$1,SMALL(Dong5,ROWS($1:34)),))</f>
        <v>VL/N10</v>
      </c>
      <c r="C48" s="318">
        <f ca="1">IF(ROWS($1:34)&gt;COUNT(Dong5),"",OFFSET(TH!E$1,SMALL(Dong5,ROWS($1:34)),))</f>
        <v>42693</v>
      </c>
      <c r="D48" s="383" t="str">
        <f ca="1">IF(ROWS($1:34)&gt;COUNT(Dong5),"",OFFSET(TH!F$1,SMALL(Dong5,ROWS($1:34)),))</f>
        <v>VAT Thùng carton</v>
      </c>
      <c r="E48" s="318" t="str">
        <f ca="1">IF(ROWS($1:34)&gt;COUNT(Dong5),"",IF(OFFSET(TH!N$1,SMALL(Dong5,ROWS($1:34)),)=$E$7,OFFSET(TH!O$1,SMALL(Dong5,ROWS($1:34)),),OFFSET(TH!N$1,SMALL(Dong5,ROWS($1:34)),)))</f>
        <v>331</v>
      </c>
      <c r="F48" s="384">
        <f ca="1">IF(ROWS($1:34)&gt;COUNT(Dong5),0,IF(OFFSET(TH!N$1,SMALL(Dong5,ROWS($1:34)),)=$E$7,OFFSET(TH!M$1,SMALL(Dong5,ROWS($1:34)),),0))</f>
        <v>1800000</v>
      </c>
      <c r="G48" s="382">
        <f ca="1">IF(ROWS($1:34)&gt;COUNT(Dong5),0,IF(OFFSET(TH!O$1,SMALL(Dong5,ROWS($1:34)),)=$E$7,OFFSET(TH!M$1,SMALL(Dong5,ROWS($1:34)),),0))</f>
        <v>0</v>
      </c>
      <c r="H48" s="385">
        <f ca="1">IF(D48&lt;&gt;"",MAX(H47+F48-G48-I47,0),0)</f>
        <v>41346637</v>
      </c>
      <c r="I48" s="385">
        <f ca="1">IF(D48&lt;&gt;"",MAX(I47+G48-H47-F48,0),0)</f>
        <v>0</v>
      </c>
      <c r="J48" s="18">
        <f ca="1">MONTH(A48)</f>
        <v>11</v>
      </c>
    </row>
    <row r="49" spans="1:10" s="18" customFormat="1" ht="18" customHeight="1">
      <c r="A49" s="318">
        <f ca="1">IF(ROWS($1:35)&gt;COUNT(Dong5),"",OFFSET(TH!C$1,SMALL(Dong5,ROWS($1:35)),))</f>
        <v>42701</v>
      </c>
      <c r="B49" s="318" t="str">
        <f ca="1">IF(ROWS($1:35)&gt;COUNT(Dong5),"",OFFSET(TH!D$1,SMALL(Dong5,ROWS($1:35)),))</f>
        <v>VL/N12</v>
      </c>
      <c r="C49" s="318">
        <f ca="1">IF(ROWS($1:35)&gt;COUNT(Dong5),"",OFFSET(TH!E$1,SMALL(Dong5,ROWS($1:35)),))</f>
        <v>42701</v>
      </c>
      <c r="D49" s="383" t="str">
        <f ca="1">IF(ROWS($1:35)&gt;COUNT(Dong5),"",OFFSET(TH!F$1,SMALL(Dong5,ROWS($1:35)),))</f>
        <v>VAT Thùng carton</v>
      </c>
      <c r="E49" s="318" t="str">
        <f ca="1">IF(ROWS($1:35)&gt;COUNT(Dong5),"",IF(OFFSET(TH!N$1,SMALL(Dong5,ROWS($1:35)),)=$E$7,OFFSET(TH!O$1,SMALL(Dong5,ROWS($1:35)),),OFFSET(TH!N$1,SMALL(Dong5,ROWS($1:35)),)))</f>
        <v>331</v>
      </c>
      <c r="F49" s="384">
        <f ca="1">IF(ROWS($1:35)&gt;COUNT(Dong5),0,IF(OFFSET(TH!N$1,SMALL(Dong5,ROWS($1:35)),)=$E$7,OFFSET(TH!M$1,SMALL(Dong5,ROWS($1:35)),),0))</f>
        <v>1800000</v>
      </c>
      <c r="G49" s="382">
        <f ca="1">IF(ROWS($1:35)&gt;COUNT(Dong5),0,IF(OFFSET(TH!O$1,SMALL(Dong5,ROWS($1:35)),)=$E$7,OFFSET(TH!M$1,SMALL(Dong5,ROWS($1:35)),),0))</f>
        <v>0</v>
      </c>
      <c r="H49" s="385">
        <f ca="1">IF(D49&lt;&gt;"",MAX(H48+F49-G49-I48,0),0)</f>
        <v>43146637</v>
      </c>
      <c r="I49" s="385">
        <f ca="1">IF(D49&lt;&gt;"",MAX(I48+G49-H48-F49,0),0)</f>
        <v>0</v>
      </c>
      <c r="J49" s="18">
        <f ca="1">MONTH(A49)</f>
        <v>11</v>
      </c>
    </row>
    <row r="50" spans="1:10" s="18" customFormat="1" ht="18" customHeight="1">
      <c r="A50" s="318">
        <f ca="1">IF(ROWS($1:36)&gt;COUNT(Dong5),"",OFFSET(TH!C$1,SMALL(Dong5,ROWS($1:36)),))</f>
        <v>42702</v>
      </c>
      <c r="B50" s="318" t="str">
        <f ca="1">IF(ROWS($1:36)&gt;COUNT(Dong5),"",OFFSET(TH!D$1,SMALL(Dong5,ROWS($1:36)),))</f>
        <v>VL/N13</v>
      </c>
      <c r="C50" s="318">
        <f ca="1">IF(ROWS($1:36)&gt;COUNT(Dong5),"",OFFSET(TH!E$1,SMALL(Dong5,ROWS($1:36)),))</f>
        <v>42702</v>
      </c>
      <c r="D50" s="383" t="str">
        <f ca="1">IF(ROWS($1:36)&gt;COUNT(Dong5),"",OFFSET(TH!F$1,SMALL(Dong5,ROWS($1:36)),))</f>
        <v>VAT Thùng carton</v>
      </c>
      <c r="E50" s="318" t="str">
        <f ca="1">IF(ROWS($1:36)&gt;COUNT(Dong5),"",IF(OFFSET(TH!N$1,SMALL(Dong5,ROWS($1:36)),)=$E$7,OFFSET(TH!O$1,SMALL(Dong5,ROWS($1:36)),),OFFSET(TH!N$1,SMALL(Dong5,ROWS($1:36)),)))</f>
        <v>331</v>
      </c>
      <c r="F50" s="384">
        <f ca="1">IF(ROWS($1:36)&gt;COUNT(Dong5),0,IF(OFFSET(TH!N$1,SMALL(Dong5,ROWS($1:36)),)=$E$7,OFFSET(TH!M$1,SMALL(Dong5,ROWS($1:36)),),0))</f>
        <v>765000</v>
      </c>
      <c r="G50" s="382">
        <f ca="1">IF(ROWS($1:36)&gt;COUNT(Dong5),0,IF(OFFSET(TH!O$1,SMALL(Dong5,ROWS($1:36)),)=$E$7,OFFSET(TH!M$1,SMALL(Dong5,ROWS($1:36)),),0))</f>
        <v>0</v>
      </c>
      <c r="H50" s="385">
        <f ca="1">IF(D50&lt;&gt;"",MAX(H49+F50-G50-I49,0),0)</f>
        <v>43911637</v>
      </c>
      <c r="I50" s="385">
        <f ca="1">IF(D50&lt;&gt;"",MAX(I49+G50-H49-F50,0),0)</f>
        <v>0</v>
      </c>
      <c r="J50" s="18">
        <f ca="1">MONTH(A50)</f>
        <v>11</v>
      </c>
    </row>
    <row r="51" spans="1:10" s="18" customFormat="1" ht="18" customHeight="1">
      <c r="A51" s="318">
        <f ca="1">IF(ROWS($1:37)&gt;COUNT(Dong5),"",OFFSET(TH!C$1,SMALL(Dong5,ROWS($1:37)),))</f>
        <v>42697</v>
      </c>
      <c r="B51" s="318" t="str">
        <f ca="1">IF(ROWS($1:37)&gt;COUNT(Dong5),"",OFFSET(TH!D$1,SMALL(Dong5,ROWS($1:37)),))</f>
        <v>VL/N11</v>
      </c>
      <c r="C51" s="318">
        <f ca="1">IF(ROWS($1:37)&gt;COUNT(Dong5),"",OFFSET(TH!E$1,SMALL(Dong5,ROWS($1:37)),))</f>
        <v>42697</v>
      </c>
      <c r="D51" s="383" t="str">
        <f ca="1">IF(ROWS($1:37)&gt;COUNT(Dong5),"",OFFSET(TH!F$1,SMALL(Dong5,ROWS($1:37)),))</f>
        <v>VAT Thùng carton</v>
      </c>
      <c r="E51" s="318" t="str">
        <f ca="1">IF(ROWS($1:37)&gt;COUNT(Dong5),"",IF(OFFSET(TH!N$1,SMALL(Dong5,ROWS($1:37)),)=$E$7,OFFSET(TH!O$1,SMALL(Dong5,ROWS($1:37)),),OFFSET(TH!N$1,SMALL(Dong5,ROWS($1:37)),)))</f>
        <v>331</v>
      </c>
      <c r="F51" s="384">
        <f ca="1">IF(ROWS($1:37)&gt;COUNT(Dong5),0,IF(OFFSET(TH!N$1,SMALL(Dong5,ROWS($1:37)),)=$E$7,OFFSET(TH!M$1,SMALL(Dong5,ROWS($1:37)),),0))</f>
        <v>1508850</v>
      </c>
      <c r="G51" s="382">
        <f ca="1">IF(ROWS($1:37)&gt;COUNT(Dong5),0,IF(OFFSET(TH!O$1,SMALL(Dong5,ROWS($1:37)),)=$E$7,OFFSET(TH!M$1,SMALL(Dong5,ROWS($1:37)),),0))</f>
        <v>0</v>
      </c>
      <c r="H51" s="385">
        <f ca="1">IF(D51&lt;&gt;"",MAX(H50+F51-G51-I50,0),0)</f>
        <v>45420487</v>
      </c>
      <c r="I51" s="385">
        <f ca="1">IF(D51&lt;&gt;"",MAX(I50+G51-H50-F51,0),0)</f>
        <v>0</v>
      </c>
      <c r="J51" s="18">
        <f ca="1">MONTH(A51)</f>
        <v>11</v>
      </c>
    </row>
    <row r="52" spans="1:10" s="18" customFormat="1" ht="18" customHeight="1">
      <c r="A52" s="318">
        <f ca="1">IF(ROWS($1:38)&gt;COUNT(Dong5),"",OFFSET(TH!C$1,SMALL(Dong5,ROWS($1:38)),))</f>
        <v>42705</v>
      </c>
      <c r="B52" s="318" t="str">
        <f ca="1">IF(ROWS($1:38)&gt;COUNT(Dong5),"",OFFSET(TH!D$1,SMALL(Dong5,ROWS($1:38)),))</f>
        <v>VL/N01</v>
      </c>
      <c r="C52" s="318">
        <f ca="1">IF(ROWS($1:38)&gt;COUNT(Dong5),"",OFFSET(TH!E$1,SMALL(Dong5,ROWS($1:38)),))</f>
        <v>42705</v>
      </c>
      <c r="D52" s="383" t="str">
        <f ca="1">IF(ROWS($1:38)&gt;COUNT(Dong5),"",OFFSET(TH!F$1,SMALL(Dong5,ROWS($1:38)),))</f>
        <v>VAT Thùng carton</v>
      </c>
      <c r="E52" s="318" t="str">
        <f ca="1">IF(ROWS($1:38)&gt;COUNT(Dong5),"",IF(OFFSET(TH!N$1,SMALL(Dong5,ROWS($1:38)),)=$E$7,OFFSET(TH!O$1,SMALL(Dong5,ROWS($1:38)),),OFFSET(TH!N$1,SMALL(Dong5,ROWS($1:38)),)))</f>
        <v>331</v>
      </c>
      <c r="F52" s="384">
        <f ca="1">IF(ROWS($1:38)&gt;COUNT(Dong5),0,IF(OFFSET(TH!N$1,SMALL(Dong5,ROWS($1:38)),)=$E$7,OFFSET(TH!M$1,SMALL(Dong5,ROWS($1:38)),),0))</f>
        <v>1800000</v>
      </c>
      <c r="G52" s="382">
        <f ca="1">IF(ROWS($1:38)&gt;COUNT(Dong5),0,IF(OFFSET(TH!O$1,SMALL(Dong5,ROWS($1:38)),)=$E$7,OFFSET(TH!M$1,SMALL(Dong5,ROWS($1:38)),),0))</f>
        <v>0</v>
      </c>
      <c r="H52" s="385">
        <f ca="1">IF(D52&lt;&gt;"",MAX(H51+F52-G52-I51,0),0)</f>
        <v>47220487</v>
      </c>
      <c r="I52" s="385">
        <f ca="1">IF(D52&lt;&gt;"",MAX(I51+G52-H51-F52,0),0)</f>
        <v>0</v>
      </c>
      <c r="J52" s="18">
        <f ca="1">MONTH(A52)</f>
        <v>12</v>
      </c>
    </row>
    <row r="53" spans="1:10" s="18" customFormat="1" ht="18" customHeight="1">
      <c r="A53" s="318">
        <f ca="1">IF(ROWS($1:39)&gt;COUNT(Dong5),"",OFFSET(TH!C$1,SMALL(Dong5,ROWS($1:39)),))</f>
        <v>42709</v>
      </c>
      <c r="B53" s="318" t="str">
        <f ca="1">IF(ROWS($1:39)&gt;COUNT(Dong5),"",OFFSET(TH!D$1,SMALL(Dong5,ROWS($1:39)),))</f>
        <v>VL/N05</v>
      </c>
      <c r="C53" s="318">
        <f ca="1">IF(ROWS($1:39)&gt;COUNT(Dong5),"",OFFSET(TH!E$1,SMALL(Dong5,ROWS($1:39)),))</f>
        <v>42709</v>
      </c>
      <c r="D53" s="383" t="str">
        <f ca="1">IF(ROWS($1:39)&gt;COUNT(Dong5),"",OFFSET(TH!F$1,SMALL(Dong5,ROWS($1:39)),))</f>
        <v>VAT Bột ngọt</v>
      </c>
      <c r="E53" s="318" t="str">
        <f ca="1">IF(ROWS($1:39)&gt;COUNT(Dong5),"",IF(OFFSET(TH!N$1,SMALL(Dong5,ROWS($1:39)),)=$E$7,OFFSET(TH!O$1,SMALL(Dong5,ROWS($1:39)),),OFFSET(TH!N$1,SMALL(Dong5,ROWS($1:39)),)))</f>
        <v>331</v>
      </c>
      <c r="F53" s="384">
        <f ca="1">IF(ROWS($1:39)&gt;COUNT(Dong5),0,IF(OFFSET(TH!N$1,SMALL(Dong5,ROWS($1:39)),)=$E$7,OFFSET(TH!M$1,SMALL(Dong5,ROWS($1:39)),),0))</f>
        <v>1771570</v>
      </c>
      <c r="G53" s="382">
        <f ca="1">IF(ROWS($1:39)&gt;COUNT(Dong5),0,IF(OFFSET(TH!O$1,SMALL(Dong5,ROWS($1:39)),)=$E$7,OFFSET(TH!M$1,SMALL(Dong5,ROWS($1:39)),),0))</f>
        <v>0</v>
      </c>
      <c r="H53" s="385">
        <f ca="1">IF(D53&lt;&gt;"",MAX(H52+F53-G53-I52,0),0)</f>
        <v>48992057</v>
      </c>
      <c r="I53" s="385">
        <f ca="1">IF(D53&lt;&gt;"",MAX(I52+G53-H52-F53,0),0)</f>
        <v>0</v>
      </c>
      <c r="J53" s="18">
        <f ca="1">MONTH(A53)</f>
        <v>12</v>
      </c>
    </row>
    <row r="54" spans="1:10" s="18" customFormat="1" ht="18" customHeight="1">
      <c r="A54" s="318">
        <f ca="1">IF(ROWS($1:40)&gt;COUNT(Dong5),"",OFFSET(TH!C$1,SMALL(Dong5,ROWS($1:40)),))</f>
        <v>42709</v>
      </c>
      <c r="B54" s="318" t="str">
        <f ca="1">IF(ROWS($1:40)&gt;COUNT(Dong5),"",OFFSET(TH!D$1,SMALL(Dong5,ROWS($1:40)),))</f>
        <v>VL/N07</v>
      </c>
      <c r="C54" s="318">
        <f ca="1">IF(ROWS($1:40)&gt;COUNT(Dong5),"",OFFSET(TH!E$1,SMALL(Dong5,ROWS($1:40)),))</f>
        <v>42709</v>
      </c>
      <c r="D54" s="383" t="str">
        <f ca="1">IF(ROWS($1:40)&gt;COUNT(Dong5),"",OFFSET(TH!F$1,SMALL(Dong5,ROWS($1:40)),))</f>
        <v>VAT Đường</v>
      </c>
      <c r="E54" s="318" t="str">
        <f ca="1">IF(ROWS($1:40)&gt;COUNT(Dong5),"",IF(OFFSET(TH!N$1,SMALL(Dong5,ROWS($1:40)),)=$E$7,OFFSET(TH!O$1,SMALL(Dong5,ROWS($1:40)),),OFFSET(TH!N$1,SMALL(Dong5,ROWS($1:40)),)))</f>
        <v>331</v>
      </c>
      <c r="F54" s="384">
        <f ca="1">IF(ROWS($1:40)&gt;COUNT(Dong5),0,IF(OFFSET(TH!N$1,SMALL(Dong5,ROWS($1:40)),)=$E$7,OFFSET(TH!M$1,SMALL(Dong5,ROWS($1:40)),),0))</f>
        <v>900952</v>
      </c>
      <c r="G54" s="382">
        <f ca="1">IF(ROWS($1:40)&gt;COUNT(Dong5),0,IF(OFFSET(TH!O$1,SMALL(Dong5,ROWS($1:40)),)=$E$7,OFFSET(TH!M$1,SMALL(Dong5,ROWS($1:40)),),0))</f>
        <v>0</v>
      </c>
      <c r="H54" s="385">
        <f ca="1">IF(D54&lt;&gt;"",MAX(H53+F54-G54-I53,0),0)</f>
        <v>49893009</v>
      </c>
      <c r="I54" s="385">
        <f ca="1">IF(D54&lt;&gt;"",MAX(I53+G54-H53-F54,0),0)</f>
        <v>0</v>
      </c>
      <c r="J54" s="18">
        <f ca="1">MONTH(A54)</f>
        <v>12</v>
      </c>
    </row>
    <row r="55" spans="1:10" s="18" customFormat="1" ht="18" customHeight="1">
      <c r="A55" s="318">
        <f ca="1">IF(ROWS($1:41)&gt;COUNT(Dong5),"",OFFSET(TH!C$1,SMALL(Dong5,ROWS($1:41)),))</f>
        <v>42710</v>
      </c>
      <c r="B55" s="318" t="str">
        <f ca="1">IF(ROWS($1:41)&gt;COUNT(Dong5),"",OFFSET(TH!D$1,SMALL(Dong5,ROWS($1:41)),))</f>
        <v>VL/N08</v>
      </c>
      <c r="C55" s="318">
        <f ca="1">IF(ROWS($1:41)&gt;COUNT(Dong5),"",OFFSET(TH!E$1,SMALL(Dong5,ROWS($1:41)),))</f>
        <v>42710</v>
      </c>
      <c r="D55" s="383" t="str">
        <f ca="1">IF(ROWS($1:41)&gt;COUNT(Dong5),"",OFFSET(TH!F$1,SMALL(Dong5,ROWS($1:41)),))</f>
        <v>VAT Bột ngọt</v>
      </c>
      <c r="E55" s="318" t="str">
        <f ca="1">IF(ROWS($1:41)&gt;COUNT(Dong5),"",IF(OFFSET(TH!N$1,SMALL(Dong5,ROWS($1:41)),)=$E$7,OFFSET(TH!O$1,SMALL(Dong5,ROWS($1:41)),),OFFSET(TH!N$1,SMALL(Dong5,ROWS($1:41)),)))</f>
        <v>331</v>
      </c>
      <c r="F55" s="384">
        <f ca="1">IF(ROWS($1:41)&gt;COUNT(Dong5),0,IF(OFFSET(TH!N$1,SMALL(Dong5,ROWS($1:41)),)=$E$7,OFFSET(TH!M$1,SMALL(Dong5,ROWS($1:41)),),0))</f>
        <v>1610000</v>
      </c>
      <c r="G55" s="382">
        <f ca="1">IF(ROWS($1:41)&gt;COUNT(Dong5),0,IF(OFFSET(TH!O$1,SMALL(Dong5,ROWS($1:41)),)=$E$7,OFFSET(TH!M$1,SMALL(Dong5,ROWS($1:41)),),0))</f>
        <v>0</v>
      </c>
      <c r="H55" s="385">
        <f ca="1">IF(D55&lt;&gt;"",MAX(H54+F55-G55-I54,0),0)</f>
        <v>51503009</v>
      </c>
      <c r="I55" s="385">
        <f ca="1">IF(D55&lt;&gt;"",MAX(I54+G55-H54-F55,0),0)</f>
        <v>0</v>
      </c>
      <c r="J55" s="18">
        <f ca="1">MONTH(A55)</f>
        <v>12</v>
      </c>
    </row>
    <row r="56" spans="1:10" s="18" customFormat="1" ht="18" customHeight="1">
      <c r="A56" s="318">
        <f ca="1">IF(ROWS($1:42)&gt;COUNT(Dong5),"",OFFSET(TH!C$1,SMALL(Dong5,ROWS($1:42)),))</f>
        <v>42703</v>
      </c>
      <c r="B56" s="318" t="str">
        <f ca="1">IF(ROWS($1:42)&gt;COUNT(Dong5),"",OFFSET(TH!D$1,SMALL(Dong5,ROWS($1:42)),))</f>
        <v>VL/N14</v>
      </c>
      <c r="C56" s="318">
        <f ca="1">IF(ROWS($1:42)&gt;COUNT(Dong5),"",OFFSET(TH!E$1,SMALL(Dong5,ROWS($1:42)),))</f>
        <v>42703</v>
      </c>
      <c r="D56" s="383" t="str">
        <f ca="1">IF(ROWS($1:42)&gt;COUNT(Dong5),"",OFFSET(TH!F$1,SMALL(Dong5,ROWS($1:42)),))</f>
        <v>VAT Thùng carton</v>
      </c>
      <c r="E56" s="318" t="str">
        <f ca="1">IF(ROWS($1:42)&gt;COUNT(Dong5),"",IF(OFFSET(TH!N$1,SMALL(Dong5,ROWS($1:42)),)=$E$7,OFFSET(TH!O$1,SMALL(Dong5,ROWS($1:42)),),OFFSET(TH!N$1,SMALL(Dong5,ROWS($1:42)),)))</f>
        <v>331</v>
      </c>
      <c r="F56" s="384">
        <f ca="1">IF(ROWS($1:42)&gt;COUNT(Dong5),0,IF(OFFSET(TH!N$1,SMALL(Dong5,ROWS($1:42)),)=$E$7,OFFSET(TH!M$1,SMALL(Dong5,ROWS($1:42)),),0))</f>
        <v>1800000</v>
      </c>
      <c r="G56" s="382">
        <f ca="1">IF(ROWS($1:42)&gt;COUNT(Dong5),0,IF(OFFSET(TH!O$1,SMALL(Dong5,ROWS($1:42)),)=$E$7,OFFSET(TH!M$1,SMALL(Dong5,ROWS($1:42)),),0))</f>
        <v>0</v>
      </c>
      <c r="H56" s="385">
        <f ca="1">IF(D56&lt;&gt;"",MAX(H55+F56-G56-I55,0),0)</f>
        <v>53303009</v>
      </c>
      <c r="I56" s="385">
        <f ca="1">IF(D56&lt;&gt;"",MAX(I55+G56-H55-F56,0),0)</f>
        <v>0</v>
      </c>
      <c r="J56" s="18">
        <f ca="1">MONTH(A56)</f>
        <v>11</v>
      </c>
    </row>
    <row r="57" spans="1:10" s="18" customFormat="1" ht="18" customHeight="1">
      <c r="A57" s="318">
        <f ca="1">IF(ROWS($1:43)&gt;COUNT(Dong5),"",OFFSET(TH!C$1,SMALL(Dong5,ROWS($1:43)),))</f>
        <v>42706</v>
      </c>
      <c r="B57" s="318" t="str">
        <f ca="1">IF(ROWS($1:43)&gt;COUNT(Dong5),"",OFFSET(TH!D$1,SMALL(Dong5,ROWS($1:43)),))</f>
        <v>VL/N03</v>
      </c>
      <c r="C57" s="318">
        <f ca="1">IF(ROWS($1:43)&gt;COUNT(Dong5),"",OFFSET(TH!E$1,SMALL(Dong5,ROWS($1:43)),))</f>
        <v>42706</v>
      </c>
      <c r="D57" s="383" t="str">
        <f ca="1">IF(ROWS($1:43)&gt;COUNT(Dong5),"",OFFSET(TH!F$1,SMALL(Dong5,ROWS($1:43)),))</f>
        <v>VAT Thùng carton</v>
      </c>
      <c r="E57" s="318" t="str">
        <f ca="1">IF(ROWS($1:43)&gt;COUNT(Dong5),"",IF(OFFSET(TH!N$1,SMALL(Dong5,ROWS($1:43)),)=$E$7,OFFSET(TH!O$1,SMALL(Dong5,ROWS($1:43)),),OFFSET(TH!N$1,SMALL(Dong5,ROWS($1:43)),)))</f>
        <v>331</v>
      </c>
      <c r="F57" s="384">
        <f ca="1">IF(ROWS($1:43)&gt;COUNT(Dong5),0,IF(OFFSET(TH!N$1,SMALL(Dong5,ROWS($1:43)),)=$E$7,OFFSET(TH!M$1,SMALL(Dong5,ROWS($1:43)),),0))</f>
        <v>1200000</v>
      </c>
      <c r="G57" s="382">
        <f ca="1">IF(ROWS($1:43)&gt;COUNT(Dong5),0,IF(OFFSET(TH!O$1,SMALL(Dong5,ROWS($1:43)),)=$E$7,OFFSET(TH!M$1,SMALL(Dong5,ROWS($1:43)),),0))</f>
        <v>0</v>
      </c>
      <c r="H57" s="385">
        <f ca="1">IF(D57&lt;&gt;"",MAX(H56+F57-G57-I56,0),0)</f>
        <v>54503009</v>
      </c>
      <c r="I57" s="385">
        <f ca="1">IF(D57&lt;&gt;"",MAX(I56+G57-H56-F57,0),0)</f>
        <v>0</v>
      </c>
      <c r="J57" s="18">
        <f ca="1">MONTH(A57)</f>
        <v>12</v>
      </c>
    </row>
    <row r="58" spans="1:10" s="18" customFormat="1" ht="18" customHeight="1">
      <c r="A58" s="318">
        <f ca="1">IF(ROWS($1:44)&gt;COUNT(Dong5),"",OFFSET(TH!C$1,SMALL(Dong5,ROWS($1:44)),))</f>
        <v>42705</v>
      </c>
      <c r="B58" s="318" t="str">
        <f ca="1">IF(ROWS($1:44)&gt;COUNT(Dong5),"",OFFSET(TH!D$1,SMALL(Dong5,ROWS($1:44)),))</f>
        <v>VL/N02</v>
      </c>
      <c r="C58" s="318">
        <f ca="1">IF(ROWS($1:44)&gt;COUNT(Dong5),"",OFFSET(TH!E$1,SMALL(Dong5,ROWS($1:44)),))</f>
        <v>42705</v>
      </c>
      <c r="D58" s="383" t="str">
        <f ca="1">IF(ROWS($1:44)&gt;COUNT(Dong5),"",OFFSET(TH!F$1,SMALL(Dong5,ROWS($1:44)),))</f>
        <v>VAT Thùng carton</v>
      </c>
      <c r="E58" s="318" t="str">
        <f ca="1">IF(ROWS($1:44)&gt;COUNT(Dong5),"",IF(OFFSET(TH!N$1,SMALL(Dong5,ROWS($1:44)),)=$E$7,OFFSET(TH!O$1,SMALL(Dong5,ROWS($1:44)),),OFFSET(TH!N$1,SMALL(Dong5,ROWS($1:44)),)))</f>
        <v>331</v>
      </c>
      <c r="F58" s="384">
        <f ca="1">IF(ROWS($1:44)&gt;COUNT(Dong5),0,IF(OFFSET(TH!N$1,SMALL(Dong5,ROWS($1:44)),)=$E$7,OFFSET(TH!M$1,SMALL(Dong5,ROWS($1:44)),),0))</f>
        <v>1800000</v>
      </c>
      <c r="G58" s="382">
        <f ca="1">IF(ROWS($1:44)&gt;COUNT(Dong5),0,IF(OFFSET(TH!O$1,SMALL(Dong5,ROWS($1:44)),)=$E$7,OFFSET(TH!M$1,SMALL(Dong5,ROWS($1:44)),),0))</f>
        <v>0</v>
      </c>
      <c r="H58" s="385">
        <f ca="1">IF(D58&lt;&gt;"",MAX(H57+F58-G58-I57,0),0)</f>
        <v>56303009</v>
      </c>
      <c r="I58" s="385">
        <f ca="1">IF(D58&lt;&gt;"",MAX(I57+G58-H57-F58,0),0)</f>
        <v>0</v>
      </c>
      <c r="J58" s="18">
        <f ca="1">MONTH(A58)</f>
        <v>12</v>
      </c>
    </row>
    <row r="59" spans="1:10" s="18" customFormat="1" ht="18" customHeight="1">
      <c r="A59" s="318">
        <f ca="1">IF(ROWS($1:45)&gt;COUNT(Dong5),"",OFFSET(TH!C$1,SMALL(Dong5,ROWS($1:45)),))</f>
        <v>42707</v>
      </c>
      <c r="B59" s="318" t="str">
        <f ca="1">IF(ROWS($1:45)&gt;COUNT(Dong5),"",OFFSET(TH!D$1,SMALL(Dong5,ROWS($1:45)),))</f>
        <v>VL/N04</v>
      </c>
      <c r="C59" s="318">
        <f ca="1">IF(ROWS($1:45)&gt;COUNT(Dong5),"",OFFSET(TH!E$1,SMALL(Dong5,ROWS($1:45)),))</f>
        <v>42707</v>
      </c>
      <c r="D59" s="383" t="str">
        <f ca="1">IF(ROWS($1:45)&gt;COUNT(Dong5),"",OFFSET(TH!F$1,SMALL(Dong5,ROWS($1:45)),))</f>
        <v>VAT Thùng carton</v>
      </c>
      <c r="E59" s="318" t="str">
        <f ca="1">IF(ROWS($1:45)&gt;COUNT(Dong5),"",IF(OFFSET(TH!N$1,SMALL(Dong5,ROWS($1:45)),)=$E$7,OFFSET(TH!O$1,SMALL(Dong5,ROWS($1:45)),),OFFSET(TH!N$1,SMALL(Dong5,ROWS($1:45)),)))</f>
        <v>331</v>
      </c>
      <c r="F59" s="384">
        <f ca="1">IF(ROWS($1:45)&gt;COUNT(Dong5),0,IF(OFFSET(TH!N$1,SMALL(Dong5,ROWS($1:45)),)=$E$7,OFFSET(TH!M$1,SMALL(Dong5,ROWS($1:45)),),0))</f>
        <v>1800000</v>
      </c>
      <c r="G59" s="382">
        <f ca="1">IF(ROWS($1:45)&gt;COUNT(Dong5),0,IF(OFFSET(TH!O$1,SMALL(Dong5,ROWS($1:45)),)=$E$7,OFFSET(TH!M$1,SMALL(Dong5,ROWS($1:45)),),0))</f>
        <v>0</v>
      </c>
      <c r="H59" s="385">
        <f ca="1">IF(D59&lt;&gt;"",MAX(H58+F59-G59-I58,0),0)</f>
        <v>58103009</v>
      </c>
      <c r="I59" s="385">
        <f ca="1">IF(D59&lt;&gt;"",MAX(I58+G59-H58-F59,0),0)</f>
        <v>0</v>
      </c>
      <c r="J59" s="18">
        <f ca="1">MONTH(A59)</f>
        <v>12</v>
      </c>
    </row>
    <row r="60" spans="1:10" s="18" customFormat="1" ht="18" customHeight="1">
      <c r="A60" s="318">
        <f ca="1">IF(ROWS($1:46)&gt;COUNT(Dong5),"",OFFSET(TH!C$1,SMALL(Dong5,ROWS($1:46)),))</f>
        <v>42709</v>
      </c>
      <c r="B60" s="318" t="str">
        <f ca="1">IF(ROWS($1:46)&gt;COUNT(Dong5),"",OFFSET(TH!D$1,SMALL(Dong5,ROWS($1:46)),))</f>
        <v>VL/N06</v>
      </c>
      <c r="C60" s="318">
        <f ca="1">IF(ROWS($1:46)&gt;COUNT(Dong5),"",OFFSET(TH!E$1,SMALL(Dong5,ROWS($1:46)),))</f>
        <v>42709</v>
      </c>
      <c r="D60" s="383" t="str">
        <f ca="1">IF(ROWS($1:46)&gt;COUNT(Dong5),"",OFFSET(TH!F$1,SMALL(Dong5,ROWS($1:46)),))</f>
        <v>VAT Thùng carton</v>
      </c>
      <c r="E60" s="318" t="str">
        <f ca="1">IF(ROWS($1:46)&gt;COUNT(Dong5),"",IF(OFFSET(TH!N$1,SMALL(Dong5,ROWS($1:46)),)=$E$7,OFFSET(TH!O$1,SMALL(Dong5,ROWS($1:46)),),OFFSET(TH!N$1,SMALL(Dong5,ROWS($1:46)),)))</f>
        <v>331</v>
      </c>
      <c r="F60" s="384">
        <f ca="1">IF(ROWS($1:46)&gt;COUNT(Dong5),0,IF(OFFSET(TH!N$1,SMALL(Dong5,ROWS($1:46)),)=$E$7,OFFSET(TH!M$1,SMALL(Dong5,ROWS($1:46)),),0))</f>
        <v>1800000</v>
      </c>
      <c r="G60" s="382">
        <f ca="1">IF(ROWS($1:46)&gt;COUNT(Dong5),0,IF(OFFSET(TH!O$1,SMALL(Dong5,ROWS($1:46)),)=$E$7,OFFSET(TH!M$1,SMALL(Dong5,ROWS($1:46)),),0))</f>
        <v>0</v>
      </c>
      <c r="H60" s="385">
        <f ca="1">IF(D60&lt;&gt;"",MAX(H59+F60-G60-I59,0),0)</f>
        <v>59903009</v>
      </c>
      <c r="I60" s="385">
        <f ca="1">IF(D60&lt;&gt;"",MAX(I59+G60-H59-F60,0),0)</f>
        <v>0</v>
      </c>
      <c r="J60" s="18">
        <f ca="1">MONTH(A60)</f>
        <v>12</v>
      </c>
    </row>
    <row r="61" spans="1:10" s="18" customFormat="1" ht="18" customHeight="1">
      <c r="A61" s="318">
        <f ca="1">IF(ROWS($1:47)&gt;COUNT(Dong5),"",OFFSET(TH!C$1,SMALL(Dong5,ROWS($1:47)),))</f>
        <v>42710</v>
      </c>
      <c r="B61" s="318" t="str">
        <f ca="1">IF(ROWS($1:47)&gt;COUNT(Dong5),"",OFFSET(TH!D$1,SMALL(Dong5,ROWS($1:47)),))</f>
        <v>VL/N10</v>
      </c>
      <c r="C61" s="318">
        <f ca="1">IF(ROWS($1:47)&gt;COUNT(Dong5),"",OFFSET(TH!E$1,SMALL(Dong5,ROWS($1:47)),))</f>
        <v>42710</v>
      </c>
      <c r="D61" s="383" t="str">
        <f ca="1">IF(ROWS($1:47)&gt;COUNT(Dong5),"",OFFSET(TH!F$1,SMALL(Dong5,ROWS($1:47)),))</f>
        <v>VAT Thùng carton</v>
      </c>
      <c r="E61" s="318" t="str">
        <f ca="1">IF(ROWS($1:47)&gt;COUNT(Dong5),"",IF(OFFSET(TH!N$1,SMALL(Dong5,ROWS($1:47)),)=$E$7,OFFSET(TH!O$1,SMALL(Dong5,ROWS($1:47)),),OFFSET(TH!N$1,SMALL(Dong5,ROWS($1:47)),)))</f>
        <v>331</v>
      </c>
      <c r="F61" s="384">
        <f ca="1">IF(ROWS($1:47)&gt;COUNT(Dong5),0,IF(OFFSET(TH!N$1,SMALL(Dong5,ROWS($1:47)),)=$E$7,OFFSET(TH!M$1,SMALL(Dong5,ROWS($1:47)),),0))</f>
        <v>1800000</v>
      </c>
      <c r="G61" s="382">
        <f ca="1">IF(ROWS($1:47)&gt;COUNT(Dong5),0,IF(OFFSET(TH!O$1,SMALL(Dong5,ROWS($1:47)),)=$E$7,OFFSET(TH!M$1,SMALL(Dong5,ROWS($1:47)),),0))</f>
        <v>0</v>
      </c>
      <c r="H61" s="385">
        <f ca="1">IF(D61&lt;&gt;"",MAX(H60+F61-G61-I60,0),0)</f>
        <v>61703009</v>
      </c>
      <c r="I61" s="385">
        <f ca="1">IF(D61&lt;&gt;"",MAX(I60+G61-H60-F61,0),0)</f>
        <v>0</v>
      </c>
      <c r="J61" s="18">
        <f ca="1">MONTH(A61)</f>
        <v>12</v>
      </c>
    </row>
    <row r="62" spans="1:10" s="18" customFormat="1" ht="18" customHeight="1">
      <c r="A62" s="318">
        <f ca="1">IF(ROWS($1:48)&gt;COUNT(Dong5),"",OFFSET(TH!C$1,SMALL(Dong5,ROWS($1:48)),))</f>
        <v>42710</v>
      </c>
      <c r="B62" s="318" t="str">
        <f ca="1">IF(ROWS($1:48)&gt;COUNT(Dong5),"",OFFSET(TH!D$1,SMALL(Dong5,ROWS($1:48)),))</f>
        <v>VL/N09</v>
      </c>
      <c r="C62" s="318">
        <f ca="1">IF(ROWS($1:48)&gt;COUNT(Dong5),"",OFFSET(TH!E$1,SMALL(Dong5,ROWS($1:48)),))</f>
        <v>42710</v>
      </c>
      <c r="D62" s="383" t="str">
        <f ca="1">IF(ROWS($1:48)&gt;COUNT(Dong5),"",OFFSET(TH!F$1,SMALL(Dong5,ROWS($1:48)),))</f>
        <v>VAT Thùng carton</v>
      </c>
      <c r="E62" s="318" t="str">
        <f ca="1">IF(ROWS($1:48)&gt;COUNT(Dong5),"",IF(OFFSET(TH!N$1,SMALL(Dong5,ROWS($1:48)),)=$E$7,OFFSET(TH!O$1,SMALL(Dong5,ROWS($1:48)),),OFFSET(TH!N$1,SMALL(Dong5,ROWS($1:48)),)))</f>
        <v>331</v>
      </c>
      <c r="F62" s="384">
        <f ca="1">IF(ROWS($1:48)&gt;COUNT(Dong5),0,IF(OFFSET(TH!N$1,SMALL(Dong5,ROWS($1:48)),)=$E$7,OFFSET(TH!M$1,SMALL(Dong5,ROWS($1:48)),),0))</f>
        <v>1800000</v>
      </c>
      <c r="G62" s="382">
        <f ca="1">IF(ROWS($1:48)&gt;COUNT(Dong5),0,IF(OFFSET(TH!O$1,SMALL(Dong5,ROWS($1:48)),)=$E$7,OFFSET(TH!M$1,SMALL(Dong5,ROWS($1:48)),),0))</f>
        <v>0</v>
      </c>
      <c r="H62" s="385">
        <f ca="1">IF(D62&lt;&gt;"",MAX(H61+F62-G62-I61,0),0)</f>
        <v>63503009</v>
      </c>
      <c r="I62" s="385">
        <f ca="1">IF(D62&lt;&gt;"",MAX(I61+G62-H61-F62,0),0)</f>
        <v>0</v>
      </c>
      <c r="J62" s="18">
        <f ca="1">MONTH(A62)</f>
        <v>12</v>
      </c>
    </row>
    <row r="63" spans="1:10" s="18" customFormat="1" ht="18" customHeight="1">
      <c r="A63" s="318">
        <f ca="1">IF(ROWS($1:49)&gt;COUNT(Dong5),"",OFFSET(TH!C$1,SMALL(Dong5,ROWS($1:49)),))</f>
        <v>42711</v>
      </c>
      <c r="B63" s="318" t="str">
        <f ca="1">IF(ROWS($1:49)&gt;COUNT(Dong5),"",OFFSET(TH!D$1,SMALL(Dong5,ROWS($1:49)),))</f>
        <v>VL/N13</v>
      </c>
      <c r="C63" s="318">
        <f ca="1">IF(ROWS($1:49)&gt;COUNT(Dong5),"",OFFSET(TH!E$1,SMALL(Dong5,ROWS($1:49)),))</f>
        <v>42711</v>
      </c>
      <c r="D63" s="383" t="str">
        <f ca="1">IF(ROWS($1:49)&gt;COUNT(Dong5),"",OFFSET(TH!F$1,SMALL(Dong5,ROWS($1:49)),))</f>
        <v>VAT Thùng carton</v>
      </c>
      <c r="E63" s="318" t="str">
        <f ca="1">IF(ROWS($1:49)&gt;COUNT(Dong5),"",IF(OFFSET(TH!N$1,SMALL(Dong5,ROWS($1:49)),)=$E$7,OFFSET(TH!O$1,SMALL(Dong5,ROWS($1:49)),),OFFSET(TH!N$1,SMALL(Dong5,ROWS($1:49)),)))</f>
        <v>331</v>
      </c>
      <c r="F63" s="384">
        <f ca="1">IF(ROWS($1:49)&gt;COUNT(Dong5),0,IF(OFFSET(TH!N$1,SMALL(Dong5,ROWS($1:49)),)=$E$7,OFFSET(TH!M$1,SMALL(Dong5,ROWS($1:49)),),0))</f>
        <v>1800000</v>
      </c>
      <c r="G63" s="382">
        <f ca="1">IF(ROWS($1:49)&gt;COUNT(Dong5),0,IF(OFFSET(TH!O$1,SMALL(Dong5,ROWS($1:49)),)=$E$7,OFFSET(TH!M$1,SMALL(Dong5,ROWS($1:49)),),0))</f>
        <v>0</v>
      </c>
      <c r="H63" s="385">
        <f ca="1">IF(D63&lt;&gt;"",MAX(H62+F63-G63-I62,0),0)</f>
        <v>65303009</v>
      </c>
      <c r="I63" s="385">
        <f ca="1">IF(D63&lt;&gt;"",MAX(I62+G63-H62-F63,0),0)</f>
        <v>0</v>
      </c>
      <c r="J63" s="18">
        <f ca="1">MONTH(A63)</f>
        <v>12</v>
      </c>
    </row>
    <row r="64" spans="1:10" s="18" customFormat="1" ht="18" customHeight="1">
      <c r="A64" s="318">
        <f ca="1">IF(ROWS($1:50)&gt;COUNT(Dong5),"",OFFSET(TH!C$1,SMALL(Dong5,ROWS($1:50)),))</f>
        <v>42714</v>
      </c>
      <c r="B64" s="318" t="str">
        <f ca="1">IF(ROWS($1:50)&gt;COUNT(Dong5),"",OFFSET(TH!D$1,SMALL(Dong5,ROWS($1:50)),))</f>
        <v>VL/N16</v>
      </c>
      <c r="C64" s="318">
        <f ca="1">IF(ROWS($1:50)&gt;COUNT(Dong5),"",OFFSET(TH!E$1,SMALL(Dong5,ROWS($1:50)),))</f>
        <v>42714</v>
      </c>
      <c r="D64" s="383" t="str">
        <f ca="1">IF(ROWS($1:50)&gt;COUNT(Dong5),"",OFFSET(TH!F$1,SMALL(Dong5,ROWS($1:50)),))</f>
        <v>VAT Thùng carton</v>
      </c>
      <c r="E64" s="318" t="str">
        <f ca="1">IF(ROWS($1:50)&gt;COUNT(Dong5),"",IF(OFFSET(TH!N$1,SMALL(Dong5,ROWS($1:50)),)=$E$7,OFFSET(TH!O$1,SMALL(Dong5,ROWS($1:50)),),OFFSET(TH!N$1,SMALL(Dong5,ROWS($1:50)),)))</f>
        <v>331</v>
      </c>
      <c r="F64" s="384">
        <f ca="1">IF(ROWS($1:50)&gt;COUNT(Dong5),0,IF(OFFSET(TH!N$1,SMALL(Dong5,ROWS($1:50)),)=$E$7,OFFSET(TH!M$1,SMALL(Dong5,ROWS($1:50)),),0))</f>
        <v>600000</v>
      </c>
      <c r="G64" s="382">
        <f ca="1">IF(ROWS($1:50)&gt;COUNT(Dong5),0,IF(OFFSET(TH!O$1,SMALL(Dong5,ROWS($1:50)),)=$E$7,OFFSET(TH!M$1,SMALL(Dong5,ROWS($1:50)),),0))</f>
        <v>0</v>
      </c>
      <c r="H64" s="385">
        <f ca="1">IF(D64&lt;&gt;"",MAX(H63+F64-G64-I63,0),0)</f>
        <v>65903009</v>
      </c>
      <c r="I64" s="385">
        <f ca="1">IF(D64&lt;&gt;"",MAX(I63+G64-H63-F64,0),0)</f>
        <v>0</v>
      </c>
      <c r="J64" s="18">
        <f ca="1">MONTH(A64)</f>
        <v>12</v>
      </c>
    </row>
    <row r="65" spans="1:10" s="18" customFormat="1" ht="18" customHeight="1">
      <c r="A65" s="318">
        <f ca="1">IF(ROWS($1:51)&gt;COUNT(Dong5),"",OFFSET(TH!C$1,SMALL(Dong5,ROWS($1:51)),))</f>
        <v>42713</v>
      </c>
      <c r="B65" s="318" t="str">
        <f ca="1">IF(ROWS($1:51)&gt;COUNT(Dong5),"",OFFSET(TH!D$1,SMALL(Dong5,ROWS($1:51)),))</f>
        <v>VL/N14</v>
      </c>
      <c r="C65" s="318">
        <f ca="1">IF(ROWS($1:51)&gt;COUNT(Dong5),"",OFFSET(TH!E$1,SMALL(Dong5,ROWS($1:51)),))</f>
        <v>42713</v>
      </c>
      <c r="D65" s="383" t="str">
        <f ca="1">IF(ROWS($1:51)&gt;COUNT(Dong5),"",OFFSET(TH!F$1,SMALL(Dong5,ROWS($1:51)),))</f>
        <v>VAT Thùng carton</v>
      </c>
      <c r="E65" s="318" t="str">
        <f ca="1">IF(ROWS($1:51)&gt;COUNT(Dong5),"",IF(OFFSET(TH!N$1,SMALL(Dong5,ROWS($1:51)),)=$E$7,OFFSET(TH!O$1,SMALL(Dong5,ROWS($1:51)),),OFFSET(TH!N$1,SMALL(Dong5,ROWS($1:51)),)))</f>
        <v>331</v>
      </c>
      <c r="F65" s="384">
        <f ca="1">IF(ROWS($1:51)&gt;COUNT(Dong5),0,IF(OFFSET(TH!N$1,SMALL(Dong5,ROWS($1:51)),)=$E$7,OFFSET(TH!M$1,SMALL(Dong5,ROWS($1:51)),),0))</f>
        <v>1800000</v>
      </c>
      <c r="G65" s="382">
        <f ca="1">IF(ROWS($1:51)&gt;COUNT(Dong5),0,IF(OFFSET(TH!O$1,SMALL(Dong5,ROWS($1:51)),)=$E$7,OFFSET(TH!M$1,SMALL(Dong5,ROWS($1:51)),),0))</f>
        <v>0</v>
      </c>
      <c r="H65" s="385">
        <f ca="1">IF(D65&lt;&gt;"",MAX(H64+F65-G65-I64,0),0)</f>
        <v>67703009</v>
      </c>
      <c r="I65" s="385">
        <f ca="1">IF(D65&lt;&gt;"",MAX(I64+G65-H64-F65,0),0)</f>
        <v>0</v>
      </c>
      <c r="J65" s="18">
        <f ca="1">MONTH(A65)</f>
        <v>12</v>
      </c>
    </row>
    <row r="66" spans="1:10" s="18" customFormat="1" ht="18" customHeight="1">
      <c r="A66" s="318">
        <f ca="1">IF(ROWS($1:52)&gt;COUNT(Dong5),"",OFFSET(TH!C$1,SMALL(Dong5,ROWS($1:52)),))</f>
        <v>42716</v>
      </c>
      <c r="B66" s="318" t="str">
        <f ca="1">IF(ROWS($1:52)&gt;COUNT(Dong5),"",OFFSET(TH!D$1,SMALL(Dong5,ROWS($1:52)),))</f>
        <v>VL/N19</v>
      </c>
      <c r="C66" s="318">
        <f ca="1">IF(ROWS($1:52)&gt;COUNT(Dong5),"",OFFSET(TH!E$1,SMALL(Dong5,ROWS($1:52)),))</f>
        <v>42716</v>
      </c>
      <c r="D66" s="383" t="str">
        <f ca="1">IF(ROWS($1:52)&gt;COUNT(Dong5),"",OFFSET(TH!F$1,SMALL(Dong5,ROWS($1:52)),))</f>
        <v>VAT Thùng carton</v>
      </c>
      <c r="E66" s="318" t="str">
        <f ca="1">IF(ROWS($1:52)&gt;COUNT(Dong5),"",IF(OFFSET(TH!N$1,SMALL(Dong5,ROWS($1:52)),)=$E$7,OFFSET(TH!O$1,SMALL(Dong5,ROWS($1:52)),),OFFSET(TH!N$1,SMALL(Dong5,ROWS($1:52)),)))</f>
        <v>331</v>
      </c>
      <c r="F66" s="384">
        <f ca="1">IF(ROWS($1:52)&gt;COUNT(Dong5),0,IF(OFFSET(TH!N$1,SMALL(Dong5,ROWS($1:52)),)=$E$7,OFFSET(TH!M$1,SMALL(Dong5,ROWS($1:52)),),0))</f>
        <v>1800000</v>
      </c>
      <c r="G66" s="382">
        <f ca="1">IF(ROWS($1:52)&gt;COUNT(Dong5),0,IF(OFFSET(TH!O$1,SMALL(Dong5,ROWS($1:52)),)=$E$7,OFFSET(TH!M$1,SMALL(Dong5,ROWS($1:52)),),0))</f>
        <v>0</v>
      </c>
      <c r="H66" s="385">
        <f ca="1">IF(D66&lt;&gt;"",MAX(H65+F66-G66-I65,0),0)</f>
        <v>69503009</v>
      </c>
      <c r="I66" s="385">
        <f ca="1">IF(D66&lt;&gt;"",MAX(I65+G66-H65-F66,0),0)</f>
        <v>0</v>
      </c>
      <c r="J66" s="18">
        <f ca="1">MONTH(A66)</f>
        <v>12</v>
      </c>
    </row>
    <row r="67" spans="1:10" s="18" customFormat="1" ht="18" customHeight="1">
      <c r="A67" s="318">
        <f ca="1">IF(ROWS($1:53)&gt;COUNT(Dong5),"",OFFSET(TH!C$1,SMALL(Dong5,ROWS($1:53)),))</f>
        <v>42714</v>
      </c>
      <c r="B67" s="318" t="str">
        <f ca="1">IF(ROWS($1:53)&gt;COUNT(Dong5),"",OFFSET(TH!D$1,SMALL(Dong5,ROWS($1:53)),))</f>
        <v>VL/N15</v>
      </c>
      <c r="C67" s="318">
        <f ca="1">IF(ROWS($1:53)&gt;COUNT(Dong5),"",OFFSET(TH!E$1,SMALL(Dong5,ROWS($1:53)),))</f>
        <v>42714</v>
      </c>
      <c r="D67" s="383" t="str">
        <f ca="1">IF(ROWS($1:53)&gt;COUNT(Dong5),"",OFFSET(TH!F$1,SMALL(Dong5,ROWS($1:53)),))</f>
        <v>VAT Thùng carton</v>
      </c>
      <c r="E67" s="318" t="str">
        <f ca="1">IF(ROWS($1:53)&gt;COUNT(Dong5),"",IF(OFFSET(TH!N$1,SMALL(Dong5,ROWS($1:53)),)=$E$7,OFFSET(TH!O$1,SMALL(Dong5,ROWS($1:53)),),OFFSET(TH!N$1,SMALL(Dong5,ROWS($1:53)),)))</f>
        <v>331</v>
      </c>
      <c r="F67" s="384">
        <f ca="1">IF(ROWS($1:53)&gt;COUNT(Dong5),0,IF(OFFSET(TH!N$1,SMALL(Dong5,ROWS($1:53)),)=$E$7,OFFSET(TH!M$1,SMALL(Dong5,ROWS($1:53)),),0))</f>
        <v>1800000</v>
      </c>
      <c r="G67" s="382">
        <f ca="1">IF(ROWS($1:53)&gt;COUNT(Dong5),0,IF(OFFSET(TH!O$1,SMALL(Dong5,ROWS($1:53)),)=$E$7,OFFSET(TH!M$1,SMALL(Dong5,ROWS($1:53)),),0))</f>
        <v>0</v>
      </c>
      <c r="H67" s="385">
        <f ca="1">IF(D67&lt;&gt;"",MAX(H66+F67-G67-I66,0),0)</f>
        <v>71303009</v>
      </c>
      <c r="I67" s="385">
        <f ca="1">IF(D67&lt;&gt;"",MAX(I66+G67-H66-F67,0),0)</f>
        <v>0</v>
      </c>
      <c r="J67" s="18">
        <f ca="1">MONTH(A67)</f>
        <v>12</v>
      </c>
    </row>
    <row r="68" spans="1:10" s="18" customFormat="1" ht="18" customHeight="1">
      <c r="A68" s="318">
        <f ca="1">IF(ROWS($1:54)&gt;COUNT(Dong5),"",OFFSET(TH!C$1,SMALL(Dong5,ROWS($1:54)),))</f>
        <v>42715</v>
      </c>
      <c r="B68" s="318" t="str">
        <f ca="1">IF(ROWS($1:54)&gt;COUNT(Dong5),"",OFFSET(TH!D$1,SMALL(Dong5,ROWS($1:54)),))</f>
        <v>VL/N17</v>
      </c>
      <c r="C68" s="318">
        <f ca="1">IF(ROWS($1:54)&gt;COUNT(Dong5),"",OFFSET(TH!E$1,SMALL(Dong5,ROWS($1:54)),))</f>
        <v>42715</v>
      </c>
      <c r="D68" s="383" t="str">
        <f ca="1">IF(ROWS($1:54)&gt;COUNT(Dong5),"",OFFSET(TH!F$1,SMALL(Dong5,ROWS($1:54)),))</f>
        <v>VAT Thùng carton</v>
      </c>
      <c r="E68" s="318" t="str">
        <f ca="1">IF(ROWS($1:54)&gt;COUNT(Dong5),"",IF(OFFSET(TH!N$1,SMALL(Dong5,ROWS($1:54)),)=$E$7,OFFSET(TH!O$1,SMALL(Dong5,ROWS($1:54)),),OFFSET(TH!N$1,SMALL(Dong5,ROWS($1:54)),)))</f>
        <v>331</v>
      </c>
      <c r="F68" s="384">
        <f ca="1">IF(ROWS($1:54)&gt;COUNT(Dong5),0,IF(OFFSET(TH!N$1,SMALL(Dong5,ROWS($1:54)),)=$E$7,OFFSET(TH!M$1,SMALL(Dong5,ROWS($1:54)),),0))</f>
        <v>1800000</v>
      </c>
      <c r="G68" s="382">
        <f ca="1">IF(ROWS($1:54)&gt;COUNT(Dong5),0,IF(OFFSET(TH!O$1,SMALL(Dong5,ROWS($1:54)),)=$E$7,OFFSET(TH!M$1,SMALL(Dong5,ROWS($1:54)),),0))</f>
        <v>0</v>
      </c>
      <c r="H68" s="385">
        <f ca="1">IF(D68&lt;&gt;"",MAX(H67+F68-G68-I67,0),0)</f>
        <v>73103009</v>
      </c>
      <c r="I68" s="385">
        <f ca="1">IF(D68&lt;&gt;"",MAX(I67+G68-H67-F68,0),0)</f>
        <v>0</v>
      </c>
      <c r="J68" s="18">
        <f ca="1">MONTH(A68)</f>
        <v>12</v>
      </c>
    </row>
    <row r="69" spans="1:10" s="18" customFormat="1" ht="18" customHeight="1">
      <c r="A69" s="318">
        <f ca="1">IF(ROWS($1:55)&gt;COUNT(Dong5),"",OFFSET(TH!C$1,SMALL(Dong5,ROWS($1:55)),))</f>
        <v>42724</v>
      </c>
      <c r="B69" s="318" t="str">
        <f ca="1">IF(ROWS($1:55)&gt;COUNT(Dong5),"",OFFSET(TH!D$1,SMALL(Dong5,ROWS($1:55)),))</f>
        <v>VL/N31</v>
      </c>
      <c r="C69" s="318">
        <f ca="1">IF(ROWS($1:55)&gt;COUNT(Dong5),"",OFFSET(TH!E$1,SMALL(Dong5,ROWS($1:55)),))</f>
        <v>42724</v>
      </c>
      <c r="D69" s="383" t="str">
        <f ca="1">IF(ROWS($1:55)&gt;COUNT(Dong5),"",OFFSET(TH!F$1,SMALL(Dong5,ROWS($1:55)),))</f>
        <v xml:space="preserve">VAT Nhãn </v>
      </c>
      <c r="E69" s="318" t="str">
        <f ca="1">IF(ROWS($1:55)&gt;COUNT(Dong5),"",IF(OFFSET(TH!N$1,SMALL(Dong5,ROWS($1:55)),)=$E$7,OFFSET(TH!O$1,SMALL(Dong5,ROWS($1:55)),),OFFSET(TH!N$1,SMALL(Dong5,ROWS($1:55)),)))</f>
        <v>331</v>
      </c>
      <c r="F69" s="384">
        <f ca="1">IF(ROWS($1:55)&gt;COUNT(Dong5),0,IF(OFFSET(TH!N$1,SMALL(Dong5,ROWS($1:55)),)=$E$7,OFFSET(TH!M$1,SMALL(Dong5,ROWS($1:55)),),0))</f>
        <v>120000</v>
      </c>
      <c r="G69" s="382">
        <f ca="1">IF(ROWS($1:55)&gt;COUNT(Dong5),0,IF(OFFSET(TH!O$1,SMALL(Dong5,ROWS($1:55)),)=$E$7,OFFSET(TH!M$1,SMALL(Dong5,ROWS($1:55)),),0))</f>
        <v>0</v>
      </c>
      <c r="H69" s="385">
        <f ca="1">IF(D69&lt;&gt;"",MAX(H68+F69-G69-I68,0),0)</f>
        <v>73223009</v>
      </c>
      <c r="I69" s="385">
        <f ca="1">IF(D69&lt;&gt;"",MAX(I68+G69-H68-F69,0),0)</f>
        <v>0</v>
      </c>
      <c r="J69" s="18">
        <f ca="1">MONTH(A69)</f>
        <v>12</v>
      </c>
    </row>
    <row r="70" spans="1:10" s="18" customFormat="1" ht="18" customHeight="1">
      <c r="A70" s="318">
        <f ca="1">IF(ROWS($1:56)&gt;COUNT(Dong5),"",OFFSET(TH!C$1,SMALL(Dong5,ROWS($1:56)),))</f>
        <v>42716</v>
      </c>
      <c r="B70" s="318" t="str">
        <f ca="1">IF(ROWS($1:56)&gt;COUNT(Dong5),"",OFFSET(TH!D$1,SMALL(Dong5,ROWS($1:56)),))</f>
        <v>VL/N18</v>
      </c>
      <c r="C70" s="318">
        <f ca="1">IF(ROWS($1:56)&gt;COUNT(Dong5),"",OFFSET(TH!E$1,SMALL(Dong5,ROWS($1:56)),))</f>
        <v>42716</v>
      </c>
      <c r="D70" s="383" t="str">
        <f ca="1">IF(ROWS($1:56)&gt;COUNT(Dong5),"",OFFSET(TH!F$1,SMALL(Dong5,ROWS($1:56)),))</f>
        <v>VAT Thùng carton</v>
      </c>
      <c r="E70" s="318" t="str">
        <f ca="1">IF(ROWS($1:56)&gt;COUNT(Dong5),"",IF(OFFSET(TH!N$1,SMALL(Dong5,ROWS($1:56)),)=$E$7,OFFSET(TH!O$1,SMALL(Dong5,ROWS($1:56)),),OFFSET(TH!N$1,SMALL(Dong5,ROWS($1:56)),)))</f>
        <v>331</v>
      </c>
      <c r="F70" s="384">
        <f ca="1">IF(ROWS($1:56)&gt;COUNT(Dong5),0,IF(OFFSET(TH!N$1,SMALL(Dong5,ROWS($1:56)),)=$E$7,OFFSET(TH!M$1,SMALL(Dong5,ROWS($1:56)),),0))</f>
        <v>1800000</v>
      </c>
      <c r="G70" s="382">
        <f ca="1">IF(ROWS($1:56)&gt;COUNT(Dong5),0,IF(OFFSET(TH!O$1,SMALL(Dong5,ROWS($1:56)),)=$E$7,OFFSET(TH!M$1,SMALL(Dong5,ROWS($1:56)),),0))</f>
        <v>0</v>
      </c>
      <c r="H70" s="385">
        <f ca="1">IF(D70&lt;&gt;"",MAX(H69+F70-G70-I69,0),0)</f>
        <v>75023009</v>
      </c>
      <c r="I70" s="385">
        <f ca="1">IF(D70&lt;&gt;"",MAX(I69+G70-H69-F70,0),0)</f>
        <v>0</v>
      </c>
      <c r="J70" s="18">
        <f ca="1">MONTH(A70)</f>
        <v>12</v>
      </c>
    </row>
    <row r="71" spans="1:10" s="18" customFormat="1" ht="18" customHeight="1">
      <c r="A71" s="318">
        <f ca="1">IF(ROWS($1:57)&gt;COUNT(Dong5),"",OFFSET(TH!C$1,SMALL(Dong5,ROWS($1:57)),))</f>
        <v>42717</v>
      </c>
      <c r="B71" s="318" t="str">
        <f ca="1">IF(ROWS($1:57)&gt;COUNT(Dong5),"",OFFSET(TH!D$1,SMALL(Dong5,ROWS($1:57)),))</f>
        <v>VL/N20</v>
      </c>
      <c r="C71" s="318">
        <f ca="1">IF(ROWS($1:57)&gt;COUNT(Dong5),"",OFFSET(TH!E$1,SMALL(Dong5,ROWS($1:57)),))</f>
        <v>42717</v>
      </c>
      <c r="D71" s="383" t="str">
        <f ca="1">IF(ROWS($1:57)&gt;COUNT(Dong5),"",OFFSET(TH!F$1,SMALL(Dong5,ROWS($1:57)),))</f>
        <v>VAT Thùng carton</v>
      </c>
      <c r="E71" s="318" t="str">
        <f ca="1">IF(ROWS($1:57)&gt;COUNT(Dong5),"",IF(OFFSET(TH!N$1,SMALL(Dong5,ROWS($1:57)),)=$E$7,OFFSET(TH!O$1,SMALL(Dong5,ROWS($1:57)),),OFFSET(TH!N$1,SMALL(Dong5,ROWS($1:57)),)))</f>
        <v>331</v>
      </c>
      <c r="F71" s="384">
        <f ca="1">IF(ROWS($1:57)&gt;COUNT(Dong5),0,IF(OFFSET(TH!N$1,SMALL(Dong5,ROWS($1:57)),)=$E$7,OFFSET(TH!M$1,SMALL(Dong5,ROWS($1:57)),),0))</f>
        <v>1800000</v>
      </c>
      <c r="G71" s="382">
        <f ca="1">IF(ROWS($1:57)&gt;COUNT(Dong5),0,IF(OFFSET(TH!O$1,SMALL(Dong5,ROWS($1:57)),)=$E$7,OFFSET(TH!M$1,SMALL(Dong5,ROWS($1:57)),),0))</f>
        <v>0</v>
      </c>
      <c r="H71" s="385">
        <f ca="1">IF(D71&lt;&gt;"",MAX(H70+F71-G71-I70,0),0)</f>
        <v>76823009</v>
      </c>
      <c r="I71" s="385">
        <f ca="1">IF(D71&lt;&gt;"",MAX(I70+G71-H70-F71,0),0)</f>
        <v>0</v>
      </c>
      <c r="J71" s="18">
        <f ca="1">MONTH(A71)</f>
        <v>12</v>
      </c>
    </row>
    <row r="72" spans="1:10" s="18" customFormat="1" ht="18" customHeight="1">
      <c r="A72" s="318">
        <f ca="1">IF(ROWS($1:58)&gt;COUNT(Dong5),"",OFFSET(TH!C$1,SMALL(Dong5,ROWS($1:58)),))</f>
        <v>42718</v>
      </c>
      <c r="B72" s="318" t="str">
        <f ca="1">IF(ROWS($1:58)&gt;COUNT(Dong5),"",OFFSET(TH!D$1,SMALL(Dong5,ROWS($1:58)),))</f>
        <v>VL/N21</v>
      </c>
      <c r="C72" s="318">
        <f ca="1">IF(ROWS($1:58)&gt;COUNT(Dong5),"",OFFSET(TH!E$1,SMALL(Dong5,ROWS($1:58)),))</f>
        <v>42718</v>
      </c>
      <c r="D72" s="383" t="str">
        <f ca="1">IF(ROWS($1:58)&gt;COUNT(Dong5),"",OFFSET(TH!F$1,SMALL(Dong5,ROWS($1:58)),))</f>
        <v>VAT Thùng carton</v>
      </c>
      <c r="E72" s="318" t="str">
        <f ca="1">IF(ROWS($1:58)&gt;COUNT(Dong5),"",IF(OFFSET(TH!N$1,SMALL(Dong5,ROWS($1:58)),)=$E$7,OFFSET(TH!O$1,SMALL(Dong5,ROWS($1:58)),),OFFSET(TH!N$1,SMALL(Dong5,ROWS($1:58)),)))</f>
        <v>331</v>
      </c>
      <c r="F72" s="384">
        <f ca="1">IF(ROWS($1:58)&gt;COUNT(Dong5),0,IF(OFFSET(TH!N$1,SMALL(Dong5,ROWS($1:58)),)=$E$7,OFFSET(TH!M$1,SMALL(Dong5,ROWS($1:58)),),0))</f>
        <v>1800000</v>
      </c>
      <c r="G72" s="382">
        <f ca="1">IF(ROWS($1:58)&gt;COUNT(Dong5),0,IF(OFFSET(TH!O$1,SMALL(Dong5,ROWS($1:58)),)=$E$7,OFFSET(TH!M$1,SMALL(Dong5,ROWS($1:58)),),0))</f>
        <v>0</v>
      </c>
      <c r="H72" s="385">
        <f ca="1">IF(D72&lt;&gt;"",MAX(H71+F72-G72-I71,0),0)</f>
        <v>78623009</v>
      </c>
      <c r="I72" s="385">
        <f ca="1">IF(D72&lt;&gt;"",MAX(I71+G72-H71-F72,0),0)</f>
        <v>0</v>
      </c>
      <c r="J72" s="18">
        <f ca="1">MONTH(A72)</f>
        <v>12</v>
      </c>
    </row>
    <row r="73" spans="1:10" s="18" customFormat="1" ht="18" customHeight="1">
      <c r="A73" s="318">
        <f ca="1">IF(ROWS($1:59)&gt;COUNT(Dong5),"",OFFSET(TH!C$1,SMALL(Dong5,ROWS($1:59)),))</f>
        <v>42725</v>
      </c>
      <c r="B73" s="318" t="str">
        <f ca="1">IF(ROWS($1:59)&gt;COUNT(Dong5),"",OFFSET(TH!D$1,SMALL(Dong5,ROWS($1:59)),))</f>
        <v>VL/N36</v>
      </c>
      <c r="C73" s="318">
        <f ca="1">IF(ROWS($1:59)&gt;COUNT(Dong5),"",OFFSET(TH!E$1,SMALL(Dong5,ROWS($1:59)),))</f>
        <v>42725</v>
      </c>
      <c r="D73" s="383" t="str">
        <f ca="1">IF(ROWS($1:59)&gt;COUNT(Dong5),"",OFFSET(TH!F$1,SMALL(Dong5,ROWS($1:59)),))</f>
        <v xml:space="preserve">VAT Nhãn </v>
      </c>
      <c r="E73" s="318" t="str">
        <f ca="1">IF(ROWS($1:59)&gt;COUNT(Dong5),"",IF(OFFSET(TH!N$1,SMALL(Dong5,ROWS($1:59)),)=$E$7,OFFSET(TH!O$1,SMALL(Dong5,ROWS($1:59)),),OFFSET(TH!N$1,SMALL(Dong5,ROWS($1:59)),)))</f>
        <v>331</v>
      </c>
      <c r="F73" s="384">
        <f ca="1">IF(ROWS($1:59)&gt;COUNT(Dong5),0,IF(OFFSET(TH!N$1,SMALL(Dong5,ROWS($1:59)),)=$E$7,OFFSET(TH!M$1,SMALL(Dong5,ROWS($1:59)),),0))</f>
        <v>1200000</v>
      </c>
      <c r="G73" s="382">
        <f ca="1">IF(ROWS($1:59)&gt;COUNT(Dong5),0,IF(OFFSET(TH!O$1,SMALL(Dong5,ROWS($1:59)),)=$E$7,OFFSET(TH!M$1,SMALL(Dong5,ROWS($1:59)),),0))</f>
        <v>0</v>
      </c>
      <c r="H73" s="385">
        <f ca="1">IF(D73&lt;&gt;"",MAX(H72+F73-G73-I72,0),0)</f>
        <v>79823009</v>
      </c>
      <c r="I73" s="385">
        <f ca="1">IF(D73&lt;&gt;"",MAX(I72+G73-H72-F73,0),0)</f>
        <v>0</v>
      </c>
      <c r="J73" s="18">
        <f ca="1">MONTH(A73)</f>
        <v>12</v>
      </c>
    </row>
    <row r="74" spans="1:10" s="18" customFormat="1" ht="18" customHeight="1">
      <c r="A74" s="318">
        <f ca="1">IF(ROWS($1:60)&gt;COUNT(Dong5),"",OFFSET(TH!C$1,SMALL(Dong5,ROWS($1:60)),))</f>
        <v>42719</v>
      </c>
      <c r="B74" s="318" t="str">
        <f ca="1">IF(ROWS($1:60)&gt;COUNT(Dong5),"",OFFSET(TH!D$1,SMALL(Dong5,ROWS($1:60)),))</f>
        <v>VL/N22</v>
      </c>
      <c r="C74" s="318">
        <f ca="1">IF(ROWS($1:60)&gt;COUNT(Dong5),"",OFFSET(TH!E$1,SMALL(Dong5,ROWS($1:60)),))</f>
        <v>42719</v>
      </c>
      <c r="D74" s="383" t="str">
        <f ca="1">IF(ROWS($1:60)&gt;COUNT(Dong5),"",OFFSET(TH!F$1,SMALL(Dong5,ROWS($1:60)),))</f>
        <v>VAT Thùng carton</v>
      </c>
      <c r="E74" s="318" t="str">
        <f ca="1">IF(ROWS($1:60)&gt;COUNT(Dong5),"",IF(OFFSET(TH!N$1,SMALL(Dong5,ROWS($1:60)),)=$E$7,OFFSET(TH!O$1,SMALL(Dong5,ROWS($1:60)),),OFFSET(TH!N$1,SMALL(Dong5,ROWS($1:60)),)))</f>
        <v>331</v>
      </c>
      <c r="F74" s="384">
        <f ca="1">IF(ROWS($1:60)&gt;COUNT(Dong5),0,IF(OFFSET(TH!N$1,SMALL(Dong5,ROWS($1:60)),)=$E$7,OFFSET(TH!M$1,SMALL(Dong5,ROWS($1:60)),),0))</f>
        <v>1800000</v>
      </c>
      <c r="G74" s="382">
        <f ca="1">IF(ROWS($1:60)&gt;COUNT(Dong5),0,IF(OFFSET(TH!O$1,SMALL(Dong5,ROWS($1:60)),)=$E$7,OFFSET(TH!M$1,SMALL(Dong5,ROWS($1:60)),),0))</f>
        <v>0</v>
      </c>
      <c r="H74" s="385">
        <f ca="1">IF(D74&lt;&gt;"",MAX(H73+F74-G74-I73,0),0)</f>
        <v>81623009</v>
      </c>
      <c r="I74" s="385">
        <f ca="1">IF(D74&lt;&gt;"",MAX(I73+G74-H73-F74,0),0)</f>
        <v>0</v>
      </c>
      <c r="J74" s="18">
        <f ca="1">MONTH(A74)</f>
        <v>12</v>
      </c>
    </row>
    <row r="75" spans="1:10" s="18" customFormat="1" ht="18" customHeight="1">
      <c r="A75" s="318">
        <f ca="1">IF(ROWS($1:61)&gt;COUNT(Dong5),"",OFFSET(TH!C$1,SMALL(Dong5,ROWS($1:61)),))</f>
        <v>42720</v>
      </c>
      <c r="B75" s="318" t="str">
        <f ca="1">IF(ROWS($1:61)&gt;COUNT(Dong5),"",OFFSET(TH!D$1,SMALL(Dong5,ROWS($1:61)),))</f>
        <v>VL/N24</v>
      </c>
      <c r="C75" s="318">
        <f ca="1">IF(ROWS($1:61)&gt;COUNT(Dong5),"",OFFSET(TH!E$1,SMALL(Dong5,ROWS($1:61)),))</f>
        <v>42720</v>
      </c>
      <c r="D75" s="383" t="str">
        <f ca="1">IF(ROWS($1:61)&gt;COUNT(Dong5),"",OFFSET(TH!F$1,SMALL(Dong5,ROWS($1:61)),))</f>
        <v>VAT Thùng carton</v>
      </c>
      <c r="E75" s="318" t="str">
        <f ca="1">IF(ROWS($1:61)&gt;COUNT(Dong5),"",IF(OFFSET(TH!N$1,SMALL(Dong5,ROWS($1:61)),)=$E$7,OFFSET(TH!O$1,SMALL(Dong5,ROWS($1:61)),),OFFSET(TH!N$1,SMALL(Dong5,ROWS($1:61)),)))</f>
        <v>331</v>
      </c>
      <c r="F75" s="384">
        <f ca="1">IF(ROWS($1:61)&gt;COUNT(Dong5),0,IF(OFFSET(TH!N$1,SMALL(Dong5,ROWS($1:61)),)=$E$7,OFFSET(TH!M$1,SMALL(Dong5,ROWS($1:61)),),0))</f>
        <v>1800000</v>
      </c>
      <c r="G75" s="382">
        <f ca="1">IF(ROWS($1:61)&gt;COUNT(Dong5),0,IF(OFFSET(TH!O$1,SMALL(Dong5,ROWS($1:61)),)=$E$7,OFFSET(TH!M$1,SMALL(Dong5,ROWS($1:61)),),0))</f>
        <v>0</v>
      </c>
      <c r="H75" s="385">
        <f ca="1">IF(D75&lt;&gt;"",MAX(H74+F75-G75-I74,0),0)</f>
        <v>83423009</v>
      </c>
      <c r="I75" s="385">
        <f ca="1">IF(D75&lt;&gt;"",MAX(I74+G75-H74-F75,0),0)</f>
        <v>0</v>
      </c>
      <c r="J75" s="18">
        <f ca="1">MONTH(A75)</f>
        <v>12</v>
      </c>
    </row>
    <row r="76" spans="1:10" s="18" customFormat="1" ht="18" customHeight="1">
      <c r="A76" s="318">
        <f ca="1">IF(ROWS($1:62)&gt;COUNT(Dong5),"",OFFSET(TH!C$1,SMALL(Dong5,ROWS($1:62)),))</f>
        <v>42471</v>
      </c>
      <c r="B76" s="318" t="str">
        <f ca="1">IF(ROWS($1:62)&gt;COUNT(Dong5),"",OFFSET(TH!D$1,SMALL(Dong5,ROWS($1:62)),))</f>
        <v>VL/N05</v>
      </c>
      <c r="C76" s="318">
        <f ca="1">IF(ROWS($1:62)&gt;COUNT(Dong5),"",OFFSET(TH!E$1,SMALL(Dong5,ROWS($1:62)),))</f>
        <v>42471</v>
      </c>
      <c r="D76" s="383" t="str">
        <f ca="1">IF(ROWS($1:62)&gt;COUNT(Dong5),"",OFFSET(TH!F$1,SMALL(Dong5,ROWS($1:62)),))</f>
        <v xml:space="preserve">VAT Sorbitol </v>
      </c>
      <c r="E76" s="318" t="str">
        <f ca="1">IF(ROWS($1:62)&gt;COUNT(Dong5),"",IF(OFFSET(TH!N$1,SMALL(Dong5,ROWS($1:62)),)=$E$7,OFFSET(TH!O$1,SMALL(Dong5,ROWS($1:62)),),OFFSET(TH!N$1,SMALL(Dong5,ROWS($1:62)),)))</f>
        <v>331</v>
      </c>
      <c r="F76" s="384">
        <f ca="1">IF(ROWS($1:62)&gt;COUNT(Dong5),0,IF(OFFSET(TH!N$1,SMALL(Dong5,ROWS($1:62)),)=$E$7,OFFSET(TH!M$1,SMALL(Dong5,ROWS($1:62)),),0))</f>
        <v>9941400</v>
      </c>
      <c r="G76" s="382">
        <f ca="1">IF(ROWS($1:62)&gt;COUNT(Dong5),0,IF(OFFSET(TH!O$1,SMALL(Dong5,ROWS($1:62)),)=$E$7,OFFSET(TH!M$1,SMALL(Dong5,ROWS($1:62)),),0))</f>
        <v>0</v>
      </c>
      <c r="H76" s="385">
        <f ca="1">IF(D76&lt;&gt;"",MAX(H75+F76-G76-I75,0),0)</f>
        <v>93364409</v>
      </c>
      <c r="I76" s="385">
        <f ca="1">IF(D76&lt;&gt;"",MAX(I75+G76-H75-F76,0),0)</f>
        <v>0</v>
      </c>
      <c r="J76" s="18">
        <f ca="1">MONTH(A76)</f>
        <v>4</v>
      </c>
    </row>
    <row r="77" spans="1:10" s="18" customFormat="1" ht="18" customHeight="1">
      <c r="A77" s="318">
        <f ca="1">IF(ROWS($1:63)&gt;COUNT(Dong5),"",OFFSET(TH!C$1,SMALL(Dong5,ROWS($1:63)),))</f>
        <v>42719</v>
      </c>
      <c r="B77" s="318" t="str">
        <f ca="1">IF(ROWS($1:63)&gt;COUNT(Dong5),"",OFFSET(TH!D$1,SMALL(Dong5,ROWS($1:63)),))</f>
        <v>VL/N23</v>
      </c>
      <c r="C77" s="318">
        <f ca="1">IF(ROWS($1:63)&gt;COUNT(Dong5),"",OFFSET(TH!E$1,SMALL(Dong5,ROWS($1:63)),))</f>
        <v>42719</v>
      </c>
      <c r="D77" s="383" t="str">
        <f ca="1">IF(ROWS($1:63)&gt;COUNT(Dong5),"",OFFSET(TH!F$1,SMALL(Dong5,ROWS($1:63)),))</f>
        <v>VAT Thùng carton</v>
      </c>
      <c r="E77" s="318" t="str">
        <f ca="1">IF(ROWS($1:63)&gt;COUNT(Dong5),"",IF(OFFSET(TH!N$1,SMALL(Dong5,ROWS($1:63)),)=$E$7,OFFSET(TH!O$1,SMALL(Dong5,ROWS($1:63)),),OFFSET(TH!N$1,SMALL(Dong5,ROWS($1:63)),)))</f>
        <v>331</v>
      </c>
      <c r="F77" s="384">
        <f ca="1">IF(ROWS($1:63)&gt;COUNT(Dong5),0,IF(OFFSET(TH!N$1,SMALL(Dong5,ROWS($1:63)),)=$E$7,OFFSET(TH!M$1,SMALL(Dong5,ROWS($1:63)),),0))</f>
        <v>1800000</v>
      </c>
      <c r="G77" s="382">
        <f ca="1">IF(ROWS($1:63)&gt;COUNT(Dong5),0,IF(OFFSET(TH!O$1,SMALL(Dong5,ROWS($1:63)),)=$E$7,OFFSET(TH!M$1,SMALL(Dong5,ROWS($1:63)),),0))</f>
        <v>0</v>
      </c>
      <c r="H77" s="385">
        <f ca="1">IF(D77&lt;&gt;"",MAX(H76+F77-G77-I76,0),0)</f>
        <v>95164409</v>
      </c>
      <c r="I77" s="385">
        <f ca="1">IF(D77&lt;&gt;"",MAX(I76+G77-H76-F77,0),0)</f>
        <v>0</v>
      </c>
      <c r="J77" s="18">
        <f ca="1">MONTH(A77)</f>
        <v>12</v>
      </c>
    </row>
    <row r="78" spans="1:10" s="18" customFormat="1" ht="18" customHeight="1">
      <c r="A78" s="318">
        <f ca="1">IF(ROWS($1:64)&gt;COUNT(Dong5),"",OFFSET(TH!C$1,SMALL(Dong5,ROWS($1:64)),))</f>
        <v>42685</v>
      </c>
      <c r="B78" s="318" t="str">
        <f ca="1">IF(ROWS($1:64)&gt;COUNT(Dong5),"",OFFSET(TH!D$1,SMALL(Dong5,ROWS($1:64)),))</f>
        <v>VL/N06</v>
      </c>
      <c r="C78" s="318">
        <f ca="1">IF(ROWS($1:64)&gt;COUNT(Dong5),"",OFFSET(TH!E$1,SMALL(Dong5,ROWS($1:64)),))</f>
        <v>42685</v>
      </c>
      <c r="D78" s="383" t="str">
        <f ca="1">IF(ROWS($1:64)&gt;COUNT(Dong5),"",OFFSET(TH!F$1,SMALL(Dong5,ROWS($1:64)),))</f>
        <v>VAT Thùng carton</v>
      </c>
      <c r="E78" s="318" t="str">
        <f ca="1">IF(ROWS($1:64)&gt;COUNT(Dong5),"",IF(OFFSET(TH!N$1,SMALL(Dong5,ROWS($1:64)),)=$E$7,OFFSET(TH!O$1,SMALL(Dong5,ROWS($1:64)),),OFFSET(TH!N$1,SMALL(Dong5,ROWS($1:64)),)))</f>
        <v>331</v>
      </c>
      <c r="F78" s="384">
        <f ca="1">IF(ROWS($1:64)&gt;COUNT(Dong5),0,IF(OFFSET(TH!N$1,SMALL(Dong5,ROWS($1:64)),)=$E$7,OFFSET(TH!M$1,SMALL(Dong5,ROWS($1:64)),),0))</f>
        <v>5351170</v>
      </c>
      <c r="G78" s="382">
        <f ca="1">IF(ROWS($1:64)&gt;COUNT(Dong5),0,IF(OFFSET(TH!O$1,SMALL(Dong5,ROWS($1:64)),)=$E$7,OFFSET(TH!M$1,SMALL(Dong5,ROWS($1:64)),),0))</f>
        <v>0</v>
      </c>
      <c r="H78" s="385">
        <f ca="1">IF(D78&lt;&gt;"",MAX(H77+F78-G78-I77,0),0)</f>
        <v>100515579</v>
      </c>
      <c r="I78" s="385">
        <f ca="1">IF(D78&lt;&gt;"",MAX(I77+G78-H77-F78,0),0)</f>
        <v>0</v>
      </c>
      <c r="J78" s="18">
        <f ca="1">MONTH(A78)</f>
        <v>11</v>
      </c>
    </row>
    <row r="79" spans="1:10" s="18" customFormat="1" ht="18" customHeight="1">
      <c r="A79" s="318">
        <f ca="1">IF(ROWS($1:65)&gt;COUNT(Dong5),"",OFFSET(TH!C$1,SMALL(Dong5,ROWS($1:65)),))</f>
        <v>42728</v>
      </c>
      <c r="B79" s="318" t="str">
        <f ca="1">IF(ROWS($1:65)&gt;COUNT(Dong5),"",OFFSET(TH!D$1,SMALL(Dong5,ROWS($1:65)),))</f>
        <v>VL/N44</v>
      </c>
      <c r="C79" s="318">
        <f ca="1">IF(ROWS($1:65)&gt;COUNT(Dong5),"",OFFSET(TH!E$1,SMALL(Dong5,ROWS($1:65)),))</f>
        <v>42728</v>
      </c>
      <c r="D79" s="383" t="str">
        <f ca="1">IF(ROWS($1:65)&gt;COUNT(Dong5),"",OFFSET(TH!F$1,SMALL(Dong5,ROWS($1:65)),))</f>
        <v>VAT Thùng carton</v>
      </c>
      <c r="E79" s="318" t="str">
        <f ca="1">IF(ROWS($1:65)&gt;COUNT(Dong5),"",IF(OFFSET(TH!N$1,SMALL(Dong5,ROWS($1:65)),)=$E$7,OFFSET(TH!O$1,SMALL(Dong5,ROWS($1:65)),),OFFSET(TH!N$1,SMALL(Dong5,ROWS($1:65)),)))</f>
        <v>331</v>
      </c>
      <c r="F79" s="384">
        <f ca="1">IF(ROWS($1:65)&gt;COUNT(Dong5),0,IF(OFFSET(TH!N$1,SMALL(Dong5,ROWS($1:65)),)=$E$7,OFFSET(TH!M$1,SMALL(Dong5,ROWS($1:65)),),0))</f>
        <v>607200</v>
      </c>
      <c r="G79" s="382">
        <f ca="1">IF(ROWS($1:65)&gt;COUNT(Dong5),0,IF(OFFSET(TH!O$1,SMALL(Dong5,ROWS($1:65)),)=$E$7,OFFSET(TH!M$1,SMALL(Dong5,ROWS($1:65)),),0))</f>
        <v>0</v>
      </c>
      <c r="H79" s="385">
        <f ca="1">IF(D79&lt;&gt;"",MAX(H78+F79-G79-I78,0),0)</f>
        <v>101122779</v>
      </c>
      <c r="I79" s="385">
        <f ca="1">IF(D79&lt;&gt;"",MAX(I78+G79-H78-F79,0),0)</f>
        <v>0</v>
      </c>
      <c r="J79" s="18">
        <f ca="1">MONTH(A79)</f>
        <v>12</v>
      </c>
    </row>
    <row r="80" spans="1:10" s="18" customFormat="1" ht="18" customHeight="1">
      <c r="A80" s="318">
        <f ca="1">IF(ROWS($1:66)&gt;COUNT(Dong5),"",OFFSET(TH!C$1,SMALL(Dong5,ROWS($1:66)),))</f>
        <v>42728</v>
      </c>
      <c r="B80" s="318" t="str">
        <f ca="1">IF(ROWS($1:66)&gt;COUNT(Dong5),"",OFFSET(TH!D$1,SMALL(Dong5,ROWS($1:66)),))</f>
        <v>VL/N44</v>
      </c>
      <c r="C80" s="318">
        <f ca="1">IF(ROWS($1:66)&gt;COUNT(Dong5),"",OFFSET(TH!E$1,SMALL(Dong5,ROWS($1:66)),))</f>
        <v>42728</v>
      </c>
      <c r="D80" s="383" t="str">
        <f ca="1">IF(ROWS($1:66)&gt;COUNT(Dong5),"",OFFSET(TH!F$1,SMALL(Dong5,ROWS($1:66)),))</f>
        <v>VAT Thùng carton</v>
      </c>
      <c r="E80" s="318" t="str">
        <f ca="1">IF(ROWS($1:66)&gt;COUNT(Dong5),"",IF(OFFSET(TH!N$1,SMALL(Dong5,ROWS($1:66)),)=$E$7,OFFSET(TH!O$1,SMALL(Dong5,ROWS($1:66)),),OFFSET(TH!N$1,SMALL(Dong5,ROWS($1:66)),)))</f>
        <v>331</v>
      </c>
      <c r="F80" s="384">
        <f ca="1">IF(ROWS($1:66)&gt;COUNT(Dong5),0,IF(OFFSET(TH!N$1,SMALL(Dong5,ROWS($1:66)),)=$E$7,OFFSET(TH!M$1,SMALL(Dong5,ROWS($1:66)),),0))</f>
        <v>393900</v>
      </c>
      <c r="G80" s="382">
        <f ca="1">IF(ROWS($1:66)&gt;COUNT(Dong5),0,IF(OFFSET(TH!O$1,SMALL(Dong5,ROWS($1:66)),)=$E$7,OFFSET(TH!M$1,SMALL(Dong5,ROWS($1:66)),),0))</f>
        <v>0</v>
      </c>
      <c r="H80" s="385">
        <f ca="1">IF(D80&lt;&gt;"",MAX(H79+F80-G80-I79,0),0)</f>
        <v>101516679</v>
      </c>
      <c r="I80" s="385">
        <f ca="1">IF(D80&lt;&gt;"",MAX(I79+G80-H79-F80,0),0)</f>
        <v>0</v>
      </c>
      <c r="J80" s="18">
        <f ca="1">MONTH(A80)</f>
        <v>12</v>
      </c>
    </row>
    <row r="81" spans="1:10" s="18" customFormat="1" ht="18" customHeight="1">
      <c r="A81" s="318">
        <f ca="1">IF(ROWS($1:67)&gt;COUNT(Dong5),"",OFFSET(TH!C$1,SMALL(Dong5,ROWS($1:67)),))</f>
        <v>42728</v>
      </c>
      <c r="B81" s="318" t="str">
        <f ca="1">IF(ROWS($1:67)&gt;COUNT(Dong5),"",OFFSET(TH!D$1,SMALL(Dong5,ROWS($1:67)),))</f>
        <v>VL/N44</v>
      </c>
      <c r="C81" s="318">
        <f ca="1">IF(ROWS($1:67)&gt;COUNT(Dong5),"",OFFSET(TH!E$1,SMALL(Dong5,ROWS($1:67)),))</f>
        <v>42728</v>
      </c>
      <c r="D81" s="383" t="str">
        <f ca="1">IF(ROWS($1:67)&gt;COUNT(Dong5),"",OFFSET(TH!F$1,SMALL(Dong5,ROWS($1:67)),))</f>
        <v>VAT Thùng carton</v>
      </c>
      <c r="E81" s="318" t="str">
        <f ca="1">IF(ROWS($1:67)&gt;COUNT(Dong5),"",IF(OFFSET(TH!N$1,SMALL(Dong5,ROWS($1:67)),)=$E$7,OFFSET(TH!O$1,SMALL(Dong5,ROWS($1:67)),),OFFSET(TH!N$1,SMALL(Dong5,ROWS($1:67)),)))</f>
        <v>331</v>
      </c>
      <c r="F81" s="384">
        <f ca="1">IF(ROWS($1:67)&gt;COUNT(Dong5),0,IF(OFFSET(TH!N$1,SMALL(Dong5,ROWS($1:67)),)=$E$7,OFFSET(TH!M$1,SMALL(Dong5,ROWS($1:67)),),0))</f>
        <v>170000</v>
      </c>
      <c r="G81" s="382">
        <f ca="1">IF(ROWS($1:67)&gt;COUNT(Dong5),0,IF(OFFSET(TH!O$1,SMALL(Dong5,ROWS($1:67)),)=$E$7,OFFSET(TH!M$1,SMALL(Dong5,ROWS($1:67)),),0))</f>
        <v>0</v>
      </c>
      <c r="H81" s="385">
        <f ca="1">IF(D81&lt;&gt;"",MAX(H80+F81-G81-I80,0),0)</f>
        <v>101686679</v>
      </c>
      <c r="I81" s="385">
        <f ca="1">IF(D81&lt;&gt;"",MAX(I80+G81-H80-F81,0),0)</f>
        <v>0</v>
      </c>
      <c r="J81" s="18">
        <f ca="1">MONTH(A81)</f>
        <v>12</v>
      </c>
    </row>
    <row r="82" spans="1:10" s="18" customFormat="1" ht="18" customHeight="1">
      <c r="A82" s="318">
        <f ca="1">IF(ROWS($1:68)&gt;COUNT(Dong5),"",OFFSET(TH!C$1,SMALL(Dong5,ROWS($1:68)),))</f>
        <v>42728</v>
      </c>
      <c r="B82" s="318" t="str">
        <f ca="1">IF(ROWS($1:68)&gt;COUNT(Dong5),"",OFFSET(TH!D$1,SMALL(Dong5,ROWS($1:68)),))</f>
        <v>VL/N44</v>
      </c>
      <c r="C82" s="318">
        <f ca="1">IF(ROWS($1:68)&gt;COUNT(Dong5),"",OFFSET(TH!E$1,SMALL(Dong5,ROWS($1:68)),))</f>
        <v>42728</v>
      </c>
      <c r="D82" s="383" t="str">
        <f ca="1">IF(ROWS($1:68)&gt;COUNT(Dong5),"",OFFSET(TH!F$1,SMALL(Dong5,ROWS($1:68)),))</f>
        <v>VAT Thùng carton</v>
      </c>
      <c r="E82" s="318" t="str">
        <f ca="1">IF(ROWS($1:68)&gt;COUNT(Dong5),"",IF(OFFSET(TH!N$1,SMALL(Dong5,ROWS($1:68)),)=$E$7,OFFSET(TH!O$1,SMALL(Dong5,ROWS($1:68)),),OFFSET(TH!N$1,SMALL(Dong5,ROWS($1:68)),)))</f>
        <v>331</v>
      </c>
      <c r="F82" s="384">
        <f ca="1">IF(ROWS($1:68)&gt;COUNT(Dong5),0,IF(OFFSET(TH!N$1,SMALL(Dong5,ROWS($1:68)),)=$E$7,OFFSET(TH!M$1,SMALL(Dong5,ROWS($1:68)),),0))</f>
        <v>598500</v>
      </c>
      <c r="G82" s="382">
        <f ca="1">IF(ROWS($1:68)&gt;COUNT(Dong5),0,IF(OFFSET(TH!O$1,SMALL(Dong5,ROWS($1:68)),)=$E$7,OFFSET(TH!M$1,SMALL(Dong5,ROWS($1:68)),),0))</f>
        <v>0</v>
      </c>
      <c r="H82" s="385">
        <f ca="1">IF(D82&lt;&gt;"",MAX(H81+F82-G82-I81,0),0)</f>
        <v>102285179</v>
      </c>
      <c r="I82" s="385">
        <f ca="1">IF(D82&lt;&gt;"",MAX(I81+G82-H81-F82,0),0)</f>
        <v>0</v>
      </c>
      <c r="J82" s="18">
        <f ca="1">MONTH(A82)</f>
        <v>12</v>
      </c>
    </row>
    <row r="83" spans="1:10" s="18" customFormat="1" ht="18" customHeight="1">
      <c r="A83" s="318">
        <f ca="1">IF(ROWS($1:69)&gt;COUNT(Dong5),"",OFFSET(TH!C$1,SMALL(Dong5,ROWS($1:69)),))</f>
        <v>42721</v>
      </c>
      <c r="B83" s="318" t="str">
        <f ca="1">IF(ROWS($1:69)&gt;COUNT(Dong5),"",OFFSET(TH!D$1,SMALL(Dong5,ROWS($1:69)),))</f>
        <v>VL/N26</v>
      </c>
      <c r="C83" s="318">
        <f ca="1">IF(ROWS($1:69)&gt;COUNT(Dong5),"",OFFSET(TH!E$1,SMALL(Dong5,ROWS($1:69)),))</f>
        <v>42721</v>
      </c>
      <c r="D83" s="383" t="str">
        <f ca="1">IF(ROWS($1:69)&gt;COUNT(Dong5),"",OFFSET(TH!F$1,SMALL(Dong5,ROWS($1:69)),))</f>
        <v>VAT Thùng carton</v>
      </c>
      <c r="E83" s="318" t="str">
        <f ca="1">IF(ROWS($1:69)&gt;COUNT(Dong5),"",IF(OFFSET(TH!N$1,SMALL(Dong5,ROWS($1:69)),)=$E$7,OFFSET(TH!O$1,SMALL(Dong5,ROWS($1:69)),),OFFSET(TH!N$1,SMALL(Dong5,ROWS($1:69)),)))</f>
        <v>331</v>
      </c>
      <c r="F83" s="384">
        <f ca="1">IF(ROWS($1:69)&gt;COUNT(Dong5),0,IF(OFFSET(TH!N$1,SMALL(Dong5,ROWS($1:69)),)=$E$7,OFFSET(TH!M$1,SMALL(Dong5,ROWS($1:69)),),0))</f>
        <v>1800000</v>
      </c>
      <c r="G83" s="382">
        <f ca="1">IF(ROWS($1:69)&gt;COUNT(Dong5),0,IF(OFFSET(TH!O$1,SMALL(Dong5,ROWS($1:69)),)=$E$7,OFFSET(TH!M$1,SMALL(Dong5,ROWS($1:69)),),0))</f>
        <v>0</v>
      </c>
      <c r="H83" s="385">
        <f ca="1">IF(D83&lt;&gt;"",MAX(H82+F83-G83-I82,0),0)</f>
        <v>104085179</v>
      </c>
      <c r="I83" s="385">
        <f ca="1">IF(D83&lt;&gt;"",MAX(I82+G83-H82-F83,0),0)</f>
        <v>0</v>
      </c>
      <c r="J83" s="18">
        <f ca="1">MONTH(A83)</f>
        <v>12</v>
      </c>
    </row>
    <row r="84" spans="1:10" s="18" customFormat="1" ht="18" customHeight="1">
      <c r="A84" s="318">
        <f ca="1">IF(ROWS($1:70)&gt;COUNT(Dong5),"",OFFSET(TH!C$1,SMALL(Dong5,ROWS($1:70)),))</f>
        <v>42722</v>
      </c>
      <c r="B84" s="318" t="str">
        <f ca="1">IF(ROWS($1:70)&gt;COUNT(Dong5),"",OFFSET(TH!D$1,SMALL(Dong5,ROWS($1:70)),))</f>
        <v>VL/N28</v>
      </c>
      <c r="C84" s="318">
        <f ca="1">IF(ROWS($1:70)&gt;COUNT(Dong5),"",OFFSET(TH!E$1,SMALL(Dong5,ROWS($1:70)),))</f>
        <v>42722</v>
      </c>
      <c r="D84" s="383" t="str">
        <f ca="1">IF(ROWS($1:70)&gt;COUNT(Dong5),"",OFFSET(TH!F$1,SMALL(Dong5,ROWS($1:70)),))</f>
        <v>VAT Thùng carton</v>
      </c>
      <c r="E84" s="318" t="str">
        <f ca="1">IF(ROWS($1:70)&gt;COUNT(Dong5),"",IF(OFFSET(TH!N$1,SMALL(Dong5,ROWS($1:70)),)=$E$7,OFFSET(TH!O$1,SMALL(Dong5,ROWS($1:70)),),OFFSET(TH!N$1,SMALL(Dong5,ROWS($1:70)),)))</f>
        <v>331</v>
      </c>
      <c r="F84" s="384">
        <f ca="1">IF(ROWS($1:70)&gt;COUNT(Dong5),0,IF(OFFSET(TH!N$1,SMALL(Dong5,ROWS($1:70)),)=$E$7,OFFSET(TH!M$1,SMALL(Dong5,ROWS($1:70)),),0))</f>
        <v>1800000</v>
      </c>
      <c r="G84" s="382">
        <f ca="1">IF(ROWS($1:70)&gt;COUNT(Dong5),0,IF(OFFSET(TH!O$1,SMALL(Dong5,ROWS($1:70)),)=$E$7,OFFSET(TH!M$1,SMALL(Dong5,ROWS($1:70)),),0))</f>
        <v>0</v>
      </c>
      <c r="H84" s="385">
        <f ca="1">IF(D84&lt;&gt;"",MAX(H83+F84-G84-I83,0),0)</f>
        <v>105885179</v>
      </c>
      <c r="I84" s="385">
        <f ca="1">IF(D84&lt;&gt;"",MAX(I83+G84-H83-F84,0),0)</f>
        <v>0</v>
      </c>
      <c r="J84" s="18">
        <f ca="1">MONTH(A84)</f>
        <v>12</v>
      </c>
    </row>
    <row r="85" spans="1:10" s="18" customFormat="1" ht="18" customHeight="1">
      <c r="A85" s="318">
        <f ca="1">IF(ROWS($1:71)&gt;COUNT(Dong5),"",OFFSET(TH!C$1,SMALL(Dong5,ROWS($1:71)),))</f>
        <v>42720</v>
      </c>
      <c r="B85" s="318" t="str">
        <f ca="1">IF(ROWS($1:71)&gt;COUNT(Dong5),"",OFFSET(TH!D$1,SMALL(Dong5,ROWS($1:71)),))</f>
        <v>VL/N25</v>
      </c>
      <c r="C85" s="318">
        <f ca="1">IF(ROWS($1:71)&gt;COUNT(Dong5),"",OFFSET(TH!E$1,SMALL(Dong5,ROWS($1:71)),))</f>
        <v>42720</v>
      </c>
      <c r="D85" s="383" t="str">
        <f ca="1">IF(ROWS($1:71)&gt;COUNT(Dong5),"",OFFSET(TH!F$1,SMALL(Dong5,ROWS($1:71)),))</f>
        <v>VAT Thùng carton</v>
      </c>
      <c r="E85" s="318" t="str">
        <f ca="1">IF(ROWS($1:71)&gt;COUNT(Dong5),"",IF(OFFSET(TH!N$1,SMALL(Dong5,ROWS($1:71)),)=$E$7,OFFSET(TH!O$1,SMALL(Dong5,ROWS($1:71)),),OFFSET(TH!N$1,SMALL(Dong5,ROWS($1:71)),)))</f>
        <v>331</v>
      </c>
      <c r="F85" s="384">
        <f ca="1">IF(ROWS($1:71)&gt;COUNT(Dong5),0,IF(OFFSET(TH!N$1,SMALL(Dong5,ROWS($1:71)),)=$E$7,OFFSET(TH!M$1,SMALL(Dong5,ROWS($1:71)),),0))</f>
        <v>1800000</v>
      </c>
      <c r="G85" s="382">
        <f ca="1">IF(ROWS($1:71)&gt;COUNT(Dong5),0,IF(OFFSET(TH!O$1,SMALL(Dong5,ROWS($1:71)),)=$E$7,OFFSET(TH!M$1,SMALL(Dong5,ROWS($1:71)),),0))</f>
        <v>0</v>
      </c>
      <c r="H85" s="385">
        <f ca="1">IF(D85&lt;&gt;"",MAX(H84+F85-G85-I84,0),0)</f>
        <v>107685179</v>
      </c>
      <c r="I85" s="385">
        <f ca="1">IF(D85&lt;&gt;"",MAX(I84+G85-H84-F85,0),0)</f>
        <v>0</v>
      </c>
      <c r="J85" s="18">
        <f ca="1">MONTH(A85)</f>
        <v>12</v>
      </c>
    </row>
    <row r="86" spans="1:10" s="18" customFormat="1" ht="18" customHeight="1">
      <c r="A86" s="318">
        <f ca="1">IF(ROWS($1:72)&gt;COUNT(Dong5),"",OFFSET(TH!C$1,SMALL(Dong5,ROWS($1:72)),))</f>
        <v>42723</v>
      </c>
      <c r="B86" s="318" t="str">
        <f ca="1">IF(ROWS($1:72)&gt;COUNT(Dong5),"",OFFSET(TH!D$1,SMALL(Dong5,ROWS($1:72)),))</f>
        <v>VL/N29</v>
      </c>
      <c r="C86" s="318">
        <f ca="1">IF(ROWS($1:72)&gt;COUNT(Dong5),"",OFFSET(TH!E$1,SMALL(Dong5,ROWS($1:72)),))</f>
        <v>42723</v>
      </c>
      <c r="D86" s="383" t="str">
        <f ca="1">IF(ROWS($1:72)&gt;COUNT(Dong5),"",OFFSET(TH!F$1,SMALL(Dong5,ROWS($1:72)),))</f>
        <v>VAT Thùng carton</v>
      </c>
      <c r="E86" s="318" t="str">
        <f ca="1">IF(ROWS($1:72)&gt;COUNT(Dong5),"",IF(OFFSET(TH!N$1,SMALL(Dong5,ROWS($1:72)),)=$E$7,OFFSET(TH!O$1,SMALL(Dong5,ROWS($1:72)),),OFFSET(TH!N$1,SMALL(Dong5,ROWS($1:72)),)))</f>
        <v>331</v>
      </c>
      <c r="F86" s="384">
        <f ca="1">IF(ROWS($1:72)&gt;COUNT(Dong5),0,IF(OFFSET(TH!N$1,SMALL(Dong5,ROWS($1:72)),)=$E$7,OFFSET(TH!M$1,SMALL(Dong5,ROWS($1:72)),),0))</f>
        <v>1800000</v>
      </c>
      <c r="G86" s="382">
        <f ca="1">IF(ROWS($1:72)&gt;COUNT(Dong5),0,IF(OFFSET(TH!O$1,SMALL(Dong5,ROWS($1:72)),)=$E$7,OFFSET(TH!M$1,SMALL(Dong5,ROWS($1:72)),),0))</f>
        <v>0</v>
      </c>
      <c r="H86" s="385">
        <f ca="1">IF(D86&lt;&gt;"",MAX(H85+F86-G86-I85,0),0)</f>
        <v>109485179</v>
      </c>
      <c r="I86" s="385">
        <f ca="1">IF(D86&lt;&gt;"",MAX(I85+G86-H85-F86,0),0)</f>
        <v>0</v>
      </c>
      <c r="J86" s="18">
        <f ca="1">MONTH(A86)</f>
        <v>12</v>
      </c>
    </row>
    <row r="87" spans="1:10" s="18" customFormat="1" ht="18" customHeight="1">
      <c r="A87" s="318">
        <f ca="1">IF(ROWS($1:73)&gt;COUNT(Dong5),"",OFFSET(TH!C$1,SMALL(Dong5,ROWS($1:73)),))</f>
        <v>42677</v>
      </c>
      <c r="B87" s="318" t="str">
        <f ca="1">IF(ROWS($1:73)&gt;COUNT(Dong5),"",OFFSET(TH!D$1,SMALL(Dong5,ROWS($1:73)),))</f>
        <v>CTGS</v>
      </c>
      <c r="C87" s="318">
        <f ca="1">IF(ROWS($1:73)&gt;COUNT(Dong5),"",OFFSET(TH!E$1,SMALL(Dong5,ROWS($1:73)),))</f>
        <v>42677</v>
      </c>
      <c r="D87" s="383" t="str">
        <f ca="1">IF(ROWS($1:73)&gt;COUNT(Dong5),"",OFFSET(TH!F$1,SMALL(Dong5,ROWS($1:73)),))</f>
        <v>VAT Phí gia công</v>
      </c>
      <c r="E87" s="318" t="str">
        <f ca="1">IF(ROWS($1:73)&gt;COUNT(Dong5),"",IF(OFFSET(TH!N$1,SMALL(Dong5,ROWS($1:73)),)=$E$7,OFFSET(TH!O$1,SMALL(Dong5,ROWS($1:73)),),OFFSET(TH!N$1,SMALL(Dong5,ROWS($1:73)),)))</f>
        <v>331</v>
      </c>
      <c r="F87" s="384">
        <f ca="1">IF(ROWS($1:73)&gt;COUNT(Dong5),0,IF(OFFSET(TH!N$1,SMALL(Dong5,ROWS($1:73)),)=$E$7,OFFSET(TH!M$1,SMALL(Dong5,ROWS($1:73)),),0))</f>
        <v>52000000</v>
      </c>
      <c r="G87" s="382">
        <f ca="1">IF(ROWS($1:73)&gt;COUNT(Dong5),0,IF(OFFSET(TH!O$1,SMALL(Dong5,ROWS($1:73)),)=$E$7,OFFSET(TH!M$1,SMALL(Dong5,ROWS($1:73)),),0))</f>
        <v>0</v>
      </c>
      <c r="H87" s="385">
        <f ca="1">IF(D87&lt;&gt;"",MAX(H86+F87-G87-I86,0),0)</f>
        <v>161485179</v>
      </c>
      <c r="I87" s="385">
        <f ca="1">IF(D87&lt;&gt;"",MAX(I86+G87-H86-F87,0),0)</f>
        <v>0</v>
      </c>
      <c r="J87" s="18">
        <f ca="1">MONTH(A87)</f>
        <v>11</v>
      </c>
    </row>
    <row r="88" spans="1:10" s="18" customFormat="1" ht="18" customHeight="1">
      <c r="A88" s="318">
        <f ca="1">IF(ROWS($1:74)&gt;COUNT(Dong5),"",OFFSET(TH!C$1,SMALL(Dong5,ROWS($1:74)),))</f>
        <v>42681</v>
      </c>
      <c r="B88" s="318" t="str">
        <f ca="1">IF(ROWS($1:74)&gt;COUNT(Dong5),"",OFFSET(TH!D$1,SMALL(Dong5,ROWS($1:74)),))</f>
        <v>CTGS</v>
      </c>
      <c r="C88" s="318">
        <f ca="1">IF(ROWS($1:74)&gt;COUNT(Dong5),"",OFFSET(TH!E$1,SMALL(Dong5,ROWS($1:74)),))</f>
        <v>42681</v>
      </c>
      <c r="D88" s="383" t="str">
        <f ca="1">IF(ROWS($1:74)&gt;COUNT(Dong5),"",OFFSET(TH!F$1,SMALL(Dong5,ROWS($1:74)),))</f>
        <v>VAT Phí gia công</v>
      </c>
      <c r="E88" s="318" t="str">
        <f ca="1">IF(ROWS($1:74)&gt;COUNT(Dong5),"",IF(OFFSET(TH!N$1,SMALL(Dong5,ROWS($1:74)),)=$E$7,OFFSET(TH!O$1,SMALL(Dong5,ROWS($1:74)),),OFFSET(TH!N$1,SMALL(Dong5,ROWS($1:74)),)))</f>
        <v>331</v>
      </c>
      <c r="F88" s="384">
        <f ca="1">IF(ROWS($1:74)&gt;COUNT(Dong5),0,IF(OFFSET(TH!N$1,SMALL(Dong5,ROWS($1:74)),)=$E$7,OFFSET(TH!M$1,SMALL(Dong5,ROWS($1:74)),),0))</f>
        <v>26000000</v>
      </c>
      <c r="G88" s="382">
        <f ca="1">IF(ROWS($1:74)&gt;COUNT(Dong5),0,IF(OFFSET(TH!O$1,SMALL(Dong5,ROWS($1:74)),)=$E$7,OFFSET(TH!M$1,SMALL(Dong5,ROWS($1:74)),),0))</f>
        <v>0</v>
      </c>
      <c r="H88" s="385">
        <f ca="1">IF(D88&lt;&gt;"",MAX(H87+F88-G88-I87,0),0)</f>
        <v>187485179</v>
      </c>
      <c r="I88" s="385">
        <f ca="1">IF(D88&lt;&gt;"",MAX(I87+G88-H87-F88,0),0)</f>
        <v>0</v>
      </c>
      <c r="J88" s="18">
        <f ca="1">MONTH(A88)</f>
        <v>11</v>
      </c>
    </row>
    <row r="89" spans="1:10" s="18" customFormat="1" ht="18" customHeight="1">
      <c r="A89" s="318">
        <f ca="1">IF(ROWS($1:75)&gt;COUNT(Dong5),"",OFFSET(TH!C$1,SMALL(Dong5,ROWS($1:75)),))</f>
        <v>42400</v>
      </c>
      <c r="B89" s="318" t="str">
        <f ca="1">IF(ROWS($1:75)&gt;COUNT(Dong5),"",OFFSET(TH!D$1,SMALL(Dong5,ROWS($1:75)),))</f>
        <v>CTGS</v>
      </c>
      <c r="C89" s="318">
        <f ca="1">IF(ROWS($1:75)&gt;COUNT(Dong5),"",OFFSET(TH!E$1,SMALL(Dong5,ROWS($1:75)),))</f>
        <v>42370</v>
      </c>
      <c r="D89" s="383" t="str">
        <f ca="1">IF(ROWS($1:75)&gt;COUNT(Dong5),"",OFFSET(TH!F$1,SMALL(Dong5,ROWS($1:75)),))</f>
        <v>VAT Phí xếp dỡ, niêm chì, khai hải quan, chứng từ, điện giao hàng</v>
      </c>
      <c r="E89" s="318" t="str">
        <f ca="1">IF(ROWS($1:75)&gt;COUNT(Dong5),"",IF(OFFSET(TH!N$1,SMALL(Dong5,ROWS($1:75)),)=$E$7,OFFSET(TH!O$1,SMALL(Dong5,ROWS($1:75)),),OFFSET(TH!N$1,SMALL(Dong5,ROWS($1:75)),)))</f>
        <v>331</v>
      </c>
      <c r="F89" s="384">
        <f ca="1">IF(ROWS($1:75)&gt;COUNT(Dong5),0,IF(OFFSET(TH!N$1,SMALL(Dong5,ROWS($1:75)),)=$E$7,OFFSET(TH!M$1,SMALL(Dong5,ROWS($1:75)),),0))</f>
        <v>682356</v>
      </c>
      <c r="G89" s="382">
        <f ca="1">IF(ROWS($1:75)&gt;COUNT(Dong5),0,IF(OFFSET(TH!O$1,SMALL(Dong5,ROWS($1:75)),)=$E$7,OFFSET(TH!M$1,SMALL(Dong5,ROWS($1:75)),),0))</f>
        <v>0</v>
      </c>
      <c r="H89" s="385">
        <f ca="1">IF(D89&lt;&gt;"",MAX(H88+F89-G89-I88,0),0)</f>
        <v>188167535</v>
      </c>
      <c r="I89" s="385">
        <f ca="1">IF(D89&lt;&gt;"",MAX(I88+G89-H88-F89,0),0)</f>
        <v>0</v>
      </c>
      <c r="J89" s="18">
        <f ca="1">MONTH(A89)</f>
        <v>1</v>
      </c>
    </row>
    <row r="90" spans="1:10" s="18" customFormat="1" ht="18" customHeight="1">
      <c r="A90" s="318">
        <f ca="1">IF(ROWS($1:76)&gt;COUNT(Dong5),"",OFFSET(TH!C$1,SMALL(Dong5,ROWS($1:76)),))</f>
        <v>42400</v>
      </c>
      <c r="B90" s="318" t="str">
        <f ca="1">IF(ROWS($1:76)&gt;COUNT(Dong5),"",OFFSET(TH!D$1,SMALL(Dong5,ROWS($1:76)),))</f>
        <v>CTGS</v>
      </c>
      <c r="C90" s="318">
        <f ca="1">IF(ROWS($1:76)&gt;COUNT(Dong5),"",OFFSET(TH!E$1,SMALL(Dong5,ROWS($1:76)),))</f>
        <v>42380</v>
      </c>
      <c r="D90" s="383" t="str">
        <f ca="1">IF(ROWS($1:76)&gt;COUNT(Dong5),"",OFFSET(TH!F$1,SMALL(Dong5,ROWS($1:76)),))</f>
        <v>VAT Phí xử lý cá khô</v>
      </c>
      <c r="E90" s="318" t="str">
        <f ca="1">IF(ROWS($1:76)&gt;COUNT(Dong5),"",IF(OFFSET(TH!N$1,SMALL(Dong5,ROWS($1:76)),)=$E$7,OFFSET(TH!O$1,SMALL(Dong5,ROWS($1:76)),),OFFSET(TH!N$1,SMALL(Dong5,ROWS($1:76)),)))</f>
        <v>331</v>
      </c>
      <c r="F90" s="384">
        <f ca="1">IF(ROWS($1:76)&gt;COUNT(Dong5),0,IF(OFFSET(TH!N$1,SMALL(Dong5,ROWS($1:76)),)=$E$7,OFFSET(TH!M$1,SMALL(Dong5,ROWS($1:76)),),0))</f>
        <v>200000</v>
      </c>
      <c r="G90" s="382">
        <f ca="1">IF(ROWS($1:76)&gt;COUNT(Dong5),0,IF(OFFSET(TH!O$1,SMALL(Dong5,ROWS($1:76)),)=$E$7,OFFSET(TH!M$1,SMALL(Dong5,ROWS($1:76)),),0))</f>
        <v>0</v>
      </c>
      <c r="H90" s="385">
        <f ca="1">IF(D90&lt;&gt;"",MAX(H89+F90-G90-I89,0),0)</f>
        <v>188367535</v>
      </c>
      <c r="I90" s="385">
        <f ca="1">IF(D90&lt;&gt;"",MAX(I89+G90-H89-F90,0),0)</f>
        <v>0</v>
      </c>
      <c r="J90" s="18">
        <f ca="1">MONTH(A90)</f>
        <v>1</v>
      </c>
    </row>
    <row r="91" spans="1:10" s="18" customFormat="1" ht="18" customHeight="1">
      <c r="A91" s="318">
        <f ca="1">IF(ROWS($1:77)&gt;COUNT(Dong5),"",OFFSET(TH!C$1,SMALL(Dong5,ROWS($1:77)),))</f>
        <v>42400</v>
      </c>
      <c r="B91" s="318" t="str">
        <f ca="1">IF(ROWS($1:77)&gt;COUNT(Dong5),"",OFFSET(TH!D$1,SMALL(Dong5,ROWS($1:77)),))</f>
        <v>CTGS</v>
      </c>
      <c r="C91" s="318">
        <f ca="1">IF(ROWS($1:77)&gt;COUNT(Dong5),"",OFFSET(TH!E$1,SMALL(Dong5,ROWS($1:77)),))</f>
        <v>42381</v>
      </c>
      <c r="D91" s="383" t="str">
        <f ca="1">IF(ROWS($1:77)&gt;COUNT(Dong5),"",OFFSET(TH!F$1,SMALL(Dong5,ROWS($1:77)),))</f>
        <v>VAT Phí xử lý cá khô</v>
      </c>
      <c r="E91" s="318" t="str">
        <f ca="1">IF(ROWS($1:77)&gt;COUNT(Dong5),"",IF(OFFSET(TH!N$1,SMALL(Dong5,ROWS($1:77)),)=$E$7,OFFSET(TH!O$1,SMALL(Dong5,ROWS($1:77)),),OFFSET(TH!N$1,SMALL(Dong5,ROWS($1:77)),)))</f>
        <v>331</v>
      </c>
      <c r="F91" s="384">
        <f ca="1">IF(ROWS($1:77)&gt;COUNT(Dong5),0,IF(OFFSET(TH!N$1,SMALL(Dong5,ROWS($1:77)),)=$E$7,OFFSET(TH!M$1,SMALL(Dong5,ROWS($1:77)),),0))</f>
        <v>200000</v>
      </c>
      <c r="G91" s="382">
        <f ca="1">IF(ROWS($1:77)&gt;COUNT(Dong5),0,IF(OFFSET(TH!O$1,SMALL(Dong5,ROWS($1:77)),)=$E$7,OFFSET(TH!M$1,SMALL(Dong5,ROWS($1:77)),),0))</f>
        <v>0</v>
      </c>
      <c r="H91" s="385">
        <f ca="1">IF(D91&lt;&gt;"",MAX(H90+F91-G91-I90,0),0)</f>
        <v>188567535</v>
      </c>
      <c r="I91" s="385">
        <f ca="1">IF(D91&lt;&gt;"",MAX(I90+G91-H90-F91,0),0)</f>
        <v>0</v>
      </c>
      <c r="J91" s="18">
        <f ca="1">MONTH(A91)</f>
        <v>1</v>
      </c>
    </row>
    <row r="92" spans="1:10" s="18" customFormat="1" ht="18" customHeight="1">
      <c r="A92" s="318">
        <f ca="1">IF(ROWS($1:78)&gt;COUNT(Dong5),"",OFFSET(TH!C$1,SMALL(Dong5,ROWS($1:78)),))</f>
        <v>42400</v>
      </c>
      <c r="B92" s="318" t="str">
        <f ca="1">IF(ROWS($1:78)&gt;COUNT(Dong5),"",OFFSET(TH!D$1,SMALL(Dong5,ROWS($1:78)),))</f>
        <v>CTGS</v>
      </c>
      <c r="C92" s="318">
        <f ca="1">IF(ROWS($1:78)&gt;COUNT(Dong5),"",OFFSET(TH!E$1,SMALL(Dong5,ROWS($1:78)),))</f>
        <v>42394</v>
      </c>
      <c r="D92" s="383" t="str">
        <f ca="1">IF(ROWS($1:78)&gt;COUNT(Dong5),"",OFFSET(TH!F$1,SMALL(Dong5,ROWS($1:78)),))</f>
        <v>VAT Phí xử lý cá khô</v>
      </c>
      <c r="E92" s="318" t="str">
        <f ca="1">IF(ROWS($1:78)&gt;COUNT(Dong5),"",IF(OFFSET(TH!N$1,SMALL(Dong5,ROWS($1:78)),)=$E$7,OFFSET(TH!O$1,SMALL(Dong5,ROWS($1:78)),),OFFSET(TH!N$1,SMALL(Dong5,ROWS($1:78)),)))</f>
        <v>331</v>
      </c>
      <c r="F92" s="384">
        <f ca="1">IF(ROWS($1:78)&gt;COUNT(Dong5),0,IF(OFFSET(TH!N$1,SMALL(Dong5,ROWS($1:78)),)=$E$7,OFFSET(TH!M$1,SMALL(Dong5,ROWS($1:78)),),0))</f>
        <v>181818</v>
      </c>
      <c r="G92" s="382">
        <f ca="1">IF(ROWS($1:78)&gt;COUNT(Dong5),0,IF(OFFSET(TH!O$1,SMALL(Dong5,ROWS($1:78)),)=$E$7,OFFSET(TH!M$1,SMALL(Dong5,ROWS($1:78)),),0))</f>
        <v>0</v>
      </c>
      <c r="H92" s="385">
        <f ca="1">IF(D92&lt;&gt;"",MAX(H91+F92-G92-I91,0),0)</f>
        <v>188749353</v>
      </c>
      <c r="I92" s="385">
        <f ca="1">IF(D92&lt;&gt;"",MAX(I91+G92-H91-F92,0),0)</f>
        <v>0</v>
      </c>
      <c r="J92" s="18">
        <f ca="1">MONTH(A92)</f>
        <v>1</v>
      </c>
    </row>
    <row r="93" spans="1:10" s="18" customFormat="1" ht="18" customHeight="1">
      <c r="A93" s="318">
        <f ca="1">IF(ROWS($1:79)&gt;COUNT(Dong5),"",OFFSET(TH!C$1,SMALL(Dong5,ROWS($1:79)),))</f>
        <v>42400</v>
      </c>
      <c r="B93" s="318" t="str">
        <f ca="1">IF(ROWS($1:79)&gt;COUNT(Dong5),"",OFFSET(TH!D$1,SMALL(Dong5,ROWS($1:79)),))</f>
        <v>CTGS</v>
      </c>
      <c r="C93" s="318">
        <f ca="1">IF(ROWS($1:79)&gt;COUNT(Dong5),"",OFFSET(TH!E$1,SMALL(Dong5,ROWS($1:79)),))</f>
        <v>42398</v>
      </c>
      <c r="D93" s="383" t="str">
        <f ca="1">IF(ROWS($1:79)&gt;COUNT(Dong5),"",OFFSET(TH!F$1,SMALL(Dong5,ROWS($1:79)),))</f>
        <v>VAT Phí xếp dỡ, niêm chì, chứng từ, điện giao hàng</v>
      </c>
      <c r="E93" s="318" t="str">
        <f ca="1">IF(ROWS($1:79)&gt;COUNT(Dong5),"",IF(OFFSET(TH!N$1,SMALL(Dong5,ROWS($1:79)),)=$E$7,OFFSET(TH!O$1,SMALL(Dong5,ROWS($1:79)),),OFFSET(TH!N$1,SMALL(Dong5,ROWS($1:79)),)))</f>
        <v>331</v>
      </c>
      <c r="F93" s="384">
        <f ca="1">IF(ROWS($1:79)&gt;COUNT(Dong5),0,IF(OFFSET(TH!N$1,SMALL(Dong5,ROWS($1:79)),)=$E$7,OFFSET(TH!M$1,SMALL(Dong5,ROWS($1:79)),),0))</f>
        <v>507756</v>
      </c>
      <c r="G93" s="382">
        <f ca="1">IF(ROWS($1:79)&gt;COUNT(Dong5),0,IF(OFFSET(TH!O$1,SMALL(Dong5,ROWS($1:79)),)=$E$7,OFFSET(TH!M$1,SMALL(Dong5,ROWS($1:79)),),0))</f>
        <v>0</v>
      </c>
      <c r="H93" s="385">
        <f ca="1">IF(D93&lt;&gt;"",MAX(H92+F93-G93-I92,0),0)</f>
        <v>189257109</v>
      </c>
      <c r="I93" s="385">
        <f ca="1">IF(D93&lt;&gt;"",MAX(I92+G93-H92-F93,0),0)</f>
        <v>0</v>
      </c>
      <c r="J93" s="18">
        <f ca="1">MONTH(A93)</f>
        <v>1</v>
      </c>
    </row>
    <row r="94" spans="1:10" s="18" customFormat="1" ht="18" customHeight="1">
      <c r="A94" s="318">
        <f ca="1">IF(ROWS($1:80)&gt;COUNT(Dong5),"",OFFSET(TH!C$1,SMALL(Dong5,ROWS($1:80)),))</f>
        <v>42400</v>
      </c>
      <c r="B94" s="318" t="str">
        <f ca="1">IF(ROWS($1:80)&gt;COUNT(Dong5),"",OFFSET(TH!D$1,SMALL(Dong5,ROWS($1:80)),))</f>
        <v>CTGS</v>
      </c>
      <c r="C94" s="318">
        <f ca="1">IF(ROWS($1:80)&gt;COUNT(Dong5),"",OFFSET(TH!E$1,SMALL(Dong5,ROWS($1:80)),))</f>
        <v>42398</v>
      </c>
      <c r="D94" s="383" t="str">
        <f ca="1">IF(ROWS($1:80)&gt;COUNT(Dong5),"",OFFSET(TH!F$1,SMALL(Dong5,ROWS($1:80)),))</f>
        <v>VAT Phí xếp dỡ, niêm chì, khai hải quan, chứng từ, điện giao hàng</v>
      </c>
      <c r="E94" s="318" t="str">
        <f ca="1">IF(ROWS($1:80)&gt;COUNT(Dong5),"",IF(OFFSET(TH!N$1,SMALL(Dong5,ROWS($1:80)),)=$E$7,OFFSET(TH!O$1,SMALL(Dong5,ROWS($1:80)),),OFFSET(TH!N$1,SMALL(Dong5,ROWS($1:80)),)))</f>
        <v>331</v>
      </c>
      <c r="F94" s="384">
        <f ca="1">IF(ROWS($1:80)&gt;COUNT(Dong5),0,IF(OFFSET(TH!N$1,SMALL(Dong5,ROWS($1:80)),)=$E$7,OFFSET(TH!M$1,SMALL(Dong5,ROWS($1:80)),),0))</f>
        <v>641376</v>
      </c>
      <c r="G94" s="382">
        <f ca="1">IF(ROWS($1:80)&gt;COUNT(Dong5),0,IF(OFFSET(TH!O$1,SMALL(Dong5,ROWS($1:80)),)=$E$7,OFFSET(TH!M$1,SMALL(Dong5,ROWS($1:80)),),0))</f>
        <v>0</v>
      </c>
      <c r="H94" s="385">
        <f ca="1">IF(D94&lt;&gt;"",MAX(H93+F94-G94-I93,0),0)</f>
        <v>189898485</v>
      </c>
      <c r="I94" s="385">
        <f ca="1">IF(D94&lt;&gt;"",MAX(I93+G94-H93-F94,0),0)</f>
        <v>0</v>
      </c>
      <c r="J94" s="18">
        <f ca="1">MONTH(A94)</f>
        <v>1</v>
      </c>
    </row>
    <row r="95" spans="1:10" s="18" customFormat="1" ht="18" customHeight="1">
      <c r="A95" s="318">
        <f ca="1">IF(ROWS($1:81)&gt;COUNT(Dong5),"",OFFSET(TH!C$1,SMALL(Dong5,ROWS($1:81)),))</f>
        <v>42400</v>
      </c>
      <c r="B95" s="318" t="str">
        <f ca="1">IF(ROWS($1:81)&gt;COUNT(Dong5),"",OFFSET(TH!D$1,SMALL(Dong5,ROWS($1:81)),))</f>
        <v>CTGS</v>
      </c>
      <c r="C95" s="318">
        <f ca="1">IF(ROWS($1:81)&gt;COUNT(Dong5),"",OFFSET(TH!E$1,SMALL(Dong5,ROWS($1:81)),))</f>
        <v>42400</v>
      </c>
      <c r="D95" s="383" t="str">
        <f ca="1">IF(ROWS($1:81)&gt;COUNT(Dong5),"",OFFSET(TH!F$1,SMALL(Dong5,ROWS($1:81)),))</f>
        <v>VAT Phí xử lý cá khô</v>
      </c>
      <c r="E95" s="318" t="str">
        <f ca="1">IF(ROWS($1:81)&gt;COUNT(Dong5),"",IF(OFFSET(TH!N$1,SMALL(Dong5,ROWS($1:81)),)=$E$7,OFFSET(TH!O$1,SMALL(Dong5,ROWS($1:81)),),OFFSET(TH!N$1,SMALL(Dong5,ROWS($1:81)),)))</f>
        <v>331</v>
      </c>
      <c r="F95" s="384">
        <f ca="1">IF(ROWS($1:81)&gt;COUNT(Dong5),0,IF(OFFSET(TH!N$1,SMALL(Dong5,ROWS($1:81)),)=$E$7,OFFSET(TH!M$1,SMALL(Dong5,ROWS($1:81)),),0))</f>
        <v>200000</v>
      </c>
      <c r="G95" s="382">
        <f ca="1">IF(ROWS($1:81)&gt;COUNT(Dong5),0,IF(OFFSET(TH!O$1,SMALL(Dong5,ROWS($1:81)),)=$E$7,OFFSET(TH!M$1,SMALL(Dong5,ROWS($1:81)),),0))</f>
        <v>0</v>
      </c>
      <c r="H95" s="385">
        <f ca="1">IF(D95&lt;&gt;"",MAX(H94+F95-G95-I94,0),0)</f>
        <v>190098485</v>
      </c>
      <c r="I95" s="385">
        <f ca="1">IF(D95&lt;&gt;"",MAX(I94+G95-H94-F95,0),0)</f>
        <v>0</v>
      </c>
      <c r="J95" s="18">
        <f ca="1">MONTH(A95)</f>
        <v>1</v>
      </c>
    </row>
    <row r="96" spans="1:10" s="18" customFormat="1" ht="18" customHeight="1">
      <c r="A96" s="318">
        <f ca="1">IF(ROWS($1:82)&gt;COUNT(Dong5),"",OFFSET(TH!C$1,SMALL(Dong5,ROWS($1:82)),))</f>
        <v>42400</v>
      </c>
      <c r="B96" s="318" t="str">
        <f ca="1">IF(ROWS($1:82)&gt;COUNT(Dong5),"",OFFSET(TH!D$1,SMALL(Dong5,ROWS($1:82)),))</f>
        <v>CTGS</v>
      </c>
      <c r="C96" s="318">
        <f ca="1">IF(ROWS($1:82)&gt;COUNT(Dong5),"",OFFSET(TH!E$1,SMALL(Dong5,ROWS($1:82)),))</f>
        <v>42375</v>
      </c>
      <c r="D96" s="383" t="str">
        <f ca="1">IF(ROWS($1:82)&gt;COUNT(Dong5),"",OFFSET(TH!F$1,SMALL(Dong5,ROWS($1:82)),))</f>
        <v>VAT Tiền điện kỳ 1 T1/2016</v>
      </c>
      <c r="E96" s="318" t="str">
        <f ca="1">IF(ROWS($1:82)&gt;COUNT(Dong5),"",IF(OFFSET(TH!N$1,SMALL(Dong5,ROWS($1:82)),)=$E$7,OFFSET(TH!O$1,SMALL(Dong5,ROWS($1:82)),),OFFSET(TH!N$1,SMALL(Dong5,ROWS($1:82)),)))</f>
        <v>331</v>
      </c>
      <c r="F96" s="384">
        <f ca="1">IF(ROWS($1:82)&gt;COUNT(Dong5),0,IF(OFFSET(TH!N$1,SMALL(Dong5,ROWS($1:82)),)=$E$7,OFFSET(TH!M$1,SMALL(Dong5,ROWS($1:82)),),0))</f>
        <v>2465300</v>
      </c>
      <c r="G96" s="382">
        <f ca="1">IF(ROWS($1:82)&gt;COUNT(Dong5),0,IF(OFFSET(TH!O$1,SMALL(Dong5,ROWS($1:82)),)=$E$7,OFFSET(TH!M$1,SMALL(Dong5,ROWS($1:82)),),0))</f>
        <v>0</v>
      </c>
      <c r="H96" s="385">
        <f ca="1">IF(D96&lt;&gt;"",MAX(H95+F96-G96-I95,0),0)</f>
        <v>192563785</v>
      </c>
      <c r="I96" s="385">
        <f ca="1">IF(D96&lt;&gt;"",MAX(I95+G96-H95-F96,0),0)</f>
        <v>0</v>
      </c>
      <c r="J96" s="18">
        <f ca="1">MONTH(A96)</f>
        <v>1</v>
      </c>
    </row>
    <row r="97" spans="1:10" s="18" customFormat="1" ht="18" customHeight="1">
      <c r="A97" s="318">
        <f ca="1">IF(ROWS($1:83)&gt;COUNT(Dong5),"",OFFSET(TH!C$1,SMALL(Dong5,ROWS($1:83)),))</f>
        <v>42400</v>
      </c>
      <c r="B97" s="318" t="str">
        <f ca="1">IF(ROWS($1:83)&gt;COUNT(Dong5),"",OFFSET(TH!D$1,SMALL(Dong5,ROWS($1:83)),))</f>
        <v>CTGS</v>
      </c>
      <c r="C97" s="318">
        <f ca="1">IF(ROWS($1:83)&gt;COUNT(Dong5),"",OFFSET(TH!E$1,SMALL(Dong5,ROWS($1:83)),))</f>
        <v>42385</v>
      </c>
      <c r="D97" s="383" t="str">
        <f ca="1">IF(ROWS($1:83)&gt;COUNT(Dong5),"",OFFSET(TH!F$1,SMALL(Dong5,ROWS($1:83)),))</f>
        <v>VAT Tiền điện kỳ 2 T1/2016</v>
      </c>
      <c r="E97" s="318" t="str">
        <f ca="1">IF(ROWS($1:83)&gt;COUNT(Dong5),"",IF(OFFSET(TH!N$1,SMALL(Dong5,ROWS($1:83)),)=$E$7,OFFSET(TH!O$1,SMALL(Dong5,ROWS($1:83)),),OFFSET(TH!N$1,SMALL(Dong5,ROWS($1:83)),)))</f>
        <v>331</v>
      </c>
      <c r="F97" s="384">
        <f ca="1">IF(ROWS($1:83)&gt;COUNT(Dong5),0,IF(OFFSET(TH!N$1,SMALL(Dong5,ROWS($1:83)),)=$E$7,OFFSET(TH!M$1,SMALL(Dong5,ROWS($1:83)),),0))</f>
        <v>2932740</v>
      </c>
      <c r="G97" s="382">
        <f ca="1">IF(ROWS($1:83)&gt;COUNT(Dong5),0,IF(OFFSET(TH!O$1,SMALL(Dong5,ROWS($1:83)),)=$E$7,OFFSET(TH!M$1,SMALL(Dong5,ROWS($1:83)),),0))</f>
        <v>0</v>
      </c>
      <c r="H97" s="385">
        <f ca="1">IF(D97&lt;&gt;"",MAX(H96+F97-G97-I96,0),0)</f>
        <v>195496525</v>
      </c>
      <c r="I97" s="385">
        <f ca="1">IF(D97&lt;&gt;"",MAX(I96+G97-H96-F97,0),0)</f>
        <v>0</v>
      </c>
      <c r="J97" s="18">
        <f ca="1">MONTH(A97)</f>
        <v>1</v>
      </c>
    </row>
    <row r="98" spans="1:10" s="18" customFormat="1" ht="18" customHeight="1">
      <c r="A98" s="318">
        <f ca="1">IF(ROWS($1:84)&gt;COUNT(Dong5),"",OFFSET(TH!C$1,SMALL(Dong5,ROWS($1:84)),))</f>
        <v>42429</v>
      </c>
      <c r="B98" s="318" t="str">
        <f ca="1">IF(ROWS($1:84)&gt;COUNT(Dong5),"",OFFSET(TH!D$1,SMALL(Dong5,ROWS($1:84)),))</f>
        <v>CTGS</v>
      </c>
      <c r="C98" s="318">
        <f ca="1">IF(ROWS($1:84)&gt;COUNT(Dong5),"",OFFSET(TH!E$1,SMALL(Dong5,ROWS($1:84)),))</f>
        <v>42429</v>
      </c>
      <c r="D98" s="383" t="str">
        <f ca="1">IF(ROWS($1:84)&gt;COUNT(Dong5),"",OFFSET(TH!F$1,SMALL(Dong5,ROWS($1:84)),))</f>
        <v>VAT Phí xử lý cá khô</v>
      </c>
      <c r="E98" s="318" t="str">
        <f ca="1">IF(ROWS($1:84)&gt;COUNT(Dong5),"",IF(OFFSET(TH!N$1,SMALL(Dong5,ROWS($1:84)),)=$E$7,OFFSET(TH!O$1,SMALL(Dong5,ROWS($1:84)),),OFFSET(TH!N$1,SMALL(Dong5,ROWS($1:84)),)))</f>
        <v>331</v>
      </c>
      <c r="F98" s="384">
        <f ca="1">IF(ROWS($1:84)&gt;COUNT(Dong5),0,IF(OFFSET(TH!N$1,SMALL(Dong5,ROWS($1:84)),)=$E$7,OFFSET(TH!M$1,SMALL(Dong5,ROWS($1:84)),),0))</f>
        <v>200000</v>
      </c>
      <c r="G98" s="382">
        <f ca="1">IF(ROWS($1:84)&gt;COUNT(Dong5),0,IF(OFFSET(TH!O$1,SMALL(Dong5,ROWS($1:84)),)=$E$7,OFFSET(TH!M$1,SMALL(Dong5,ROWS($1:84)),),0))</f>
        <v>0</v>
      </c>
      <c r="H98" s="385">
        <f ca="1">IF(D98&lt;&gt;"",MAX(H97+F98-G98-I97,0),0)</f>
        <v>195696525</v>
      </c>
      <c r="I98" s="385">
        <f ca="1">IF(D98&lt;&gt;"",MAX(I97+G98-H97-F98,0),0)</f>
        <v>0</v>
      </c>
      <c r="J98" s="18">
        <f ca="1">MONTH(A98)</f>
        <v>2</v>
      </c>
    </row>
    <row r="99" spans="1:10" s="18" customFormat="1" ht="18" customHeight="1">
      <c r="A99" s="318">
        <f ca="1">IF(ROWS($1:85)&gt;COUNT(Dong5),"",OFFSET(TH!C$1,SMALL(Dong5,ROWS($1:85)),))</f>
        <v>42400</v>
      </c>
      <c r="B99" s="318" t="str">
        <f ca="1">IF(ROWS($1:85)&gt;COUNT(Dong5),"",OFFSET(TH!D$1,SMALL(Dong5,ROWS($1:85)),))</f>
        <v>CTGS</v>
      </c>
      <c r="C99" s="318">
        <f ca="1">IF(ROWS($1:85)&gt;COUNT(Dong5),"",OFFSET(TH!E$1,SMALL(Dong5,ROWS($1:85)),))</f>
        <v>42395</v>
      </c>
      <c r="D99" s="383" t="str">
        <f ca="1">IF(ROWS($1:85)&gt;COUNT(Dong5),"",OFFSET(TH!F$1,SMALL(Dong5,ROWS($1:85)),))</f>
        <v>VAT Tiền điện kỳ 3 T1/2016</v>
      </c>
      <c r="E99" s="318" t="str">
        <f ca="1">IF(ROWS($1:85)&gt;COUNT(Dong5),"",IF(OFFSET(TH!N$1,SMALL(Dong5,ROWS($1:85)),)=$E$7,OFFSET(TH!O$1,SMALL(Dong5,ROWS($1:85)),),OFFSET(TH!N$1,SMALL(Dong5,ROWS($1:85)),)))</f>
        <v>331</v>
      </c>
      <c r="F99" s="384">
        <f ca="1">IF(ROWS($1:85)&gt;COUNT(Dong5),0,IF(OFFSET(TH!N$1,SMALL(Dong5,ROWS($1:85)),)=$E$7,OFFSET(TH!M$1,SMALL(Dong5,ROWS($1:85)),),0))</f>
        <v>2899150</v>
      </c>
      <c r="G99" s="382">
        <f ca="1">IF(ROWS($1:85)&gt;COUNT(Dong5),0,IF(OFFSET(TH!O$1,SMALL(Dong5,ROWS($1:85)),)=$E$7,OFFSET(TH!M$1,SMALL(Dong5,ROWS($1:85)),),0))</f>
        <v>0</v>
      </c>
      <c r="H99" s="385">
        <f ca="1">IF(D99&lt;&gt;"",MAX(H98+F99-G99-I98,0),0)</f>
        <v>198595675</v>
      </c>
      <c r="I99" s="385">
        <f ca="1">IF(D99&lt;&gt;"",MAX(I98+G99-H98-F99,0),0)</f>
        <v>0</v>
      </c>
      <c r="J99" s="18">
        <f ca="1">MONTH(A99)</f>
        <v>1</v>
      </c>
    </row>
    <row r="100" spans="1:10" s="18" customFormat="1" ht="18" customHeight="1">
      <c r="A100" s="318">
        <f ca="1">IF(ROWS($1:86)&gt;COUNT(Dong5),"",OFFSET(TH!C$1,SMALL(Dong5,ROWS($1:86)),))</f>
        <v>42429</v>
      </c>
      <c r="B100" s="318" t="str">
        <f ca="1">IF(ROWS($1:86)&gt;COUNT(Dong5),"",OFFSET(TH!D$1,SMALL(Dong5,ROWS($1:86)),))</f>
        <v>CTGS</v>
      </c>
      <c r="C100" s="318">
        <f ca="1">IF(ROWS($1:86)&gt;COUNT(Dong5),"",OFFSET(TH!E$1,SMALL(Dong5,ROWS($1:86)),))</f>
        <v>42384</v>
      </c>
      <c r="D100" s="383" t="str">
        <f ca="1">IF(ROWS($1:86)&gt;COUNT(Dong5),"",OFFSET(TH!F$1,SMALL(Dong5,ROWS($1:86)),))</f>
        <v>HĐTC XD - VAT lắp đặt hoàn chỉnh phần kết cấu thép</v>
      </c>
      <c r="E100" s="318" t="str">
        <f ca="1">IF(ROWS($1:86)&gt;COUNT(Dong5),"",IF(OFFSET(TH!N$1,SMALL(Dong5,ROWS($1:86)),)=$E$7,OFFSET(TH!O$1,SMALL(Dong5,ROWS($1:86)),),OFFSET(TH!N$1,SMALL(Dong5,ROWS($1:86)),)))</f>
        <v>331</v>
      </c>
      <c r="F100" s="384">
        <f ca="1">IF(ROWS($1:86)&gt;COUNT(Dong5),0,IF(OFFSET(TH!N$1,SMALL(Dong5,ROWS($1:86)),)=$E$7,OFFSET(TH!M$1,SMALL(Dong5,ROWS($1:86)),),0))</f>
        <v>12498182</v>
      </c>
      <c r="G100" s="382">
        <f ca="1">IF(ROWS($1:86)&gt;COUNT(Dong5),0,IF(OFFSET(TH!O$1,SMALL(Dong5,ROWS($1:86)),)=$E$7,OFFSET(TH!M$1,SMALL(Dong5,ROWS($1:86)),),0))</f>
        <v>0</v>
      </c>
      <c r="H100" s="385">
        <f ca="1">IF(D100&lt;&gt;"",MAX(H99+F100-G100-I99,0),0)</f>
        <v>211093857</v>
      </c>
      <c r="I100" s="385">
        <f ca="1">IF(D100&lt;&gt;"",MAX(I99+G100-H99-F100,0),0)</f>
        <v>0</v>
      </c>
      <c r="J100" s="18">
        <f ca="1">MONTH(A100)</f>
        <v>2</v>
      </c>
    </row>
    <row r="101" spans="1:10" s="18" customFormat="1" ht="18" customHeight="1">
      <c r="A101" s="318">
        <f ca="1">IF(ROWS($1:87)&gt;COUNT(Dong5),"",OFFSET(TH!C$1,SMALL(Dong5,ROWS($1:87)),))</f>
        <v>42429</v>
      </c>
      <c r="B101" s="318" t="str">
        <f ca="1">IF(ROWS($1:87)&gt;COUNT(Dong5),"",OFFSET(TH!D$1,SMALL(Dong5,ROWS($1:87)),))</f>
        <v>CTGS</v>
      </c>
      <c r="C101" s="318">
        <f ca="1">IF(ROWS($1:87)&gt;COUNT(Dong5),"",OFFSET(TH!E$1,SMALL(Dong5,ROWS($1:87)),))</f>
        <v>42406</v>
      </c>
      <c r="D101" s="383" t="str">
        <f ca="1">IF(ROWS($1:87)&gt;COUNT(Dong5),"",OFFSET(TH!F$1,SMALL(Dong5,ROWS($1:87)),))</f>
        <v>VAT Tiền điện kỳ 1 T2/2016</v>
      </c>
      <c r="E101" s="318" t="str">
        <f ca="1">IF(ROWS($1:87)&gt;COUNT(Dong5),"",IF(OFFSET(TH!N$1,SMALL(Dong5,ROWS($1:87)),)=$E$7,OFFSET(TH!O$1,SMALL(Dong5,ROWS($1:87)),),OFFSET(TH!N$1,SMALL(Dong5,ROWS($1:87)),)))</f>
        <v>331</v>
      </c>
      <c r="F101" s="384">
        <f ca="1">IF(ROWS($1:87)&gt;COUNT(Dong5),0,IF(OFFSET(TH!N$1,SMALL(Dong5,ROWS($1:87)),)=$E$7,OFFSET(TH!M$1,SMALL(Dong5,ROWS($1:87)),),0))</f>
        <v>2944200</v>
      </c>
      <c r="G101" s="382">
        <f ca="1">IF(ROWS($1:87)&gt;COUNT(Dong5),0,IF(OFFSET(TH!O$1,SMALL(Dong5,ROWS($1:87)),)=$E$7,OFFSET(TH!M$1,SMALL(Dong5,ROWS($1:87)),),0))</f>
        <v>0</v>
      </c>
      <c r="H101" s="385">
        <f ca="1">IF(D101&lt;&gt;"",MAX(H100+F101-G101-I100,0),0)</f>
        <v>214038057</v>
      </c>
      <c r="I101" s="385">
        <f ca="1">IF(D101&lt;&gt;"",MAX(I100+G101-H100-F101,0),0)</f>
        <v>0</v>
      </c>
      <c r="J101" s="18">
        <f ca="1">MONTH(A101)</f>
        <v>2</v>
      </c>
    </row>
    <row r="102" spans="1:10" s="18" customFormat="1" ht="18" customHeight="1">
      <c r="A102" s="318">
        <f ca="1">IF(ROWS($1:88)&gt;COUNT(Dong5),"",OFFSET(TH!C$1,SMALL(Dong5,ROWS($1:88)),))</f>
        <v>42429</v>
      </c>
      <c r="B102" s="318" t="str">
        <f ca="1">IF(ROWS($1:88)&gt;COUNT(Dong5),"",OFFSET(TH!D$1,SMALL(Dong5,ROWS($1:88)),))</f>
        <v>CTGS</v>
      </c>
      <c r="C102" s="318">
        <f ca="1">IF(ROWS($1:88)&gt;COUNT(Dong5),"",OFFSET(TH!E$1,SMALL(Dong5,ROWS($1:88)),))</f>
        <v>42426</v>
      </c>
      <c r="D102" s="383" t="str">
        <f ca="1">IF(ROWS($1:88)&gt;COUNT(Dong5),"",OFFSET(TH!F$1,SMALL(Dong5,ROWS($1:88)),))</f>
        <v>VAT Tiền điện kỳ 3 T2/2016</v>
      </c>
      <c r="E102" s="318" t="str">
        <f ca="1">IF(ROWS($1:88)&gt;COUNT(Dong5),"",IF(OFFSET(TH!N$1,SMALL(Dong5,ROWS($1:88)),)=$E$7,OFFSET(TH!O$1,SMALL(Dong5,ROWS($1:88)),),OFFSET(TH!N$1,SMALL(Dong5,ROWS($1:88)),)))</f>
        <v>331</v>
      </c>
      <c r="F102" s="384">
        <f ca="1">IF(ROWS($1:88)&gt;COUNT(Dong5),0,IF(OFFSET(TH!N$1,SMALL(Dong5,ROWS($1:88)),)=$E$7,OFFSET(TH!M$1,SMALL(Dong5,ROWS($1:88)),),0))</f>
        <v>2110280</v>
      </c>
      <c r="G102" s="382">
        <f ca="1">IF(ROWS($1:88)&gt;COUNT(Dong5),0,IF(OFFSET(TH!O$1,SMALL(Dong5,ROWS($1:88)),)=$E$7,OFFSET(TH!M$1,SMALL(Dong5,ROWS($1:88)),),0))</f>
        <v>0</v>
      </c>
      <c r="H102" s="385">
        <f ca="1">IF(D102&lt;&gt;"",MAX(H101+F102-G102-I101,0),0)</f>
        <v>216148337</v>
      </c>
      <c r="I102" s="385">
        <f ca="1">IF(D102&lt;&gt;"",MAX(I101+G102-H101-F102,0),0)</f>
        <v>0</v>
      </c>
      <c r="J102" s="18">
        <f ca="1">MONTH(A102)</f>
        <v>2</v>
      </c>
    </row>
    <row r="103" spans="1:10" s="18" customFormat="1" ht="18" customHeight="1">
      <c r="A103" s="318">
        <f ca="1">IF(ROWS($1:89)&gt;COUNT(Dong5),"",OFFSET(TH!C$1,SMALL(Dong5,ROWS($1:89)),))</f>
        <v>42429</v>
      </c>
      <c r="B103" s="318" t="str">
        <f ca="1">IF(ROWS($1:89)&gt;COUNT(Dong5),"",OFFSET(TH!D$1,SMALL(Dong5,ROWS($1:89)),))</f>
        <v>C27</v>
      </c>
      <c r="C103" s="318">
        <f ca="1">IF(ROWS($1:89)&gt;COUNT(Dong5),"",OFFSET(TH!E$1,SMALL(Dong5,ROWS($1:89)),))</f>
        <v>42416</v>
      </c>
      <c r="D103" s="383" t="str">
        <f ca="1">IF(ROWS($1:89)&gt;COUNT(Dong5),"",OFFSET(TH!F$1,SMALL(Dong5,ROWS($1:89)),))</f>
        <v>VAT Tiền điện kỳ 2 T2/2016</v>
      </c>
      <c r="E103" s="318" t="str">
        <f ca="1">IF(ROWS($1:89)&gt;COUNT(Dong5),"",IF(OFFSET(TH!N$1,SMALL(Dong5,ROWS($1:89)),)=$E$7,OFFSET(TH!O$1,SMALL(Dong5,ROWS($1:89)),),OFFSET(TH!N$1,SMALL(Dong5,ROWS($1:89)),)))</f>
        <v>1111</v>
      </c>
      <c r="F103" s="384">
        <f ca="1">IF(ROWS($1:89)&gt;COUNT(Dong5),0,IF(OFFSET(TH!N$1,SMALL(Dong5,ROWS($1:89)),)=$E$7,OFFSET(TH!M$1,SMALL(Dong5,ROWS($1:89)),),0))</f>
        <v>1603810</v>
      </c>
      <c r="G103" s="382">
        <f ca="1">IF(ROWS($1:89)&gt;COUNT(Dong5),0,IF(OFFSET(TH!O$1,SMALL(Dong5,ROWS($1:89)),)=$E$7,OFFSET(TH!M$1,SMALL(Dong5,ROWS($1:89)),),0))</f>
        <v>0</v>
      </c>
      <c r="H103" s="385">
        <f ca="1">IF(D103&lt;&gt;"",MAX(H102+F103-G103-I102,0),0)</f>
        <v>217752147</v>
      </c>
      <c r="I103" s="385">
        <f ca="1">IF(D103&lt;&gt;"",MAX(I102+G103-H102-F103,0),0)</f>
        <v>0</v>
      </c>
      <c r="J103" s="18">
        <f ca="1">MONTH(A103)</f>
        <v>2</v>
      </c>
    </row>
    <row r="104" spans="1:10" s="18" customFormat="1" ht="18" customHeight="1">
      <c r="A104" s="318">
        <f ca="1">IF(ROWS($1:90)&gt;COUNT(Dong5),"",OFFSET(TH!C$1,SMALL(Dong5,ROWS($1:90)),))</f>
        <v>42460</v>
      </c>
      <c r="B104" s="318" t="str">
        <f ca="1">IF(ROWS($1:90)&gt;COUNT(Dong5),"",OFFSET(TH!D$1,SMALL(Dong5,ROWS($1:90)),))</f>
        <v>CTGS</v>
      </c>
      <c r="C104" s="318">
        <f ca="1">IF(ROWS($1:90)&gt;COUNT(Dong5),"",OFFSET(TH!E$1,SMALL(Dong5,ROWS($1:90)),))</f>
        <v>42447</v>
      </c>
      <c r="D104" s="383" t="str">
        <f ca="1">IF(ROWS($1:90)&gt;COUNT(Dong5),"",OFFSET(TH!F$1,SMALL(Dong5,ROWS($1:90)),))</f>
        <v>VAT Máy điều hoà không khí</v>
      </c>
      <c r="E104" s="318" t="str">
        <f ca="1">IF(ROWS($1:90)&gt;COUNT(Dong5),"",IF(OFFSET(TH!N$1,SMALL(Dong5,ROWS($1:90)),)=$E$7,OFFSET(TH!O$1,SMALL(Dong5,ROWS($1:90)),),OFFSET(TH!N$1,SMALL(Dong5,ROWS($1:90)),)))</f>
        <v>331</v>
      </c>
      <c r="F104" s="384">
        <f ca="1">IF(ROWS($1:90)&gt;COUNT(Dong5),0,IF(OFFSET(TH!N$1,SMALL(Dong5,ROWS($1:90)),)=$E$7,OFFSET(TH!M$1,SMALL(Dong5,ROWS($1:90)),),0))</f>
        <v>3354545</v>
      </c>
      <c r="G104" s="382">
        <f ca="1">IF(ROWS($1:90)&gt;COUNT(Dong5),0,IF(OFFSET(TH!O$1,SMALL(Dong5,ROWS($1:90)),)=$E$7,OFFSET(TH!M$1,SMALL(Dong5,ROWS($1:90)),),0))</f>
        <v>0</v>
      </c>
      <c r="H104" s="385">
        <f ca="1">IF(D104&lt;&gt;"",MAX(H103+F104-G104-I103,0),0)</f>
        <v>221106692</v>
      </c>
      <c r="I104" s="385">
        <f ca="1">IF(D104&lt;&gt;"",MAX(I103+G104-H103-F104,0),0)</f>
        <v>0</v>
      </c>
      <c r="J104" s="18">
        <f ca="1">MONTH(A104)</f>
        <v>3</v>
      </c>
    </row>
    <row r="105" spans="1:10" s="18" customFormat="1" ht="18" customHeight="1">
      <c r="A105" s="318">
        <f ca="1">IF(ROWS($1:91)&gt;COUNT(Dong5),"",OFFSET(TH!C$1,SMALL(Dong5,ROWS($1:91)),))</f>
        <v>42460</v>
      </c>
      <c r="B105" s="318" t="str">
        <f ca="1">IF(ROWS($1:91)&gt;COUNT(Dong5),"",OFFSET(TH!D$1,SMALL(Dong5,ROWS($1:91)),))</f>
        <v>CTGS</v>
      </c>
      <c r="C105" s="318">
        <f ca="1">IF(ROWS($1:91)&gt;COUNT(Dong5),"",OFFSET(TH!E$1,SMALL(Dong5,ROWS($1:91)),))</f>
        <v>42445</v>
      </c>
      <c r="D105" s="383" t="str">
        <f ca="1">IF(ROWS($1:91)&gt;COUNT(Dong5),"",OFFSET(TH!F$1,SMALL(Dong5,ROWS($1:91)),))</f>
        <v>VAT Phí phát hành bill, điện giao hàng, xếp dỡ, niêm chì</v>
      </c>
      <c r="E105" s="318" t="str">
        <f ca="1">IF(ROWS($1:91)&gt;COUNT(Dong5),"",IF(OFFSET(TH!N$1,SMALL(Dong5,ROWS($1:91)),)=$E$7,OFFSET(TH!O$1,SMALL(Dong5,ROWS($1:91)),),OFFSET(TH!N$1,SMALL(Dong5,ROWS($1:91)),)))</f>
        <v>331</v>
      </c>
      <c r="F105" s="384">
        <f ca="1">IF(ROWS($1:91)&gt;COUNT(Dong5),0,IF(OFFSET(TH!N$1,SMALL(Dong5,ROWS($1:91)),)=$E$7,OFFSET(TH!M$1,SMALL(Dong5,ROWS($1:91)),),0))</f>
        <v>521920</v>
      </c>
      <c r="G105" s="382">
        <f ca="1">IF(ROWS($1:91)&gt;COUNT(Dong5),0,IF(OFFSET(TH!O$1,SMALL(Dong5,ROWS($1:91)),)=$E$7,OFFSET(TH!M$1,SMALL(Dong5,ROWS($1:91)),),0))</f>
        <v>0</v>
      </c>
      <c r="H105" s="385">
        <f ca="1">IF(D105&lt;&gt;"",MAX(H104+F105-G105-I104,0),0)</f>
        <v>221628612</v>
      </c>
      <c r="I105" s="385">
        <f ca="1">IF(D105&lt;&gt;"",MAX(I104+G105-H104-F105,0),0)</f>
        <v>0</v>
      </c>
      <c r="J105" s="18">
        <f ca="1">MONTH(A105)</f>
        <v>3</v>
      </c>
    </row>
    <row r="106" spans="1:10" s="18" customFormat="1" ht="18" customHeight="1">
      <c r="A106" s="318">
        <f ca="1">IF(ROWS($1:92)&gt;COUNT(Dong5),"",OFFSET(TH!C$1,SMALL(Dong5,ROWS($1:92)),))</f>
        <v>42490</v>
      </c>
      <c r="B106" s="318" t="str">
        <f ca="1">IF(ROWS($1:92)&gt;COUNT(Dong5),"",OFFSET(TH!D$1,SMALL(Dong5,ROWS($1:92)),))</f>
        <v>CTGS</v>
      </c>
      <c r="C106" s="318">
        <f ca="1">IF(ROWS($1:92)&gt;COUNT(Dong5),"",OFFSET(TH!E$1,SMALL(Dong5,ROWS($1:92)),))</f>
        <v>42466</v>
      </c>
      <c r="D106" s="383" t="str">
        <f ca="1">IF(ROWS($1:92)&gt;COUNT(Dong5),"",OFFSET(TH!F$1,SMALL(Dong5,ROWS($1:92)),))</f>
        <v>VAT Phí xử lý cá khô</v>
      </c>
      <c r="E106" s="318" t="str">
        <f ca="1">IF(ROWS($1:92)&gt;COUNT(Dong5),"",IF(OFFSET(TH!N$1,SMALL(Dong5,ROWS($1:92)),)=$E$7,OFFSET(TH!O$1,SMALL(Dong5,ROWS($1:92)),),OFFSET(TH!N$1,SMALL(Dong5,ROWS($1:92)),)))</f>
        <v>331</v>
      </c>
      <c r="F106" s="384">
        <f ca="1">IF(ROWS($1:92)&gt;COUNT(Dong5),0,IF(OFFSET(TH!N$1,SMALL(Dong5,ROWS($1:92)),)=$E$7,OFFSET(TH!M$1,SMALL(Dong5,ROWS($1:92)),),0))</f>
        <v>200000</v>
      </c>
      <c r="G106" s="382">
        <f ca="1">IF(ROWS($1:92)&gt;COUNT(Dong5),0,IF(OFFSET(TH!O$1,SMALL(Dong5,ROWS($1:92)),)=$E$7,OFFSET(TH!M$1,SMALL(Dong5,ROWS($1:92)),),0))</f>
        <v>0</v>
      </c>
      <c r="H106" s="385">
        <f ca="1">IF(D106&lt;&gt;"",MAX(H105+F106-G106-I105,0),0)</f>
        <v>221828612</v>
      </c>
      <c r="I106" s="385">
        <f ca="1">IF(D106&lt;&gt;"",MAX(I105+G106-H105-F106,0),0)</f>
        <v>0</v>
      </c>
      <c r="J106" s="18">
        <f ca="1">MONTH(A106)</f>
        <v>4</v>
      </c>
    </row>
    <row r="107" spans="1:10" s="18" customFormat="1" ht="18" customHeight="1">
      <c r="A107" s="318">
        <f ca="1">IF(ROWS($1:93)&gt;COUNT(Dong5),"",OFFSET(TH!C$1,SMALL(Dong5,ROWS($1:93)),))</f>
        <v>42429</v>
      </c>
      <c r="B107" s="318" t="str">
        <f ca="1">IF(ROWS($1:93)&gt;COUNT(Dong5),"",OFFSET(TH!D$1,SMALL(Dong5,ROWS($1:93)),))</f>
        <v>CTGS</v>
      </c>
      <c r="C107" s="318">
        <f ca="1">IF(ROWS($1:93)&gt;COUNT(Dong5),"",OFFSET(TH!E$1,SMALL(Dong5,ROWS($1:93)),))</f>
        <v>42407</v>
      </c>
      <c r="D107" s="383" t="str">
        <f ca="1">IF(ROWS($1:93)&gt;COUNT(Dong5),"",OFFSET(TH!F$1,SMALL(Dong5,ROWS($1:93)),))</f>
        <v>VAT Phí xếp dỡ, niêm chì, điện giao hàng, chứng từ</v>
      </c>
      <c r="E107" s="318" t="str">
        <f ca="1">IF(ROWS($1:93)&gt;COUNT(Dong5),"",IF(OFFSET(TH!N$1,SMALL(Dong5,ROWS($1:93)),)=$E$7,OFFSET(TH!O$1,SMALL(Dong5,ROWS($1:93)),),OFFSET(TH!N$1,SMALL(Dong5,ROWS($1:93)),)))</f>
        <v>331</v>
      </c>
      <c r="F107" s="384">
        <f ca="1">IF(ROWS($1:93)&gt;COUNT(Dong5),0,IF(OFFSET(TH!N$1,SMALL(Dong5,ROWS($1:93)),)=$E$7,OFFSET(TH!M$1,SMALL(Dong5,ROWS($1:93)),),0))</f>
        <v>531930</v>
      </c>
      <c r="G107" s="382">
        <f ca="1">IF(ROWS($1:93)&gt;COUNT(Dong5),0,IF(OFFSET(TH!O$1,SMALL(Dong5,ROWS($1:93)),)=$E$7,OFFSET(TH!M$1,SMALL(Dong5,ROWS($1:93)),),0))</f>
        <v>0</v>
      </c>
      <c r="H107" s="385">
        <f ca="1">IF(D107&lt;&gt;"",MAX(H106+F107-G107-I106,0),0)</f>
        <v>222360542</v>
      </c>
      <c r="I107" s="385">
        <f ca="1">IF(D107&lt;&gt;"",MAX(I106+G107-H106-F107,0),0)</f>
        <v>0</v>
      </c>
      <c r="J107" s="18">
        <f ca="1">MONTH(A107)</f>
        <v>2</v>
      </c>
    </row>
    <row r="108" spans="1:10" s="18" customFormat="1" ht="18" customHeight="1">
      <c r="A108" s="318">
        <f ca="1">IF(ROWS($1:94)&gt;COUNT(Dong5),"",OFFSET(TH!C$1,SMALL(Dong5,ROWS($1:94)),))</f>
        <v>42490</v>
      </c>
      <c r="B108" s="318" t="str">
        <f ca="1">IF(ROWS($1:94)&gt;COUNT(Dong5),"",OFFSET(TH!D$1,SMALL(Dong5,ROWS($1:94)),))</f>
        <v>CTGS</v>
      </c>
      <c r="C108" s="318">
        <f ca="1">IF(ROWS($1:94)&gt;COUNT(Dong5),"",OFFSET(TH!E$1,SMALL(Dong5,ROWS($1:94)),))</f>
        <v>42488</v>
      </c>
      <c r="D108" s="383" t="str">
        <f ca="1">IF(ROWS($1:94)&gt;COUNT(Dong5),"",OFFSET(TH!F$1,SMALL(Dong5,ROWS($1:94)),))</f>
        <v>VAT Bảo hộ lao động</v>
      </c>
      <c r="E108" s="318" t="str">
        <f ca="1">IF(ROWS($1:94)&gt;COUNT(Dong5),"",IF(OFFSET(TH!N$1,SMALL(Dong5,ROWS($1:94)),)=$E$7,OFFSET(TH!O$1,SMALL(Dong5,ROWS($1:94)),),OFFSET(TH!N$1,SMALL(Dong5,ROWS($1:94)),)))</f>
        <v>331</v>
      </c>
      <c r="F108" s="384">
        <f ca="1">IF(ROWS($1:94)&gt;COUNT(Dong5),0,IF(OFFSET(TH!N$1,SMALL(Dong5,ROWS($1:94)),)=$E$7,OFFSET(TH!M$1,SMALL(Dong5,ROWS($1:94)),),0))</f>
        <v>720000</v>
      </c>
      <c r="G108" s="382">
        <f ca="1">IF(ROWS($1:94)&gt;COUNT(Dong5),0,IF(OFFSET(TH!O$1,SMALL(Dong5,ROWS($1:94)),)=$E$7,OFFSET(TH!M$1,SMALL(Dong5,ROWS($1:94)),),0))</f>
        <v>0</v>
      </c>
      <c r="H108" s="385">
        <f ca="1">IF(D108&lt;&gt;"",MAX(H107+F108-G108-I107,0),0)</f>
        <v>223080542</v>
      </c>
      <c r="I108" s="385">
        <f ca="1">IF(D108&lt;&gt;"",MAX(I107+G108-H107-F108,0),0)</f>
        <v>0</v>
      </c>
      <c r="J108" s="18">
        <f ca="1">MONTH(A108)</f>
        <v>4</v>
      </c>
    </row>
    <row r="109" spans="1:10" s="18" customFormat="1" ht="18" customHeight="1">
      <c r="A109" s="318">
        <f ca="1">IF(ROWS($1:95)&gt;COUNT(Dong5),"",OFFSET(TH!C$1,SMALL(Dong5,ROWS($1:95)),))</f>
        <v>42460</v>
      </c>
      <c r="B109" s="318" t="str">
        <f ca="1">IF(ROWS($1:95)&gt;COUNT(Dong5),"",OFFSET(TH!D$1,SMALL(Dong5,ROWS($1:95)),))</f>
        <v>CTGS</v>
      </c>
      <c r="C109" s="318">
        <f ca="1">IF(ROWS($1:95)&gt;COUNT(Dong5),"",OFFSET(TH!E$1,SMALL(Dong5,ROWS($1:95)),))</f>
        <v>42426</v>
      </c>
      <c r="D109" s="383" t="str">
        <f ca="1">IF(ROWS($1:95)&gt;COUNT(Dong5),"",OFFSET(TH!F$1,SMALL(Dong5,ROWS($1:95)),))</f>
        <v>VAT Tiền điện CSPK</v>
      </c>
      <c r="E109" s="318" t="str">
        <f ca="1">IF(ROWS($1:95)&gt;COUNT(Dong5),"",IF(OFFSET(TH!N$1,SMALL(Dong5,ROWS($1:95)),)=$E$7,OFFSET(TH!O$1,SMALL(Dong5,ROWS($1:95)),),OFFSET(TH!N$1,SMALL(Dong5,ROWS($1:95)),)))</f>
        <v>331</v>
      </c>
      <c r="F109" s="384">
        <f ca="1">IF(ROWS($1:95)&gt;COUNT(Dong5),0,IF(OFFSET(TH!N$1,SMALL(Dong5,ROWS($1:95)),)=$E$7,OFFSET(TH!M$1,SMALL(Dong5,ROWS($1:95)),),0))</f>
        <v>23635</v>
      </c>
      <c r="G109" s="382">
        <f ca="1">IF(ROWS($1:95)&gt;COUNT(Dong5),0,IF(OFFSET(TH!O$1,SMALL(Dong5,ROWS($1:95)),)=$E$7,OFFSET(TH!M$1,SMALL(Dong5,ROWS($1:95)),),0))</f>
        <v>0</v>
      </c>
      <c r="H109" s="385">
        <f ca="1">IF(D109&lt;&gt;"",MAX(H108+F109-G109-I108,0),0)</f>
        <v>223104177</v>
      </c>
      <c r="I109" s="385">
        <f ca="1">IF(D109&lt;&gt;"",MAX(I108+G109-H108-F109,0),0)</f>
        <v>0</v>
      </c>
      <c r="J109" s="18">
        <f ca="1">MONTH(A109)</f>
        <v>3</v>
      </c>
    </row>
    <row r="110" spans="1:10" s="18" customFormat="1" ht="18" customHeight="1">
      <c r="A110" s="318">
        <f ca="1">IF(ROWS($1:96)&gt;COUNT(Dong5),"",OFFSET(TH!C$1,SMALL(Dong5,ROWS($1:96)),))</f>
        <v>42521</v>
      </c>
      <c r="B110" s="318" t="str">
        <f ca="1">IF(ROWS($1:96)&gt;COUNT(Dong5),"",OFFSET(TH!D$1,SMALL(Dong5,ROWS($1:96)),))</f>
        <v>CTGS</v>
      </c>
      <c r="C110" s="318">
        <f ca="1">IF(ROWS($1:96)&gt;COUNT(Dong5),"",OFFSET(TH!E$1,SMALL(Dong5,ROWS($1:96)),))</f>
        <v>42502</v>
      </c>
      <c r="D110" s="383" t="str">
        <f ca="1">IF(ROWS($1:96)&gt;COUNT(Dong5),"",OFFSET(TH!F$1,SMALL(Dong5,ROWS($1:96)),))</f>
        <v>VAT Phí xử lý cá khô</v>
      </c>
      <c r="E110" s="318" t="str">
        <f ca="1">IF(ROWS($1:96)&gt;COUNT(Dong5),"",IF(OFFSET(TH!N$1,SMALL(Dong5,ROWS($1:96)),)=$E$7,OFFSET(TH!O$1,SMALL(Dong5,ROWS($1:96)),),OFFSET(TH!N$1,SMALL(Dong5,ROWS($1:96)),)))</f>
        <v>331</v>
      </c>
      <c r="F110" s="384">
        <f ca="1">IF(ROWS($1:96)&gt;COUNT(Dong5),0,IF(OFFSET(TH!N$1,SMALL(Dong5,ROWS($1:96)),)=$E$7,OFFSET(TH!M$1,SMALL(Dong5,ROWS($1:96)),),0))</f>
        <v>200000</v>
      </c>
      <c r="G110" s="382">
        <f ca="1">IF(ROWS($1:96)&gt;COUNT(Dong5),0,IF(OFFSET(TH!O$1,SMALL(Dong5,ROWS($1:96)),)=$E$7,OFFSET(TH!M$1,SMALL(Dong5,ROWS($1:96)),),0))</f>
        <v>0</v>
      </c>
      <c r="H110" s="385">
        <f ca="1">IF(D110&lt;&gt;"",MAX(H109+F110-G110-I109,0),0)</f>
        <v>223304177</v>
      </c>
      <c r="I110" s="385">
        <f ca="1">IF(D110&lt;&gt;"",MAX(I109+G110-H109-F110,0),0)</f>
        <v>0</v>
      </c>
      <c r="J110" s="18">
        <f ca="1">MONTH(A110)</f>
        <v>5</v>
      </c>
    </row>
    <row r="111" spans="1:10" s="18" customFormat="1" ht="18" customHeight="1">
      <c r="A111" s="318">
        <f ca="1">IF(ROWS($1:97)&gt;COUNT(Dong5),"",OFFSET(TH!C$1,SMALL(Dong5,ROWS($1:97)),))</f>
        <v>42521</v>
      </c>
      <c r="B111" s="318" t="str">
        <f ca="1">IF(ROWS($1:97)&gt;COUNT(Dong5),"",OFFSET(TH!D$1,SMALL(Dong5,ROWS($1:97)),))</f>
        <v>CTGS</v>
      </c>
      <c r="C111" s="318">
        <f ca="1">IF(ROWS($1:97)&gt;COUNT(Dong5),"",OFFSET(TH!E$1,SMALL(Dong5,ROWS($1:97)),))</f>
        <v>42503</v>
      </c>
      <c r="D111" s="383" t="str">
        <f ca="1">IF(ROWS($1:97)&gt;COUNT(Dong5),"",OFFSET(TH!F$1,SMALL(Dong5,ROWS($1:97)),))</f>
        <v>VAT Phí niêm chì, vận đơn, nâng hạ, khai hải quan, xếp dỡ</v>
      </c>
      <c r="E111" s="318" t="str">
        <f ca="1">IF(ROWS($1:97)&gt;COUNT(Dong5),"",IF(OFFSET(TH!N$1,SMALL(Dong5,ROWS($1:97)),)=$E$7,OFFSET(TH!O$1,SMALL(Dong5,ROWS($1:97)),),OFFSET(TH!N$1,SMALL(Dong5,ROWS($1:97)),)))</f>
        <v>331</v>
      </c>
      <c r="F111" s="384">
        <f ca="1">IF(ROWS($1:97)&gt;COUNT(Dong5),0,IF(OFFSET(TH!N$1,SMALL(Dong5,ROWS($1:97)),)=$E$7,OFFSET(TH!M$1,SMALL(Dong5,ROWS($1:97)),),0))</f>
        <v>850392</v>
      </c>
      <c r="G111" s="382">
        <f ca="1">IF(ROWS($1:97)&gt;COUNT(Dong5),0,IF(OFFSET(TH!O$1,SMALL(Dong5,ROWS($1:97)),)=$E$7,OFFSET(TH!M$1,SMALL(Dong5,ROWS($1:97)),),0))</f>
        <v>0</v>
      </c>
      <c r="H111" s="385">
        <f ca="1">IF(D111&lt;&gt;"",MAX(H110+F111-G111-I110,0),0)</f>
        <v>224154569</v>
      </c>
      <c r="I111" s="385">
        <f ca="1">IF(D111&lt;&gt;"",MAX(I110+G111-H110-F111,0),0)</f>
        <v>0</v>
      </c>
      <c r="J111" s="18">
        <f ca="1">MONTH(A111)</f>
        <v>5</v>
      </c>
    </row>
    <row r="112" spans="1:10" s="18" customFormat="1" ht="18" customHeight="1">
      <c r="A112" s="318">
        <f ca="1">IF(ROWS($1:98)&gt;COUNT(Dong5),"",OFFSET(TH!C$1,SMALL(Dong5,ROWS($1:98)),))</f>
        <v>42521</v>
      </c>
      <c r="B112" s="318" t="str">
        <f ca="1">IF(ROWS($1:98)&gt;COUNT(Dong5),"",OFFSET(TH!D$1,SMALL(Dong5,ROWS($1:98)),))</f>
        <v>CTGS</v>
      </c>
      <c r="C112" s="318">
        <f ca="1">IF(ROWS($1:98)&gt;COUNT(Dong5),"",OFFSET(TH!E$1,SMALL(Dong5,ROWS($1:98)),))</f>
        <v>42504</v>
      </c>
      <c r="D112" s="383" t="str">
        <f ca="1">IF(ROWS($1:98)&gt;COUNT(Dong5),"",OFFSET(TH!F$1,SMALL(Dong5,ROWS($1:98)),))</f>
        <v>VAT Phí niêm chì, xếp dỡ, vận chuyển, vận đơn</v>
      </c>
      <c r="E112" s="318" t="str">
        <f ca="1">IF(ROWS($1:98)&gt;COUNT(Dong5),"",IF(OFFSET(TH!N$1,SMALL(Dong5,ROWS($1:98)),)=$E$7,OFFSET(TH!O$1,SMALL(Dong5,ROWS($1:98)),),OFFSET(TH!N$1,SMALL(Dong5,ROWS($1:98)),)))</f>
        <v>331</v>
      </c>
      <c r="F112" s="384">
        <f ca="1">IF(ROWS($1:98)&gt;COUNT(Dong5),0,IF(OFFSET(TH!N$1,SMALL(Dong5,ROWS($1:98)),)=$E$7,OFFSET(TH!M$1,SMALL(Dong5,ROWS($1:98)),),0))</f>
        <v>784134</v>
      </c>
      <c r="G112" s="382">
        <f ca="1">IF(ROWS($1:98)&gt;COUNT(Dong5),0,IF(OFFSET(TH!O$1,SMALL(Dong5,ROWS($1:98)),)=$E$7,OFFSET(TH!M$1,SMALL(Dong5,ROWS($1:98)),),0))</f>
        <v>0</v>
      </c>
      <c r="H112" s="385">
        <f ca="1">IF(D112&lt;&gt;"",MAX(H111+F112-G112-I111,0),0)</f>
        <v>224938703</v>
      </c>
      <c r="I112" s="385">
        <f ca="1">IF(D112&lt;&gt;"",MAX(I111+G112-H111-F112,0),0)</f>
        <v>0</v>
      </c>
      <c r="J112" s="18">
        <f ca="1">MONTH(A112)</f>
        <v>5</v>
      </c>
    </row>
    <row r="113" spans="1:10" s="18" customFormat="1" ht="18" customHeight="1">
      <c r="A113" s="318">
        <f ca="1">IF(ROWS($1:99)&gt;COUNT(Dong5),"",OFFSET(TH!C$1,SMALL(Dong5,ROWS($1:99)),))</f>
        <v>42460</v>
      </c>
      <c r="B113" s="318" t="str">
        <f ca="1">IF(ROWS($1:99)&gt;COUNT(Dong5),"",OFFSET(TH!D$1,SMALL(Dong5,ROWS($1:99)),))</f>
        <v>CTGS</v>
      </c>
      <c r="C113" s="318">
        <f ca="1">IF(ROWS($1:99)&gt;COUNT(Dong5),"",OFFSET(TH!E$1,SMALL(Dong5,ROWS($1:99)),))</f>
        <v>42436</v>
      </c>
      <c r="D113" s="383" t="str">
        <f ca="1">IF(ROWS($1:99)&gt;COUNT(Dong5),"",OFFSET(TH!F$1,SMALL(Dong5,ROWS($1:99)),))</f>
        <v>VAT Tiền điện kỳ 1 T3/2016</v>
      </c>
      <c r="E113" s="318" t="str">
        <f ca="1">IF(ROWS($1:99)&gt;COUNT(Dong5),"",IF(OFFSET(TH!N$1,SMALL(Dong5,ROWS($1:99)),)=$E$7,OFFSET(TH!O$1,SMALL(Dong5,ROWS($1:99)),),OFFSET(TH!N$1,SMALL(Dong5,ROWS($1:99)),)))</f>
        <v>331</v>
      </c>
      <c r="F113" s="384">
        <f ca="1">IF(ROWS($1:99)&gt;COUNT(Dong5),0,IF(OFFSET(TH!N$1,SMALL(Dong5,ROWS($1:99)),)=$E$7,OFFSET(TH!M$1,SMALL(Dong5,ROWS($1:99)),),0))</f>
        <v>2068130</v>
      </c>
      <c r="G113" s="382">
        <f ca="1">IF(ROWS($1:99)&gt;COUNT(Dong5),0,IF(OFFSET(TH!O$1,SMALL(Dong5,ROWS($1:99)),)=$E$7,OFFSET(TH!M$1,SMALL(Dong5,ROWS($1:99)),),0))</f>
        <v>0</v>
      </c>
      <c r="H113" s="385">
        <f ca="1">IF(D113&lt;&gt;"",MAX(H112+F113-G113-I112,0),0)</f>
        <v>227006833</v>
      </c>
      <c r="I113" s="385">
        <f ca="1">IF(D113&lt;&gt;"",MAX(I112+G113-H112-F113,0),0)</f>
        <v>0</v>
      </c>
      <c r="J113" s="18">
        <f ca="1">MONTH(A113)</f>
        <v>3</v>
      </c>
    </row>
    <row r="114" spans="1:10" s="18" customFormat="1" ht="18" customHeight="1">
      <c r="A114" s="318">
        <f ca="1">IF(ROWS($1:100)&gt;COUNT(Dong5),"",OFFSET(TH!C$1,SMALL(Dong5,ROWS($1:100)),))</f>
        <v>42460</v>
      </c>
      <c r="B114" s="318" t="str">
        <f ca="1">IF(ROWS($1:100)&gt;COUNT(Dong5),"",OFFSET(TH!D$1,SMALL(Dong5,ROWS($1:100)),))</f>
        <v>CTGS</v>
      </c>
      <c r="C114" s="318">
        <f ca="1">IF(ROWS($1:100)&gt;COUNT(Dong5),"",OFFSET(TH!E$1,SMALL(Dong5,ROWS($1:100)),))</f>
        <v>42445</v>
      </c>
      <c r="D114" s="383" t="str">
        <f ca="1">IF(ROWS($1:100)&gt;COUNT(Dong5),"",OFFSET(TH!F$1,SMALL(Dong5,ROWS($1:100)),))</f>
        <v>VAT Tiền điện kỳ 2 T3/2016</v>
      </c>
      <c r="E114" s="318" t="str">
        <f ca="1">IF(ROWS($1:100)&gt;COUNT(Dong5),"",IF(OFFSET(TH!N$1,SMALL(Dong5,ROWS($1:100)),)=$E$7,OFFSET(TH!O$1,SMALL(Dong5,ROWS($1:100)),),OFFSET(TH!N$1,SMALL(Dong5,ROWS($1:100)),)))</f>
        <v>331</v>
      </c>
      <c r="F114" s="384">
        <f ca="1">IF(ROWS($1:100)&gt;COUNT(Dong5),0,IF(OFFSET(TH!N$1,SMALL(Dong5,ROWS($1:100)),)=$E$7,OFFSET(TH!M$1,SMALL(Dong5,ROWS($1:100)),),0))</f>
        <v>2126920</v>
      </c>
      <c r="G114" s="382">
        <f ca="1">IF(ROWS($1:100)&gt;COUNT(Dong5),0,IF(OFFSET(TH!O$1,SMALL(Dong5,ROWS($1:100)),)=$E$7,OFFSET(TH!M$1,SMALL(Dong5,ROWS($1:100)),),0))</f>
        <v>0</v>
      </c>
      <c r="H114" s="385">
        <f ca="1">IF(D114&lt;&gt;"",MAX(H113+F114-G114-I113,0),0)</f>
        <v>229133753</v>
      </c>
      <c r="I114" s="385">
        <f ca="1">IF(D114&lt;&gt;"",MAX(I113+G114-H113-F114,0),0)</f>
        <v>0</v>
      </c>
      <c r="J114" s="18">
        <f ca="1">MONTH(A114)</f>
        <v>3</v>
      </c>
    </row>
    <row r="115" spans="1:10" s="18" customFormat="1" ht="18" customHeight="1">
      <c r="A115" s="318">
        <f ca="1">IF(ROWS($1:101)&gt;COUNT(Dong5),"",OFFSET(TH!C$1,SMALL(Dong5,ROWS($1:101)),))</f>
        <v>42460</v>
      </c>
      <c r="B115" s="318" t="str">
        <f ca="1">IF(ROWS($1:101)&gt;COUNT(Dong5),"",OFFSET(TH!D$1,SMALL(Dong5,ROWS($1:101)),))</f>
        <v>CTGS</v>
      </c>
      <c r="C115" s="318">
        <f ca="1">IF(ROWS($1:101)&gt;COUNT(Dong5),"",OFFSET(TH!E$1,SMALL(Dong5,ROWS($1:101)),))</f>
        <v>42455</v>
      </c>
      <c r="D115" s="383" t="str">
        <f ca="1">IF(ROWS($1:101)&gt;COUNT(Dong5),"",OFFSET(TH!F$1,SMALL(Dong5,ROWS($1:101)),))</f>
        <v>VAT Tiền điện kỳ 3 T3/2016</v>
      </c>
      <c r="E115" s="318" t="str">
        <f ca="1">IF(ROWS($1:101)&gt;COUNT(Dong5),"",IF(OFFSET(TH!N$1,SMALL(Dong5,ROWS($1:101)),)=$E$7,OFFSET(TH!O$1,SMALL(Dong5,ROWS($1:101)),),OFFSET(TH!N$1,SMALL(Dong5,ROWS($1:101)),)))</f>
        <v>331</v>
      </c>
      <c r="F115" s="384">
        <f ca="1">IF(ROWS($1:101)&gt;COUNT(Dong5),0,IF(OFFSET(TH!N$1,SMALL(Dong5,ROWS($1:101)),)=$E$7,OFFSET(TH!M$1,SMALL(Dong5,ROWS($1:101)),),0))</f>
        <v>2016960</v>
      </c>
      <c r="G115" s="382">
        <f ca="1">IF(ROWS($1:101)&gt;COUNT(Dong5),0,IF(OFFSET(TH!O$1,SMALL(Dong5,ROWS($1:101)),)=$E$7,OFFSET(TH!M$1,SMALL(Dong5,ROWS($1:101)),),0))</f>
        <v>0</v>
      </c>
      <c r="H115" s="385">
        <f ca="1">IF(D115&lt;&gt;"",MAX(H114+F115-G115-I114,0),0)</f>
        <v>231150713</v>
      </c>
      <c r="I115" s="385">
        <f ca="1">IF(D115&lt;&gt;"",MAX(I114+G115-H114-F115,0),0)</f>
        <v>0</v>
      </c>
      <c r="J115" s="18">
        <f ca="1">MONTH(A115)</f>
        <v>3</v>
      </c>
    </row>
    <row r="116" spans="1:10" s="18" customFormat="1" ht="18" customHeight="1">
      <c r="A116" s="318">
        <f ca="1">IF(ROWS($1:102)&gt;COUNT(Dong5),"",OFFSET(TH!C$1,SMALL(Dong5,ROWS($1:102)),))</f>
        <v>42551</v>
      </c>
      <c r="B116" s="318" t="str">
        <f ca="1">IF(ROWS($1:102)&gt;COUNT(Dong5),"",OFFSET(TH!D$1,SMALL(Dong5,ROWS($1:102)),))</f>
        <v>CTGS</v>
      </c>
      <c r="C116" s="318">
        <f ca="1">IF(ROWS($1:102)&gt;COUNT(Dong5),"",OFFSET(TH!E$1,SMALL(Dong5,ROWS($1:102)),))</f>
        <v>42530</v>
      </c>
      <c r="D116" s="383" t="str">
        <f ca="1">IF(ROWS($1:102)&gt;COUNT(Dong5),"",OFFSET(TH!F$1,SMALL(Dong5,ROWS($1:102)),))</f>
        <v>VAT Phí chứng từ, niêm chì, xếp dỡ, vận chuyển</v>
      </c>
      <c r="E116" s="318" t="str">
        <f ca="1">IF(ROWS($1:102)&gt;COUNT(Dong5),"",IF(OFFSET(TH!N$1,SMALL(Dong5,ROWS($1:102)),)=$E$7,OFFSET(TH!O$1,SMALL(Dong5,ROWS($1:102)),),OFFSET(TH!N$1,SMALL(Dong5,ROWS($1:102)),)))</f>
        <v>331</v>
      </c>
      <c r="F116" s="384">
        <f ca="1">IF(ROWS($1:102)&gt;COUNT(Dong5),0,IF(OFFSET(TH!N$1,SMALL(Dong5,ROWS($1:102)),)=$E$7,OFFSET(TH!M$1,SMALL(Dong5,ROWS($1:102)),),0))</f>
        <v>785538</v>
      </c>
      <c r="G116" s="382">
        <f ca="1">IF(ROWS($1:102)&gt;COUNT(Dong5),0,IF(OFFSET(TH!O$1,SMALL(Dong5,ROWS($1:102)),)=$E$7,OFFSET(TH!M$1,SMALL(Dong5,ROWS($1:102)),),0))</f>
        <v>0</v>
      </c>
      <c r="H116" s="385">
        <f ca="1">IF(D116&lt;&gt;"",MAX(H115+F116-G116-I115,0),0)</f>
        <v>231936251</v>
      </c>
      <c r="I116" s="385">
        <f ca="1">IF(D116&lt;&gt;"",MAX(I115+G116-H115-F116,0),0)</f>
        <v>0</v>
      </c>
      <c r="J116" s="18">
        <f ca="1">MONTH(A116)</f>
        <v>6</v>
      </c>
    </row>
    <row r="117" spans="1:10" s="18" customFormat="1" ht="18" customHeight="1">
      <c r="A117" s="318">
        <f ca="1">IF(ROWS($1:103)&gt;COUNT(Dong5),"",OFFSET(TH!C$1,SMALL(Dong5,ROWS($1:103)),))</f>
        <v>42551</v>
      </c>
      <c r="B117" s="318" t="str">
        <f ca="1">IF(ROWS($1:103)&gt;COUNT(Dong5),"",OFFSET(TH!D$1,SMALL(Dong5,ROWS($1:103)),))</f>
        <v>CTGS</v>
      </c>
      <c r="C117" s="318">
        <f ca="1">IF(ROWS($1:103)&gt;COUNT(Dong5),"",OFFSET(TH!E$1,SMALL(Dong5,ROWS($1:103)),))</f>
        <v>42536</v>
      </c>
      <c r="D117" s="383" t="str">
        <f ca="1">IF(ROWS($1:103)&gt;COUNT(Dong5),"",OFFSET(TH!F$1,SMALL(Dong5,ROWS($1:103)),))</f>
        <v>VAT Phí chứng từ, niêm chì, xếp dỡ, khai hải quan vận chuyển</v>
      </c>
      <c r="E117" s="318" t="str">
        <f ca="1">IF(ROWS($1:103)&gt;COUNT(Dong5),"",IF(OFFSET(TH!N$1,SMALL(Dong5,ROWS($1:103)),)=$E$7,OFFSET(TH!O$1,SMALL(Dong5,ROWS($1:103)),),OFFSET(TH!N$1,SMALL(Dong5,ROWS($1:103)),)))</f>
        <v>331</v>
      </c>
      <c r="F117" s="384">
        <f ca="1">IF(ROWS($1:103)&gt;COUNT(Dong5),0,IF(OFFSET(TH!N$1,SMALL(Dong5,ROWS($1:103)),)=$E$7,OFFSET(TH!M$1,SMALL(Dong5,ROWS($1:103)),),0))</f>
        <v>851916</v>
      </c>
      <c r="G117" s="382">
        <f ca="1">IF(ROWS($1:103)&gt;COUNT(Dong5),0,IF(OFFSET(TH!O$1,SMALL(Dong5,ROWS($1:103)),)=$E$7,OFFSET(TH!M$1,SMALL(Dong5,ROWS($1:103)),),0))</f>
        <v>0</v>
      </c>
      <c r="H117" s="385">
        <f ca="1">IF(D117&lt;&gt;"",MAX(H116+F117-G117-I116,0),0)</f>
        <v>232788167</v>
      </c>
      <c r="I117" s="385">
        <f ca="1">IF(D117&lt;&gt;"",MAX(I116+G117-H116-F117,0),0)</f>
        <v>0</v>
      </c>
      <c r="J117" s="18">
        <f ca="1">MONTH(A117)</f>
        <v>6</v>
      </c>
    </row>
    <row r="118" spans="1:10" s="18" customFormat="1" ht="18" customHeight="1">
      <c r="A118" s="318">
        <f ca="1">IF(ROWS($1:104)&gt;COUNT(Dong5),"",OFFSET(TH!C$1,SMALL(Dong5,ROWS($1:104)),))</f>
        <v>42551</v>
      </c>
      <c r="B118" s="318" t="str">
        <f ca="1">IF(ROWS($1:104)&gt;COUNT(Dong5),"",OFFSET(TH!D$1,SMALL(Dong5,ROWS($1:104)),))</f>
        <v>CTGS</v>
      </c>
      <c r="C118" s="318">
        <f ca="1">IF(ROWS($1:104)&gt;COUNT(Dong5),"",OFFSET(TH!E$1,SMALL(Dong5,ROWS($1:104)),))</f>
        <v>42537</v>
      </c>
      <c r="D118" s="383" t="str">
        <f ca="1">IF(ROWS($1:104)&gt;COUNT(Dong5),"",OFFSET(TH!F$1,SMALL(Dong5,ROWS($1:104)),))</f>
        <v>VAT Phí chứng từ, niêm chì, xếp dỡ, vận chuyển</v>
      </c>
      <c r="E118" s="318" t="str">
        <f ca="1">IF(ROWS($1:104)&gt;COUNT(Dong5),"",IF(OFFSET(TH!N$1,SMALL(Dong5,ROWS($1:104)),)=$E$7,OFFSET(TH!O$1,SMALL(Dong5,ROWS($1:104)),),OFFSET(TH!N$1,SMALL(Dong5,ROWS($1:104)),)))</f>
        <v>331</v>
      </c>
      <c r="F118" s="384">
        <f ca="1">IF(ROWS($1:104)&gt;COUNT(Dong5),0,IF(OFFSET(TH!N$1,SMALL(Dong5,ROWS($1:104)),)=$E$7,OFFSET(TH!M$1,SMALL(Dong5,ROWS($1:104)),),0))</f>
        <v>784485</v>
      </c>
      <c r="G118" s="382">
        <f ca="1">IF(ROWS($1:104)&gt;COUNT(Dong5),0,IF(OFFSET(TH!O$1,SMALL(Dong5,ROWS($1:104)),)=$E$7,OFFSET(TH!M$1,SMALL(Dong5,ROWS($1:104)),),0))</f>
        <v>0</v>
      </c>
      <c r="H118" s="385">
        <f ca="1">IF(D118&lt;&gt;"",MAX(H117+F118-G118-I117,0),0)</f>
        <v>233572652</v>
      </c>
      <c r="I118" s="385">
        <f ca="1">IF(D118&lt;&gt;"",MAX(I117+G118-H117-F118,0),0)</f>
        <v>0</v>
      </c>
      <c r="J118" s="18">
        <f ca="1">MONTH(A118)</f>
        <v>6</v>
      </c>
    </row>
    <row r="119" spans="1:10" s="18" customFormat="1" ht="18" customHeight="1">
      <c r="A119" s="318">
        <f ca="1">IF(ROWS($1:105)&gt;COUNT(Dong5),"",OFFSET(TH!C$1,SMALL(Dong5,ROWS($1:105)),))</f>
        <v>42551</v>
      </c>
      <c r="B119" s="318" t="str">
        <f ca="1">IF(ROWS($1:105)&gt;COUNT(Dong5),"",OFFSET(TH!D$1,SMALL(Dong5,ROWS($1:105)),))</f>
        <v>CTGS</v>
      </c>
      <c r="C119" s="318">
        <f ca="1">IF(ROWS($1:105)&gt;COUNT(Dong5),"",OFFSET(TH!E$1,SMALL(Dong5,ROWS($1:105)),))</f>
        <v>42541</v>
      </c>
      <c r="D119" s="383" t="str">
        <f ca="1">IF(ROWS($1:105)&gt;COUNT(Dong5),"",OFFSET(TH!F$1,SMALL(Dong5,ROWS($1:105)),))</f>
        <v>VAT Phí bảo hiểm cháy nổ bắt buộc</v>
      </c>
      <c r="E119" s="318" t="str">
        <f ca="1">IF(ROWS($1:105)&gt;COUNT(Dong5),"",IF(OFFSET(TH!N$1,SMALL(Dong5,ROWS($1:105)),)=$E$7,OFFSET(TH!O$1,SMALL(Dong5,ROWS($1:105)),),OFFSET(TH!N$1,SMALL(Dong5,ROWS($1:105)),)))</f>
        <v>331</v>
      </c>
      <c r="F119" s="384">
        <f ca="1">IF(ROWS($1:105)&gt;COUNT(Dong5),0,IF(OFFSET(TH!N$1,SMALL(Dong5,ROWS($1:105)),)=$E$7,OFFSET(TH!M$1,SMALL(Dong5,ROWS($1:105)),),0))</f>
        <v>1844856</v>
      </c>
      <c r="G119" s="382">
        <f ca="1">IF(ROWS($1:105)&gt;COUNT(Dong5),0,IF(OFFSET(TH!O$1,SMALL(Dong5,ROWS($1:105)),)=$E$7,OFFSET(TH!M$1,SMALL(Dong5,ROWS($1:105)),),0))</f>
        <v>0</v>
      </c>
      <c r="H119" s="385">
        <f ca="1">IF(D119&lt;&gt;"",MAX(H118+F119-G119-I118,0),0)</f>
        <v>235417508</v>
      </c>
      <c r="I119" s="385">
        <f ca="1">IF(D119&lt;&gt;"",MAX(I118+G119-H118-F119,0),0)</f>
        <v>0</v>
      </c>
      <c r="J119" s="18">
        <f ca="1">MONTH(A119)</f>
        <v>6</v>
      </c>
    </row>
    <row r="120" spans="1:10" s="18" customFormat="1" ht="18" customHeight="1">
      <c r="A120" s="318">
        <f ca="1">IF(ROWS($1:106)&gt;COUNT(Dong5),"",OFFSET(TH!C$1,SMALL(Dong5,ROWS($1:106)),))</f>
        <v>42490</v>
      </c>
      <c r="B120" s="318" t="str">
        <f ca="1">IF(ROWS($1:106)&gt;COUNT(Dong5),"",OFFSET(TH!D$1,SMALL(Dong5,ROWS($1:106)),))</f>
        <v>CTGS</v>
      </c>
      <c r="C120" s="318">
        <f ca="1">IF(ROWS($1:106)&gt;COUNT(Dong5),"",OFFSET(TH!E$1,SMALL(Dong5,ROWS($1:106)),))</f>
        <v>42466</v>
      </c>
      <c r="D120" s="383" t="str">
        <f ca="1">IF(ROWS($1:106)&gt;COUNT(Dong5),"",OFFSET(TH!F$1,SMALL(Dong5,ROWS($1:106)),))</f>
        <v>VAT Tiền điện kỳ 1 T4/2016</v>
      </c>
      <c r="E120" s="318" t="str">
        <f ca="1">IF(ROWS($1:106)&gt;COUNT(Dong5),"",IF(OFFSET(TH!N$1,SMALL(Dong5,ROWS($1:106)),)=$E$7,OFFSET(TH!O$1,SMALL(Dong5,ROWS($1:106)),),OFFSET(TH!N$1,SMALL(Dong5,ROWS($1:106)),)))</f>
        <v>331</v>
      </c>
      <c r="F120" s="384">
        <f ca="1">IF(ROWS($1:106)&gt;COUNT(Dong5),0,IF(OFFSET(TH!N$1,SMALL(Dong5,ROWS($1:106)),)=$E$7,OFFSET(TH!M$1,SMALL(Dong5,ROWS($1:106)),),0))</f>
        <v>2384120</v>
      </c>
      <c r="G120" s="382">
        <f ca="1">IF(ROWS($1:106)&gt;COUNT(Dong5),0,IF(OFFSET(TH!O$1,SMALL(Dong5,ROWS($1:106)),)=$E$7,OFFSET(TH!M$1,SMALL(Dong5,ROWS($1:106)),),0))</f>
        <v>0</v>
      </c>
      <c r="H120" s="385">
        <f ca="1">IF(D120&lt;&gt;"",MAX(H119+F120-G120-I119,0),0)</f>
        <v>237801628</v>
      </c>
      <c r="I120" s="385">
        <f ca="1">IF(D120&lt;&gt;"",MAX(I119+G120-H119-F120,0),0)</f>
        <v>0</v>
      </c>
      <c r="J120" s="18">
        <f ca="1">MONTH(A120)</f>
        <v>4</v>
      </c>
    </row>
    <row r="121" spans="1:10" s="18" customFormat="1" ht="18" customHeight="1">
      <c r="A121" s="318">
        <f ca="1">IF(ROWS($1:107)&gt;COUNT(Dong5),"",OFFSET(TH!C$1,SMALL(Dong5,ROWS($1:107)),))</f>
        <v>42490</v>
      </c>
      <c r="B121" s="318" t="str">
        <f ca="1">IF(ROWS($1:107)&gt;COUNT(Dong5),"",OFFSET(TH!D$1,SMALL(Dong5,ROWS($1:107)),))</f>
        <v>CTGS</v>
      </c>
      <c r="C121" s="318">
        <f ca="1">IF(ROWS($1:107)&gt;COUNT(Dong5),"",OFFSET(TH!E$1,SMALL(Dong5,ROWS($1:107)),))</f>
        <v>42476</v>
      </c>
      <c r="D121" s="383" t="str">
        <f ca="1">IF(ROWS($1:107)&gt;COUNT(Dong5),"",OFFSET(TH!F$1,SMALL(Dong5,ROWS($1:107)),))</f>
        <v>VAT Tiền điện kỳ 2 T4/2016</v>
      </c>
      <c r="E121" s="318" t="str">
        <f ca="1">IF(ROWS($1:107)&gt;COUNT(Dong5),"",IF(OFFSET(TH!N$1,SMALL(Dong5,ROWS($1:107)),)=$E$7,OFFSET(TH!O$1,SMALL(Dong5,ROWS($1:107)),),OFFSET(TH!N$1,SMALL(Dong5,ROWS($1:107)),)))</f>
        <v>331</v>
      </c>
      <c r="F121" s="384">
        <f ca="1">IF(ROWS($1:107)&gt;COUNT(Dong5),0,IF(OFFSET(TH!N$1,SMALL(Dong5,ROWS($1:107)),)=$E$7,OFFSET(TH!M$1,SMALL(Dong5,ROWS($1:107)),),0))</f>
        <v>2836980</v>
      </c>
      <c r="G121" s="382">
        <f ca="1">IF(ROWS($1:107)&gt;COUNT(Dong5),0,IF(OFFSET(TH!O$1,SMALL(Dong5,ROWS($1:107)),)=$E$7,OFFSET(TH!M$1,SMALL(Dong5,ROWS($1:107)),),0))</f>
        <v>0</v>
      </c>
      <c r="H121" s="385">
        <f ca="1">IF(D121&lt;&gt;"",MAX(H120+F121-G121-I120,0),0)</f>
        <v>240638608</v>
      </c>
      <c r="I121" s="385">
        <f ca="1">IF(D121&lt;&gt;"",MAX(I120+G121-H120-F121,0),0)</f>
        <v>0</v>
      </c>
      <c r="J121" s="18">
        <f ca="1">MONTH(A121)</f>
        <v>4</v>
      </c>
    </row>
    <row r="122" spans="1:10" s="18" customFormat="1" ht="18" customHeight="1">
      <c r="A122" s="318">
        <f ca="1">IF(ROWS($1:108)&gt;COUNT(Dong5),"",OFFSET(TH!C$1,SMALL(Dong5,ROWS($1:108)),))</f>
        <v>42582</v>
      </c>
      <c r="B122" s="318" t="str">
        <f ca="1">IF(ROWS($1:108)&gt;COUNT(Dong5),"",OFFSET(TH!D$1,SMALL(Dong5,ROWS($1:108)),))</f>
        <v>CTGS</v>
      </c>
      <c r="C122" s="318">
        <f ca="1">IF(ROWS($1:108)&gt;COUNT(Dong5),"",OFFSET(TH!E$1,SMALL(Dong5,ROWS($1:108)),))</f>
        <v>42538</v>
      </c>
      <c r="D122" s="383" t="str">
        <f ca="1">IF(ROWS($1:108)&gt;COUNT(Dong5),"",OFFSET(TH!F$1,SMALL(Dong5,ROWS($1:108)),))</f>
        <v>VAT Phí chứng từ, niêm chì, xếp dỡ, vận chuyển</v>
      </c>
      <c r="E122" s="318" t="str">
        <f ca="1">IF(ROWS($1:108)&gt;COUNT(Dong5),"",IF(OFFSET(TH!N$1,SMALL(Dong5,ROWS($1:108)),)=$E$7,OFFSET(TH!O$1,SMALL(Dong5,ROWS($1:108)),),OFFSET(TH!N$1,SMALL(Dong5,ROWS($1:108)),)))</f>
        <v>331</v>
      </c>
      <c r="F122" s="384">
        <f ca="1">IF(ROWS($1:108)&gt;COUNT(Dong5),0,IF(OFFSET(TH!N$1,SMALL(Dong5,ROWS($1:108)),)=$E$7,OFFSET(TH!M$1,SMALL(Dong5,ROWS($1:108)),),0))</f>
        <v>366989</v>
      </c>
      <c r="G122" s="382">
        <f ca="1">IF(ROWS($1:108)&gt;COUNT(Dong5),0,IF(OFFSET(TH!O$1,SMALL(Dong5,ROWS($1:108)),)=$E$7,OFFSET(TH!M$1,SMALL(Dong5,ROWS($1:108)),),0))</f>
        <v>0</v>
      </c>
      <c r="H122" s="385">
        <f ca="1">IF(D122&lt;&gt;"",MAX(H121+F122-G122-I121,0),0)</f>
        <v>241005597</v>
      </c>
      <c r="I122" s="385">
        <f ca="1">IF(D122&lt;&gt;"",MAX(I121+G122-H121-F122,0),0)</f>
        <v>0</v>
      </c>
      <c r="J122" s="18">
        <f ca="1">MONTH(A122)</f>
        <v>7</v>
      </c>
    </row>
    <row r="123" spans="1:10" s="18" customFormat="1" ht="18" customHeight="1">
      <c r="A123" s="318">
        <f ca="1">IF(ROWS($1:109)&gt;COUNT(Dong5),"",OFFSET(TH!C$1,SMALL(Dong5,ROWS($1:109)),))</f>
        <v>42430</v>
      </c>
      <c r="B123" s="318" t="str">
        <f ca="1">IF(ROWS($1:109)&gt;COUNT(Dong5),"",OFFSET(TH!D$1,SMALL(Dong5,ROWS($1:109)),))</f>
        <v>C03</v>
      </c>
      <c r="C123" s="318">
        <f ca="1">IF(ROWS($1:109)&gt;COUNT(Dong5),"",OFFSET(TH!E$1,SMALL(Dong5,ROWS($1:109)),))</f>
        <v>42397</v>
      </c>
      <c r="D123" s="383" t="str">
        <f ca="1">IF(ROWS($1:109)&gt;COUNT(Dong5),"",OFFSET(TH!F$1,SMALL(Dong5,ROWS($1:109)),))</f>
        <v>VAT Nước, nước thải, phí cơ sở hạ tầng</v>
      </c>
      <c r="E123" s="318" t="str">
        <f ca="1">IF(ROWS($1:109)&gt;COUNT(Dong5),"",IF(OFFSET(TH!N$1,SMALL(Dong5,ROWS($1:109)),)=$E$7,OFFSET(TH!O$1,SMALL(Dong5,ROWS($1:109)),),OFFSET(TH!N$1,SMALL(Dong5,ROWS($1:109)),)))</f>
        <v>1111</v>
      </c>
      <c r="F123" s="384">
        <f ca="1">IF(ROWS($1:109)&gt;COUNT(Dong5),0,IF(OFFSET(TH!N$1,SMALL(Dong5,ROWS($1:109)),)=$E$7,OFFSET(TH!M$1,SMALL(Dong5,ROWS($1:109)),),0))</f>
        <v>1078675</v>
      </c>
      <c r="G123" s="382">
        <f ca="1">IF(ROWS($1:109)&gt;COUNT(Dong5),0,IF(OFFSET(TH!O$1,SMALL(Dong5,ROWS($1:109)),)=$E$7,OFFSET(TH!M$1,SMALL(Dong5,ROWS($1:109)),),0))</f>
        <v>0</v>
      </c>
      <c r="H123" s="385">
        <f ca="1">IF(D123&lt;&gt;"",MAX(H122+F123-G123-I122,0),0)</f>
        <v>242084272</v>
      </c>
      <c r="I123" s="385">
        <f ca="1">IF(D123&lt;&gt;"",MAX(I122+G123-H122-F123,0),0)</f>
        <v>0</v>
      </c>
      <c r="J123" s="18">
        <f ca="1">MONTH(A123)</f>
        <v>3</v>
      </c>
    </row>
    <row r="124" spans="1:10" s="18" customFormat="1" ht="18" customHeight="1">
      <c r="A124" s="318">
        <f ca="1">IF(ROWS($1:110)&gt;COUNT(Dong5),"",OFFSET(TH!C$1,SMALL(Dong5,ROWS($1:110)),))</f>
        <v>42582</v>
      </c>
      <c r="B124" s="318" t="str">
        <f ca="1">IF(ROWS($1:110)&gt;COUNT(Dong5),"",OFFSET(TH!D$1,SMALL(Dong5,ROWS($1:110)),))</f>
        <v>CTGS</v>
      </c>
      <c r="C124" s="318">
        <f ca="1">IF(ROWS($1:110)&gt;COUNT(Dong5),"",OFFSET(TH!E$1,SMALL(Dong5,ROWS($1:110)),))</f>
        <v>42552</v>
      </c>
      <c r="D124" s="383" t="str">
        <f ca="1">IF(ROWS($1:110)&gt;COUNT(Dong5),"",OFFSET(TH!F$1,SMALL(Dong5,ROWS($1:110)),))</f>
        <v>VAT Clorine</v>
      </c>
      <c r="E124" s="318" t="str">
        <f ca="1">IF(ROWS($1:110)&gt;COUNT(Dong5),"",IF(OFFSET(TH!N$1,SMALL(Dong5,ROWS($1:110)),)=$E$7,OFFSET(TH!O$1,SMALL(Dong5,ROWS($1:110)),),OFFSET(TH!N$1,SMALL(Dong5,ROWS($1:110)),)))</f>
        <v>331</v>
      </c>
      <c r="F124" s="384">
        <f ca="1">IF(ROWS($1:110)&gt;COUNT(Dong5),0,IF(OFFSET(TH!N$1,SMALL(Dong5,ROWS($1:110)),)=$E$7,OFFSET(TH!M$1,SMALL(Dong5,ROWS($1:110)),),0))</f>
        <v>1068182</v>
      </c>
      <c r="G124" s="382">
        <f ca="1">IF(ROWS($1:110)&gt;COUNT(Dong5),0,IF(OFFSET(TH!O$1,SMALL(Dong5,ROWS($1:110)),)=$E$7,OFFSET(TH!M$1,SMALL(Dong5,ROWS($1:110)),),0))</f>
        <v>0</v>
      </c>
      <c r="H124" s="385">
        <f ca="1">IF(D124&lt;&gt;"",MAX(H123+F124-G124-I123,0),0)</f>
        <v>243152454</v>
      </c>
      <c r="I124" s="385">
        <f ca="1">IF(D124&lt;&gt;"",MAX(I123+G124-H123-F124,0),0)</f>
        <v>0</v>
      </c>
      <c r="J124" s="18">
        <f ca="1">MONTH(A124)</f>
        <v>7</v>
      </c>
    </row>
    <row r="125" spans="1:10" s="18" customFormat="1" ht="18" customHeight="1">
      <c r="A125" s="318">
        <f ca="1">IF(ROWS($1:111)&gt;COUNT(Dong5),"",OFFSET(TH!C$1,SMALL(Dong5,ROWS($1:111)),))</f>
        <v>42490</v>
      </c>
      <c r="B125" s="318" t="str">
        <f ca="1">IF(ROWS($1:111)&gt;COUNT(Dong5),"",OFFSET(TH!D$1,SMALL(Dong5,ROWS($1:111)),))</f>
        <v>CTGS</v>
      </c>
      <c r="C125" s="318">
        <f ca="1">IF(ROWS($1:111)&gt;COUNT(Dong5),"",OFFSET(TH!E$1,SMALL(Dong5,ROWS($1:111)),))</f>
        <v>42486</v>
      </c>
      <c r="D125" s="383" t="str">
        <f ca="1">IF(ROWS($1:111)&gt;COUNT(Dong5),"",OFFSET(TH!F$1,SMALL(Dong5,ROWS($1:111)),))</f>
        <v>VAT Tiền điện kỳ 3 T4/2016</v>
      </c>
      <c r="E125" s="318" t="str">
        <f ca="1">IF(ROWS($1:111)&gt;COUNT(Dong5),"",IF(OFFSET(TH!N$1,SMALL(Dong5,ROWS($1:111)),)=$E$7,OFFSET(TH!O$1,SMALL(Dong5,ROWS($1:111)),),OFFSET(TH!N$1,SMALL(Dong5,ROWS($1:111)),)))</f>
        <v>331</v>
      </c>
      <c r="F125" s="384">
        <f ca="1">IF(ROWS($1:111)&gt;COUNT(Dong5),0,IF(OFFSET(TH!N$1,SMALL(Dong5,ROWS($1:111)),)=$E$7,OFFSET(TH!M$1,SMALL(Dong5,ROWS($1:111)),),0))</f>
        <v>2434880</v>
      </c>
      <c r="G125" s="382">
        <f ca="1">IF(ROWS($1:111)&gt;COUNT(Dong5),0,IF(OFFSET(TH!O$1,SMALL(Dong5,ROWS($1:111)),)=$E$7,OFFSET(TH!M$1,SMALL(Dong5,ROWS($1:111)),),0))</f>
        <v>0</v>
      </c>
      <c r="H125" s="385">
        <f ca="1">IF(D125&lt;&gt;"",MAX(H124+F125-G125-I124,0),0)</f>
        <v>245587334</v>
      </c>
      <c r="I125" s="385">
        <f ca="1">IF(D125&lt;&gt;"",MAX(I124+G125-H124-F125,0),0)</f>
        <v>0</v>
      </c>
      <c r="J125" s="18">
        <f ca="1">MONTH(A125)</f>
        <v>4</v>
      </c>
    </row>
    <row r="126" spans="1:10" s="18" customFormat="1" ht="18" customHeight="1">
      <c r="A126" s="318">
        <f ca="1">IF(ROWS($1:112)&gt;COUNT(Dong5),"",OFFSET(TH!C$1,SMALL(Dong5,ROWS($1:112)),))</f>
        <v>42582</v>
      </c>
      <c r="B126" s="318" t="str">
        <f ca="1">IF(ROWS($1:112)&gt;COUNT(Dong5),"",OFFSET(TH!D$1,SMALL(Dong5,ROWS($1:112)),))</f>
        <v>CTGS</v>
      </c>
      <c r="C126" s="318">
        <f ca="1">IF(ROWS($1:112)&gt;COUNT(Dong5),"",OFFSET(TH!E$1,SMALL(Dong5,ROWS($1:112)),))</f>
        <v>42560</v>
      </c>
      <c r="D126" s="383" t="str">
        <f ca="1">IF(ROWS($1:112)&gt;COUNT(Dong5),"",OFFSET(TH!F$1,SMALL(Dong5,ROWS($1:112)),))</f>
        <v>VAT Clorine</v>
      </c>
      <c r="E126" s="318" t="str">
        <f ca="1">IF(ROWS($1:112)&gt;COUNT(Dong5),"",IF(OFFSET(TH!N$1,SMALL(Dong5,ROWS($1:112)),)=$E$7,OFFSET(TH!O$1,SMALL(Dong5,ROWS($1:112)),),OFFSET(TH!N$1,SMALL(Dong5,ROWS($1:112)),)))</f>
        <v>331</v>
      </c>
      <c r="F126" s="384">
        <f ca="1">IF(ROWS($1:112)&gt;COUNT(Dong5),0,IF(OFFSET(TH!N$1,SMALL(Dong5,ROWS($1:112)),)=$E$7,OFFSET(TH!M$1,SMALL(Dong5,ROWS($1:112)),),0))</f>
        <v>1068182</v>
      </c>
      <c r="G126" s="382">
        <f ca="1">IF(ROWS($1:112)&gt;COUNT(Dong5),0,IF(OFFSET(TH!O$1,SMALL(Dong5,ROWS($1:112)),)=$E$7,OFFSET(TH!M$1,SMALL(Dong5,ROWS($1:112)),),0))</f>
        <v>0</v>
      </c>
      <c r="H126" s="385">
        <f ca="1">IF(D126&lt;&gt;"",MAX(H125+F126-G126-I125,0),0)</f>
        <v>246655516</v>
      </c>
      <c r="I126" s="385">
        <f ca="1">IF(D126&lt;&gt;"",MAX(I125+G126-H125-F126,0),0)</f>
        <v>0</v>
      </c>
      <c r="J126" s="18">
        <f ca="1">MONTH(A126)</f>
        <v>7</v>
      </c>
    </row>
    <row r="127" spans="1:10" s="18" customFormat="1" ht="18" customHeight="1">
      <c r="A127" s="318">
        <f ca="1">IF(ROWS($1:113)&gt;COUNT(Dong5),"",OFFSET(TH!C$1,SMALL(Dong5,ROWS($1:113)),))</f>
        <v>42582</v>
      </c>
      <c r="B127" s="318" t="str">
        <f ca="1">IF(ROWS($1:113)&gt;COUNT(Dong5),"",OFFSET(TH!D$1,SMALL(Dong5,ROWS($1:113)),))</f>
        <v>CTGS</v>
      </c>
      <c r="C127" s="318">
        <f ca="1">IF(ROWS($1:113)&gt;COUNT(Dong5),"",OFFSET(TH!E$1,SMALL(Dong5,ROWS($1:113)),))</f>
        <v>42562</v>
      </c>
      <c r="D127" s="383" t="str">
        <f ca="1">IF(ROWS($1:113)&gt;COUNT(Dong5),"",OFFSET(TH!F$1,SMALL(Dong5,ROWS($1:113)),))</f>
        <v>VAT Phí vận đơn, dịch vụ, niêm chì, vận chuyển, nâng hạ</v>
      </c>
      <c r="E127" s="318" t="str">
        <f ca="1">IF(ROWS($1:113)&gt;COUNT(Dong5),"",IF(OFFSET(TH!N$1,SMALL(Dong5,ROWS($1:113)),)=$E$7,OFFSET(TH!O$1,SMALL(Dong5,ROWS($1:113)),),OFFSET(TH!N$1,SMALL(Dong5,ROWS($1:113)),)))</f>
        <v>331</v>
      </c>
      <c r="F127" s="384">
        <f ca="1">IF(ROWS($1:113)&gt;COUNT(Dong5),0,IF(OFFSET(TH!N$1,SMALL(Dong5,ROWS($1:113)),)=$E$7,OFFSET(TH!M$1,SMALL(Dong5,ROWS($1:113)),),0))</f>
        <v>783959</v>
      </c>
      <c r="G127" s="382">
        <f ca="1">IF(ROWS($1:113)&gt;COUNT(Dong5),0,IF(OFFSET(TH!O$1,SMALL(Dong5,ROWS($1:113)),)=$E$7,OFFSET(TH!M$1,SMALL(Dong5,ROWS($1:113)),),0))</f>
        <v>0</v>
      </c>
      <c r="H127" s="385">
        <f ca="1">IF(D127&lt;&gt;"",MAX(H126+F127-G127-I126,0),0)</f>
        <v>247439475</v>
      </c>
      <c r="I127" s="385">
        <f ca="1">IF(D127&lt;&gt;"",MAX(I126+G127-H126-F127,0),0)</f>
        <v>0</v>
      </c>
      <c r="J127" s="18">
        <f ca="1">MONTH(A127)</f>
        <v>7</v>
      </c>
    </row>
    <row r="128" spans="1:10" s="18" customFormat="1" ht="18" customHeight="1">
      <c r="A128" s="318">
        <f ca="1">IF(ROWS($1:114)&gt;COUNT(Dong5),"",OFFSET(TH!C$1,SMALL(Dong5,ROWS($1:114)),))</f>
        <v>42582</v>
      </c>
      <c r="B128" s="318" t="str">
        <f ca="1">IF(ROWS($1:114)&gt;COUNT(Dong5),"",OFFSET(TH!D$1,SMALL(Dong5,ROWS($1:114)),))</f>
        <v>CTGS</v>
      </c>
      <c r="C128" s="318">
        <f ca="1">IF(ROWS($1:114)&gt;COUNT(Dong5),"",OFFSET(TH!E$1,SMALL(Dong5,ROWS($1:114)),))</f>
        <v>42556</v>
      </c>
      <c r="D128" s="383" t="str">
        <f ca="1">IF(ROWS($1:114)&gt;COUNT(Dong5),"",OFFSET(TH!F$1,SMALL(Dong5,ROWS($1:114)),))</f>
        <v>VAT Phí xử lý cá khô</v>
      </c>
      <c r="E128" s="318" t="str">
        <f ca="1">IF(ROWS($1:114)&gt;COUNT(Dong5),"",IF(OFFSET(TH!N$1,SMALL(Dong5,ROWS($1:114)),)=$E$7,OFFSET(TH!O$1,SMALL(Dong5,ROWS($1:114)),),OFFSET(TH!N$1,SMALL(Dong5,ROWS($1:114)),)))</f>
        <v>331</v>
      </c>
      <c r="F128" s="384">
        <f ca="1">IF(ROWS($1:114)&gt;COUNT(Dong5),0,IF(OFFSET(TH!N$1,SMALL(Dong5,ROWS($1:114)),)=$E$7,OFFSET(TH!M$1,SMALL(Dong5,ROWS($1:114)),),0))</f>
        <v>200000</v>
      </c>
      <c r="G128" s="382">
        <f ca="1">IF(ROWS($1:114)&gt;COUNT(Dong5),0,IF(OFFSET(TH!O$1,SMALL(Dong5,ROWS($1:114)),)=$E$7,OFFSET(TH!M$1,SMALL(Dong5,ROWS($1:114)),),0))</f>
        <v>0</v>
      </c>
      <c r="H128" s="385">
        <f ca="1">IF(D128&lt;&gt;"",MAX(H127+F128-G128-I127,0),0)</f>
        <v>247639475</v>
      </c>
      <c r="I128" s="385">
        <f ca="1">IF(D128&lt;&gt;"",MAX(I127+G128-H127-F128,0),0)</f>
        <v>0</v>
      </c>
      <c r="J128" s="18">
        <f ca="1">MONTH(A128)</f>
        <v>7</v>
      </c>
    </row>
    <row r="129" spans="1:10" s="18" customFormat="1" ht="18" customHeight="1">
      <c r="A129" s="318">
        <f ca="1">IF(ROWS($1:115)&gt;COUNT(Dong5),"",OFFSET(TH!C$1,SMALL(Dong5,ROWS($1:115)),))</f>
        <v>42582</v>
      </c>
      <c r="B129" s="318" t="str">
        <f ca="1">IF(ROWS($1:115)&gt;COUNT(Dong5),"",OFFSET(TH!D$1,SMALL(Dong5,ROWS($1:115)),))</f>
        <v>CTGS</v>
      </c>
      <c r="C129" s="318">
        <f ca="1">IF(ROWS($1:115)&gt;COUNT(Dong5),"",OFFSET(TH!E$1,SMALL(Dong5,ROWS($1:115)),))</f>
        <v>42573</v>
      </c>
      <c r="D129" s="383" t="str">
        <f ca="1">IF(ROWS($1:115)&gt;COUNT(Dong5),"",OFFSET(TH!F$1,SMALL(Dong5,ROWS($1:115)),))</f>
        <v>VAT Phí xử lý cá khô</v>
      </c>
      <c r="E129" s="318" t="str">
        <f ca="1">IF(ROWS($1:115)&gt;COUNT(Dong5),"",IF(OFFSET(TH!N$1,SMALL(Dong5,ROWS($1:115)),)=$E$7,OFFSET(TH!O$1,SMALL(Dong5,ROWS($1:115)),),OFFSET(TH!N$1,SMALL(Dong5,ROWS($1:115)),)))</f>
        <v>331</v>
      </c>
      <c r="F129" s="384">
        <f ca="1">IF(ROWS($1:115)&gt;COUNT(Dong5),0,IF(OFFSET(TH!N$1,SMALL(Dong5,ROWS($1:115)),)=$E$7,OFFSET(TH!M$1,SMALL(Dong5,ROWS($1:115)),),0))</f>
        <v>200000</v>
      </c>
      <c r="G129" s="382">
        <f ca="1">IF(ROWS($1:115)&gt;COUNT(Dong5),0,IF(OFFSET(TH!O$1,SMALL(Dong5,ROWS($1:115)),)=$E$7,OFFSET(TH!M$1,SMALL(Dong5,ROWS($1:115)),),0))</f>
        <v>0</v>
      </c>
      <c r="H129" s="385">
        <f ca="1">IF(D129&lt;&gt;"",MAX(H128+F129-G129-I128,0),0)</f>
        <v>247839475</v>
      </c>
      <c r="I129" s="385">
        <f ca="1">IF(D129&lt;&gt;"",MAX(I128+G129-H128-F129,0),0)</f>
        <v>0</v>
      </c>
      <c r="J129" s="18">
        <f ca="1">MONTH(A129)</f>
        <v>7</v>
      </c>
    </row>
    <row r="130" spans="1:10" s="18" customFormat="1" ht="18" customHeight="1">
      <c r="A130" s="318">
        <f ca="1">IF(ROWS($1:116)&gt;COUNT(Dong5),"",OFFSET(TH!C$1,SMALL(Dong5,ROWS($1:116)),))</f>
        <v>42521</v>
      </c>
      <c r="B130" s="318" t="str">
        <f ca="1">IF(ROWS($1:116)&gt;COUNT(Dong5),"",OFFSET(TH!D$1,SMALL(Dong5,ROWS($1:116)),))</f>
        <v>CTGS</v>
      </c>
      <c r="C130" s="318">
        <f ca="1">IF(ROWS($1:116)&gt;COUNT(Dong5),"",OFFSET(TH!E$1,SMALL(Dong5,ROWS($1:116)),))</f>
        <v>42496</v>
      </c>
      <c r="D130" s="383" t="str">
        <f ca="1">IF(ROWS($1:116)&gt;COUNT(Dong5),"",OFFSET(TH!F$1,SMALL(Dong5,ROWS($1:116)),))</f>
        <v>VAT Tiền điện kỳ 1 T5/2016</v>
      </c>
      <c r="E130" s="318" t="str">
        <f ca="1">IF(ROWS($1:116)&gt;COUNT(Dong5),"",IF(OFFSET(TH!N$1,SMALL(Dong5,ROWS($1:116)),)=$E$7,OFFSET(TH!O$1,SMALL(Dong5,ROWS($1:116)),),OFFSET(TH!N$1,SMALL(Dong5,ROWS($1:116)),)))</f>
        <v>331</v>
      </c>
      <c r="F130" s="384">
        <f ca="1">IF(ROWS($1:116)&gt;COUNT(Dong5),0,IF(OFFSET(TH!N$1,SMALL(Dong5,ROWS($1:116)),)=$E$7,OFFSET(TH!M$1,SMALL(Dong5,ROWS($1:116)),),0))</f>
        <v>2589690</v>
      </c>
      <c r="G130" s="382">
        <f ca="1">IF(ROWS($1:116)&gt;COUNT(Dong5),0,IF(OFFSET(TH!O$1,SMALL(Dong5,ROWS($1:116)),)=$E$7,OFFSET(TH!M$1,SMALL(Dong5,ROWS($1:116)),),0))</f>
        <v>0</v>
      </c>
      <c r="H130" s="385">
        <f ca="1">IF(D130&lt;&gt;"",MAX(H129+F130-G130-I129,0),0)</f>
        <v>250429165</v>
      </c>
      <c r="I130" s="385">
        <f ca="1">IF(D130&lt;&gt;"",MAX(I129+G130-H129-F130,0),0)</f>
        <v>0</v>
      </c>
      <c r="J130" s="18">
        <f ca="1">MONTH(A130)</f>
        <v>5</v>
      </c>
    </row>
    <row r="131" spans="1:10" s="18" customFormat="1" ht="18" customHeight="1">
      <c r="A131" s="318">
        <f ca="1">IF(ROWS($1:117)&gt;COUNT(Dong5),"",OFFSET(TH!C$1,SMALL(Dong5,ROWS($1:117)),))</f>
        <v>42431</v>
      </c>
      <c r="B131" s="318" t="str">
        <f ca="1">IF(ROWS($1:117)&gt;COUNT(Dong5),"",OFFSET(TH!D$1,SMALL(Dong5,ROWS($1:117)),))</f>
        <v>C13</v>
      </c>
      <c r="C131" s="318">
        <f ca="1">IF(ROWS($1:117)&gt;COUNT(Dong5),"",OFFSET(TH!E$1,SMALL(Dong5,ROWS($1:117)),))</f>
        <v>42429</v>
      </c>
      <c r="D131" s="383" t="str">
        <f ca="1">IF(ROWS($1:117)&gt;COUNT(Dong5),"",OFFSET(TH!F$1,SMALL(Dong5,ROWS($1:117)),))</f>
        <v>VAT Nước, nước thải, phí cơ sở hạ tầng</v>
      </c>
      <c r="E131" s="318" t="str">
        <f ca="1">IF(ROWS($1:117)&gt;COUNT(Dong5),"",IF(OFFSET(TH!N$1,SMALL(Dong5,ROWS($1:117)),)=$E$7,OFFSET(TH!O$1,SMALL(Dong5,ROWS($1:117)),),OFFSET(TH!N$1,SMALL(Dong5,ROWS($1:117)),)))</f>
        <v>1111</v>
      </c>
      <c r="F131" s="384">
        <f ca="1">IF(ROWS($1:117)&gt;COUNT(Dong5),0,IF(OFFSET(TH!N$1,SMALL(Dong5,ROWS($1:117)),)=$E$7,OFFSET(TH!M$1,SMALL(Dong5,ROWS($1:117)),),0))</f>
        <v>1017425</v>
      </c>
      <c r="G131" s="382">
        <f ca="1">IF(ROWS($1:117)&gt;COUNT(Dong5),0,IF(OFFSET(TH!O$1,SMALL(Dong5,ROWS($1:117)),)=$E$7,OFFSET(TH!M$1,SMALL(Dong5,ROWS($1:117)),),0))</f>
        <v>0</v>
      </c>
      <c r="H131" s="385">
        <f ca="1">IF(D131&lt;&gt;"",MAX(H130+F131-G131-I130,0),0)</f>
        <v>251446590</v>
      </c>
      <c r="I131" s="385">
        <f ca="1">IF(D131&lt;&gt;"",MAX(I130+G131-H130-F131,0),0)</f>
        <v>0</v>
      </c>
      <c r="J131" s="18">
        <f ca="1">MONTH(A131)</f>
        <v>3</v>
      </c>
    </row>
    <row r="132" spans="1:10" s="18" customFormat="1" ht="18" customHeight="1">
      <c r="A132" s="318">
        <f ca="1">IF(ROWS($1:118)&gt;COUNT(Dong5),"",OFFSET(TH!C$1,SMALL(Dong5,ROWS($1:118)),))</f>
        <v>42613</v>
      </c>
      <c r="B132" s="318" t="str">
        <f ca="1">IF(ROWS($1:118)&gt;COUNT(Dong5),"",OFFSET(TH!D$1,SMALL(Dong5,ROWS($1:118)),))</f>
        <v>CTGS</v>
      </c>
      <c r="C132" s="318">
        <f ca="1">IF(ROWS($1:118)&gt;COUNT(Dong5),"",OFFSET(TH!E$1,SMALL(Dong5,ROWS($1:118)),))</f>
        <v>42585</v>
      </c>
      <c r="D132" s="383" t="str">
        <f ca="1">IF(ROWS($1:118)&gt;COUNT(Dong5),"",OFFSET(TH!F$1,SMALL(Dong5,ROWS($1:118)),))</f>
        <v>VAT Clorine</v>
      </c>
      <c r="E132" s="318" t="str">
        <f ca="1">IF(ROWS($1:118)&gt;COUNT(Dong5),"",IF(OFFSET(TH!N$1,SMALL(Dong5,ROWS($1:118)),)=$E$7,OFFSET(TH!O$1,SMALL(Dong5,ROWS($1:118)),),OFFSET(TH!N$1,SMALL(Dong5,ROWS($1:118)),)))</f>
        <v>331</v>
      </c>
      <c r="F132" s="384">
        <f ca="1">IF(ROWS($1:118)&gt;COUNT(Dong5),0,IF(OFFSET(TH!N$1,SMALL(Dong5,ROWS($1:118)),)=$E$7,OFFSET(TH!M$1,SMALL(Dong5,ROWS($1:118)),),0))</f>
        <v>3204545</v>
      </c>
      <c r="G132" s="382">
        <f ca="1">IF(ROWS($1:118)&gt;COUNT(Dong5),0,IF(OFFSET(TH!O$1,SMALL(Dong5,ROWS($1:118)),)=$E$7,OFFSET(TH!M$1,SMALL(Dong5,ROWS($1:118)),),0))</f>
        <v>0</v>
      </c>
      <c r="H132" s="385">
        <f ca="1">IF(D132&lt;&gt;"",MAX(H131+F132-G132-I131,0),0)</f>
        <v>254651135</v>
      </c>
      <c r="I132" s="385">
        <f ca="1">IF(D132&lt;&gt;"",MAX(I131+G132-H131-F132,0),0)</f>
        <v>0</v>
      </c>
      <c r="J132" s="18">
        <f ca="1">MONTH(A132)</f>
        <v>8</v>
      </c>
    </row>
    <row r="133" spans="1:10" s="18" customFormat="1" ht="18" customHeight="1">
      <c r="A133" s="318">
        <f ca="1">IF(ROWS($1:119)&gt;COUNT(Dong5),"",OFFSET(TH!C$1,SMALL(Dong5,ROWS($1:119)),))</f>
        <v>42521</v>
      </c>
      <c r="B133" s="318" t="str">
        <f ca="1">IF(ROWS($1:119)&gt;COUNT(Dong5),"",OFFSET(TH!D$1,SMALL(Dong5,ROWS($1:119)),))</f>
        <v>CTGS</v>
      </c>
      <c r="C133" s="318">
        <f ca="1">IF(ROWS($1:119)&gt;COUNT(Dong5),"",OFFSET(TH!E$1,SMALL(Dong5,ROWS($1:119)),))</f>
        <v>42506</v>
      </c>
      <c r="D133" s="383" t="str">
        <f ca="1">IF(ROWS($1:119)&gt;COUNT(Dong5),"",OFFSET(TH!F$1,SMALL(Dong5,ROWS($1:119)),))</f>
        <v>VAT Tiền điện kỳ 2 T5/2016</v>
      </c>
      <c r="E133" s="318" t="str">
        <f ca="1">IF(ROWS($1:119)&gt;COUNT(Dong5),"",IF(OFFSET(TH!N$1,SMALL(Dong5,ROWS($1:119)),)=$E$7,OFFSET(TH!O$1,SMALL(Dong5,ROWS($1:119)),),OFFSET(TH!N$1,SMALL(Dong5,ROWS($1:119)),)))</f>
        <v>331</v>
      </c>
      <c r="F133" s="384">
        <f ca="1">IF(ROWS($1:119)&gt;COUNT(Dong5),0,IF(OFFSET(TH!N$1,SMALL(Dong5,ROWS($1:119)),)=$E$7,OFFSET(TH!M$1,SMALL(Dong5,ROWS($1:119)),),0))</f>
        <v>3211150</v>
      </c>
      <c r="G133" s="382">
        <f ca="1">IF(ROWS($1:119)&gt;COUNT(Dong5),0,IF(OFFSET(TH!O$1,SMALL(Dong5,ROWS($1:119)),)=$E$7,OFFSET(TH!M$1,SMALL(Dong5,ROWS($1:119)),),0))</f>
        <v>0</v>
      </c>
      <c r="H133" s="385">
        <f ca="1">IF(D133&lt;&gt;"",MAX(H132+F133-G133-I132,0),0)</f>
        <v>257862285</v>
      </c>
      <c r="I133" s="385">
        <f ca="1">IF(D133&lt;&gt;"",MAX(I132+G133-H132-F133,0),0)</f>
        <v>0</v>
      </c>
      <c r="J133" s="18">
        <f ca="1">MONTH(A133)</f>
        <v>5</v>
      </c>
    </row>
    <row r="134" spans="1:10" s="18" customFormat="1" ht="18" customHeight="1">
      <c r="A134" s="318">
        <f ca="1">IF(ROWS($1:120)&gt;COUNT(Dong5),"",OFFSET(TH!C$1,SMALL(Dong5,ROWS($1:120)),))</f>
        <v>42582</v>
      </c>
      <c r="B134" s="318" t="str">
        <f ca="1">IF(ROWS($1:120)&gt;COUNT(Dong5),"",OFFSET(TH!D$1,SMALL(Dong5,ROWS($1:120)),))</f>
        <v>CTGS</v>
      </c>
      <c r="C134" s="318">
        <f ca="1">IF(ROWS($1:120)&gt;COUNT(Dong5),"",OFFSET(TH!E$1,SMALL(Dong5,ROWS($1:120)),))</f>
        <v>42577</v>
      </c>
      <c r="D134" s="383" t="str">
        <f ca="1">IF(ROWS($1:120)&gt;COUNT(Dong5),"",OFFSET(TH!F$1,SMALL(Dong5,ROWS($1:120)),))</f>
        <v>VAT Phí xử lý cá khô</v>
      </c>
      <c r="E134" s="318" t="str">
        <f ca="1">IF(ROWS($1:120)&gt;COUNT(Dong5),"",IF(OFFSET(TH!N$1,SMALL(Dong5,ROWS($1:120)),)=$E$7,OFFSET(TH!O$1,SMALL(Dong5,ROWS($1:120)),),OFFSET(TH!N$1,SMALL(Dong5,ROWS($1:120)),)))</f>
        <v>331</v>
      </c>
      <c r="F134" s="384">
        <f ca="1">IF(ROWS($1:120)&gt;COUNT(Dong5),0,IF(OFFSET(TH!N$1,SMALL(Dong5,ROWS($1:120)),)=$E$7,OFFSET(TH!M$1,SMALL(Dong5,ROWS($1:120)),),0))</f>
        <v>200000</v>
      </c>
      <c r="G134" s="382">
        <f ca="1">IF(ROWS($1:120)&gt;COUNT(Dong5),0,IF(OFFSET(TH!O$1,SMALL(Dong5,ROWS($1:120)),)=$E$7,OFFSET(TH!M$1,SMALL(Dong5,ROWS($1:120)),),0))</f>
        <v>0</v>
      </c>
      <c r="H134" s="385">
        <f ca="1">IF(D134&lt;&gt;"",MAX(H133+F134-G134-I133,0),0)</f>
        <v>258062285</v>
      </c>
      <c r="I134" s="385">
        <f ca="1">IF(D134&lt;&gt;"",MAX(I133+G134-H133-F134,0),0)</f>
        <v>0</v>
      </c>
      <c r="J134" s="18">
        <f ca="1">MONTH(A134)</f>
        <v>7</v>
      </c>
    </row>
    <row r="135" spans="1:10" s="18" customFormat="1" ht="18" customHeight="1">
      <c r="A135" s="318">
        <f ca="1">IF(ROWS($1:121)&gt;COUNT(Dong5),"",OFFSET(TH!C$1,SMALL(Dong5,ROWS($1:121)),))</f>
        <v>42613</v>
      </c>
      <c r="B135" s="318" t="str">
        <f ca="1">IF(ROWS($1:121)&gt;COUNT(Dong5),"",OFFSET(TH!D$1,SMALL(Dong5,ROWS($1:121)),))</f>
        <v>CTGS</v>
      </c>
      <c r="C135" s="318">
        <f ca="1">IF(ROWS($1:121)&gt;COUNT(Dong5),"",OFFSET(TH!E$1,SMALL(Dong5,ROWS($1:121)),))</f>
        <v>42591</v>
      </c>
      <c r="D135" s="383" t="str">
        <f ca="1">IF(ROWS($1:121)&gt;COUNT(Dong5),"",OFFSET(TH!F$1,SMALL(Dong5,ROWS($1:121)),))</f>
        <v>VAT Phí xử lý cá khô</v>
      </c>
      <c r="E135" s="318" t="str">
        <f ca="1">IF(ROWS($1:121)&gt;COUNT(Dong5),"",IF(OFFSET(TH!N$1,SMALL(Dong5,ROWS($1:121)),)=$E$7,OFFSET(TH!O$1,SMALL(Dong5,ROWS($1:121)),),OFFSET(TH!N$1,SMALL(Dong5,ROWS($1:121)),)))</f>
        <v>331</v>
      </c>
      <c r="F135" s="384">
        <f ca="1">IF(ROWS($1:121)&gt;COUNT(Dong5),0,IF(OFFSET(TH!N$1,SMALL(Dong5,ROWS($1:121)),)=$E$7,OFFSET(TH!M$1,SMALL(Dong5,ROWS($1:121)),),0))</f>
        <v>200000</v>
      </c>
      <c r="G135" s="382">
        <f ca="1">IF(ROWS($1:121)&gt;COUNT(Dong5),0,IF(OFFSET(TH!O$1,SMALL(Dong5,ROWS($1:121)),)=$E$7,OFFSET(TH!M$1,SMALL(Dong5,ROWS($1:121)),),0))</f>
        <v>0</v>
      </c>
      <c r="H135" s="385">
        <f ca="1">IF(D135&lt;&gt;"",MAX(H134+F135-G135-I134,0),0)</f>
        <v>258262285</v>
      </c>
      <c r="I135" s="385">
        <f ca="1">IF(D135&lt;&gt;"",MAX(I134+G135-H134-F135,0),0)</f>
        <v>0</v>
      </c>
      <c r="J135" s="18">
        <f ca="1">MONTH(A135)</f>
        <v>8</v>
      </c>
    </row>
    <row r="136" spans="1:10" s="18" customFormat="1" ht="18" customHeight="1">
      <c r="A136" s="318">
        <f ca="1">IF(ROWS($1:122)&gt;COUNT(Dong5),"",OFFSET(TH!C$1,SMALL(Dong5,ROWS($1:122)),))</f>
        <v>42521</v>
      </c>
      <c r="B136" s="318" t="str">
        <f ca="1">IF(ROWS($1:122)&gt;COUNT(Dong5),"",OFFSET(TH!D$1,SMALL(Dong5,ROWS($1:122)),))</f>
        <v>CTGS</v>
      </c>
      <c r="C136" s="318">
        <f ca="1">IF(ROWS($1:122)&gt;COUNT(Dong5),"",OFFSET(TH!E$1,SMALL(Dong5,ROWS($1:122)),))</f>
        <v>42516</v>
      </c>
      <c r="D136" s="383" t="str">
        <f ca="1">IF(ROWS($1:122)&gt;COUNT(Dong5),"",OFFSET(TH!F$1,SMALL(Dong5,ROWS($1:122)),))</f>
        <v>VAT Tiền điện kỳ 3 T5/2016</v>
      </c>
      <c r="E136" s="318" t="str">
        <f ca="1">IF(ROWS($1:122)&gt;COUNT(Dong5),"",IF(OFFSET(TH!N$1,SMALL(Dong5,ROWS($1:122)),)=$E$7,OFFSET(TH!O$1,SMALL(Dong5,ROWS($1:122)),),OFFSET(TH!N$1,SMALL(Dong5,ROWS($1:122)),)))</f>
        <v>331</v>
      </c>
      <c r="F136" s="384">
        <f ca="1">IF(ROWS($1:122)&gt;COUNT(Dong5),0,IF(OFFSET(TH!N$1,SMALL(Dong5,ROWS($1:122)),)=$E$7,OFFSET(TH!M$1,SMALL(Dong5,ROWS($1:122)),),0))</f>
        <v>2848030</v>
      </c>
      <c r="G136" s="382">
        <f ca="1">IF(ROWS($1:122)&gt;COUNT(Dong5),0,IF(OFFSET(TH!O$1,SMALL(Dong5,ROWS($1:122)),)=$E$7,OFFSET(TH!M$1,SMALL(Dong5,ROWS($1:122)),),0))</f>
        <v>0</v>
      </c>
      <c r="H136" s="385">
        <f ca="1">IF(D136&lt;&gt;"",MAX(H135+F136-G136-I135,0),0)</f>
        <v>261110315</v>
      </c>
      <c r="I136" s="385">
        <f ca="1">IF(D136&lt;&gt;"",MAX(I135+G136-H135-F136,0),0)</f>
        <v>0</v>
      </c>
      <c r="J136" s="18">
        <f ca="1">MONTH(A136)</f>
        <v>5</v>
      </c>
    </row>
    <row r="137" spans="1:10" s="18" customFormat="1" ht="18" customHeight="1">
      <c r="A137" s="318">
        <f ca="1">IF(ROWS($1:123)&gt;COUNT(Dong5),"",OFFSET(TH!C$1,SMALL(Dong5,ROWS($1:123)),))</f>
        <v>42613</v>
      </c>
      <c r="B137" s="318" t="str">
        <f ca="1">IF(ROWS($1:123)&gt;COUNT(Dong5),"",OFFSET(TH!D$1,SMALL(Dong5,ROWS($1:123)),))</f>
        <v>CTGS</v>
      </c>
      <c r="C137" s="318">
        <f ca="1">IF(ROWS($1:123)&gt;COUNT(Dong5),"",OFFSET(TH!E$1,SMALL(Dong5,ROWS($1:123)),))</f>
        <v>42600</v>
      </c>
      <c r="D137" s="383" t="str">
        <f ca="1">IF(ROWS($1:123)&gt;COUNT(Dong5),"",OFFSET(TH!F$1,SMALL(Dong5,ROWS($1:123)),))</f>
        <v>VAT Phí chứng từ, xếp dỡ, niêm chì</v>
      </c>
      <c r="E137" s="318" t="str">
        <f ca="1">IF(ROWS($1:123)&gt;COUNT(Dong5),"",IF(OFFSET(TH!N$1,SMALL(Dong5,ROWS($1:123)),)=$E$7,OFFSET(TH!O$1,SMALL(Dong5,ROWS($1:123)),),OFFSET(TH!N$1,SMALL(Dong5,ROWS($1:123)),)))</f>
        <v>331</v>
      </c>
      <c r="F137" s="384">
        <f ca="1">IF(ROWS($1:123)&gt;COUNT(Dong5),0,IF(OFFSET(TH!N$1,SMALL(Dong5,ROWS($1:123)),)=$E$7,OFFSET(TH!M$1,SMALL(Dong5,ROWS($1:123)),),0))</f>
        <v>373154</v>
      </c>
      <c r="G137" s="382">
        <f ca="1">IF(ROWS($1:123)&gt;COUNT(Dong5),0,IF(OFFSET(TH!O$1,SMALL(Dong5,ROWS($1:123)),)=$E$7,OFFSET(TH!M$1,SMALL(Dong5,ROWS($1:123)),),0))</f>
        <v>0</v>
      </c>
      <c r="H137" s="385">
        <f ca="1">IF(D137&lt;&gt;"",MAX(H136+F137-G137-I136,0),0)</f>
        <v>261483469</v>
      </c>
      <c r="I137" s="385">
        <f ca="1">IF(D137&lt;&gt;"",MAX(I136+G137-H136-F137,0),0)</f>
        <v>0</v>
      </c>
      <c r="J137" s="18">
        <f ca="1">MONTH(A137)</f>
        <v>8</v>
      </c>
    </row>
    <row r="138" spans="1:10" s="18" customFormat="1" ht="18" customHeight="1">
      <c r="A138" s="318">
        <f ca="1">IF(ROWS($1:124)&gt;COUNT(Dong5),"",OFFSET(TH!C$1,SMALL(Dong5,ROWS($1:124)),))</f>
        <v>42613</v>
      </c>
      <c r="B138" s="318" t="str">
        <f ca="1">IF(ROWS($1:124)&gt;COUNT(Dong5),"",OFFSET(TH!D$1,SMALL(Dong5,ROWS($1:124)),))</f>
        <v>CTGS</v>
      </c>
      <c r="C138" s="318">
        <f ca="1">IF(ROWS($1:124)&gt;COUNT(Dong5),"",OFFSET(TH!E$1,SMALL(Dong5,ROWS($1:124)),))</f>
        <v>42593</v>
      </c>
      <c r="D138" s="383" t="str">
        <f ca="1">IF(ROWS($1:124)&gt;COUNT(Dong5),"",OFFSET(TH!F$1,SMALL(Dong5,ROWS($1:124)),))</f>
        <v>VAT Phí xử lý cá khô</v>
      </c>
      <c r="E138" s="318" t="str">
        <f ca="1">IF(ROWS($1:124)&gt;COUNT(Dong5),"",IF(OFFSET(TH!N$1,SMALL(Dong5,ROWS($1:124)),)=$E$7,OFFSET(TH!O$1,SMALL(Dong5,ROWS($1:124)),),OFFSET(TH!N$1,SMALL(Dong5,ROWS($1:124)),)))</f>
        <v>331</v>
      </c>
      <c r="F138" s="384">
        <f ca="1">IF(ROWS($1:124)&gt;COUNT(Dong5),0,IF(OFFSET(TH!N$1,SMALL(Dong5,ROWS($1:124)),)=$E$7,OFFSET(TH!M$1,SMALL(Dong5,ROWS($1:124)),),0))</f>
        <v>200000</v>
      </c>
      <c r="G138" s="382">
        <f ca="1">IF(ROWS($1:124)&gt;COUNT(Dong5),0,IF(OFFSET(TH!O$1,SMALL(Dong5,ROWS($1:124)),)=$E$7,OFFSET(TH!M$1,SMALL(Dong5,ROWS($1:124)),),0))</f>
        <v>0</v>
      </c>
      <c r="H138" s="385">
        <f ca="1">IF(D138&lt;&gt;"",MAX(H137+F138-G138-I137,0),0)</f>
        <v>261683469</v>
      </c>
      <c r="I138" s="385">
        <f ca="1">IF(D138&lt;&gt;"",MAX(I137+G138-H137-F138,0),0)</f>
        <v>0</v>
      </c>
      <c r="J138" s="18">
        <f ca="1">MONTH(A138)</f>
        <v>8</v>
      </c>
    </row>
    <row r="139" spans="1:10" s="18" customFormat="1" ht="18" customHeight="1">
      <c r="A139" s="318">
        <f ca="1">IF(ROWS($1:125)&gt;COUNT(Dong5),"",OFFSET(TH!C$1,SMALL(Dong5,ROWS($1:125)),))</f>
        <v>42613</v>
      </c>
      <c r="B139" s="318" t="str">
        <f ca="1">IF(ROWS($1:125)&gt;COUNT(Dong5),"",OFFSET(TH!D$1,SMALL(Dong5,ROWS($1:125)),))</f>
        <v>CTGS</v>
      </c>
      <c r="C139" s="318">
        <f ca="1">IF(ROWS($1:125)&gt;COUNT(Dong5),"",OFFSET(TH!E$1,SMALL(Dong5,ROWS($1:125)),))</f>
        <v>42613</v>
      </c>
      <c r="D139" s="383" t="str">
        <f ca="1">IF(ROWS($1:125)&gt;COUNT(Dong5),"",OFFSET(TH!F$1,SMALL(Dong5,ROWS($1:125)),))</f>
        <v>VAT Phí chứng từ, xếp dỡ, niêm chì</v>
      </c>
      <c r="E139" s="318" t="str">
        <f ca="1">IF(ROWS($1:125)&gt;COUNT(Dong5),"",IF(OFFSET(TH!N$1,SMALL(Dong5,ROWS($1:125)),)=$E$7,OFFSET(TH!O$1,SMALL(Dong5,ROWS($1:125)),),OFFSET(TH!N$1,SMALL(Dong5,ROWS($1:125)),)))</f>
        <v>331</v>
      </c>
      <c r="F139" s="384">
        <f ca="1">IF(ROWS($1:125)&gt;COUNT(Dong5),0,IF(OFFSET(TH!N$1,SMALL(Dong5,ROWS($1:125)),)=$E$7,OFFSET(TH!M$1,SMALL(Dong5,ROWS($1:125)),),0))</f>
        <v>438292</v>
      </c>
      <c r="G139" s="382">
        <f ca="1">IF(ROWS($1:125)&gt;COUNT(Dong5),0,IF(OFFSET(TH!O$1,SMALL(Dong5,ROWS($1:125)),)=$E$7,OFFSET(TH!M$1,SMALL(Dong5,ROWS($1:125)),),0))</f>
        <v>0</v>
      </c>
      <c r="H139" s="385">
        <f ca="1">IF(D139&lt;&gt;"",MAX(H138+F139-G139-I138,0),0)</f>
        <v>262121761</v>
      </c>
      <c r="I139" s="385">
        <f ca="1">IF(D139&lt;&gt;"",MAX(I138+G139-H138-F139,0),0)</f>
        <v>0</v>
      </c>
      <c r="J139" s="18">
        <f ca="1">MONTH(A139)</f>
        <v>8</v>
      </c>
    </row>
    <row r="140" spans="1:10" s="18" customFormat="1" ht="18" customHeight="1">
      <c r="A140" s="318">
        <f ca="1">IF(ROWS($1:126)&gt;COUNT(Dong5),"",OFFSET(TH!C$1,SMALL(Dong5,ROWS($1:126)),))</f>
        <v>42613</v>
      </c>
      <c r="B140" s="318" t="str">
        <f ca="1">IF(ROWS($1:126)&gt;COUNT(Dong5),"",OFFSET(TH!D$1,SMALL(Dong5,ROWS($1:126)),))</f>
        <v>CTGS</v>
      </c>
      <c r="C140" s="318">
        <f ca="1">IF(ROWS($1:126)&gt;COUNT(Dong5),"",OFFSET(TH!E$1,SMALL(Dong5,ROWS($1:126)),))</f>
        <v>42590</v>
      </c>
      <c r="D140" s="383" t="str">
        <f ca="1">IF(ROWS($1:126)&gt;COUNT(Dong5),"",OFFSET(TH!F$1,SMALL(Dong5,ROWS($1:126)),))</f>
        <v>VAT Phí vận đơn, dịch vụ, niêm chì, vận chuyển, nâng hạ</v>
      </c>
      <c r="E140" s="318" t="str">
        <f ca="1">IF(ROWS($1:126)&gt;COUNT(Dong5),"",IF(OFFSET(TH!N$1,SMALL(Dong5,ROWS($1:126)),)=$E$7,OFFSET(TH!O$1,SMALL(Dong5,ROWS($1:126)),),OFFSET(TH!N$1,SMALL(Dong5,ROWS($1:126)),)))</f>
        <v>331</v>
      </c>
      <c r="F140" s="384">
        <f ca="1">IF(ROWS($1:126)&gt;COUNT(Dong5),0,IF(OFFSET(TH!N$1,SMALL(Dong5,ROWS($1:126)),)=$E$7,OFFSET(TH!M$1,SMALL(Dong5,ROWS($1:126)),),0))</f>
        <v>850773</v>
      </c>
      <c r="G140" s="382">
        <f ca="1">IF(ROWS($1:126)&gt;COUNT(Dong5),0,IF(OFFSET(TH!O$1,SMALL(Dong5,ROWS($1:126)),)=$E$7,OFFSET(TH!M$1,SMALL(Dong5,ROWS($1:126)),),0))</f>
        <v>0</v>
      </c>
      <c r="H140" s="385">
        <f ca="1">IF(D140&lt;&gt;"",MAX(H139+F140-G140-I139,0),0)</f>
        <v>262972534</v>
      </c>
      <c r="I140" s="385">
        <f ca="1">IF(D140&lt;&gt;"",MAX(I139+G140-H139-F140,0),0)</f>
        <v>0</v>
      </c>
      <c r="J140" s="18">
        <f ca="1">MONTH(A140)</f>
        <v>8</v>
      </c>
    </row>
    <row r="141" spans="1:10" s="18" customFormat="1" ht="18" customHeight="1">
      <c r="A141" s="318">
        <f ca="1">IF(ROWS($1:127)&gt;COUNT(Dong5),"",OFFSET(TH!C$1,SMALL(Dong5,ROWS($1:127)),))</f>
        <v>42643</v>
      </c>
      <c r="B141" s="318" t="str">
        <f ca="1">IF(ROWS($1:127)&gt;COUNT(Dong5),"",OFFSET(TH!D$1,SMALL(Dong5,ROWS($1:127)),))</f>
        <v>CTGS</v>
      </c>
      <c r="C141" s="318">
        <f ca="1">IF(ROWS($1:127)&gt;COUNT(Dong5),"",OFFSET(TH!E$1,SMALL(Dong5,ROWS($1:127)),))</f>
        <v>42621</v>
      </c>
      <c r="D141" s="383" t="str">
        <f ca="1">IF(ROWS($1:127)&gt;COUNT(Dong5),"",OFFSET(TH!F$1,SMALL(Dong5,ROWS($1:127)),))</f>
        <v>VAT Phí vận đơn, niêm chì, xếp dỡ, vận chuyển, nâng hạ</v>
      </c>
      <c r="E141" s="318" t="str">
        <f ca="1">IF(ROWS($1:127)&gt;COUNT(Dong5),"",IF(OFFSET(TH!N$1,SMALL(Dong5,ROWS($1:127)),)=$E$7,OFFSET(TH!O$1,SMALL(Dong5,ROWS($1:127)),),OFFSET(TH!N$1,SMALL(Dong5,ROWS($1:127)),)))</f>
        <v>331</v>
      </c>
      <c r="F141" s="384">
        <f ca="1">IF(ROWS($1:127)&gt;COUNT(Dong5),0,IF(OFFSET(TH!N$1,SMALL(Dong5,ROWS($1:127)),)=$E$7,OFFSET(TH!M$1,SMALL(Dong5,ROWS($1:127)),),0))</f>
        <v>1935564</v>
      </c>
      <c r="G141" s="382">
        <f ca="1">IF(ROWS($1:127)&gt;COUNT(Dong5),0,IF(OFFSET(TH!O$1,SMALL(Dong5,ROWS($1:127)),)=$E$7,OFFSET(TH!M$1,SMALL(Dong5,ROWS($1:127)),),0))</f>
        <v>0</v>
      </c>
      <c r="H141" s="385">
        <f ca="1">IF(D141&lt;&gt;"",MAX(H140+F141-G141-I140,0),0)</f>
        <v>264908098</v>
      </c>
      <c r="I141" s="385">
        <f ca="1">IF(D141&lt;&gt;"",MAX(I140+G141-H140-F141,0),0)</f>
        <v>0</v>
      </c>
      <c r="J141" s="18">
        <f ca="1">MONTH(A141)</f>
        <v>9</v>
      </c>
    </row>
    <row r="142" spans="1:10" s="18" customFormat="1" ht="18" customHeight="1">
      <c r="A142" s="318">
        <f ca="1">IF(ROWS($1:128)&gt;COUNT(Dong5),"",OFFSET(TH!C$1,SMALL(Dong5,ROWS($1:128)),))</f>
        <v>42613</v>
      </c>
      <c r="B142" s="318" t="str">
        <f ca="1">IF(ROWS($1:128)&gt;COUNT(Dong5),"",OFFSET(TH!D$1,SMALL(Dong5,ROWS($1:128)),))</f>
        <v>CTGS</v>
      </c>
      <c r="C142" s="318">
        <f ca="1">IF(ROWS($1:128)&gt;COUNT(Dong5),"",OFFSET(TH!E$1,SMALL(Dong5,ROWS($1:128)),))</f>
        <v>42611</v>
      </c>
      <c r="D142" s="383" t="str">
        <f ca="1">IF(ROWS($1:128)&gt;COUNT(Dong5),"",OFFSET(TH!F$1,SMALL(Dong5,ROWS($1:128)),))</f>
        <v>VAT Phí xử lý cá khô</v>
      </c>
      <c r="E142" s="318" t="str">
        <f ca="1">IF(ROWS($1:128)&gt;COUNT(Dong5),"",IF(OFFSET(TH!N$1,SMALL(Dong5,ROWS($1:128)),)=$E$7,OFFSET(TH!O$1,SMALL(Dong5,ROWS($1:128)),),OFFSET(TH!N$1,SMALL(Dong5,ROWS($1:128)),)))</f>
        <v>331</v>
      </c>
      <c r="F142" s="384">
        <f ca="1">IF(ROWS($1:128)&gt;COUNT(Dong5),0,IF(OFFSET(TH!N$1,SMALL(Dong5,ROWS($1:128)),)=$E$7,OFFSET(TH!M$1,SMALL(Dong5,ROWS($1:128)),),0))</f>
        <v>204136</v>
      </c>
      <c r="G142" s="382">
        <f ca="1">IF(ROWS($1:128)&gt;COUNT(Dong5),0,IF(OFFSET(TH!O$1,SMALL(Dong5,ROWS($1:128)),)=$E$7,OFFSET(TH!M$1,SMALL(Dong5,ROWS($1:128)),),0))</f>
        <v>0</v>
      </c>
      <c r="H142" s="385">
        <f ca="1">IF(D142&lt;&gt;"",MAX(H141+F142-G142-I141,0),0)</f>
        <v>265112234</v>
      </c>
      <c r="I142" s="385">
        <f ca="1">IF(D142&lt;&gt;"",MAX(I141+G142-H141-F142,0),0)</f>
        <v>0</v>
      </c>
      <c r="J142" s="18">
        <f ca="1">MONTH(A142)</f>
        <v>8</v>
      </c>
    </row>
    <row r="143" spans="1:10" s="18" customFormat="1" ht="18" customHeight="1">
      <c r="A143" s="318">
        <f ca="1">IF(ROWS($1:129)&gt;COUNT(Dong5),"",OFFSET(TH!C$1,SMALL(Dong5,ROWS($1:129)),))</f>
        <v>42625</v>
      </c>
      <c r="B143" s="318" t="str">
        <f ca="1">IF(ROWS($1:129)&gt;COUNT(Dong5),"",OFFSET(TH!D$1,SMALL(Dong5,ROWS($1:129)),))</f>
        <v>CTGS</v>
      </c>
      <c r="C143" s="318">
        <f ca="1">IF(ROWS($1:129)&gt;COUNT(Dong5),"",OFFSET(TH!E$1,SMALL(Dong5,ROWS($1:129)),))</f>
        <v>42625</v>
      </c>
      <c r="D143" s="383" t="str">
        <f ca="1">IF(ROWS($1:129)&gt;COUNT(Dong5),"",OFFSET(TH!F$1,SMALL(Dong5,ROWS($1:129)),))</f>
        <v>VAT Phí xử lý cá khô</v>
      </c>
      <c r="E143" s="318" t="str">
        <f ca="1">IF(ROWS($1:129)&gt;COUNT(Dong5),"",IF(OFFSET(TH!N$1,SMALL(Dong5,ROWS($1:129)),)=$E$7,OFFSET(TH!O$1,SMALL(Dong5,ROWS($1:129)),),OFFSET(TH!N$1,SMALL(Dong5,ROWS($1:129)),)))</f>
        <v>331</v>
      </c>
      <c r="F143" s="384">
        <f ca="1">IF(ROWS($1:129)&gt;COUNT(Dong5),0,IF(OFFSET(TH!N$1,SMALL(Dong5,ROWS($1:129)),)=$E$7,OFFSET(TH!M$1,SMALL(Dong5,ROWS($1:129)),),0))</f>
        <v>200000</v>
      </c>
      <c r="G143" s="382">
        <f ca="1">IF(ROWS($1:129)&gt;COUNT(Dong5),0,IF(OFFSET(TH!O$1,SMALL(Dong5,ROWS($1:129)),)=$E$7,OFFSET(TH!M$1,SMALL(Dong5,ROWS($1:129)),),0))</f>
        <v>0</v>
      </c>
      <c r="H143" s="385">
        <f ca="1">IF(D143&lt;&gt;"",MAX(H142+F143-G143-I142,0),0)</f>
        <v>265312234</v>
      </c>
      <c r="I143" s="385">
        <f ca="1">IF(D143&lt;&gt;"",MAX(I142+G143-H142-F143,0),0)</f>
        <v>0</v>
      </c>
      <c r="J143" s="18">
        <f ca="1">MONTH(A143)</f>
        <v>9</v>
      </c>
    </row>
    <row r="144" spans="1:10" s="18" customFormat="1" ht="18" customHeight="1">
      <c r="A144" s="318">
        <f ca="1">IF(ROWS($1:130)&gt;COUNT(Dong5),"",OFFSET(TH!C$1,SMALL(Dong5,ROWS($1:130)),))</f>
        <v>42627</v>
      </c>
      <c r="B144" s="318" t="str">
        <f ca="1">IF(ROWS($1:130)&gt;COUNT(Dong5),"",OFFSET(TH!D$1,SMALL(Dong5,ROWS($1:130)),))</f>
        <v>CTGS</v>
      </c>
      <c r="C144" s="318">
        <f ca="1">IF(ROWS($1:130)&gt;COUNT(Dong5),"",OFFSET(TH!E$1,SMALL(Dong5,ROWS($1:130)),))</f>
        <v>42627</v>
      </c>
      <c r="D144" s="383" t="str">
        <f ca="1">IF(ROWS($1:130)&gt;COUNT(Dong5),"",OFFSET(TH!F$1,SMALL(Dong5,ROWS($1:130)),))</f>
        <v>VAT Phí xử lý cá khô</v>
      </c>
      <c r="E144" s="318" t="str">
        <f ca="1">IF(ROWS($1:130)&gt;COUNT(Dong5),"",IF(OFFSET(TH!N$1,SMALL(Dong5,ROWS($1:130)),)=$E$7,OFFSET(TH!O$1,SMALL(Dong5,ROWS($1:130)),),OFFSET(TH!N$1,SMALL(Dong5,ROWS($1:130)),)))</f>
        <v>331</v>
      </c>
      <c r="F144" s="384">
        <f ca="1">IF(ROWS($1:130)&gt;COUNT(Dong5),0,IF(OFFSET(TH!N$1,SMALL(Dong5,ROWS($1:130)),)=$E$7,OFFSET(TH!M$1,SMALL(Dong5,ROWS($1:130)),),0))</f>
        <v>200000</v>
      </c>
      <c r="G144" s="382">
        <f ca="1">IF(ROWS($1:130)&gt;COUNT(Dong5),0,IF(OFFSET(TH!O$1,SMALL(Dong5,ROWS($1:130)),)=$E$7,OFFSET(TH!M$1,SMALL(Dong5,ROWS($1:130)),),0))</f>
        <v>0</v>
      </c>
      <c r="H144" s="385">
        <f ca="1">IF(D144&lt;&gt;"",MAX(H143+F144-G144-I143,0),0)</f>
        <v>265512234</v>
      </c>
      <c r="I144" s="385">
        <f ca="1">IF(D144&lt;&gt;"",MAX(I143+G144-H143-F144,0),0)</f>
        <v>0</v>
      </c>
      <c r="J144" s="18">
        <f ca="1">MONTH(A144)</f>
        <v>9</v>
      </c>
    </row>
    <row r="145" spans="1:10" s="18" customFormat="1" ht="18" customHeight="1">
      <c r="A145" s="318">
        <f ca="1">IF(ROWS($1:131)&gt;COUNT(Dong5),"",OFFSET(TH!C$1,SMALL(Dong5,ROWS($1:131)),))</f>
        <v>42635</v>
      </c>
      <c r="B145" s="318" t="str">
        <f ca="1">IF(ROWS($1:131)&gt;COUNT(Dong5),"",OFFSET(TH!D$1,SMALL(Dong5,ROWS($1:131)),))</f>
        <v>CTGS</v>
      </c>
      <c r="C145" s="318">
        <f ca="1">IF(ROWS($1:131)&gt;COUNT(Dong5),"",OFFSET(TH!E$1,SMALL(Dong5,ROWS($1:131)),))</f>
        <v>42635</v>
      </c>
      <c r="D145" s="383" t="str">
        <f ca="1">IF(ROWS($1:131)&gt;COUNT(Dong5),"",OFFSET(TH!F$1,SMALL(Dong5,ROWS($1:131)),))</f>
        <v>VAT Phí xử lý cá khô</v>
      </c>
      <c r="E145" s="318" t="str">
        <f ca="1">IF(ROWS($1:131)&gt;COUNT(Dong5),"",IF(OFFSET(TH!N$1,SMALL(Dong5,ROWS($1:131)),)=$E$7,OFFSET(TH!O$1,SMALL(Dong5,ROWS($1:131)),),OFFSET(TH!N$1,SMALL(Dong5,ROWS($1:131)),)))</f>
        <v>331</v>
      </c>
      <c r="F145" s="384">
        <f ca="1">IF(ROWS($1:131)&gt;COUNT(Dong5),0,IF(OFFSET(TH!N$1,SMALL(Dong5,ROWS($1:131)),)=$E$7,OFFSET(TH!M$1,SMALL(Dong5,ROWS($1:131)),),0))</f>
        <v>16342870</v>
      </c>
      <c r="G145" s="382">
        <f ca="1">IF(ROWS($1:131)&gt;COUNT(Dong5),0,IF(OFFSET(TH!O$1,SMALL(Dong5,ROWS($1:131)),)=$E$7,OFFSET(TH!M$1,SMALL(Dong5,ROWS($1:131)),),0))</f>
        <v>0</v>
      </c>
      <c r="H145" s="385">
        <f ca="1">IF(D145&lt;&gt;"",MAX(H144+F145-G145-I144,0),0)</f>
        <v>281855104</v>
      </c>
      <c r="I145" s="385">
        <f ca="1">IF(D145&lt;&gt;"",MAX(I144+G145-H144-F145,0),0)</f>
        <v>0</v>
      </c>
      <c r="J145" s="18">
        <f ca="1">MONTH(A145)</f>
        <v>9</v>
      </c>
    </row>
    <row r="146" spans="1:10" s="18" customFormat="1" ht="18" customHeight="1">
      <c r="A146" s="318">
        <f ca="1">IF(ROWS($1:132)&gt;COUNT(Dong5),"",OFFSET(TH!C$1,SMALL(Dong5,ROWS($1:132)),))</f>
        <v>42640</v>
      </c>
      <c r="B146" s="318" t="str">
        <f ca="1">IF(ROWS($1:132)&gt;COUNT(Dong5),"",OFFSET(TH!D$1,SMALL(Dong5,ROWS($1:132)),))</f>
        <v>CTGS</v>
      </c>
      <c r="C146" s="318">
        <f ca="1">IF(ROWS($1:132)&gt;COUNT(Dong5),"",OFFSET(TH!E$1,SMALL(Dong5,ROWS($1:132)),))</f>
        <v>42640</v>
      </c>
      <c r="D146" s="383" t="str">
        <f ca="1">IF(ROWS($1:132)&gt;COUNT(Dong5),"",OFFSET(TH!F$1,SMALL(Dong5,ROWS($1:132)),))</f>
        <v>VAT Hoa hồng uỷ thác xuất khẩu - Invoice 82A</v>
      </c>
      <c r="E146" s="318" t="str">
        <f ca="1">IF(ROWS($1:132)&gt;COUNT(Dong5),"",IF(OFFSET(TH!N$1,SMALL(Dong5,ROWS($1:132)),)=$E$7,OFFSET(TH!O$1,SMALL(Dong5,ROWS($1:132)),),OFFSET(TH!N$1,SMALL(Dong5,ROWS($1:132)),)))</f>
        <v>331</v>
      </c>
      <c r="F146" s="384">
        <f ca="1">IF(ROWS($1:132)&gt;COUNT(Dong5),0,IF(OFFSET(TH!N$1,SMALL(Dong5,ROWS($1:132)),)=$E$7,OFFSET(TH!M$1,SMALL(Dong5,ROWS($1:132)),),0))</f>
        <v>4680000</v>
      </c>
      <c r="G146" s="382">
        <f ca="1">IF(ROWS($1:132)&gt;COUNT(Dong5),0,IF(OFFSET(TH!O$1,SMALL(Dong5,ROWS($1:132)),)=$E$7,OFFSET(TH!M$1,SMALL(Dong5,ROWS($1:132)),),0))</f>
        <v>0</v>
      </c>
      <c r="H146" s="385">
        <f ca="1">IF(D146&lt;&gt;"",MAX(H145+F146-G146-I145,0),0)</f>
        <v>286535104</v>
      </c>
      <c r="I146" s="385">
        <f ca="1">IF(D146&lt;&gt;"",MAX(I145+G146-H145-F146,0),0)</f>
        <v>0</v>
      </c>
      <c r="J146" s="18">
        <f ca="1">MONTH(A146)</f>
        <v>9</v>
      </c>
    </row>
    <row r="147" spans="1:10" s="18" customFormat="1" ht="18" customHeight="1">
      <c r="A147" s="318">
        <f ca="1">IF(ROWS($1:133)&gt;COUNT(Dong5),"",OFFSET(TH!C$1,SMALL(Dong5,ROWS($1:133)),))</f>
        <v>42551</v>
      </c>
      <c r="B147" s="318" t="str">
        <f ca="1">IF(ROWS($1:133)&gt;COUNT(Dong5),"",OFFSET(TH!D$1,SMALL(Dong5,ROWS($1:133)),))</f>
        <v>CTGS</v>
      </c>
      <c r="C147" s="318">
        <f ca="1">IF(ROWS($1:133)&gt;COUNT(Dong5),"",OFFSET(TH!E$1,SMALL(Dong5,ROWS($1:133)),))</f>
        <v>42527</v>
      </c>
      <c r="D147" s="383" t="str">
        <f ca="1">IF(ROWS($1:133)&gt;COUNT(Dong5),"",OFFSET(TH!F$1,SMALL(Dong5,ROWS($1:133)),))</f>
        <v>VAT Tiền điện kỳ 1 T6/2016</v>
      </c>
      <c r="E147" s="318" t="str">
        <f ca="1">IF(ROWS($1:133)&gt;COUNT(Dong5),"",IF(OFFSET(TH!N$1,SMALL(Dong5,ROWS($1:133)),)=$E$7,OFFSET(TH!O$1,SMALL(Dong5,ROWS($1:133)),),OFFSET(TH!N$1,SMALL(Dong5,ROWS($1:133)),)))</f>
        <v>331</v>
      </c>
      <c r="F147" s="384">
        <f ca="1">IF(ROWS($1:133)&gt;COUNT(Dong5),0,IF(OFFSET(TH!N$1,SMALL(Dong5,ROWS($1:133)),)=$E$7,OFFSET(TH!M$1,SMALL(Dong5,ROWS($1:133)),),0))</f>
        <v>3333490</v>
      </c>
      <c r="G147" s="382">
        <f ca="1">IF(ROWS($1:133)&gt;COUNT(Dong5),0,IF(OFFSET(TH!O$1,SMALL(Dong5,ROWS($1:133)),)=$E$7,OFFSET(TH!M$1,SMALL(Dong5,ROWS($1:133)),),0))</f>
        <v>0</v>
      </c>
      <c r="H147" s="385">
        <f ca="1">IF(D147&lt;&gt;"",MAX(H146+F147-G147-I146,0),0)</f>
        <v>289868594</v>
      </c>
      <c r="I147" s="385">
        <f ca="1">IF(D147&lt;&gt;"",MAX(I146+G147-H146-F147,0),0)</f>
        <v>0</v>
      </c>
      <c r="J147" s="18">
        <f ca="1">MONTH(A147)</f>
        <v>6</v>
      </c>
    </row>
    <row r="148" spans="1:10" s="18" customFormat="1" ht="18" customHeight="1">
      <c r="A148" s="318">
        <f ca="1">IF(ROWS($1:134)&gt;COUNT(Dong5),"",OFFSET(TH!C$1,SMALL(Dong5,ROWS($1:134)),))</f>
        <v>42551</v>
      </c>
      <c r="B148" s="318" t="str">
        <f ca="1">IF(ROWS($1:134)&gt;COUNT(Dong5),"",OFFSET(TH!D$1,SMALL(Dong5,ROWS($1:134)),))</f>
        <v>CTGS</v>
      </c>
      <c r="C148" s="318">
        <f ca="1">IF(ROWS($1:134)&gt;COUNT(Dong5),"",OFFSET(TH!E$1,SMALL(Dong5,ROWS($1:134)),))</f>
        <v>42537</v>
      </c>
      <c r="D148" s="383" t="str">
        <f ca="1">IF(ROWS($1:134)&gt;COUNT(Dong5),"",OFFSET(TH!F$1,SMALL(Dong5,ROWS($1:134)),))</f>
        <v>VAT Tiền điện kỳ 2 T6/2016</v>
      </c>
      <c r="E148" s="318" t="str">
        <f ca="1">IF(ROWS($1:134)&gt;COUNT(Dong5),"",IF(OFFSET(TH!N$1,SMALL(Dong5,ROWS($1:134)),)=$E$7,OFFSET(TH!O$1,SMALL(Dong5,ROWS($1:134)),),OFFSET(TH!N$1,SMALL(Dong5,ROWS($1:134)),)))</f>
        <v>331</v>
      </c>
      <c r="F148" s="384">
        <f ca="1">IF(ROWS($1:134)&gt;COUNT(Dong5),0,IF(OFFSET(TH!N$1,SMALL(Dong5,ROWS($1:134)),)=$E$7,OFFSET(TH!M$1,SMALL(Dong5,ROWS($1:134)),),0))</f>
        <v>2640910</v>
      </c>
      <c r="G148" s="382">
        <f ca="1">IF(ROWS($1:134)&gt;COUNT(Dong5),0,IF(OFFSET(TH!O$1,SMALL(Dong5,ROWS($1:134)),)=$E$7,OFFSET(TH!M$1,SMALL(Dong5,ROWS($1:134)),),0))</f>
        <v>0</v>
      </c>
      <c r="H148" s="385">
        <f ca="1">IF(D148&lt;&gt;"",MAX(H147+F148-G148-I147,0),0)</f>
        <v>292509504</v>
      </c>
      <c r="I148" s="385">
        <f ca="1">IF(D148&lt;&gt;"",MAX(I147+G148-H147-F148,0),0)</f>
        <v>0</v>
      </c>
      <c r="J148" s="18">
        <f ca="1">MONTH(A148)</f>
        <v>6</v>
      </c>
    </row>
    <row r="149" spans="1:10" s="18" customFormat="1" ht="18" customHeight="1">
      <c r="A149" s="318">
        <f ca="1">IF(ROWS($1:135)&gt;COUNT(Dong5),"",OFFSET(TH!C$1,SMALL(Dong5,ROWS($1:135)),))</f>
        <v>42674</v>
      </c>
      <c r="B149" s="318" t="str">
        <f ca="1">IF(ROWS($1:135)&gt;COUNT(Dong5),"",OFFSET(TH!D$1,SMALL(Dong5,ROWS($1:135)),))</f>
        <v>CTGS</v>
      </c>
      <c r="C149" s="318">
        <f ca="1">IF(ROWS($1:135)&gt;COUNT(Dong5),"",OFFSET(TH!E$1,SMALL(Dong5,ROWS($1:135)),))</f>
        <v>42674</v>
      </c>
      <c r="D149" s="383" t="str">
        <f ca="1">IF(ROWS($1:135)&gt;COUNT(Dong5),"",OFFSET(TH!F$1,SMALL(Dong5,ROWS($1:135)),))</f>
        <v>VAT Clorine</v>
      </c>
      <c r="E149" s="318" t="str">
        <f ca="1">IF(ROWS($1:135)&gt;COUNT(Dong5),"",IF(OFFSET(TH!N$1,SMALL(Dong5,ROWS($1:135)),)=$E$7,OFFSET(TH!O$1,SMALL(Dong5,ROWS($1:135)),),OFFSET(TH!N$1,SMALL(Dong5,ROWS($1:135)),)))</f>
        <v>331</v>
      </c>
      <c r="F149" s="384">
        <f ca="1">IF(ROWS($1:135)&gt;COUNT(Dong5),0,IF(OFFSET(TH!N$1,SMALL(Dong5,ROWS($1:135)),)=$E$7,OFFSET(TH!M$1,SMALL(Dong5,ROWS($1:135)),),0))</f>
        <v>2670455</v>
      </c>
      <c r="G149" s="382">
        <f ca="1">IF(ROWS($1:135)&gt;COUNT(Dong5),0,IF(OFFSET(TH!O$1,SMALL(Dong5,ROWS($1:135)),)=$E$7,OFFSET(TH!M$1,SMALL(Dong5,ROWS($1:135)),),0))</f>
        <v>0</v>
      </c>
      <c r="H149" s="385">
        <f ca="1">IF(D149&lt;&gt;"",MAX(H148+F149-G149-I148,0),0)</f>
        <v>295179959</v>
      </c>
      <c r="I149" s="385">
        <f ca="1">IF(D149&lt;&gt;"",MAX(I148+G149-H148-F149,0),0)</f>
        <v>0</v>
      </c>
      <c r="J149" s="18">
        <f ca="1">MONTH(A149)</f>
        <v>10</v>
      </c>
    </row>
    <row r="150" spans="1:10" s="18" customFormat="1" ht="18" customHeight="1">
      <c r="A150" s="318">
        <f ca="1">IF(ROWS($1:136)&gt;COUNT(Dong5),"",OFFSET(TH!C$1,SMALL(Dong5,ROWS($1:136)),))</f>
        <v>42640</v>
      </c>
      <c r="B150" s="318" t="str">
        <f ca="1">IF(ROWS($1:136)&gt;COUNT(Dong5),"",OFFSET(TH!D$1,SMALL(Dong5,ROWS($1:136)),))</f>
        <v>CTGS</v>
      </c>
      <c r="C150" s="318">
        <f ca="1">IF(ROWS($1:136)&gt;COUNT(Dong5),"",OFFSET(TH!E$1,SMALL(Dong5,ROWS($1:136)),))</f>
        <v>42640</v>
      </c>
      <c r="D150" s="383" t="str">
        <f ca="1">IF(ROWS($1:136)&gt;COUNT(Dong5),"",OFFSET(TH!F$1,SMALL(Dong5,ROWS($1:136)),))</f>
        <v xml:space="preserve">VAT Phí bốc xếp hàng </v>
      </c>
      <c r="E150" s="318" t="str">
        <f ca="1">IF(ROWS($1:136)&gt;COUNT(Dong5),"",IF(OFFSET(TH!N$1,SMALL(Dong5,ROWS($1:136)),)=$E$7,OFFSET(TH!O$1,SMALL(Dong5,ROWS($1:136)),),OFFSET(TH!N$1,SMALL(Dong5,ROWS($1:136)),)))</f>
        <v>331</v>
      </c>
      <c r="F150" s="384">
        <f ca="1">IF(ROWS($1:136)&gt;COUNT(Dong5),0,IF(OFFSET(TH!N$1,SMALL(Dong5,ROWS($1:136)),)=$E$7,OFFSET(TH!M$1,SMALL(Dong5,ROWS($1:136)),),0))</f>
        <v>58163</v>
      </c>
      <c r="G150" s="382">
        <f ca="1">IF(ROWS($1:136)&gt;COUNT(Dong5),0,IF(OFFSET(TH!O$1,SMALL(Dong5,ROWS($1:136)),)=$E$7,OFFSET(TH!M$1,SMALL(Dong5,ROWS($1:136)),),0))</f>
        <v>0</v>
      </c>
      <c r="H150" s="385">
        <f ca="1">IF(D150&lt;&gt;"",MAX(H149+F150-G150-I149,0),0)</f>
        <v>295238122</v>
      </c>
      <c r="I150" s="385">
        <f ca="1">IF(D150&lt;&gt;"",MAX(I149+G150-H149-F150,0),0)</f>
        <v>0</v>
      </c>
      <c r="J150" s="18">
        <f ca="1">MONTH(A150)</f>
        <v>9</v>
      </c>
    </row>
    <row r="151" spans="1:10" s="18" customFormat="1" ht="18" customHeight="1">
      <c r="A151" s="318">
        <f ca="1">IF(ROWS($1:137)&gt;COUNT(Dong5),"",OFFSET(TH!C$1,SMALL(Dong5,ROWS($1:137)),))</f>
        <v>42674</v>
      </c>
      <c r="B151" s="318" t="str">
        <f ca="1">IF(ROWS($1:137)&gt;COUNT(Dong5),"",OFFSET(TH!D$1,SMALL(Dong5,ROWS($1:137)),))</f>
        <v>CTGS</v>
      </c>
      <c r="C151" s="318">
        <f ca="1">IF(ROWS($1:137)&gt;COUNT(Dong5),"",OFFSET(TH!E$1,SMALL(Dong5,ROWS($1:137)),))</f>
        <v>42674</v>
      </c>
      <c r="D151" s="383" t="str">
        <f ca="1">IF(ROWS($1:137)&gt;COUNT(Dong5),"",OFFSET(TH!F$1,SMALL(Dong5,ROWS($1:137)),))</f>
        <v>VAT Phí xử lý cá khô</v>
      </c>
      <c r="E151" s="318" t="str">
        <f ca="1">IF(ROWS($1:137)&gt;COUNT(Dong5),"",IF(OFFSET(TH!N$1,SMALL(Dong5,ROWS($1:137)),)=$E$7,OFFSET(TH!O$1,SMALL(Dong5,ROWS($1:137)),),OFFSET(TH!N$1,SMALL(Dong5,ROWS($1:137)),)))</f>
        <v>331</v>
      </c>
      <c r="F151" s="384">
        <f ca="1">IF(ROWS($1:137)&gt;COUNT(Dong5),0,IF(OFFSET(TH!N$1,SMALL(Dong5,ROWS($1:137)),)=$E$7,OFFSET(TH!M$1,SMALL(Dong5,ROWS($1:137)),),0))</f>
        <v>200000</v>
      </c>
      <c r="G151" s="382">
        <f ca="1">IF(ROWS($1:137)&gt;COUNT(Dong5),0,IF(OFFSET(TH!O$1,SMALL(Dong5,ROWS($1:137)),)=$E$7,OFFSET(TH!M$1,SMALL(Dong5,ROWS($1:137)),),0))</f>
        <v>0</v>
      </c>
      <c r="H151" s="385">
        <f ca="1">IF(D151&lt;&gt;"",MAX(H150+F151-G151-I150,0),0)</f>
        <v>295438122</v>
      </c>
      <c r="I151" s="385">
        <f ca="1">IF(D151&lt;&gt;"",MAX(I150+G151-H150-F151,0),0)</f>
        <v>0</v>
      </c>
      <c r="J151" s="18">
        <f ca="1">MONTH(A151)</f>
        <v>10</v>
      </c>
    </row>
    <row r="152" spans="1:10" s="18" customFormat="1" ht="18" customHeight="1">
      <c r="A152" s="318">
        <f ca="1">IF(ROWS($1:138)&gt;COUNT(Dong5),"",OFFSET(TH!C$1,SMALL(Dong5,ROWS($1:138)),))</f>
        <v>42674</v>
      </c>
      <c r="B152" s="318" t="str">
        <f ca="1">IF(ROWS($1:138)&gt;COUNT(Dong5),"",OFFSET(TH!D$1,SMALL(Dong5,ROWS($1:138)),))</f>
        <v>CTGS</v>
      </c>
      <c r="C152" s="318">
        <f ca="1">IF(ROWS($1:138)&gt;COUNT(Dong5),"",OFFSET(TH!E$1,SMALL(Dong5,ROWS($1:138)),))</f>
        <v>42674</v>
      </c>
      <c r="D152" s="383" t="str">
        <f ca="1">IF(ROWS($1:138)&gt;COUNT(Dong5),"",OFFSET(TH!F$1,SMALL(Dong5,ROWS($1:138)),))</f>
        <v>VAT Bảo hiểm TNDS xe ô tô</v>
      </c>
      <c r="E152" s="318" t="str">
        <f ca="1">IF(ROWS($1:138)&gt;COUNT(Dong5),"",IF(OFFSET(TH!N$1,SMALL(Dong5,ROWS($1:138)),)=$E$7,OFFSET(TH!O$1,SMALL(Dong5,ROWS($1:138)),),OFFSET(TH!N$1,SMALL(Dong5,ROWS($1:138)),)))</f>
        <v>331</v>
      </c>
      <c r="F152" s="384">
        <f ca="1">IF(ROWS($1:138)&gt;COUNT(Dong5),0,IF(OFFSET(TH!N$1,SMALL(Dong5,ROWS($1:138)),)=$E$7,OFFSET(TH!M$1,SMALL(Dong5,ROWS($1:138)),),0))</f>
        <v>1187080</v>
      </c>
      <c r="G152" s="382">
        <f ca="1">IF(ROWS($1:138)&gt;COUNT(Dong5),0,IF(OFFSET(TH!O$1,SMALL(Dong5,ROWS($1:138)),)=$E$7,OFFSET(TH!M$1,SMALL(Dong5,ROWS($1:138)),),0))</f>
        <v>0</v>
      </c>
      <c r="H152" s="385">
        <f ca="1">IF(D152&lt;&gt;"",MAX(H151+F152-G152-I151,0),0)</f>
        <v>296625202</v>
      </c>
      <c r="I152" s="385">
        <f ca="1">IF(D152&lt;&gt;"",MAX(I151+G152-H151-F152,0),0)</f>
        <v>0</v>
      </c>
      <c r="J152" s="18">
        <f ca="1">MONTH(A152)</f>
        <v>10</v>
      </c>
    </row>
    <row r="153" spans="1:10" s="18" customFormat="1" ht="18" customHeight="1">
      <c r="A153" s="318">
        <f ca="1">IF(ROWS($1:139)&gt;COUNT(Dong5),"",OFFSET(TH!C$1,SMALL(Dong5,ROWS($1:139)),))</f>
        <v>42641</v>
      </c>
      <c r="B153" s="318" t="str">
        <f ca="1">IF(ROWS($1:139)&gt;COUNT(Dong5),"",OFFSET(TH!D$1,SMALL(Dong5,ROWS($1:139)),))</f>
        <v>CTGS</v>
      </c>
      <c r="C153" s="318">
        <f ca="1">IF(ROWS($1:139)&gt;COUNT(Dong5),"",OFFSET(TH!E$1,SMALL(Dong5,ROWS($1:139)),))</f>
        <v>42641</v>
      </c>
      <c r="D153" s="383" t="str">
        <f ca="1">IF(ROWS($1:139)&gt;COUNT(Dong5),"",OFFSET(TH!F$1,SMALL(Dong5,ROWS($1:139)),))</f>
        <v>VAT Hoa hồng uỷ thác xuất khẩu - Invoice 83A</v>
      </c>
      <c r="E153" s="318" t="str">
        <f ca="1">IF(ROWS($1:139)&gt;COUNT(Dong5),"",IF(OFFSET(TH!N$1,SMALL(Dong5,ROWS($1:139)),)=$E$7,OFFSET(TH!O$1,SMALL(Dong5,ROWS($1:139)),),OFFSET(TH!N$1,SMALL(Dong5,ROWS($1:139)),)))</f>
        <v>331</v>
      </c>
      <c r="F153" s="384">
        <f ca="1">IF(ROWS($1:139)&gt;COUNT(Dong5),0,IF(OFFSET(TH!N$1,SMALL(Dong5,ROWS($1:139)),)=$E$7,OFFSET(TH!M$1,SMALL(Dong5,ROWS($1:139)),),0))</f>
        <v>4700000</v>
      </c>
      <c r="G153" s="382">
        <f ca="1">IF(ROWS($1:139)&gt;COUNT(Dong5),0,IF(OFFSET(TH!O$1,SMALL(Dong5,ROWS($1:139)),)=$E$7,OFFSET(TH!M$1,SMALL(Dong5,ROWS($1:139)),),0))</f>
        <v>0</v>
      </c>
      <c r="H153" s="385">
        <f ca="1">IF(D153&lt;&gt;"",MAX(H152+F153-G153-I152,0),0)</f>
        <v>301325202</v>
      </c>
      <c r="I153" s="385">
        <f ca="1">IF(D153&lt;&gt;"",MAX(I152+G153-H152-F153,0),0)</f>
        <v>0</v>
      </c>
      <c r="J153" s="18">
        <f ca="1">MONTH(A153)</f>
        <v>9</v>
      </c>
    </row>
    <row r="154" spans="1:10" s="18" customFormat="1" ht="18" customHeight="1">
      <c r="A154" s="318">
        <f ca="1">IF(ROWS($1:140)&gt;COUNT(Dong5),"",OFFSET(TH!C$1,SMALL(Dong5,ROWS($1:140)),))</f>
        <v>42674</v>
      </c>
      <c r="B154" s="318" t="str">
        <f ca="1">IF(ROWS($1:140)&gt;COUNT(Dong5),"",OFFSET(TH!D$1,SMALL(Dong5,ROWS($1:140)),))</f>
        <v>CTGS</v>
      </c>
      <c r="C154" s="318">
        <f ca="1">IF(ROWS($1:140)&gt;COUNT(Dong5),"",OFFSET(TH!E$1,SMALL(Dong5,ROWS($1:140)),))</f>
        <v>42674</v>
      </c>
      <c r="D154" s="383" t="str">
        <f ca="1">IF(ROWS($1:140)&gt;COUNT(Dong5),"",OFFSET(TH!F$1,SMALL(Dong5,ROWS($1:140)),))</f>
        <v>VAT Hoa hồng uỷ thác xuất khẩu</v>
      </c>
      <c r="E154" s="318" t="str">
        <f ca="1">IF(ROWS($1:140)&gt;COUNT(Dong5),"",IF(OFFSET(TH!N$1,SMALL(Dong5,ROWS($1:140)),)=$E$7,OFFSET(TH!O$1,SMALL(Dong5,ROWS($1:140)),),OFFSET(TH!N$1,SMALL(Dong5,ROWS($1:140)),)))</f>
        <v>331</v>
      </c>
      <c r="F154" s="384">
        <f ca="1">IF(ROWS($1:140)&gt;COUNT(Dong5),0,IF(OFFSET(TH!N$1,SMALL(Dong5,ROWS($1:140)),)=$E$7,OFFSET(TH!M$1,SMALL(Dong5,ROWS($1:140)),),0))</f>
        <v>4680000</v>
      </c>
      <c r="G154" s="382">
        <f ca="1">IF(ROWS($1:140)&gt;COUNT(Dong5),0,IF(OFFSET(TH!O$1,SMALL(Dong5,ROWS($1:140)),)=$E$7,OFFSET(TH!M$1,SMALL(Dong5,ROWS($1:140)),),0))</f>
        <v>0</v>
      </c>
      <c r="H154" s="385">
        <f ca="1">IF(D154&lt;&gt;"",MAX(H153+F154-G154-I153,0),0)</f>
        <v>306005202</v>
      </c>
      <c r="I154" s="385">
        <f ca="1">IF(D154&lt;&gt;"",MAX(I153+G154-H153-F154,0),0)</f>
        <v>0</v>
      </c>
      <c r="J154" s="18">
        <f ca="1">MONTH(A154)</f>
        <v>10</v>
      </c>
    </row>
    <row r="155" spans="1:10" s="18" customFormat="1" ht="18" customHeight="1">
      <c r="A155" s="318">
        <f ca="1">IF(ROWS($1:141)&gt;COUNT(Dong5),"",OFFSET(TH!C$1,SMALL(Dong5,ROWS($1:141)),))</f>
        <v>42643</v>
      </c>
      <c r="B155" s="318" t="str">
        <f ca="1">IF(ROWS($1:141)&gt;COUNT(Dong5),"",OFFSET(TH!D$1,SMALL(Dong5,ROWS($1:141)),))</f>
        <v>CTGS</v>
      </c>
      <c r="C155" s="318">
        <f ca="1">IF(ROWS($1:141)&gt;COUNT(Dong5),"",OFFSET(TH!E$1,SMALL(Dong5,ROWS($1:141)),))</f>
        <v>42602</v>
      </c>
      <c r="D155" s="383" t="str">
        <f ca="1">IF(ROWS($1:141)&gt;COUNT(Dong5),"",OFFSET(TH!F$1,SMALL(Dong5,ROWS($1:141)),))</f>
        <v>VAT Phí vận đơn, niêm chì, xếp dỡ, vận chuyển, nâng hạ, điện giao hàng</v>
      </c>
      <c r="E155" s="318" t="str">
        <f ca="1">IF(ROWS($1:141)&gt;COUNT(Dong5),"",IF(OFFSET(TH!N$1,SMALL(Dong5,ROWS($1:141)),)=$E$7,OFFSET(TH!O$1,SMALL(Dong5,ROWS($1:141)),),OFFSET(TH!N$1,SMALL(Dong5,ROWS($1:141)),)))</f>
        <v>331</v>
      </c>
      <c r="F155" s="384">
        <f ca="1">IF(ROWS($1:141)&gt;COUNT(Dong5),0,IF(OFFSET(TH!N$1,SMALL(Dong5,ROWS($1:141)),)=$E$7,OFFSET(TH!M$1,SMALL(Dong5,ROWS($1:141)),),0))</f>
        <v>1973525</v>
      </c>
      <c r="G155" s="382">
        <f ca="1">IF(ROWS($1:141)&gt;COUNT(Dong5),0,IF(OFFSET(TH!O$1,SMALL(Dong5,ROWS($1:141)),)=$E$7,OFFSET(TH!M$1,SMALL(Dong5,ROWS($1:141)),),0))</f>
        <v>0</v>
      </c>
      <c r="H155" s="385">
        <f ca="1">IF(D155&lt;&gt;"",MAX(H154+F155-G155-I154,0),0)</f>
        <v>307978727</v>
      </c>
      <c r="I155" s="385">
        <f ca="1">IF(D155&lt;&gt;"",MAX(I154+G155-H154-F155,0),0)</f>
        <v>0</v>
      </c>
      <c r="J155" s="18">
        <f ca="1">MONTH(A155)</f>
        <v>9</v>
      </c>
    </row>
    <row r="156" spans="1:10" s="18" customFormat="1" ht="18" customHeight="1">
      <c r="A156" s="318">
        <f ca="1">IF(ROWS($1:142)&gt;COUNT(Dong5),"",OFFSET(TH!C$1,SMALL(Dong5,ROWS($1:142)),))</f>
        <v>42674</v>
      </c>
      <c r="B156" s="318" t="str">
        <f ca="1">IF(ROWS($1:142)&gt;COUNT(Dong5),"",OFFSET(TH!D$1,SMALL(Dong5,ROWS($1:142)),))</f>
        <v>CTGS</v>
      </c>
      <c r="C156" s="318">
        <f ca="1">IF(ROWS($1:142)&gt;COUNT(Dong5),"",OFFSET(TH!E$1,SMALL(Dong5,ROWS($1:142)),))</f>
        <v>42643</v>
      </c>
      <c r="D156" s="383" t="str">
        <f ca="1">IF(ROWS($1:142)&gt;COUNT(Dong5),"",OFFSET(TH!F$1,SMALL(Dong5,ROWS($1:142)),))</f>
        <v>VAT Phí vận đơn, niêm chì, dịch vụ xếp dỡ, vận chuyển - nâng hạ, khai hải quan</v>
      </c>
      <c r="E156" s="318" t="str">
        <f ca="1">IF(ROWS($1:142)&gt;COUNT(Dong5),"",IF(OFFSET(TH!N$1,SMALL(Dong5,ROWS($1:142)),)=$E$7,OFFSET(TH!O$1,SMALL(Dong5,ROWS($1:142)),),OFFSET(TH!N$1,SMALL(Dong5,ROWS($1:142)),)))</f>
        <v>331</v>
      </c>
      <c r="F156" s="384">
        <f ca="1">IF(ROWS($1:142)&gt;COUNT(Dong5),0,IF(OFFSET(TH!N$1,SMALL(Dong5,ROWS($1:142)),)=$E$7,OFFSET(TH!M$1,SMALL(Dong5,ROWS($1:142)),),0))</f>
        <v>850964</v>
      </c>
      <c r="G156" s="382">
        <f ca="1">IF(ROWS($1:142)&gt;COUNT(Dong5),0,IF(OFFSET(TH!O$1,SMALL(Dong5,ROWS($1:142)),)=$E$7,OFFSET(TH!M$1,SMALL(Dong5,ROWS($1:142)),),0))</f>
        <v>0</v>
      </c>
      <c r="H156" s="385">
        <f ca="1">IF(D156&lt;&gt;"",MAX(H155+F156-G156-I155,0),0)</f>
        <v>308829691</v>
      </c>
      <c r="I156" s="385">
        <f ca="1">IF(D156&lt;&gt;"",MAX(I155+G156-H155-F156,0),0)</f>
        <v>0</v>
      </c>
      <c r="J156" s="18">
        <f ca="1">MONTH(A156)</f>
        <v>10</v>
      </c>
    </row>
    <row r="157" spans="1:10" s="18" customFormat="1" ht="18" customHeight="1">
      <c r="A157" s="318">
        <f ca="1">IF(ROWS($1:143)&gt;COUNT(Dong5),"",OFFSET(TH!C$1,SMALL(Dong5,ROWS($1:143)),))</f>
        <v>42551</v>
      </c>
      <c r="B157" s="318" t="str">
        <f ca="1">IF(ROWS($1:143)&gt;COUNT(Dong5),"",OFFSET(TH!D$1,SMALL(Dong5,ROWS($1:143)),))</f>
        <v>CTGS</v>
      </c>
      <c r="C157" s="318">
        <f ca="1">IF(ROWS($1:143)&gt;COUNT(Dong5),"",OFFSET(TH!E$1,SMALL(Dong5,ROWS($1:143)),))</f>
        <v>42547</v>
      </c>
      <c r="D157" s="383" t="str">
        <f ca="1">IF(ROWS($1:143)&gt;COUNT(Dong5),"",OFFSET(TH!F$1,SMALL(Dong5,ROWS($1:143)),))</f>
        <v>VAT Tiền điện kỳ 3 T6/2016</v>
      </c>
      <c r="E157" s="318" t="str">
        <f ca="1">IF(ROWS($1:143)&gt;COUNT(Dong5),"",IF(OFFSET(TH!N$1,SMALL(Dong5,ROWS($1:143)),)=$E$7,OFFSET(TH!O$1,SMALL(Dong5,ROWS($1:143)),),OFFSET(TH!N$1,SMALL(Dong5,ROWS($1:143)),)))</f>
        <v>331</v>
      </c>
      <c r="F157" s="384">
        <f ca="1">IF(ROWS($1:143)&gt;COUNT(Dong5),0,IF(OFFSET(TH!N$1,SMALL(Dong5,ROWS($1:143)),)=$E$7,OFFSET(TH!M$1,SMALL(Dong5,ROWS($1:143)),),0))</f>
        <v>2542610</v>
      </c>
      <c r="G157" s="382">
        <f ca="1">IF(ROWS($1:143)&gt;COUNT(Dong5),0,IF(OFFSET(TH!O$1,SMALL(Dong5,ROWS($1:143)),)=$E$7,OFFSET(TH!M$1,SMALL(Dong5,ROWS($1:143)),),0))</f>
        <v>0</v>
      </c>
      <c r="H157" s="385">
        <f ca="1">IF(D157&lt;&gt;"",MAX(H156+F157-G157-I156,0),0)</f>
        <v>311372301</v>
      </c>
      <c r="I157" s="385">
        <f ca="1">IF(D157&lt;&gt;"",MAX(I156+G157-H156-F157,0),0)</f>
        <v>0</v>
      </c>
      <c r="J157" s="18">
        <f ca="1">MONTH(A157)</f>
        <v>6</v>
      </c>
    </row>
    <row r="158" spans="1:10" s="18" customFormat="1" ht="18" customHeight="1">
      <c r="A158" s="318">
        <f ca="1">IF(ROWS($1:144)&gt;COUNT(Dong5),"",OFFSET(TH!C$1,SMALL(Dong5,ROWS($1:144)),))</f>
        <v>42582</v>
      </c>
      <c r="B158" s="318" t="str">
        <f ca="1">IF(ROWS($1:144)&gt;COUNT(Dong5),"",OFFSET(TH!D$1,SMALL(Dong5,ROWS($1:144)),))</f>
        <v>CTGS</v>
      </c>
      <c r="C158" s="318">
        <f ca="1">IF(ROWS($1:144)&gt;COUNT(Dong5),"",OFFSET(TH!E$1,SMALL(Dong5,ROWS($1:144)),))</f>
        <v>42557</v>
      </c>
      <c r="D158" s="383" t="str">
        <f ca="1">IF(ROWS($1:144)&gt;COUNT(Dong5),"",OFFSET(TH!F$1,SMALL(Dong5,ROWS($1:144)),))</f>
        <v>VAT Tiền điện Kỳ 1 T7/2016</v>
      </c>
      <c r="E158" s="318" t="str">
        <f ca="1">IF(ROWS($1:144)&gt;COUNT(Dong5),"",IF(OFFSET(TH!N$1,SMALL(Dong5,ROWS($1:144)),)=$E$7,OFFSET(TH!O$1,SMALL(Dong5,ROWS($1:144)),),OFFSET(TH!N$1,SMALL(Dong5,ROWS($1:144)),)))</f>
        <v>331</v>
      </c>
      <c r="F158" s="384">
        <f ca="1">IF(ROWS($1:144)&gt;COUNT(Dong5),0,IF(OFFSET(TH!N$1,SMALL(Dong5,ROWS($1:144)),)=$E$7,OFFSET(TH!M$1,SMALL(Dong5,ROWS($1:144)),),0))</f>
        <v>1888170</v>
      </c>
      <c r="G158" s="382">
        <f ca="1">IF(ROWS($1:144)&gt;COUNT(Dong5),0,IF(OFFSET(TH!O$1,SMALL(Dong5,ROWS($1:144)),)=$E$7,OFFSET(TH!M$1,SMALL(Dong5,ROWS($1:144)),),0))</f>
        <v>0</v>
      </c>
      <c r="H158" s="385">
        <f ca="1">IF(D158&lt;&gt;"",MAX(H157+F158-G158-I157,0),0)</f>
        <v>313260471</v>
      </c>
      <c r="I158" s="385">
        <f ca="1">IF(D158&lt;&gt;"",MAX(I157+G158-H157-F158,0),0)</f>
        <v>0</v>
      </c>
      <c r="J158" s="18">
        <f ca="1">MONTH(A158)</f>
        <v>7</v>
      </c>
    </row>
    <row r="159" spans="1:10" s="18" customFormat="1" ht="18" customHeight="1">
      <c r="A159" s="318">
        <f ca="1">IF(ROWS($1:145)&gt;COUNT(Dong5),"",OFFSET(TH!C$1,SMALL(Dong5,ROWS($1:145)),))</f>
        <v>42582</v>
      </c>
      <c r="B159" s="318" t="str">
        <f ca="1">IF(ROWS($1:145)&gt;COUNT(Dong5),"",OFFSET(TH!D$1,SMALL(Dong5,ROWS($1:145)),))</f>
        <v>CTGS</v>
      </c>
      <c r="C159" s="318">
        <f ca="1">IF(ROWS($1:145)&gt;COUNT(Dong5),"",OFFSET(TH!E$1,SMALL(Dong5,ROWS($1:145)),))</f>
        <v>42551</v>
      </c>
      <c r="D159" s="383" t="str">
        <f ca="1">IF(ROWS($1:145)&gt;COUNT(Dong5),"",OFFSET(TH!F$1,SMALL(Dong5,ROWS($1:145)),))</f>
        <v>VAT Nước, phí cơ sở hạ tầng</v>
      </c>
      <c r="E159" s="318" t="str">
        <f ca="1">IF(ROWS($1:145)&gt;COUNT(Dong5),"",IF(OFFSET(TH!N$1,SMALL(Dong5,ROWS($1:145)),)=$E$7,OFFSET(TH!O$1,SMALL(Dong5,ROWS($1:145)),),OFFSET(TH!N$1,SMALL(Dong5,ROWS($1:145)),)))</f>
        <v>331</v>
      </c>
      <c r="F159" s="384">
        <f ca="1">IF(ROWS($1:145)&gt;COUNT(Dong5),0,IF(OFFSET(TH!N$1,SMALL(Dong5,ROWS($1:145)),)=$E$7,OFFSET(TH!M$1,SMALL(Dong5,ROWS($1:145)),),0))</f>
        <v>517877</v>
      </c>
      <c r="G159" s="382">
        <f ca="1">IF(ROWS($1:145)&gt;COUNT(Dong5),0,IF(OFFSET(TH!O$1,SMALL(Dong5,ROWS($1:145)),)=$E$7,OFFSET(TH!M$1,SMALL(Dong5,ROWS($1:145)),),0))</f>
        <v>0</v>
      </c>
      <c r="H159" s="385">
        <f ca="1">IF(D159&lt;&gt;"",MAX(H158+F159-G159-I158,0),0)</f>
        <v>313778348</v>
      </c>
      <c r="I159" s="385">
        <f ca="1">IF(D159&lt;&gt;"",MAX(I158+G159-H158-F159,0),0)</f>
        <v>0</v>
      </c>
      <c r="J159" s="18">
        <f ca="1">MONTH(A159)</f>
        <v>7</v>
      </c>
    </row>
    <row r="160" spans="1:10" s="18" customFormat="1" ht="18" customHeight="1">
      <c r="A160" s="318">
        <f ca="1">IF(ROWS($1:146)&gt;COUNT(Dong5),"",OFFSET(TH!C$1,SMALL(Dong5,ROWS($1:146)),))</f>
        <v>42582</v>
      </c>
      <c r="B160" s="318" t="str">
        <f ca="1">IF(ROWS($1:146)&gt;COUNT(Dong5),"",OFFSET(TH!D$1,SMALL(Dong5,ROWS($1:146)),))</f>
        <v>CTGS</v>
      </c>
      <c r="C160" s="318">
        <f ca="1">IF(ROWS($1:146)&gt;COUNT(Dong5),"",OFFSET(TH!E$1,SMALL(Dong5,ROWS($1:146)),))</f>
        <v>42581</v>
      </c>
      <c r="D160" s="383" t="str">
        <f ca="1">IF(ROWS($1:146)&gt;COUNT(Dong5),"",OFFSET(TH!F$1,SMALL(Dong5,ROWS($1:146)),))</f>
        <v>VAT Nước, phí cơ sở hạ tầng</v>
      </c>
      <c r="E160" s="318" t="str">
        <f ca="1">IF(ROWS($1:146)&gt;COUNT(Dong5),"",IF(OFFSET(TH!N$1,SMALL(Dong5,ROWS($1:146)),)=$E$7,OFFSET(TH!O$1,SMALL(Dong5,ROWS($1:146)),),OFFSET(TH!N$1,SMALL(Dong5,ROWS($1:146)),)))</f>
        <v>331</v>
      </c>
      <c r="F160" s="384">
        <f ca="1">IF(ROWS($1:146)&gt;COUNT(Dong5),0,IF(OFFSET(TH!N$1,SMALL(Dong5,ROWS($1:146)),)=$E$7,OFFSET(TH!M$1,SMALL(Dong5,ROWS($1:146)),),0))</f>
        <v>576543</v>
      </c>
      <c r="G160" s="382">
        <f ca="1">IF(ROWS($1:146)&gt;COUNT(Dong5),0,IF(OFFSET(TH!O$1,SMALL(Dong5,ROWS($1:146)),)=$E$7,OFFSET(TH!M$1,SMALL(Dong5,ROWS($1:146)),),0))</f>
        <v>0</v>
      </c>
      <c r="H160" s="385">
        <f ca="1">IF(D160&lt;&gt;"",MAX(H159+F160-G160-I159,0),0)</f>
        <v>314354891</v>
      </c>
      <c r="I160" s="385">
        <f ca="1">IF(D160&lt;&gt;"",MAX(I159+G160-H159-F160,0),0)</f>
        <v>0</v>
      </c>
      <c r="J160" s="18">
        <f ca="1">MONTH(A160)</f>
        <v>7</v>
      </c>
    </row>
    <row r="161" spans="1:10" s="18" customFormat="1" ht="18" customHeight="1">
      <c r="A161" s="318">
        <f ca="1">IF(ROWS($1:147)&gt;COUNT(Dong5),"",OFFSET(TH!C$1,SMALL(Dong5,ROWS($1:147)),))</f>
        <v>42674</v>
      </c>
      <c r="B161" s="318" t="str">
        <f ca="1">IF(ROWS($1:147)&gt;COUNT(Dong5),"",OFFSET(TH!D$1,SMALL(Dong5,ROWS($1:147)),))</f>
        <v>CTGS</v>
      </c>
      <c r="C161" s="318">
        <f ca="1">IF(ROWS($1:147)&gt;COUNT(Dong5),"",OFFSET(TH!E$1,SMALL(Dong5,ROWS($1:147)),))</f>
        <v>42674</v>
      </c>
      <c r="D161" s="383" t="str">
        <f ca="1">IF(ROWS($1:147)&gt;COUNT(Dong5),"",OFFSET(TH!F$1,SMALL(Dong5,ROWS($1:147)),))</f>
        <v>VAT Phí xử lý cá khô</v>
      </c>
      <c r="E161" s="318" t="str">
        <f ca="1">IF(ROWS($1:147)&gt;COUNT(Dong5),"",IF(OFFSET(TH!N$1,SMALL(Dong5,ROWS($1:147)),)=$E$7,OFFSET(TH!O$1,SMALL(Dong5,ROWS($1:147)),),OFFSET(TH!N$1,SMALL(Dong5,ROWS($1:147)),)))</f>
        <v>331</v>
      </c>
      <c r="F161" s="384">
        <f ca="1">IF(ROWS($1:147)&gt;COUNT(Dong5),0,IF(OFFSET(TH!N$1,SMALL(Dong5,ROWS($1:147)),)=$E$7,OFFSET(TH!M$1,SMALL(Dong5,ROWS($1:147)),),0))</f>
        <v>333300</v>
      </c>
      <c r="G161" s="382">
        <f ca="1">IF(ROWS($1:147)&gt;COUNT(Dong5),0,IF(OFFSET(TH!O$1,SMALL(Dong5,ROWS($1:147)),)=$E$7,OFFSET(TH!M$1,SMALL(Dong5,ROWS($1:147)),),0))</f>
        <v>0</v>
      </c>
      <c r="H161" s="385">
        <f ca="1">IF(D161&lt;&gt;"",MAX(H160+F161-G161-I160,0),0)</f>
        <v>314688191</v>
      </c>
      <c r="I161" s="385">
        <f ca="1">IF(D161&lt;&gt;"",MAX(I160+G161-H160-F161,0),0)</f>
        <v>0</v>
      </c>
      <c r="J161" s="18">
        <f ca="1">MONTH(A161)</f>
        <v>10</v>
      </c>
    </row>
    <row r="162" spans="1:10" s="18" customFormat="1" ht="18" customHeight="1">
      <c r="A162" s="318">
        <f ca="1">IF(ROWS($1:148)&gt;COUNT(Dong5),"",OFFSET(TH!C$1,SMALL(Dong5,ROWS($1:148)),))</f>
        <v>42674</v>
      </c>
      <c r="B162" s="318" t="str">
        <f ca="1">IF(ROWS($1:148)&gt;COUNT(Dong5),"",OFFSET(TH!D$1,SMALL(Dong5,ROWS($1:148)),))</f>
        <v>CTGS</v>
      </c>
      <c r="C162" s="318">
        <f ca="1">IF(ROWS($1:148)&gt;COUNT(Dong5),"",OFFSET(TH!E$1,SMALL(Dong5,ROWS($1:148)),))</f>
        <v>42674</v>
      </c>
      <c r="D162" s="383" t="str">
        <f ca="1">IF(ROWS($1:148)&gt;COUNT(Dong5),"",OFFSET(TH!F$1,SMALL(Dong5,ROWS($1:148)),))</f>
        <v>VAT Phí xử lý cá khô, bốc xếp</v>
      </c>
      <c r="E162" s="318" t="str">
        <f ca="1">IF(ROWS($1:148)&gt;COUNT(Dong5),"",IF(OFFSET(TH!N$1,SMALL(Dong5,ROWS($1:148)),)=$E$7,OFFSET(TH!O$1,SMALL(Dong5,ROWS($1:148)),),OFFSET(TH!N$1,SMALL(Dong5,ROWS($1:148)),)))</f>
        <v>331</v>
      </c>
      <c r="F162" s="384">
        <f ca="1">IF(ROWS($1:148)&gt;COUNT(Dong5),0,IF(OFFSET(TH!N$1,SMALL(Dong5,ROWS($1:148)),)=$E$7,OFFSET(TH!M$1,SMALL(Dong5,ROWS($1:148)),),0))</f>
        <v>12508103</v>
      </c>
      <c r="G162" s="382">
        <f ca="1">IF(ROWS($1:148)&gt;COUNT(Dong5),0,IF(OFFSET(TH!O$1,SMALL(Dong5,ROWS($1:148)),)=$E$7,OFFSET(TH!M$1,SMALL(Dong5,ROWS($1:148)),),0))</f>
        <v>0</v>
      </c>
      <c r="H162" s="385">
        <f ca="1">IF(D162&lt;&gt;"",MAX(H161+F162-G162-I161,0),0)</f>
        <v>327196294</v>
      </c>
      <c r="I162" s="385">
        <f ca="1">IF(D162&lt;&gt;"",MAX(I161+G162-H161-F162,0),0)</f>
        <v>0</v>
      </c>
      <c r="J162" s="18">
        <f ca="1">MONTH(A162)</f>
        <v>10</v>
      </c>
    </row>
    <row r="163" spans="1:10" s="18" customFormat="1" ht="18" customHeight="1">
      <c r="A163" s="318">
        <f ca="1">IF(ROWS($1:149)&gt;COUNT(Dong5),"",OFFSET(TH!C$1,SMALL(Dong5,ROWS($1:149)),))</f>
        <v>42683</v>
      </c>
      <c r="B163" s="318" t="str">
        <f ca="1">IF(ROWS($1:149)&gt;COUNT(Dong5),"",OFFSET(TH!D$1,SMALL(Dong5,ROWS($1:149)),))</f>
        <v>CTGS</v>
      </c>
      <c r="C163" s="318">
        <f ca="1">IF(ROWS($1:149)&gt;COUNT(Dong5),"",OFFSET(TH!E$1,SMALL(Dong5,ROWS($1:149)),))</f>
        <v>42683</v>
      </c>
      <c r="D163" s="383" t="str">
        <f ca="1">IF(ROWS($1:149)&gt;COUNT(Dong5),"",OFFSET(TH!F$1,SMALL(Dong5,ROWS($1:149)),))</f>
        <v>VAT Phí xử lý cá khô</v>
      </c>
      <c r="E163" s="318" t="str">
        <f ca="1">IF(ROWS($1:149)&gt;COUNT(Dong5),"",IF(OFFSET(TH!N$1,SMALL(Dong5,ROWS($1:149)),)=$E$7,OFFSET(TH!O$1,SMALL(Dong5,ROWS($1:149)),),OFFSET(TH!N$1,SMALL(Dong5,ROWS($1:149)),)))</f>
        <v>331</v>
      </c>
      <c r="F163" s="384">
        <f ca="1">IF(ROWS($1:149)&gt;COUNT(Dong5),0,IF(OFFSET(TH!N$1,SMALL(Dong5,ROWS($1:149)),)=$E$7,OFFSET(TH!M$1,SMALL(Dong5,ROWS($1:149)),),0))</f>
        <v>200000</v>
      </c>
      <c r="G163" s="382">
        <f ca="1">IF(ROWS($1:149)&gt;COUNT(Dong5),0,IF(OFFSET(TH!O$1,SMALL(Dong5,ROWS($1:149)),)=$E$7,OFFSET(TH!M$1,SMALL(Dong5,ROWS($1:149)),),0))</f>
        <v>0</v>
      </c>
      <c r="H163" s="385">
        <f ca="1">IF(D163&lt;&gt;"",MAX(H162+F163-G163-I162,0),0)</f>
        <v>327396294</v>
      </c>
      <c r="I163" s="385">
        <f ca="1">IF(D163&lt;&gt;"",MAX(I162+G163-H162-F163,0),0)</f>
        <v>0</v>
      </c>
      <c r="J163" s="18">
        <f ca="1">MONTH(A163)</f>
        <v>11</v>
      </c>
    </row>
    <row r="164" spans="1:10" s="18" customFormat="1" ht="18" customHeight="1">
      <c r="A164" s="318">
        <f ca="1">IF(ROWS($1:150)&gt;COUNT(Dong5),"",OFFSET(TH!C$1,SMALL(Dong5,ROWS($1:150)),))</f>
        <v>42674</v>
      </c>
      <c r="B164" s="318" t="str">
        <f ca="1">IF(ROWS($1:150)&gt;COUNT(Dong5),"",OFFSET(TH!D$1,SMALL(Dong5,ROWS($1:150)),))</f>
        <v>CTGS</v>
      </c>
      <c r="C164" s="318">
        <f ca="1">IF(ROWS($1:150)&gt;COUNT(Dong5),"",OFFSET(TH!E$1,SMALL(Dong5,ROWS($1:150)),))</f>
        <v>42674</v>
      </c>
      <c r="D164" s="383" t="str">
        <f ca="1">IF(ROWS($1:150)&gt;COUNT(Dong5),"",OFFSET(TH!F$1,SMALL(Dong5,ROWS($1:150)),))</f>
        <v>VAT Phí chừng từ, xếp dỡ, niêm chì</v>
      </c>
      <c r="E164" s="318" t="str">
        <f ca="1">IF(ROWS($1:150)&gt;COUNT(Dong5),"",IF(OFFSET(TH!N$1,SMALL(Dong5,ROWS($1:150)),)=$E$7,OFFSET(TH!O$1,SMALL(Dong5,ROWS($1:150)),),OFFSET(TH!N$1,SMALL(Dong5,ROWS($1:150)),)))</f>
        <v>331</v>
      </c>
      <c r="F164" s="384">
        <f ca="1">IF(ROWS($1:150)&gt;COUNT(Dong5),0,IF(OFFSET(TH!N$1,SMALL(Dong5,ROWS($1:150)),)=$E$7,OFFSET(TH!M$1,SMALL(Dong5,ROWS($1:150)),),0))</f>
        <v>373361</v>
      </c>
      <c r="G164" s="382">
        <f ca="1">IF(ROWS($1:150)&gt;COUNT(Dong5),0,IF(OFFSET(TH!O$1,SMALL(Dong5,ROWS($1:150)),)=$E$7,OFFSET(TH!M$1,SMALL(Dong5,ROWS($1:150)),),0))</f>
        <v>0</v>
      </c>
      <c r="H164" s="385">
        <f ca="1">IF(D164&lt;&gt;"",MAX(H163+F164-G164-I163,0),0)</f>
        <v>327769655</v>
      </c>
      <c r="I164" s="385">
        <f ca="1">IF(D164&lt;&gt;"",MAX(I163+G164-H163-F164,0),0)</f>
        <v>0</v>
      </c>
      <c r="J164" s="18">
        <f ca="1">MONTH(A164)</f>
        <v>10</v>
      </c>
    </row>
    <row r="165" spans="1:10" s="18" customFormat="1" ht="18" customHeight="1">
      <c r="A165" s="318">
        <f ca="1">IF(ROWS($1:151)&gt;COUNT(Dong5),"",OFFSET(TH!C$1,SMALL(Dong5,ROWS($1:151)),))</f>
        <v>42685</v>
      </c>
      <c r="B165" s="318" t="str">
        <f ca="1">IF(ROWS($1:151)&gt;COUNT(Dong5),"",OFFSET(TH!D$1,SMALL(Dong5,ROWS($1:151)),))</f>
        <v>CTGS</v>
      </c>
      <c r="C165" s="318">
        <f ca="1">IF(ROWS($1:151)&gt;COUNT(Dong5),"",OFFSET(TH!E$1,SMALL(Dong5,ROWS($1:151)),))</f>
        <v>42685</v>
      </c>
      <c r="D165" s="383" t="str">
        <f ca="1">IF(ROWS($1:151)&gt;COUNT(Dong5),"",OFFSET(TH!F$1,SMALL(Dong5,ROWS($1:151)),))</f>
        <v>VAT Phí xếp dỡ, chứng từ, niêm chì</v>
      </c>
      <c r="E165" s="318" t="str">
        <f ca="1">IF(ROWS($1:151)&gt;COUNT(Dong5),"",IF(OFFSET(TH!N$1,SMALL(Dong5,ROWS($1:151)),)=$E$7,OFFSET(TH!O$1,SMALL(Dong5,ROWS($1:151)),),OFFSET(TH!N$1,SMALL(Dong5,ROWS($1:151)),)))</f>
        <v>331</v>
      </c>
      <c r="F165" s="384">
        <f ca="1">IF(ROWS($1:151)&gt;COUNT(Dong5),0,IF(OFFSET(TH!N$1,SMALL(Dong5,ROWS($1:151)),)=$E$7,OFFSET(TH!M$1,SMALL(Dong5,ROWS($1:151)),),0))</f>
        <v>378499</v>
      </c>
      <c r="G165" s="382">
        <f ca="1">IF(ROWS($1:151)&gt;COUNT(Dong5),0,IF(OFFSET(TH!O$1,SMALL(Dong5,ROWS($1:151)),)=$E$7,OFFSET(TH!M$1,SMALL(Dong5,ROWS($1:151)),),0))</f>
        <v>0</v>
      </c>
      <c r="H165" s="385">
        <f ca="1">IF(D165&lt;&gt;"",MAX(H164+F165-G165-I164,0),0)</f>
        <v>328148154</v>
      </c>
      <c r="I165" s="385">
        <f ca="1">IF(D165&lt;&gt;"",MAX(I164+G165-H164-F165,0),0)</f>
        <v>0</v>
      </c>
      <c r="J165" s="18">
        <f ca="1">MONTH(A165)</f>
        <v>11</v>
      </c>
    </row>
    <row r="166" spans="1:10" s="18" customFormat="1" ht="18" customHeight="1">
      <c r="A166" s="318">
        <f ca="1">IF(ROWS($1:152)&gt;COUNT(Dong5),"",OFFSET(TH!C$1,SMALL(Dong5,ROWS($1:152)),))</f>
        <v>42674</v>
      </c>
      <c r="B166" s="318" t="str">
        <f ca="1">IF(ROWS($1:152)&gt;COUNT(Dong5),"",OFFSET(TH!D$1,SMALL(Dong5,ROWS($1:152)),))</f>
        <v>CTGS</v>
      </c>
      <c r="C166" s="318">
        <f ca="1">IF(ROWS($1:152)&gt;COUNT(Dong5),"",OFFSET(TH!E$1,SMALL(Dong5,ROWS($1:152)),))</f>
        <v>42669</v>
      </c>
      <c r="D166" s="383" t="str">
        <f ca="1">IF(ROWS($1:152)&gt;COUNT(Dong5),"",OFFSET(TH!F$1,SMALL(Dong5,ROWS($1:152)),))</f>
        <v>VAT Phí vận đơn, niêm chì, dịch vụ xếp dỡ, vận chuyển - nâng hạ, điện giao hàng</v>
      </c>
      <c r="E166" s="318" t="str">
        <f ca="1">IF(ROWS($1:152)&gt;COUNT(Dong5),"",IF(OFFSET(TH!N$1,SMALL(Dong5,ROWS($1:152)),)=$E$7,OFFSET(TH!O$1,SMALL(Dong5,ROWS($1:152)),),OFFSET(TH!N$1,SMALL(Dong5,ROWS($1:152)),)))</f>
        <v>331</v>
      </c>
      <c r="F166" s="384">
        <f ca="1">IF(ROWS($1:152)&gt;COUNT(Dong5),0,IF(OFFSET(TH!N$1,SMALL(Dong5,ROWS($1:152)),)=$E$7,OFFSET(TH!M$1,SMALL(Dong5,ROWS($1:152)),),0))</f>
        <v>2342139</v>
      </c>
      <c r="G166" s="382">
        <f ca="1">IF(ROWS($1:152)&gt;COUNT(Dong5),0,IF(OFFSET(TH!O$1,SMALL(Dong5,ROWS($1:152)),)=$E$7,OFFSET(TH!M$1,SMALL(Dong5,ROWS($1:152)),),0))</f>
        <v>0</v>
      </c>
      <c r="H166" s="385">
        <f ca="1">IF(D166&lt;&gt;"",MAX(H165+F166-G166-I165,0),0)</f>
        <v>330490293</v>
      </c>
      <c r="I166" s="385">
        <f ca="1">IF(D166&lt;&gt;"",MAX(I165+G166-H165-F166,0),0)</f>
        <v>0</v>
      </c>
      <c r="J166" s="18">
        <f ca="1">MONTH(A166)</f>
        <v>10</v>
      </c>
    </row>
    <row r="167" spans="1:10" s="18" customFormat="1" ht="18" customHeight="1">
      <c r="A167" s="318">
        <f ca="1">IF(ROWS($1:153)&gt;COUNT(Dong5),"",OFFSET(TH!C$1,SMALL(Dong5,ROWS($1:153)),))</f>
        <v>42682</v>
      </c>
      <c r="B167" s="318" t="str">
        <f ca="1">IF(ROWS($1:153)&gt;COUNT(Dong5),"",OFFSET(TH!D$1,SMALL(Dong5,ROWS($1:153)),))</f>
        <v>CTGS</v>
      </c>
      <c r="C167" s="318">
        <f ca="1">IF(ROWS($1:153)&gt;COUNT(Dong5),"",OFFSET(TH!E$1,SMALL(Dong5,ROWS($1:153)),))</f>
        <v>42682</v>
      </c>
      <c r="D167" s="383" t="str">
        <f ca="1">IF(ROWS($1:153)&gt;COUNT(Dong5),"",OFFSET(TH!F$1,SMALL(Dong5,ROWS($1:153)),))</f>
        <v>VAT Phí vận đơn, niêm chì, xếp dỡ, vận chuyển nâng hạ, điện giao hàng</v>
      </c>
      <c r="E167" s="318" t="str">
        <f ca="1">IF(ROWS($1:153)&gt;COUNT(Dong5),"",IF(OFFSET(TH!N$1,SMALL(Dong5,ROWS($1:153)),)=$E$7,OFFSET(TH!O$1,SMALL(Dong5,ROWS($1:153)),),OFFSET(TH!N$1,SMALL(Dong5,ROWS($1:153)),)))</f>
        <v>331</v>
      </c>
      <c r="F167" s="384">
        <f ca="1">IF(ROWS($1:153)&gt;COUNT(Dong5),0,IF(OFFSET(TH!N$1,SMALL(Dong5,ROWS($1:153)),)=$E$7,OFFSET(TH!M$1,SMALL(Dong5,ROWS($1:153)),),0))</f>
        <v>1988249</v>
      </c>
      <c r="G167" s="382">
        <f ca="1">IF(ROWS($1:153)&gt;COUNT(Dong5),0,IF(OFFSET(TH!O$1,SMALL(Dong5,ROWS($1:153)),)=$E$7,OFFSET(TH!M$1,SMALL(Dong5,ROWS($1:153)),),0))</f>
        <v>0</v>
      </c>
      <c r="H167" s="385">
        <f ca="1">IF(D167&lt;&gt;"",MAX(H166+F167-G167-I166,0),0)</f>
        <v>332478542</v>
      </c>
      <c r="I167" s="385">
        <f ca="1">IF(D167&lt;&gt;"",MAX(I166+G167-H166-F167,0),0)</f>
        <v>0</v>
      </c>
      <c r="J167" s="18">
        <f ca="1">MONTH(A167)</f>
        <v>11</v>
      </c>
    </row>
    <row r="168" spans="1:10" s="18" customFormat="1" ht="18" customHeight="1">
      <c r="A168" s="318">
        <f ca="1">IF(ROWS($1:154)&gt;COUNT(Dong5),"",OFFSET(TH!C$1,SMALL(Dong5,ROWS($1:154)),))</f>
        <v>42682</v>
      </c>
      <c r="B168" s="318" t="str">
        <f ca="1">IF(ROWS($1:154)&gt;COUNT(Dong5),"",OFFSET(TH!D$1,SMALL(Dong5,ROWS($1:154)),))</f>
        <v>CTGS</v>
      </c>
      <c r="C168" s="318">
        <f ca="1">IF(ROWS($1:154)&gt;COUNT(Dong5),"",OFFSET(TH!E$1,SMALL(Dong5,ROWS($1:154)),))</f>
        <v>42682</v>
      </c>
      <c r="D168" s="383" t="str">
        <f ca="1">IF(ROWS($1:154)&gt;COUNT(Dong5),"",OFFSET(TH!F$1,SMALL(Dong5,ROWS($1:154)),))</f>
        <v>VAT Phí vận đơn, niêm chì, xếp dỡ, vận chuyển nâng hạ</v>
      </c>
      <c r="E168" s="318" t="str">
        <f ca="1">IF(ROWS($1:154)&gt;COUNT(Dong5),"",IF(OFFSET(TH!N$1,SMALL(Dong5,ROWS($1:154)),)=$E$7,OFFSET(TH!O$1,SMALL(Dong5,ROWS($1:154)),),OFFSET(TH!N$1,SMALL(Dong5,ROWS($1:154)),)))</f>
        <v>331</v>
      </c>
      <c r="F168" s="384">
        <f ca="1">IF(ROWS($1:154)&gt;COUNT(Dong5),0,IF(OFFSET(TH!N$1,SMALL(Dong5,ROWS($1:154)),)=$E$7,OFFSET(TH!M$1,SMALL(Dong5,ROWS($1:154)),),0))</f>
        <v>3891510</v>
      </c>
      <c r="G168" s="382">
        <f ca="1">IF(ROWS($1:154)&gt;COUNT(Dong5),0,IF(OFFSET(TH!O$1,SMALL(Dong5,ROWS($1:154)),)=$E$7,OFFSET(TH!M$1,SMALL(Dong5,ROWS($1:154)),),0))</f>
        <v>0</v>
      </c>
      <c r="H168" s="385">
        <f ca="1">IF(D168&lt;&gt;"",MAX(H167+F168-G168-I167,0),0)</f>
        <v>336370052</v>
      </c>
      <c r="I168" s="385">
        <f ca="1">IF(D168&lt;&gt;"",MAX(I167+G168-H167-F168,0),0)</f>
        <v>0</v>
      </c>
      <c r="J168" s="18">
        <f ca="1">MONTH(A168)</f>
        <v>11</v>
      </c>
    </row>
    <row r="169" spans="1:10" s="18" customFormat="1" ht="18" customHeight="1">
      <c r="A169" s="318">
        <f ca="1">IF(ROWS($1:155)&gt;COUNT(Dong5),"",OFFSET(TH!C$1,SMALL(Dong5,ROWS($1:155)),))</f>
        <v>42692</v>
      </c>
      <c r="B169" s="318" t="str">
        <f ca="1">IF(ROWS($1:155)&gt;COUNT(Dong5),"",OFFSET(TH!D$1,SMALL(Dong5,ROWS($1:155)),))</f>
        <v>CTGS</v>
      </c>
      <c r="C169" s="318">
        <f ca="1">IF(ROWS($1:155)&gt;COUNT(Dong5),"",OFFSET(TH!E$1,SMALL(Dong5,ROWS($1:155)),))</f>
        <v>42692</v>
      </c>
      <c r="D169" s="383" t="str">
        <f ca="1">IF(ROWS($1:155)&gt;COUNT(Dong5),"",OFFSET(TH!F$1,SMALL(Dong5,ROWS($1:155)),))</f>
        <v>VAT Phí vận đơn, niêm chì, xếp dỡ, vận chuyển nâng hạ, điện giao hàng</v>
      </c>
      <c r="E169" s="318" t="str">
        <f ca="1">IF(ROWS($1:155)&gt;COUNT(Dong5),"",IF(OFFSET(TH!N$1,SMALL(Dong5,ROWS($1:155)),)=$E$7,OFFSET(TH!O$1,SMALL(Dong5,ROWS($1:155)),),OFFSET(TH!N$1,SMALL(Dong5,ROWS($1:155)),)))</f>
        <v>331</v>
      </c>
      <c r="F169" s="384">
        <f ca="1">IF(ROWS($1:155)&gt;COUNT(Dong5),0,IF(OFFSET(TH!N$1,SMALL(Dong5,ROWS($1:155)),)=$E$7,OFFSET(TH!M$1,SMALL(Dong5,ROWS($1:155)),),0))</f>
        <v>1995361</v>
      </c>
      <c r="G169" s="382">
        <f ca="1">IF(ROWS($1:155)&gt;COUNT(Dong5),0,IF(OFFSET(TH!O$1,SMALL(Dong5,ROWS($1:155)),)=$E$7,OFFSET(TH!M$1,SMALL(Dong5,ROWS($1:155)),),0))</f>
        <v>0</v>
      </c>
      <c r="H169" s="385">
        <f ca="1">IF(D169&lt;&gt;"",MAX(H168+F169-G169-I168,0),0)</f>
        <v>338365413</v>
      </c>
      <c r="I169" s="385">
        <f ca="1">IF(D169&lt;&gt;"",MAX(I168+G169-H168-F169,0),0)</f>
        <v>0</v>
      </c>
      <c r="J169" s="18">
        <f ca="1">MONTH(A169)</f>
        <v>11</v>
      </c>
    </row>
    <row r="170" spans="1:10" s="18" customFormat="1" ht="18" customHeight="1">
      <c r="A170" s="318">
        <f ca="1">IF(ROWS($1:156)&gt;COUNT(Dong5),"",OFFSET(TH!C$1,SMALL(Dong5,ROWS($1:156)),))</f>
        <v>42689</v>
      </c>
      <c r="B170" s="318" t="str">
        <f ca="1">IF(ROWS($1:156)&gt;COUNT(Dong5),"",OFFSET(TH!D$1,SMALL(Dong5,ROWS($1:156)),))</f>
        <v>CTGS</v>
      </c>
      <c r="C170" s="318">
        <f ca="1">IF(ROWS($1:156)&gt;COUNT(Dong5),"",OFFSET(TH!E$1,SMALL(Dong5,ROWS($1:156)),))</f>
        <v>42689</v>
      </c>
      <c r="D170" s="383" t="str">
        <f ca="1">IF(ROWS($1:156)&gt;COUNT(Dong5),"",OFFSET(TH!F$1,SMALL(Dong5,ROWS($1:156)),))</f>
        <v>VAT Phí gia công</v>
      </c>
      <c r="E170" s="318" t="str">
        <f ca="1">IF(ROWS($1:156)&gt;COUNT(Dong5),"",IF(OFFSET(TH!N$1,SMALL(Dong5,ROWS($1:156)),)=$E$7,OFFSET(TH!O$1,SMALL(Dong5,ROWS($1:156)),),OFFSET(TH!N$1,SMALL(Dong5,ROWS($1:156)),)))</f>
        <v>331</v>
      </c>
      <c r="F170" s="384">
        <f ca="1">IF(ROWS($1:156)&gt;COUNT(Dong5),0,IF(OFFSET(TH!N$1,SMALL(Dong5,ROWS($1:156)),)=$E$7,OFFSET(TH!M$1,SMALL(Dong5,ROWS($1:156)),),0))</f>
        <v>26000000</v>
      </c>
      <c r="G170" s="382">
        <f ca="1">IF(ROWS($1:156)&gt;COUNT(Dong5),0,IF(OFFSET(TH!O$1,SMALL(Dong5,ROWS($1:156)),)=$E$7,OFFSET(TH!M$1,SMALL(Dong5,ROWS($1:156)),),0))</f>
        <v>0</v>
      </c>
      <c r="H170" s="385">
        <f ca="1">IF(D170&lt;&gt;"",MAX(H169+F170-G170-I169,0),0)</f>
        <v>364365413</v>
      </c>
      <c r="I170" s="385">
        <f ca="1">IF(D170&lt;&gt;"",MAX(I169+G170-H169-F170,0),0)</f>
        <v>0</v>
      </c>
      <c r="J170" s="18">
        <f ca="1">MONTH(A170)</f>
        <v>11</v>
      </c>
    </row>
    <row r="171" spans="1:10" s="18" customFormat="1" ht="18" customHeight="1">
      <c r="A171" s="318">
        <f ca="1">IF(ROWS($1:157)&gt;COUNT(Dong5),"",OFFSET(TH!C$1,SMALL(Dong5,ROWS($1:157)),))</f>
        <v>42698</v>
      </c>
      <c r="B171" s="318" t="str">
        <f ca="1">IF(ROWS($1:157)&gt;COUNT(Dong5),"",OFFSET(TH!D$1,SMALL(Dong5,ROWS($1:157)),))</f>
        <v>CTGS</v>
      </c>
      <c r="C171" s="318">
        <f ca="1">IF(ROWS($1:157)&gt;COUNT(Dong5),"",OFFSET(TH!E$1,SMALL(Dong5,ROWS($1:157)),))</f>
        <v>42698</v>
      </c>
      <c r="D171" s="383" t="str">
        <f ca="1">IF(ROWS($1:157)&gt;COUNT(Dong5),"",OFFSET(TH!F$1,SMALL(Dong5,ROWS($1:157)),))</f>
        <v>VAT Phí gia công</v>
      </c>
      <c r="E171" s="318" t="str">
        <f ca="1">IF(ROWS($1:157)&gt;COUNT(Dong5),"",IF(OFFSET(TH!N$1,SMALL(Dong5,ROWS($1:157)),)=$E$7,OFFSET(TH!O$1,SMALL(Dong5,ROWS($1:157)),),OFFSET(TH!N$1,SMALL(Dong5,ROWS($1:157)),)))</f>
        <v>331</v>
      </c>
      <c r="F171" s="384">
        <f ca="1">IF(ROWS($1:157)&gt;COUNT(Dong5),0,IF(OFFSET(TH!N$1,SMALL(Dong5,ROWS($1:157)),)=$E$7,OFFSET(TH!M$1,SMALL(Dong5,ROWS($1:157)),),0))</f>
        <v>26000000</v>
      </c>
      <c r="G171" s="382">
        <f ca="1">IF(ROWS($1:157)&gt;COUNT(Dong5),0,IF(OFFSET(TH!O$1,SMALL(Dong5,ROWS($1:157)),)=$E$7,OFFSET(TH!M$1,SMALL(Dong5,ROWS($1:157)),),0))</f>
        <v>0</v>
      </c>
      <c r="H171" s="385">
        <f ca="1">IF(D171&lt;&gt;"",MAX(H170+F171-G171-I170,0),0)</f>
        <v>390365413</v>
      </c>
      <c r="I171" s="385">
        <f ca="1">IF(D171&lt;&gt;"",MAX(I170+G171-H170-F171,0),0)</f>
        <v>0</v>
      </c>
      <c r="J171" s="18">
        <f ca="1">MONTH(A171)</f>
        <v>11</v>
      </c>
    </row>
    <row r="172" spans="1:10" s="18" customFormat="1" ht="18" customHeight="1">
      <c r="A172" s="318">
        <f ca="1">IF(ROWS($1:158)&gt;COUNT(Dong5),"",OFFSET(TH!C$1,SMALL(Dong5,ROWS($1:158)),))</f>
        <v>42582</v>
      </c>
      <c r="B172" s="318" t="str">
        <f ca="1">IF(ROWS($1:158)&gt;COUNT(Dong5),"",OFFSET(TH!D$1,SMALL(Dong5,ROWS($1:158)),))</f>
        <v>CTGS</v>
      </c>
      <c r="C172" s="318">
        <f ca="1">IF(ROWS($1:158)&gt;COUNT(Dong5),"",OFFSET(TH!E$1,SMALL(Dong5,ROWS($1:158)),))</f>
        <v>42567</v>
      </c>
      <c r="D172" s="383" t="str">
        <f ca="1">IF(ROWS($1:158)&gt;COUNT(Dong5),"",OFFSET(TH!F$1,SMALL(Dong5,ROWS($1:158)),))</f>
        <v>VAT Tiền điện Kỳ 2 T7/2016</v>
      </c>
      <c r="E172" s="318" t="str">
        <f ca="1">IF(ROWS($1:158)&gt;COUNT(Dong5),"",IF(OFFSET(TH!N$1,SMALL(Dong5,ROWS($1:158)),)=$E$7,OFFSET(TH!O$1,SMALL(Dong5,ROWS($1:158)),),OFFSET(TH!N$1,SMALL(Dong5,ROWS($1:158)),)))</f>
        <v>331</v>
      </c>
      <c r="F172" s="384">
        <f ca="1">IF(ROWS($1:158)&gt;COUNT(Dong5),0,IF(OFFSET(TH!N$1,SMALL(Dong5,ROWS($1:158)),)=$E$7,OFFSET(TH!M$1,SMALL(Dong5,ROWS($1:158)),),0))</f>
        <v>2180530</v>
      </c>
      <c r="G172" s="382">
        <f ca="1">IF(ROWS($1:158)&gt;COUNT(Dong5),0,IF(OFFSET(TH!O$1,SMALL(Dong5,ROWS($1:158)),)=$E$7,OFFSET(TH!M$1,SMALL(Dong5,ROWS($1:158)),),0))</f>
        <v>0</v>
      </c>
      <c r="H172" s="385">
        <f ca="1">IF(D172&lt;&gt;"",MAX(H171+F172-G172-I171,0),0)</f>
        <v>392545943</v>
      </c>
      <c r="I172" s="385">
        <f ca="1">IF(D172&lt;&gt;"",MAX(I171+G172-H171-F172,0),0)</f>
        <v>0</v>
      </c>
      <c r="J172" s="18">
        <f ca="1">MONTH(A172)</f>
        <v>7</v>
      </c>
    </row>
    <row r="173" spans="1:10" s="18" customFormat="1" ht="18" customHeight="1">
      <c r="A173" s="318">
        <f ca="1">IF(ROWS($1:159)&gt;COUNT(Dong5),"",OFFSET(TH!C$1,SMALL(Dong5,ROWS($1:159)),))</f>
        <v>42582</v>
      </c>
      <c r="B173" s="318" t="str">
        <f ca="1">IF(ROWS($1:159)&gt;COUNT(Dong5),"",OFFSET(TH!D$1,SMALL(Dong5,ROWS($1:159)),))</f>
        <v>CTGS</v>
      </c>
      <c r="C173" s="318">
        <f ca="1">IF(ROWS($1:159)&gt;COUNT(Dong5),"",OFFSET(TH!E$1,SMALL(Dong5,ROWS($1:159)),))</f>
        <v>42577</v>
      </c>
      <c r="D173" s="383" t="str">
        <f ca="1">IF(ROWS($1:159)&gt;COUNT(Dong5),"",OFFSET(TH!F$1,SMALL(Dong5,ROWS($1:159)),))</f>
        <v>VAT Tiền điện Kỳ 3 T7/2016</v>
      </c>
      <c r="E173" s="318" t="str">
        <f ca="1">IF(ROWS($1:159)&gt;COUNT(Dong5),"",IF(OFFSET(TH!N$1,SMALL(Dong5,ROWS($1:159)),)=$E$7,OFFSET(TH!O$1,SMALL(Dong5,ROWS($1:159)),),OFFSET(TH!N$1,SMALL(Dong5,ROWS($1:159)),)))</f>
        <v>331</v>
      </c>
      <c r="F173" s="384">
        <f ca="1">IF(ROWS($1:159)&gt;COUNT(Dong5),0,IF(OFFSET(TH!N$1,SMALL(Dong5,ROWS($1:159)),)=$E$7,OFFSET(TH!M$1,SMALL(Dong5,ROWS($1:159)),),0))</f>
        <v>1584780</v>
      </c>
      <c r="G173" s="382">
        <f ca="1">IF(ROWS($1:159)&gt;COUNT(Dong5),0,IF(OFFSET(TH!O$1,SMALL(Dong5,ROWS($1:159)),)=$E$7,OFFSET(TH!M$1,SMALL(Dong5,ROWS($1:159)),),0))</f>
        <v>0</v>
      </c>
      <c r="H173" s="385">
        <f ca="1">IF(D173&lt;&gt;"",MAX(H172+F173-G173-I172,0),0)</f>
        <v>394130723</v>
      </c>
      <c r="I173" s="385">
        <f ca="1">IF(D173&lt;&gt;"",MAX(I172+G173-H172-F173,0),0)</f>
        <v>0</v>
      </c>
      <c r="J173" s="18">
        <f ca="1">MONTH(A173)</f>
        <v>7</v>
      </c>
    </row>
    <row r="174" spans="1:10" s="18" customFormat="1" ht="18" customHeight="1">
      <c r="A174" s="318">
        <f ca="1">IF(ROWS($1:160)&gt;COUNT(Dong5),"",OFFSET(TH!C$1,SMALL(Dong5,ROWS($1:160)),))</f>
        <v>42704</v>
      </c>
      <c r="B174" s="318" t="str">
        <f ca="1">IF(ROWS($1:160)&gt;COUNT(Dong5),"",OFFSET(TH!D$1,SMALL(Dong5,ROWS($1:160)),))</f>
        <v>CTGS</v>
      </c>
      <c r="C174" s="318">
        <f ca="1">IF(ROWS($1:160)&gt;COUNT(Dong5),"",OFFSET(TH!E$1,SMALL(Dong5,ROWS($1:160)),))</f>
        <v>42704</v>
      </c>
      <c r="D174" s="383" t="str">
        <f ca="1">IF(ROWS($1:160)&gt;COUNT(Dong5),"",OFFSET(TH!F$1,SMALL(Dong5,ROWS($1:160)),))</f>
        <v>VAT Phí bill, điện giao hàng, xếp dỡ, niêm chì</v>
      </c>
      <c r="E174" s="318" t="str">
        <f ca="1">IF(ROWS($1:160)&gt;COUNT(Dong5),"",IF(OFFSET(TH!N$1,SMALL(Dong5,ROWS($1:160)),)=$E$7,OFFSET(TH!O$1,SMALL(Dong5,ROWS($1:160)),),OFFSET(TH!N$1,SMALL(Dong5,ROWS($1:160)),)))</f>
        <v>331</v>
      </c>
      <c r="F174" s="384">
        <f ca="1">IF(ROWS($1:160)&gt;COUNT(Dong5),0,IF(OFFSET(TH!N$1,SMALL(Dong5,ROWS($1:160)),)=$E$7,OFFSET(TH!M$1,SMALL(Dong5,ROWS($1:160)),),0))</f>
        <v>2066146</v>
      </c>
      <c r="G174" s="382">
        <f ca="1">IF(ROWS($1:160)&gt;COUNT(Dong5),0,IF(OFFSET(TH!O$1,SMALL(Dong5,ROWS($1:160)),)=$E$7,OFFSET(TH!M$1,SMALL(Dong5,ROWS($1:160)),),0))</f>
        <v>0</v>
      </c>
      <c r="H174" s="385">
        <f ca="1">IF(D174&lt;&gt;"",MAX(H173+F174-G174-I173,0),0)</f>
        <v>396196869</v>
      </c>
      <c r="I174" s="385">
        <f ca="1">IF(D174&lt;&gt;"",MAX(I173+G174-H173-F174,0),0)</f>
        <v>0</v>
      </c>
      <c r="J174" s="18">
        <f ca="1">MONTH(A174)</f>
        <v>11</v>
      </c>
    </row>
    <row r="175" spans="1:10" s="18" customFormat="1" ht="18" customHeight="1">
      <c r="A175" s="318">
        <f ca="1">IF(ROWS($1:161)&gt;COUNT(Dong5),"",OFFSET(TH!C$1,SMALL(Dong5,ROWS($1:161)),))</f>
        <v>42685</v>
      </c>
      <c r="B175" s="318" t="str">
        <f ca="1">IF(ROWS($1:161)&gt;COUNT(Dong5),"",OFFSET(TH!D$1,SMALL(Dong5,ROWS($1:161)),))</f>
        <v>CTGS</v>
      </c>
      <c r="C175" s="318">
        <f ca="1">IF(ROWS($1:161)&gt;COUNT(Dong5),"",OFFSET(TH!E$1,SMALL(Dong5,ROWS($1:161)),))</f>
        <v>42685</v>
      </c>
      <c r="D175" s="383" t="str">
        <f ca="1">IF(ROWS($1:161)&gt;COUNT(Dong5),"",OFFSET(TH!F$1,SMALL(Dong5,ROWS($1:161)),))</f>
        <v>VAT Phí xếp dỡ, niêm chì, điện giao hàng, chứng từ</v>
      </c>
      <c r="E175" s="318" t="str">
        <f ca="1">IF(ROWS($1:161)&gt;COUNT(Dong5),"",IF(OFFSET(TH!N$1,SMALL(Dong5,ROWS($1:161)),)=$E$7,OFFSET(TH!O$1,SMALL(Dong5,ROWS($1:161)),),OFFSET(TH!N$1,SMALL(Dong5,ROWS($1:161)),)))</f>
        <v>331</v>
      </c>
      <c r="F175" s="384">
        <f ca="1">IF(ROWS($1:161)&gt;COUNT(Dong5),0,IF(OFFSET(TH!N$1,SMALL(Dong5,ROWS($1:161)),)=$E$7,OFFSET(TH!M$1,SMALL(Dong5,ROWS($1:161)),),0))</f>
        <v>1109552</v>
      </c>
      <c r="G175" s="382">
        <f ca="1">IF(ROWS($1:161)&gt;COUNT(Dong5),0,IF(OFFSET(TH!O$1,SMALL(Dong5,ROWS($1:161)),)=$E$7,OFFSET(TH!M$1,SMALL(Dong5,ROWS($1:161)),),0))</f>
        <v>0</v>
      </c>
      <c r="H175" s="385">
        <f ca="1">IF(D175&lt;&gt;"",MAX(H174+F175-G175-I174,0),0)</f>
        <v>397306421</v>
      </c>
      <c r="I175" s="385">
        <f ca="1">IF(D175&lt;&gt;"",MAX(I174+G175-H174-F175,0),0)</f>
        <v>0</v>
      </c>
      <c r="J175" s="18">
        <f ca="1">MONTH(A175)</f>
        <v>11</v>
      </c>
    </row>
    <row r="176" spans="1:10" s="18" customFormat="1" ht="18" customHeight="1">
      <c r="A176" s="318">
        <f ca="1">IF(ROWS($1:162)&gt;COUNT(Dong5),"",OFFSET(TH!C$1,SMALL(Dong5,ROWS($1:162)),))</f>
        <v>42688</v>
      </c>
      <c r="B176" s="318" t="str">
        <f ca="1">IF(ROWS($1:162)&gt;COUNT(Dong5),"",OFFSET(TH!D$1,SMALL(Dong5,ROWS($1:162)),))</f>
        <v>CTGS</v>
      </c>
      <c r="C176" s="318">
        <f ca="1">IF(ROWS($1:162)&gt;COUNT(Dong5),"",OFFSET(TH!E$1,SMALL(Dong5,ROWS($1:162)),))</f>
        <v>42688</v>
      </c>
      <c r="D176" s="383" t="str">
        <f ca="1">IF(ROWS($1:162)&gt;COUNT(Dong5),"",OFFSET(TH!F$1,SMALL(Dong5,ROWS($1:162)),))</f>
        <v>VAT Phí xếp dỡ, niêm chì, điện giao hàng, chứng từ</v>
      </c>
      <c r="E176" s="318" t="str">
        <f ca="1">IF(ROWS($1:162)&gt;COUNT(Dong5),"",IF(OFFSET(TH!N$1,SMALL(Dong5,ROWS($1:162)),)=$E$7,OFFSET(TH!O$1,SMALL(Dong5,ROWS($1:162)),),OFFSET(TH!N$1,SMALL(Dong5,ROWS($1:162)),)))</f>
        <v>331</v>
      </c>
      <c r="F176" s="384">
        <f ca="1">IF(ROWS($1:162)&gt;COUNT(Dong5),0,IF(OFFSET(TH!N$1,SMALL(Dong5,ROWS($1:162)),)=$E$7,OFFSET(TH!M$1,SMALL(Dong5,ROWS($1:162)),),0))</f>
        <v>1109056</v>
      </c>
      <c r="G176" s="382">
        <f ca="1">IF(ROWS($1:162)&gt;COUNT(Dong5),0,IF(OFFSET(TH!O$1,SMALL(Dong5,ROWS($1:162)),)=$E$7,OFFSET(TH!M$1,SMALL(Dong5,ROWS($1:162)),),0))</f>
        <v>0</v>
      </c>
      <c r="H176" s="385">
        <f ca="1">IF(D176&lt;&gt;"",MAX(H175+F176-G176-I175,0),0)</f>
        <v>398415477</v>
      </c>
      <c r="I176" s="385">
        <f ca="1">IF(D176&lt;&gt;"",MAX(I175+G176-H175-F176,0),0)</f>
        <v>0</v>
      </c>
      <c r="J176" s="18">
        <f ca="1">MONTH(A176)</f>
        <v>11</v>
      </c>
    </row>
    <row r="177" spans="1:10" s="18" customFormat="1" ht="18" customHeight="1">
      <c r="A177" s="318">
        <f ca="1">IF(ROWS($1:163)&gt;COUNT(Dong5),"",OFFSET(TH!C$1,SMALL(Dong5,ROWS($1:163)),))</f>
        <v>42702</v>
      </c>
      <c r="B177" s="318" t="str">
        <f ca="1">IF(ROWS($1:163)&gt;COUNT(Dong5),"",OFFSET(TH!D$1,SMALL(Dong5,ROWS($1:163)),))</f>
        <v>CTGS</v>
      </c>
      <c r="C177" s="318">
        <f ca="1">IF(ROWS($1:163)&gt;COUNT(Dong5),"",OFFSET(TH!E$1,SMALL(Dong5,ROWS($1:163)),))</f>
        <v>42702</v>
      </c>
      <c r="D177" s="383" t="str">
        <f ca="1">IF(ROWS($1:163)&gt;COUNT(Dong5),"",OFFSET(TH!F$1,SMALL(Dong5,ROWS($1:163)),))</f>
        <v>VAT Phí xếp dỡ, niêm chì, điện giao hàng, chứng từ</v>
      </c>
      <c r="E177" s="318" t="str">
        <f ca="1">IF(ROWS($1:163)&gt;COUNT(Dong5),"",IF(OFFSET(TH!N$1,SMALL(Dong5,ROWS($1:163)),)=$E$7,OFFSET(TH!O$1,SMALL(Dong5,ROWS($1:163)),),OFFSET(TH!N$1,SMALL(Dong5,ROWS($1:163)),)))</f>
        <v>331</v>
      </c>
      <c r="F177" s="384">
        <f ca="1">IF(ROWS($1:163)&gt;COUNT(Dong5),0,IF(OFFSET(TH!N$1,SMALL(Dong5,ROWS($1:163)),)=$E$7,OFFSET(TH!M$1,SMALL(Dong5,ROWS($1:163)),),0))</f>
        <v>2145876</v>
      </c>
      <c r="G177" s="382">
        <f ca="1">IF(ROWS($1:163)&gt;COUNT(Dong5),0,IF(OFFSET(TH!O$1,SMALL(Dong5,ROWS($1:163)),)=$E$7,OFFSET(TH!M$1,SMALL(Dong5,ROWS($1:163)),),0))</f>
        <v>0</v>
      </c>
      <c r="H177" s="385">
        <f ca="1">IF(D177&lt;&gt;"",MAX(H176+F177-G177-I176,0),0)</f>
        <v>400561353</v>
      </c>
      <c r="I177" s="385">
        <f ca="1">IF(D177&lt;&gt;"",MAX(I176+G177-H176-F177,0),0)</f>
        <v>0</v>
      </c>
      <c r="J177" s="18">
        <f ca="1">MONTH(A177)</f>
        <v>11</v>
      </c>
    </row>
    <row r="178" spans="1:10" s="18" customFormat="1" ht="18" customHeight="1">
      <c r="A178" s="318">
        <f ca="1">IF(ROWS($1:164)&gt;COUNT(Dong5),"",OFFSET(TH!C$1,SMALL(Dong5,ROWS($1:164)),))</f>
        <v>42582</v>
      </c>
      <c r="B178" s="318" t="str">
        <f ca="1">IF(ROWS($1:164)&gt;COUNT(Dong5),"",OFFSET(TH!D$1,SMALL(Dong5,ROWS($1:164)),))</f>
        <v>CTGS</v>
      </c>
      <c r="C178" s="318">
        <f ca="1">IF(ROWS($1:164)&gt;COUNT(Dong5),"",OFFSET(TH!E$1,SMALL(Dong5,ROWS($1:164)),))</f>
        <v>42582</v>
      </c>
      <c r="D178" s="383" t="str">
        <f ca="1">IF(ROWS($1:164)&gt;COUNT(Dong5),"",OFFSET(TH!F$1,SMALL(Dong5,ROWS($1:164)),))</f>
        <v>VAT Nước, nước thải, phí cơ sở hạ tầng</v>
      </c>
      <c r="E178" s="318" t="str">
        <f ca="1">IF(ROWS($1:164)&gt;COUNT(Dong5),"",IF(OFFSET(TH!N$1,SMALL(Dong5,ROWS($1:164)),)=$E$7,OFFSET(TH!O$1,SMALL(Dong5,ROWS($1:164)),),OFFSET(TH!N$1,SMALL(Dong5,ROWS($1:164)),)))</f>
        <v>331</v>
      </c>
      <c r="F178" s="384">
        <f ca="1">IF(ROWS($1:164)&gt;COUNT(Dong5),0,IF(OFFSET(TH!N$1,SMALL(Dong5,ROWS($1:164)),)=$E$7,OFFSET(TH!M$1,SMALL(Dong5,ROWS($1:164)),),0))</f>
        <v>1802050</v>
      </c>
      <c r="G178" s="382">
        <f ca="1">IF(ROWS($1:164)&gt;COUNT(Dong5),0,IF(OFFSET(TH!O$1,SMALL(Dong5,ROWS($1:164)),)=$E$7,OFFSET(TH!M$1,SMALL(Dong5,ROWS($1:164)),),0))</f>
        <v>0</v>
      </c>
      <c r="H178" s="385">
        <f ca="1">IF(D178&lt;&gt;"",MAX(H177+F178-G178-I177,0),0)</f>
        <v>402363403</v>
      </c>
      <c r="I178" s="385">
        <f ca="1">IF(D178&lt;&gt;"",MAX(I177+G178-H177-F178,0),0)</f>
        <v>0</v>
      </c>
      <c r="J178" s="18">
        <f ca="1">MONTH(A178)</f>
        <v>7</v>
      </c>
    </row>
    <row r="179" spans="1:10" s="18" customFormat="1" ht="18" customHeight="1">
      <c r="A179" s="318">
        <f ca="1">IF(ROWS($1:165)&gt;COUNT(Dong5),"",OFFSET(TH!C$1,SMALL(Dong5,ROWS($1:165)),))</f>
        <v>42688</v>
      </c>
      <c r="B179" s="318" t="str">
        <f ca="1">IF(ROWS($1:165)&gt;COUNT(Dong5),"",OFFSET(TH!D$1,SMALL(Dong5,ROWS($1:165)),))</f>
        <v>CTGS</v>
      </c>
      <c r="C179" s="318">
        <f ca="1">IF(ROWS($1:165)&gt;COUNT(Dong5),"",OFFSET(TH!E$1,SMALL(Dong5,ROWS($1:165)),))</f>
        <v>42688</v>
      </c>
      <c r="D179" s="383" t="str">
        <f ca="1">IF(ROWS($1:165)&gt;COUNT(Dong5),"",OFFSET(TH!F$1,SMALL(Dong5,ROWS($1:165)),))</f>
        <v>VAT Phí xếp dỡ, chứng từ, niêm chì</v>
      </c>
      <c r="E179" s="318" t="str">
        <f ca="1">IF(ROWS($1:165)&gt;COUNT(Dong5),"",IF(OFFSET(TH!N$1,SMALL(Dong5,ROWS($1:165)),)=$E$7,OFFSET(TH!O$1,SMALL(Dong5,ROWS($1:165)),),OFFSET(TH!N$1,SMALL(Dong5,ROWS($1:165)),)))</f>
        <v>331</v>
      </c>
      <c r="F179" s="384">
        <f ca="1">IF(ROWS($1:165)&gt;COUNT(Dong5),0,IF(OFFSET(TH!N$1,SMALL(Dong5,ROWS($1:165)),)=$E$7,OFFSET(TH!M$1,SMALL(Dong5,ROWS($1:165)),),0))</f>
        <v>378637</v>
      </c>
      <c r="G179" s="382">
        <f ca="1">IF(ROWS($1:165)&gt;COUNT(Dong5),0,IF(OFFSET(TH!O$1,SMALL(Dong5,ROWS($1:165)),)=$E$7,OFFSET(TH!M$1,SMALL(Dong5,ROWS($1:165)),),0))</f>
        <v>0</v>
      </c>
      <c r="H179" s="385">
        <f ca="1">IF(D179&lt;&gt;"",MAX(H178+F179-G179-I178,0),0)</f>
        <v>402742040</v>
      </c>
      <c r="I179" s="385">
        <f ca="1">IF(D179&lt;&gt;"",MAX(I178+G179-H178-F179,0),0)</f>
        <v>0</v>
      </c>
      <c r="J179" s="18">
        <f ca="1">MONTH(A179)</f>
        <v>11</v>
      </c>
    </row>
    <row r="180" spans="1:10" s="18" customFormat="1" ht="18" customHeight="1">
      <c r="A180" s="318">
        <f ca="1">IF(ROWS($1:166)&gt;COUNT(Dong5),"",OFFSET(TH!C$1,SMALL(Dong5,ROWS($1:166)),))</f>
        <v>42702</v>
      </c>
      <c r="B180" s="318" t="str">
        <f ca="1">IF(ROWS($1:166)&gt;COUNT(Dong5),"",OFFSET(TH!D$1,SMALL(Dong5,ROWS($1:166)),))</f>
        <v>CTGS</v>
      </c>
      <c r="C180" s="318">
        <f ca="1">IF(ROWS($1:166)&gt;COUNT(Dong5),"",OFFSET(TH!E$1,SMALL(Dong5,ROWS($1:166)),))</f>
        <v>42702</v>
      </c>
      <c r="D180" s="383" t="str">
        <f ca="1">IF(ROWS($1:166)&gt;COUNT(Dong5),"",OFFSET(TH!F$1,SMALL(Dong5,ROWS($1:166)),))</f>
        <v>VAT Phí gia công</v>
      </c>
      <c r="E180" s="318" t="str">
        <f ca="1">IF(ROWS($1:166)&gt;COUNT(Dong5),"",IF(OFFSET(TH!N$1,SMALL(Dong5,ROWS($1:166)),)=$E$7,OFFSET(TH!O$1,SMALL(Dong5,ROWS($1:166)),),OFFSET(TH!N$1,SMALL(Dong5,ROWS($1:166)),)))</f>
        <v>331</v>
      </c>
      <c r="F180" s="384">
        <f ca="1">IF(ROWS($1:166)&gt;COUNT(Dong5),0,IF(OFFSET(TH!N$1,SMALL(Dong5,ROWS($1:166)),)=$E$7,OFFSET(TH!M$1,SMALL(Dong5,ROWS($1:166)),),0))</f>
        <v>52000000</v>
      </c>
      <c r="G180" s="382">
        <f ca="1">IF(ROWS($1:166)&gt;COUNT(Dong5),0,IF(OFFSET(TH!O$1,SMALL(Dong5,ROWS($1:166)),)=$E$7,OFFSET(TH!M$1,SMALL(Dong5,ROWS($1:166)),),0))</f>
        <v>0</v>
      </c>
      <c r="H180" s="385">
        <f ca="1">IF(D180&lt;&gt;"",MAX(H179+F180-G180-I179,0),0)</f>
        <v>454742040</v>
      </c>
      <c r="I180" s="385">
        <f ca="1">IF(D180&lt;&gt;"",MAX(I179+G180-H179-F180,0),0)</f>
        <v>0</v>
      </c>
      <c r="J180" s="18">
        <f ca="1">MONTH(A180)</f>
        <v>11</v>
      </c>
    </row>
    <row r="181" spans="1:10" s="18" customFormat="1" ht="18" customHeight="1">
      <c r="A181" s="318">
        <f ca="1">IF(ROWS($1:167)&gt;COUNT(Dong5),"",OFFSET(TH!C$1,SMALL(Dong5,ROWS($1:167)),))</f>
        <v>42719</v>
      </c>
      <c r="B181" s="318" t="str">
        <f ca="1">IF(ROWS($1:167)&gt;COUNT(Dong5),"",OFFSET(TH!D$1,SMALL(Dong5,ROWS($1:167)),))</f>
        <v>CTGS</v>
      </c>
      <c r="C181" s="318">
        <f ca="1">IF(ROWS($1:167)&gt;COUNT(Dong5),"",OFFSET(TH!E$1,SMALL(Dong5,ROWS($1:167)),))</f>
        <v>42719</v>
      </c>
      <c r="D181" s="383" t="str">
        <f ca="1">IF(ROWS($1:167)&gt;COUNT(Dong5),"",OFFSET(TH!F$1,SMALL(Dong5,ROWS($1:167)),))</f>
        <v>VAT Phí chứng từ, niêm chì, giao hàng, xếp dỡ</v>
      </c>
      <c r="E181" s="318" t="str">
        <f ca="1">IF(ROWS($1:167)&gt;COUNT(Dong5),"",IF(OFFSET(TH!N$1,SMALL(Dong5,ROWS($1:167)),)=$E$7,OFFSET(TH!O$1,SMALL(Dong5,ROWS($1:167)),),OFFSET(TH!N$1,SMALL(Dong5,ROWS($1:167)),)))</f>
        <v>331</v>
      </c>
      <c r="F181" s="384">
        <f ca="1">IF(ROWS($1:167)&gt;COUNT(Dong5),0,IF(OFFSET(TH!N$1,SMALL(Dong5,ROWS($1:167)),)=$E$7,OFFSET(TH!M$1,SMALL(Dong5,ROWS($1:167)),),0))</f>
        <v>2143050</v>
      </c>
      <c r="G181" s="382">
        <f ca="1">IF(ROWS($1:167)&gt;COUNT(Dong5),0,IF(OFFSET(TH!O$1,SMALL(Dong5,ROWS($1:167)),)=$E$7,OFFSET(TH!M$1,SMALL(Dong5,ROWS($1:167)),),0))</f>
        <v>0</v>
      </c>
      <c r="H181" s="385">
        <f ca="1">IF(D181&lt;&gt;"",MAX(H180+F181-G181-I180,0),0)</f>
        <v>456885090</v>
      </c>
      <c r="I181" s="385">
        <f ca="1">IF(D181&lt;&gt;"",MAX(I180+G181-H180-F181,0),0)</f>
        <v>0</v>
      </c>
      <c r="J181" s="18">
        <f ca="1">MONTH(A181)</f>
        <v>12</v>
      </c>
    </row>
    <row r="182" spans="1:10" s="18" customFormat="1" ht="18" customHeight="1">
      <c r="A182" s="318">
        <f ca="1">IF(ROWS($1:168)&gt;COUNT(Dong5),"",OFFSET(TH!C$1,SMALL(Dong5,ROWS($1:168)),))</f>
        <v>42704</v>
      </c>
      <c r="B182" s="318" t="str">
        <f ca="1">IF(ROWS($1:168)&gt;COUNT(Dong5),"",OFFSET(TH!D$1,SMALL(Dong5,ROWS($1:168)),))</f>
        <v>CTGS</v>
      </c>
      <c r="C182" s="318">
        <f ca="1">IF(ROWS($1:168)&gt;COUNT(Dong5),"",OFFSET(TH!E$1,SMALL(Dong5,ROWS($1:168)),))</f>
        <v>42695</v>
      </c>
      <c r="D182" s="383" t="str">
        <f ca="1">IF(ROWS($1:168)&gt;COUNT(Dong5),"",OFFSET(TH!F$1,SMALL(Dong5,ROWS($1:168)),))</f>
        <v>VAT Phí xử lý cá khô</v>
      </c>
      <c r="E182" s="318" t="str">
        <f ca="1">IF(ROWS($1:168)&gt;COUNT(Dong5),"",IF(OFFSET(TH!N$1,SMALL(Dong5,ROWS($1:168)),)=$E$7,OFFSET(TH!O$1,SMALL(Dong5,ROWS($1:168)),),OFFSET(TH!N$1,SMALL(Dong5,ROWS($1:168)),)))</f>
        <v>331</v>
      </c>
      <c r="F182" s="384">
        <f ca="1">IF(ROWS($1:168)&gt;COUNT(Dong5),0,IF(OFFSET(TH!N$1,SMALL(Dong5,ROWS($1:168)),)=$E$7,OFFSET(TH!M$1,SMALL(Dong5,ROWS($1:168)),),0))</f>
        <v>200000</v>
      </c>
      <c r="G182" s="382">
        <f ca="1">IF(ROWS($1:168)&gt;COUNT(Dong5),0,IF(OFFSET(TH!O$1,SMALL(Dong5,ROWS($1:168)),)=$E$7,OFFSET(TH!M$1,SMALL(Dong5,ROWS($1:168)),),0))</f>
        <v>0</v>
      </c>
      <c r="H182" s="385">
        <f ca="1">IF(D182&lt;&gt;"",MAX(H181+F182-G182-I181,0),0)</f>
        <v>457085090</v>
      </c>
      <c r="I182" s="385">
        <f ca="1">IF(D182&lt;&gt;"",MAX(I181+G182-H181-F182,0),0)</f>
        <v>0</v>
      </c>
      <c r="J182" s="18">
        <f ca="1">MONTH(A182)</f>
        <v>11</v>
      </c>
    </row>
    <row r="183" spans="1:10" s="18" customFormat="1" ht="18" customHeight="1">
      <c r="A183" s="318">
        <f ca="1">IF(ROWS($1:169)&gt;COUNT(Dong5),"",OFFSET(TH!C$1,SMALL(Dong5,ROWS($1:169)),))</f>
        <v>42613</v>
      </c>
      <c r="B183" s="318" t="str">
        <f ca="1">IF(ROWS($1:169)&gt;COUNT(Dong5),"",OFFSET(TH!D$1,SMALL(Dong5,ROWS($1:169)),))</f>
        <v>CTGS</v>
      </c>
      <c r="C183" s="318">
        <f ca="1">IF(ROWS($1:169)&gt;COUNT(Dong5),"",OFFSET(TH!E$1,SMALL(Dong5,ROWS($1:169)),))</f>
        <v>42589</v>
      </c>
      <c r="D183" s="383" t="str">
        <f ca="1">IF(ROWS($1:169)&gt;COUNT(Dong5),"",OFFSET(TH!F$1,SMALL(Dong5,ROWS($1:169)),))</f>
        <v>VAT Tiền điện Kỳ 1 T8/2016</v>
      </c>
      <c r="E183" s="318" t="str">
        <f ca="1">IF(ROWS($1:169)&gt;COUNT(Dong5),"",IF(OFFSET(TH!N$1,SMALL(Dong5,ROWS($1:169)),)=$E$7,OFFSET(TH!O$1,SMALL(Dong5,ROWS($1:169)),),OFFSET(TH!N$1,SMALL(Dong5,ROWS($1:169)),)))</f>
        <v>331</v>
      </c>
      <c r="F183" s="384">
        <f ca="1">IF(ROWS($1:169)&gt;COUNT(Dong5),0,IF(OFFSET(TH!N$1,SMALL(Dong5,ROWS($1:169)),)=$E$7,OFFSET(TH!M$1,SMALL(Dong5,ROWS($1:169)),),0))</f>
        <v>2952810</v>
      </c>
      <c r="G183" s="382">
        <f ca="1">IF(ROWS($1:169)&gt;COUNT(Dong5),0,IF(OFFSET(TH!O$1,SMALL(Dong5,ROWS($1:169)),)=$E$7,OFFSET(TH!M$1,SMALL(Dong5,ROWS($1:169)),),0))</f>
        <v>0</v>
      </c>
      <c r="H183" s="385">
        <f ca="1">IF(D183&lt;&gt;"",MAX(H182+F183-G183-I182,0),0)</f>
        <v>460037900</v>
      </c>
      <c r="I183" s="385">
        <f ca="1">IF(D183&lt;&gt;"",MAX(I182+G183-H182-F183,0),0)</f>
        <v>0</v>
      </c>
      <c r="J183" s="18">
        <f ca="1">MONTH(A183)</f>
        <v>8</v>
      </c>
    </row>
    <row r="184" spans="1:10" s="18" customFormat="1" ht="18" customHeight="1">
      <c r="A184" s="318">
        <f ca="1">IF(ROWS($1:170)&gt;COUNT(Dong5),"",OFFSET(TH!C$1,SMALL(Dong5,ROWS($1:170)),))</f>
        <v>42613</v>
      </c>
      <c r="B184" s="318" t="str">
        <f ca="1">IF(ROWS($1:170)&gt;COUNT(Dong5),"",OFFSET(TH!D$1,SMALL(Dong5,ROWS($1:170)),))</f>
        <v>CTGS</v>
      </c>
      <c r="C184" s="318">
        <f ca="1">IF(ROWS($1:170)&gt;COUNT(Dong5),"",OFFSET(TH!E$1,SMALL(Dong5,ROWS($1:170)),))</f>
        <v>42598</v>
      </c>
      <c r="D184" s="383" t="str">
        <f ca="1">IF(ROWS($1:170)&gt;COUNT(Dong5),"",OFFSET(TH!F$1,SMALL(Dong5,ROWS($1:170)),))</f>
        <v>VAT Tiền điện Kỳ 2 T8/2016</v>
      </c>
      <c r="E184" s="318" t="str">
        <f ca="1">IF(ROWS($1:170)&gt;COUNT(Dong5),"",IF(OFFSET(TH!N$1,SMALL(Dong5,ROWS($1:170)),)=$E$7,OFFSET(TH!O$1,SMALL(Dong5,ROWS($1:170)),),OFFSET(TH!N$1,SMALL(Dong5,ROWS($1:170)),)))</f>
        <v>331</v>
      </c>
      <c r="F184" s="384">
        <f ca="1">IF(ROWS($1:170)&gt;COUNT(Dong5),0,IF(OFFSET(TH!N$1,SMALL(Dong5,ROWS($1:170)),)=$E$7,OFFSET(TH!M$1,SMALL(Dong5,ROWS($1:170)),),0))</f>
        <v>2193180</v>
      </c>
      <c r="G184" s="382">
        <f ca="1">IF(ROWS($1:170)&gt;COUNT(Dong5),0,IF(OFFSET(TH!O$1,SMALL(Dong5,ROWS($1:170)),)=$E$7,OFFSET(TH!M$1,SMALL(Dong5,ROWS($1:170)),),0))</f>
        <v>0</v>
      </c>
      <c r="H184" s="385">
        <f ca="1">IF(D184&lt;&gt;"",MAX(H183+F184-G184-I183,0),0)</f>
        <v>462231080</v>
      </c>
      <c r="I184" s="385">
        <f ca="1">IF(D184&lt;&gt;"",MAX(I183+G184-H183-F184,0),0)</f>
        <v>0</v>
      </c>
      <c r="J184" s="18">
        <f ca="1">MONTH(A184)</f>
        <v>8</v>
      </c>
    </row>
    <row r="185" spans="1:10" s="18" customFormat="1" ht="18" customHeight="1">
      <c r="A185" s="318">
        <f ca="1">IF(ROWS($1:171)&gt;COUNT(Dong5),"",OFFSET(TH!C$1,SMALL(Dong5,ROWS($1:171)),))</f>
        <v>42704</v>
      </c>
      <c r="B185" s="318" t="str">
        <f ca="1">IF(ROWS($1:171)&gt;COUNT(Dong5),"",OFFSET(TH!D$1,SMALL(Dong5,ROWS($1:171)),))</f>
        <v>CTGS</v>
      </c>
      <c r="C185" s="318">
        <f ca="1">IF(ROWS($1:171)&gt;COUNT(Dong5),"",OFFSET(TH!E$1,SMALL(Dong5,ROWS($1:171)),))</f>
        <v>42704</v>
      </c>
      <c r="D185" s="383" t="str">
        <f ca="1">IF(ROWS($1:171)&gt;COUNT(Dong5),"",OFFSET(TH!F$1,SMALL(Dong5,ROWS($1:171)),))</f>
        <v>VAT Phí xử lý cá khô</v>
      </c>
      <c r="E185" s="318" t="str">
        <f ca="1">IF(ROWS($1:171)&gt;COUNT(Dong5),"",IF(OFFSET(TH!N$1,SMALL(Dong5,ROWS($1:171)),)=$E$7,OFFSET(TH!O$1,SMALL(Dong5,ROWS($1:171)),),OFFSET(TH!N$1,SMALL(Dong5,ROWS($1:171)),)))</f>
        <v>331</v>
      </c>
      <c r="F185" s="384">
        <f ca="1">IF(ROWS($1:171)&gt;COUNT(Dong5),0,IF(OFFSET(TH!N$1,SMALL(Dong5,ROWS($1:171)),)=$E$7,OFFSET(TH!M$1,SMALL(Dong5,ROWS($1:171)),),0))</f>
        <v>200000</v>
      </c>
      <c r="G185" s="382">
        <f ca="1">IF(ROWS($1:171)&gt;COUNT(Dong5),0,IF(OFFSET(TH!O$1,SMALL(Dong5,ROWS($1:171)),)=$E$7,OFFSET(TH!M$1,SMALL(Dong5,ROWS($1:171)),),0))</f>
        <v>0</v>
      </c>
      <c r="H185" s="385">
        <f ca="1">IF(D185&lt;&gt;"",MAX(H184+F185-G185-I184,0),0)</f>
        <v>462431080</v>
      </c>
      <c r="I185" s="385">
        <f ca="1">IF(D185&lt;&gt;"",MAX(I184+G185-H184-F185,0),0)</f>
        <v>0</v>
      </c>
      <c r="J185" s="18">
        <f ca="1">MONTH(A185)</f>
        <v>11</v>
      </c>
    </row>
    <row r="186" spans="1:10" s="18" customFormat="1" ht="18" customHeight="1">
      <c r="A186" s="318">
        <f ca="1">IF(ROWS($1:172)&gt;COUNT(Dong5),"",OFFSET(TH!C$1,SMALL(Dong5,ROWS($1:172)),))</f>
        <v>42734</v>
      </c>
      <c r="B186" s="318" t="str">
        <f ca="1">IF(ROWS($1:172)&gt;COUNT(Dong5),"",OFFSET(TH!D$1,SMALL(Dong5,ROWS($1:172)),))</f>
        <v>CTGS</v>
      </c>
      <c r="C186" s="318">
        <f ca="1">IF(ROWS($1:172)&gt;COUNT(Dong5),"",OFFSET(TH!E$1,SMALL(Dong5,ROWS($1:172)),))</f>
        <v>42683</v>
      </c>
      <c r="D186" s="383" t="str">
        <f ca="1">IF(ROWS($1:172)&gt;COUNT(Dong5),"",OFFSET(TH!F$1,SMALL(Dong5,ROWS($1:172)),))</f>
        <v>VAT Cước vận chuyển</v>
      </c>
      <c r="E186" s="318" t="str">
        <f ca="1">IF(ROWS($1:172)&gt;COUNT(Dong5),"",IF(OFFSET(TH!N$1,SMALL(Dong5,ROWS($1:172)),)=$E$7,OFFSET(TH!O$1,SMALL(Dong5,ROWS($1:172)),),OFFSET(TH!N$1,SMALL(Dong5,ROWS($1:172)),)))</f>
        <v>331</v>
      </c>
      <c r="F186" s="384">
        <f ca="1">IF(ROWS($1:172)&gt;COUNT(Dong5),0,IF(OFFSET(TH!N$1,SMALL(Dong5,ROWS($1:172)),)=$E$7,OFFSET(TH!M$1,SMALL(Dong5,ROWS($1:172)),),0))</f>
        <v>2240000</v>
      </c>
      <c r="G186" s="382">
        <f ca="1">IF(ROWS($1:172)&gt;COUNT(Dong5),0,IF(OFFSET(TH!O$1,SMALL(Dong5,ROWS($1:172)),)=$E$7,OFFSET(TH!M$1,SMALL(Dong5,ROWS($1:172)),),0))</f>
        <v>0</v>
      </c>
      <c r="H186" s="385">
        <f ca="1">IF(D186&lt;&gt;"",MAX(H185+F186-G186-I185,0),0)</f>
        <v>464671080</v>
      </c>
      <c r="I186" s="385">
        <f ca="1">IF(D186&lt;&gt;"",MAX(I185+G186-H185-F186,0),0)</f>
        <v>0</v>
      </c>
      <c r="J186" s="18">
        <f ca="1">MONTH(A186)</f>
        <v>12</v>
      </c>
    </row>
    <row r="187" spans="1:10" s="18" customFormat="1" ht="18" customHeight="1">
      <c r="A187" s="318">
        <f ca="1">IF(ROWS($1:173)&gt;COUNT(Dong5),"",OFFSET(TH!C$1,SMALL(Dong5,ROWS($1:173)),))</f>
        <v>42734</v>
      </c>
      <c r="B187" s="318" t="str">
        <f ca="1">IF(ROWS($1:173)&gt;COUNT(Dong5),"",OFFSET(TH!D$1,SMALL(Dong5,ROWS($1:173)),))</f>
        <v>CTGS</v>
      </c>
      <c r="C187" s="318">
        <f ca="1">IF(ROWS($1:173)&gt;COUNT(Dong5),"",OFFSET(TH!E$1,SMALL(Dong5,ROWS($1:173)),))</f>
        <v>42703</v>
      </c>
      <c r="D187" s="383" t="str">
        <f ca="1">IF(ROWS($1:173)&gt;COUNT(Dong5),"",OFFSET(TH!F$1,SMALL(Dong5,ROWS($1:173)),))</f>
        <v>VAT Cước vận chuyển</v>
      </c>
      <c r="E187" s="318" t="str">
        <f ca="1">IF(ROWS($1:173)&gt;COUNT(Dong5),"",IF(OFFSET(TH!N$1,SMALL(Dong5,ROWS($1:173)),)=$E$7,OFFSET(TH!O$1,SMALL(Dong5,ROWS($1:173)),),OFFSET(TH!N$1,SMALL(Dong5,ROWS($1:173)),)))</f>
        <v>331</v>
      </c>
      <c r="F187" s="384">
        <f ca="1">IF(ROWS($1:173)&gt;COUNT(Dong5),0,IF(OFFSET(TH!N$1,SMALL(Dong5,ROWS($1:173)),)=$E$7,OFFSET(TH!M$1,SMALL(Dong5,ROWS($1:173)),),0))</f>
        <v>4760000</v>
      </c>
      <c r="G187" s="382">
        <f ca="1">IF(ROWS($1:173)&gt;COUNT(Dong5),0,IF(OFFSET(TH!O$1,SMALL(Dong5,ROWS($1:173)),)=$E$7,OFFSET(TH!M$1,SMALL(Dong5,ROWS($1:173)),),0))</f>
        <v>0</v>
      </c>
      <c r="H187" s="385">
        <f ca="1">IF(D187&lt;&gt;"",MAX(H186+F187-G187-I186,0),0)</f>
        <v>469431080</v>
      </c>
      <c r="I187" s="385">
        <f ca="1">IF(D187&lt;&gt;"",MAX(I186+G187-H186-F187,0),0)</f>
        <v>0</v>
      </c>
      <c r="J187" s="18">
        <f ca="1">MONTH(A187)</f>
        <v>12</v>
      </c>
    </row>
    <row r="188" spans="1:10" s="18" customFormat="1" ht="18" customHeight="1">
      <c r="A188" s="318">
        <f ca="1">IF(ROWS($1:174)&gt;COUNT(Dong5),"",OFFSET(TH!C$1,SMALL(Dong5,ROWS($1:174)),))</f>
        <v>42734</v>
      </c>
      <c r="B188" s="318" t="str">
        <f ca="1">IF(ROWS($1:174)&gt;COUNT(Dong5),"",OFFSET(TH!D$1,SMALL(Dong5,ROWS($1:174)),))</f>
        <v>CTGS</v>
      </c>
      <c r="C188" s="318">
        <f ca="1">IF(ROWS($1:174)&gt;COUNT(Dong5),"",OFFSET(TH!E$1,SMALL(Dong5,ROWS($1:174)),))</f>
        <v>42714</v>
      </c>
      <c r="D188" s="383" t="str">
        <f ca="1">IF(ROWS($1:174)&gt;COUNT(Dong5),"",OFFSET(TH!F$1,SMALL(Dong5,ROWS($1:174)),))</f>
        <v>VAT Cước vận chuyển</v>
      </c>
      <c r="E188" s="318" t="str">
        <f ca="1">IF(ROWS($1:174)&gt;COUNT(Dong5),"",IF(OFFSET(TH!N$1,SMALL(Dong5,ROWS($1:174)),)=$E$7,OFFSET(TH!O$1,SMALL(Dong5,ROWS($1:174)),),OFFSET(TH!N$1,SMALL(Dong5,ROWS($1:174)),)))</f>
        <v>331</v>
      </c>
      <c r="F188" s="384">
        <f ca="1">IF(ROWS($1:174)&gt;COUNT(Dong5),0,IF(OFFSET(TH!N$1,SMALL(Dong5,ROWS($1:174)),)=$E$7,OFFSET(TH!M$1,SMALL(Dong5,ROWS($1:174)),),0))</f>
        <v>3780000</v>
      </c>
      <c r="G188" s="382">
        <f ca="1">IF(ROWS($1:174)&gt;COUNT(Dong5),0,IF(OFFSET(TH!O$1,SMALL(Dong5,ROWS($1:174)),)=$E$7,OFFSET(TH!M$1,SMALL(Dong5,ROWS($1:174)),),0))</f>
        <v>0</v>
      </c>
      <c r="H188" s="385">
        <f ca="1">IF(D188&lt;&gt;"",MAX(H187+F188-G188-I187,0),0)</f>
        <v>473211080</v>
      </c>
      <c r="I188" s="385">
        <f ca="1">IF(D188&lt;&gt;"",MAX(I187+G188-H187-F188,0),0)</f>
        <v>0</v>
      </c>
      <c r="J188" s="18">
        <f ca="1">MONTH(A188)</f>
        <v>12</v>
      </c>
    </row>
    <row r="189" spans="1:10" s="18" customFormat="1" ht="18" customHeight="1">
      <c r="A189" s="318">
        <f ca="1">IF(ROWS($1:175)&gt;COUNT(Dong5),"",OFFSET(TH!C$1,SMALL(Dong5,ROWS($1:175)),))</f>
        <v>42734</v>
      </c>
      <c r="B189" s="318" t="str">
        <f ca="1">IF(ROWS($1:175)&gt;COUNT(Dong5),"",OFFSET(TH!D$1,SMALL(Dong5,ROWS($1:175)),))</f>
        <v>CTGS</v>
      </c>
      <c r="C189" s="318">
        <f ca="1">IF(ROWS($1:175)&gt;COUNT(Dong5),"",OFFSET(TH!E$1,SMALL(Dong5,ROWS($1:175)),))</f>
        <v>42720</v>
      </c>
      <c r="D189" s="383" t="str">
        <f ca="1">IF(ROWS($1:175)&gt;COUNT(Dong5),"",OFFSET(TH!F$1,SMALL(Dong5,ROWS($1:175)),))</f>
        <v>VAT Cước vận chuyển</v>
      </c>
      <c r="E189" s="318" t="str">
        <f ca="1">IF(ROWS($1:175)&gt;COUNT(Dong5),"",IF(OFFSET(TH!N$1,SMALL(Dong5,ROWS($1:175)),)=$E$7,OFFSET(TH!O$1,SMALL(Dong5,ROWS($1:175)),),OFFSET(TH!N$1,SMALL(Dong5,ROWS($1:175)),)))</f>
        <v>331</v>
      </c>
      <c r="F189" s="384">
        <f ca="1">IF(ROWS($1:175)&gt;COUNT(Dong5),0,IF(OFFSET(TH!N$1,SMALL(Dong5,ROWS($1:175)),)=$E$7,OFFSET(TH!M$1,SMALL(Dong5,ROWS($1:175)),),0))</f>
        <v>3500000</v>
      </c>
      <c r="G189" s="382">
        <f ca="1">IF(ROWS($1:175)&gt;COUNT(Dong5),0,IF(OFFSET(TH!O$1,SMALL(Dong5,ROWS($1:175)),)=$E$7,OFFSET(TH!M$1,SMALL(Dong5,ROWS($1:175)),),0))</f>
        <v>0</v>
      </c>
      <c r="H189" s="385">
        <f ca="1">IF(D189&lt;&gt;"",MAX(H188+F189-G189-I188,0),0)</f>
        <v>476711080</v>
      </c>
      <c r="I189" s="385">
        <f ca="1">IF(D189&lt;&gt;"",MAX(I188+G189-H188-F189,0),0)</f>
        <v>0</v>
      </c>
      <c r="J189" s="18">
        <f ca="1">MONTH(A189)</f>
        <v>12</v>
      </c>
    </row>
    <row r="190" spans="1:10" s="18" customFormat="1" ht="18" customHeight="1">
      <c r="A190" s="318">
        <f ca="1">IF(ROWS($1:176)&gt;COUNT(Dong5),"",OFFSET(TH!C$1,SMALL(Dong5,ROWS($1:176)),))</f>
        <v>42734</v>
      </c>
      <c r="B190" s="318" t="str">
        <f ca="1">IF(ROWS($1:176)&gt;COUNT(Dong5),"",OFFSET(TH!D$1,SMALL(Dong5,ROWS($1:176)),))</f>
        <v>CTGS</v>
      </c>
      <c r="C190" s="318">
        <f ca="1">IF(ROWS($1:176)&gt;COUNT(Dong5),"",OFFSET(TH!E$1,SMALL(Dong5,ROWS($1:176)),))</f>
        <v>42704</v>
      </c>
      <c r="D190" s="383" t="str">
        <f ca="1">IF(ROWS($1:176)&gt;COUNT(Dong5),"",OFFSET(TH!F$1,SMALL(Dong5,ROWS($1:176)),))</f>
        <v>VAT Máy photo đã qua sử dụng</v>
      </c>
      <c r="E190" s="318" t="str">
        <f ca="1">IF(ROWS($1:176)&gt;COUNT(Dong5),"",IF(OFFSET(TH!N$1,SMALL(Dong5,ROWS($1:176)),)=$E$7,OFFSET(TH!O$1,SMALL(Dong5,ROWS($1:176)),),OFFSET(TH!N$1,SMALL(Dong5,ROWS($1:176)),)))</f>
        <v>331</v>
      </c>
      <c r="F190" s="384">
        <f ca="1">IF(ROWS($1:176)&gt;COUNT(Dong5),0,IF(OFFSET(TH!N$1,SMALL(Dong5,ROWS($1:176)),)=$E$7,OFFSET(TH!M$1,SMALL(Dong5,ROWS($1:176)),),0))</f>
        <v>1909091</v>
      </c>
      <c r="G190" s="382">
        <f ca="1">IF(ROWS($1:176)&gt;COUNT(Dong5),0,IF(OFFSET(TH!O$1,SMALL(Dong5,ROWS($1:176)),)=$E$7,OFFSET(TH!M$1,SMALL(Dong5,ROWS($1:176)),),0))</f>
        <v>0</v>
      </c>
      <c r="H190" s="385">
        <f ca="1">IF(D190&lt;&gt;"",MAX(H189+F190-G190-I189,0),0)</f>
        <v>478620171</v>
      </c>
      <c r="I190" s="385">
        <f ca="1">IF(D190&lt;&gt;"",MAX(I189+G190-H189-F190,0),0)</f>
        <v>0</v>
      </c>
      <c r="J190" s="18">
        <f ca="1">MONTH(A190)</f>
        <v>12</v>
      </c>
    </row>
    <row r="191" spans="1:10" s="18" customFormat="1" ht="18" customHeight="1">
      <c r="A191" s="318">
        <f ca="1">IF(ROWS($1:177)&gt;COUNT(Dong5),"",OFFSET(TH!C$1,SMALL(Dong5,ROWS($1:177)),))</f>
        <v>42707</v>
      </c>
      <c r="B191" s="318" t="str">
        <f ca="1">IF(ROWS($1:177)&gt;COUNT(Dong5),"",OFFSET(TH!D$1,SMALL(Dong5,ROWS($1:177)),))</f>
        <v>CTGS</v>
      </c>
      <c r="C191" s="318">
        <f ca="1">IF(ROWS($1:177)&gt;COUNT(Dong5),"",OFFSET(TH!E$1,SMALL(Dong5,ROWS($1:177)),))</f>
        <v>42707</v>
      </c>
      <c r="D191" s="383" t="str">
        <f ca="1">IF(ROWS($1:177)&gt;COUNT(Dong5),"",OFFSET(TH!F$1,SMALL(Dong5,ROWS($1:177)),))</f>
        <v>VAT Phí phát hành bill, điện giao hàng, xếp dỡ, niêm chì</v>
      </c>
      <c r="E191" s="318" t="str">
        <f ca="1">IF(ROWS($1:177)&gt;COUNT(Dong5),"",IF(OFFSET(TH!N$1,SMALL(Dong5,ROWS($1:177)),)=$E$7,OFFSET(TH!O$1,SMALL(Dong5,ROWS($1:177)),),OFFSET(TH!N$1,SMALL(Dong5,ROWS($1:177)),)))</f>
        <v>331</v>
      </c>
      <c r="F191" s="384">
        <f ca="1">IF(ROWS($1:177)&gt;COUNT(Dong5),0,IF(OFFSET(TH!N$1,SMALL(Dong5,ROWS($1:177)),)=$E$7,OFFSET(TH!M$1,SMALL(Dong5,ROWS($1:177)),),0))</f>
        <v>2088926</v>
      </c>
      <c r="G191" s="382">
        <f ca="1">IF(ROWS($1:177)&gt;COUNT(Dong5),0,IF(OFFSET(TH!O$1,SMALL(Dong5,ROWS($1:177)),)=$E$7,OFFSET(TH!M$1,SMALL(Dong5,ROWS($1:177)),),0))</f>
        <v>0</v>
      </c>
      <c r="H191" s="385">
        <f ca="1">IF(D191&lt;&gt;"",MAX(H190+F191-G191-I190,0),0)</f>
        <v>480709097</v>
      </c>
      <c r="I191" s="385">
        <f ca="1">IF(D191&lt;&gt;"",MAX(I190+G191-H190-F191,0),0)</f>
        <v>0</v>
      </c>
      <c r="J191" s="18">
        <f ca="1">MONTH(A191)</f>
        <v>12</v>
      </c>
    </row>
    <row r="192" spans="1:10" s="18" customFormat="1" ht="18" customHeight="1">
      <c r="A192" s="318">
        <f ca="1">IF(ROWS($1:178)&gt;COUNT(Dong5),"",OFFSET(TH!C$1,SMALL(Dong5,ROWS($1:178)),))</f>
        <v>42718</v>
      </c>
      <c r="B192" s="318" t="str">
        <f ca="1">IF(ROWS($1:178)&gt;COUNT(Dong5),"",OFFSET(TH!D$1,SMALL(Dong5,ROWS($1:178)),))</f>
        <v>CTGS</v>
      </c>
      <c r="C192" s="318">
        <f ca="1">IF(ROWS($1:178)&gt;COUNT(Dong5),"",OFFSET(TH!E$1,SMALL(Dong5,ROWS($1:178)),))</f>
        <v>42718</v>
      </c>
      <c r="D192" s="383" t="str">
        <f ca="1">IF(ROWS($1:178)&gt;COUNT(Dong5),"",OFFSET(TH!F$1,SMALL(Dong5,ROWS($1:178)),))</f>
        <v>VAT Phí phát hành bill, điện giao hàng, xếp dỡ, niêm chì</v>
      </c>
      <c r="E192" s="318" t="str">
        <f ca="1">IF(ROWS($1:178)&gt;COUNT(Dong5),"",IF(OFFSET(TH!N$1,SMALL(Dong5,ROWS($1:178)),)=$E$7,OFFSET(TH!O$1,SMALL(Dong5,ROWS($1:178)),),OFFSET(TH!N$1,SMALL(Dong5,ROWS($1:178)),)))</f>
        <v>331</v>
      </c>
      <c r="F192" s="384">
        <f ca="1">IF(ROWS($1:178)&gt;COUNT(Dong5),0,IF(OFFSET(TH!N$1,SMALL(Dong5,ROWS($1:178)),)=$E$7,OFFSET(TH!M$1,SMALL(Dong5,ROWS($1:178)),),0))</f>
        <v>3028576</v>
      </c>
      <c r="G192" s="382">
        <f ca="1">IF(ROWS($1:178)&gt;COUNT(Dong5),0,IF(OFFSET(TH!O$1,SMALL(Dong5,ROWS($1:178)),)=$E$7,OFFSET(TH!M$1,SMALL(Dong5,ROWS($1:178)),),0))</f>
        <v>0</v>
      </c>
      <c r="H192" s="385">
        <f ca="1">IF(D192&lt;&gt;"",MAX(H191+F192-G192-I191,0),0)</f>
        <v>483737673</v>
      </c>
      <c r="I192" s="385">
        <f ca="1">IF(D192&lt;&gt;"",MAX(I191+G192-H191-F192,0),0)</f>
        <v>0</v>
      </c>
      <c r="J192" s="18">
        <f ca="1">MONTH(A192)</f>
        <v>12</v>
      </c>
    </row>
    <row r="193" spans="1:10" s="18" customFormat="1" ht="18" customHeight="1">
      <c r="A193" s="318">
        <f ca="1">IF(ROWS($1:179)&gt;COUNT(Dong5),"",OFFSET(TH!C$1,SMALL(Dong5,ROWS($1:179)),))</f>
        <v>42724</v>
      </c>
      <c r="B193" s="318" t="str">
        <f ca="1">IF(ROWS($1:179)&gt;COUNT(Dong5),"",OFFSET(TH!D$1,SMALL(Dong5,ROWS($1:179)),))</f>
        <v>CTGS</v>
      </c>
      <c r="C193" s="318">
        <f ca="1">IF(ROWS($1:179)&gt;COUNT(Dong5),"",OFFSET(TH!E$1,SMALL(Dong5,ROWS($1:179)),))</f>
        <v>42724</v>
      </c>
      <c r="D193" s="383" t="str">
        <f ca="1">IF(ROWS($1:179)&gt;COUNT(Dong5),"",OFFSET(TH!F$1,SMALL(Dong5,ROWS($1:179)),))</f>
        <v>VAT Phí phát hành bill, điện giao hàng, xếp dỡ, niêm chì</v>
      </c>
      <c r="E193" s="318" t="str">
        <f ca="1">IF(ROWS($1:179)&gt;COUNT(Dong5),"",IF(OFFSET(TH!N$1,SMALL(Dong5,ROWS($1:179)),)=$E$7,OFFSET(TH!O$1,SMALL(Dong5,ROWS($1:179)),),OFFSET(TH!N$1,SMALL(Dong5,ROWS($1:179)),)))</f>
        <v>331</v>
      </c>
      <c r="F193" s="384">
        <f ca="1">IF(ROWS($1:179)&gt;COUNT(Dong5),0,IF(OFFSET(TH!N$1,SMALL(Dong5,ROWS($1:179)),)=$E$7,OFFSET(TH!M$1,SMALL(Dong5,ROWS($1:179)),),0))</f>
        <v>3039240</v>
      </c>
      <c r="G193" s="382">
        <f ca="1">IF(ROWS($1:179)&gt;COUNT(Dong5),0,IF(OFFSET(TH!O$1,SMALL(Dong5,ROWS($1:179)),)=$E$7,OFFSET(TH!M$1,SMALL(Dong5,ROWS($1:179)),),0))</f>
        <v>0</v>
      </c>
      <c r="H193" s="385">
        <f ca="1">IF(D193&lt;&gt;"",MAX(H192+F193-G193-I192,0),0)</f>
        <v>486776913</v>
      </c>
      <c r="I193" s="385">
        <f ca="1">IF(D193&lt;&gt;"",MAX(I192+G193-H192-F193,0),0)</f>
        <v>0</v>
      </c>
      <c r="J193" s="18">
        <f ca="1">MONTH(A193)</f>
        <v>12</v>
      </c>
    </row>
    <row r="194" spans="1:10" s="18" customFormat="1" ht="18" customHeight="1">
      <c r="A194" s="318">
        <f ca="1">IF(ROWS($1:180)&gt;COUNT(Dong5),"",OFFSET(TH!C$1,SMALL(Dong5,ROWS($1:180)),))</f>
        <v>42731</v>
      </c>
      <c r="B194" s="318" t="str">
        <f ca="1">IF(ROWS($1:180)&gt;COUNT(Dong5),"",OFFSET(TH!D$1,SMALL(Dong5,ROWS($1:180)),))</f>
        <v>CTGS</v>
      </c>
      <c r="C194" s="318">
        <f ca="1">IF(ROWS($1:180)&gt;COUNT(Dong5),"",OFFSET(TH!E$1,SMALL(Dong5,ROWS($1:180)),))</f>
        <v>42731</v>
      </c>
      <c r="D194" s="383" t="str">
        <f ca="1">IF(ROWS($1:180)&gt;COUNT(Dong5),"",OFFSET(TH!F$1,SMALL(Dong5,ROWS($1:180)),))</f>
        <v>VAT Phí phát hành bill, điện giao hàng, xếp dỡ, niêm chì</v>
      </c>
      <c r="E194" s="318" t="str">
        <f ca="1">IF(ROWS($1:180)&gt;COUNT(Dong5),"",IF(OFFSET(TH!N$1,SMALL(Dong5,ROWS($1:180)),)=$E$7,OFFSET(TH!O$1,SMALL(Dong5,ROWS($1:180)),),OFFSET(TH!N$1,SMALL(Dong5,ROWS($1:180)),)))</f>
        <v>331</v>
      </c>
      <c r="F194" s="384">
        <f ca="1">IF(ROWS($1:180)&gt;COUNT(Dong5),0,IF(OFFSET(TH!N$1,SMALL(Dong5,ROWS($1:180)),)=$E$7,OFFSET(TH!M$1,SMALL(Dong5,ROWS($1:180)),),0))</f>
        <v>3040573</v>
      </c>
      <c r="G194" s="382">
        <f ca="1">IF(ROWS($1:180)&gt;COUNT(Dong5),0,IF(OFFSET(TH!O$1,SMALL(Dong5,ROWS($1:180)),)=$E$7,OFFSET(TH!M$1,SMALL(Dong5,ROWS($1:180)),),0))</f>
        <v>0</v>
      </c>
      <c r="H194" s="385">
        <f ca="1">IF(D194&lt;&gt;"",MAX(H193+F194-G194-I193,0),0)</f>
        <v>489817486</v>
      </c>
      <c r="I194" s="385">
        <f ca="1">IF(D194&lt;&gt;"",MAX(I193+G194-H193-F194,0),0)</f>
        <v>0</v>
      </c>
      <c r="J194" s="18">
        <f ca="1">MONTH(A194)</f>
        <v>12</v>
      </c>
    </row>
    <row r="195" spans="1:10" s="18" customFormat="1" ht="18" customHeight="1">
      <c r="A195" s="318">
        <f ca="1">IF(ROWS($1:181)&gt;COUNT(Dong5),"",OFFSET(TH!C$1,SMALL(Dong5,ROWS($1:181)),))</f>
        <v>42723</v>
      </c>
      <c r="B195" s="318" t="str">
        <f ca="1">IF(ROWS($1:181)&gt;COUNT(Dong5),"",OFFSET(TH!D$1,SMALL(Dong5,ROWS($1:181)),))</f>
        <v>CTGS</v>
      </c>
      <c r="C195" s="318">
        <f ca="1">IF(ROWS($1:181)&gt;COUNT(Dong5),"",OFFSET(TH!E$1,SMALL(Dong5,ROWS($1:181)),))</f>
        <v>42723</v>
      </c>
      <c r="D195" s="383" t="str">
        <f ca="1">IF(ROWS($1:181)&gt;COUNT(Dong5),"",OFFSET(TH!F$1,SMALL(Dong5,ROWS($1:181)),))</f>
        <v>VAT Phí xử lý cá khô</v>
      </c>
      <c r="E195" s="318" t="str">
        <f ca="1">IF(ROWS($1:181)&gt;COUNT(Dong5),"",IF(OFFSET(TH!N$1,SMALL(Dong5,ROWS($1:181)),)=$E$7,OFFSET(TH!O$1,SMALL(Dong5,ROWS($1:181)),),OFFSET(TH!N$1,SMALL(Dong5,ROWS($1:181)),)))</f>
        <v>331</v>
      </c>
      <c r="F195" s="384">
        <f ca="1">IF(ROWS($1:181)&gt;COUNT(Dong5),0,IF(OFFSET(TH!N$1,SMALL(Dong5,ROWS($1:181)),)=$E$7,OFFSET(TH!M$1,SMALL(Dong5,ROWS($1:181)),),0))</f>
        <v>200000</v>
      </c>
      <c r="G195" s="382">
        <f ca="1">IF(ROWS($1:181)&gt;COUNT(Dong5),0,IF(OFFSET(TH!O$1,SMALL(Dong5,ROWS($1:181)),)=$E$7,OFFSET(TH!M$1,SMALL(Dong5,ROWS($1:181)),),0))</f>
        <v>0</v>
      </c>
      <c r="H195" s="385">
        <f ca="1">IF(D195&lt;&gt;"",MAX(H194+F195-G195-I194,0),0)</f>
        <v>490017486</v>
      </c>
      <c r="I195" s="385">
        <f ca="1">IF(D195&lt;&gt;"",MAX(I194+G195-H194-F195,0),0)</f>
        <v>0</v>
      </c>
      <c r="J195" s="18">
        <f ca="1">MONTH(A195)</f>
        <v>12</v>
      </c>
    </row>
    <row r="196" spans="1:10" s="18" customFormat="1" ht="18" customHeight="1">
      <c r="A196" s="318">
        <f ca="1">IF(ROWS($1:182)&gt;COUNT(Dong5),"",OFFSET(TH!C$1,SMALL(Dong5,ROWS($1:182)),))</f>
        <v>42698</v>
      </c>
      <c r="B196" s="318" t="str">
        <f ca="1">IF(ROWS($1:182)&gt;COUNT(Dong5),"",OFFSET(TH!D$1,SMALL(Dong5,ROWS($1:182)),))</f>
        <v>CTGS</v>
      </c>
      <c r="C196" s="318">
        <f ca="1">IF(ROWS($1:182)&gt;COUNT(Dong5),"",OFFSET(TH!E$1,SMALL(Dong5,ROWS($1:182)),))</f>
        <v>42698</v>
      </c>
      <c r="D196" s="383" t="str">
        <f ca="1">IF(ROWS($1:182)&gt;COUNT(Dong5),"",OFFSET(TH!F$1,SMALL(Dong5,ROWS($1:182)),))</f>
        <v>VAT Phí vận đơn, niêm chì, xếp dỡ, vận chuyển nâng hạ</v>
      </c>
      <c r="E196" s="318" t="str">
        <f ca="1">IF(ROWS($1:182)&gt;COUNT(Dong5),"",IF(OFFSET(TH!N$1,SMALL(Dong5,ROWS($1:182)),)=$E$7,OFFSET(TH!O$1,SMALL(Dong5,ROWS($1:182)),),OFFSET(TH!N$1,SMALL(Dong5,ROWS($1:182)),)))</f>
        <v>331</v>
      </c>
      <c r="F196" s="384">
        <f ca="1">IF(ROWS($1:182)&gt;COUNT(Dong5),0,IF(OFFSET(TH!N$1,SMALL(Dong5,ROWS($1:182)),)=$E$7,OFFSET(TH!M$1,SMALL(Dong5,ROWS($1:182)),),0))</f>
        <v>1982730</v>
      </c>
      <c r="G196" s="382">
        <f ca="1">IF(ROWS($1:182)&gt;COUNT(Dong5),0,IF(OFFSET(TH!O$1,SMALL(Dong5,ROWS($1:182)),)=$E$7,OFFSET(TH!M$1,SMALL(Dong5,ROWS($1:182)),),0))</f>
        <v>0</v>
      </c>
      <c r="H196" s="385">
        <f ca="1">IF(D196&lt;&gt;"",MAX(H195+F196-G196-I195,0),0)</f>
        <v>492000216</v>
      </c>
      <c r="I196" s="385">
        <f ca="1">IF(D196&lt;&gt;"",MAX(I195+G196-H195-F196,0),0)</f>
        <v>0</v>
      </c>
      <c r="J196" s="18">
        <f ca="1">MONTH(A196)</f>
        <v>11</v>
      </c>
    </row>
    <row r="197" spans="1:10" s="18" customFormat="1" ht="18" customHeight="1">
      <c r="A197" s="318">
        <f ca="1">IF(ROWS($1:183)&gt;COUNT(Dong5),"",OFFSET(TH!C$1,SMALL(Dong5,ROWS($1:183)),))</f>
        <v>42719</v>
      </c>
      <c r="B197" s="318" t="str">
        <f ca="1">IF(ROWS($1:183)&gt;COUNT(Dong5),"",OFFSET(TH!D$1,SMALL(Dong5,ROWS($1:183)),))</f>
        <v>CTGS</v>
      </c>
      <c r="C197" s="318">
        <f ca="1">IF(ROWS($1:183)&gt;COUNT(Dong5),"",OFFSET(TH!E$1,SMALL(Dong5,ROWS($1:183)),))</f>
        <v>42719</v>
      </c>
      <c r="D197" s="383" t="str">
        <f ca="1">IF(ROWS($1:183)&gt;COUNT(Dong5),"",OFFSET(TH!F$1,SMALL(Dong5,ROWS($1:183)),))</f>
        <v>VAT Phí vận đơn, niêm chì, xếp dỡ, nâng hạ</v>
      </c>
      <c r="E197" s="318" t="str">
        <f ca="1">IF(ROWS($1:183)&gt;COUNT(Dong5),"",IF(OFFSET(TH!N$1,SMALL(Dong5,ROWS($1:183)),)=$E$7,OFFSET(TH!O$1,SMALL(Dong5,ROWS($1:183)),),OFFSET(TH!N$1,SMALL(Dong5,ROWS($1:183)),)))</f>
        <v>331</v>
      </c>
      <c r="F197" s="384">
        <f ca="1">IF(ROWS($1:183)&gt;COUNT(Dong5),0,IF(OFFSET(TH!N$1,SMALL(Dong5,ROWS($1:183)),)=$E$7,OFFSET(TH!M$1,SMALL(Dong5,ROWS($1:183)),),0))</f>
        <v>3893670</v>
      </c>
      <c r="G197" s="382">
        <f ca="1">IF(ROWS($1:183)&gt;COUNT(Dong5),0,IF(OFFSET(TH!O$1,SMALL(Dong5,ROWS($1:183)),)=$E$7,OFFSET(TH!M$1,SMALL(Dong5,ROWS($1:183)),),0))</f>
        <v>0</v>
      </c>
      <c r="H197" s="385">
        <f ca="1">IF(D197&lt;&gt;"",MAX(H196+F197-G197-I196,0),0)</f>
        <v>495893886</v>
      </c>
      <c r="I197" s="385">
        <f ca="1">IF(D197&lt;&gt;"",MAX(I196+G197-H196-F197,0),0)</f>
        <v>0</v>
      </c>
      <c r="J197" s="18">
        <f ca="1">MONTH(A197)</f>
        <v>12</v>
      </c>
    </row>
    <row r="198" spans="1:10" s="18" customFormat="1" ht="18" customHeight="1">
      <c r="A198" s="318">
        <f ca="1">IF(ROWS($1:184)&gt;COUNT(Dong5),"",OFFSET(TH!C$1,SMALL(Dong5,ROWS($1:184)),))</f>
        <v>42730</v>
      </c>
      <c r="B198" s="318" t="str">
        <f ca="1">IF(ROWS($1:184)&gt;COUNT(Dong5),"",OFFSET(TH!D$1,SMALL(Dong5,ROWS($1:184)),))</f>
        <v>CTGS</v>
      </c>
      <c r="C198" s="318">
        <f ca="1">IF(ROWS($1:184)&gt;COUNT(Dong5),"",OFFSET(TH!E$1,SMALL(Dong5,ROWS($1:184)),))</f>
        <v>42730</v>
      </c>
      <c r="D198" s="383" t="str">
        <f ca="1">IF(ROWS($1:184)&gt;COUNT(Dong5),"",OFFSET(TH!F$1,SMALL(Dong5,ROWS($1:184)),))</f>
        <v>VAT Phí xử lý cá khô</v>
      </c>
      <c r="E198" s="318" t="str">
        <f ca="1">IF(ROWS($1:184)&gt;COUNT(Dong5),"",IF(OFFSET(TH!N$1,SMALL(Dong5,ROWS($1:184)),)=$E$7,OFFSET(TH!O$1,SMALL(Dong5,ROWS($1:184)),),OFFSET(TH!N$1,SMALL(Dong5,ROWS($1:184)),)))</f>
        <v>331</v>
      </c>
      <c r="F198" s="384">
        <f ca="1">IF(ROWS($1:184)&gt;COUNT(Dong5),0,IF(OFFSET(TH!N$1,SMALL(Dong5,ROWS($1:184)),)=$E$7,OFFSET(TH!M$1,SMALL(Dong5,ROWS($1:184)),),0))</f>
        <v>513592</v>
      </c>
      <c r="G198" s="382">
        <f ca="1">IF(ROWS($1:184)&gt;COUNT(Dong5),0,IF(OFFSET(TH!O$1,SMALL(Dong5,ROWS($1:184)),)=$E$7,OFFSET(TH!M$1,SMALL(Dong5,ROWS($1:184)),),0))</f>
        <v>0</v>
      </c>
      <c r="H198" s="385">
        <f ca="1">IF(D198&lt;&gt;"",MAX(H197+F198-G198-I197,0),0)</f>
        <v>496407478</v>
      </c>
      <c r="I198" s="385">
        <f ca="1">IF(D198&lt;&gt;"",MAX(I197+G198-H197-F198,0),0)</f>
        <v>0</v>
      </c>
      <c r="J198" s="18">
        <f ca="1">MONTH(A198)</f>
        <v>12</v>
      </c>
    </row>
    <row r="199" spans="1:10" s="18" customFormat="1" ht="18" customHeight="1">
      <c r="A199" s="318">
        <f ca="1">IF(ROWS($1:185)&gt;COUNT(Dong5),"",OFFSET(TH!C$1,SMALL(Dong5,ROWS($1:185)),))</f>
        <v>42371</v>
      </c>
      <c r="B199" s="318" t="str">
        <f ca="1">IF(ROWS($1:185)&gt;COUNT(Dong5),"",OFFSET(TH!D$1,SMALL(Dong5,ROWS($1:185)),))</f>
        <v>C01</v>
      </c>
      <c r="C199" s="318">
        <f ca="1">IF(ROWS($1:185)&gt;COUNT(Dong5),"",OFFSET(TH!E$1,SMALL(Dong5,ROWS($1:185)),))</f>
        <v>42368</v>
      </c>
      <c r="D199" s="383" t="str">
        <f ca="1">IF(ROWS($1:185)&gt;COUNT(Dong5),"",OFFSET(TH!F$1,SMALL(Dong5,ROWS($1:185)),))</f>
        <v>VAT Phí cấp cont, hạ bãi</v>
      </c>
      <c r="E199" s="318" t="str">
        <f ca="1">IF(ROWS($1:185)&gt;COUNT(Dong5),"",IF(OFFSET(TH!N$1,SMALL(Dong5,ROWS($1:185)),)=$E$7,OFFSET(TH!O$1,SMALL(Dong5,ROWS($1:185)),),OFFSET(TH!N$1,SMALL(Dong5,ROWS($1:185)),)))</f>
        <v>1111</v>
      </c>
      <c r="F199" s="384">
        <f ca="1">IF(ROWS($1:185)&gt;COUNT(Dong5),0,IF(OFFSET(TH!N$1,SMALL(Dong5,ROWS($1:185)),)=$E$7,OFFSET(TH!M$1,SMALL(Dong5,ROWS($1:185)),),0))</f>
        <v>440003</v>
      </c>
      <c r="G199" s="382">
        <f ca="1">IF(ROWS($1:185)&gt;COUNT(Dong5),0,IF(OFFSET(TH!O$1,SMALL(Dong5,ROWS($1:185)),)=$E$7,OFFSET(TH!M$1,SMALL(Dong5,ROWS($1:185)),),0))</f>
        <v>0</v>
      </c>
      <c r="H199" s="385">
        <f ca="1">IF(D199&lt;&gt;"",MAX(H198+F199-G199-I198,0),0)</f>
        <v>496847481</v>
      </c>
      <c r="I199" s="385">
        <f ca="1">IF(D199&lt;&gt;"",MAX(I198+G199-H198-F199,0),0)</f>
        <v>0</v>
      </c>
      <c r="J199" s="18">
        <f ca="1">MONTH(A199)</f>
        <v>1</v>
      </c>
    </row>
    <row r="200" spans="1:10" s="18" customFormat="1" ht="18" customHeight="1">
      <c r="A200" s="318">
        <f ca="1">IF(ROWS($1:186)&gt;COUNT(Dong5),"",OFFSET(TH!C$1,SMALL(Dong5,ROWS($1:186)),))</f>
        <v>42371</v>
      </c>
      <c r="B200" s="318" t="str">
        <f ca="1">IF(ROWS($1:186)&gt;COUNT(Dong5),"",OFFSET(TH!D$1,SMALL(Dong5,ROWS($1:186)),))</f>
        <v>C02</v>
      </c>
      <c r="C200" s="318">
        <f ca="1">IF(ROWS($1:186)&gt;COUNT(Dong5),"",OFFSET(TH!E$1,SMALL(Dong5,ROWS($1:186)),))</f>
        <v>42369</v>
      </c>
      <c r="D200" s="383" t="str">
        <f ca="1">IF(ROWS($1:186)&gt;COUNT(Dong5),"",OFFSET(TH!F$1,SMALL(Dong5,ROWS($1:186)),))</f>
        <v xml:space="preserve">VAT Cước CPN </v>
      </c>
      <c r="E200" s="318" t="str">
        <f ca="1">IF(ROWS($1:186)&gt;COUNT(Dong5),"",IF(OFFSET(TH!N$1,SMALL(Dong5,ROWS($1:186)),)=$E$7,OFFSET(TH!O$1,SMALL(Dong5,ROWS($1:186)),),OFFSET(TH!N$1,SMALL(Dong5,ROWS($1:186)),)))</f>
        <v>1111</v>
      </c>
      <c r="F200" s="384">
        <f ca="1">IF(ROWS($1:186)&gt;COUNT(Dong5),0,IF(OFFSET(TH!N$1,SMALL(Dong5,ROWS($1:186)),)=$E$7,OFFSET(TH!M$1,SMALL(Dong5,ROWS($1:186)),),0))</f>
        <v>4715</v>
      </c>
      <c r="G200" s="382">
        <f ca="1">IF(ROWS($1:186)&gt;COUNT(Dong5),0,IF(OFFSET(TH!O$1,SMALL(Dong5,ROWS($1:186)),)=$E$7,OFFSET(TH!M$1,SMALL(Dong5,ROWS($1:186)),),0))</f>
        <v>0</v>
      </c>
      <c r="H200" s="385">
        <f ca="1">IF(D200&lt;&gt;"",MAX(H199+F200-G200-I199,0),0)</f>
        <v>496852196</v>
      </c>
      <c r="I200" s="385">
        <f ca="1">IF(D200&lt;&gt;"",MAX(I199+G200-H199-F200,0),0)</f>
        <v>0</v>
      </c>
      <c r="J200" s="18">
        <f ca="1">MONTH(A200)</f>
        <v>1</v>
      </c>
    </row>
    <row r="201" spans="1:10" s="18" customFormat="1" ht="18" customHeight="1">
      <c r="A201" s="318">
        <f ca="1">IF(ROWS($1:187)&gt;COUNT(Dong5),"",OFFSET(TH!C$1,SMALL(Dong5,ROWS($1:187)),))</f>
        <v>42371</v>
      </c>
      <c r="B201" s="318" t="str">
        <f ca="1">IF(ROWS($1:187)&gt;COUNT(Dong5),"",OFFSET(TH!D$1,SMALL(Dong5,ROWS($1:187)),))</f>
        <v>C03</v>
      </c>
      <c r="C201" s="318">
        <f ca="1">IF(ROWS($1:187)&gt;COUNT(Dong5),"",OFFSET(TH!E$1,SMALL(Dong5,ROWS($1:187)),))</f>
        <v>42367</v>
      </c>
      <c r="D201" s="383" t="str">
        <f ca="1">IF(ROWS($1:187)&gt;COUNT(Dong5),"",OFFSET(TH!F$1,SMALL(Dong5,ROWS($1:187)),))</f>
        <v>VAT Phí cấp cont, hạ bãi</v>
      </c>
      <c r="E201" s="318" t="str">
        <f ca="1">IF(ROWS($1:187)&gt;COUNT(Dong5),"",IF(OFFSET(TH!N$1,SMALL(Dong5,ROWS($1:187)),)=$E$7,OFFSET(TH!O$1,SMALL(Dong5,ROWS($1:187)),),OFFSET(TH!N$1,SMALL(Dong5,ROWS($1:187)),)))</f>
        <v>1111</v>
      </c>
      <c r="F201" s="384">
        <f ca="1">IF(ROWS($1:187)&gt;COUNT(Dong5),0,IF(OFFSET(TH!N$1,SMALL(Dong5,ROWS($1:187)),)=$E$7,OFFSET(TH!M$1,SMALL(Dong5,ROWS($1:187)),),0))</f>
        <v>209090</v>
      </c>
      <c r="G201" s="382">
        <f ca="1">IF(ROWS($1:187)&gt;COUNT(Dong5),0,IF(OFFSET(TH!O$1,SMALL(Dong5,ROWS($1:187)),)=$E$7,OFFSET(TH!M$1,SMALL(Dong5,ROWS($1:187)),),0))</f>
        <v>0</v>
      </c>
      <c r="H201" s="385">
        <f ca="1">IF(D201&lt;&gt;"",MAX(H200+F201-G201-I200,0),0)</f>
        <v>497061286</v>
      </c>
      <c r="I201" s="385">
        <f ca="1">IF(D201&lt;&gt;"",MAX(I200+G201-H200-F201,0),0)</f>
        <v>0</v>
      </c>
      <c r="J201" s="18">
        <f ca="1">MONTH(A201)</f>
        <v>1</v>
      </c>
    </row>
    <row r="202" spans="1:10" s="18" customFormat="1" ht="18" customHeight="1">
      <c r="A202" s="318">
        <f ca="1">IF(ROWS($1:188)&gt;COUNT(Dong5),"",OFFSET(TH!C$1,SMALL(Dong5,ROWS($1:188)),))</f>
        <v>42371</v>
      </c>
      <c r="B202" s="318" t="str">
        <f ca="1">IF(ROWS($1:188)&gt;COUNT(Dong5),"",OFFSET(TH!D$1,SMALL(Dong5,ROWS($1:188)),))</f>
        <v>C04</v>
      </c>
      <c r="C202" s="318">
        <f ca="1">IF(ROWS($1:188)&gt;COUNT(Dong5),"",OFFSET(TH!E$1,SMALL(Dong5,ROWS($1:188)),))</f>
        <v>42367</v>
      </c>
      <c r="D202" s="383" t="str">
        <f ca="1">IF(ROWS($1:188)&gt;COUNT(Dong5),"",OFFSET(TH!F$1,SMALL(Dong5,ROWS($1:188)),))</f>
        <v>VAT Cước vận chuyển</v>
      </c>
      <c r="E202" s="318" t="str">
        <f ca="1">IF(ROWS($1:188)&gt;COUNT(Dong5),"",IF(OFFSET(TH!N$1,SMALL(Dong5,ROWS($1:188)),)=$E$7,OFFSET(TH!O$1,SMALL(Dong5,ROWS($1:188)),),OFFSET(TH!N$1,SMALL(Dong5,ROWS($1:188)),)))</f>
        <v>1111</v>
      </c>
      <c r="F202" s="384">
        <f ca="1">IF(ROWS($1:188)&gt;COUNT(Dong5),0,IF(OFFSET(TH!N$1,SMALL(Dong5,ROWS($1:188)),)=$E$7,OFFSET(TH!M$1,SMALL(Dong5,ROWS($1:188)),),0))</f>
        <v>1200000</v>
      </c>
      <c r="G202" s="382">
        <f ca="1">IF(ROWS($1:188)&gt;COUNT(Dong5),0,IF(OFFSET(TH!O$1,SMALL(Dong5,ROWS($1:188)),)=$E$7,OFFSET(TH!M$1,SMALL(Dong5,ROWS($1:188)),),0))</f>
        <v>0</v>
      </c>
      <c r="H202" s="385">
        <f ca="1">IF(D202&lt;&gt;"",MAX(H201+F202-G202-I201,0),0)</f>
        <v>498261286</v>
      </c>
      <c r="I202" s="385">
        <f ca="1">IF(D202&lt;&gt;"",MAX(I201+G202-H201-F202,0),0)</f>
        <v>0</v>
      </c>
      <c r="J202" s="18">
        <f ca="1">MONTH(A202)</f>
        <v>1</v>
      </c>
    </row>
    <row r="203" spans="1:10" s="18" customFormat="1" ht="18" customHeight="1">
      <c r="A203" s="318">
        <f ca="1">IF(ROWS($1:189)&gt;COUNT(Dong5),"",OFFSET(TH!C$1,SMALL(Dong5,ROWS($1:189)),))</f>
        <v>42371</v>
      </c>
      <c r="B203" s="318" t="str">
        <f ca="1">IF(ROWS($1:189)&gt;COUNT(Dong5),"",OFFSET(TH!D$1,SMALL(Dong5,ROWS($1:189)),))</f>
        <v>C05</v>
      </c>
      <c r="C203" s="318">
        <f ca="1">IF(ROWS($1:189)&gt;COUNT(Dong5),"",OFFSET(TH!E$1,SMALL(Dong5,ROWS($1:189)),))</f>
        <v>42370</v>
      </c>
      <c r="D203" s="383" t="str">
        <f ca="1">IF(ROWS($1:189)&gt;COUNT(Dong5),"",OFFSET(TH!F$1,SMALL(Dong5,ROWS($1:189)),))</f>
        <v>VAT Dầu DO</v>
      </c>
      <c r="E203" s="318" t="str">
        <f ca="1">IF(ROWS($1:189)&gt;COUNT(Dong5),"",IF(OFFSET(TH!N$1,SMALL(Dong5,ROWS($1:189)),)=$E$7,OFFSET(TH!O$1,SMALL(Dong5,ROWS($1:189)),),OFFSET(TH!N$1,SMALL(Dong5,ROWS($1:189)),)))</f>
        <v>1111</v>
      </c>
      <c r="F203" s="384">
        <f ca="1">IF(ROWS($1:189)&gt;COUNT(Dong5),0,IF(OFFSET(TH!N$1,SMALL(Dong5,ROWS($1:189)),)=$E$7,OFFSET(TH!M$1,SMALL(Dong5,ROWS($1:189)),),0))</f>
        <v>62078</v>
      </c>
      <c r="G203" s="382">
        <f ca="1">IF(ROWS($1:189)&gt;COUNT(Dong5),0,IF(OFFSET(TH!O$1,SMALL(Dong5,ROWS($1:189)),)=$E$7,OFFSET(TH!M$1,SMALL(Dong5,ROWS($1:189)),),0))</f>
        <v>0</v>
      </c>
      <c r="H203" s="385">
        <f ca="1">IF(D203&lt;&gt;"",MAX(H202+F203-G203-I202,0),0)</f>
        <v>498323364</v>
      </c>
      <c r="I203" s="385">
        <f ca="1">IF(D203&lt;&gt;"",MAX(I202+G203-H202-F203,0),0)</f>
        <v>0</v>
      </c>
      <c r="J203" s="18">
        <f ca="1">MONTH(A203)</f>
        <v>1</v>
      </c>
    </row>
    <row r="204" spans="1:10" s="18" customFormat="1" ht="18" customHeight="1">
      <c r="A204" s="318">
        <f ca="1">IF(ROWS($1:190)&gt;COUNT(Dong5),"",OFFSET(TH!C$1,SMALL(Dong5,ROWS($1:190)),))</f>
        <v>42373</v>
      </c>
      <c r="B204" s="318" t="str">
        <f ca="1">IF(ROWS($1:190)&gt;COUNT(Dong5),"",OFFSET(TH!D$1,SMALL(Dong5,ROWS($1:190)),))</f>
        <v>C07</v>
      </c>
      <c r="C204" s="318">
        <f ca="1">IF(ROWS($1:190)&gt;COUNT(Dong5),"",OFFSET(TH!E$1,SMALL(Dong5,ROWS($1:190)),))</f>
        <v>42373</v>
      </c>
      <c r="D204" s="383" t="str">
        <f ca="1">IF(ROWS($1:190)&gt;COUNT(Dong5),"",OFFSET(TH!F$1,SMALL(Dong5,ROWS($1:190)),))</f>
        <v>VAT Xi măng Fico</v>
      </c>
      <c r="E204" s="318" t="str">
        <f ca="1">IF(ROWS($1:190)&gt;COUNT(Dong5),"",IF(OFFSET(TH!N$1,SMALL(Dong5,ROWS($1:190)),)=$E$7,OFFSET(TH!O$1,SMALL(Dong5,ROWS($1:190)),),OFFSET(TH!N$1,SMALL(Dong5,ROWS($1:190)),)))</f>
        <v>1111</v>
      </c>
      <c r="F204" s="384">
        <f ca="1">IF(ROWS($1:190)&gt;COUNT(Dong5),0,IF(OFFSET(TH!N$1,SMALL(Dong5,ROWS($1:190)),)=$E$7,OFFSET(TH!M$1,SMALL(Dong5,ROWS($1:190)),),0))</f>
        <v>1665000</v>
      </c>
      <c r="G204" s="382">
        <f ca="1">IF(ROWS($1:190)&gt;COUNT(Dong5),0,IF(OFFSET(TH!O$1,SMALL(Dong5,ROWS($1:190)),)=$E$7,OFFSET(TH!M$1,SMALL(Dong5,ROWS($1:190)),),0))</f>
        <v>0</v>
      </c>
      <c r="H204" s="385">
        <f ca="1">IF(D204&lt;&gt;"",MAX(H203+F204-G204-I203,0),0)</f>
        <v>499988364</v>
      </c>
      <c r="I204" s="385">
        <f ca="1">IF(D204&lt;&gt;"",MAX(I203+G204-H203-F204,0),0)</f>
        <v>0</v>
      </c>
      <c r="J204" s="18">
        <f ca="1">MONTH(A204)</f>
        <v>1</v>
      </c>
    </row>
    <row r="205" spans="1:10" s="18" customFormat="1" ht="18" customHeight="1">
      <c r="A205" s="318">
        <f ca="1">IF(ROWS($1:191)&gt;COUNT(Dong5),"",OFFSET(TH!C$1,SMALL(Dong5,ROWS($1:191)),))</f>
        <v>42373</v>
      </c>
      <c r="B205" s="318" t="str">
        <f ca="1">IF(ROWS($1:191)&gt;COUNT(Dong5),"",OFFSET(TH!D$1,SMALL(Dong5,ROWS($1:191)),))</f>
        <v>C08</v>
      </c>
      <c r="C205" s="318">
        <f ca="1">IF(ROWS($1:191)&gt;COUNT(Dong5),"",OFFSET(TH!E$1,SMALL(Dong5,ROWS($1:191)),))</f>
        <v>42336</v>
      </c>
      <c r="D205" s="383" t="str">
        <f ca="1">IF(ROWS($1:191)&gt;COUNT(Dong5),"",OFFSET(TH!F$1,SMALL(Dong5,ROWS($1:191)),))</f>
        <v>VAT Cước vận chuyển</v>
      </c>
      <c r="E205" s="318" t="str">
        <f ca="1">IF(ROWS($1:191)&gt;COUNT(Dong5),"",IF(OFFSET(TH!N$1,SMALL(Dong5,ROWS($1:191)),)=$E$7,OFFSET(TH!O$1,SMALL(Dong5,ROWS($1:191)),),OFFSET(TH!N$1,SMALL(Dong5,ROWS($1:191)),)))</f>
        <v>1111</v>
      </c>
      <c r="F205" s="384">
        <f ca="1">IF(ROWS($1:191)&gt;COUNT(Dong5),0,IF(OFFSET(TH!N$1,SMALL(Dong5,ROWS($1:191)),)=$E$7,OFFSET(TH!M$1,SMALL(Dong5,ROWS($1:191)),),0))</f>
        <v>1200000</v>
      </c>
      <c r="G205" s="382">
        <f ca="1">IF(ROWS($1:191)&gt;COUNT(Dong5),0,IF(OFFSET(TH!O$1,SMALL(Dong5,ROWS($1:191)),)=$E$7,OFFSET(TH!M$1,SMALL(Dong5,ROWS($1:191)),),0))</f>
        <v>0</v>
      </c>
      <c r="H205" s="385">
        <f ca="1">IF(D205&lt;&gt;"",MAX(H204+F205-G205-I204,0),0)</f>
        <v>501188364</v>
      </c>
      <c r="I205" s="385">
        <f ca="1">IF(D205&lt;&gt;"",MAX(I204+G205-H204-F205,0),0)</f>
        <v>0</v>
      </c>
      <c r="J205" s="18">
        <f ca="1">MONTH(A205)</f>
        <v>1</v>
      </c>
    </row>
    <row r="206" spans="1:10" s="18" customFormat="1" ht="18" customHeight="1">
      <c r="A206" s="318">
        <f ca="1">IF(ROWS($1:192)&gt;COUNT(Dong5),"",OFFSET(TH!C$1,SMALL(Dong5,ROWS($1:192)),))</f>
        <v>42373</v>
      </c>
      <c r="B206" s="318" t="str">
        <f ca="1">IF(ROWS($1:192)&gt;COUNT(Dong5),"",OFFSET(TH!D$1,SMALL(Dong5,ROWS($1:192)),))</f>
        <v>C09</v>
      </c>
      <c r="C206" s="318">
        <f ca="1">IF(ROWS($1:192)&gt;COUNT(Dong5),"",OFFSET(TH!E$1,SMALL(Dong5,ROWS($1:192)),))</f>
        <v>42373</v>
      </c>
      <c r="D206" s="383" t="str">
        <f ca="1">IF(ROWS($1:192)&gt;COUNT(Dong5),"",OFFSET(TH!F$1,SMALL(Dong5,ROWS($1:192)),))</f>
        <v>VAT Xăng</v>
      </c>
      <c r="E206" s="318" t="str">
        <f ca="1">IF(ROWS($1:192)&gt;COUNT(Dong5),"",IF(OFFSET(TH!N$1,SMALL(Dong5,ROWS($1:192)),)=$E$7,OFFSET(TH!O$1,SMALL(Dong5,ROWS($1:192)),),OFFSET(TH!N$1,SMALL(Dong5,ROWS($1:192)),)))</f>
        <v>1111</v>
      </c>
      <c r="F206" s="384">
        <f ca="1">IF(ROWS($1:192)&gt;COUNT(Dong5),0,IF(OFFSET(TH!N$1,SMALL(Dong5,ROWS($1:192)),)=$E$7,OFFSET(TH!M$1,SMALL(Dong5,ROWS($1:192)),),0))</f>
        <v>68400</v>
      </c>
      <c r="G206" s="382">
        <f ca="1">IF(ROWS($1:192)&gt;COUNT(Dong5),0,IF(OFFSET(TH!O$1,SMALL(Dong5,ROWS($1:192)),)=$E$7,OFFSET(TH!M$1,SMALL(Dong5,ROWS($1:192)),),0))</f>
        <v>0</v>
      </c>
      <c r="H206" s="385">
        <f ca="1">IF(D206&lt;&gt;"",MAX(H205+F206-G206-I205,0),0)</f>
        <v>501256764</v>
      </c>
      <c r="I206" s="385">
        <f ca="1">IF(D206&lt;&gt;"",MAX(I205+G206-H205-F206,0),0)</f>
        <v>0</v>
      </c>
      <c r="J206" s="18">
        <f ca="1">MONTH(A206)</f>
        <v>1</v>
      </c>
    </row>
    <row r="207" spans="1:10" s="18" customFormat="1" ht="18" customHeight="1">
      <c r="A207" s="318">
        <f ca="1">IF(ROWS($1:193)&gt;COUNT(Dong5),"",OFFSET(TH!C$1,SMALL(Dong5,ROWS($1:193)),))</f>
        <v>42373</v>
      </c>
      <c r="B207" s="318" t="str">
        <f ca="1">IF(ROWS($1:193)&gt;COUNT(Dong5),"",OFFSET(TH!D$1,SMALL(Dong5,ROWS($1:193)),))</f>
        <v>C10</v>
      </c>
      <c r="C207" s="318">
        <f ca="1">IF(ROWS($1:193)&gt;COUNT(Dong5),"",OFFSET(TH!E$1,SMALL(Dong5,ROWS($1:193)),))</f>
        <v>42373</v>
      </c>
      <c r="D207" s="383" t="str">
        <f ca="1">IF(ROWS($1:193)&gt;COUNT(Dong5),"",OFFSET(TH!F$1,SMALL(Dong5,ROWS($1:193)),))</f>
        <v>VAT Xăng</v>
      </c>
      <c r="E207" s="318" t="str">
        <f ca="1">IF(ROWS($1:193)&gt;COUNT(Dong5),"",IF(OFFSET(TH!N$1,SMALL(Dong5,ROWS($1:193)),)=$E$7,OFFSET(TH!O$1,SMALL(Dong5,ROWS($1:193)),),OFFSET(TH!N$1,SMALL(Dong5,ROWS($1:193)),)))</f>
        <v>1111</v>
      </c>
      <c r="F207" s="384">
        <f ca="1">IF(ROWS($1:193)&gt;COUNT(Dong5),0,IF(OFFSET(TH!N$1,SMALL(Dong5,ROWS($1:193)),)=$E$7,OFFSET(TH!M$1,SMALL(Dong5,ROWS($1:193)),),0))</f>
        <v>2982</v>
      </c>
      <c r="G207" s="382">
        <f ca="1">IF(ROWS($1:193)&gt;COUNT(Dong5),0,IF(OFFSET(TH!O$1,SMALL(Dong5,ROWS($1:193)),)=$E$7,OFFSET(TH!M$1,SMALL(Dong5,ROWS($1:193)),),0))</f>
        <v>0</v>
      </c>
      <c r="H207" s="385">
        <f ca="1">IF(D207&lt;&gt;"",MAX(H206+F207-G207-I206,0),0)</f>
        <v>501259746</v>
      </c>
      <c r="I207" s="385">
        <f ca="1">IF(D207&lt;&gt;"",MAX(I206+G207-H206-F207,0),0)</f>
        <v>0</v>
      </c>
      <c r="J207" s="18">
        <f ca="1">MONTH(A207)</f>
        <v>1</v>
      </c>
    </row>
    <row r="208" spans="1:10" s="18" customFormat="1" ht="18" customHeight="1">
      <c r="A208" s="318">
        <f ca="1">IF(ROWS($1:194)&gt;COUNT(Dong5),"",OFFSET(TH!C$1,SMALL(Dong5,ROWS($1:194)),))</f>
        <v>42374</v>
      </c>
      <c r="B208" s="318" t="str">
        <f ca="1">IF(ROWS($1:194)&gt;COUNT(Dong5),"",OFFSET(TH!D$1,SMALL(Dong5,ROWS($1:194)),))</f>
        <v>C11</v>
      </c>
      <c r="C208" s="318">
        <f ca="1">IF(ROWS($1:194)&gt;COUNT(Dong5),"",OFFSET(TH!E$1,SMALL(Dong5,ROWS($1:194)),))</f>
        <v>42374</v>
      </c>
      <c r="D208" s="383" t="str">
        <f ca="1">IF(ROWS($1:194)&gt;COUNT(Dong5),"",OFFSET(TH!F$1,SMALL(Dong5,ROWS($1:194)),))</f>
        <v>VAT Gạch ống, cát vàng</v>
      </c>
      <c r="E208" s="318" t="str">
        <f ca="1">IF(ROWS($1:194)&gt;COUNT(Dong5),"",IF(OFFSET(TH!N$1,SMALL(Dong5,ROWS($1:194)),)=$E$7,OFFSET(TH!O$1,SMALL(Dong5,ROWS($1:194)),),OFFSET(TH!N$1,SMALL(Dong5,ROWS($1:194)),)))</f>
        <v>1111</v>
      </c>
      <c r="F208" s="384">
        <f ca="1">IF(ROWS($1:194)&gt;COUNT(Dong5),0,IF(OFFSET(TH!N$1,SMALL(Dong5,ROWS($1:194)),)=$E$7,OFFSET(TH!M$1,SMALL(Dong5,ROWS($1:194)),),0))</f>
        <v>1689000</v>
      </c>
      <c r="G208" s="382">
        <f ca="1">IF(ROWS($1:194)&gt;COUNT(Dong5),0,IF(OFFSET(TH!O$1,SMALL(Dong5,ROWS($1:194)),)=$E$7,OFFSET(TH!M$1,SMALL(Dong5,ROWS($1:194)),),0))</f>
        <v>0</v>
      </c>
      <c r="H208" s="385">
        <f ca="1">IF(D208&lt;&gt;"",MAX(H207+F208-G208-I207,0),0)</f>
        <v>502948746</v>
      </c>
      <c r="I208" s="385">
        <f ca="1">IF(D208&lt;&gt;"",MAX(I207+G208-H207-F208,0),0)</f>
        <v>0</v>
      </c>
      <c r="J208" s="18">
        <f ca="1">MONTH(A208)</f>
        <v>1</v>
      </c>
    </row>
    <row r="209" spans="1:10" s="18" customFormat="1" ht="18" customHeight="1">
      <c r="A209" s="318">
        <f ca="1">IF(ROWS($1:195)&gt;COUNT(Dong5),"",OFFSET(TH!C$1,SMALL(Dong5,ROWS($1:195)),))</f>
        <v>42374</v>
      </c>
      <c r="B209" s="318" t="str">
        <f ca="1">IF(ROWS($1:195)&gt;COUNT(Dong5),"",OFFSET(TH!D$1,SMALL(Dong5,ROWS($1:195)),))</f>
        <v>C12</v>
      </c>
      <c r="C209" s="318">
        <f ca="1">IF(ROWS($1:195)&gt;COUNT(Dong5),"",OFFSET(TH!E$1,SMALL(Dong5,ROWS($1:195)),))</f>
        <v>42350</v>
      </c>
      <c r="D209" s="383" t="str">
        <f ca="1">IF(ROWS($1:195)&gt;COUNT(Dong5),"",OFFSET(TH!F$1,SMALL(Dong5,ROWS($1:195)),))</f>
        <v>VAT Cước vận chuyển</v>
      </c>
      <c r="E209" s="318" t="str">
        <f ca="1">IF(ROWS($1:195)&gt;COUNT(Dong5),"",IF(OFFSET(TH!N$1,SMALL(Dong5,ROWS($1:195)),)=$E$7,OFFSET(TH!O$1,SMALL(Dong5,ROWS($1:195)),),OFFSET(TH!N$1,SMALL(Dong5,ROWS($1:195)),)))</f>
        <v>1111</v>
      </c>
      <c r="F209" s="384">
        <f ca="1">IF(ROWS($1:195)&gt;COUNT(Dong5),0,IF(OFFSET(TH!N$1,SMALL(Dong5,ROWS($1:195)),)=$E$7,OFFSET(TH!M$1,SMALL(Dong5,ROWS($1:195)),),0))</f>
        <v>1200000</v>
      </c>
      <c r="G209" s="382">
        <f ca="1">IF(ROWS($1:195)&gt;COUNT(Dong5),0,IF(OFFSET(TH!O$1,SMALL(Dong5,ROWS($1:195)),)=$E$7,OFFSET(TH!M$1,SMALL(Dong5,ROWS($1:195)),),0))</f>
        <v>0</v>
      </c>
      <c r="H209" s="385">
        <f ca="1">IF(D209&lt;&gt;"",MAX(H208+F209-G209-I208,0),0)</f>
        <v>504148746</v>
      </c>
      <c r="I209" s="385">
        <f ca="1">IF(D209&lt;&gt;"",MAX(I208+G209-H208-F209,0),0)</f>
        <v>0</v>
      </c>
      <c r="J209" s="18">
        <f ca="1">MONTH(A209)</f>
        <v>1</v>
      </c>
    </row>
    <row r="210" spans="1:10" s="18" customFormat="1" ht="18" customHeight="1">
      <c r="A210" s="318">
        <f ca="1">IF(ROWS($1:196)&gt;COUNT(Dong5),"",OFFSET(TH!C$1,SMALL(Dong5,ROWS($1:196)),))</f>
        <v>42374</v>
      </c>
      <c r="B210" s="318" t="str">
        <f ca="1">IF(ROWS($1:196)&gt;COUNT(Dong5),"",OFFSET(TH!D$1,SMALL(Dong5,ROWS($1:196)),))</f>
        <v>C13</v>
      </c>
      <c r="C210" s="318">
        <f ca="1">IF(ROWS($1:196)&gt;COUNT(Dong5),"",OFFSET(TH!E$1,SMALL(Dong5,ROWS($1:196)),))</f>
        <v>42374</v>
      </c>
      <c r="D210" s="383" t="str">
        <f ca="1">IF(ROWS($1:196)&gt;COUNT(Dong5),"",OFFSET(TH!F$1,SMALL(Dong5,ROWS($1:196)),))</f>
        <v>VAT Xăng</v>
      </c>
      <c r="E210" s="318" t="str">
        <f ca="1">IF(ROWS($1:196)&gt;COUNT(Dong5),"",IF(OFFSET(TH!N$1,SMALL(Dong5,ROWS($1:196)),)=$E$7,OFFSET(TH!O$1,SMALL(Dong5,ROWS($1:196)),),OFFSET(TH!N$1,SMALL(Dong5,ROWS($1:196)),)))</f>
        <v>1111</v>
      </c>
      <c r="F210" s="384">
        <f ca="1">IF(ROWS($1:196)&gt;COUNT(Dong5),0,IF(OFFSET(TH!N$1,SMALL(Dong5,ROWS($1:196)),)=$E$7,OFFSET(TH!M$1,SMALL(Dong5,ROWS($1:196)),),0))</f>
        <v>67670</v>
      </c>
      <c r="G210" s="382">
        <f ca="1">IF(ROWS($1:196)&gt;COUNT(Dong5),0,IF(OFFSET(TH!O$1,SMALL(Dong5,ROWS($1:196)),)=$E$7,OFFSET(TH!M$1,SMALL(Dong5,ROWS($1:196)),),0))</f>
        <v>0</v>
      </c>
      <c r="H210" s="385">
        <f ca="1">IF(D210&lt;&gt;"",MAX(H209+F210-G210-I209,0),0)</f>
        <v>504216416</v>
      </c>
      <c r="I210" s="385">
        <f ca="1">IF(D210&lt;&gt;"",MAX(I209+G210-H209-F210,0),0)</f>
        <v>0</v>
      </c>
      <c r="J210" s="18">
        <f ca="1">MONTH(A210)</f>
        <v>1</v>
      </c>
    </row>
    <row r="211" spans="1:10" s="18" customFormat="1" ht="18" customHeight="1">
      <c r="A211" s="318">
        <f ca="1">IF(ROWS($1:197)&gt;COUNT(Dong5),"",OFFSET(TH!C$1,SMALL(Dong5,ROWS($1:197)),))</f>
        <v>42376</v>
      </c>
      <c r="B211" s="318" t="str">
        <f ca="1">IF(ROWS($1:197)&gt;COUNT(Dong5),"",OFFSET(TH!D$1,SMALL(Dong5,ROWS($1:197)),))</f>
        <v>C16</v>
      </c>
      <c r="C211" s="318">
        <f ca="1">IF(ROWS($1:197)&gt;COUNT(Dong5),"",OFFSET(TH!E$1,SMALL(Dong5,ROWS($1:197)),))</f>
        <v>42376</v>
      </c>
      <c r="D211" s="383" t="str">
        <f ca="1">IF(ROWS($1:197)&gt;COUNT(Dong5),"",OFFSET(TH!F$1,SMALL(Dong5,ROWS($1:197)),))</f>
        <v>VAT Bảo dưỡng xe 51F - 080.56</v>
      </c>
      <c r="E211" s="318" t="str">
        <f ca="1">IF(ROWS($1:197)&gt;COUNT(Dong5),"",IF(OFFSET(TH!N$1,SMALL(Dong5,ROWS($1:197)),)=$E$7,OFFSET(TH!O$1,SMALL(Dong5,ROWS($1:197)),),OFFSET(TH!N$1,SMALL(Dong5,ROWS($1:197)),)))</f>
        <v>1111</v>
      </c>
      <c r="F211" s="384">
        <f ca="1">IF(ROWS($1:197)&gt;COUNT(Dong5),0,IF(OFFSET(TH!N$1,SMALL(Dong5,ROWS($1:197)),)=$E$7,OFFSET(TH!M$1,SMALL(Dong5,ROWS($1:197)),),0))</f>
        <v>134106</v>
      </c>
      <c r="G211" s="382">
        <f ca="1">IF(ROWS($1:197)&gt;COUNT(Dong5),0,IF(OFFSET(TH!O$1,SMALL(Dong5,ROWS($1:197)),)=$E$7,OFFSET(TH!M$1,SMALL(Dong5,ROWS($1:197)),),0))</f>
        <v>0</v>
      </c>
      <c r="H211" s="385">
        <f ca="1">IF(D211&lt;&gt;"",MAX(H210+F211-G211-I210,0),0)</f>
        <v>504350522</v>
      </c>
      <c r="I211" s="385">
        <f ca="1">IF(D211&lt;&gt;"",MAX(I210+G211-H210-F211,0),0)</f>
        <v>0</v>
      </c>
      <c r="J211" s="18">
        <f ca="1">MONTH(A211)</f>
        <v>1</v>
      </c>
    </row>
    <row r="212" spans="1:10" s="18" customFormat="1" ht="18" customHeight="1">
      <c r="A212" s="318">
        <f ca="1">IF(ROWS($1:198)&gt;COUNT(Dong5),"",OFFSET(TH!C$1,SMALL(Dong5,ROWS($1:198)),))</f>
        <v>42377</v>
      </c>
      <c r="B212" s="318" t="str">
        <f ca="1">IF(ROWS($1:198)&gt;COUNT(Dong5),"",OFFSET(TH!D$1,SMALL(Dong5,ROWS($1:198)),))</f>
        <v>C17</v>
      </c>
      <c r="C212" s="318">
        <f ca="1">IF(ROWS($1:198)&gt;COUNT(Dong5),"",OFFSET(TH!E$1,SMALL(Dong5,ROWS($1:198)),))</f>
        <v>42377</v>
      </c>
      <c r="D212" s="383" t="str">
        <f ca="1">IF(ROWS($1:198)&gt;COUNT(Dong5),"",OFFSET(TH!F$1,SMALL(Dong5,ROWS($1:198)),))</f>
        <v>VAT Máy tính</v>
      </c>
      <c r="E212" s="318" t="str">
        <f ca="1">IF(ROWS($1:198)&gt;COUNT(Dong5),"",IF(OFFSET(TH!N$1,SMALL(Dong5,ROWS($1:198)),)=$E$7,OFFSET(TH!O$1,SMALL(Dong5,ROWS($1:198)),),OFFSET(TH!N$1,SMALL(Dong5,ROWS($1:198)),)))</f>
        <v>1111</v>
      </c>
      <c r="F212" s="384">
        <f ca="1">IF(ROWS($1:198)&gt;COUNT(Dong5),0,IF(OFFSET(TH!N$1,SMALL(Dong5,ROWS($1:198)),)=$E$7,OFFSET(TH!M$1,SMALL(Dong5,ROWS($1:198)),),0))</f>
        <v>536364</v>
      </c>
      <c r="G212" s="382">
        <f ca="1">IF(ROWS($1:198)&gt;COUNT(Dong5),0,IF(OFFSET(TH!O$1,SMALL(Dong5,ROWS($1:198)),)=$E$7,OFFSET(TH!M$1,SMALL(Dong5,ROWS($1:198)),),0))</f>
        <v>0</v>
      </c>
      <c r="H212" s="385">
        <f ca="1">IF(D212&lt;&gt;"",MAX(H211+F212-G212-I211,0),0)</f>
        <v>504886886</v>
      </c>
      <c r="I212" s="385">
        <f ca="1">IF(D212&lt;&gt;"",MAX(I211+G212-H211-F212,0),0)</f>
        <v>0</v>
      </c>
      <c r="J212" s="18">
        <f ca="1">MONTH(A212)</f>
        <v>1</v>
      </c>
    </row>
    <row r="213" spans="1:10" s="18" customFormat="1" ht="18" customHeight="1">
      <c r="A213" s="318">
        <f ca="1">IF(ROWS($1:199)&gt;COUNT(Dong5),"",OFFSET(TH!C$1,SMALL(Dong5,ROWS($1:199)),))</f>
        <v>42377</v>
      </c>
      <c r="B213" s="318" t="str">
        <f ca="1">IF(ROWS($1:199)&gt;COUNT(Dong5),"",OFFSET(TH!D$1,SMALL(Dong5,ROWS($1:199)),))</f>
        <v>C18</v>
      </c>
      <c r="C213" s="318">
        <f ca="1">IF(ROWS($1:199)&gt;COUNT(Dong5),"",OFFSET(TH!E$1,SMALL(Dong5,ROWS($1:199)),))</f>
        <v>42377</v>
      </c>
      <c r="D213" s="383" t="str">
        <f ca="1">IF(ROWS($1:199)&gt;COUNT(Dong5),"",OFFSET(TH!F$1,SMALL(Dong5,ROWS($1:199)),))</f>
        <v xml:space="preserve">VAT Xăng </v>
      </c>
      <c r="E213" s="318" t="str">
        <f ca="1">IF(ROWS($1:199)&gt;COUNT(Dong5),"",IF(OFFSET(TH!N$1,SMALL(Dong5,ROWS($1:199)),)=$E$7,OFFSET(TH!O$1,SMALL(Dong5,ROWS($1:199)),),OFFSET(TH!N$1,SMALL(Dong5,ROWS($1:199)),)))</f>
        <v>1111</v>
      </c>
      <c r="F213" s="384">
        <f ca="1">IF(ROWS($1:199)&gt;COUNT(Dong5),0,IF(OFFSET(TH!N$1,SMALL(Dong5,ROWS($1:199)),)=$E$7,OFFSET(TH!M$1,SMALL(Dong5,ROWS($1:199)),),0))</f>
        <v>85171</v>
      </c>
      <c r="G213" s="382">
        <f ca="1">IF(ROWS($1:199)&gt;COUNT(Dong5),0,IF(OFFSET(TH!O$1,SMALL(Dong5,ROWS($1:199)),)=$E$7,OFFSET(TH!M$1,SMALL(Dong5,ROWS($1:199)),),0))</f>
        <v>0</v>
      </c>
      <c r="H213" s="385">
        <f ca="1">IF(D213&lt;&gt;"",MAX(H212+F213-G213-I212,0),0)</f>
        <v>504972057</v>
      </c>
      <c r="I213" s="385">
        <f ca="1">IF(D213&lt;&gt;"",MAX(I212+G213-H212-F213,0),0)</f>
        <v>0</v>
      </c>
      <c r="J213" s="18">
        <f ca="1">MONTH(A213)</f>
        <v>1</v>
      </c>
    </row>
    <row r="214" spans="1:10" s="18" customFormat="1" ht="18" customHeight="1">
      <c r="A214" s="318">
        <f ca="1">IF(ROWS($1:200)&gt;COUNT(Dong5),"",OFFSET(TH!C$1,SMALL(Dong5,ROWS($1:200)),))</f>
        <v>42380</v>
      </c>
      <c r="B214" s="318" t="str">
        <f ca="1">IF(ROWS($1:200)&gt;COUNT(Dong5),"",OFFSET(TH!D$1,SMALL(Dong5,ROWS($1:200)),))</f>
        <v>C19</v>
      </c>
      <c r="C214" s="318">
        <f ca="1">IF(ROWS($1:200)&gt;COUNT(Dong5),"",OFFSET(TH!E$1,SMALL(Dong5,ROWS($1:200)),))</f>
        <v>42380</v>
      </c>
      <c r="D214" s="383" t="str">
        <f ca="1">IF(ROWS($1:200)&gt;COUNT(Dong5),"",OFFSET(TH!F$1,SMALL(Dong5,ROWS($1:200)),))</f>
        <v>VAT Dầu DO</v>
      </c>
      <c r="E214" s="318" t="str">
        <f ca="1">IF(ROWS($1:200)&gt;COUNT(Dong5),"",IF(OFFSET(TH!N$1,SMALL(Dong5,ROWS($1:200)),)=$E$7,OFFSET(TH!O$1,SMALL(Dong5,ROWS($1:200)),),OFFSET(TH!N$1,SMALL(Dong5,ROWS($1:200)),)))</f>
        <v>1111</v>
      </c>
      <c r="F214" s="384">
        <f ca="1">IF(ROWS($1:200)&gt;COUNT(Dong5),0,IF(OFFSET(TH!N$1,SMALL(Dong5,ROWS($1:200)),)=$E$7,OFFSET(TH!M$1,SMALL(Dong5,ROWS($1:200)),),0))</f>
        <v>59590</v>
      </c>
      <c r="G214" s="382">
        <f ca="1">IF(ROWS($1:200)&gt;COUNT(Dong5),0,IF(OFFSET(TH!O$1,SMALL(Dong5,ROWS($1:200)),)=$E$7,OFFSET(TH!M$1,SMALL(Dong5,ROWS($1:200)),),0))</f>
        <v>0</v>
      </c>
      <c r="H214" s="385">
        <f ca="1">IF(D214&lt;&gt;"",MAX(H213+F214-G214-I213,0),0)</f>
        <v>505031647</v>
      </c>
      <c r="I214" s="385">
        <f ca="1">IF(D214&lt;&gt;"",MAX(I213+G214-H213-F214,0),0)</f>
        <v>0</v>
      </c>
      <c r="J214" s="18">
        <f ca="1">MONTH(A214)</f>
        <v>1</v>
      </c>
    </row>
    <row r="215" spans="1:10" s="18" customFormat="1" ht="18" customHeight="1">
      <c r="A215" s="318">
        <f ca="1">IF(ROWS($1:201)&gt;COUNT(Dong5),"",OFFSET(TH!C$1,SMALL(Dong5,ROWS($1:201)),))</f>
        <v>42380</v>
      </c>
      <c r="B215" s="318" t="str">
        <f ca="1">IF(ROWS($1:201)&gt;COUNT(Dong5),"",OFFSET(TH!D$1,SMALL(Dong5,ROWS($1:201)),))</f>
        <v>GBN</v>
      </c>
      <c r="C215" s="318">
        <f ca="1">IF(ROWS($1:201)&gt;COUNT(Dong5),"",OFFSET(TH!E$1,SMALL(Dong5,ROWS($1:201)),))</f>
        <v>42380</v>
      </c>
      <c r="D215" s="383" t="str">
        <f ca="1">IF(ROWS($1:201)&gt;COUNT(Dong5),"",OFFSET(TH!F$1,SMALL(Dong5,ROWS($1:201)),))</f>
        <v>Q11 - VAT Phí thông báo LC</v>
      </c>
      <c r="E215" s="318" t="str">
        <f ca="1">IF(ROWS($1:201)&gt;COUNT(Dong5),"",IF(OFFSET(TH!N$1,SMALL(Dong5,ROWS($1:201)),)=$E$7,OFFSET(TH!O$1,SMALL(Dong5,ROWS($1:201)),),OFFSET(TH!N$1,SMALL(Dong5,ROWS($1:201)),)))</f>
        <v>1122</v>
      </c>
      <c r="F215" s="384">
        <f ca="1">IF(ROWS($1:201)&gt;COUNT(Dong5),0,IF(OFFSET(TH!N$1,SMALL(Dong5,ROWS($1:201)),)=$E$7,OFFSET(TH!M$1,SMALL(Dong5,ROWS($1:201)),),0))</f>
        <v>33660</v>
      </c>
      <c r="G215" s="382">
        <f ca="1">IF(ROWS($1:201)&gt;COUNT(Dong5),0,IF(OFFSET(TH!O$1,SMALL(Dong5,ROWS($1:201)),)=$E$7,OFFSET(TH!M$1,SMALL(Dong5,ROWS($1:201)),),0))</f>
        <v>0</v>
      </c>
      <c r="H215" s="385">
        <f ca="1">IF(D215&lt;&gt;"",MAX(H214+F215-G215-I214,0),0)</f>
        <v>505065307</v>
      </c>
      <c r="I215" s="385">
        <f ca="1">IF(D215&lt;&gt;"",MAX(I214+G215-H214-F215,0),0)</f>
        <v>0</v>
      </c>
      <c r="J215" s="18">
        <f ca="1">MONTH(A215)</f>
        <v>1</v>
      </c>
    </row>
    <row r="216" spans="1:10" s="18" customFormat="1" ht="18" customHeight="1">
      <c r="A216" s="318">
        <f ca="1">IF(ROWS($1:202)&gt;COUNT(Dong5),"",OFFSET(TH!C$1,SMALL(Dong5,ROWS($1:202)),))</f>
        <v>42381</v>
      </c>
      <c r="B216" s="318" t="str">
        <f ca="1">IF(ROWS($1:202)&gt;COUNT(Dong5),"",OFFSET(TH!D$1,SMALL(Dong5,ROWS($1:202)),))</f>
        <v>C21</v>
      </c>
      <c r="C216" s="318">
        <f ca="1">IF(ROWS($1:202)&gt;COUNT(Dong5),"",OFFSET(TH!E$1,SMALL(Dong5,ROWS($1:202)),))</f>
        <v>42381</v>
      </c>
      <c r="D216" s="383" t="str">
        <f ca="1">IF(ROWS($1:202)&gt;COUNT(Dong5),"",OFFSET(TH!F$1,SMALL(Dong5,ROWS($1:202)),))</f>
        <v>VAT Xăng</v>
      </c>
      <c r="E216" s="318" t="str">
        <f ca="1">IF(ROWS($1:202)&gt;COUNT(Dong5),"",IF(OFFSET(TH!N$1,SMALL(Dong5,ROWS($1:202)),)=$E$7,OFFSET(TH!O$1,SMALL(Dong5,ROWS($1:202)),),OFFSET(TH!N$1,SMALL(Dong5,ROWS($1:202)),)))</f>
        <v>1111</v>
      </c>
      <c r="F216" s="384">
        <f ca="1">IF(ROWS($1:202)&gt;COUNT(Dong5),0,IF(OFFSET(TH!N$1,SMALL(Dong5,ROWS($1:202)),)=$E$7,OFFSET(TH!M$1,SMALL(Dong5,ROWS($1:202)),),0))</f>
        <v>79087</v>
      </c>
      <c r="G216" s="382">
        <f ca="1">IF(ROWS($1:202)&gt;COUNT(Dong5),0,IF(OFFSET(TH!O$1,SMALL(Dong5,ROWS($1:202)),)=$E$7,OFFSET(TH!M$1,SMALL(Dong5,ROWS($1:202)),),0))</f>
        <v>0</v>
      </c>
      <c r="H216" s="385">
        <f ca="1">IF(D216&lt;&gt;"",MAX(H215+F216-G216-I215,0),0)</f>
        <v>505144394</v>
      </c>
      <c r="I216" s="385">
        <f ca="1">IF(D216&lt;&gt;"",MAX(I215+G216-H215-F216,0),0)</f>
        <v>0</v>
      </c>
      <c r="J216" s="18">
        <f ca="1">MONTH(A216)</f>
        <v>1</v>
      </c>
    </row>
    <row r="217" spans="1:10" s="18" customFormat="1" ht="18" customHeight="1">
      <c r="A217" s="318">
        <f ca="1">IF(ROWS($1:203)&gt;COUNT(Dong5),"",OFFSET(TH!C$1,SMALL(Dong5,ROWS($1:203)),))</f>
        <v>42381</v>
      </c>
      <c r="B217" s="318" t="str">
        <f ca="1">IF(ROWS($1:203)&gt;COUNT(Dong5),"",OFFSET(TH!D$1,SMALL(Dong5,ROWS($1:203)),))</f>
        <v>C22</v>
      </c>
      <c r="C217" s="318">
        <f ca="1">IF(ROWS($1:203)&gt;COUNT(Dong5),"",OFFSET(TH!E$1,SMALL(Dong5,ROWS($1:203)),))</f>
        <v>42381</v>
      </c>
      <c r="D217" s="383" t="str">
        <f ca="1">IF(ROWS($1:203)&gt;COUNT(Dong5),"",OFFSET(TH!F$1,SMALL(Dong5,ROWS($1:203)),))</f>
        <v>VAT Tư vấn giám sát môi trường</v>
      </c>
      <c r="E217" s="318" t="str">
        <f ca="1">IF(ROWS($1:203)&gt;COUNT(Dong5),"",IF(OFFSET(TH!N$1,SMALL(Dong5,ROWS($1:203)),)=$E$7,OFFSET(TH!O$1,SMALL(Dong5,ROWS($1:203)),),OFFSET(TH!N$1,SMALL(Dong5,ROWS($1:203)),)))</f>
        <v>1111</v>
      </c>
      <c r="F217" s="384">
        <f ca="1">IF(ROWS($1:203)&gt;COUNT(Dong5),0,IF(OFFSET(TH!N$1,SMALL(Dong5,ROWS($1:203)),)=$E$7,OFFSET(TH!M$1,SMALL(Dong5,ROWS($1:203)),),0))</f>
        <v>332500</v>
      </c>
      <c r="G217" s="382">
        <f ca="1">IF(ROWS($1:203)&gt;COUNT(Dong5),0,IF(OFFSET(TH!O$1,SMALL(Dong5,ROWS($1:203)),)=$E$7,OFFSET(TH!M$1,SMALL(Dong5,ROWS($1:203)),),0))</f>
        <v>0</v>
      </c>
      <c r="H217" s="385">
        <f ca="1">IF(D217&lt;&gt;"",MAX(H216+F217-G217-I216,0),0)</f>
        <v>505476894</v>
      </c>
      <c r="I217" s="385">
        <f ca="1">IF(D217&lt;&gt;"",MAX(I216+G217-H216-F217,0),0)</f>
        <v>0</v>
      </c>
      <c r="J217" s="18">
        <f ca="1">MONTH(A217)</f>
        <v>1</v>
      </c>
    </row>
    <row r="218" spans="1:10" s="18" customFormat="1" ht="18" customHeight="1">
      <c r="A218" s="318">
        <f ca="1">IF(ROWS($1:204)&gt;COUNT(Dong5),"",OFFSET(TH!C$1,SMALL(Dong5,ROWS($1:204)),))</f>
        <v>42383</v>
      </c>
      <c r="B218" s="318" t="str">
        <f ca="1">IF(ROWS($1:204)&gt;COUNT(Dong5),"",OFFSET(TH!D$1,SMALL(Dong5,ROWS($1:204)),))</f>
        <v>C23</v>
      </c>
      <c r="C218" s="318">
        <f ca="1">IF(ROWS($1:204)&gt;COUNT(Dong5),"",OFFSET(TH!E$1,SMALL(Dong5,ROWS($1:204)),))</f>
        <v>42383</v>
      </c>
      <c r="D218" s="383" t="str">
        <f ca="1">IF(ROWS($1:204)&gt;COUNT(Dong5),"",OFFSET(TH!F$1,SMALL(Dong5,ROWS($1:204)),))</f>
        <v>VAT Bảo dưỡng xe 51F - 080.56</v>
      </c>
      <c r="E218" s="318" t="str">
        <f ca="1">IF(ROWS($1:204)&gt;COUNT(Dong5),"",IF(OFFSET(TH!N$1,SMALL(Dong5,ROWS($1:204)),)=$E$7,OFFSET(TH!O$1,SMALL(Dong5,ROWS($1:204)),),OFFSET(TH!N$1,SMALL(Dong5,ROWS($1:204)),)))</f>
        <v>1111</v>
      </c>
      <c r="F218" s="384">
        <f ca="1">IF(ROWS($1:204)&gt;COUNT(Dong5),0,IF(OFFSET(TH!N$1,SMALL(Dong5,ROWS($1:204)),)=$E$7,OFFSET(TH!M$1,SMALL(Dong5,ROWS($1:204)),),0))</f>
        <v>1666290</v>
      </c>
      <c r="G218" s="382">
        <f ca="1">IF(ROWS($1:204)&gt;COUNT(Dong5),0,IF(OFFSET(TH!O$1,SMALL(Dong5,ROWS($1:204)),)=$E$7,OFFSET(TH!M$1,SMALL(Dong5,ROWS($1:204)),),0))</f>
        <v>0</v>
      </c>
      <c r="H218" s="385">
        <f ca="1">IF(D218&lt;&gt;"",MAX(H217+F218-G218-I217,0),0)</f>
        <v>507143184</v>
      </c>
      <c r="I218" s="385">
        <f ca="1">IF(D218&lt;&gt;"",MAX(I217+G218-H217-F218,0),0)</f>
        <v>0</v>
      </c>
      <c r="J218" s="18">
        <f ca="1">MONTH(A218)</f>
        <v>1</v>
      </c>
    </row>
    <row r="219" spans="1:10" s="18" customFormat="1" ht="18" customHeight="1">
      <c r="A219" s="318">
        <f ca="1">IF(ROWS($1:205)&gt;COUNT(Dong5),"",OFFSET(TH!C$1,SMALL(Dong5,ROWS($1:205)),))</f>
        <v>42613</v>
      </c>
      <c r="B219" s="318" t="str">
        <f ca="1">IF(ROWS($1:205)&gt;COUNT(Dong5),"",OFFSET(TH!D$1,SMALL(Dong5,ROWS($1:205)),))</f>
        <v>CTGS</v>
      </c>
      <c r="C219" s="318">
        <f ca="1">IF(ROWS($1:205)&gt;COUNT(Dong5),"",OFFSET(TH!E$1,SMALL(Dong5,ROWS($1:205)),))</f>
        <v>42608</v>
      </c>
      <c r="D219" s="383" t="str">
        <f ca="1">IF(ROWS($1:205)&gt;COUNT(Dong5),"",OFFSET(TH!F$1,SMALL(Dong5,ROWS($1:205)),))</f>
        <v>VAT Tiền điện Kỳ 3 T8/2016</v>
      </c>
      <c r="E219" s="318" t="str">
        <f ca="1">IF(ROWS($1:205)&gt;COUNT(Dong5),"",IF(OFFSET(TH!N$1,SMALL(Dong5,ROWS($1:205)),)=$E$7,OFFSET(TH!O$1,SMALL(Dong5,ROWS($1:205)),),OFFSET(TH!N$1,SMALL(Dong5,ROWS($1:205)),)))</f>
        <v>331</v>
      </c>
      <c r="F219" s="384">
        <f ca="1">IF(ROWS($1:205)&gt;COUNT(Dong5),0,IF(OFFSET(TH!N$1,SMALL(Dong5,ROWS($1:205)),)=$E$7,OFFSET(TH!M$1,SMALL(Dong5,ROWS($1:205)),),0))</f>
        <v>2188050</v>
      </c>
      <c r="G219" s="382">
        <f ca="1">IF(ROWS($1:205)&gt;COUNT(Dong5),0,IF(OFFSET(TH!O$1,SMALL(Dong5,ROWS($1:205)),)=$E$7,OFFSET(TH!M$1,SMALL(Dong5,ROWS($1:205)),),0))</f>
        <v>0</v>
      </c>
      <c r="H219" s="385">
        <f ca="1">IF(D219&lt;&gt;"",MAX(H218+F219-G219-I218,0),0)</f>
        <v>509331234</v>
      </c>
      <c r="I219" s="385">
        <f ca="1">IF(D219&lt;&gt;"",MAX(I218+G219-H218-F219,0),0)</f>
        <v>0</v>
      </c>
      <c r="J219" s="18">
        <f ca="1">MONTH(A219)</f>
        <v>8</v>
      </c>
    </row>
    <row r="220" spans="1:10" s="18" customFormat="1" ht="18" customHeight="1">
      <c r="A220" s="318">
        <f ca="1">IF(ROWS($1:206)&gt;COUNT(Dong5),"",OFFSET(TH!C$1,SMALL(Dong5,ROWS($1:206)),))</f>
        <v>42383</v>
      </c>
      <c r="B220" s="318" t="str">
        <f ca="1">IF(ROWS($1:206)&gt;COUNT(Dong5),"",OFFSET(TH!D$1,SMALL(Dong5,ROWS($1:206)),))</f>
        <v>GBN</v>
      </c>
      <c r="C220" s="318">
        <f ca="1">IF(ROWS($1:206)&gt;COUNT(Dong5),"",OFFSET(TH!E$1,SMALL(Dong5,ROWS($1:206)),))</f>
        <v>42383</v>
      </c>
      <c r="D220" s="383" t="str">
        <f ca="1">IF(ROWS($1:206)&gt;COUNT(Dong5),"",OFFSET(TH!F$1,SMALL(Dong5,ROWS($1:206)),))</f>
        <v>Q11 - VAT Phí chuyển tiền</v>
      </c>
      <c r="E220" s="318" t="str">
        <f ca="1">IF(ROWS($1:206)&gt;COUNT(Dong5),"",IF(OFFSET(TH!N$1,SMALL(Dong5,ROWS($1:206)),)=$E$7,OFFSET(TH!O$1,SMALL(Dong5,ROWS($1:206)),),OFFSET(TH!N$1,SMALL(Dong5,ROWS($1:206)),)))</f>
        <v>1121</v>
      </c>
      <c r="F220" s="384">
        <f ca="1">IF(ROWS($1:206)&gt;COUNT(Dong5),0,IF(OFFSET(TH!N$1,SMALL(Dong5,ROWS($1:206)),)=$E$7,OFFSET(TH!M$1,SMALL(Dong5,ROWS($1:206)),),0))</f>
        <v>2000</v>
      </c>
      <c r="G220" s="382">
        <f ca="1">IF(ROWS($1:206)&gt;COUNT(Dong5),0,IF(OFFSET(TH!O$1,SMALL(Dong5,ROWS($1:206)),)=$E$7,OFFSET(TH!M$1,SMALL(Dong5,ROWS($1:206)),),0))</f>
        <v>0</v>
      </c>
      <c r="H220" s="385">
        <f ca="1">IF(D220&lt;&gt;"",MAX(H219+F220-G220-I219,0),0)</f>
        <v>509333234</v>
      </c>
      <c r="I220" s="385">
        <f ca="1">IF(D220&lt;&gt;"",MAX(I219+G220-H219-F220,0),0)</f>
        <v>0</v>
      </c>
      <c r="J220" s="18">
        <f ca="1">MONTH(A220)</f>
        <v>1</v>
      </c>
    </row>
    <row r="221" spans="1:10" s="18" customFormat="1" ht="18" customHeight="1">
      <c r="A221" s="318">
        <f ca="1">IF(ROWS($1:207)&gt;COUNT(Dong5),"",OFFSET(TH!C$1,SMALL(Dong5,ROWS($1:207)),))</f>
        <v>42384</v>
      </c>
      <c r="B221" s="318" t="str">
        <f ca="1">IF(ROWS($1:207)&gt;COUNT(Dong5),"",OFFSET(TH!D$1,SMALL(Dong5,ROWS($1:207)),))</f>
        <v>C24</v>
      </c>
      <c r="C221" s="318">
        <f ca="1">IF(ROWS($1:207)&gt;COUNT(Dong5),"",OFFSET(TH!E$1,SMALL(Dong5,ROWS($1:207)),))</f>
        <v>42384</v>
      </c>
      <c r="D221" s="383" t="str">
        <f ca="1">IF(ROWS($1:207)&gt;COUNT(Dong5),"",OFFSET(TH!F$1,SMALL(Dong5,ROWS($1:207)),))</f>
        <v>VAT Xăng</v>
      </c>
      <c r="E221" s="318" t="str">
        <f ca="1">IF(ROWS($1:207)&gt;COUNT(Dong5),"",IF(OFFSET(TH!N$1,SMALL(Dong5,ROWS($1:207)),)=$E$7,OFFSET(TH!O$1,SMALL(Dong5,ROWS($1:207)),),OFFSET(TH!N$1,SMALL(Dong5,ROWS($1:207)),)))</f>
        <v>1111</v>
      </c>
      <c r="F221" s="384">
        <f ca="1">IF(ROWS($1:207)&gt;COUNT(Dong5),0,IF(OFFSET(TH!N$1,SMALL(Dong5,ROWS($1:207)),)=$E$7,OFFSET(TH!M$1,SMALL(Dong5,ROWS($1:207)),),0))</f>
        <v>30603</v>
      </c>
      <c r="G221" s="382">
        <f ca="1">IF(ROWS($1:207)&gt;COUNT(Dong5),0,IF(OFFSET(TH!O$1,SMALL(Dong5,ROWS($1:207)),)=$E$7,OFFSET(TH!M$1,SMALL(Dong5,ROWS($1:207)),),0))</f>
        <v>0</v>
      </c>
      <c r="H221" s="385">
        <f ca="1">IF(D221&lt;&gt;"",MAX(H220+F221-G221-I220,0),0)</f>
        <v>509363837</v>
      </c>
      <c r="I221" s="385">
        <f ca="1">IF(D221&lt;&gt;"",MAX(I220+G221-H220-F221,0),0)</f>
        <v>0</v>
      </c>
      <c r="J221" s="18">
        <f ca="1">MONTH(A221)</f>
        <v>1</v>
      </c>
    </row>
    <row r="222" spans="1:10" s="18" customFormat="1" ht="18" customHeight="1">
      <c r="A222" s="318">
        <f ca="1">IF(ROWS($1:208)&gt;COUNT(Dong5),"",OFFSET(TH!C$1,SMALL(Dong5,ROWS($1:208)),))</f>
        <v>42384</v>
      </c>
      <c r="B222" s="318" t="str">
        <f ca="1">IF(ROWS($1:208)&gt;COUNT(Dong5),"",OFFSET(TH!D$1,SMALL(Dong5,ROWS($1:208)),))</f>
        <v>C25</v>
      </c>
      <c r="C222" s="318">
        <f ca="1">IF(ROWS($1:208)&gt;COUNT(Dong5),"",OFFSET(TH!E$1,SMALL(Dong5,ROWS($1:208)),))</f>
        <v>42384</v>
      </c>
      <c r="D222" s="383" t="str">
        <f ca="1">IF(ROWS($1:208)&gt;COUNT(Dong5),"",OFFSET(TH!F$1,SMALL(Dong5,ROWS($1:208)),))</f>
        <v>VAT Xăng</v>
      </c>
      <c r="E222" s="318" t="str">
        <f ca="1">IF(ROWS($1:208)&gt;COUNT(Dong5),"",IF(OFFSET(TH!N$1,SMALL(Dong5,ROWS($1:208)),)=$E$7,OFFSET(TH!O$1,SMALL(Dong5,ROWS($1:208)),),OFFSET(TH!N$1,SMALL(Dong5,ROWS($1:208)),)))</f>
        <v>1111</v>
      </c>
      <c r="F222" s="384">
        <f ca="1">IF(ROWS($1:208)&gt;COUNT(Dong5),0,IF(OFFSET(TH!N$1,SMALL(Dong5,ROWS($1:208)),)=$E$7,OFFSET(TH!M$1,SMALL(Dong5,ROWS($1:208)),),0))</f>
        <v>59315</v>
      </c>
      <c r="G222" s="382">
        <f ca="1">IF(ROWS($1:208)&gt;COUNT(Dong5),0,IF(OFFSET(TH!O$1,SMALL(Dong5,ROWS($1:208)),)=$E$7,OFFSET(TH!M$1,SMALL(Dong5,ROWS($1:208)),),0))</f>
        <v>0</v>
      </c>
      <c r="H222" s="385">
        <f ca="1">IF(D222&lt;&gt;"",MAX(H221+F222-G222-I221,0),0)</f>
        <v>509423152</v>
      </c>
      <c r="I222" s="385">
        <f ca="1">IF(D222&lt;&gt;"",MAX(I221+G222-H221-F222,0),0)</f>
        <v>0</v>
      </c>
      <c r="J222" s="18">
        <f ca="1">MONTH(A222)</f>
        <v>1</v>
      </c>
    </row>
    <row r="223" spans="1:10" s="18" customFormat="1" ht="18" customHeight="1">
      <c r="A223" s="318">
        <f ca="1">IF(ROWS($1:209)&gt;COUNT(Dong5),"",OFFSET(TH!C$1,SMALL(Dong5,ROWS($1:209)),))</f>
        <v>42384</v>
      </c>
      <c r="B223" s="318" t="str">
        <f ca="1">IF(ROWS($1:209)&gt;COUNT(Dong5),"",OFFSET(TH!D$1,SMALL(Dong5,ROWS($1:209)),))</f>
        <v>C26</v>
      </c>
      <c r="C223" s="318">
        <f ca="1">IF(ROWS($1:209)&gt;COUNT(Dong5),"",OFFSET(TH!E$1,SMALL(Dong5,ROWS($1:209)),))</f>
        <v>42384</v>
      </c>
      <c r="D223" s="383" t="str">
        <f ca="1">IF(ROWS($1:209)&gt;COUNT(Dong5),"",OFFSET(TH!F$1,SMALL(Dong5,ROWS($1:209)),))</f>
        <v>VAT Phí phân tích cá khô</v>
      </c>
      <c r="E223" s="318" t="str">
        <f ca="1">IF(ROWS($1:209)&gt;COUNT(Dong5),"",IF(OFFSET(TH!N$1,SMALL(Dong5,ROWS($1:209)),)=$E$7,OFFSET(TH!O$1,SMALL(Dong5,ROWS($1:209)),),OFFSET(TH!N$1,SMALL(Dong5,ROWS($1:209)),)))</f>
        <v>1111</v>
      </c>
      <c r="F223" s="384">
        <f ca="1">IF(ROWS($1:209)&gt;COUNT(Dong5),0,IF(OFFSET(TH!N$1,SMALL(Dong5,ROWS($1:209)),)=$E$7,OFFSET(TH!M$1,SMALL(Dong5,ROWS($1:209)),),0))</f>
        <v>20000</v>
      </c>
      <c r="G223" s="382">
        <f ca="1">IF(ROWS($1:209)&gt;COUNT(Dong5),0,IF(OFFSET(TH!O$1,SMALL(Dong5,ROWS($1:209)),)=$E$7,OFFSET(TH!M$1,SMALL(Dong5,ROWS($1:209)),),0))</f>
        <v>0</v>
      </c>
      <c r="H223" s="385">
        <f ca="1">IF(D223&lt;&gt;"",MAX(H222+F223-G223-I222,0),0)</f>
        <v>509443152</v>
      </c>
      <c r="I223" s="385">
        <f ca="1">IF(D223&lt;&gt;"",MAX(I222+G223-H222-F223,0),0)</f>
        <v>0</v>
      </c>
      <c r="J223" s="18">
        <f ca="1">MONTH(A223)</f>
        <v>1</v>
      </c>
    </row>
    <row r="224" spans="1:10" s="18" customFormat="1" ht="18" customHeight="1">
      <c r="A224" s="318">
        <f ca="1">IF(ROWS($1:210)&gt;COUNT(Dong5),"",OFFSET(TH!C$1,SMALL(Dong5,ROWS($1:210)),))</f>
        <v>42384</v>
      </c>
      <c r="B224" s="318" t="str">
        <f ca="1">IF(ROWS($1:210)&gt;COUNT(Dong5),"",OFFSET(TH!D$1,SMALL(Dong5,ROWS($1:210)),))</f>
        <v>C27</v>
      </c>
      <c r="C224" s="318">
        <f ca="1">IF(ROWS($1:210)&gt;COUNT(Dong5),"",OFFSET(TH!E$1,SMALL(Dong5,ROWS($1:210)),))</f>
        <v>42384</v>
      </c>
      <c r="D224" s="383" t="str">
        <f ca="1">IF(ROWS($1:210)&gt;COUNT(Dong5),"",OFFSET(TH!F$1,SMALL(Dong5,ROWS($1:210)),))</f>
        <v>VAT Bảo dưỡng xe 51F - 080.56</v>
      </c>
      <c r="E224" s="318" t="str">
        <f ca="1">IF(ROWS($1:210)&gt;COUNT(Dong5),"",IF(OFFSET(TH!N$1,SMALL(Dong5,ROWS($1:210)),)=$E$7,OFFSET(TH!O$1,SMALL(Dong5,ROWS($1:210)),),OFFSET(TH!N$1,SMALL(Dong5,ROWS($1:210)),)))</f>
        <v>1111</v>
      </c>
      <c r="F224" s="384">
        <f ca="1">IF(ROWS($1:210)&gt;COUNT(Dong5),0,IF(OFFSET(TH!N$1,SMALL(Dong5,ROWS($1:210)),)=$E$7,OFFSET(TH!M$1,SMALL(Dong5,ROWS($1:210)),),0))</f>
        <v>1743580</v>
      </c>
      <c r="G224" s="382">
        <f ca="1">IF(ROWS($1:210)&gt;COUNT(Dong5),0,IF(OFFSET(TH!O$1,SMALL(Dong5,ROWS($1:210)),)=$E$7,OFFSET(TH!M$1,SMALL(Dong5,ROWS($1:210)),),0))</f>
        <v>0</v>
      </c>
      <c r="H224" s="385">
        <f ca="1">IF(D224&lt;&gt;"",MAX(H223+F224-G224-I223,0),0)</f>
        <v>511186732</v>
      </c>
      <c r="I224" s="385">
        <f ca="1">IF(D224&lt;&gt;"",MAX(I223+G224-H223-F224,0),0)</f>
        <v>0</v>
      </c>
      <c r="J224" s="18">
        <f ca="1">MONTH(A224)</f>
        <v>1</v>
      </c>
    </row>
    <row r="225" spans="1:10" s="18" customFormat="1" ht="18" customHeight="1">
      <c r="A225" s="318">
        <f ca="1">IF(ROWS($1:211)&gt;COUNT(Dong5),"",OFFSET(TH!C$1,SMALL(Dong5,ROWS($1:211)),))</f>
        <v>42387</v>
      </c>
      <c r="B225" s="318" t="str">
        <f ca="1">IF(ROWS($1:211)&gt;COUNT(Dong5),"",OFFSET(TH!D$1,SMALL(Dong5,ROWS($1:211)),))</f>
        <v>C28</v>
      </c>
      <c r="C225" s="318">
        <f ca="1">IF(ROWS($1:211)&gt;COUNT(Dong5),"",OFFSET(TH!E$1,SMALL(Dong5,ROWS($1:211)),))</f>
        <v>42387</v>
      </c>
      <c r="D225" s="383" t="str">
        <f ca="1">IF(ROWS($1:211)&gt;COUNT(Dong5),"",OFFSET(TH!F$1,SMALL(Dong5,ROWS($1:211)),))</f>
        <v>VAT Dầu DO, Xăng</v>
      </c>
      <c r="E225" s="318" t="str">
        <f ca="1">IF(ROWS($1:211)&gt;COUNT(Dong5),"",IF(OFFSET(TH!N$1,SMALL(Dong5,ROWS($1:211)),)=$E$7,OFFSET(TH!O$1,SMALL(Dong5,ROWS($1:211)),),OFFSET(TH!N$1,SMALL(Dong5,ROWS($1:211)),)))</f>
        <v>1111</v>
      </c>
      <c r="F225" s="384">
        <f ca="1">IF(ROWS($1:211)&gt;COUNT(Dong5),0,IF(OFFSET(TH!N$1,SMALL(Dong5,ROWS($1:211)),)=$E$7,OFFSET(TH!M$1,SMALL(Dong5,ROWS($1:211)),),0))</f>
        <v>134614</v>
      </c>
      <c r="G225" s="382">
        <f ca="1">IF(ROWS($1:211)&gt;COUNT(Dong5),0,IF(OFFSET(TH!O$1,SMALL(Dong5,ROWS($1:211)),)=$E$7,OFFSET(TH!M$1,SMALL(Dong5,ROWS($1:211)),),0))</f>
        <v>0</v>
      </c>
      <c r="H225" s="385">
        <f ca="1">IF(D225&lt;&gt;"",MAX(H224+F225-G225-I224,0),0)</f>
        <v>511321346</v>
      </c>
      <c r="I225" s="385">
        <f ca="1">IF(D225&lt;&gt;"",MAX(I224+G225-H224-F225,0),0)</f>
        <v>0</v>
      </c>
      <c r="J225" s="18">
        <f ca="1">MONTH(A225)</f>
        <v>1</v>
      </c>
    </row>
    <row r="226" spans="1:10" s="18" customFormat="1" ht="18" customHeight="1">
      <c r="A226" s="318">
        <f ca="1">IF(ROWS($1:212)&gt;COUNT(Dong5),"",OFFSET(TH!C$1,SMALL(Dong5,ROWS($1:212)),))</f>
        <v>42678</v>
      </c>
      <c r="B226" s="318" t="str">
        <f ca="1">IF(ROWS($1:212)&gt;COUNT(Dong5),"",OFFSET(TH!D$1,SMALL(Dong5,ROWS($1:212)),))</f>
        <v>VL/N01</v>
      </c>
      <c r="C226" s="318">
        <f ca="1">IF(ROWS($1:212)&gt;COUNT(Dong5),"",OFFSET(TH!E$1,SMALL(Dong5,ROWS($1:212)),))</f>
        <v>42678</v>
      </c>
      <c r="D226" s="383" t="str">
        <f ca="1">IF(ROWS($1:212)&gt;COUNT(Dong5),"",OFFSET(TH!F$1,SMALL(Dong5,ROWS($1:212)),))</f>
        <v>VAT Đường</v>
      </c>
      <c r="E226" s="318" t="str">
        <f ca="1">IF(ROWS($1:212)&gt;COUNT(Dong5),"",IF(OFFSET(TH!N$1,SMALL(Dong5,ROWS($1:212)),)=$E$7,OFFSET(TH!O$1,SMALL(Dong5,ROWS($1:212)),),OFFSET(TH!N$1,SMALL(Dong5,ROWS($1:212)),)))</f>
        <v>331</v>
      </c>
      <c r="F226" s="384">
        <f ca="1">IF(ROWS($1:212)&gt;COUNT(Dong5),0,IF(OFFSET(TH!N$1,SMALL(Dong5,ROWS($1:212)),)=$E$7,OFFSET(TH!M$1,SMALL(Dong5,ROWS($1:212)),),0))</f>
        <v>761905</v>
      </c>
      <c r="G226" s="382">
        <f ca="1">IF(ROWS($1:212)&gt;COUNT(Dong5),0,IF(OFFSET(TH!O$1,SMALL(Dong5,ROWS($1:212)),)=$E$7,OFFSET(TH!M$1,SMALL(Dong5,ROWS($1:212)),),0))</f>
        <v>0</v>
      </c>
      <c r="H226" s="385">
        <f ca="1">IF(D226&lt;&gt;"",MAX(H225+F226-G226-I225,0),0)</f>
        <v>512083251</v>
      </c>
      <c r="I226" s="385">
        <f ca="1">IF(D226&lt;&gt;"",MAX(I225+G226-H225-F226,0),0)</f>
        <v>0</v>
      </c>
      <c r="J226" s="18">
        <f ca="1">MONTH(A226)</f>
        <v>11</v>
      </c>
    </row>
    <row r="227" spans="1:10" s="18" customFormat="1" ht="18" customHeight="1">
      <c r="A227" s="318">
        <f ca="1">IF(ROWS($1:213)&gt;COUNT(Dong5),"",OFFSET(TH!C$1,SMALL(Dong5,ROWS($1:213)),))</f>
        <v>42388</v>
      </c>
      <c r="B227" s="318" t="str">
        <f ca="1">IF(ROWS($1:213)&gt;COUNT(Dong5),"",OFFSET(TH!D$1,SMALL(Dong5,ROWS($1:213)),))</f>
        <v>C30</v>
      </c>
      <c r="C227" s="318">
        <f ca="1">IF(ROWS($1:213)&gt;COUNT(Dong5),"",OFFSET(TH!E$1,SMALL(Dong5,ROWS($1:213)),))</f>
        <v>42388</v>
      </c>
      <c r="D227" s="383" t="str">
        <f ca="1">IF(ROWS($1:213)&gt;COUNT(Dong5),"",OFFSET(TH!F$1,SMALL(Dong5,ROWS($1:213)),))</f>
        <v>VAT Xăng</v>
      </c>
      <c r="E227" s="318" t="str">
        <f ca="1">IF(ROWS($1:213)&gt;COUNT(Dong5),"",IF(OFFSET(TH!N$1,SMALL(Dong5,ROWS($1:213)),)=$E$7,OFFSET(TH!O$1,SMALL(Dong5,ROWS($1:213)),),OFFSET(TH!N$1,SMALL(Dong5,ROWS($1:213)),)))</f>
        <v>1111</v>
      </c>
      <c r="F227" s="384">
        <f ca="1">IF(ROWS($1:213)&gt;COUNT(Dong5),0,IF(OFFSET(TH!N$1,SMALL(Dong5,ROWS($1:213)),)=$E$7,OFFSET(TH!M$1,SMALL(Dong5,ROWS($1:213)),),0))</f>
        <v>2915</v>
      </c>
      <c r="G227" s="382">
        <f ca="1">IF(ROWS($1:213)&gt;COUNT(Dong5),0,IF(OFFSET(TH!O$1,SMALL(Dong5,ROWS($1:213)),)=$E$7,OFFSET(TH!M$1,SMALL(Dong5,ROWS($1:213)),),0))</f>
        <v>0</v>
      </c>
      <c r="H227" s="385">
        <f ca="1">IF(D227&lt;&gt;"",MAX(H226+F227-G227-I226,0),0)</f>
        <v>512086166</v>
      </c>
      <c r="I227" s="385">
        <f ca="1">IF(D227&lt;&gt;"",MAX(I226+G227-H226-F227,0),0)</f>
        <v>0</v>
      </c>
      <c r="J227" s="18">
        <f ca="1">MONTH(A227)</f>
        <v>1</v>
      </c>
    </row>
    <row r="228" spans="1:10" s="18" customFormat="1" ht="18" customHeight="1">
      <c r="A228" s="318">
        <f ca="1">IF(ROWS($1:214)&gt;COUNT(Dong5),"",OFFSET(TH!C$1,SMALL(Dong5,ROWS($1:214)),))</f>
        <v>42389</v>
      </c>
      <c r="B228" s="318" t="str">
        <f ca="1">IF(ROWS($1:214)&gt;COUNT(Dong5),"",OFFSET(TH!D$1,SMALL(Dong5,ROWS($1:214)),))</f>
        <v>C31</v>
      </c>
      <c r="C228" s="318">
        <f ca="1">IF(ROWS($1:214)&gt;COUNT(Dong5),"",OFFSET(TH!E$1,SMALL(Dong5,ROWS($1:214)),))</f>
        <v>42389</v>
      </c>
      <c r="D228" s="383" t="str">
        <f ca="1">IF(ROWS($1:214)&gt;COUNT(Dong5),"",OFFSET(TH!F$1,SMALL(Dong5,ROWS($1:214)),))</f>
        <v>VAT Xăng</v>
      </c>
      <c r="E228" s="318" t="str">
        <f ca="1">IF(ROWS($1:214)&gt;COUNT(Dong5),"",IF(OFFSET(TH!N$1,SMALL(Dong5,ROWS($1:214)),)=$E$7,OFFSET(TH!O$1,SMALL(Dong5,ROWS($1:214)),),OFFSET(TH!N$1,SMALL(Dong5,ROWS($1:214)),)))</f>
        <v>1111</v>
      </c>
      <c r="F228" s="384">
        <f ca="1">IF(ROWS($1:214)&gt;COUNT(Dong5),0,IF(OFFSET(TH!N$1,SMALL(Dong5,ROWS($1:214)),)=$E$7,OFFSET(TH!M$1,SMALL(Dong5,ROWS($1:214)),),0))</f>
        <v>68962</v>
      </c>
      <c r="G228" s="382">
        <f ca="1">IF(ROWS($1:214)&gt;COUNT(Dong5),0,IF(OFFSET(TH!O$1,SMALL(Dong5,ROWS($1:214)),)=$E$7,OFFSET(TH!M$1,SMALL(Dong5,ROWS($1:214)),),0))</f>
        <v>0</v>
      </c>
      <c r="H228" s="385">
        <f ca="1">IF(D228&lt;&gt;"",MAX(H227+F228-G228-I227,0),0)</f>
        <v>512155128</v>
      </c>
      <c r="I228" s="385">
        <f ca="1">IF(D228&lt;&gt;"",MAX(I227+G228-H227-F228,0),0)</f>
        <v>0</v>
      </c>
      <c r="J228" s="18">
        <f ca="1">MONTH(A228)</f>
        <v>1</v>
      </c>
    </row>
    <row r="229" spans="1:10" s="18" customFormat="1" ht="18" customHeight="1">
      <c r="A229" s="318">
        <f ca="1">IF(ROWS($1:215)&gt;COUNT(Dong5),"",OFFSET(TH!C$1,SMALL(Dong5,ROWS($1:215)),))</f>
        <v>42390</v>
      </c>
      <c r="B229" s="318" t="str">
        <f ca="1">IF(ROWS($1:215)&gt;COUNT(Dong5),"",OFFSET(TH!D$1,SMALL(Dong5,ROWS($1:215)),))</f>
        <v>C32</v>
      </c>
      <c r="C229" s="318">
        <f ca="1">IF(ROWS($1:215)&gt;COUNT(Dong5),"",OFFSET(TH!E$1,SMALL(Dong5,ROWS($1:215)),))</f>
        <v>42390</v>
      </c>
      <c r="D229" s="383" t="str">
        <f ca="1">IF(ROWS($1:215)&gt;COUNT(Dong5),"",OFFSET(TH!F$1,SMALL(Dong5,ROWS($1:215)),))</f>
        <v>VAT Dầu DO</v>
      </c>
      <c r="E229" s="318" t="str">
        <f ca="1">IF(ROWS($1:215)&gt;COUNT(Dong5),"",IF(OFFSET(TH!N$1,SMALL(Dong5,ROWS($1:215)),)=$E$7,OFFSET(TH!O$1,SMALL(Dong5,ROWS($1:215)),),OFFSET(TH!N$1,SMALL(Dong5,ROWS($1:215)),)))</f>
        <v>1111</v>
      </c>
      <c r="F229" s="384">
        <f ca="1">IF(ROWS($1:215)&gt;COUNT(Dong5),0,IF(OFFSET(TH!N$1,SMALL(Dong5,ROWS($1:215)),)=$E$7,OFFSET(TH!M$1,SMALL(Dong5,ROWS($1:215)),),0))</f>
        <v>38018</v>
      </c>
      <c r="G229" s="382">
        <f ca="1">IF(ROWS($1:215)&gt;COUNT(Dong5),0,IF(OFFSET(TH!O$1,SMALL(Dong5,ROWS($1:215)),)=$E$7,OFFSET(TH!M$1,SMALL(Dong5,ROWS($1:215)),),0))</f>
        <v>0</v>
      </c>
      <c r="H229" s="385">
        <f ca="1">IF(D229&lt;&gt;"",MAX(H228+F229-G229-I228,0),0)</f>
        <v>512193146</v>
      </c>
      <c r="I229" s="385">
        <f ca="1">IF(D229&lt;&gt;"",MAX(I228+G229-H228-F229,0),0)</f>
        <v>0</v>
      </c>
      <c r="J229" s="18">
        <f ca="1">MONTH(A229)</f>
        <v>1</v>
      </c>
    </row>
    <row r="230" spans="1:10" s="18" customFormat="1" ht="18" customHeight="1">
      <c r="A230" s="318">
        <f ca="1">IF(ROWS($1:216)&gt;COUNT(Dong5),"",OFFSET(TH!C$1,SMALL(Dong5,ROWS($1:216)),))</f>
        <v>42393</v>
      </c>
      <c r="B230" s="318" t="str">
        <f ca="1">IF(ROWS($1:216)&gt;COUNT(Dong5),"",OFFSET(TH!D$1,SMALL(Dong5,ROWS($1:216)),))</f>
        <v>C36</v>
      </c>
      <c r="C230" s="318">
        <f ca="1">IF(ROWS($1:216)&gt;COUNT(Dong5),"",OFFSET(TH!E$1,SMALL(Dong5,ROWS($1:216)),))</f>
        <v>42393</v>
      </c>
      <c r="D230" s="383" t="str">
        <f ca="1">IF(ROWS($1:216)&gt;COUNT(Dong5),"",OFFSET(TH!F$1,SMALL(Dong5,ROWS($1:216)),))</f>
        <v>VAT Dầu DO, Xăng</v>
      </c>
      <c r="E230" s="318" t="str">
        <f ca="1">IF(ROWS($1:216)&gt;COUNT(Dong5),"",IF(OFFSET(TH!N$1,SMALL(Dong5,ROWS($1:216)),)=$E$7,OFFSET(TH!O$1,SMALL(Dong5,ROWS($1:216)),),OFFSET(TH!N$1,SMALL(Dong5,ROWS($1:216)),)))</f>
        <v>1111</v>
      </c>
      <c r="F230" s="384">
        <f ca="1">IF(ROWS($1:216)&gt;COUNT(Dong5),0,IF(OFFSET(TH!N$1,SMALL(Dong5,ROWS($1:216)),)=$E$7,OFFSET(TH!M$1,SMALL(Dong5,ROWS($1:216)),),0))</f>
        <v>113776</v>
      </c>
      <c r="G230" s="382">
        <f ca="1">IF(ROWS($1:216)&gt;COUNT(Dong5),0,IF(OFFSET(TH!O$1,SMALL(Dong5,ROWS($1:216)),)=$E$7,OFFSET(TH!M$1,SMALL(Dong5,ROWS($1:216)),),0))</f>
        <v>0</v>
      </c>
      <c r="H230" s="385">
        <f ca="1">IF(D230&lt;&gt;"",MAX(H229+F230-G230-I229,0),0)</f>
        <v>512306922</v>
      </c>
      <c r="I230" s="385">
        <f ca="1">IF(D230&lt;&gt;"",MAX(I229+G230-H229-F230,0),0)</f>
        <v>0</v>
      </c>
      <c r="J230" s="18">
        <f ca="1">MONTH(A230)</f>
        <v>1</v>
      </c>
    </row>
    <row r="231" spans="1:10" s="18" customFormat="1" ht="18" customHeight="1">
      <c r="A231" s="318">
        <f ca="1">IF(ROWS($1:217)&gt;COUNT(Dong5),"",OFFSET(TH!C$1,SMALL(Dong5,ROWS($1:217)),))</f>
        <v>42394</v>
      </c>
      <c r="B231" s="318" t="str">
        <f ca="1">IF(ROWS($1:217)&gt;COUNT(Dong5),"",OFFSET(TH!D$1,SMALL(Dong5,ROWS($1:217)),))</f>
        <v>C38</v>
      </c>
      <c r="C231" s="318">
        <f ca="1">IF(ROWS($1:217)&gt;COUNT(Dong5),"",OFFSET(TH!E$1,SMALL(Dong5,ROWS($1:217)),))</f>
        <v>42394</v>
      </c>
      <c r="D231" s="383" t="str">
        <f ca="1">IF(ROWS($1:217)&gt;COUNT(Dong5),"",OFFSET(TH!F$1,SMALL(Dong5,ROWS($1:217)),))</f>
        <v>VAT Phí dịch vụ bảo vệ T1/2016</v>
      </c>
      <c r="E231" s="318" t="str">
        <f ca="1">IF(ROWS($1:217)&gt;COUNT(Dong5),"",IF(OFFSET(TH!N$1,SMALL(Dong5,ROWS($1:217)),)=$E$7,OFFSET(TH!O$1,SMALL(Dong5,ROWS($1:217)),),OFFSET(TH!N$1,SMALL(Dong5,ROWS($1:217)),)))</f>
        <v>1111</v>
      </c>
      <c r="F231" s="384">
        <f ca="1">IF(ROWS($1:217)&gt;COUNT(Dong5),0,IF(OFFSET(TH!N$1,SMALL(Dong5,ROWS($1:217)),)=$E$7,OFFSET(TH!M$1,SMALL(Dong5,ROWS($1:217)),),0))</f>
        <v>1500000</v>
      </c>
      <c r="G231" s="382">
        <f ca="1">IF(ROWS($1:217)&gt;COUNT(Dong5),0,IF(OFFSET(TH!O$1,SMALL(Dong5,ROWS($1:217)),)=$E$7,OFFSET(TH!M$1,SMALL(Dong5,ROWS($1:217)),),0))</f>
        <v>0</v>
      </c>
      <c r="H231" s="385">
        <f ca="1">IF(D231&lt;&gt;"",MAX(H230+F231-G231-I230,0),0)</f>
        <v>513806922</v>
      </c>
      <c r="I231" s="385">
        <f ca="1">IF(D231&lt;&gt;"",MAX(I230+G231-H230-F231,0),0)</f>
        <v>0</v>
      </c>
      <c r="J231" s="18">
        <f ca="1">MONTH(A231)</f>
        <v>1</v>
      </c>
    </row>
    <row r="232" spans="1:10" s="18" customFormat="1" ht="18" customHeight="1">
      <c r="A232" s="318">
        <f ca="1">IF(ROWS($1:218)&gt;COUNT(Dong5),"",OFFSET(TH!C$1,SMALL(Dong5,ROWS($1:218)),))</f>
        <v>42394</v>
      </c>
      <c r="B232" s="318" t="str">
        <f ca="1">IF(ROWS($1:218)&gt;COUNT(Dong5),"",OFFSET(TH!D$1,SMALL(Dong5,ROWS($1:218)),))</f>
        <v>GBN</v>
      </c>
      <c r="C232" s="318">
        <f ca="1">IF(ROWS($1:218)&gt;COUNT(Dong5),"",OFFSET(TH!E$1,SMALL(Dong5,ROWS($1:218)),))</f>
        <v>42394</v>
      </c>
      <c r="D232" s="383" t="str">
        <f ca="1">IF(ROWS($1:218)&gt;COUNT(Dong5),"",OFFSET(TH!F$1,SMALL(Dong5,ROWS($1:218)),))</f>
        <v>Q11 - VAT Phí thông báo LC</v>
      </c>
      <c r="E232" s="318" t="str">
        <f ca="1">IF(ROWS($1:218)&gt;COUNT(Dong5),"",IF(OFFSET(TH!N$1,SMALL(Dong5,ROWS($1:218)),)=$E$7,OFFSET(TH!O$1,SMALL(Dong5,ROWS($1:218)),),OFFSET(TH!N$1,SMALL(Dong5,ROWS($1:218)),)))</f>
        <v>1122</v>
      </c>
      <c r="F232" s="384">
        <f ca="1">IF(ROWS($1:218)&gt;COUNT(Dong5),0,IF(OFFSET(TH!N$1,SMALL(Dong5,ROWS($1:218)),)=$E$7,OFFSET(TH!M$1,SMALL(Dong5,ROWS($1:218)),),0))</f>
        <v>33555</v>
      </c>
      <c r="G232" s="382">
        <f ca="1">IF(ROWS($1:218)&gt;COUNT(Dong5),0,IF(OFFSET(TH!O$1,SMALL(Dong5,ROWS($1:218)),)=$E$7,OFFSET(TH!M$1,SMALL(Dong5,ROWS($1:218)),),0))</f>
        <v>0</v>
      </c>
      <c r="H232" s="385">
        <f ca="1">IF(D232&lt;&gt;"",MAX(H231+F232-G232-I231,0),0)</f>
        <v>513840477</v>
      </c>
      <c r="I232" s="385">
        <f ca="1">IF(D232&lt;&gt;"",MAX(I231+G232-H231-F232,0),0)</f>
        <v>0</v>
      </c>
      <c r="J232" s="18">
        <f ca="1">MONTH(A232)</f>
        <v>1</v>
      </c>
    </row>
    <row r="233" spans="1:10" s="18" customFormat="1" ht="18" customHeight="1">
      <c r="A233" s="318">
        <f ca="1">IF(ROWS($1:219)&gt;COUNT(Dong5),"",OFFSET(TH!C$1,SMALL(Dong5,ROWS($1:219)),))</f>
        <v>42418</v>
      </c>
      <c r="B233" s="318" t="str">
        <f ca="1">IF(ROWS($1:219)&gt;COUNT(Dong5),"",OFFSET(TH!D$1,SMALL(Dong5,ROWS($1:219)),))</f>
        <v>CTGS</v>
      </c>
      <c r="C233" s="318">
        <f ca="1">IF(ROWS($1:219)&gt;COUNT(Dong5),"",OFFSET(TH!E$1,SMALL(Dong5,ROWS($1:219)),))</f>
        <v>42418</v>
      </c>
      <c r="D233" s="383" t="str">
        <f ca="1">IF(ROWS($1:219)&gt;COUNT(Dong5),"",OFFSET(TH!F$1,SMALL(Dong5,ROWS($1:219)),))</f>
        <v>VAT Phí thanh toán bộ chứng từ</v>
      </c>
      <c r="E233" s="318" t="str">
        <f ca="1">IF(ROWS($1:219)&gt;COUNT(Dong5),"",IF(OFFSET(TH!N$1,SMALL(Dong5,ROWS($1:219)),)=$E$7,OFFSET(TH!O$1,SMALL(Dong5,ROWS($1:219)),),OFFSET(TH!N$1,SMALL(Dong5,ROWS($1:219)),)))</f>
        <v>131</v>
      </c>
      <c r="F233" s="384">
        <f ca="1">IF(ROWS($1:219)&gt;COUNT(Dong5),0,IF(OFFSET(TH!N$1,SMALL(Dong5,ROWS($1:219)),)=$E$7,OFFSET(TH!M$1,SMALL(Dong5,ROWS($1:219)),),0))</f>
        <v>132878</v>
      </c>
      <c r="G233" s="382">
        <f ca="1">IF(ROWS($1:219)&gt;COUNT(Dong5),0,IF(OFFSET(TH!O$1,SMALL(Dong5,ROWS($1:219)),)=$E$7,OFFSET(TH!M$1,SMALL(Dong5,ROWS($1:219)),),0))</f>
        <v>0</v>
      </c>
      <c r="H233" s="385">
        <f ca="1">IF(D233&lt;&gt;"",MAX(H232+F233-G233-I232,0),0)</f>
        <v>513973355</v>
      </c>
      <c r="I233" s="385">
        <f ca="1">IF(D233&lt;&gt;"",MAX(I232+G233-H232-F233,0),0)</f>
        <v>0</v>
      </c>
      <c r="J233" s="18">
        <f ca="1">MONTH(A233)</f>
        <v>2</v>
      </c>
    </row>
    <row r="234" spans="1:10" s="18" customFormat="1" ht="18" customHeight="1">
      <c r="A234" s="318">
        <f ca="1">IF(ROWS($1:220)&gt;COUNT(Dong5),"",OFFSET(TH!C$1,SMALL(Dong5,ROWS($1:220)),))</f>
        <v>42396</v>
      </c>
      <c r="B234" s="318" t="str">
        <f ca="1">IF(ROWS($1:220)&gt;COUNT(Dong5),"",OFFSET(TH!D$1,SMALL(Dong5,ROWS($1:220)),))</f>
        <v>GBN</v>
      </c>
      <c r="C234" s="318">
        <f ca="1">IF(ROWS($1:220)&gt;COUNT(Dong5),"",OFFSET(TH!E$1,SMALL(Dong5,ROWS($1:220)),))</f>
        <v>42396</v>
      </c>
      <c r="D234" s="383" t="str">
        <f ca="1">IF(ROWS($1:220)&gt;COUNT(Dong5),"",OFFSET(TH!F$1,SMALL(Dong5,ROWS($1:220)),))</f>
        <v>Q11 - VAT Phí chuyển tiền</v>
      </c>
      <c r="E234" s="318" t="str">
        <f ca="1">IF(ROWS($1:220)&gt;COUNT(Dong5),"",IF(OFFSET(TH!N$1,SMALL(Dong5,ROWS($1:220)),)=$E$7,OFFSET(TH!O$1,SMALL(Dong5,ROWS($1:220)),),OFFSET(TH!N$1,SMALL(Dong5,ROWS($1:220)),)))</f>
        <v>1121</v>
      </c>
      <c r="F234" s="384">
        <f ca="1">IF(ROWS($1:220)&gt;COUNT(Dong5),0,IF(OFFSET(TH!N$1,SMALL(Dong5,ROWS($1:220)),)=$E$7,OFFSET(TH!M$1,SMALL(Dong5,ROWS($1:220)),),0))</f>
        <v>2500</v>
      </c>
      <c r="G234" s="382">
        <f ca="1">IF(ROWS($1:220)&gt;COUNT(Dong5),0,IF(OFFSET(TH!O$1,SMALL(Dong5,ROWS($1:220)),)=$E$7,OFFSET(TH!M$1,SMALL(Dong5,ROWS($1:220)),),0))</f>
        <v>0</v>
      </c>
      <c r="H234" s="385">
        <f ca="1">IF(D234&lt;&gt;"",MAX(H233+F234-G234-I233,0),0)</f>
        <v>513975855</v>
      </c>
      <c r="I234" s="385">
        <f ca="1">IF(D234&lt;&gt;"",MAX(I233+G234-H233-F234,0),0)</f>
        <v>0</v>
      </c>
      <c r="J234" s="18">
        <f ca="1">MONTH(A234)</f>
        <v>1</v>
      </c>
    </row>
    <row r="235" spans="1:10" s="18" customFormat="1" ht="18" customHeight="1">
      <c r="A235" s="318">
        <f ca="1">IF(ROWS($1:221)&gt;COUNT(Dong5),"",OFFSET(TH!C$1,SMALL(Dong5,ROWS($1:221)),))</f>
        <v>42508</v>
      </c>
      <c r="B235" s="318" t="str">
        <f ca="1">IF(ROWS($1:221)&gt;COUNT(Dong5),"",OFFSET(TH!D$1,SMALL(Dong5,ROWS($1:221)),))</f>
        <v>CTGS</v>
      </c>
      <c r="C235" s="318">
        <f ca="1">IF(ROWS($1:221)&gt;COUNT(Dong5),"",OFFSET(TH!E$1,SMALL(Dong5,ROWS($1:221)),))</f>
        <v>42508</v>
      </c>
      <c r="D235" s="383" t="str">
        <f ca="1">IF(ROWS($1:221)&gt;COUNT(Dong5),"",OFFSET(TH!F$1,SMALL(Dong5,ROWS($1:221)),))</f>
        <v>Phí ngân hàng nước ngoài</v>
      </c>
      <c r="E235" s="318" t="str">
        <f ca="1">IF(ROWS($1:221)&gt;COUNT(Dong5),"",IF(OFFSET(TH!N$1,SMALL(Dong5,ROWS($1:221)),)=$E$7,OFFSET(TH!O$1,SMALL(Dong5,ROWS($1:221)),),OFFSET(TH!N$1,SMALL(Dong5,ROWS($1:221)),)))</f>
        <v>131</v>
      </c>
      <c r="F235" s="384">
        <f ca="1">IF(ROWS($1:221)&gt;COUNT(Dong5),0,IF(OFFSET(TH!N$1,SMALL(Dong5,ROWS($1:221)),)=$E$7,OFFSET(TH!M$1,SMALL(Dong5,ROWS($1:221)),),0))</f>
        <v>1759330</v>
      </c>
      <c r="G235" s="382">
        <f ca="1">IF(ROWS($1:221)&gt;COUNT(Dong5),0,IF(OFFSET(TH!O$1,SMALL(Dong5,ROWS($1:221)),)=$E$7,OFFSET(TH!M$1,SMALL(Dong5,ROWS($1:221)),),0))</f>
        <v>0</v>
      </c>
      <c r="H235" s="385">
        <f ca="1">IF(D235&lt;&gt;"",MAX(H234+F235-G235-I234,0),0)</f>
        <v>515735185</v>
      </c>
      <c r="I235" s="385">
        <f ca="1">IF(D235&lt;&gt;"",MAX(I234+G235-H234-F235,0),0)</f>
        <v>0</v>
      </c>
      <c r="J235" s="18">
        <f ca="1">MONTH(A235)</f>
        <v>5</v>
      </c>
    </row>
    <row r="236" spans="1:10" s="18" customFormat="1" ht="18" customHeight="1">
      <c r="A236" s="318">
        <f ca="1">IF(ROWS($1:222)&gt;COUNT(Dong5),"",OFFSET(TH!C$1,SMALL(Dong5,ROWS($1:222)),))</f>
        <v>42398</v>
      </c>
      <c r="B236" s="318" t="str">
        <f ca="1">IF(ROWS($1:222)&gt;COUNT(Dong5),"",OFFSET(TH!D$1,SMALL(Dong5,ROWS($1:222)),))</f>
        <v>C42</v>
      </c>
      <c r="C236" s="318">
        <f ca="1">IF(ROWS($1:222)&gt;COUNT(Dong5),"",OFFSET(TH!E$1,SMALL(Dong5,ROWS($1:222)),))</f>
        <v>42398</v>
      </c>
      <c r="D236" s="383" t="str">
        <f ca="1">IF(ROWS($1:222)&gt;COUNT(Dong5),"",OFFSET(TH!F$1,SMALL(Dong5,ROWS($1:222)),))</f>
        <v>VAT Xăng</v>
      </c>
      <c r="E236" s="318" t="str">
        <f ca="1">IF(ROWS($1:222)&gt;COUNT(Dong5),"",IF(OFFSET(TH!N$1,SMALL(Dong5,ROWS($1:222)),)=$E$7,OFFSET(TH!O$1,SMALL(Dong5,ROWS($1:222)),),OFFSET(TH!N$1,SMALL(Dong5,ROWS($1:222)),)))</f>
        <v>1111</v>
      </c>
      <c r="F236" s="384">
        <f ca="1">IF(ROWS($1:222)&gt;COUNT(Dong5),0,IF(OFFSET(TH!N$1,SMALL(Dong5,ROWS($1:222)),)=$E$7,OFFSET(TH!M$1,SMALL(Dong5,ROWS($1:222)),),0))</f>
        <v>66027</v>
      </c>
      <c r="G236" s="382">
        <f ca="1">IF(ROWS($1:222)&gt;COUNT(Dong5),0,IF(OFFSET(TH!O$1,SMALL(Dong5,ROWS($1:222)),)=$E$7,OFFSET(TH!M$1,SMALL(Dong5,ROWS($1:222)),),0))</f>
        <v>0</v>
      </c>
      <c r="H236" s="385">
        <f ca="1">IF(D236&lt;&gt;"",MAX(H235+F236-G236-I235,0),0)</f>
        <v>515801212</v>
      </c>
      <c r="I236" s="385">
        <f ca="1">IF(D236&lt;&gt;"",MAX(I235+G236-H235-F236,0),0)</f>
        <v>0</v>
      </c>
      <c r="J236" s="18">
        <f ca="1">MONTH(A236)</f>
        <v>1</v>
      </c>
    </row>
    <row r="237" spans="1:10" s="18" customFormat="1" ht="18" customHeight="1">
      <c r="A237" s="318">
        <f ca="1">IF(ROWS($1:223)&gt;COUNT(Dong5),"",OFFSET(TH!C$1,SMALL(Dong5,ROWS($1:223)),))</f>
        <v>42398</v>
      </c>
      <c r="B237" s="318" t="str">
        <f ca="1">IF(ROWS($1:223)&gt;COUNT(Dong5),"",OFFSET(TH!D$1,SMALL(Dong5,ROWS($1:223)),))</f>
        <v>GBN</v>
      </c>
      <c r="C237" s="318">
        <f ca="1">IF(ROWS($1:223)&gt;COUNT(Dong5),"",OFFSET(TH!E$1,SMALL(Dong5,ROWS($1:223)),))</f>
        <v>42398</v>
      </c>
      <c r="D237" s="383" t="str">
        <f ca="1">IF(ROWS($1:223)&gt;COUNT(Dong5),"",OFFSET(TH!F$1,SMALL(Dong5,ROWS($1:223)),))</f>
        <v>Q4 - VAT Phí dịch vụ</v>
      </c>
      <c r="E237" s="318" t="str">
        <f ca="1">IF(ROWS($1:223)&gt;COUNT(Dong5),"",IF(OFFSET(TH!N$1,SMALL(Dong5,ROWS($1:223)),)=$E$7,OFFSET(TH!O$1,SMALL(Dong5,ROWS($1:223)),),OFFSET(TH!N$1,SMALL(Dong5,ROWS($1:223)),)))</f>
        <v>1121</v>
      </c>
      <c r="F237" s="384">
        <f ca="1">IF(ROWS($1:223)&gt;COUNT(Dong5),0,IF(OFFSET(TH!N$1,SMALL(Dong5,ROWS($1:223)),)=$E$7,OFFSET(TH!M$1,SMALL(Dong5,ROWS($1:223)),),0))</f>
        <v>2000</v>
      </c>
      <c r="G237" s="382">
        <f ca="1">IF(ROWS($1:223)&gt;COUNT(Dong5),0,IF(OFFSET(TH!O$1,SMALL(Dong5,ROWS($1:223)),)=$E$7,OFFSET(TH!M$1,SMALL(Dong5,ROWS($1:223)),),0))</f>
        <v>0</v>
      </c>
      <c r="H237" s="385">
        <f ca="1">IF(D237&lt;&gt;"",MAX(H236+F237-G237-I236,0),0)</f>
        <v>515803212</v>
      </c>
      <c r="I237" s="385">
        <f ca="1">IF(D237&lt;&gt;"",MAX(I236+G237-H236-F237,0),0)</f>
        <v>0</v>
      </c>
      <c r="J237" s="18">
        <f ca="1">MONTH(A237)</f>
        <v>1</v>
      </c>
    </row>
    <row r="238" spans="1:10" s="18" customFormat="1" ht="18" customHeight="1">
      <c r="A238" s="318">
        <f ca="1">IF(ROWS($1:224)&gt;COUNT(Dong5),"",OFFSET(TH!C$1,SMALL(Dong5,ROWS($1:224)),))</f>
        <v>42399</v>
      </c>
      <c r="B238" s="318" t="str">
        <f ca="1">IF(ROWS($1:224)&gt;COUNT(Dong5),"",OFFSET(TH!D$1,SMALL(Dong5,ROWS($1:224)),))</f>
        <v>C43</v>
      </c>
      <c r="C238" s="318">
        <f ca="1">IF(ROWS($1:224)&gt;COUNT(Dong5),"",OFFSET(TH!E$1,SMALL(Dong5,ROWS($1:224)),))</f>
        <v>42399</v>
      </c>
      <c r="D238" s="383" t="str">
        <f ca="1">IF(ROWS($1:224)&gt;COUNT(Dong5),"",OFFSET(TH!F$1,SMALL(Dong5,ROWS($1:224)),))</f>
        <v>VAT Xăng</v>
      </c>
      <c r="E238" s="318" t="str">
        <f ca="1">IF(ROWS($1:224)&gt;COUNT(Dong5),"",IF(OFFSET(TH!N$1,SMALL(Dong5,ROWS($1:224)),)=$E$7,OFFSET(TH!O$1,SMALL(Dong5,ROWS($1:224)),),OFFSET(TH!N$1,SMALL(Dong5,ROWS($1:224)),)))</f>
        <v>1111</v>
      </c>
      <c r="F238" s="384">
        <f ca="1">IF(ROWS($1:224)&gt;COUNT(Dong5),0,IF(OFFSET(TH!N$1,SMALL(Dong5,ROWS($1:224)),)=$E$7,OFFSET(TH!M$1,SMALL(Dong5,ROWS($1:224)),),0))</f>
        <v>67495</v>
      </c>
      <c r="G238" s="382">
        <f ca="1">IF(ROWS($1:224)&gt;COUNT(Dong5),0,IF(OFFSET(TH!O$1,SMALL(Dong5,ROWS($1:224)),)=$E$7,OFFSET(TH!M$1,SMALL(Dong5,ROWS($1:224)),),0))</f>
        <v>0</v>
      </c>
      <c r="H238" s="385">
        <f ca="1">IF(D238&lt;&gt;"",MAX(H237+F238-G238-I237,0),0)</f>
        <v>515870707</v>
      </c>
      <c r="I238" s="385">
        <f ca="1">IF(D238&lt;&gt;"",MAX(I237+G238-H237-F238,0),0)</f>
        <v>0</v>
      </c>
      <c r="J238" s="18">
        <f ca="1">MONTH(A238)</f>
        <v>1</v>
      </c>
    </row>
    <row r="239" spans="1:10" s="18" customFormat="1" ht="18" customHeight="1">
      <c r="A239" s="318">
        <f ca="1">IF(ROWS($1:225)&gt;COUNT(Dong5),"",OFFSET(TH!C$1,SMALL(Dong5,ROWS($1:225)),))</f>
        <v>42399</v>
      </c>
      <c r="B239" s="318" t="str">
        <f ca="1">IF(ROWS($1:225)&gt;COUNT(Dong5),"",OFFSET(TH!D$1,SMALL(Dong5,ROWS($1:225)),))</f>
        <v>GBN</v>
      </c>
      <c r="C239" s="318">
        <f ca="1">IF(ROWS($1:225)&gt;COUNT(Dong5),"",OFFSET(TH!E$1,SMALL(Dong5,ROWS($1:225)),))</f>
        <v>42399</v>
      </c>
      <c r="D239" s="383" t="str">
        <f ca="1">IF(ROWS($1:225)&gt;COUNT(Dong5),"",OFFSET(TH!F$1,SMALL(Dong5,ROWS($1:225)),))</f>
        <v>Q11 - VAT Phí chuyển tiền</v>
      </c>
      <c r="E239" s="318" t="str">
        <f ca="1">IF(ROWS($1:225)&gt;COUNT(Dong5),"",IF(OFFSET(TH!N$1,SMALL(Dong5,ROWS($1:225)),)=$E$7,OFFSET(TH!O$1,SMALL(Dong5,ROWS($1:225)),),OFFSET(TH!N$1,SMALL(Dong5,ROWS($1:225)),)))</f>
        <v>1121</v>
      </c>
      <c r="F239" s="384">
        <f ca="1">IF(ROWS($1:225)&gt;COUNT(Dong5),0,IF(OFFSET(TH!N$1,SMALL(Dong5,ROWS($1:225)),)=$E$7,OFFSET(TH!M$1,SMALL(Dong5,ROWS($1:225)),),0))</f>
        <v>2849</v>
      </c>
      <c r="G239" s="382">
        <f ca="1">IF(ROWS($1:225)&gt;COUNT(Dong5),0,IF(OFFSET(TH!O$1,SMALL(Dong5,ROWS($1:225)),)=$E$7,OFFSET(TH!M$1,SMALL(Dong5,ROWS($1:225)),),0))</f>
        <v>0</v>
      </c>
      <c r="H239" s="385">
        <f ca="1">IF(D239&lt;&gt;"",MAX(H238+F239-G239-I238,0),0)</f>
        <v>515873556</v>
      </c>
      <c r="I239" s="385">
        <f ca="1">IF(D239&lt;&gt;"",MAX(I238+G239-H238-F239,0),0)</f>
        <v>0</v>
      </c>
      <c r="J239" s="18">
        <f ca="1">MONTH(A239)</f>
        <v>1</v>
      </c>
    </row>
    <row r="240" spans="1:10" s="18" customFormat="1" ht="18" customHeight="1">
      <c r="A240" s="318">
        <f ca="1">IF(ROWS($1:226)&gt;COUNT(Dong5),"",OFFSET(TH!C$1,SMALL(Dong5,ROWS($1:226)),))</f>
        <v>42399</v>
      </c>
      <c r="B240" s="318" t="str">
        <f ca="1">IF(ROWS($1:226)&gt;COUNT(Dong5),"",OFFSET(TH!D$1,SMALL(Dong5,ROWS($1:226)),))</f>
        <v>GBN</v>
      </c>
      <c r="C240" s="318">
        <f ca="1">IF(ROWS($1:226)&gt;COUNT(Dong5),"",OFFSET(TH!E$1,SMALL(Dong5,ROWS($1:226)),))</f>
        <v>42399</v>
      </c>
      <c r="D240" s="383" t="str">
        <f ca="1">IF(ROWS($1:226)&gt;COUNT(Dong5),"",OFFSET(TH!F$1,SMALL(Dong5,ROWS($1:226)),))</f>
        <v>Q11 - VAT Phí chuyển tiền</v>
      </c>
      <c r="E240" s="318" t="str">
        <f ca="1">IF(ROWS($1:226)&gt;COUNT(Dong5),"",IF(OFFSET(TH!N$1,SMALL(Dong5,ROWS($1:226)),)=$E$7,OFFSET(TH!O$1,SMALL(Dong5,ROWS($1:226)),),OFFSET(TH!N$1,SMALL(Dong5,ROWS($1:226)),)))</f>
        <v>1121</v>
      </c>
      <c r="F240" s="384">
        <f ca="1">IF(ROWS($1:226)&gt;COUNT(Dong5),0,IF(OFFSET(TH!N$1,SMALL(Dong5,ROWS($1:226)),)=$E$7,OFFSET(TH!M$1,SMALL(Dong5,ROWS($1:226)),),0))</f>
        <v>2000</v>
      </c>
      <c r="G240" s="382">
        <f ca="1">IF(ROWS($1:226)&gt;COUNT(Dong5),0,IF(OFFSET(TH!O$1,SMALL(Dong5,ROWS($1:226)),)=$E$7,OFFSET(TH!M$1,SMALL(Dong5,ROWS($1:226)),),0))</f>
        <v>0</v>
      </c>
      <c r="H240" s="385">
        <f ca="1">IF(D240&lt;&gt;"",MAX(H239+F240-G240-I239,0),0)</f>
        <v>515875556</v>
      </c>
      <c r="I240" s="385">
        <f ca="1">IF(D240&lt;&gt;"",MAX(I239+G240-H239-F240,0),0)</f>
        <v>0</v>
      </c>
      <c r="J240" s="18">
        <f ca="1">MONTH(A240)</f>
        <v>1</v>
      </c>
    </row>
    <row r="241" spans="1:10" s="18" customFormat="1" ht="18" customHeight="1">
      <c r="A241" s="318">
        <f ca="1">IF(ROWS($1:227)&gt;COUNT(Dong5),"",OFFSET(TH!C$1,SMALL(Dong5,ROWS($1:227)),))</f>
        <v>42399</v>
      </c>
      <c r="B241" s="318" t="str">
        <f ca="1">IF(ROWS($1:227)&gt;COUNT(Dong5),"",OFFSET(TH!D$1,SMALL(Dong5,ROWS($1:227)),))</f>
        <v>GBN</v>
      </c>
      <c r="C241" s="318">
        <f ca="1">IF(ROWS($1:227)&gt;COUNT(Dong5),"",OFFSET(TH!E$1,SMALL(Dong5,ROWS($1:227)),))</f>
        <v>42399</v>
      </c>
      <c r="D241" s="383" t="str">
        <f ca="1">IF(ROWS($1:227)&gt;COUNT(Dong5),"",OFFSET(TH!F$1,SMALL(Dong5,ROWS($1:227)),))</f>
        <v>Q11 - VAT Phí chuyển tiền</v>
      </c>
      <c r="E241" s="318" t="str">
        <f ca="1">IF(ROWS($1:227)&gt;COUNT(Dong5),"",IF(OFFSET(TH!N$1,SMALL(Dong5,ROWS($1:227)),)=$E$7,OFFSET(TH!O$1,SMALL(Dong5,ROWS($1:227)),),OFFSET(TH!N$1,SMALL(Dong5,ROWS($1:227)),)))</f>
        <v>1121</v>
      </c>
      <c r="F241" s="384">
        <f ca="1">IF(ROWS($1:227)&gt;COUNT(Dong5),0,IF(OFFSET(TH!N$1,SMALL(Dong5,ROWS($1:227)),)=$E$7,OFFSET(TH!M$1,SMALL(Dong5,ROWS($1:227)),),0))</f>
        <v>2000</v>
      </c>
      <c r="G241" s="382">
        <f ca="1">IF(ROWS($1:227)&gt;COUNT(Dong5),0,IF(OFFSET(TH!O$1,SMALL(Dong5,ROWS($1:227)),)=$E$7,OFFSET(TH!M$1,SMALL(Dong5,ROWS($1:227)),),0))</f>
        <v>0</v>
      </c>
      <c r="H241" s="385">
        <f ca="1">IF(D241&lt;&gt;"",MAX(H240+F241-G241-I240,0),0)</f>
        <v>515877556</v>
      </c>
      <c r="I241" s="385">
        <f ca="1">IF(D241&lt;&gt;"",MAX(I240+G241-H240-F241,0),0)</f>
        <v>0</v>
      </c>
      <c r="J241" s="18">
        <f ca="1">MONTH(A241)</f>
        <v>1</v>
      </c>
    </row>
    <row r="242" spans="1:10" s="18" customFormat="1" ht="18" customHeight="1">
      <c r="A242" s="318">
        <f ca="1">IF(ROWS($1:228)&gt;COUNT(Dong5),"",OFFSET(TH!C$1,SMALL(Dong5,ROWS($1:228)),))</f>
        <v>42400</v>
      </c>
      <c r="B242" s="318" t="str">
        <f ca="1">IF(ROWS($1:228)&gt;COUNT(Dong5),"",OFFSET(TH!D$1,SMALL(Dong5,ROWS($1:228)),))</f>
        <v>C44</v>
      </c>
      <c r="C242" s="318">
        <f ca="1">IF(ROWS($1:228)&gt;COUNT(Dong5),"",OFFSET(TH!E$1,SMALL(Dong5,ROWS($1:228)),))</f>
        <v>42400</v>
      </c>
      <c r="D242" s="383" t="str">
        <f ca="1">IF(ROWS($1:228)&gt;COUNT(Dong5),"",OFFSET(TH!F$1,SMALL(Dong5,ROWS($1:228)),))</f>
        <v>VAT Dầu DO, Xăng</v>
      </c>
      <c r="E242" s="318" t="str">
        <f ca="1">IF(ROWS($1:228)&gt;COUNT(Dong5),"",IF(OFFSET(TH!N$1,SMALL(Dong5,ROWS($1:228)),)=$E$7,OFFSET(TH!O$1,SMALL(Dong5,ROWS($1:228)),),OFFSET(TH!N$1,SMALL(Dong5,ROWS($1:228)),)))</f>
        <v>1111</v>
      </c>
      <c r="F242" s="384">
        <f ca="1">IF(ROWS($1:228)&gt;COUNT(Dong5),0,IF(OFFSET(TH!N$1,SMALL(Dong5,ROWS($1:228)),)=$E$7,OFFSET(TH!M$1,SMALL(Dong5,ROWS($1:228)),),0))</f>
        <v>32029</v>
      </c>
      <c r="G242" s="382">
        <f ca="1">IF(ROWS($1:228)&gt;COUNT(Dong5),0,IF(OFFSET(TH!O$1,SMALL(Dong5,ROWS($1:228)),)=$E$7,OFFSET(TH!M$1,SMALL(Dong5,ROWS($1:228)),),0))</f>
        <v>0</v>
      </c>
      <c r="H242" s="385">
        <f ca="1">IF(D242&lt;&gt;"",MAX(H241+F242-G242-I241,0),0)</f>
        <v>515909585</v>
      </c>
      <c r="I242" s="385">
        <f ca="1">IF(D242&lt;&gt;"",MAX(I241+G242-H241-F242,0),0)</f>
        <v>0</v>
      </c>
      <c r="J242" s="18">
        <f ca="1">MONTH(A242)</f>
        <v>1</v>
      </c>
    </row>
    <row r="243" spans="1:10" s="18" customFormat="1" ht="18" customHeight="1">
      <c r="A243" s="318">
        <f ca="1">IF(ROWS($1:229)&gt;COUNT(Dong5),"",OFFSET(TH!C$1,SMALL(Dong5,ROWS($1:229)),))</f>
        <v>42400</v>
      </c>
      <c r="B243" s="318" t="str">
        <f ca="1">IF(ROWS($1:229)&gt;COUNT(Dong5),"",OFFSET(TH!D$1,SMALL(Dong5,ROWS($1:229)),))</f>
        <v>C45</v>
      </c>
      <c r="C243" s="318">
        <f ca="1">IF(ROWS($1:229)&gt;COUNT(Dong5),"",OFFSET(TH!E$1,SMALL(Dong5,ROWS($1:229)),))</f>
        <v>42400</v>
      </c>
      <c r="D243" s="383" t="str">
        <f ca="1">IF(ROWS($1:229)&gt;COUNT(Dong5),"",OFFSET(TH!F$1,SMALL(Dong5,ROWS($1:229)),))</f>
        <v>VAT Xăng</v>
      </c>
      <c r="E243" s="318" t="str">
        <f ca="1">IF(ROWS($1:229)&gt;COUNT(Dong5),"",IF(OFFSET(TH!N$1,SMALL(Dong5,ROWS($1:229)),)=$E$7,OFFSET(TH!O$1,SMALL(Dong5,ROWS($1:229)),),OFFSET(TH!N$1,SMALL(Dong5,ROWS($1:229)),)))</f>
        <v>1111</v>
      </c>
      <c r="F243" s="384">
        <f ca="1">IF(ROWS($1:229)&gt;COUNT(Dong5),0,IF(OFFSET(TH!N$1,SMALL(Dong5,ROWS($1:229)),)=$E$7,OFFSET(TH!M$1,SMALL(Dong5,ROWS($1:229)),),0))</f>
        <v>4402</v>
      </c>
      <c r="G243" s="382">
        <f ca="1">IF(ROWS($1:229)&gt;COUNT(Dong5),0,IF(OFFSET(TH!O$1,SMALL(Dong5,ROWS($1:229)),)=$E$7,OFFSET(TH!M$1,SMALL(Dong5,ROWS($1:229)),),0))</f>
        <v>0</v>
      </c>
      <c r="H243" s="385">
        <f ca="1">IF(D243&lt;&gt;"",MAX(H242+F243-G243-I242,0),0)</f>
        <v>515913987</v>
      </c>
      <c r="I243" s="385">
        <f ca="1">IF(D243&lt;&gt;"",MAX(I242+G243-H242-F243,0),0)</f>
        <v>0</v>
      </c>
      <c r="J243" s="18">
        <f ca="1">MONTH(A243)</f>
        <v>1</v>
      </c>
    </row>
    <row r="244" spans="1:10" s="18" customFormat="1" ht="18" customHeight="1">
      <c r="A244" s="318">
        <f ca="1">IF(ROWS($1:230)&gt;COUNT(Dong5),"",OFFSET(TH!C$1,SMALL(Dong5,ROWS($1:230)),))</f>
        <v>42400</v>
      </c>
      <c r="B244" s="318" t="str">
        <f ca="1">IF(ROWS($1:230)&gt;COUNT(Dong5),"",OFFSET(TH!D$1,SMALL(Dong5,ROWS($1:230)),))</f>
        <v>C46</v>
      </c>
      <c r="C244" s="318">
        <f ca="1">IF(ROWS($1:230)&gt;COUNT(Dong5),"",OFFSET(TH!E$1,SMALL(Dong5,ROWS($1:230)),))</f>
        <v>42400</v>
      </c>
      <c r="D244" s="383" t="str">
        <f ca="1">IF(ROWS($1:230)&gt;COUNT(Dong5),"",OFFSET(TH!F$1,SMALL(Dong5,ROWS($1:230)),))</f>
        <v>VAT Cước VT - CNTT T1/2016</v>
      </c>
      <c r="E244" s="318" t="str">
        <f ca="1">IF(ROWS($1:230)&gt;COUNT(Dong5),"",IF(OFFSET(TH!N$1,SMALL(Dong5,ROWS($1:230)),)=$E$7,OFFSET(TH!O$1,SMALL(Dong5,ROWS($1:230)),),OFFSET(TH!N$1,SMALL(Dong5,ROWS($1:230)),)))</f>
        <v>1111</v>
      </c>
      <c r="F244" s="384">
        <f ca="1">IF(ROWS($1:230)&gt;COUNT(Dong5),0,IF(OFFSET(TH!N$1,SMALL(Dong5,ROWS($1:230)),)=$E$7,OFFSET(TH!M$1,SMALL(Dong5,ROWS($1:230)),),0))</f>
        <v>197003</v>
      </c>
      <c r="G244" s="382">
        <f ca="1">IF(ROWS($1:230)&gt;COUNT(Dong5),0,IF(OFFSET(TH!O$1,SMALL(Dong5,ROWS($1:230)),)=$E$7,OFFSET(TH!M$1,SMALL(Dong5,ROWS($1:230)),),0))</f>
        <v>0</v>
      </c>
      <c r="H244" s="385">
        <f ca="1">IF(D244&lt;&gt;"",MAX(H243+F244-G244-I243,0),0)</f>
        <v>516110990</v>
      </c>
      <c r="I244" s="385">
        <f ca="1">IF(D244&lt;&gt;"",MAX(I243+G244-H243-F244,0),0)</f>
        <v>0</v>
      </c>
      <c r="J244" s="18">
        <f ca="1">MONTH(A244)</f>
        <v>1</v>
      </c>
    </row>
    <row r="245" spans="1:10" s="18" customFormat="1" ht="18" customHeight="1">
      <c r="A245" s="318">
        <f ca="1">IF(ROWS($1:231)&gt;COUNT(Dong5),"",OFFSET(TH!C$1,SMALL(Dong5,ROWS($1:231)),))</f>
        <v>42400</v>
      </c>
      <c r="B245" s="318" t="str">
        <f ca="1">IF(ROWS($1:231)&gt;COUNT(Dong5),"",OFFSET(TH!D$1,SMALL(Dong5,ROWS($1:231)),))</f>
        <v>C47</v>
      </c>
      <c r="C245" s="318">
        <f ca="1">IF(ROWS($1:231)&gt;COUNT(Dong5),"",OFFSET(TH!E$1,SMALL(Dong5,ROWS($1:231)),))</f>
        <v>42400</v>
      </c>
      <c r="D245" s="383" t="str">
        <f ca="1">IF(ROWS($1:231)&gt;COUNT(Dong5),"",OFFSET(TH!F$1,SMALL(Dong5,ROWS($1:231)),))</f>
        <v>VAT Phí CPN</v>
      </c>
      <c r="E245" s="318" t="str">
        <f ca="1">IF(ROWS($1:231)&gt;COUNT(Dong5),"",IF(OFFSET(TH!N$1,SMALL(Dong5,ROWS($1:231)),)=$E$7,OFFSET(TH!O$1,SMALL(Dong5,ROWS($1:231)),),OFFSET(TH!N$1,SMALL(Dong5,ROWS($1:231)),)))</f>
        <v>1111</v>
      </c>
      <c r="F245" s="384">
        <f ca="1">IF(ROWS($1:231)&gt;COUNT(Dong5),0,IF(OFFSET(TH!N$1,SMALL(Dong5,ROWS($1:231)),)=$E$7,OFFSET(TH!M$1,SMALL(Dong5,ROWS($1:231)),),0))</f>
        <v>35453</v>
      </c>
      <c r="G245" s="382">
        <f ca="1">IF(ROWS($1:231)&gt;COUNT(Dong5),0,IF(OFFSET(TH!O$1,SMALL(Dong5,ROWS($1:231)),)=$E$7,OFFSET(TH!M$1,SMALL(Dong5,ROWS($1:231)),),0))</f>
        <v>0</v>
      </c>
      <c r="H245" s="385">
        <f ca="1">IF(D245&lt;&gt;"",MAX(H244+F245-G245-I244,0),0)</f>
        <v>516146443</v>
      </c>
      <c r="I245" s="385">
        <f ca="1">IF(D245&lt;&gt;"",MAX(I244+G245-H244-F245,0),0)</f>
        <v>0</v>
      </c>
      <c r="J245" s="18">
        <f ca="1">MONTH(A245)</f>
        <v>1</v>
      </c>
    </row>
    <row r="246" spans="1:10" s="18" customFormat="1" ht="18" customHeight="1">
      <c r="A246" s="318">
        <f ca="1">IF(ROWS($1:232)&gt;COUNT(Dong5),"",OFFSET(TH!C$1,SMALL(Dong5,ROWS($1:232)),))</f>
        <v>42401</v>
      </c>
      <c r="B246" s="318" t="str">
        <f ca="1">IF(ROWS($1:232)&gt;COUNT(Dong5),"",OFFSET(TH!D$1,SMALL(Dong5,ROWS($1:232)),))</f>
        <v>C01</v>
      </c>
      <c r="C246" s="318">
        <f ca="1">IF(ROWS($1:232)&gt;COUNT(Dong5),"",OFFSET(TH!E$1,SMALL(Dong5,ROWS($1:232)),))</f>
        <v>42384</v>
      </c>
      <c r="D246" s="383" t="str">
        <f ca="1">IF(ROWS($1:232)&gt;COUNT(Dong5),"",OFFSET(TH!F$1,SMALL(Dong5,ROWS($1:232)),))</f>
        <v>VAT Hũ ly trung</v>
      </c>
      <c r="E246" s="318" t="str">
        <f ca="1">IF(ROWS($1:232)&gt;COUNT(Dong5),"",IF(OFFSET(TH!N$1,SMALL(Dong5,ROWS($1:232)),)=$E$7,OFFSET(TH!O$1,SMALL(Dong5,ROWS($1:232)),),OFFSET(TH!N$1,SMALL(Dong5,ROWS($1:232)),)))</f>
        <v>1111</v>
      </c>
      <c r="F246" s="384">
        <f ca="1">IF(ROWS($1:232)&gt;COUNT(Dong5),0,IF(OFFSET(TH!N$1,SMALL(Dong5,ROWS($1:232)),)=$E$7,OFFSET(TH!M$1,SMALL(Dong5,ROWS($1:232)),),0))</f>
        <v>424375</v>
      </c>
      <c r="G246" s="382">
        <f ca="1">IF(ROWS($1:232)&gt;COUNT(Dong5),0,IF(OFFSET(TH!O$1,SMALL(Dong5,ROWS($1:232)),)=$E$7,OFFSET(TH!M$1,SMALL(Dong5,ROWS($1:232)),),0))</f>
        <v>0</v>
      </c>
      <c r="H246" s="385">
        <f ca="1">IF(D246&lt;&gt;"",MAX(H245+F246-G246-I245,0),0)</f>
        <v>516570818</v>
      </c>
      <c r="I246" s="385">
        <f ca="1">IF(D246&lt;&gt;"",MAX(I245+G246-H245-F246,0),0)</f>
        <v>0</v>
      </c>
      <c r="J246" s="18">
        <f ca="1">MONTH(A246)</f>
        <v>2</v>
      </c>
    </row>
    <row r="247" spans="1:10" s="18" customFormat="1" ht="18" customHeight="1">
      <c r="A247" s="318">
        <f ca="1">IF(ROWS($1:233)&gt;COUNT(Dong5),"",OFFSET(TH!C$1,SMALL(Dong5,ROWS($1:233)),))</f>
        <v>42402</v>
      </c>
      <c r="B247" s="318" t="str">
        <f ca="1">IF(ROWS($1:233)&gt;COUNT(Dong5),"",OFFSET(TH!D$1,SMALL(Dong5,ROWS($1:233)),))</f>
        <v>C04</v>
      </c>
      <c r="C247" s="318">
        <f ca="1">IF(ROWS($1:233)&gt;COUNT(Dong5),"",OFFSET(TH!E$1,SMALL(Dong5,ROWS($1:233)),))</f>
        <v>42402</v>
      </c>
      <c r="D247" s="383" t="str">
        <f ca="1">IF(ROWS($1:233)&gt;COUNT(Dong5),"",OFFSET(TH!F$1,SMALL(Dong5,ROWS($1:233)),))</f>
        <v>VAT Phí kiểm nghiệm khô cá bò tẩm</v>
      </c>
      <c r="E247" s="318" t="str">
        <f ca="1">IF(ROWS($1:233)&gt;COUNT(Dong5),"",IF(OFFSET(TH!N$1,SMALL(Dong5,ROWS($1:233)),)=$E$7,OFFSET(TH!O$1,SMALL(Dong5,ROWS($1:233)),),OFFSET(TH!N$1,SMALL(Dong5,ROWS($1:233)),)))</f>
        <v>1111</v>
      </c>
      <c r="F247" s="384">
        <f ca="1">IF(ROWS($1:233)&gt;COUNT(Dong5),0,IF(OFFSET(TH!N$1,SMALL(Dong5,ROWS($1:233)),)=$E$7,OFFSET(TH!M$1,SMALL(Dong5,ROWS($1:233)),),0))</f>
        <v>25000</v>
      </c>
      <c r="G247" s="382">
        <f ca="1">IF(ROWS($1:233)&gt;COUNT(Dong5),0,IF(OFFSET(TH!O$1,SMALL(Dong5,ROWS($1:233)),)=$E$7,OFFSET(TH!M$1,SMALL(Dong5,ROWS($1:233)),),0))</f>
        <v>0</v>
      </c>
      <c r="H247" s="385">
        <f ca="1">IF(D247&lt;&gt;"",MAX(H246+F247-G247-I246,0),0)</f>
        <v>516595818</v>
      </c>
      <c r="I247" s="385">
        <f ca="1">IF(D247&lt;&gt;"",MAX(I246+G247-H246-F247,0),0)</f>
        <v>0</v>
      </c>
      <c r="J247" s="18">
        <f ca="1">MONTH(A247)</f>
        <v>2</v>
      </c>
    </row>
    <row r="248" spans="1:10" s="18" customFormat="1" ht="18" customHeight="1">
      <c r="A248" s="318">
        <f ca="1">IF(ROWS($1:234)&gt;COUNT(Dong5),"",OFFSET(TH!C$1,SMALL(Dong5,ROWS($1:234)),))</f>
        <v>42621</v>
      </c>
      <c r="B248" s="318" t="str">
        <f ca="1">IF(ROWS($1:234)&gt;COUNT(Dong5),"",OFFSET(TH!D$1,SMALL(Dong5,ROWS($1:234)),))</f>
        <v>CTGS</v>
      </c>
      <c r="C248" s="318">
        <f ca="1">IF(ROWS($1:234)&gt;COUNT(Dong5),"",OFFSET(TH!E$1,SMALL(Dong5,ROWS($1:234)),))</f>
        <v>42621</v>
      </c>
      <c r="D248" s="383" t="str">
        <f ca="1">IF(ROWS($1:234)&gt;COUNT(Dong5),"",OFFSET(TH!F$1,SMALL(Dong5,ROWS($1:234)),))</f>
        <v>VAT Tiền điện kỳ 1 T9/16</v>
      </c>
      <c r="E248" s="318" t="str">
        <f ca="1">IF(ROWS($1:234)&gt;COUNT(Dong5),"",IF(OFFSET(TH!N$1,SMALL(Dong5,ROWS($1:234)),)=$E$7,OFFSET(TH!O$1,SMALL(Dong5,ROWS($1:234)),),OFFSET(TH!N$1,SMALL(Dong5,ROWS($1:234)),)))</f>
        <v>331</v>
      </c>
      <c r="F248" s="384">
        <f ca="1">IF(ROWS($1:234)&gt;COUNT(Dong5),0,IF(OFFSET(TH!N$1,SMALL(Dong5,ROWS($1:234)),)=$E$7,OFFSET(TH!M$1,SMALL(Dong5,ROWS($1:234)),),0))</f>
        <v>1967390</v>
      </c>
      <c r="G248" s="382">
        <f ca="1">IF(ROWS($1:234)&gt;COUNT(Dong5),0,IF(OFFSET(TH!O$1,SMALL(Dong5,ROWS($1:234)),)=$E$7,OFFSET(TH!M$1,SMALL(Dong5,ROWS($1:234)),),0))</f>
        <v>0</v>
      </c>
      <c r="H248" s="385">
        <f ca="1">IF(D248&lt;&gt;"",MAX(H247+F248-G248-I247,0),0)</f>
        <v>518563208</v>
      </c>
      <c r="I248" s="385">
        <f ca="1">IF(D248&lt;&gt;"",MAX(I247+G248-H247-F248,0),0)</f>
        <v>0</v>
      </c>
      <c r="J248" s="18">
        <f ca="1">MONTH(A248)</f>
        <v>9</v>
      </c>
    </row>
    <row r="249" spans="1:10" s="18" customFormat="1" ht="18" customHeight="1">
      <c r="A249" s="318">
        <f ca="1">IF(ROWS($1:235)&gt;COUNT(Dong5),"",OFFSET(TH!C$1,SMALL(Dong5,ROWS($1:235)),))</f>
        <v>42402</v>
      </c>
      <c r="B249" s="318" t="str">
        <f ca="1">IF(ROWS($1:235)&gt;COUNT(Dong5),"",OFFSET(TH!D$1,SMALL(Dong5,ROWS($1:235)),))</f>
        <v>GBN</v>
      </c>
      <c r="C249" s="318">
        <f ca="1">IF(ROWS($1:235)&gt;COUNT(Dong5),"",OFFSET(TH!E$1,SMALL(Dong5,ROWS($1:235)),))</f>
        <v>42402</v>
      </c>
      <c r="D249" s="383" t="str">
        <f ca="1">IF(ROWS($1:235)&gt;COUNT(Dong5),"",OFFSET(TH!F$1,SMALL(Dong5,ROWS($1:235)),))</f>
        <v>Q11 - VAT Phí chuyển tiền</v>
      </c>
      <c r="E249" s="318" t="str">
        <f ca="1">IF(ROWS($1:235)&gt;COUNT(Dong5),"",IF(OFFSET(TH!N$1,SMALL(Dong5,ROWS($1:235)),)=$E$7,OFFSET(TH!O$1,SMALL(Dong5,ROWS($1:235)),),OFFSET(TH!N$1,SMALL(Dong5,ROWS($1:235)),)))</f>
        <v>1121</v>
      </c>
      <c r="F249" s="384">
        <f ca="1">IF(ROWS($1:235)&gt;COUNT(Dong5),0,IF(OFFSET(TH!N$1,SMALL(Dong5,ROWS($1:235)),)=$E$7,OFFSET(TH!M$1,SMALL(Dong5,ROWS($1:235)),),0))</f>
        <v>2500</v>
      </c>
      <c r="G249" s="382">
        <f ca="1">IF(ROWS($1:235)&gt;COUNT(Dong5),0,IF(OFFSET(TH!O$1,SMALL(Dong5,ROWS($1:235)),)=$E$7,OFFSET(TH!M$1,SMALL(Dong5,ROWS($1:235)),),0))</f>
        <v>0</v>
      </c>
      <c r="H249" s="385">
        <f ca="1">IF(D249&lt;&gt;"",MAX(H248+F249-G249-I248,0),0)</f>
        <v>518565708</v>
      </c>
      <c r="I249" s="385">
        <f ca="1">IF(D249&lt;&gt;"",MAX(I248+G249-H248-F249,0),0)</f>
        <v>0</v>
      </c>
      <c r="J249" s="18">
        <f ca="1">MONTH(A249)</f>
        <v>2</v>
      </c>
    </row>
    <row r="250" spans="1:10" s="18" customFormat="1" ht="18" customHeight="1">
      <c r="A250" s="318">
        <f ca="1">IF(ROWS($1:236)&gt;COUNT(Dong5),"",OFFSET(TH!C$1,SMALL(Dong5,ROWS($1:236)),))</f>
        <v>42403</v>
      </c>
      <c r="B250" s="318" t="str">
        <f ca="1">IF(ROWS($1:236)&gt;COUNT(Dong5),"",OFFSET(TH!D$1,SMALL(Dong5,ROWS($1:236)),))</f>
        <v>C05</v>
      </c>
      <c r="C250" s="318">
        <f ca="1">IF(ROWS($1:236)&gt;COUNT(Dong5),"",OFFSET(TH!E$1,SMALL(Dong5,ROWS($1:236)),))</f>
        <v>42403</v>
      </c>
      <c r="D250" s="383" t="str">
        <f ca="1">IF(ROWS($1:236)&gt;COUNT(Dong5),"",OFFSET(TH!F$1,SMALL(Dong5,ROWS($1:236)),))</f>
        <v>VAT Xăng 92</v>
      </c>
      <c r="E250" s="318" t="str">
        <f ca="1">IF(ROWS($1:236)&gt;COUNT(Dong5),"",IF(OFFSET(TH!N$1,SMALL(Dong5,ROWS($1:236)),)=$E$7,OFFSET(TH!O$1,SMALL(Dong5,ROWS($1:236)),),OFFSET(TH!N$1,SMALL(Dong5,ROWS($1:236)),)))</f>
        <v>1111</v>
      </c>
      <c r="F250" s="384">
        <f ca="1">IF(ROWS($1:236)&gt;COUNT(Dong5),0,IF(OFFSET(TH!N$1,SMALL(Dong5,ROWS($1:236)),)=$E$7,OFFSET(TH!M$1,SMALL(Dong5,ROWS($1:236)),),0))</f>
        <v>11229</v>
      </c>
      <c r="G250" s="382">
        <f ca="1">IF(ROWS($1:236)&gt;COUNT(Dong5),0,IF(OFFSET(TH!O$1,SMALL(Dong5,ROWS($1:236)),)=$E$7,OFFSET(TH!M$1,SMALL(Dong5,ROWS($1:236)),),0))</f>
        <v>0</v>
      </c>
      <c r="H250" s="385">
        <f ca="1">IF(D250&lt;&gt;"",MAX(H249+F250-G250-I249,0),0)</f>
        <v>518576937</v>
      </c>
      <c r="I250" s="385">
        <f ca="1">IF(D250&lt;&gt;"",MAX(I249+G250-H249-F250,0),0)</f>
        <v>0</v>
      </c>
      <c r="J250" s="18">
        <f ca="1">MONTH(A250)</f>
        <v>2</v>
      </c>
    </row>
    <row r="251" spans="1:10" s="18" customFormat="1" ht="18" customHeight="1">
      <c r="A251" s="318">
        <f ca="1">IF(ROWS($1:237)&gt;COUNT(Dong5),"",OFFSET(TH!C$1,SMALL(Dong5,ROWS($1:237)),))</f>
        <v>42403</v>
      </c>
      <c r="B251" s="318" t="str">
        <f ca="1">IF(ROWS($1:237)&gt;COUNT(Dong5),"",OFFSET(TH!D$1,SMALL(Dong5,ROWS($1:237)),))</f>
        <v>C06</v>
      </c>
      <c r="C251" s="318">
        <f ca="1">IF(ROWS($1:237)&gt;COUNT(Dong5),"",OFFSET(TH!E$1,SMALL(Dong5,ROWS($1:237)),))</f>
        <v>42403</v>
      </c>
      <c r="D251" s="383" t="str">
        <f ca="1">IF(ROWS($1:237)&gt;COUNT(Dong5),"",OFFSET(TH!F$1,SMALL(Dong5,ROWS($1:237)),))</f>
        <v>VAT Xăng RON 95</v>
      </c>
      <c r="E251" s="318" t="str">
        <f ca="1">IF(ROWS($1:237)&gt;COUNT(Dong5),"",IF(OFFSET(TH!N$1,SMALL(Dong5,ROWS($1:237)),)=$E$7,OFFSET(TH!O$1,SMALL(Dong5,ROWS($1:237)),),OFFSET(TH!N$1,SMALL(Dong5,ROWS($1:237)),)))</f>
        <v>1111</v>
      </c>
      <c r="F251" s="384">
        <f ca="1">IF(ROWS($1:237)&gt;COUNT(Dong5),0,IF(OFFSET(TH!N$1,SMALL(Dong5,ROWS($1:237)),)=$E$7,OFFSET(TH!M$1,SMALL(Dong5,ROWS($1:237)),),0))</f>
        <v>66027</v>
      </c>
      <c r="G251" s="382">
        <f ca="1">IF(ROWS($1:237)&gt;COUNT(Dong5),0,IF(OFFSET(TH!O$1,SMALL(Dong5,ROWS($1:237)),)=$E$7,OFFSET(TH!M$1,SMALL(Dong5,ROWS($1:237)),),0))</f>
        <v>0</v>
      </c>
      <c r="H251" s="385">
        <f ca="1">IF(D251&lt;&gt;"",MAX(H250+F251-G251-I250,0),0)</f>
        <v>518642964</v>
      </c>
      <c r="I251" s="385">
        <f ca="1">IF(D251&lt;&gt;"",MAX(I250+G251-H250-F251,0),0)</f>
        <v>0</v>
      </c>
      <c r="J251" s="18">
        <f ca="1">MONTH(A251)</f>
        <v>2</v>
      </c>
    </row>
    <row r="252" spans="1:10" s="18" customFormat="1" ht="18" customHeight="1">
      <c r="A252" s="318">
        <f ca="1">IF(ROWS($1:238)&gt;COUNT(Dong5),"",OFFSET(TH!C$1,SMALL(Dong5,ROWS($1:238)),))</f>
        <v>42403</v>
      </c>
      <c r="B252" s="318" t="str">
        <f ca="1">IF(ROWS($1:238)&gt;COUNT(Dong5),"",OFFSET(TH!D$1,SMALL(Dong5,ROWS($1:238)),))</f>
        <v>CTGS</v>
      </c>
      <c r="C252" s="318">
        <f ca="1">IF(ROWS($1:238)&gt;COUNT(Dong5),"",OFFSET(TH!E$1,SMALL(Dong5,ROWS($1:238)),))</f>
        <v>42403</v>
      </c>
      <c r="D252" s="383" t="str">
        <f ca="1">IF(ROWS($1:238)&gt;COUNT(Dong5),"",OFFSET(TH!F$1,SMALL(Dong5,ROWS($1:238)),))</f>
        <v>VAT Phí dịch vụ thanh toán, điện phí</v>
      </c>
      <c r="E252" s="318" t="str">
        <f ca="1">IF(ROWS($1:238)&gt;COUNT(Dong5),"",IF(OFFSET(TH!N$1,SMALL(Dong5,ROWS($1:238)),)=$E$7,OFFSET(TH!O$1,SMALL(Dong5,ROWS($1:238)),),OFFSET(TH!N$1,SMALL(Dong5,ROWS($1:238)),)))</f>
        <v>131</v>
      </c>
      <c r="F252" s="384">
        <f ca="1">IF(ROWS($1:238)&gt;COUNT(Dong5),0,IF(OFFSET(TH!N$1,SMALL(Dong5,ROWS($1:238)),)=$E$7,OFFSET(TH!M$1,SMALL(Dong5,ROWS($1:238)),),0))</f>
        <v>120595</v>
      </c>
      <c r="G252" s="382">
        <f ca="1">IF(ROWS($1:238)&gt;COUNT(Dong5),0,IF(OFFSET(TH!O$1,SMALL(Dong5,ROWS($1:238)),)=$E$7,OFFSET(TH!M$1,SMALL(Dong5,ROWS($1:238)),),0))</f>
        <v>0</v>
      </c>
      <c r="H252" s="385">
        <f ca="1">IF(D252&lt;&gt;"",MAX(H251+F252-G252-I251,0),0)</f>
        <v>518763559</v>
      </c>
      <c r="I252" s="385">
        <f ca="1">IF(D252&lt;&gt;"",MAX(I251+G252-H251-F252,0),0)</f>
        <v>0</v>
      </c>
      <c r="J252" s="18">
        <f ca="1">MONTH(A252)</f>
        <v>2</v>
      </c>
    </row>
    <row r="253" spans="1:10" s="18" customFormat="1" ht="18" customHeight="1">
      <c r="A253" s="318">
        <f ca="1">IF(ROWS($1:239)&gt;COUNT(Dong5),"",OFFSET(TH!C$1,SMALL(Dong5,ROWS($1:239)),))</f>
        <v>42403</v>
      </c>
      <c r="B253" s="318" t="str">
        <f ca="1">IF(ROWS($1:239)&gt;COUNT(Dong5),"",OFFSET(TH!D$1,SMALL(Dong5,ROWS($1:239)),))</f>
        <v>GBN</v>
      </c>
      <c r="C253" s="318">
        <f ca="1">IF(ROWS($1:239)&gt;COUNT(Dong5),"",OFFSET(TH!E$1,SMALL(Dong5,ROWS($1:239)),))</f>
        <v>42403</v>
      </c>
      <c r="D253" s="383" t="str">
        <f ca="1">IF(ROWS($1:239)&gt;COUNT(Dong5),"",OFFSET(TH!F$1,SMALL(Dong5,ROWS($1:239)),))</f>
        <v>Q11 - VAT Phí chuyển tiền</v>
      </c>
      <c r="E253" s="318" t="str">
        <f ca="1">IF(ROWS($1:239)&gt;COUNT(Dong5),"",IF(OFFSET(TH!N$1,SMALL(Dong5,ROWS($1:239)),)=$E$7,OFFSET(TH!O$1,SMALL(Dong5,ROWS($1:239)),),OFFSET(TH!N$1,SMALL(Dong5,ROWS($1:239)),)))</f>
        <v>1121</v>
      </c>
      <c r="F253" s="384">
        <f ca="1">IF(ROWS($1:239)&gt;COUNT(Dong5),0,IF(OFFSET(TH!N$1,SMALL(Dong5,ROWS($1:239)),)=$E$7,OFFSET(TH!M$1,SMALL(Dong5,ROWS($1:239)),),0))</f>
        <v>5000</v>
      </c>
      <c r="G253" s="382">
        <f ca="1">IF(ROWS($1:239)&gt;COUNT(Dong5),0,IF(OFFSET(TH!O$1,SMALL(Dong5,ROWS($1:239)),)=$E$7,OFFSET(TH!M$1,SMALL(Dong5,ROWS($1:239)),),0))</f>
        <v>0</v>
      </c>
      <c r="H253" s="385">
        <f ca="1">IF(D253&lt;&gt;"",MAX(H252+F253-G253-I252,0),0)</f>
        <v>518768559</v>
      </c>
      <c r="I253" s="385">
        <f ca="1">IF(D253&lt;&gt;"",MAX(I252+G253-H252-F253,0),0)</f>
        <v>0</v>
      </c>
      <c r="J253" s="18">
        <f ca="1">MONTH(A253)</f>
        <v>2</v>
      </c>
    </row>
    <row r="254" spans="1:10" s="18" customFormat="1" ht="18" customHeight="1">
      <c r="A254" s="318">
        <f ca="1">IF(ROWS($1:240)&gt;COUNT(Dong5),"",OFFSET(TH!C$1,SMALL(Dong5,ROWS($1:240)),))</f>
        <v>42403</v>
      </c>
      <c r="B254" s="318" t="str">
        <f ca="1">IF(ROWS($1:240)&gt;COUNT(Dong5),"",OFFSET(TH!D$1,SMALL(Dong5,ROWS($1:240)),))</f>
        <v>GBN</v>
      </c>
      <c r="C254" s="318">
        <f ca="1">IF(ROWS($1:240)&gt;COUNT(Dong5),"",OFFSET(TH!E$1,SMALL(Dong5,ROWS($1:240)),))</f>
        <v>42403</v>
      </c>
      <c r="D254" s="383" t="str">
        <f ca="1">IF(ROWS($1:240)&gt;COUNT(Dong5),"",OFFSET(TH!F$1,SMALL(Dong5,ROWS($1:240)),))</f>
        <v>Q11 - VAT Phí chuyển tiền</v>
      </c>
      <c r="E254" s="318" t="str">
        <f ca="1">IF(ROWS($1:240)&gt;COUNT(Dong5),"",IF(OFFSET(TH!N$1,SMALL(Dong5,ROWS($1:240)),)=$E$7,OFFSET(TH!O$1,SMALL(Dong5,ROWS($1:240)),),OFFSET(TH!N$1,SMALL(Dong5,ROWS($1:240)),)))</f>
        <v>1121</v>
      </c>
      <c r="F254" s="384">
        <f ca="1">IF(ROWS($1:240)&gt;COUNT(Dong5),0,IF(OFFSET(TH!N$1,SMALL(Dong5,ROWS($1:240)),)=$E$7,OFFSET(TH!M$1,SMALL(Dong5,ROWS($1:240)),),0))</f>
        <v>2000</v>
      </c>
      <c r="G254" s="382">
        <f ca="1">IF(ROWS($1:240)&gt;COUNT(Dong5),0,IF(OFFSET(TH!O$1,SMALL(Dong5,ROWS($1:240)),)=$E$7,OFFSET(TH!M$1,SMALL(Dong5,ROWS($1:240)),),0))</f>
        <v>0</v>
      </c>
      <c r="H254" s="385">
        <f ca="1">IF(D254&lt;&gt;"",MAX(H253+F254-G254-I253,0),0)</f>
        <v>518770559</v>
      </c>
      <c r="I254" s="385">
        <f ca="1">IF(D254&lt;&gt;"",MAX(I253+G254-H253-F254,0),0)</f>
        <v>0</v>
      </c>
      <c r="J254" s="18">
        <f ca="1">MONTH(A254)</f>
        <v>2</v>
      </c>
    </row>
    <row r="255" spans="1:10" s="18" customFormat="1" ht="18" customHeight="1">
      <c r="A255" s="318">
        <f ca="1">IF(ROWS($1:241)&gt;COUNT(Dong5),"",OFFSET(TH!C$1,SMALL(Dong5,ROWS($1:241)),))</f>
        <v>42403</v>
      </c>
      <c r="B255" s="318" t="str">
        <f ca="1">IF(ROWS($1:241)&gt;COUNT(Dong5),"",OFFSET(TH!D$1,SMALL(Dong5,ROWS($1:241)),))</f>
        <v>GBN</v>
      </c>
      <c r="C255" s="318">
        <f ca="1">IF(ROWS($1:241)&gt;COUNT(Dong5),"",OFFSET(TH!E$1,SMALL(Dong5,ROWS($1:241)),))</f>
        <v>42403</v>
      </c>
      <c r="D255" s="383" t="str">
        <f ca="1">IF(ROWS($1:241)&gt;COUNT(Dong5),"",OFFSET(TH!F$1,SMALL(Dong5,ROWS($1:241)),))</f>
        <v>Q11 - VAT Phí chuyển tiền</v>
      </c>
      <c r="E255" s="318" t="str">
        <f ca="1">IF(ROWS($1:241)&gt;COUNT(Dong5),"",IF(OFFSET(TH!N$1,SMALL(Dong5,ROWS($1:241)),)=$E$7,OFFSET(TH!O$1,SMALL(Dong5,ROWS($1:241)),),OFFSET(TH!N$1,SMALL(Dong5,ROWS($1:241)),)))</f>
        <v>1121</v>
      </c>
      <c r="F255" s="384">
        <f ca="1">IF(ROWS($1:241)&gt;COUNT(Dong5),0,IF(OFFSET(TH!N$1,SMALL(Dong5,ROWS($1:241)),)=$E$7,OFFSET(TH!M$1,SMALL(Dong5,ROWS($1:241)),),0))</f>
        <v>3000</v>
      </c>
      <c r="G255" s="382">
        <f ca="1">IF(ROWS($1:241)&gt;COUNT(Dong5),0,IF(OFFSET(TH!O$1,SMALL(Dong5,ROWS($1:241)),)=$E$7,OFFSET(TH!M$1,SMALL(Dong5,ROWS($1:241)),),0))</f>
        <v>0</v>
      </c>
      <c r="H255" s="385">
        <f ca="1">IF(D255&lt;&gt;"",MAX(H254+F255-G255-I254,0),0)</f>
        <v>518773559</v>
      </c>
      <c r="I255" s="385">
        <f ca="1">IF(D255&lt;&gt;"",MAX(I254+G255-H254-F255,0),0)</f>
        <v>0</v>
      </c>
      <c r="J255" s="18">
        <f ca="1">MONTH(A255)</f>
        <v>2</v>
      </c>
    </row>
    <row r="256" spans="1:10" s="18" customFormat="1" ht="18" customHeight="1">
      <c r="A256" s="318">
        <f ca="1">IF(ROWS($1:242)&gt;COUNT(Dong5),"",OFFSET(TH!C$1,SMALL(Dong5,ROWS($1:242)),))</f>
        <v>42403</v>
      </c>
      <c r="B256" s="318" t="str">
        <f ca="1">IF(ROWS($1:242)&gt;COUNT(Dong5),"",OFFSET(TH!D$1,SMALL(Dong5,ROWS($1:242)),))</f>
        <v>GBN</v>
      </c>
      <c r="C256" s="318">
        <f ca="1">IF(ROWS($1:242)&gt;COUNT(Dong5),"",OFFSET(TH!E$1,SMALL(Dong5,ROWS($1:242)),))</f>
        <v>42403</v>
      </c>
      <c r="D256" s="383" t="str">
        <f ca="1">IF(ROWS($1:242)&gt;COUNT(Dong5),"",OFFSET(TH!F$1,SMALL(Dong5,ROWS($1:242)),))</f>
        <v>Q11 - VAT Phí chuyển tiền</v>
      </c>
      <c r="E256" s="318" t="str">
        <f ca="1">IF(ROWS($1:242)&gt;COUNT(Dong5),"",IF(OFFSET(TH!N$1,SMALL(Dong5,ROWS($1:242)),)=$E$7,OFFSET(TH!O$1,SMALL(Dong5,ROWS($1:242)),),OFFSET(TH!N$1,SMALL(Dong5,ROWS($1:242)),)))</f>
        <v>1121</v>
      </c>
      <c r="F256" s="384">
        <f ca="1">IF(ROWS($1:242)&gt;COUNT(Dong5),0,IF(OFFSET(TH!N$1,SMALL(Dong5,ROWS($1:242)),)=$E$7,OFFSET(TH!M$1,SMALL(Dong5,ROWS($1:242)),),0))</f>
        <v>2500</v>
      </c>
      <c r="G256" s="382">
        <f ca="1">IF(ROWS($1:242)&gt;COUNT(Dong5),0,IF(OFFSET(TH!O$1,SMALL(Dong5,ROWS($1:242)),)=$E$7,OFFSET(TH!M$1,SMALL(Dong5,ROWS($1:242)),),0))</f>
        <v>0</v>
      </c>
      <c r="H256" s="385">
        <f ca="1">IF(D256&lt;&gt;"",MAX(H255+F256-G256-I255,0),0)</f>
        <v>518776059</v>
      </c>
      <c r="I256" s="385">
        <f ca="1">IF(D256&lt;&gt;"",MAX(I255+G256-H255-F256,0),0)</f>
        <v>0</v>
      </c>
      <c r="J256" s="18">
        <f ca="1">MONTH(A256)</f>
        <v>2</v>
      </c>
    </row>
    <row r="257" spans="1:10" s="18" customFormat="1" ht="18" customHeight="1">
      <c r="A257" s="318">
        <f ca="1">IF(ROWS($1:243)&gt;COUNT(Dong5),"",OFFSET(TH!C$1,SMALL(Dong5,ROWS($1:243)),))</f>
        <v>42404</v>
      </c>
      <c r="B257" s="318" t="str">
        <f ca="1">IF(ROWS($1:243)&gt;COUNT(Dong5),"",OFFSET(TH!D$1,SMALL(Dong5,ROWS($1:243)),))</f>
        <v>C07</v>
      </c>
      <c r="C257" s="318">
        <f ca="1">IF(ROWS($1:243)&gt;COUNT(Dong5),"",OFFSET(TH!E$1,SMALL(Dong5,ROWS($1:243)),))</f>
        <v>42404</v>
      </c>
      <c r="D257" s="383" t="str">
        <f ca="1">IF(ROWS($1:243)&gt;COUNT(Dong5),"",OFFSET(TH!F$1,SMALL(Dong5,ROWS($1:243)),))</f>
        <v>VAT Dầu DO</v>
      </c>
      <c r="E257" s="318" t="str">
        <f ca="1">IF(ROWS($1:243)&gt;COUNT(Dong5),"",IF(OFFSET(TH!N$1,SMALL(Dong5,ROWS($1:243)),)=$E$7,OFFSET(TH!O$1,SMALL(Dong5,ROWS($1:243)),),OFFSET(TH!N$1,SMALL(Dong5,ROWS($1:243)),)))</f>
        <v>1111</v>
      </c>
      <c r="F257" s="384">
        <f ca="1">IF(ROWS($1:243)&gt;COUNT(Dong5),0,IF(OFFSET(TH!N$1,SMALL(Dong5,ROWS($1:243)),)=$E$7,OFFSET(TH!M$1,SMALL(Dong5,ROWS($1:243)),),0))</f>
        <v>45287</v>
      </c>
      <c r="G257" s="382">
        <f ca="1">IF(ROWS($1:243)&gt;COUNT(Dong5),0,IF(OFFSET(TH!O$1,SMALL(Dong5,ROWS($1:243)),)=$E$7,OFFSET(TH!M$1,SMALL(Dong5,ROWS($1:243)),),0))</f>
        <v>0</v>
      </c>
      <c r="H257" s="385">
        <f ca="1">IF(D257&lt;&gt;"",MAX(H256+F257-G257-I256,0),0)</f>
        <v>518821346</v>
      </c>
      <c r="I257" s="385">
        <f ca="1">IF(D257&lt;&gt;"",MAX(I256+G257-H256-F257,0),0)</f>
        <v>0</v>
      </c>
      <c r="J257" s="18">
        <f ca="1">MONTH(A257)</f>
        <v>2</v>
      </c>
    </row>
    <row r="258" spans="1:10" s="18" customFormat="1" ht="18" customHeight="1">
      <c r="A258" s="318">
        <f ca="1">IF(ROWS($1:244)&gt;COUNT(Dong5),"",OFFSET(TH!C$1,SMALL(Dong5,ROWS($1:244)),))</f>
        <v>42536</v>
      </c>
      <c r="B258" s="318" t="str">
        <f ca="1">IF(ROWS($1:244)&gt;COUNT(Dong5),"",OFFSET(TH!D$1,SMALL(Dong5,ROWS($1:244)),))</f>
        <v>CTGS</v>
      </c>
      <c r="C258" s="318">
        <f ca="1">IF(ROWS($1:244)&gt;COUNT(Dong5),"",OFFSET(TH!E$1,SMALL(Dong5,ROWS($1:244)),))</f>
        <v>42536</v>
      </c>
      <c r="D258" s="383" t="str">
        <f ca="1">IF(ROWS($1:244)&gt;COUNT(Dong5),"",OFFSET(TH!F$1,SMALL(Dong5,ROWS($1:244)),))</f>
        <v>VAT Phí xử lý bộ chứng từ</v>
      </c>
      <c r="E258" s="318" t="str">
        <f ca="1">IF(ROWS($1:244)&gt;COUNT(Dong5),"",IF(OFFSET(TH!N$1,SMALL(Dong5,ROWS($1:244)),)=$E$7,OFFSET(TH!O$1,SMALL(Dong5,ROWS($1:244)),),OFFSET(TH!N$1,SMALL(Dong5,ROWS($1:244)),)))</f>
        <v>131</v>
      </c>
      <c r="F258" s="384">
        <f ca="1">IF(ROWS($1:244)&gt;COUNT(Dong5),0,IF(OFFSET(TH!N$1,SMALL(Dong5,ROWS($1:244)),)=$E$7,OFFSET(TH!M$1,SMALL(Dong5,ROWS($1:244)),),0))</f>
        <v>22350</v>
      </c>
      <c r="G258" s="382">
        <f ca="1">IF(ROWS($1:244)&gt;COUNT(Dong5),0,IF(OFFSET(TH!O$1,SMALL(Dong5,ROWS($1:244)),)=$E$7,OFFSET(TH!M$1,SMALL(Dong5,ROWS($1:244)),),0))</f>
        <v>0</v>
      </c>
      <c r="H258" s="385">
        <f ca="1">IF(D258&lt;&gt;"",MAX(H257+F258-G258-I257,0),0)</f>
        <v>518843696</v>
      </c>
      <c r="I258" s="385">
        <f ca="1">IF(D258&lt;&gt;"",MAX(I257+G258-H257-F258,0),0)</f>
        <v>0</v>
      </c>
      <c r="J258" s="18">
        <f ca="1">MONTH(A258)</f>
        <v>6</v>
      </c>
    </row>
    <row r="259" spans="1:10" s="18" customFormat="1" ht="18" customHeight="1">
      <c r="A259" s="318">
        <f ca="1">IF(ROWS($1:245)&gt;COUNT(Dong5),"",OFFSET(TH!C$1,SMALL(Dong5,ROWS($1:245)),))</f>
        <v>42406</v>
      </c>
      <c r="B259" s="318" t="str">
        <f ca="1">IF(ROWS($1:245)&gt;COUNT(Dong5),"",OFFSET(TH!D$1,SMALL(Dong5,ROWS($1:245)),))</f>
        <v>C08</v>
      </c>
      <c r="C259" s="318">
        <f ca="1">IF(ROWS($1:245)&gt;COUNT(Dong5),"",OFFSET(TH!E$1,SMALL(Dong5,ROWS($1:245)),))</f>
        <v>42406</v>
      </c>
      <c r="D259" s="383" t="str">
        <f ca="1">IF(ROWS($1:245)&gt;COUNT(Dong5),"",OFFSET(TH!F$1,SMALL(Dong5,ROWS($1:245)),))</f>
        <v>VAT Xăng RON 95</v>
      </c>
      <c r="E259" s="318" t="str">
        <f ca="1">IF(ROWS($1:245)&gt;COUNT(Dong5),"",IF(OFFSET(TH!N$1,SMALL(Dong5,ROWS($1:245)),)=$E$7,OFFSET(TH!O$1,SMALL(Dong5,ROWS($1:245)),),OFFSET(TH!N$1,SMALL(Dong5,ROWS($1:245)),)))</f>
        <v>1111</v>
      </c>
      <c r="F259" s="384">
        <f ca="1">IF(ROWS($1:245)&gt;COUNT(Dong5),0,IF(OFFSET(TH!N$1,SMALL(Dong5,ROWS($1:245)),)=$E$7,OFFSET(TH!M$1,SMALL(Dong5,ROWS($1:245)),),0))</f>
        <v>79852</v>
      </c>
      <c r="G259" s="382">
        <f ca="1">IF(ROWS($1:245)&gt;COUNT(Dong5),0,IF(OFFSET(TH!O$1,SMALL(Dong5,ROWS($1:245)),)=$E$7,OFFSET(TH!M$1,SMALL(Dong5,ROWS($1:245)),),0))</f>
        <v>0</v>
      </c>
      <c r="H259" s="385">
        <f ca="1">IF(D259&lt;&gt;"",MAX(H258+F259-G259-I258,0),0)</f>
        <v>518923548</v>
      </c>
      <c r="I259" s="385">
        <f ca="1">IF(D259&lt;&gt;"",MAX(I258+G259-H258-F259,0),0)</f>
        <v>0</v>
      </c>
      <c r="J259" s="18">
        <f ca="1">MONTH(A259)</f>
        <v>2</v>
      </c>
    </row>
    <row r="260" spans="1:10" s="18" customFormat="1" ht="18" customHeight="1">
      <c r="A260" s="318">
        <f ca="1">IF(ROWS($1:246)&gt;COUNT(Dong5),"",OFFSET(TH!C$1,SMALL(Dong5,ROWS($1:246)),))</f>
        <v>42415</v>
      </c>
      <c r="B260" s="318" t="str">
        <f ca="1">IF(ROWS($1:246)&gt;COUNT(Dong5),"",OFFSET(TH!D$1,SMALL(Dong5,ROWS($1:246)),))</f>
        <v>GBN</v>
      </c>
      <c r="C260" s="318">
        <f ca="1">IF(ROWS($1:246)&gt;COUNT(Dong5),"",OFFSET(TH!E$1,SMALL(Dong5,ROWS($1:246)),))</f>
        <v>42415</v>
      </c>
      <c r="D260" s="383" t="str">
        <f ca="1">IF(ROWS($1:246)&gt;COUNT(Dong5),"",OFFSET(TH!F$1,SMALL(Dong5,ROWS($1:246)),))</f>
        <v>Q4 - VAT Phí dịch vụ</v>
      </c>
      <c r="E260" s="318" t="str">
        <f ca="1">IF(ROWS($1:246)&gt;COUNT(Dong5),"",IF(OFFSET(TH!N$1,SMALL(Dong5,ROWS($1:246)),)=$E$7,OFFSET(TH!O$1,SMALL(Dong5,ROWS($1:246)),),OFFSET(TH!N$1,SMALL(Dong5,ROWS($1:246)),)))</f>
        <v>1121</v>
      </c>
      <c r="F260" s="384">
        <f ca="1">IF(ROWS($1:246)&gt;COUNT(Dong5),0,IF(OFFSET(TH!N$1,SMALL(Dong5,ROWS($1:246)),)=$E$7,OFFSET(TH!M$1,SMALL(Dong5,ROWS($1:246)),),0))</f>
        <v>5000</v>
      </c>
      <c r="G260" s="382">
        <f ca="1">IF(ROWS($1:246)&gt;COUNT(Dong5),0,IF(OFFSET(TH!O$1,SMALL(Dong5,ROWS($1:246)),)=$E$7,OFFSET(TH!M$1,SMALL(Dong5,ROWS($1:246)),),0))</f>
        <v>0</v>
      </c>
      <c r="H260" s="385">
        <f ca="1">IF(D260&lt;&gt;"",MAX(H259+F260-G260-I259,0),0)</f>
        <v>518928548</v>
      </c>
      <c r="I260" s="385">
        <f ca="1">IF(D260&lt;&gt;"",MAX(I259+G260-H259-F260,0),0)</f>
        <v>0</v>
      </c>
      <c r="J260" s="18">
        <f ca="1">MONTH(A260)</f>
        <v>2</v>
      </c>
    </row>
    <row r="261" spans="1:10" s="18" customFormat="1" ht="18" customHeight="1">
      <c r="A261" s="318">
        <f ca="1">IF(ROWS($1:247)&gt;COUNT(Dong5),"",OFFSET(TH!C$1,SMALL(Dong5,ROWS($1:247)),))</f>
        <v>42415</v>
      </c>
      <c r="B261" s="318" t="str">
        <f ca="1">IF(ROWS($1:247)&gt;COUNT(Dong5),"",OFFSET(TH!D$1,SMALL(Dong5,ROWS($1:247)),))</f>
        <v>GBN</v>
      </c>
      <c r="C261" s="318">
        <f ca="1">IF(ROWS($1:247)&gt;COUNT(Dong5),"",OFFSET(TH!E$1,SMALL(Dong5,ROWS($1:247)),))</f>
        <v>42415</v>
      </c>
      <c r="D261" s="383" t="str">
        <f ca="1">IF(ROWS($1:247)&gt;COUNT(Dong5),"",OFFSET(TH!F$1,SMALL(Dong5,ROWS($1:247)),))</f>
        <v>Q4 - VAT Phí dịch vụ</v>
      </c>
      <c r="E261" s="318" t="str">
        <f ca="1">IF(ROWS($1:247)&gt;COUNT(Dong5),"",IF(OFFSET(TH!N$1,SMALL(Dong5,ROWS($1:247)),)=$E$7,OFFSET(TH!O$1,SMALL(Dong5,ROWS($1:247)),),OFFSET(TH!N$1,SMALL(Dong5,ROWS($1:247)),)))</f>
        <v>1121</v>
      </c>
      <c r="F261" s="384">
        <f ca="1">IF(ROWS($1:247)&gt;COUNT(Dong5),0,IF(OFFSET(TH!N$1,SMALL(Dong5,ROWS($1:247)),)=$E$7,OFFSET(TH!M$1,SMALL(Dong5,ROWS($1:247)),),0))</f>
        <v>5000</v>
      </c>
      <c r="G261" s="382">
        <f ca="1">IF(ROWS($1:247)&gt;COUNT(Dong5),0,IF(OFFSET(TH!O$1,SMALL(Dong5,ROWS($1:247)),)=$E$7,OFFSET(TH!M$1,SMALL(Dong5,ROWS($1:247)),),0))</f>
        <v>0</v>
      </c>
      <c r="H261" s="385">
        <f ca="1">IF(D261&lt;&gt;"",MAX(H260+F261-G261-I260,0),0)</f>
        <v>518933548</v>
      </c>
      <c r="I261" s="385">
        <f ca="1">IF(D261&lt;&gt;"",MAX(I260+G261-H260-F261,0),0)</f>
        <v>0</v>
      </c>
      <c r="J261" s="18">
        <f ca="1">MONTH(A261)</f>
        <v>2</v>
      </c>
    </row>
    <row r="262" spans="1:10" s="18" customFormat="1" ht="18" customHeight="1">
      <c r="A262" s="318">
        <f ca="1">IF(ROWS($1:248)&gt;COUNT(Dong5),"",OFFSET(TH!C$1,SMALL(Dong5,ROWS($1:248)),))</f>
        <v>42418</v>
      </c>
      <c r="B262" s="318" t="str">
        <f ca="1">IF(ROWS($1:248)&gt;COUNT(Dong5),"",OFFSET(TH!D$1,SMALL(Dong5,ROWS($1:248)),))</f>
        <v>C11</v>
      </c>
      <c r="C262" s="318">
        <f ca="1">IF(ROWS($1:248)&gt;COUNT(Dong5),"",OFFSET(TH!E$1,SMALL(Dong5,ROWS($1:248)),))</f>
        <v>42418</v>
      </c>
      <c r="D262" s="383" t="str">
        <f ca="1">IF(ROWS($1:248)&gt;COUNT(Dong5),"",OFFSET(TH!F$1,SMALL(Dong5,ROWS($1:248)),))</f>
        <v>VAT Xăng RON 95</v>
      </c>
      <c r="E262" s="318" t="str">
        <f ca="1">IF(ROWS($1:248)&gt;COUNT(Dong5),"",IF(OFFSET(TH!N$1,SMALL(Dong5,ROWS($1:248)),)=$E$7,OFFSET(TH!O$1,SMALL(Dong5,ROWS($1:248)),),OFFSET(TH!N$1,SMALL(Dong5,ROWS($1:248)),)))</f>
        <v>1111</v>
      </c>
      <c r="F262" s="384">
        <f ca="1">IF(ROWS($1:248)&gt;COUNT(Dong5),0,IF(OFFSET(TH!N$1,SMALL(Dong5,ROWS($1:248)),)=$E$7,OFFSET(TH!M$1,SMALL(Dong5,ROWS($1:248)),),0))</f>
        <v>60239</v>
      </c>
      <c r="G262" s="382">
        <f ca="1">IF(ROWS($1:248)&gt;COUNT(Dong5),0,IF(OFFSET(TH!O$1,SMALL(Dong5,ROWS($1:248)),)=$E$7,OFFSET(TH!M$1,SMALL(Dong5,ROWS($1:248)),),0))</f>
        <v>0</v>
      </c>
      <c r="H262" s="385">
        <f ca="1">IF(D262&lt;&gt;"",MAX(H261+F262-G262-I261,0),0)</f>
        <v>518993787</v>
      </c>
      <c r="I262" s="385">
        <f ca="1">IF(D262&lt;&gt;"",MAX(I261+G262-H261-F262,0),0)</f>
        <v>0</v>
      </c>
      <c r="J262" s="18">
        <f ca="1">MONTH(A262)</f>
        <v>2</v>
      </c>
    </row>
    <row r="263" spans="1:10" s="18" customFormat="1" ht="18" customHeight="1">
      <c r="A263" s="318">
        <f ca="1">IF(ROWS($1:249)&gt;COUNT(Dong5),"",OFFSET(TH!C$1,SMALL(Dong5,ROWS($1:249)),))</f>
        <v>42418</v>
      </c>
      <c r="B263" s="318" t="str">
        <f ca="1">IF(ROWS($1:249)&gt;COUNT(Dong5),"",OFFSET(TH!D$1,SMALL(Dong5,ROWS($1:249)),))</f>
        <v>C12</v>
      </c>
      <c r="C263" s="318">
        <f ca="1">IF(ROWS($1:249)&gt;COUNT(Dong5),"",OFFSET(TH!E$1,SMALL(Dong5,ROWS($1:249)),))</f>
        <v>42418</v>
      </c>
      <c r="D263" s="383" t="str">
        <f ca="1">IF(ROWS($1:249)&gt;COUNT(Dong5),"",OFFSET(TH!F$1,SMALL(Dong5,ROWS($1:249)),))</f>
        <v>VAT Xăng 92</v>
      </c>
      <c r="E263" s="318" t="str">
        <f ca="1">IF(ROWS($1:249)&gt;COUNT(Dong5),"",IF(OFFSET(TH!N$1,SMALL(Dong5,ROWS($1:249)),)=$E$7,OFFSET(TH!O$1,SMALL(Dong5,ROWS($1:249)),),OFFSET(TH!N$1,SMALL(Dong5,ROWS($1:249)),)))</f>
        <v>1111</v>
      </c>
      <c r="F263" s="384">
        <f ca="1">IF(ROWS($1:249)&gt;COUNT(Dong5),0,IF(OFFSET(TH!N$1,SMALL(Dong5,ROWS($1:249)),)=$E$7,OFFSET(TH!M$1,SMALL(Dong5,ROWS($1:249)),),0))</f>
        <v>10698</v>
      </c>
      <c r="G263" s="382">
        <f ca="1">IF(ROWS($1:249)&gt;COUNT(Dong5),0,IF(OFFSET(TH!O$1,SMALL(Dong5,ROWS($1:249)),)=$E$7,OFFSET(TH!M$1,SMALL(Dong5,ROWS($1:249)),),0))</f>
        <v>0</v>
      </c>
      <c r="H263" s="385">
        <f ca="1">IF(D263&lt;&gt;"",MAX(H262+F263-G263-I262,0),0)</f>
        <v>519004485</v>
      </c>
      <c r="I263" s="385">
        <f ca="1">IF(D263&lt;&gt;"",MAX(I262+G263-H262-F263,0),0)</f>
        <v>0</v>
      </c>
      <c r="J263" s="18">
        <f ca="1">MONTH(A263)</f>
        <v>2</v>
      </c>
    </row>
    <row r="264" spans="1:10" s="18" customFormat="1" ht="18" customHeight="1">
      <c r="A264" s="318">
        <f ca="1">IF(ROWS($1:250)&gt;COUNT(Dong5),"",OFFSET(TH!C$1,SMALL(Dong5,ROWS($1:250)),))</f>
        <v>42419</v>
      </c>
      <c r="B264" s="318" t="str">
        <f ca="1">IF(ROWS($1:250)&gt;COUNT(Dong5),"",OFFSET(TH!D$1,SMALL(Dong5,ROWS($1:250)),))</f>
        <v>C13</v>
      </c>
      <c r="C264" s="318">
        <f ca="1">IF(ROWS($1:250)&gt;COUNT(Dong5),"",OFFSET(TH!E$1,SMALL(Dong5,ROWS($1:250)),))</f>
        <v>42419</v>
      </c>
      <c r="D264" s="383" t="str">
        <f ca="1">IF(ROWS($1:250)&gt;COUNT(Dong5),"",OFFSET(TH!F$1,SMALL(Dong5,ROWS($1:250)),))</f>
        <v>VAT Phí chứng từ, phí xếp dỡ</v>
      </c>
      <c r="E264" s="318" t="str">
        <f ca="1">IF(ROWS($1:250)&gt;COUNT(Dong5),"",IF(OFFSET(TH!N$1,SMALL(Dong5,ROWS($1:250)),)=$E$7,OFFSET(TH!O$1,SMALL(Dong5,ROWS($1:250)),),OFFSET(TH!N$1,SMALL(Dong5,ROWS($1:250)),)))</f>
        <v>1111</v>
      </c>
      <c r="F264" s="384">
        <f ca="1">IF(ROWS($1:250)&gt;COUNT(Dong5),0,IF(OFFSET(TH!N$1,SMALL(Dong5,ROWS($1:250)),)=$E$7,OFFSET(TH!M$1,SMALL(Dong5,ROWS($1:250)),),0))</f>
        <v>270263</v>
      </c>
      <c r="G264" s="382">
        <f ca="1">IF(ROWS($1:250)&gt;COUNT(Dong5),0,IF(OFFSET(TH!O$1,SMALL(Dong5,ROWS($1:250)),)=$E$7,OFFSET(TH!M$1,SMALL(Dong5,ROWS($1:250)),),0))</f>
        <v>0</v>
      </c>
      <c r="H264" s="385">
        <f ca="1">IF(D264&lt;&gt;"",MAX(H263+F264-G264-I263,0),0)</f>
        <v>519274748</v>
      </c>
      <c r="I264" s="385">
        <f ca="1">IF(D264&lt;&gt;"",MAX(I263+G264-H263-F264,0),0)</f>
        <v>0</v>
      </c>
      <c r="J264" s="18">
        <f ca="1">MONTH(A264)</f>
        <v>2</v>
      </c>
    </row>
    <row r="265" spans="1:10" s="18" customFormat="1" ht="18" customHeight="1">
      <c r="A265" s="318">
        <f ca="1">IF(ROWS($1:251)&gt;COUNT(Dong5),"",OFFSET(TH!C$1,SMALL(Dong5,ROWS($1:251)),))</f>
        <v>42420</v>
      </c>
      <c r="B265" s="318" t="str">
        <f ca="1">IF(ROWS($1:251)&gt;COUNT(Dong5),"",OFFSET(TH!D$1,SMALL(Dong5,ROWS($1:251)),))</f>
        <v>CTGS</v>
      </c>
      <c r="C265" s="318">
        <f ca="1">IF(ROWS($1:251)&gt;COUNT(Dong5),"",OFFSET(TH!E$1,SMALL(Dong5,ROWS($1:251)),))</f>
        <v>42420</v>
      </c>
      <c r="D265" s="383" t="str">
        <f ca="1">IF(ROWS($1:251)&gt;COUNT(Dong5),"",OFFSET(TH!F$1,SMALL(Dong5,ROWS($1:251)),))</f>
        <v>VAT Phí dịch vụ thanh toán ngoài nước</v>
      </c>
      <c r="E265" s="318" t="str">
        <f ca="1">IF(ROWS($1:251)&gt;COUNT(Dong5),"",IF(OFFSET(TH!N$1,SMALL(Dong5,ROWS($1:251)),)=$E$7,OFFSET(TH!O$1,SMALL(Dong5,ROWS($1:251)),),OFFSET(TH!N$1,SMALL(Dong5,ROWS($1:251)),)))</f>
        <v>131</v>
      </c>
      <c r="F265" s="384">
        <f ca="1">IF(ROWS($1:251)&gt;COUNT(Dong5),0,IF(OFFSET(TH!N$1,SMALL(Dong5,ROWS($1:251)),)=$E$7,OFFSET(TH!M$1,SMALL(Dong5,ROWS($1:251)),),0))</f>
        <v>345007</v>
      </c>
      <c r="G265" s="382">
        <f ca="1">IF(ROWS($1:251)&gt;COUNT(Dong5),0,IF(OFFSET(TH!O$1,SMALL(Dong5,ROWS($1:251)),)=$E$7,OFFSET(TH!M$1,SMALL(Dong5,ROWS($1:251)),),0))</f>
        <v>0</v>
      </c>
      <c r="H265" s="385">
        <f ca="1">IF(D265&lt;&gt;"",MAX(H264+F265-G265-I264,0),0)</f>
        <v>519619755</v>
      </c>
      <c r="I265" s="385">
        <f ca="1">IF(D265&lt;&gt;"",MAX(I264+G265-H264-F265,0),0)</f>
        <v>0</v>
      </c>
      <c r="J265" s="18">
        <f ca="1">MONTH(A265)</f>
        <v>2</v>
      </c>
    </row>
    <row r="266" spans="1:10" s="18" customFormat="1" ht="18" customHeight="1">
      <c r="A266" s="318">
        <f ca="1">IF(ROWS($1:252)&gt;COUNT(Dong5),"",OFFSET(TH!C$1,SMALL(Dong5,ROWS($1:252)),))</f>
        <v>42422</v>
      </c>
      <c r="B266" s="318" t="str">
        <f ca="1">IF(ROWS($1:252)&gt;COUNT(Dong5),"",OFFSET(TH!D$1,SMALL(Dong5,ROWS($1:252)),))</f>
        <v>C14</v>
      </c>
      <c r="C266" s="318">
        <f ca="1">IF(ROWS($1:252)&gt;COUNT(Dong5),"",OFFSET(TH!E$1,SMALL(Dong5,ROWS($1:252)),))</f>
        <v>42422</v>
      </c>
      <c r="D266" s="383" t="str">
        <f ca="1">IF(ROWS($1:252)&gt;COUNT(Dong5),"",OFFSET(TH!F$1,SMALL(Dong5,ROWS($1:252)),))</f>
        <v>VAT Xăng RON 95</v>
      </c>
      <c r="E266" s="318" t="str">
        <f ca="1">IF(ROWS($1:252)&gt;COUNT(Dong5),"",IF(OFFSET(TH!N$1,SMALL(Dong5,ROWS($1:252)),)=$E$7,OFFSET(TH!O$1,SMALL(Dong5,ROWS($1:252)),),OFFSET(TH!N$1,SMALL(Dong5,ROWS($1:252)),)))</f>
        <v>1111</v>
      </c>
      <c r="F266" s="384">
        <f ca="1">IF(ROWS($1:252)&gt;COUNT(Dong5),0,IF(OFFSET(TH!N$1,SMALL(Dong5,ROWS($1:252)),)=$E$7,OFFSET(TH!M$1,SMALL(Dong5,ROWS($1:252)),),0))</f>
        <v>53859</v>
      </c>
      <c r="G266" s="382">
        <f ca="1">IF(ROWS($1:252)&gt;COUNT(Dong5),0,IF(OFFSET(TH!O$1,SMALL(Dong5,ROWS($1:252)),)=$E$7,OFFSET(TH!M$1,SMALL(Dong5,ROWS($1:252)),),0))</f>
        <v>0</v>
      </c>
      <c r="H266" s="385">
        <f ca="1">IF(D266&lt;&gt;"",MAX(H265+F266-G266-I265,0),0)</f>
        <v>519673614</v>
      </c>
      <c r="I266" s="385">
        <f ca="1">IF(D266&lt;&gt;"",MAX(I265+G266-H265-F266,0),0)</f>
        <v>0</v>
      </c>
      <c r="J266" s="18">
        <f ca="1">MONTH(A266)</f>
        <v>2</v>
      </c>
    </row>
    <row r="267" spans="1:10" s="18" customFormat="1" ht="18" customHeight="1">
      <c r="A267" s="318">
        <f ca="1">IF(ROWS($1:253)&gt;COUNT(Dong5),"",OFFSET(TH!C$1,SMALL(Dong5,ROWS($1:253)),))</f>
        <v>42424</v>
      </c>
      <c r="B267" s="318" t="str">
        <f ca="1">IF(ROWS($1:253)&gt;COUNT(Dong5),"",OFFSET(TH!D$1,SMALL(Dong5,ROWS($1:253)),))</f>
        <v>C17</v>
      </c>
      <c r="C267" s="318">
        <f ca="1">IF(ROWS($1:253)&gt;COUNT(Dong5),"",OFFSET(TH!E$1,SMALL(Dong5,ROWS($1:253)),))</f>
        <v>42424</v>
      </c>
      <c r="D267" s="383" t="str">
        <f ca="1">IF(ROWS($1:253)&gt;COUNT(Dong5),"",OFFSET(TH!F$1,SMALL(Dong5,ROWS($1:253)),))</f>
        <v>VAT Dầu DO</v>
      </c>
      <c r="E267" s="318" t="str">
        <f ca="1">IF(ROWS($1:253)&gt;COUNT(Dong5),"",IF(OFFSET(TH!N$1,SMALL(Dong5,ROWS($1:253)),)=$E$7,OFFSET(TH!O$1,SMALL(Dong5,ROWS($1:253)),),OFFSET(TH!N$1,SMALL(Dong5,ROWS($1:253)),)))</f>
        <v>1111</v>
      </c>
      <c r="F267" s="384">
        <f ca="1">IF(ROWS($1:253)&gt;COUNT(Dong5),0,IF(OFFSET(TH!N$1,SMALL(Dong5,ROWS($1:253)),)=$E$7,OFFSET(TH!M$1,SMALL(Dong5,ROWS($1:253)),),0))</f>
        <v>31353</v>
      </c>
      <c r="G267" s="382">
        <f ca="1">IF(ROWS($1:253)&gt;COUNT(Dong5),0,IF(OFFSET(TH!O$1,SMALL(Dong5,ROWS($1:253)),)=$E$7,OFFSET(TH!M$1,SMALL(Dong5,ROWS($1:253)),),0))</f>
        <v>0</v>
      </c>
      <c r="H267" s="385">
        <f ca="1">IF(D267&lt;&gt;"",MAX(H266+F267-G267-I266,0),0)</f>
        <v>519704967</v>
      </c>
      <c r="I267" s="385">
        <f ca="1">IF(D267&lt;&gt;"",MAX(I266+G267-H266-F267,0),0)</f>
        <v>0</v>
      </c>
      <c r="J267" s="18">
        <f ca="1">MONTH(A267)</f>
        <v>2</v>
      </c>
    </row>
    <row r="268" spans="1:10" s="18" customFormat="1" ht="18" customHeight="1">
      <c r="A268" s="318">
        <f ca="1">IF(ROWS($1:254)&gt;COUNT(Dong5),"",OFFSET(TH!C$1,SMALL(Dong5,ROWS($1:254)),))</f>
        <v>42424</v>
      </c>
      <c r="B268" s="318" t="str">
        <f ca="1">IF(ROWS($1:254)&gt;COUNT(Dong5),"",OFFSET(TH!D$1,SMALL(Dong5,ROWS($1:254)),))</f>
        <v>GBN</v>
      </c>
      <c r="C268" s="318">
        <f ca="1">IF(ROWS($1:254)&gt;COUNT(Dong5),"",OFFSET(TH!E$1,SMALL(Dong5,ROWS($1:254)),))</f>
        <v>42424</v>
      </c>
      <c r="D268" s="383" t="str">
        <f ca="1">IF(ROWS($1:254)&gt;COUNT(Dong5),"",OFFSET(TH!F$1,SMALL(Dong5,ROWS($1:254)),))</f>
        <v>Q11 - VAT Phí chuyển tiền</v>
      </c>
      <c r="E268" s="318" t="str">
        <f ca="1">IF(ROWS($1:254)&gt;COUNT(Dong5),"",IF(OFFSET(TH!N$1,SMALL(Dong5,ROWS($1:254)),)=$E$7,OFFSET(TH!O$1,SMALL(Dong5,ROWS($1:254)),),OFFSET(TH!N$1,SMALL(Dong5,ROWS($1:254)),)))</f>
        <v>1121</v>
      </c>
      <c r="F268" s="384">
        <f ca="1">IF(ROWS($1:254)&gt;COUNT(Dong5),0,IF(OFFSET(TH!N$1,SMALL(Dong5,ROWS($1:254)),)=$E$7,OFFSET(TH!M$1,SMALL(Dong5,ROWS($1:254)),),0))</f>
        <v>4500</v>
      </c>
      <c r="G268" s="382">
        <f ca="1">IF(ROWS($1:254)&gt;COUNT(Dong5),0,IF(OFFSET(TH!O$1,SMALL(Dong5,ROWS($1:254)),)=$E$7,OFFSET(TH!M$1,SMALL(Dong5,ROWS($1:254)),),0))</f>
        <v>0</v>
      </c>
      <c r="H268" s="385">
        <f ca="1">IF(D268&lt;&gt;"",MAX(H267+F268-G268-I267,0),0)</f>
        <v>519709467</v>
      </c>
      <c r="I268" s="385">
        <f ca="1">IF(D268&lt;&gt;"",MAX(I267+G268-H267-F268,0),0)</f>
        <v>0</v>
      </c>
      <c r="J268" s="18">
        <f ca="1">MONTH(A268)</f>
        <v>2</v>
      </c>
    </row>
    <row r="269" spans="1:10" s="18" customFormat="1" ht="18" customHeight="1">
      <c r="A269" s="318">
        <f ca="1">IF(ROWS($1:255)&gt;COUNT(Dong5),"",OFFSET(TH!C$1,SMALL(Dong5,ROWS($1:255)),))</f>
        <v>42425</v>
      </c>
      <c r="B269" s="318" t="str">
        <f ca="1">IF(ROWS($1:255)&gt;COUNT(Dong5),"",OFFSET(TH!D$1,SMALL(Dong5,ROWS($1:255)),))</f>
        <v>C19</v>
      </c>
      <c r="C269" s="318">
        <f ca="1">IF(ROWS($1:255)&gt;COUNT(Dong5),"",OFFSET(TH!E$1,SMALL(Dong5,ROWS($1:255)),))</f>
        <v>42425</v>
      </c>
      <c r="D269" s="383" t="str">
        <f ca="1">IF(ROWS($1:255)&gt;COUNT(Dong5),"",OFFSET(TH!F$1,SMALL(Dong5,ROWS($1:255)),))</f>
        <v>VAT Phí dịch vụ bảo vệ T2/2016</v>
      </c>
      <c r="E269" s="318" t="str">
        <f ca="1">IF(ROWS($1:255)&gt;COUNT(Dong5),"",IF(OFFSET(TH!N$1,SMALL(Dong5,ROWS($1:255)),)=$E$7,OFFSET(TH!O$1,SMALL(Dong5,ROWS($1:255)),),OFFSET(TH!N$1,SMALL(Dong5,ROWS($1:255)),)))</f>
        <v>1111</v>
      </c>
      <c r="F269" s="384">
        <f ca="1">IF(ROWS($1:255)&gt;COUNT(Dong5),0,IF(OFFSET(TH!N$1,SMALL(Dong5,ROWS($1:255)),)=$E$7,OFFSET(TH!M$1,SMALL(Dong5,ROWS($1:255)),),0))</f>
        <v>1500000</v>
      </c>
      <c r="G269" s="382">
        <f ca="1">IF(ROWS($1:255)&gt;COUNT(Dong5),0,IF(OFFSET(TH!O$1,SMALL(Dong5,ROWS($1:255)),)=$E$7,OFFSET(TH!M$1,SMALL(Dong5,ROWS($1:255)),),0))</f>
        <v>0</v>
      </c>
      <c r="H269" s="385">
        <f ca="1">IF(D269&lt;&gt;"",MAX(H268+F269-G269-I268,0),0)</f>
        <v>521209467</v>
      </c>
      <c r="I269" s="385">
        <f ca="1">IF(D269&lt;&gt;"",MAX(I268+G269-H268-F269,0),0)</f>
        <v>0</v>
      </c>
      <c r="J269" s="18">
        <f ca="1">MONTH(A269)</f>
        <v>2</v>
      </c>
    </row>
    <row r="270" spans="1:10" s="18" customFormat="1" ht="18" customHeight="1">
      <c r="A270" s="318">
        <f ca="1">IF(ROWS($1:256)&gt;COUNT(Dong5),"",OFFSET(TH!C$1,SMALL(Dong5,ROWS($1:256)),))</f>
        <v>42426</v>
      </c>
      <c r="B270" s="318" t="str">
        <f ca="1">IF(ROWS($1:256)&gt;COUNT(Dong5),"",OFFSET(TH!D$1,SMALL(Dong5,ROWS($1:256)),))</f>
        <v>C20</v>
      </c>
      <c r="C270" s="318">
        <f ca="1">IF(ROWS($1:256)&gt;COUNT(Dong5),"",OFFSET(TH!E$1,SMALL(Dong5,ROWS($1:256)),))</f>
        <v>42426</v>
      </c>
      <c r="D270" s="383" t="str">
        <f ca="1">IF(ROWS($1:256)&gt;COUNT(Dong5),"",OFFSET(TH!F$1,SMALL(Dong5,ROWS($1:256)),))</f>
        <v>VAT Phí kéo cont</v>
      </c>
      <c r="E270" s="318" t="str">
        <f ca="1">IF(ROWS($1:256)&gt;COUNT(Dong5),"",IF(OFFSET(TH!N$1,SMALL(Dong5,ROWS($1:256)),)=$E$7,OFFSET(TH!O$1,SMALL(Dong5,ROWS($1:256)),),OFFSET(TH!N$1,SMALL(Dong5,ROWS($1:256)),)))</f>
        <v>1111</v>
      </c>
      <c r="F270" s="384">
        <f ca="1">IF(ROWS($1:256)&gt;COUNT(Dong5),0,IF(OFFSET(TH!N$1,SMALL(Dong5,ROWS($1:256)),)=$E$7,OFFSET(TH!M$1,SMALL(Dong5,ROWS($1:256)),),0))</f>
        <v>822727</v>
      </c>
      <c r="G270" s="382">
        <f ca="1">IF(ROWS($1:256)&gt;COUNT(Dong5),0,IF(OFFSET(TH!O$1,SMALL(Dong5,ROWS($1:256)),)=$E$7,OFFSET(TH!M$1,SMALL(Dong5,ROWS($1:256)),),0))</f>
        <v>0</v>
      </c>
      <c r="H270" s="385">
        <f ca="1">IF(D270&lt;&gt;"",MAX(H269+F270-G270-I269,0),0)</f>
        <v>522032194</v>
      </c>
      <c r="I270" s="385">
        <f ca="1">IF(D270&lt;&gt;"",MAX(I269+G270-H269-F270,0),0)</f>
        <v>0</v>
      </c>
      <c r="J270" s="18">
        <f ca="1">MONTH(A270)</f>
        <v>2</v>
      </c>
    </row>
    <row r="271" spans="1:10" s="18" customFormat="1" ht="18" customHeight="1">
      <c r="A271" s="318">
        <f ca="1">IF(ROWS($1:257)&gt;COUNT(Dong5),"",OFFSET(TH!C$1,SMALL(Dong5,ROWS($1:257)),))</f>
        <v>42427</v>
      </c>
      <c r="B271" s="318" t="str">
        <f ca="1">IF(ROWS($1:257)&gt;COUNT(Dong5),"",OFFSET(TH!D$1,SMALL(Dong5,ROWS($1:257)),))</f>
        <v>C21B</v>
      </c>
      <c r="C271" s="318">
        <f ca="1">IF(ROWS($1:257)&gt;COUNT(Dong5),"",OFFSET(TH!E$1,SMALL(Dong5,ROWS($1:257)),))</f>
        <v>42427</v>
      </c>
      <c r="D271" s="383" t="str">
        <f ca="1">IF(ROWS($1:257)&gt;COUNT(Dong5),"",OFFSET(TH!F$1,SMALL(Dong5,ROWS($1:257)),))</f>
        <v>VAT Xăng RON 95</v>
      </c>
      <c r="E271" s="318" t="str">
        <f ca="1">IF(ROWS($1:257)&gt;COUNT(Dong5),"",IF(OFFSET(TH!N$1,SMALL(Dong5,ROWS($1:257)),)=$E$7,OFFSET(TH!O$1,SMALL(Dong5,ROWS($1:257)),),OFFSET(TH!N$1,SMALL(Dong5,ROWS($1:257)),)))</f>
        <v>1111</v>
      </c>
      <c r="F271" s="384">
        <f ca="1">IF(ROWS($1:257)&gt;COUNT(Dong5),0,IF(OFFSET(TH!N$1,SMALL(Dong5,ROWS($1:257)),)=$E$7,OFFSET(TH!M$1,SMALL(Dong5,ROWS($1:257)),),0))</f>
        <v>51232</v>
      </c>
      <c r="G271" s="382">
        <f ca="1">IF(ROWS($1:257)&gt;COUNT(Dong5),0,IF(OFFSET(TH!O$1,SMALL(Dong5,ROWS($1:257)),)=$E$7,OFFSET(TH!M$1,SMALL(Dong5,ROWS($1:257)),),0))</f>
        <v>0</v>
      </c>
      <c r="H271" s="385">
        <f ca="1">IF(D271&lt;&gt;"",MAX(H270+F271-G271-I270,0),0)</f>
        <v>522083426</v>
      </c>
      <c r="I271" s="385">
        <f ca="1">IF(D271&lt;&gt;"",MAX(I270+G271-H270-F271,0),0)</f>
        <v>0</v>
      </c>
      <c r="J271" s="18">
        <f ca="1">MONTH(A271)</f>
        <v>2</v>
      </c>
    </row>
    <row r="272" spans="1:10" s="18" customFormat="1" ht="18" customHeight="1">
      <c r="A272" s="318">
        <f ca="1">IF(ROWS($1:258)&gt;COUNT(Dong5),"",OFFSET(TH!C$1,SMALL(Dong5,ROWS($1:258)),))</f>
        <v>42429</v>
      </c>
      <c r="B272" s="318" t="str">
        <f ca="1">IF(ROWS($1:258)&gt;COUNT(Dong5),"",OFFSET(TH!D$1,SMALL(Dong5,ROWS($1:258)),))</f>
        <v>C22</v>
      </c>
      <c r="C272" s="318">
        <f ca="1">IF(ROWS($1:258)&gt;COUNT(Dong5),"",OFFSET(TH!E$1,SMALL(Dong5,ROWS($1:258)),))</f>
        <v>42429</v>
      </c>
      <c r="D272" s="383" t="str">
        <f ca="1">IF(ROWS($1:258)&gt;COUNT(Dong5),"",OFFSET(TH!F$1,SMALL(Dong5,ROWS($1:258)),))</f>
        <v xml:space="preserve">VAT Xăng, dầu </v>
      </c>
      <c r="E272" s="318" t="str">
        <f ca="1">IF(ROWS($1:258)&gt;COUNT(Dong5),"",IF(OFFSET(TH!N$1,SMALL(Dong5,ROWS($1:258)),)=$E$7,OFFSET(TH!O$1,SMALL(Dong5,ROWS($1:258)),),OFFSET(TH!N$1,SMALL(Dong5,ROWS($1:258)),)))</f>
        <v>1111</v>
      </c>
      <c r="F272" s="384">
        <f ca="1">IF(ROWS($1:258)&gt;COUNT(Dong5),0,IF(OFFSET(TH!N$1,SMALL(Dong5,ROWS($1:258)),)=$E$7,OFFSET(TH!M$1,SMALL(Dong5,ROWS($1:258)),),0))</f>
        <v>94591</v>
      </c>
      <c r="G272" s="382">
        <f ca="1">IF(ROWS($1:258)&gt;COUNT(Dong5),0,IF(OFFSET(TH!O$1,SMALL(Dong5,ROWS($1:258)),)=$E$7,OFFSET(TH!M$1,SMALL(Dong5,ROWS($1:258)),),0))</f>
        <v>0</v>
      </c>
      <c r="H272" s="385">
        <f ca="1">IF(D272&lt;&gt;"",MAX(H271+F272-G272-I271,0),0)</f>
        <v>522178017</v>
      </c>
      <c r="I272" s="385">
        <f ca="1">IF(D272&lt;&gt;"",MAX(I271+G272-H271-F272,0),0)</f>
        <v>0</v>
      </c>
      <c r="J272" s="18">
        <f ca="1">MONTH(A272)</f>
        <v>2</v>
      </c>
    </row>
    <row r="273" spans="1:10" s="18" customFormat="1" ht="18" customHeight="1">
      <c r="A273" s="318">
        <f ca="1">IF(ROWS($1:259)&gt;COUNT(Dong5),"",OFFSET(TH!C$1,SMALL(Dong5,ROWS($1:259)),))</f>
        <v>42429</v>
      </c>
      <c r="B273" s="318" t="str">
        <f ca="1">IF(ROWS($1:259)&gt;COUNT(Dong5),"",OFFSET(TH!D$1,SMALL(Dong5,ROWS($1:259)),))</f>
        <v>C24</v>
      </c>
      <c r="C273" s="318">
        <f ca="1">IF(ROWS($1:259)&gt;COUNT(Dong5),"",OFFSET(TH!E$1,SMALL(Dong5,ROWS($1:259)),))</f>
        <v>42429</v>
      </c>
      <c r="D273" s="383" t="str">
        <f ca="1">IF(ROWS($1:259)&gt;COUNT(Dong5),"",OFFSET(TH!F$1,SMALL(Dong5,ROWS($1:259)),))</f>
        <v>VAT Phí kiểm nghiệm khô cá bò tẩm</v>
      </c>
      <c r="E273" s="318" t="str">
        <f ca="1">IF(ROWS($1:259)&gt;COUNT(Dong5),"",IF(OFFSET(TH!N$1,SMALL(Dong5,ROWS($1:259)),)=$E$7,OFFSET(TH!O$1,SMALL(Dong5,ROWS($1:259)),),OFFSET(TH!N$1,SMALL(Dong5,ROWS($1:259)),)))</f>
        <v>1111</v>
      </c>
      <c r="F273" s="384">
        <f ca="1">IF(ROWS($1:259)&gt;COUNT(Dong5),0,IF(OFFSET(TH!N$1,SMALL(Dong5,ROWS($1:259)),)=$E$7,OFFSET(TH!M$1,SMALL(Dong5,ROWS($1:259)),),0))</f>
        <v>25000</v>
      </c>
      <c r="G273" s="382">
        <f ca="1">IF(ROWS($1:259)&gt;COUNT(Dong5),0,IF(OFFSET(TH!O$1,SMALL(Dong5,ROWS($1:259)),)=$E$7,OFFSET(TH!M$1,SMALL(Dong5,ROWS($1:259)),),0))</f>
        <v>0</v>
      </c>
      <c r="H273" s="385">
        <f ca="1">IF(D273&lt;&gt;"",MAX(H272+F273-G273-I272,0),0)</f>
        <v>522203017</v>
      </c>
      <c r="I273" s="385">
        <f ca="1">IF(D273&lt;&gt;"",MAX(I272+G273-H272-F273,0),0)</f>
        <v>0</v>
      </c>
      <c r="J273" s="18">
        <f ca="1">MONTH(A273)</f>
        <v>2</v>
      </c>
    </row>
    <row r="274" spans="1:10" s="18" customFormat="1" ht="18" customHeight="1">
      <c r="A274" s="318">
        <f ca="1">IF(ROWS($1:260)&gt;COUNT(Dong5),"",OFFSET(TH!C$1,SMALL(Dong5,ROWS($1:260)),))</f>
        <v>42429</v>
      </c>
      <c r="B274" s="318" t="str">
        <f ca="1">IF(ROWS($1:260)&gt;COUNT(Dong5),"",OFFSET(TH!D$1,SMALL(Dong5,ROWS($1:260)),))</f>
        <v>C25</v>
      </c>
      <c r="C274" s="318">
        <f ca="1">IF(ROWS($1:260)&gt;COUNT(Dong5),"",OFFSET(TH!E$1,SMALL(Dong5,ROWS($1:260)),))</f>
        <v>42429</v>
      </c>
      <c r="D274" s="383" t="str">
        <f ca="1">IF(ROWS($1:260)&gt;COUNT(Dong5),"",OFFSET(TH!F$1,SMALL(Dong5,ROWS($1:260)),))</f>
        <v>VAT Xét nghiệm nước</v>
      </c>
      <c r="E274" s="318" t="str">
        <f ca="1">IF(ROWS($1:260)&gt;COUNT(Dong5),"",IF(OFFSET(TH!N$1,SMALL(Dong5,ROWS($1:260)),)=$E$7,OFFSET(TH!O$1,SMALL(Dong5,ROWS($1:260)),),OFFSET(TH!N$1,SMALL(Dong5,ROWS($1:260)),)))</f>
        <v>1111</v>
      </c>
      <c r="F274" s="384">
        <f ca="1">IF(ROWS($1:260)&gt;COUNT(Dong5),0,IF(OFFSET(TH!N$1,SMALL(Dong5,ROWS($1:260)),)=$E$7,OFFSET(TH!M$1,SMALL(Dong5,ROWS($1:260)),),0))</f>
        <v>146182</v>
      </c>
      <c r="G274" s="382">
        <f ca="1">IF(ROWS($1:260)&gt;COUNT(Dong5),0,IF(OFFSET(TH!O$1,SMALL(Dong5,ROWS($1:260)),)=$E$7,OFFSET(TH!M$1,SMALL(Dong5,ROWS($1:260)),),0))</f>
        <v>0</v>
      </c>
      <c r="H274" s="385">
        <f ca="1">IF(D274&lt;&gt;"",MAX(H273+F274-G274-I273,0),0)</f>
        <v>522349199</v>
      </c>
      <c r="I274" s="385">
        <f ca="1">IF(D274&lt;&gt;"",MAX(I273+G274-H273-F274,0),0)</f>
        <v>0</v>
      </c>
      <c r="J274" s="18">
        <f ca="1">MONTH(A274)</f>
        <v>2</v>
      </c>
    </row>
    <row r="275" spans="1:10" s="18" customFormat="1" ht="18" customHeight="1">
      <c r="A275" s="318">
        <f ca="1">IF(ROWS($1:261)&gt;COUNT(Dong5),"",OFFSET(TH!C$1,SMALL(Dong5,ROWS($1:261)),))</f>
        <v>42629</v>
      </c>
      <c r="B275" s="318" t="str">
        <f ca="1">IF(ROWS($1:261)&gt;COUNT(Dong5),"",OFFSET(TH!D$1,SMALL(Dong5,ROWS($1:261)),))</f>
        <v>CTGS</v>
      </c>
      <c r="C275" s="318">
        <f ca="1">IF(ROWS($1:261)&gt;COUNT(Dong5),"",OFFSET(TH!E$1,SMALL(Dong5,ROWS($1:261)),))</f>
        <v>42629</v>
      </c>
      <c r="D275" s="383" t="str">
        <f ca="1">IF(ROWS($1:261)&gt;COUNT(Dong5),"",OFFSET(TH!F$1,SMALL(Dong5,ROWS($1:261)),))</f>
        <v>VAT Tiền điện kỳ 2 T9/16</v>
      </c>
      <c r="E275" s="318" t="str">
        <f ca="1">IF(ROWS($1:261)&gt;COUNT(Dong5),"",IF(OFFSET(TH!N$1,SMALL(Dong5,ROWS($1:261)),)=$E$7,OFFSET(TH!O$1,SMALL(Dong5,ROWS($1:261)),),OFFSET(TH!N$1,SMALL(Dong5,ROWS($1:261)),)))</f>
        <v>331</v>
      </c>
      <c r="F275" s="384">
        <f ca="1">IF(ROWS($1:261)&gt;COUNT(Dong5),0,IF(OFFSET(TH!N$1,SMALL(Dong5,ROWS($1:261)),)=$E$7,OFFSET(TH!M$1,SMALL(Dong5,ROWS($1:261)),),0))</f>
        <v>2196080</v>
      </c>
      <c r="G275" s="382">
        <f ca="1">IF(ROWS($1:261)&gt;COUNT(Dong5),0,IF(OFFSET(TH!O$1,SMALL(Dong5,ROWS($1:261)),)=$E$7,OFFSET(TH!M$1,SMALL(Dong5,ROWS($1:261)),),0))</f>
        <v>0</v>
      </c>
      <c r="H275" s="385">
        <f ca="1">IF(D275&lt;&gt;"",MAX(H274+F275-G275-I274,0),0)</f>
        <v>524545279</v>
      </c>
      <c r="I275" s="385">
        <f ca="1">IF(D275&lt;&gt;"",MAX(I274+G275-H274-F275,0),0)</f>
        <v>0</v>
      </c>
      <c r="J275" s="18">
        <f ca="1">MONTH(A275)</f>
        <v>9</v>
      </c>
    </row>
    <row r="276" spans="1:10" s="18" customFormat="1" ht="18" customHeight="1">
      <c r="A276" s="318">
        <f ca="1">IF(ROWS($1:262)&gt;COUNT(Dong5),"",OFFSET(TH!C$1,SMALL(Dong5,ROWS($1:262)),))</f>
        <v>42430</v>
      </c>
      <c r="B276" s="318" t="str">
        <f ca="1">IF(ROWS($1:262)&gt;COUNT(Dong5),"",OFFSET(TH!D$1,SMALL(Dong5,ROWS($1:262)),))</f>
        <v>C01</v>
      </c>
      <c r="C276" s="318">
        <f ca="1">IF(ROWS($1:262)&gt;COUNT(Dong5),"",OFFSET(TH!E$1,SMALL(Dong5,ROWS($1:262)),))</f>
        <v>42400</v>
      </c>
      <c r="D276" s="383" t="str">
        <f ca="1">IF(ROWS($1:262)&gt;COUNT(Dong5),"",OFFSET(TH!F$1,SMALL(Dong5,ROWS($1:262)),))</f>
        <v>VAT Cước CPN T1 + T2</v>
      </c>
      <c r="E276" s="318" t="str">
        <f ca="1">IF(ROWS($1:262)&gt;COUNT(Dong5),"",IF(OFFSET(TH!N$1,SMALL(Dong5,ROWS($1:262)),)=$E$7,OFFSET(TH!O$1,SMALL(Dong5,ROWS($1:262)),),OFFSET(TH!N$1,SMALL(Dong5,ROWS($1:262)),)))</f>
        <v>1111</v>
      </c>
      <c r="F276" s="384">
        <f ca="1">IF(ROWS($1:262)&gt;COUNT(Dong5),0,IF(OFFSET(TH!N$1,SMALL(Dong5,ROWS($1:262)),)=$E$7,OFFSET(TH!M$1,SMALL(Dong5,ROWS($1:262)),),0))</f>
        <v>8071</v>
      </c>
      <c r="G276" s="382">
        <f ca="1">IF(ROWS($1:262)&gt;COUNT(Dong5),0,IF(OFFSET(TH!O$1,SMALL(Dong5,ROWS($1:262)),)=$E$7,OFFSET(TH!M$1,SMALL(Dong5,ROWS($1:262)),),0))</f>
        <v>0</v>
      </c>
      <c r="H276" s="385">
        <f ca="1">IF(D276&lt;&gt;"",MAX(H275+F276-G276-I275,0),0)</f>
        <v>524553350</v>
      </c>
      <c r="I276" s="385">
        <f ca="1">IF(D276&lt;&gt;"",MAX(I275+G276-H275-F276,0),0)</f>
        <v>0</v>
      </c>
      <c r="J276" s="18">
        <f ca="1">MONTH(A276)</f>
        <v>3</v>
      </c>
    </row>
    <row r="277" spans="1:10" s="18" customFormat="1" ht="18" customHeight="1">
      <c r="A277" s="318">
        <f ca="1">IF(ROWS($1:263)&gt;COUNT(Dong5),"",OFFSET(TH!C$1,SMALL(Dong5,ROWS($1:263)),))</f>
        <v>42430</v>
      </c>
      <c r="B277" s="318" t="str">
        <f ca="1">IF(ROWS($1:263)&gt;COUNT(Dong5),"",OFFSET(TH!D$1,SMALL(Dong5,ROWS($1:263)),))</f>
        <v>C02</v>
      </c>
      <c r="C277" s="318">
        <f ca="1">IF(ROWS($1:263)&gt;COUNT(Dong5),"",OFFSET(TH!E$1,SMALL(Dong5,ROWS($1:263)),))</f>
        <v>42395</v>
      </c>
      <c r="D277" s="383" t="str">
        <f ca="1">IF(ROWS($1:263)&gt;COUNT(Dong5),"",OFFSET(TH!F$1,SMALL(Dong5,ROWS($1:263)),))</f>
        <v>VAT Cước cấp cont</v>
      </c>
      <c r="E277" s="318" t="str">
        <f ca="1">IF(ROWS($1:263)&gt;COUNT(Dong5),"",IF(OFFSET(TH!N$1,SMALL(Dong5,ROWS($1:263)),)=$E$7,OFFSET(TH!O$1,SMALL(Dong5,ROWS($1:263)),),OFFSET(TH!N$1,SMALL(Dong5,ROWS($1:263)),)))</f>
        <v>1111</v>
      </c>
      <c r="F277" s="384">
        <f ca="1">IF(ROWS($1:263)&gt;COUNT(Dong5),0,IF(OFFSET(TH!N$1,SMALL(Dong5,ROWS($1:263)),)=$E$7,OFFSET(TH!M$1,SMALL(Dong5,ROWS($1:263)),),0))</f>
        <v>73182</v>
      </c>
      <c r="G277" s="382">
        <f ca="1">IF(ROWS($1:263)&gt;COUNT(Dong5),0,IF(OFFSET(TH!O$1,SMALL(Dong5,ROWS($1:263)),)=$E$7,OFFSET(TH!M$1,SMALL(Dong5,ROWS($1:263)),),0))</f>
        <v>0</v>
      </c>
      <c r="H277" s="385">
        <f ca="1">IF(D277&lt;&gt;"",MAX(H276+F277-G277-I276,0),0)</f>
        <v>524626532</v>
      </c>
      <c r="I277" s="385">
        <f ca="1">IF(D277&lt;&gt;"",MAX(I276+G277-H276-F277,0),0)</f>
        <v>0</v>
      </c>
      <c r="J277" s="18">
        <f ca="1">MONTH(A277)</f>
        <v>3</v>
      </c>
    </row>
    <row r="278" spans="1:10" s="18" customFormat="1" ht="18" customHeight="1">
      <c r="A278" s="318">
        <f ca="1">IF(ROWS($1:264)&gt;COUNT(Dong5),"",OFFSET(TH!C$1,SMALL(Dong5,ROWS($1:264)),))</f>
        <v>42674</v>
      </c>
      <c r="B278" s="318" t="str">
        <f ca="1">IF(ROWS($1:264)&gt;COUNT(Dong5),"",OFFSET(TH!D$1,SMALL(Dong5,ROWS($1:264)),))</f>
        <v>CTGS</v>
      </c>
      <c r="C278" s="318">
        <f ca="1">IF(ROWS($1:264)&gt;COUNT(Dong5),"",OFFSET(TH!E$1,SMALL(Dong5,ROWS($1:264)),))</f>
        <v>42613</v>
      </c>
      <c r="D278" s="383" t="str">
        <f ca="1">IF(ROWS($1:264)&gt;COUNT(Dong5),"",OFFSET(TH!F$1,SMALL(Dong5,ROWS($1:264)),))</f>
        <v>VAT Nước sinh hoạt, phí cơ sở hạ tầng</v>
      </c>
      <c r="E278" s="318" t="str">
        <f ca="1">IF(ROWS($1:264)&gt;COUNT(Dong5),"",IF(OFFSET(TH!N$1,SMALL(Dong5,ROWS($1:264)),)=$E$7,OFFSET(TH!O$1,SMALL(Dong5,ROWS($1:264)),),OFFSET(TH!N$1,SMALL(Dong5,ROWS($1:264)),)))</f>
        <v>331</v>
      </c>
      <c r="F278" s="384">
        <f ca="1">IF(ROWS($1:264)&gt;COUNT(Dong5),0,IF(OFFSET(TH!N$1,SMALL(Dong5,ROWS($1:264)),)=$E$7,OFFSET(TH!M$1,SMALL(Dong5,ROWS($1:264)),),0))</f>
        <v>505306</v>
      </c>
      <c r="G278" s="382">
        <f ca="1">IF(ROWS($1:264)&gt;COUNT(Dong5),0,IF(OFFSET(TH!O$1,SMALL(Dong5,ROWS($1:264)),)=$E$7,OFFSET(TH!M$1,SMALL(Dong5,ROWS($1:264)),),0))</f>
        <v>0</v>
      </c>
      <c r="H278" s="385">
        <f ca="1">IF(D278&lt;&gt;"",MAX(H277+F278-G278-I277,0),0)</f>
        <v>525131838</v>
      </c>
      <c r="I278" s="385">
        <f ca="1">IF(D278&lt;&gt;"",MAX(I277+G278-H277-F278,0),0)</f>
        <v>0</v>
      </c>
      <c r="J278" s="18">
        <f ca="1">MONTH(A278)</f>
        <v>10</v>
      </c>
    </row>
    <row r="279" spans="1:10" s="18" customFormat="1" ht="18" customHeight="1">
      <c r="A279" s="318">
        <f ca="1">IF(ROWS($1:265)&gt;COUNT(Dong5),"",OFFSET(TH!C$1,SMALL(Dong5,ROWS($1:265)),))</f>
        <v>42430</v>
      </c>
      <c r="B279" s="318" t="str">
        <f ca="1">IF(ROWS($1:265)&gt;COUNT(Dong5),"",OFFSET(TH!D$1,SMALL(Dong5,ROWS($1:265)),))</f>
        <v>C04</v>
      </c>
      <c r="C279" s="318">
        <f ca="1">IF(ROWS($1:265)&gt;COUNT(Dong5),"",OFFSET(TH!E$1,SMALL(Dong5,ROWS($1:265)),))</f>
        <v>42372</v>
      </c>
      <c r="D279" s="383" t="str">
        <f ca="1">IF(ROWS($1:265)&gt;COUNT(Dong5),"",OFFSET(TH!F$1,SMALL(Dong5,ROWS($1:265)),))</f>
        <v>VAT Kính trắng 5mm</v>
      </c>
      <c r="E279" s="318" t="str">
        <f ca="1">IF(ROWS($1:265)&gt;COUNT(Dong5),"",IF(OFFSET(TH!N$1,SMALL(Dong5,ROWS($1:265)),)=$E$7,OFFSET(TH!O$1,SMALL(Dong5,ROWS($1:265)),),OFFSET(TH!N$1,SMALL(Dong5,ROWS($1:265)),)))</f>
        <v>1111</v>
      </c>
      <c r="F279" s="384">
        <f ca="1">IF(ROWS($1:265)&gt;COUNT(Dong5),0,IF(OFFSET(TH!N$1,SMALL(Dong5,ROWS($1:265)),)=$E$7,OFFSET(TH!M$1,SMALL(Dong5,ROWS($1:265)),),0))</f>
        <v>1727250</v>
      </c>
      <c r="G279" s="382">
        <f ca="1">IF(ROWS($1:265)&gt;COUNT(Dong5),0,IF(OFFSET(TH!O$1,SMALL(Dong5,ROWS($1:265)),)=$E$7,OFFSET(TH!M$1,SMALL(Dong5,ROWS($1:265)),),0))</f>
        <v>0</v>
      </c>
      <c r="H279" s="385">
        <f ca="1">IF(D279&lt;&gt;"",MAX(H278+F279-G279-I278,0),0)</f>
        <v>526859088</v>
      </c>
      <c r="I279" s="385">
        <f ca="1">IF(D279&lt;&gt;"",MAX(I278+G279-H278-F279,0),0)</f>
        <v>0</v>
      </c>
      <c r="J279" s="18">
        <f ca="1">MONTH(A279)</f>
        <v>3</v>
      </c>
    </row>
    <row r="280" spans="1:10" s="18" customFormat="1" ht="18" customHeight="1">
      <c r="A280" s="318">
        <f ca="1">IF(ROWS($1:266)&gt;COUNT(Dong5),"",OFFSET(TH!C$1,SMALL(Dong5,ROWS($1:266)),))</f>
        <v>42430</v>
      </c>
      <c r="B280" s="318" t="str">
        <f ca="1">IF(ROWS($1:266)&gt;COUNT(Dong5),"",OFFSET(TH!D$1,SMALL(Dong5,ROWS($1:266)),))</f>
        <v>C05</v>
      </c>
      <c r="C280" s="318">
        <f ca="1">IF(ROWS($1:266)&gt;COUNT(Dong5),"",OFFSET(TH!E$1,SMALL(Dong5,ROWS($1:266)),))</f>
        <v>42416</v>
      </c>
      <c r="D280" s="383" t="str">
        <f ca="1">IF(ROWS($1:266)&gt;COUNT(Dong5),"",OFFSET(TH!F$1,SMALL(Dong5,ROWS($1:266)),))</f>
        <v>VAT Cước vận chuyển</v>
      </c>
      <c r="E280" s="318" t="str">
        <f ca="1">IF(ROWS($1:266)&gt;COUNT(Dong5),"",IF(OFFSET(TH!N$1,SMALL(Dong5,ROWS($1:266)),)=$E$7,OFFSET(TH!O$1,SMALL(Dong5,ROWS($1:266)),),OFFSET(TH!N$1,SMALL(Dong5,ROWS($1:266)),)))</f>
        <v>1111</v>
      </c>
      <c r="F280" s="384">
        <f ca="1">IF(ROWS($1:266)&gt;COUNT(Dong5),0,IF(OFFSET(TH!N$1,SMALL(Dong5,ROWS($1:266)),)=$E$7,OFFSET(TH!M$1,SMALL(Dong5,ROWS($1:266)),),0))</f>
        <v>1200000</v>
      </c>
      <c r="G280" s="382">
        <f ca="1">IF(ROWS($1:266)&gt;COUNT(Dong5),0,IF(OFFSET(TH!O$1,SMALL(Dong5,ROWS($1:266)),)=$E$7,OFFSET(TH!M$1,SMALL(Dong5,ROWS($1:266)),),0))</f>
        <v>0</v>
      </c>
      <c r="H280" s="385">
        <f ca="1">IF(D280&lt;&gt;"",MAX(H279+F280-G280-I279,0),0)</f>
        <v>528059088</v>
      </c>
      <c r="I280" s="385">
        <f ca="1">IF(D280&lt;&gt;"",MAX(I279+G280-H279-F280,0),0)</f>
        <v>0</v>
      </c>
      <c r="J280" s="18">
        <f ca="1">MONTH(A280)</f>
        <v>3</v>
      </c>
    </row>
    <row r="281" spans="1:10" s="18" customFormat="1" ht="18" customHeight="1">
      <c r="A281" s="318">
        <f ca="1">IF(ROWS($1:267)&gt;COUNT(Dong5),"",OFFSET(TH!C$1,SMALL(Dong5,ROWS($1:267)),))</f>
        <v>42430</v>
      </c>
      <c r="B281" s="318" t="str">
        <f ca="1">IF(ROWS($1:267)&gt;COUNT(Dong5),"",OFFSET(TH!D$1,SMALL(Dong5,ROWS($1:267)),))</f>
        <v>C07</v>
      </c>
      <c r="C281" s="318">
        <f ca="1">IF(ROWS($1:267)&gt;COUNT(Dong5),"",OFFSET(TH!E$1,SMALL(Dong5,ROWS($1:267)),))</f>
        <v>42430</v>
      </c>
      <c r="D281" s="383" t="str">
        <f ca="1">IF(ROWS($1:267)&gt;COUNT(Dong5),"",OFFSET(TH!F$1,SMALL(Dong5,ROWS($1:267)),))</f>
        <v>VAT Dầu DO</v>
      </c>
      <c r="E281" s="318" t="str">
        <f ca="1">IF(ROWS($1:267)&gt;COUNT(Dong5),"",IF(OFFSET(TH!N$1,SMALL(Dong5,ROWS($1:267)),)=$E$7,OFFSET(TH!O$1,SMALL(Dong5,ROWS($1:267)),),OFFSET(TH!N$1,SMALL(Dong5,ROWS($1:267)),)))</f>
        <v>1111</v>
      </c>
      <c r="F281" s="384">
        <f ca="1">IF(ROWS($1:267)&gt;COUNT(Dong5),0,IF(OFFSET(TH!N$1,SMALL(Dong5,ROWS($1:267)),)=$E$7,OFFSET(TH!M$1,SMALL(Dong5,ROWS($1:267)),),0))</f>
        <v>43545</v>
      </c>
      <c r="G281" s="382">
        <f ca="1">IF(ROWS($1:267)&gt;COUNT(Dong5),0,IF(OFFSET(TH!O$1,SMALL(Dong5,ROWS($1:267)),)=$E$7,OFFSET(TH!M$1,SMALL(Dong5,ROWS($1:267)),),0))</f>
        <v>0</v>
      </c>
      <c r="H281" s="385">
        <f ca="1">IF(D281&lt;&gt;"",MAX(H280+F281-G281-I280,0),0)</f>
        <v>528102633</v>
      </c>
      <c r="I281" s="385">
        <f ca="1">IF(D281&lt;&gt;"",MAX(I280+G281-H280-F281,0),0)</f>
        <v>0</v>
      </c>
      <c r="J281" s="18">
        <f ca="1">MONTH(A281)</f>
        <v>3</v>
      </c>
    </row>
    <row r="282" spans="1:10" s="18" customFormat="1" ht="18" customHeight="1">
      <c r="A282" s="318">
        <f ca="1">IF(ROWS($1:268)&gt;COUNT(Dong5),"",OFFSET(TH!C$1,SMALL(Dong5,ROWS($1:268)),))</f>
        <v>42430</v>
      </c>
      <c r="B282" s="318" t="str">
        <f ca="1">IF(ROWS($1:268)&gt;COUNT(Dong5),"",OFFSET(TH!D$1,SMALL(Dong5,ROWS($1:268)),))</f>
        <v>C08</v>
      </c>
      <c r="C282" s="318">
        <f ca="1">IF(ROWS($1:268)&gt;COUNT(Dong5),"",OFFSET(TH!E$1,SMALL(Dong5,ROWS($1:268)),))</f>
        <v>42430</v>
      </c>
      <c r="D282" s="383" t="str">
        <f ca="1">IF(ROWS($1:268)&gt;COUNT(Dong5),"",OFFSET(TH!F$1,SMALL(Dong5,ROWS($1:268)),))</f>
        <v xml:space="preserve">VAT Hũ ly trung </v>
      </c>
      <c r="E282" s="318" t="str">
        <f ca="1">IF(ROWS($1:268)&gt;COUNT(Dong5),"",IF(OFFSET(TH!N$1,SMALL(Dong5,ROWS($1:268)),)=$E$7,OFFSET(TH!O$1,SMALL(Dong5,ROWS($1:268)),),OFFSET(TH!N$1,SMALL(Dong5,ROWS($1:268)),)))</f>
        <v>1111</v>
      </c>
      <c r="F282" s="384">
        <f ca="1">IF(ROWS($1:268)&gt;COUNT(Dong5),0,IF(OFFSET(TH!N$1,SMALL(Dong5,ROWS($1:268)),)=$E$7,OFFSET(TH!M$1,SMALL(Dong5,ROWS($1:268)),),0))</f>
        <v>169750</v>
      </c>
      <c r="G282" s="382">
        <f ca="1">IF(ROWS($1:268)&gt;COUNT(Dong5),0,IF(OFFSET(TH!O$1,SMALL(Dong5,ROWS($1:268)),)=$E$7,OFFSET(TH!M$1,SMALL(Dong5,ROWS($1:268)),),0))</f>
        <v>0</v>
      </c>
      <c r="H282" s="385">
        <f ca="1">IF(D282&lt;&gt;"",MAX(H281+F282-G282-I281,0),0)</f>
        <v>528272383</v>
      </c>
      <c r="I282" s="385">
        <f ca="1">IF(D282&lt;&gt;"",MAX(I281+G282-H281-F282,0),0)</f>
        <v>0</v>
      </c>
      <c r="J282" s="18">
        <f ca="1">MONTH(A282)</f>
        <v>3</v>
      </c>
    </row>
    <row r="283" spans="1:10" s="18" customFormat="1" ht="18" customHeight="1">
      <c r="A283" s="318">
        <f ca="1">IF(ROWS($1:269)&gt;COUNT(Dong5),"",OFFSET(TH!C$1,SMALL(Dong5,ROWS($1:269)),))</f>
        <v>42430</v>
      </c>
      <c r="B283" s="318" t="str">
        <f ca="1">IF(ROWS($1:269)&gt;COUNT(Dong5),"",OFFSET(TH!D$1,SMALL(Dong5,ROWS($1:269)),))</f>
        <v>GBN</v>
      </c>
      <c r="C283" s="318">
        <f ca="1">IF(ROWS($1:269)&gt;COUNT(Dong5),"",OFFSET(TH!E$1,SMALL(Dong5,ROWS($1:269)),))</f>
        <v>42430</v>
      </c>
      <c r="D283" s="383" t="str">
        <f ca="1">IF(ROWS($1:269)&gt;COUNT(Dong5),"",OFFSET(TH!F$1,SMALL(Dong5,ROWS($1:269)),))</f>
        <v>VAT Phí chuyển tiền</v>
      </c>
      <c r="E283" s="318" t="str">
        <f ca="1">IF(ROWS($1:269)&gt;COUNT(Dong5),"",IF(OFFSET(TH!N$1,SMALL(Dong5,ROWS($1:269)),)=$E$7,OFFSET(TH!O$1,SMALL(Dong5,ROWS($1:269)),),OFFSET(TH!N$1,SMALL(Dong5,ROWS($1:269)),)))</f>
        <v>1121</v>
      </c>
      <c r="F283" s="384">
        <f ca="1">IF(ROWS($1:269)&gt;COUNT(Dong5),0,IF(OFFSET(TH!N$1,SMALL(Dong5,ROWS($1:269)),)=$E$7,OFFSET(TH!M$1,SMALL(Dong5,ROWS($1:269)),),0))</f>
        <v>4500</v>
      </c>
      <c r="G283" s="382">
        <f ca="1">IF(ROWS($1:269)&gt;COUNT(Dong5),0,IF(OFFSET(TH!O$1,SMALL(Dong5,ROWS($1:269)),)=$E$7,OFFSET(TH!M$1,SMALL(Dong5,ROWS($1:269)),),0))</f>
        <v>0</v>
      </c>
      <c r="H283" s="385">
        <f ca="1">IF(D283&lt;&gt;"",MAX(H282+F283-G283-I282,0),0)</f>
        <v>528276883</v>
      </c>
      <c r="I283" s="385">
        <f ca="1">IF(D283&lt;&gt;"",MAX(I282+G283-H282-F283,0),0)</f>
        <v>0</v>
      </c>
      <c r="J283" s="18">
        <f ca="1">MONTH(A283)</f>
        <v>3</v>
      </c>
    </row>
    <row r="284" spans="1:10" s="18" customFormat="1" ht="18" customHeight="1">
      <c r="A284" s="318">
        <f ca="1">IF(ROWS($1:270)&gt;COUNT(Dong5),"",OFFSET(TH!C$1,SMALL(Dong5,ROWS($1:270)),))</f>
        <v>42431</v>
      </c>
      <c r="B284" s="318" t="str">
        <f ca="1">IF(ROWS($1:270)&gt;COUNT(Dong5),"",OFFSET(TH!D$1,SMALL(Dong5,ROWS($1:270)),))</f>
        <v>C10</v>
      </c>
      <c r="C284" s="318">
        <f ca="1">IF(ROWS($1:270)&gt;COUNT(Dong5),"",OFFSET(TH!E$1,SMALL(Dong5,ROWS($1:270)),))</f>
        <v>42373</v>
      </c>
      <c r="D284" s="383" t="str">
        <f ca="1">IF(ROWS($1:270)&gt;COUNT(Dong5),"",OFFSET(TH!F$1,SMALL(Dong5,ROWS($1:270)),))</f>
        <v>VAT Kính trắng 5mm</v>
      </c>
      <c r="E284" s="318" t="str">
        <f ca="1">IF(ROWS($1:270)&gt;COUNT(Dong5),"",IF(OFFSET(TH!N$1,SMALL(Dong5,ROWS($1:270)),)=$E$7,OFFSET(TH!O$1,SMALL(Dong5,ROWS($1:270)),),OFFSET(TH!N$1,SMALL(Dong5,ROWS($1:270)),)))</f>
        <v>1111</v>
      </c>
      <c r="F284" s="384">
        <f ca="1">IF(ROWS($1:270)&gt;COUNT(Dong5),0,IF(OFFSET(TH!N$1,SMALL(Dong5,ROWS($1:270)),)=$E$7,OFFSET(TH!M$1,SMALL(Dong5,ROWS($1:270)),),0))</f>
        <v>1682250</v>
      </c>
      <c r="G284" s="382">
        <f ca="1">IF(ROWS($1:270)&gt;COUNT(Dong5),0,IF(OFFSET(TH!O$1,SMALL(Dong5,ROWS($1:270)),)=$E$7,OFFSET(TH!M$1,SMALL(Dong5,ROWS($1:270)),),0))</f>
        <v>0</v>
      </c>
      <c r="H284" s="385">
        <f ca="1">IF(D284&lt;&gt;"",MAX(H283+F284-G284-I283,0),0)</f>
        <v>529959133</v>
      </c>
      <c r="I284" s="385">
        <f ca="1">IF(D284&lt;&gt;"",MAX(I283+G284-H283-F284,0),0)</f>
        <v>0</v>
      </c>
      <c r="J284" s="18">
        <f ca="1">MONTH(A284)</f>
        <v>3</v>
      </c>
    </row>
    <row r="285" spans="1:10" s="18" customFormat="1" ht="18" customHeight="1">
      <c r="A285" s="318">
        <f ca="1">IF(ROWS($1:271)&gt;COUNT(Dong5),"",OFFSET(TH!C$1,SMALL(Dong5,ROWS($1:271)),))</f>
        <v>42431</v>
      </c>
      <c r="B285" s="318" t="str">
        <f ca="1">IF(ROWS($1:271)&gt;COUNT(Dong5),"",OFFSET(TH!D$1,SMALL(Dong5,ROWS($1:271)),))</f>
        <v>C11</v>
      </c>
      <c r="C285" s="318">
        <f ca="1">IF(ROWS($1:271)&gt;COUNT(Dong5),"",OFFSET(TH!E$1,SMALL(Dong5,ROWS($1:271)),))</f>
        <v>42375</v>
      </c>
      <c r="D285" s="383" t="str">
        <f ca="1">IF(ROWS($1:271)&gt;COUNT(Dong5),"",OFFSET(TH!F$1,SMALL(Dong5,ROWS($1:271)),))</f>
        <v xml:space="preserve">VAT Nhôm thanh </v>
      </c>
      <c r="E285" s="318" t="str">
        <f ca="1">IF(ROWS($1:271)&gt;COUNT(Dong5),"",IF(OFFSET(TH!N$1,SMALL(Dong5,ROWS($1:271)),)=$E$7,OFFSET(TH!O$1,SMALL(Dong5,ROWS($1:271)),),OFFSET(TH!N$1,SMALL(Dong5,ROWS($1:271)),)))</f>
        <v>1111</v>
      </c>
      <c r="F285" s="384">
        <f ca="1">IF(ROWS($1:271)&gt;COUNT(Dong5),0,IF(OFFSET(TH!N$1,SMALL(Dong5,ROWS($1:271)),)=$E$7,OFFSET(TH!M$1,SMALL(Dong5,ROWS($1:271)),),0))</f>
        <v>1809192</v>
      </c>
      <c r="G285" s="382">
        <f ca="1">IF(ROWS($1:271)&gt;COUNT(Dong5),0,IF(OFFSET(TH!O$1,SMALL(Dong5,ROWS($1:271)),)=$E$7,OFFSET(TH!M$1,SMALL(Dong5,ROWS($1:271)),),0))</f>
        <v>0</v>
      </c>
      <c r="H285" s="385">
        <f ca="1">IF(D285&lt;&gt;"",MAX(H284+F285-G285-I284,0),0)</f>
        <v>531768325</v>
      </c>
      <c r="I285" s="385">
        <f ca="1">IF(D285&lt;&gt;"",MAX(I284+G285-H284-F285,0),0)</f>
        <v>0</v>
      </c>
      <c r="J285" s="18">
        <f ca="1">MONTH(A285)</f>
        <v>3</v>
      </c>
    </row>
    <row r="286" spans="1:10" s="18" customFormat="1" ht="18" customHeight="1">
      <c r="A286" s="318">
        <f ca="1">IF(ROWS($1:272)&gt;COUNT(Dong5),"",OFFSET(TH!C$1,SMALL(Dong5,ROWS($1:272)),))</f>
        <v>42431</v>
      </c>
      <c r="B286" s="318" t="str">
        <f ca="1">IF(ROWS($1:272)&gt;COUNT(Dong5),"",OFFSET(TH!D$1,SMALL(Dong5,ROWS($1:272)),))</f>
        <v>C12</v>
      </c>
      <c r="C286" s="318">
        <f ca="1">IF(ROWS($1:272)&gt;COUNT(Dong5),"",OFFSET(TH!E$1,SMALL(Dong5,ROWS($1:272)),))</f>
        <v>42375</v>
      </c>
      <c r="D286" s="383" t="str">
        <f ca="1">IF(ROWS($1:272)&gt;COUNT(Dong5),"",OFFSET(TH!F$1,SMALL(Dong5,ROWS($1:272)),))</f>
        <v>VAT Nhôm thanh 265</v>
      </c>
      <c r="E286" s="318" t="str">
        <f ca="1">IF(ROWS($1:272)&gt;COUNT(Dong5),"",IF(OFFSET(TH!N$1,SMALL(Dong5,ROWS($1:272)),)=$E$7,OFFSET(TH!O$1,SMALL(Dong5,ROWS($1:272)),),OFFSET(TH!N$1,SMALL(Dong5,ROWS($1:272)),)))</f>
        <v>1111</v>
      </c>
      <c r="F286" s="384">
        <f ca="1">IF(ROWS($1:272)&gt;COUNT(Dong5),0,IF(OFFSET(TH!N$1,SMALL(Dong5,ROWS($1:272)),)=$E$7,OFFSET(TH!M$1,SMALL(Dong5,ROWS($1:272)),),0))</f>
        <v>1809120</v>
      </c>
      <c r="G286" s="382">
        <f ca="1">IF(ROWS($1:272)&gt;COUNT(Dong5),0,IF(OFFSET(TH!O$1,SMALL(Dong5,ROWS($1:272)),)=$E$7,OFFSET(TH!M$1,SMALL(Dong5,ROWS($1:272)),),0))</f>
        <v>0</v>
      </c>
      <c r="H286" s="385">
        <f ca="1">IF(D286&lt;&gt;"",MAX(H285+F286-G286-I285,0),0)</f>
        <v>533577445</v>
      </c>
      <c r="I286" s="385">
        <f ca="1">IF(D286&lt;&gt;"",MAX(I285+G286-H285-F286,0),0)</f>
        <v>0</v>
      </c>
      <c r="J286" s="18">
        <f ca="1">MONTH(A286)</f>
        <v>3</v>
      </c>
    </row>
    <row r="287" spans="1:10" s="18" customFormat="1" ht="18" customHeight="1">
      <c r="A287" s="318">
        <f ca="1">IF(ROWS($1:273)&gt;COUNT(Dong5),"",OFFSET(TH!C$1,SMALL(Dong5,ROWS($1:273)),))</f>
        <v>42674</v>
      </c>
      <c r="B287" s="318" t="str">
        <f ca="1">IF(ROWS($1:273)&gt;COUNT(Dong5),"",OFFSET(TH!D$1,SMALL(Dong5,ROWS($1:273)),))</f>
        <v>CTGS</v>
      </c>
      <c r="C287" s="318">
        <f ca="1">IF(ROWS($1:273)&gt;COUNT(Dong5),"",OFFSET(TH!E$1,SMALL(Dong5,ROWS($1:273)),))</f>
        <v>42643</v>
      </c>
      <c r="D287" s="383" t="str">
        <f ca="1">IF(ROWS($1:273)&gt;COUNT(Dong5),"",OFFSET(TH!F$1,SMALL(Dong5,ROWS($1:273)),))</f>
        <v>VAT Nước sinh hoạt, phí cơ sở hạ tầng</v>
      </c>
      <c r="E287" s="318" t="str">
        <f ca="1">IF(ROWS($1:273)&gt;COUNT(Dong5),"",IF(OFFSET(TH!N$1,SMALL(Dong5,ROWS($1:273)),)=$E$7,OFFSET(TH!O$1,SMALL(Dong5,ROWS($1:273)),),OFFSET(TH!N$1,SMALL(Dong5,ROWS($1:273)),)))</f>
        <v>331</v>
      </c>
      <c r="F287" s="384">
        <f ca="1">IF(ROWS($1:273)&gt;COUNT(Dong5),0,IF(OFFSET(TH!N$1,SMALL(Dong5,ROWS($1:273)),)=$E$7,OFFSET(TH!M$1,SMALL(Dong5,ROWS($1:273)),),0))</f>
        <v>515782</v>
      </c>
      <c r="G287" s="382">
        <f ca="1">IF(ROWS($1:273)&gt;COUNT(Dong5),0,IF(OFFSET(TH!O$1,SMALL(Dong5,ROWS($1:273)),)=$E$7,OFFSET(TH!M$1,SMALL(Dong5,ROWS($1:273)),),0))</f>
        <v>0</v>
      </c>
      <c r="H287" s="385">
        <f ca="1">IF(D287&lt;&gt;"",MAX(H286+F287-G287-I286,0),0)</f>
        <v>534093227</v>
      </c>
      <c r="I287" s="385">
        <f ca="1">IF(D287&lt;&gt;"",MAX(I286+G287-H286-F287,0),0)</f>
        <v>0</v>
      </c>
      <c r="J287" s="18">
        <f ca="1">MONTH(A287)</f>
        <v>10</v>
      </c>
    </row>
    <row r="288" spans="1:10" s="18" customFormat="1" ht="18" customHeight="1">
      <c r="A288" s="318">
        <f ca="1">IF(ROWS($1:274)&gt;COUNT(Dong5),"",OFFSET(TH!C$1,SMALL(Dong5,ROWS($1:274)),))</f>
        <v>42433</v>
      </c>
      <c r="B288" s="318" t="str">
        <f ca="1">IF(ROWS($1:274)&gt;COUNT(Dong5),"",OFFSET(TH!D$1,SMALL(Dong5,ROWS($1:274)),))</f>
        <v>C14</v>
      </c>
      <c r="C288" s="318">
        <f ca="1">IF(ROWS($1:274)&gt;COUNT(Dong5),"",OFFSET(TH!E$1,SMALL(Dong5,ROWS($1:274)),))</f>
        <v>42433</v>
      </c>
      <c r="D288" s="383" t="str">
        <f ca="1">IF(ROWS($1:274)&gt;COUNT(Dong5),"",OFFSET(TH!F$1,SMALL(Dong5,ROWS($1:274)),))</f>
        <v xml:space="preserve">VAT Xăng, dầu </v>
      </c>
      <c r="E288" s="318" t="str">
        <f ca="1">IF(ROWS($1:274)&gt;COUNT(Dong5),"",IF(OFFSET(TH!N$1,SMALL(Dong5,ROWS($1:274)),)=$E$7,OFFSET(TH!O$1,SMALL(Dong5,ROWS($1:274)),),OFFSET(TH!N$1,SMALL(Dong5,ROWS($1:274)),)))</f>
        <v>1111</v>
      </c>
      <c r="F288" s="384">
        <f ca="1">IF(ROWS($1:274)&gt;COUNT(Dong5),0,IF(OFFSET(TH!N$1,SMALL(Dong5,ROWS($1:274)),)=$E$7,OFFSET(TH!M$1,SMALL(Dong5,ROWS($1:274)),),0))</f>
        <v>110098</v>
      </c>
      <c r="G288" s="382">
        <f ca="1">IF(ROWS($1:274)&gt;COUNT(Dong5),0,IF(OFFSET(TH!O$1,SMALL(Dong5,ROWS($1:274)),)=$E$7,OFFSET(TH!M$1,SMALL(Dong5,ROWS($1:274)),),0))</f>
        <v>0</v>
      </c>
      <c r="H288" s="385">
        <f ca="1">IF(D288&lt;&gt;"",MAX(H287+F288-G288-I287,0),0)</f>
        <v>534203325</v>
      </c>
      <c r="I288" s="385">
        <f ca="1">IF(D288&lt;&gt;"",MAX(I287+G288-H287-F288,0),0)</f>
        <v>0</v>
      </c>
      <c r="J288" s="18">
        <f ca="1">MONTH(A288)</f>
        <v>3</v>
      </c>
    </row>
    <row r="289" spans="1:10" s="18" customFormat="1" ht="18" customHeight="1">
      <c r="A289" s="318">
        <f ca="1">IF(ROWS($1:275)&gt;COUNT(Dong5),"",OFFSET(TH!C$1,SMALL(Dong5,ROWS($1:275)),))</f>
        <v>42433</v>
      </c>
      <c r="B289" s="318" t="str">
        <f ca="1">IF(ROWS($1:275)&gt;COUNT(Dong5),"",OFFSET(TH!D$1,SMALL(Dong5,ROWS($1:275)),))</f>
        <v>C15</v>
      </c>
      <c r="C289" s="318">
        <f ca="1">IF(ROWS($1:275)&gt;COUNT(Dong5),"",OFFSET(TH!E$1,SMALL(Dong5,ROWS($1:275)),))</f>
        <v>42377</v>
      </c>
      <c r="D289" s="383" t="str">
        <f ca="1">IF(ROWS($1:275)&gt;COUNT(Dong5),"",OFFSET(TH!F$1,SMALL(Dong5,ROWS($1:275)),))</f>
        <v>VAT Kính trắng 5mm</v>
      </c>
      <c r="E289" s="318" t="str">
        <f ca="1">IF(ROWS($1:275)&gt;COUNT(Dong5),"",IF(OFFSET(TH!N$1,SMALL(Dong5,ROWS($1:275)),)=$E$7,OFFSET(TH!O$1,SMALL(Dong5,ROWS($1:275)),),OFFSET(TH!N$1,SMALL(Dong5,ROWS($1:275)),)))</f>
        <v>1111</v>
      </c>
      <c r="F289" s="384">
        <f ca="1">IF(ROWS($1:275)&gt;COUNT(Dong5),0,IF(OFFSET(TH!N$1,SMALL(Dong5,ROWS($1:275)),)=$E$7,OFFSET(TH!M$1,SMALL(Dong5,ROWS($1:275)),),0))</f>
        <v>1727250</v>
      </c>
      <c r="G289" s="382">
        <f ca="1">IF(ROWS($1:275)&gt;COUNT(Dong5),0,IF(OFFSET(TH!O$1,SMALL(Dong5,ROWS($1:275)),)=$E$7,OFFSET(TH!M$1,SMALL(Dong5,ROWS($1:275)),),0))</f>
        <v>0</v>
      </c>
      <c r="H289" s="385">
        <f ca="1">IF(D289&lt;&gt;"",MAX(H288+F289-G289-I288,0),0)</f>
        <v>535930575</v>
      </c>
      <c r="I289" s="385">
        <f ca="1">IF(D289&lt;&gt;"",MAX(I288+G289-H288-F289,0),0)</f>
        <v>0</v>
      </c>
      <c r="J289" s="18">
        <f ca="1">MONTH(A289)</f>
        <v>3</v>
      </c>
    </row>
    <row r="290" spans="1:10" s="18" customFormat="1" ht="18" customHeight="1">
      <c r="A290" s="318">
        <f ca="1">IF(ROWS($1:276)&gt;COUNT(Dong5),"",OFFSET(TH!C$1,SMALL(Dong5,ROWS($1:276)),))</f>
        <v>42434</v>
      </c>
      <c r="B290" s="318" t="str">
        <f ca="1">IF(ROWS($1:276)&gt;COUNT(Dong5),"",OFFSET(TH!D$1,SMALL(Dong5,ROWS($1:276)),))</f>
        <v>C16</v>
      </c>
      <c r="C290" s="318">
        <f ca="1">IF(ROWS($1:276)&gt;COUNT(Dong5),"",OFFSET(TH!E$1,SMALL(Dong5,ROWS($1:276)),))</f>
        <v>42434</v>
      </c>
      <c r="D290" s="383" t="str">
        <f ca="1">IF(ROWS($1:276)&gt;COUNT(Dong5),"",OFFSET(TH!F$1,SMALL(Dong5,ROWS($1:276)),))</f>
        <v>VAT Cước VT - CNTT T2/2016</v>
      </c>
      <c r="E290" s="318" t="str">
        <f ca="1">IF(ROWS($1:276)&gt;COUNT(Dong5),"",IF(OFFSET(TH!N$1,SMALL(Dong5,ROWS($1:276)),)=$E$7,OFFSET(TH!O$1,SMALL(Dong5,ROWS($1:276)),),OFFSET(TH!N$1,SMALL(Dong5,ROWS($1:276)),)))</f>
        <v>1111</v>
      </c>
      <c r="F290" s="384">
        <f ca="1">IF(ROWS($1:276)&gt;COUNT(Dong5),0,IF(OFFSET(TH!N$1,SMALL(Dong5,ROWS($1:276)),)=$E$7,OFFSET(TH!M$1,SMALL(Dong5,ROWS($1:276)),),0))</f>
        <v>191113</v>
      </c>
      <c r="G290" s="382">
        <f ca="1">IF(ROWS($1:276)&gt;COUNT(Dong5),0,IF(OFFSET(TH!O$1,SMALL(Dong5,ROWS($1:276)),)=$E$7,OFFSET(TH!M$1,SMALL(Dong5,ROWS($1:276)),),0))</f>
        <v>0</v>
      </c>
      <c r="H290" s="385">
        <f ca="1">IF(D290&lt;&gt;"",MAX(H289+F290-G290-I289,0),0)</f>
        <v>536121688</v>
      </c>
      <c r="I290" s="385">
        <f ca="1">IF(D290&lt;&gt;"",MAX(I289+G290-H289-F290,0),0)</f>
        <v>0</v>
      </c>
      <c r="J290" s="18">
        <f ca="1">MONTH(A290)</f>
        <v>3</v>
      </c>
    </row>
    <row r="291" spans="1:10" s="18" customFormat="1" ht="18" customHeight="1">
      <c r="A291" s="318">
        <f ca="1">IF(ROWS($1:277)&gt;COUNT(Dong5),"",OFFSET(TH!C$1,SMALL(Dong5,ROWS($1:277)),))</f>
        <v>42435</v>
      </c>
      <c r="B291" s="318" t="str">
        <f ca="1">IF(ROWS($1:277)&gt;COUNT(Dong5),"",OFFSET(TH!D$1,SMALL(Dong5,ROWS($1:277)),))</f>
        <v>C17</v>
      </c>
      <c r="C291" s="318">
        <f ca="1">IF(ROWS($1:277)&gt;COUNT(Dong5),"",OFFSET(TH!E$1,SMALL(Dong5,ROWS($1:277)),))</f>
        <v>42435</v>
      </c>
      <c r="D291" s="383" t="str">
        <f ca="1">IF(ROWS($1:277)&gt;COUNT(Dong5),"",OFFSET(TH!F$1,SMALL(Dong5,ROWS($1:277)),))</f>
        <v>VAT Xăng</v>
      </c>
      <c r="E291" s="318" t="str">
        <f ca="1">IF(ROWS($1:277)&gt;COUNT(Dong5),"",IF(OFFSET(TH!N$1,SMALL(Dong5,ROWS($1:277)),)=$E$7,OFFSET(TH!O$1,SMALL(Dong5,ROWS($1:277)),),OFFSET(TH!N$1,SMALL(Dong5,ROWS($1:277)),)))</f>
        <v>1111</v>
      </c>
      <c r="F291" s="384">
        <f ca="1">IF(ROWS($1:277)&gt;COUNT(Dong5),0,IF(OFFSET(TH!N$1,SMALL(Dong5,ROWS($1:277)),)=$E$7,OFFSET(TH!M$1,SMALL(Dong5,ROWS($1:277)),),0))</f>
        <v>56486</v>
      </c>
      <c r="G291" s="382">
        <f ca="1">IF(ROWS($1:277)&gt;COUNT(Dong5),0,IF(OFFSET(TH!O$1,SMALL(Dong5,ROWS($1:277)),)=$E$7,OFFSET(TH!M$1,SMALL(Dong5,ROWS($1:277)),),0))</f>
        <v>0</v>
      </c>
      <c r="H291" s="385">
        <f ca="1">IF(D291&lt;&gt;"",MAX(H290+F291-G291-I290,0),0)</f>
        <v>536178174</v>
      </c>
      <c r="I291" s="385">
        <f ca="1">IF(D291&lt;&gt;"",MAX(I290+G291-H290-F291,0),0)</f>
        <v>0</v>
      </c>
      <c r="J291" s="18">
        <f ca="1">MONTH(A291)</f>
        <v>3</v>
      </c>
    </row>
    <row r="292" spans="1:10" s="18" customFormat="1" ht="18" customHeight="1">
      <c r="A292" s="318">
        <f ca="1">IF(ROWS($1:278)&gt;COUNT(Dong5),"",OFFSET(TH!C$1,SMALL(Dong5,ROWS($1:278)),))</f>
        <v>42437</v>
      </c>
      <c r="B292" s="318" t="str">
        <f ca="1">IF(ROWS($1:278)&gt;COUNT(Dong5),"",OFFSET(TH!D$1,SMALL(Dong5,ROWS($1:278)),))</f>
        <v>C21</v>
      </c>
      <c r="C292" s="318">
        <f ca="1">IF(ROWS($1:278)&gt;COUNT(Dong5),"",OFFSET(TH!E$1,SMALL(Dong5,ROWS($1:278)),))</f>
        <v>42437</v>
      </c>
      <c r="D292" s="383" t="str">
        <f ca="1">IF(ROWS($1:278)&gt;COUNT(Dong5),"",OFFSET(TH!F$1,SMALL(Dong5,ROWS($1:278)),))</f>
        <v>VAT Dầu DO</v>
      </c>
      <c r="E292" s="318" t="str">
        <f ca="1">IF(ROWS($1:278)&gt;COUNT(Dong5),"",IF(OFFSET(TH!N$1,SMALL(Dong5,ROWS($1:278)),)=$E$7,OFFSET(TH!O$1,SMALL(Dong5,ROWS($1:278)),),OFFSET(TH!N$1,SMALL(Dong5,ROWS($1:278)),)))</f>
        <v>1111</v>
      </c>
      <c r="F292" s="384">
        <f ca="1">IF(ROWS($1:278)&gt;COUNT(Dong5),0,IF(OFFSET(TH!N$1,SMALL(Dong5,ROWS($1:278)),)=$E$7,OFFSET(TH!M$1,SMALL(Dong5,ROWS($1:278)),),0))</f>
        <v>45287</v>
      </c>
      <c r="G292" s="382">
        <f ca="1">IF(ROWS($1:278)&gt;COUNT(Dong5),0,IF(OFFSET(TH!O$1,SMALL(Dong5,ROWS($1:278)),)=$E$7,OFFSET(TH!M$1,SMALL(Dong5,ROWS($1:278)),),0))</f>
        <v>0</v>
      </c>
      <c r="H292" s="385">
        <f ca="1">IF(D292&lt;&gt;"",MAX(H291+F292-G292-I291,0),0)</f>
        <v>536223461</v>
      </c>
      <c r="I292" s="385">
        <f ca="1">IF(D292&lt;&gt;"",MAX(I291+G292-H291-F292,0),0)</f>
        <v>0</v>
      </c>
      <c r="J292" s="18">
        <f ca="1">MONTH(A292)</f>
        <v>3</v>
      </c>
    </row>
    <row r="293" spans="1:10" s="18" customFormat="1" ht="18" customHeight="1">
      <c r="A293" s="318">
        <f ca="1">IF(ROWS($1:279)&gt;COUNT(Dong5),"",OFFSET(TH!C$1,SMALL(Dong5,ROWS($1:279)),))</f>
        <v>42639</v>
      </c>
      <c r="B293" s="318" t="str">
        <f ca="1">IF(ROWS($1:279)&gt;COUNT(Dong5),"",OFFSET(TH!D$1,SMALL(Dong5,ROWS($1:279)),))</f>
        <v>CTGS</v>
      </c>
      <c r="C293" s="318">
        <f ca="1">IF(ROWS($1:279)&gt;COUNT(Dong5),"",OFFSET(TH!E$1,SMALL(Dong5,ROWS($1:279)),))</f>
        <v>42639</v>
      </c>
      <c r="D293" s="383" t="str">
        <f ca="1">IF(ROWS($1:279)&gt;COUNT(Dong5),"",OFFSET(TH!F$1,SMALL(Dong5,ROWS($1:279)),))</f>
        <v>VAT Tiền điện kỳ 3 T9/16</v>
      </c>
      <c r="E293" s="318" t="str">
        <f ca="1">IF(ROWS($1:279)&gt;COUNT(Dong5),"",IF(OFFSET(TH!N$1,SMALL(Dong5,ROWS($1:279)),)=$E$7,OFFSET(TH!O$1,SMALL(Dong5,ROWS($1:279)),),OFFSET(TH!N$1,SMALL(Dong5,ROWS($1:279)),)))</f>
        <v>331</v>
      </c>
      <c r="F293" s="384">
        <f ca="1">IF(ROWS($1:279)&gt;COUNT(Dong5),0,IF(OFFSET(TH!N$1,SMALL(Dong5,ROWS($1:279)),)=$E$7,OFFSET(TH!M$1,SMALL(Dong5,ROWS($1:279)),),0))</f>
        <v>1911240</v>
      </c>
      <c r="G293" s="382">
        <f ca="1">IF(ROWS($1:279)&gt;COUNT(Dong5),0,IF(OFFSET(TH!O$1,SMALL(Dong5,ROWS($1:279)),)=$E$7,OFFSET(TH!M$1,SMALL(Dong5,ROWS($1:279)),),0))</f>
        <v>0</v>
      </c>
      <c r="H293" s="385">
        <f ca="1">IF(D293&lt;&gt;"",MAX(H292+F293-G293-I292,0),0)</f>
        <v>538134701</v>
      </c>
      <c r="I293" s="385">
        <f ca="1">IF(D293&lt;&gt;"",MAX(I292+G293-H292-F293,0),0)</f>
        <v>0</v>
      </c>
      <c r="J293" s="18">
        <f ca="1">MONTH(A293)</f>
        <v>9</v>
      </c>
    </row>
    <row r="294" spans="1:10" s="18" customFormat="1" ht="18" customHeight="1">
      <c r="A294" s="318">
        <f ca="1">IF(ROWS($1:280)&gt;COUNT(Dong5),"",OFFSET(TH!C$1,SMALL(Dong5,ROWS($1:280)),))</f>
        <v>42439</v>
      </c>
      <c r="B294" s="318" t="str">
        <f ca="1">IF(ROWS($1:280)&gt;COUNT(Dong5),"",OFFSET(TH!D$1,SMALL(Dong5,ROWS($1:280)),))</f>
        <v>C25</v>
      </c>
      <c r="C294" s="318">
        <f ca="1">IF(ROWS($1:280)&gt;COUNT(Dong5),"",OFFSET(TH!E$1,SMALL(Dong5,ROWS($1:280)),))</f>
        <v>42439</v>
      </c>
      <c r="D294" s="383" t="str">
        <f ca="1">IF(ROWS($1:280)&gt;COUNT(Dong5),"",OFFSET(TH!F$1,SMALL(Dong5,ROWS($1:280)),))</f>
        <v xml:space="preserve">VAT Phí thẩm định </v>
      </c>
      <c r="E294" s="318" t="str">
        <f ca="1">IF(ROWS($1:280)&gt;COUNT(Dong5),"",IF(OFFSET(TH!N$1,SMALL(Dong5,ROWS($1:280)),)=$E$7,OFFSET(TH!O$1,SMALL(Dong5,ROWS($1:280)),),OFFSET(TH!N$1,SMALL(Dong5,ROWS($1:280)),)))</f>
        <v>1111</v>
      </c>
      <c r="F294" s="384">
        <f ca="1">IF(ROWS($1:280)&gt;COUNT(Dong5),0,IF(OFFSET(TH!N$1,SMALL(Dong5,ROWS($1:280)),)=$E$7,OFFSET(TH!M$1,SMALL(Dong5,ROWS($1:280)),),0))</f>
        <v>1773727</v>
      </c>
      <c r="G294" s="382">
        <f ca="1">IF(ROWS($1:280)&gt;COUNT(Dong5),0,IF(OFFSET(TH!O$1,SMALL(Dong5,ROWS($1:280)),)=$E$7,OFFSET(TH!M$1,SMALL(Dong5,ROWS($1:280)),),0))</f>
        <v>0</v>
      </c>
      <c r="H294" s="385">
        <f ca="1">IF(D294&lt;&gt;"",MAX(H293+F294-G294-I293,0),0)</f>
        <v>539908428</v>
      </c>
      <c r="I294" s="385">
        <f ca="1">IF(D294&lt;&gt;"",MAX(I293+G294-H293-F294,0),0)</f>
        <v>0</v>
      </c>
      <c r="J294" s="18">
        <f ca="1">MONTH(A294)</f>
        <v>3</v>
      </c>
    </row>
    <row r="295" spans="1:10" s="18" customFormat="1" ht="18" customHeight="1">
      <c r="A295" s="318">
        <f ca="1">IF(ROWS($1:281)&gt;COUNT(Dong5),"",OFFSET(TH!C$1,SMALL(Dong5,ROWS($1:281)),))</f>
        <v>42440</v>
      </c>
      <c r="B295" s="318" t="str">
        <f ca="1">IF(ROWS($1:281)&gt;COUNT(Dong5),"",OFFSET(TH!D$1,SMALL(Dong5,ROWS($1:281)),))</f>
        <v>C27</v>
      </c>
      <c r="C295" s="318">
        <f ca="1">IF(ROWS($1:281)&gt;COUNT(Dong5),"",OFFSET(TH!E$1,SMALL(Dong5,ROWS($1:281)),))</f>
        <v>42440</v>
      </c>
      <c r="D295" s="383" t="str">
        <f ca="1">IF(ROWS($1:281)&gt;COUNT(Dong5),"",OFFSET(TH!F$1,SMALL(Dong5,ROWS($1:281)),))</f>
        <v>VAT Dầu DO</v>
      </c>
      <c r="E295" s="318" t="str">
        <f ca="1">IF(ROWS($1:281)&gt;COUNT(Dong5),"",IF(OFFSET(TH!N$1,SMALL(Dong5,ROWS($1:281)),)=$E$7,OFFSET(TH!O$1,SMALL(Dong5,ROWS($1:281)),),OFFSET(TH!N$1,SMALL(Dong5,ROWS($1:281)),)))</f>
        <v>1111</v>
      </c>
      <c r="F295" s="384">
        <f ca="1">IF(ROWS($1:281)&gt;COUNT(Dong5),0,IF(OFFSET(TH!N$1,SMALL(Dong5,ROWS($1:281)),)=$E$7,OFFSET(TH!M$1,SMALL(Dong5,ROWS($1:281)),),0))</f>
        <v>51384</v>
      </c>
      <c r="G295" s="382">
        <f ca="1">IF(ROWS($1:281)&gt;COUNT(Dong5),0,IF(OFFSET(TH!O$1,SMALL(Dong5,ROWS($1:281)),)=$E$7,OFFSET(TH!M$1,SMALL(Dong5,ROWS($1:281)),),0))</f>
        <v>0</v>
      </c>
      <c r="H295" s="385">
        <f ca="1">IF(D295&lt;&gt;"",MAX(H294+F295-G295-I294,0),0)</f>
        <v>539959812</v>
      </c>
      <c r="I295" s="385">
        <f ca="1">IF(D295&lt;&gt;"",MAX(I294+G295-H294-F295,0),0)</f>
        <v>0</v>
      </c>
      <c r="J295" s="18">
        <f ca="1">MONTH(A295)</f>
        <v>3</v>
      </c>
    </row>
    <row r="296" spans="1:10" s="18" customFormat="1" ht="18" customHeight="1">
      <c r="A296" s="318">
        <f ca="1">IF(ROWS($1:282)&gt;COUNT(Dong5),"",OFFSET(TH!C$1,SMALL(Dong5,ROWS($1:282)),))</f>
        <v>42441</v>
      </c>
      <c r="B296" s="318" t="str">
        <f ca="1">IF(ROWS($1:282)&gt;COUNT(Dong5),"",OFFSET(TH!D$1,SMALL(Dong5,ROWS($1:282)),))</f>
        <v>C28</v>
      </c>
      <c r="C296" s="318">
        <f ca="1">IF(ROWS($1:282)&gt;COUNT(Dong5),"",OFFSET(TH!E$1,SMALL(Dong5,ROWS($1:282)),))</f>
        <v>42441</v>
      </c>
      <c r="D296" s="383" t="str">
        <f ca="1">IF(ROWS($1:282)&gt;COUNT(Dong5),"",OFFSET(TH!F$1,SMALL(Dong5,ROWS($1:282)),))</f>
        <v>VAT Bình ắc quy</v>
      </c>
      <c r="E296" s="318" t="str">
        <f ca="1">IF(ROWS($1:282)&gt;COUNT(Dong5),"",IF(OFFSET(TH!N$1,SMALL(Dong5,ROWS($1:282)),)=$E$7,OFFSET(TH!O$1,SMALL(Dong5,ROWS($1:282)),),OFFSET(TH!N$1,SMALL(Dong5,ROWS($1:282)),)))</f>
        <v>1111</v>
      </c>
      <c r="F296" s="384">
        <f ca="1">IF(ROWS($1:282)&gt;COUNT(Dong5),0,IF(OFFSET(TH!N$1,SMALL(Dong5,ROWS($1:282)),)=$E$7,OFFSET(TH!M$1,SMALL(Dong5,ROWS($1:282)),),0))</f>
        <v>200000</v>
      </c>
      <c r="G296" s="382">
        <f ca="1">IF(ROWS($1:282)&gt;COUNT(Dong5),0,IF(OFFSET(TH!O$1,SMALL(Dong5,ROWS($1:282)),)=$E$7,OFFSET(TH!M$1,SMALL(Dong5,ROWS($1:282)),),0))</f>
        <v>0</v>
      </c>
      <c r="H296" s="385">
        <f ca="1">IF(D296&lt;&gt;"",MAX(H295+F296-G296-I295,0),0)</f>
        <v>540159812</v>
      </c>
      <c r="I296" s="385">
        <f ca="1">IF(D296&lt;&gt;"",MAX(I295+G296-H295-F296,0),0)</f>
        <v>0</v>
      </c>
      <c r="J296" s="18">
        <f ca="1">MONTH(A296)</f>
        <v>3</v>
      </c>
    </row>
    <row r="297" spans="1:10" s="18" customFormat="1" ht="18" customHeight="1">
      <c r="A297" s="318">
        <f ca="1">IF(ROWS($1:283)&gt;COUNT(Dong5),"",OFFSET(TH!C$1,SMALL(Dong5,ROWS($1:283)),))</f>
        <v>42441</v>
      </c>
      <c r="B297" s="318" t="str">
        <f ca="1">IF(ROWS($1:283)&gt;COUNT(Dong5),"",OFFSET(TH!D$1,SMALL(Dong5,ROWS($1:283)),))</f>
        <v>C29</v>
      </c>
      <c r="C297" s="318">
        <f ca="1">IF(ROWS($1:283)&gt;COUNT(Dong5),"",OFFSET(TH!E$1,SMALL(Dong5,ROWS($1:283)),))</f>
        <v>42441</v>
      </c>
      <c r="D297" s="383" t="str">
        <f ca="1">IF(ROWS($1:283)&gt;COUNT(Dong5),"",OFFSET(TH!F$1,SMALL(Dong5,ROWS($1:283)),))</f>
        <v>VAT Xăng</v>
      </c>
      <c r="E297" s="318" t="str">
        <f ca="1">IF(ROWS($1:283)&gt;COUNT(Dong5),"",IF(OFFSET(TH!N$1,SMALL(Dong5,ROWS($1:283)),)=$E$7,OFFSET(TH!O$1,SMALL(Dong5,ROWS($1:283)),),OFFSET(TH!N$1,SMALL(Dong5,ROWS($1:283)),)))</f>
        <v>1111</v>
      </c>
      <c r="F297" s="384">
        <f ca="1">IF(ROWS($1:283)&gt;COUNT(Dong5),0,IF(OFFSET(TH!N$1,SMALL(Dong5,ROWS($1:283)),)=$E$7,OFFSET(TH!M$1,SMALL(Dong5,ROWS($1:283)),),0))</f>
        <v>64368</v>
      </c>
      <c r="G297" s="382">
        <f ca="1">IF(ROWS($1:283)&gt;COUNT(Dong5),0,IF(OFFSET(TH!O$1,SMALL(Dong5,ROWS($1:283)),)=$E$7,OFFSET(TH!M$1,SMALL(Dong5,ROWS($1:283)),),0))</f>
        <v>0</v>
      </c>
      <c r="H297" s="385">
        <f ca="1">IF(D297&lt;&gt;"",MAX(H296+F297-G297-I296,0),0)</f>
        <v>540224180</v>
      </c>
      <c r="I297" s="385">
        <f ca="1">IF(D297&lt;&gt;"",MAX(I296+G297-H296-F297,0),0)</f>
        <v>0</v>
      </c>
      <c r="J297" s="18">
        <f ca="1">MONTH(A297)</f>
        <v>3</v>
      </c>
    </row>
    <row r="298" spans="1:10" s="18" customFormat="1" ht="18" customHeight="1">
      <c r="A298" s="318">
        <f ca="1">IF(ROWS($1:284)&gt;COUNT(Dong5),"",OFFSET(TH!C$1,SMALL(Dong5,ROWS($1:284)),))</f>
        <v>42443</v>
      </c>
      <c r="B298" s="318" t="str">
        <f ca="1">IF(ROWS($1:284)&gt;COUNT(Dong5),"",OFFSET(TH!D$1,SMALL(Dong5,ROWS($1:284)),))</f>
        <v>C30</v>
      </c>
      <c r="C298" s="318">
        <f ca="1">IF(ROWS($1:284)&gt;COUNT(Dong5),"",OFFSET(TH!E$1,SMALL(Dong5,ROWS($1:284)),))</f>
        <v>42443</v>
      </c>
      <c r="D298" s="383" t="str">
        <f ca="1">IF(ROWS($1:284)&gt;COUNT(Dong5),"",OFFSET(TH!F$1,SMALL(Dong5,ROWS($1:284)),))</f>
        <v>VAT Bảo dưỡng xe 51A - 14174</v>
      </c>
      <c r="E298" s="318" t="str">
        <f ca="1">IF(ROWS($1:284)&gt;COUNT(Dong5),"",IF(OFFSET(TH!N$1,SMALL(Dong5,ROWS($1:284)),)=$E$7,OFFSET(TH!O$1,SMALL(Dong5,ROWS($1:284)),),OFFSET(TH!N$1,SMALL(Dong5,ROWS($1:284)),)))</f>
        <v>1111</v>
      </c>
      <c r="F298" s="384">
        <f ca="1">IF(ROWS($1:284)&gt;COUNT(Dong5),0,IF(OFFSET(TH!N$1,SMALL(Dong5,ROWS($1:284)),)=$E$7,OFFSET(TH!M$1,SMALL(Dong5,ROWS($1:284)),),0))</f>
        <v>141300</v>
      </c>
      <c r="G298" s="382">
        <f ca="1">IF(ROWS($1:284)&gt;COUNT(Dong5),0,IF(OFFSET(TH!O$1,SMALL(Dong5,ROWS($1:284)),)=$E$7,OFFSET(TH!M$1,SMALL(Dong5,ROWS($1:284)),),0))</f>
        <v>0</v>
      </c>
      <c r="H298" s="385">
        <f ca="1">IF(D298&lt;&gt;"",MAX(H297+F298-G298-I297,0),0)</f>
        <v>540365480</v>
      </c>
      <c r="I298" s="385">
        <f ca="1">IF(D298&lt;&gt;"",MAX(I297+G298-H297-F298,0),0)</f>
        <v>0</v>
      </c>
      <c r="J298" s="18">
        <f ca="1">MONTH(A298)</f>
        <v>3</v>
      </c>
    </row>
    <row r="299" spans="1:10" s="18" customFormat="1" ht="18" customHeight="1">
      <c r="A299" s="318">
        <f ca="1">IF(ROWS($1:285)&gt;COUNT(Dong5),"",OFFSET(TH!C$1,SMALL(Dong5,ROWS($1:285)),))</f>
        <v>42443</v>
      </c>
      <c r="B299" s="318" t="str">
        <f ca="1">IF(ROWS($1:285)&gt;COUNT(Dong5),"",OFFSET(TH!D$1,SMALL(Dong5,ROWS($1:285)),))</f>
        <v>C31</v>
      </c>
      <c r="C299" s="318">
        <f ca="1">IF(ROWS($1:285)&gt;COUNT(Dong5),"",OFFSET(TH!E$1,SMALL(Dong5,ROWS($1:285)),))</f>
        <v>42443</v>
      </c>
      <c r="D299" s="383" t="str">
        <f ca="1">IF(ROWS($1:285)&gt;COUNT(Dong5),"",OFFSET(TH!F$1,SMALL(Dong5,ROWS($1:285)),))</f>
        <v>VAT Phí nâng hạ</v>
      </c>
      <c r="E299" s="318" t="str">
        <f ca="1">IF(ROWS($1:285)&gt;COUNT(Dong5),"",IF(OFFSET(TH!N$1,SMALL(Dong5,ROWS($1:285)),)=$E$7,OFFSET(TH!O$1,SMALL(Dong5,ROWS($1:285)),),OFFSET(TH!N$1,SMALL(Dong5,ROWS($1:285)),)))</f>
        <v>1111</v>
      </c>
      <c r="F299" s="384">
        <f ca="1">IF(ROWS($1:285)&gt;COUNT(Dong5),0,IF(OFFSET(TH!N$1,SMALL(Dong5,ROWS($1:285)),)=$E$7,OFFSET(TH!M$1,SMALL(Dong5,ROWS($1:285)),),0))</f>
        <v>80000</v>
      </c>
      <c r="G299" s="382">
        <f ca="1">IF(ROWS($1:285)&gt;COUNT(Dong5),0,IF(OFFSET(TH!O$1,SMALL(Dong5,ROWS($1:285)),)=$E$7,OFFSET(TH!M$1,SMALL(Dong5,ROWS($1:285)),),0))</f>
        <v>0</v>
      </c>
      <c r="H299" s="385">
        <f ca="1">IF(D299&lt;&gt;"",MAX(H298+F299-G299-I298,0),0)</f>
        <v>540445480</v>
      </c>
      <c r="I299" s="385">
        <f ca="1">IF(D299&lt;&gt;"",MAX(I298+G299-H298-F299,0),0)</f>
        <v>0</v>
      </c>
      <c r="J299" s="18">
        <f ca="1">MONTH(A299)</f>
        <v>3</v>
      </c>
    </row>
    <row r="300" spans="1:10" s="18" customFormat="1" ht="18" customHeight="1">
      <c r="A300" s="318">
        <f ca="1">IF(ROWS($1:286)&gt;COUNT(Dong5),"",OFFSET(TH!C$1,SMALL(Dong5,ROWS($1:286)),))</f>
        <v>42443</v>
      </c>
      <c r="B300" s="318" t="str">
        <f ca="1">IF(ROWS($1:286)&gt;COUNT(Dong5),"",OFFSET(TH!D$1,SMALL(Dong5,ROWS($1:286)),))</f>
        <v>C32</v>
      </c>
      <c r="C300" s="318">
        <f ca="1">IF(ROWS($1:286)&gt;COUNT(Dong5),"",OFFSET(TH!E$1,SMALL(Dong5,ROWS($1:286)),))</f>
        <v>42443</v>
      </c>
      <c r="D300" s="383" t="str">
        <f ca="1">IF(ROWS($1:286)&gt;COUNT(Dong5),"",OFFSET(TH!F$1,SMALL(Dong5,ROWS($1:286)),))</f>
        <v>VAT Cước vận chuyển</v>
      </c>
      <c r="E300" s="318" t="str">
        <f ca="1">IF(ROWS($1:286)&gt;COUNT(Dong5),"",IF(OFFSET(TH!N$1,SMALL(Dong5,ROWS($1:286)),)=$E$7,OFFSET(TH!O$1,SMALL(Dong5,ROWS($1:286)),),OFFSET(TH!N$1,SMALL(Dong5,ROWS($1:286)),)))</f>
        <v>1111</v>
      </c>
      <c r="F300" s="384">
        <f ca="1">IF(ROWS($1:286)&gt;COUNT(Dong5),0,IF(OFFSET(TH!N$1,SMALL(Dong5,ROWS($1:286)),)=$E$7,OFFSET(TH!M$1,SMALL(Dong5,ROWS($1:286)),),0))</f>
        <v>790000</v>
      </c>
      <c r="G300" s="382">
        <f ca="1">IF(ROWS($1:286)&gt;COUNT(Dong5),0,IF(OFFSET(TH!O$1,SMALL(Dong5,ROWS($1:286)),)=$E$7,OFFSET(TH!M$1,SMALL(Dong5,ROWS($1:286)),),0))</f>
        <v>0</v>
      </c>
      <c r="H300" s="385">
        <f ca="1">IF(D300&lt;&gt;"",MAX(H299+F300-G300-I299,0),0)</f>
        <v>541235480</v>
      </c>
      <c r="I300" s="385">
        <f ca="1">IF(D300&lt;&gt;"",MAX(I299+G300-H299-F300,0),0)</f>
        <v>0</v>
      </c>
      <c r="J300" s="18">
        <f ca="1">MONTH(A300)</f>
        <v>3</v>
      </c>
    </row>
    <row r="301" spans="1:10" s="18" customFormat="1" ht="18" customHeight="1">
      <c r="A301" s="318">
        <f ca="1">IF(ROWS($1:287)&gt;COUNT(Dong5),"",OFFSET(TH!C$1,SMALL(Dong5,ROWS($1:287)),))</f>
        <v>42443</v>
      </c>
      <c r="B301" s="318" t="str">
        <f ca="1">IF(ROWS($1:287)&gt;COUNT(Dong5),"",OFFSET(TH!D$1,SMALL(Dong5,ROWS($1:287)),))</f>
        <v>C33</v>
      </c>
      <c r="C301" s="318">
        <f ca="1">IF(ROWS($1:287)&gt;COUNT(Dong5),"",OFFSET(TH!E$1,SMALL(Dong5,ROWS($1:287)),))</f>
        <v>42443</v>
      </c>
      <c r="D301" s="383" t="str">
        <f ca="1">IF(ROWS($1:287)&gt;COUNT(Dong5),"",OFFSET(TH!F$1,SMALL(Dong5,ROWS($1:287)),))</f>
        <v>VAT Phí cấp cont, hạ bãi</v>
      </c>
      <c r="E301" s="318" t="str">
        <f ca="1">IF(ROWS($1:287)&gt;COUNT(Dong5),"",IF(OFFSET(TH!N$1,SMALL(Dong5,ROWS($1:287)),)=$E$7,OFFSET(TH!O$1,SMALL(Dong5,ROWS($1:287)),),OFFSET(TH!N$1,SMALL(Dong5,ROWS($1:287)),)))</f>
        <v>1111</v>
      </c>
      <c r="F301" s="384">
        <f ca="1">IF(ROWS($1:287)&gt;COUNT(Dong5),0,IF(OFFSET(TH!N$1,SMALL(Dong5,ROWS($1:287)),)=$E$7,OFFSET(TH!M$1,SMALL(Dong5,ROWS($1:287)),),0))</f>
        <v>131820</v>
      </c>
      <c r="G301" s="382">
        <f ca="1">IF(ROWS($1:287)&gt;COUNT(Dong5),0,IF(OFFSET(TH!O$1,SMALL(Dong5,ROWS($1:287)),)=$E$7,OFFSET(TH!M$1,SMALL(Dong5,ROWS($1:287)),),0))</f>
        <v>0</v>
      </c>
      <c r="H301" s="385">
        <f ca="1">IF(D301&lt;&gt;"",MAX(H300+F301-G301-I300,0),0)</f>
        <v>541367300</v>
      </c>
      <c r="I301" s="385">
        <f ca="1">IF(D301&lt;&gt;"",MAX(I300+G301-H300-F301,0),0)</f>
        <v>0</v>
      </c>
      <c r="J301" s="18">
        <f ca="1">MONTH(A301)</f>
        <v>3</v>
      </c>
    </row>
    <row r="302" spans="1:10" s="18" customFormat="1" ht="18" customHeight="1">
      <c r="A302" s="318">
        <f ca="1">IF(ROWS($1:288)&gt;COUNT(Dong5),"",OFFSET(TH!C$1,SMALL(Dong5,ROWS($1:288)),))</f>
        <v>42443</v>
      </c>
      <c r="B302" s="318" t="str">
        <f ca="1">IF(ROWS($1:288)&gt;COUNT(Dong5),"",OFFSET(TH!D$1,SMALL(Dong5,ROWS($1:288)),))</f>
        <v>GBN</v>
      </c>
      <c r="C302" s="318">
        <f ca="1">IF(ROWS($1:288)&gt;COUNT(Dong5),"",OFFSET(TH!E$1,SMALL(Dong5,ROWS($1:288)),))</f>
        <v>42443</v>
      </c>
      <c r="D302" s="383" t="str">
        <f ca="1">IF(ROWS($1:288)&gt;COUNT(Dong5),"",OFFSET(TH!F$1,SMALL(Dong5,ROWS($1:288)),))</f>
        <v>VAT Phí chuyển tiền</v>
      </c>
      <c r="E302" s="318" t="str">
        <f ca="1">IF(ROWS($1:288)&gt;COUNT(Dong5),"",IF(OFFSET(TH!N$1,SMALL(Dong5,ROWS($1:288)),)=$E$7,OFFSET(TH!O$1,SMALL(Dong5,ROWS($1:288)),),OFFSET(TH!N$1,SMALL(Dong5,ROWS($1:288)),)))</f>
        <v>1121</v>
      </c>
      <c r="F302" s="384">
        <f ca="1">IF(ROWS($1:288)&gt;COUNT(Dong5),0,IF(OFFSET(TH!N$1,SMALL(Dong5,ROWS($1:288)),)=$E$7,OFFSET(TH!M$1,SMALL(Dong5,ROWS($1:288)),),0))</f>
        <v>2500</v>
      </c>
      <c r="G302" s="382">
        <f ca="1">IF(ROWS($1:288)&gt;COUNT(Dong5),0,IF(OFFSET(TH!O$1,SMALL(Dong5,ROWS($1:288)),)=$E$7,OFFSET(TH!M$1,SMALL(Dong5,ROWS($1:288)),),0))</f>
        <v>0</v>
      </c>
      <c r="H302" s="385">
        <f ca="1">IF(D302&lt;&gt;"",MAX(H301+F302-G302-I301,0),0)</f>
        <v>541369800</v>
      </c>
      <c r="I302" s="385">
        <f ca="1">IF(D302&lt;&gt;"",MAX(I301+G302-H301-F302,0),0)</f>
        <v>0</v>
      </c>
      <c r="J302" s="18">
        <f ca="1">MONTH(A302)</f>
        <v>3</v>
      </c>
    </row>
    <row r="303" spans="1:10" s="18" customFormat="1" ht="18" customHeight="1">
      <c r="A303" s="318">
        <f ca="1">IF(ROWS($1:289)&gt;COUNT(Dong5),"",OFFSET(TH!C$1,SMALL(Dong5,ROWS($1:289)),))</f>
        <v>42444</v>
      </c>
      <c r="B303" s="318" t="str">
        <f ca="1">IF(ROWS($1:289)&gt;COUNT(Dong5),"",OFFSET(TH!D$1,SMALL(Dong5,ROWS($1:289)),))</f>
        <v>GBN</v>
      </c>
      <c r="C303" s="318">
        <f ca="1">IF(ROWS($1:289)&gt;COUNT(Dong5),"",OFFSET(TH!E$1,SMALL(Dong5,ROWS($1:289)),))</f>
        <v>42444</v>
      </c>
      <c r="D303" s="383" t="str">
        <f ca="1">IF(ROWS($1:289)&gt;COUNT(Dong5),"",OFFSET(TH!F$1,SMALL(Dong5,ROWS($1:289)),))</f>
        <v>VAT Phí thông báo LC</v>
      </c>
      <c r="E303" s="318" t="str">
        <f ca="1">IF(ROWS($1:289)&gt;COUNT(Dong5),"",IF(OFFSET(TH!N$1,SMALL(Dong5,ROWS($1:289)),)=$E$7,OFFSET(TH!O$1,SMALL(Dong5,ROWS($1:289)),),OFFSET(TH!N$1,SMALL(Dong5,ROWS($1:289)),)))</f>
        <v>1122</v>
      </c>
      <c r="F303" s="384">
        <f ca="1">IF(ROWS($1:289)&gt;COUNT(Dong5),0,IF(OFFSET(TH!N$1,SMALL(Dong5,ROWS($1:289)),)=$E$7,OFFSET(TH!M$1,SMALL(Dong5,ROWS($1:289)),),0))</f>
        <v>33443</v>
      </c>
      <c r="G303" s="382">
        <f ca="1">IF(ROWS($1:289)&gt;COUNT(Dong5),0,IF(OFFSET(TH!O$1,SMALL(Dong5,ROWS($1:289)),)=$E$7,OFFSET(TH!M$1,SMALL(Dong5,ROWS($1:289)),),0))</f>
        <v>0</v>
      </c>
      <c r="H303" s="385">
        <f ca="1">IF(D303&lt;&gt;"",MAX(H302+F303-G303-I302,0),0)</f>
        <v>541403243</v>
      </c>
      <c r="I303" s="385">
        <f ca="1">IF(D303&lt;&gt;"",MAX(I302+G303-H302-F303,0),0)</f>
        <v>0</v>
      </c>
      <c r="J303" s="18">
        <f ca="1">MONTH(A303)</f>
        <v>3</v>
      </c>
    </row>
    <row r="304" spans="1:10" s="18" customFormat="1" ht="18" customHeight="1">
      <c r="A304" s="318">
        <f ca="1">IF(ROWS($1:290)&gt;COUNT(Dong5),"",OFFSET(TH!C$1,SMALL(Dong5,ROWS($1:290)),))</f>
        <v>42444</v>
      </c>
      <c r="B304" s="318" t="str">
        <f ca="1">IF(ROWS($1:290)&gt;COUNT(Dong5),"",OFFSET(TH!D$1,SMALL(Dong5,ROWS($1:290)),))</f>
        <v>GBN</v>
      </c>
      <c r="C304" s="318">
        <f ca="1">IF(ROWS($1:290)&gt;COUNT(Dong5),"",OFFSET(TH!E$1,SMALL(Dong5,ROWS($1:290)),))</f>
        <v>42444</v>
      </c>
      <c r="D304" s="383" t="str">
        <f ca="1">IF(ROWS($1:290)&gt;COUNT(Dong5),"",OFFSET(TH!F$1,SMALL(Dong5,ROWS($1:290)),))</f>
        <v>VAT Phí xử lý bộ chứng từ</v>
      </c>
      <c r="E304" s="318" t="str">
        <f ca="1">IF(ROWS($1:290)&gt;COUNT(Dong5),"",IF(OFFSET(TH!N$1,SMALL(Dong5,ROWS($1:290)),)=$E$7,OFFSET(TH!O$1,SMALL(Dong5,ROWS($1:290)),),OFFSET(TH!N$1,SMALL(Dong5,ROWS($1:290)),)))</f>
        <v>1122</v>
      </c>
      <c r="F304" s="384">
        <f ca="1">IF(ROWS($1:290)&gt;COUNT(Dong5),0,IF(OFFSET(TH!N$1,SMALL(Dong5,ROWS($1:290)),)=$E$7,OFFSET(TH!M$1,SMALL(Dong5,ROWS($1:290)),),0))</f>
        <v>22295</v>
      </c>
      <c r="G304" s="382">
        <f ca="1">IF(ROWS($1:290)&gt;COUNT(Dong5),0,IF(OFFSET(TH!O$1,SMALL(Dong5,ROWS($1:290)),)=$E$7,OFFSET(TH!M$1,SMALL(Dong5,ROWS($1:290)),),0))</f>
        <v>0</v>
      </c>
      <c r="H304" s="385">
        <f ca="1">IF(D304&lt;&gt;"",MAX(H303+F304-G304-I303,0),0)</f>
        <v>541425538</v>
      </c>
      <c r="I304" s="385">
        <f ca="1">IF(D304&lt;&gt;"",MAX(I303+G304-H303-F304,0),0)</f>
        <v>0</v>
      </c>
      <c r="J304" s="18">
        <f ca="1">MONTH(A304)</f>
        <v>3</v>
      </c>
    </row>
    <row r="305" spans="1:10" s="18" customFormat="1" ht="18" customHeight="1">
      <c r="A305" s="318">
        <f ca="1">IF(ROWS($1:291)&gt;COUNT(Dong5),"",OFFSET(TH!C$1,SMALL(Dong5,ROWS($1:291)),))</f>
        <v>42444</v>
      </c>
      <c r="B305" s="318" t="str">
        <f ca="1">IF(ROWS($1:291)&gt;COUNT(Dong5),"",OFFSET(TH!D$1,SMALL(Dong5,ROWS($1:291)),))</f>
        <v>GBN</v>
      </c>
      <c r="C305" s="318">
        <f ca="1">IF(ROWS($1:291)&gt;COUNT(Dong5),"",OFFSET(TH!E$1,SMALL(Dong5,ROWS($1:291)),))</f>
        <v>42444</v>
      </c>
      <c r="D305" s="383" t="str">
        <f ca="1">IF(ROWS($1:291)&gt;COUNT(Dong5),"",OFFSET(TH!F$1,SMALL(Dong5,ROWS($1:291)),))</f>
        <v>VAT Bưu phí</v>
      </c>
      <c r="E305" s="318" t="str">
        <f ca="1">IF(ROWS($1:291)&gt;COUNT(Dong5),"",IF(OFFSET(TH!N$1,SMALL(Dong5,ROWS($1:291)),)=$E$7,OFFSET(TH!O$1,SMALL(Dong5,ROWS($1:291)),),OFFSET(TH!N$1,SMALL(Dong5,ROWS($1:291)),)))</f>
        <v>1122</v>
      </c>
      <c r="F305" s="384">
        <f ca="1">IF(ROWS($1:291)&gt;COUNT(Dong5),0,IF(OFFSET(TH!N$1,SMALL(Dong5,ROWS($1:291)),)=$E$7,OFFSET(TH!M$1,SMALL(Dong5,ROWS($1:291)),),0))</f>
        <v>70452</v>
      </c>
      <c r="G305" s="382">
        <f ca="1">IF(ROWS($1:291)&gt;COUNT(Dong5),0,IF(OFFSET(TH!O$1,SMALL(Dong5,ROWS($1:291)),)=$E$7,OFFSET(TH!M$1,SMALL(Dong5,ROWS($1:291)),),0))</f>
        <v>0</v>
      </c>
      <c r="H305" s="385">
        <f ca="1">IF(D305&lt;&gt;"",MAX(H304+F305-G305-I304,0),0)</f>
        <v>541495990</v>
      </c>
      <c r="I305" s="385">
        <f ca="1">IF(D305&lt;&gt;"",MAX(I304+G305-H304-F305,0),0)</f>
        <v>0</v>
      </c>
      <c r="J305" s="18">
        <f ca="1">MONTH(A305)</f>
        <v>3</v>
      </c>
    </row>
    <row r="306" spans="1:10" s="18" customFormat="1" ht="18" customHeight="1">
      <c r="A306" s="318">
        <f ca="1">IF(ROWS($1:292)&gt;COUNT(Dong5),"",OFFSET(TH!C$1,SMALL(Dong5,ROWS($1:292)),))</f>
        <v>42444</v>
      </c>
      <c r="B306" s="318" t="str">
        <f ca="1">IF(ROWS($1:292)&gt;COUNT(Dong5),"",OFFSET(TH!D$1,SMALL(Dong5,ROWS($1:292)),))</f>
        <v>GBN</v>
      </c>
      <c r="C306" s="318">
        <f ca="1">IF(ROWS($1:292)&gt;COUNT(Dong5),"",OFFSET(TH!E$1,SMALL(Dong5,ROWS($1:292)),))</f>
        <v>42444</v>
      </c>
      <c r="D306" s="383" t="str">
        <f ca="1">IF(ROWS($1:292)&gt;COUNT(Dong5),"",OFFSET(TH!F$1,SMALL(Dong5,ROWS($1:292)),))</f>
        <v>VAT Phí chuyển tiền</v>
      </c>
      <c r="E306" s="318" t="str">
        <f ca="1">IF(ROWS($1:292)&gt;COUNT(Dong5),"",IF(OFFSET(TH!N$1,SMALL(Dong5,ROWS($1:292)),)=$E$7,OFFSET(TH!O$1,SMALL(Dong5,ROWS($1:292)),),OFFSET(TH!N$1,SMALL(Dong5,ROWS($1:292)),)))</f>
        <v>1121</v>
      </c>
      <c r="F306" s="384">
        <f ca="1">IF(ROWS($1:292)&gt;COUNT(Dong5),0,IF(OFFSET(TH!N$1,SMALL(Dong5,ROWS($1:292)),)=$E$7,OFFSET(TH!M$1,SMALL(Dong5,ROWS($1:292)),),0))</f>
        <v>2000</v>
      </c>
      <c r="G306" s="382">
        <f ca="1">IF(ROWS($1:292)&gt;COUNT(Dong5),0,IF(OFFSET(TH!O$1,SMALL(Dong5,ROWS($1:292)),)=$E$7,OFFSET(TH!M$1,SMALL(Dong5,ROWS($1:292)),),0))</f>
        <v>0</v>
      </c>
      <c r="H306" s="385">
        <f ca="1">IF(D306&lt;&gt;"",MAX(H305+F306-G306-I305,0),0)</f>
        <v>541497990</v>
      </c>
      <c r="I306" s="385">
        <f ca="1">IF(D306&lt;&gt;"",MAX(I305+G306-H305-F306,0),0)</f>
        <v>0</v>
      </c>
      <c r="J306" s="18">
        <f ca="1">MONTH(A306)</f>
        <v>3</v>
      </c>
    </row>
    <row r="307" spans="1:10" s="18" customFormat="1" ht="18" customHeight="1">
      <c r="A307" s="318">
        <f ca="1">IF(ROWS($1:293)&gt;COUNT(Dong5),"",OFFSET(TH!C$1,SMALL(Dong5,ROWS($1:293)),))</f>
        <v>42444</v>
      </c>
      <c r="B307" s="318" t="str">
        <f ca="1">IF(ROWS($1:293)&gt;COUNT(Dong5),"",OFFSET(TH!D$1,SMALL(Dong5,ROWS($1:293)),))</f>
        <v>GBN</v>
      </c>
      <c r="C307" s="318">
        <f ca="1">IF(ROWS($1:293)&gt;COUNT(Dong5),"",OFFSET(TH!E$1,SMALL(Dong5,ROWS($1:293)),))</f>
        <v>42444</v>
      </c>
      <c r="D307" s="383" t="str">
        <f ca="1">IF(ROWS($1:293)&gt;COUNT(Dong5),"",OFFSET(TH!F$1,SMALL(Dong5,ROWS($1:293)),))</f>
        <v>VAT Phí chuyển tiền</v>
      </c>
      <c r="E307" s="318" t="str">
        <f ca="1">IF(ROWS($1:293)&gt;COUNT(Dong5),"",IF(OFFSET(TH!N$1,SMALL(Dong5,ROWS($1:293)),)=$E$7,OFFSET(TH!O$1,SMALL(Dong5,ROWS($1:293)),),OFFSET(TH!N$1,SMALL(Dong5,ROWS($1:293)),)))</f>
        <v>1121</v>
      </c>
      <c r="F307" s="384">
        <f ca="1">IF(ROWS($1:293)&gt;COUNT(Dong5),0,IF(OFFSET(TH!N$1,SMALL(Dong5,ROWS($1:293)),)=$E$7,OFFSET(TH!M$1,SMALL(Dong5,ROWS($1:293)),),0))</f>
        <v>2000</v>
      </c>
      <c r="G307" s="382">
        <f ca="1">IF(ROWS($1:293)&gt;COUNT(Dong5),0,IF(OFFSET(TH!O$1,SMALL(Dong5,ROWS($1:293)),)=$E$7,OFFSET(TH!M$1,SMALL(Dong5,ROWS($1:293)),),0))</f>
        <v>0</v>
      </c>
      <c r="H307" s="385">
        <f ca="1">IF(D307&lt;&gt;"",MAX(H306+F307-G307-I306,0),0)</f>
        <v>541499990</v>
      </c>
      <c r="I307" s="385">
        <f ca="1">IF(D307&lt;&gt;"",MAX(I306+G307-H306-F307,0),0)</f>
        <v>0</v>
      </c>
      <c r="J307" s="18">
        <f ca="1">MONTH(A307)</f>
        <v>3</v>
      </c>
    </row>
    <row r="308" spans="1:10" s="18" customFormat="1" ht="18" customHeight="1">
      <c r="A308" s="318">
        <f ca="1">IF(ROWS($1:294)&gt;COUNT(Dong5),"",OFFSET(TH!C$1,SMALL(Dong5,ROWS($1:294)),))</f>
        <v>42444</v>
      </c>
      <c r="B308" s="318" t="str">
        <f ca="1">IF(ROWS($1:294)&gt;COUNT(Dong5),"",OFFSET(TH!D$1,SMALL(Dong5,ROWS($1:294)),))</f>
        <v>GBN</v>
      </c>
      <c r="C308" s="318">
        <f ca="1">IF(ROWS($1:294)&gt;COUNT(Dong5),"",OFFSET(TH!E$1,SMALL(Dong5,ROWS($1:294)),))</f>
        <v>42444</v>
      </c>
      <c r="D308" s="383" t="str">
        <f ca="1">IF(ROWS($1:294)&gt;COUNT(Dong5),"",OFFSET(TH!F$1,SMALL(Dong5,ROWS($1:294)),))</f>
        <v>VAT Phí chuyển tiền</v>
      </c>
      <c r="E308" s="318" t="str">
        <f ca="1">IF(ROWS($1:294)&gt;COUNT(Dong5),"",IF(OFFSET(TH!N$1,SMALL(Dong5,ROWS($1:294)),)=$E$7,OFFSET(TH!O$1,SMALL(Dong5,ROWS($1:294)),),OFFSET(TH!N$1,SMALL(Dong5,ROWS($1:294)),)))</f>
        <v>1121</v>
      </c>
      <c r="F308" s="384">
        <f ca="1">IF(ROWS($1:294)&gt;COUNT(Dong5),0,IF(OFFSET(TH!N$1,SMALL(Dong5,ROWS($1:294)),)=$E$7,OFFSET(TH!M$1,SMALL(Dong5,ROWS($1:294)),),0))</f>
        <v>2500</v>
      </c>
      <c r="G308" s="382">
        <f ca="1">IF(ROWS($1:294)&gt;COUNT(Dong5),0,IF(OFFSET(TH!O$1,SMALL(Dong5,ROWS($1:294)),)=$E$7,OFFSET(TH!M$1,SMALL(Dong5,ROWS($1:294)),),0))</f>
        <v>0</v>
      </c>
      <c r="H308" s="385">
        <f ca="1">IF(D308&lt;&gt;"",MAX(H307+F308-G308-I307,0),0)</f>
        <v>541502490</v>
      </c>
      <c r="I308" s="385">
        <f ca="1">IF(D308&lt;&gt;"",MAX(I307+G308-H307-F308,0),0)</f>
        <v>0</v>
      </c>
      <c r="J308" s="18">
        <f ca="1">MONTH(A308)</f>
        <v>3</v>
      </c>
    </row>
    <row r="309" spans="1:10" s="18" customFormat="1" ht="18" customHeight="1">
      <c r="A309" s="318">
        <f ca="1">IF(ROWS($1:295)&gt;COUNT(Dong5),"",OFFSET(TH!C$1,SMALL(Dong5,ROWS($1:295)),))</f>
        <v>42444</v>
      </c>
      <c r="B309" s="318" t="str">
        <f ca="1">IF(ROWS($1:295)&gt;COUNT(Dong5),"",OFFSET(TH!D$1,SMALL(Dong5,ROWS($1:295)),))</f>
        <v>GBN</v>
      </c>
      <c r="C309" s="318">
        <f ca="1">IF(ROWS($1:295)&gt;COUNT(Dong5),"",OFFSET(TH!E$1,SMALL(Dong5,ROWS($1:295)),))</f>
        <v>42444</v>
      </c>
      <c r="D309" s="383" t="str">
        <f ca="1">IF(ROWS($1:295)&gt;COUNT(Dong5),"",OFFSET(TH!F$1,SMALL(Dong5,ROWS($1:295)),))</f>
        <v>VAT Phí chuyển tiền</v>
      </c>
      <c r="E309" s="318" t="str">
        <f ca="1">IF(ROWS($1:295)&gt;COUNT(Dong5),"",IF(OFFSET(TH!N$1,SMALL(Dong5,ROWS($1:295)),)=$E$7,OFFSET(TH!O$1,SMALL(Dong5,ROWS($1:295)),),OFFSET(TH!N$1,SMALL(Dong5,ROWS($1:295)),)))</f>
        <v>1121</v>
      </c>
      <c r="F309" s="384">
        <f ca="1">IF(ROWS($1:295)&gt;COUNT(Dong5),0,IF(OFFSET(TH!N$1,SMALL(Dong5,ROWS($1:295)),)=$E$7,OFFSET(TH!M$1,SMALL(Dong5,ROWS($1:295)),),0))</f>
        <v>2500</v>
      </c>
      <c r="G309" s="382">
        <f ca="1">IF(ROWS($1:295)&gt;COUNT(Dong5),0,IF(OFFSET(TH!O$1,SMALL(Dong5,ROWS($1:295)),)=$E$7,OFFSET(TH!M$1,SMALL(Dong5,ROWS($1:295)),),0))</f>
        <v>0</v>
      </c>
      <c r="H309" s="385">
        <f ca="1">IF(D309&lt;&gt;"",MAX(H308+F309-G309-I308,0),0)</f>
        <v>541504990</v>
      </c>
      <c r="I309" s="385">
        <f ca="1">IF(D309&lt;&gt;"",MAX(I308+G309-H308-F309,0),0)</f>
        <v>0</v>
      </c>
      <c r="J309" s="18">
        <f ca="1">MONTH(A309)</f>
        <v>3</v>
      </c>
    </row>
    <row r="310" spans="1:10" s="18" customFormat="1" ht="18" customHeight="1">
      <c r="A310" s="318">
        <f ca="1">IF(ROWS($1:296)&gt;COUNT(Dong5),"",OFFSET(TH!C$1,SMALL(Dong5,ROWS($1:296)),))</f>
        <v>42444</v>
      </c>
      <c r="B310" s="318" t="str">
        <f ca="1">IF(ROWS($1:296)&gt;COUNT(Dong5),"",OFFSET(TH!D$1,SMALL(Dong5,ROWS($1:296)),))</f>
        <v>GBN</v>
      </c>
      <c r="C310" s="318">
        <f ca="1">IF(ROWS($1:296)&gt;COUNT(Dong5),"",OFFSET(TH!E$1,SMALL(Dong5,ROWS($1:296)),))</f>
        <v>42444</v>
      </c>
      <c r="D310" s="383" t="str">
        <f ca="1">IF(ROWS($1:296)&gt;COUNT(Dong5),"",OFFSET(TH!F$1,SMALL(Dong5,ROWS($1:296)),))</f>
        <v>VAT Phí chuyển tiền</v>
      </c>
      <c r="E310" s="318" t="str">
        <f ca="1">IF(ROWS($1:296)&gt;COUNT(Dong5),"",IF(OFFSET(TH!N$1,SMALL(Dong5,ROWS($1:296)),)=$E$7,OFFSET(TH!O$1,SMALL(Dong5,ROWS($1:296)),),OFFSET(TH!N$1,SMALL(Dong5,ROWS($1:296)),)))</f>
        <v>1121</v>
      </c>
      <c r="F310" s="384">
        <f ca="1">IF(ROWS($1:296)&gt;COUNT(Dong5),0,IF(OFFSET(TH!N$1,SMALL(Dong5,ROWS($1:296)),)=$E$7,OFFSET(TH!M$1,SMALL(Dong5,ROWS($1:296)),),0))</f>
        <v>5000</v>
      </c>
      <c r="G310" s="382">
        <f ca="1">IF(ROWS($1:296)&gt;COUNT(Dong5),0,IF(OFFSET(TH!O$1,SMALL(Dong5,ROWS($1:296)),)=$E$7,OFFSET(TH!M$1,SMALL(Dong5,ROWS($1:296)),),0))</f>
        <v>0</v>
      </c>
      <c r="H310" s="385">
        <f ca="1">IF(D310&lt;&gt;"",MAX(H309+F310-G310-I309,0),0)</f>
        <v>541509990</v>
      </c>
      <c r="I310" s="385">
        <f ca="1">IF(D310&lt;&gt;"",MAX(I309+G310-H309-F310,0),0)</f>
        <v>0</v>
      </c>
      <c r="J310" s="18">
        <f ca="1">MONTH(A310)</f>
        <v>3</v>
      </c>
    </row>
    <row r="311" spans="1:10" s="18" customFormat="1" ht="18" customHeight="1">
      <c r="A311" s="318">
        <f ca="1">IF(ROWS($1:297)&gt;COUNT(Dong5),"",OFFSET(TH!C$1,SMALL(Dong5,ROWS($1:297)),))</f>
        <v>42634</v>
      </c>
      <c r="B311" s="318" t="str">
        <f ca="1">IF(ROWS($1:297)&gt;COUNT(Dong5),"",OFFSET(TH!D$1,SMALL(Dong5,ROWS($1:297)),))</f>
        <v>VL/N02</v>
      </c>
      <c r="C311" s="318">
        <f ca="1">IF(ROWS($1:297)&gt;COUNT(Dong5),"",OFFSET(TH!E$1,SMALL(Dong5,ROWS($1:297)),))</f>
        <v>42634</v>
      </c>
      <c r="D311" s="383" t="str">
        <f ca="1">IF(ROWS($1:297)&gt;COUNT(Dong5),"",OFFSET(TH!F$1,SMALL(Dong5,ROWS($1:297)),))</f>
        <v>VAT Hộp ghẹ</v>
      </c>
      <c r="E311" s="318" t="str">
        <f ca="1">IF(ROWS($1:297)&gt;COUNT(Dong5),"",IF(OFFSET(TH!N$1,SMALL(Dong5,ROWS($1:297)),)=$E$7,OFFSET(TH!O$1,SMALL(Dong5,ROWS($1:297)),),OFFSET(TH!N$1,SMALL(Dong5,ROWS($1:297)),)))</f>
        <v>331</v>
      </c>
      <c r="F311" s="384">
        <f ca="1">IF(ROWS($1:297)&gt;COUNT(Dong5),0,IF(OFFSET(TH!N$1,SMALL(Dong5,ROWS($1:297)),)=$E$7,OFFSET(TH!M$1,SMALL(Dong5,ROWS($1:297)),),0))</f>
        <v>3360000</v>
      </c>
      <c r="G311" s="382">
        <f ca="1">IF(ROWS($1:297)&gt;COUNT(Dong5),0,IF(OFFSET(TH!O$1,SMALL(Dong5,ROWS($1:297)),)=$E$7,OFFSET(TH!M$1,SMALL(Dong5,ROWS($1:297)),),0))</f>
        <v>0</v>
      </c>
      <c r="H311" s="385">
        <f ca="1">IF(D311&lt;&gt;"",MAX(H310+F311-G311-I310,0),0)</f>
        <v>544869990</v>
      </c>
      <c r="I311" s="385">
        <f ca="1">IF(D311&lt;&gt;"",MAX(I310+G311-H310-F311,0),0)</f>
        <v>0</v>
      </c>
      <c r="J311" s="18">
        <f ca="1">MONTH(A311)</f>
        <v>9</v>
      </c>
    </row>
    <row r="312" spans="1:10" s="18" customFormat="1" ht="18" customHeight="1">
      <c r="A312" s="318">
        <f ca="1">IF(ROWS($1:298)&gt;COUNT(Dong5),"",OFFSET(TH!C$1,SMALL(Dong5,ROWS($1:298)),))</f>
        <v>42444</v>
      </c>
      <c r="B312" s="318" t="str">
        <f ca="1">IF(ROWS($1:298)&gt;COUNT(Dong5),"",OFFSET(TH!D$1,SMALL(Dong5,ROWS($1:298)),))</f>
        <v>GBN</v>
      </c>
      <c r="C312" s="318">
        <f ca="1">IF(ROWS($1:298)&gt;COUNT(Dong5),"",OFFSET(TH!E$1,SMALL(Dong5,ROWS($1:298)),))</f>
        <v>42444</v>
      </c>
      <c r="D312" s="383" t="str">
        <f ca="1">IF(ROWS($1:298)&gt;COUNT(Dong5),"",OFFSET(TH!F$1,SMALL(Dong5,ROWS($1:298)),))</f>
        <v>VAT Phí chuyển tiền</v>
      </c>
      <c r="E312" s="318" t="str">
        <f ca="1">IF(ROWS($1:298)&gt;COUNT(Dong5),"",IF(OFFSET(TH!N$1,SMALL(Dong5,ROWS($1:298)),)=$E$7,OFFSET(TH!O$1,SMALL(Dong5,ROWS($1:298)),),OFFSET(TH!N$1,SMALL(Dong5,ROWS($1:298)),)))</f>
        <v>1121</v>
      </c>
      <c r="F312" s="384">
        <f ca="1">IF(ROWS($1:298)&gt;COUNT(Dong5),0,IF(OFFSET(TH!N$1,SMALL(Dong5,ROWS($1:298)),)=$E$7,OFFSET(TH!M$1,SMALL(Dong5,ROWS($1:298)),),0))</f>
        <v>2000</v>
      </c>
      <c r="G312" s="382">
        <f ca="1">IF(ROWS($1:298)&gt;COUNT(Dong5),0,IF(OFFSET(TH!O$1,SMALL(Dong5,ROWS($1:298)),)=$E$7,OFFSET(TH!M$1,SMALL(Dong5,ROWS($1:298)),),0))</f>
        <v>0</v>
      </c>
      <c r="H312" s="385">
        <f ca="1">IF(D312&lt;&gt;"",MAX(H311+F312-G312-I311,0),0)</f>
        <v>544871990</v>
      </c>
      <c r="I312" s="385">
        <f ca="1">IF(D312&lt;&gt;"",MAX(I311+G312-H311-F312,0),0)</f>
        <v>0</v>
      </c>
      <c r="J312" s="18">
        <f ca="1">MONTH(A312)</f>
        <v>3</v>
      </c>
    </row>
    <row r="313" spans="1:10" s="18" customFormat="1" ht="18" customHeight="1">
      <c r="A313" s="318">
        <f ca="1">IF(ROWS($1:299)&gt;COUNT(Dong5),"",OFFSET(TH!C$1,SMALL(Dong5,ROWS($1:299)),))</f>
        <v>42444</v>
      </c>
      <c r="B313" s="318" t="str">
        <f ca="1">IF(ROWS($1:299)&gt;COUNT(Dong5),"",OFFSET(TH!D$1,SMALL(Dong5,ROWS($1:299)),))</f>
        <v>GBN</v>
      </c>
      <c r="C313" s="318">
        <f ca="1">IF(ROWS($1:299)&gt;COUNT(Dong5),"",OFFSET(TH!E$1,SMALL(Dong5,ROWS($1:299)),))</f>
        <v>42444</v>
      </c>
      <c r="D313" s="383" t="str">
        <f ca="1">IF(ROWS($1:299)&gt;COUNT(Dong5),"",OFFSET(TH!F$1,SMALL(Dong5,ROWS($1:299)),))</f>
        <v>VAT Phí chuyển tiền</v>
      </c>
      <c r="E313" s="318" t="str">
        <f ca="1">IF(ROWS($1:299)&gt;COUNT(Dong5),"",IF(OFFSET(TH!N$1,SMALL(Dong5,ROWS($1:299)),)=$E$7,OFFSET(TH!O$1,SMALL(Dong5,ROWS($1:299)),),OFFSET(TH!N$1,SMALL(Dong5,ROWS($1:299)),)))</f>
        <v>1121</v>
      </c>
      <c r="F313" s="384">
        <f ca="1">IF(ROWS($1:299)&gt;COUNT(Dong5),0,IF(OFFSET(TH!N$1,SMALL(Dong5,ROWS($1:299)),)=$E$7,OFFSET(TH!M$1,SMALL(Dong5,ROWS($1:299)),),0))</f>
        <v>2000</v>
      </c>
      <c r="G313" s="382">
        <f ca="1">IF(ROWS($1:299)&gt;COUNT(Dong5),0,IF(OFFSET(TH!O$1,SMALL(Dong5,ROWS($1:299)),)=$E$7,OFFSET(TH!M$1,SMALL(Dong5,ROWS($1:299)),),0))</f>
        <v>0</v>
      </c>
      <c r="H313" s="385">
        <f ca="1">IF(D313&lt;&gt;"",MAX(H312+F313-G313-I312,0),0)</f>
        <v>544873990</v>
      </c>
      <c r="I313" s="385">
        <f ca="1">IF(D313&lt;&gt;"",MAX(I312+G313-H312-F313,0),0)</f>
        <v>0</v>
      </c>
      <c r="J313" s="18">
        <f ca="1">MONTH(A313)</f>
        <v>3</v>
      </c>
    </row>
    <row r="314" spans="1:10" s="18" customFormat="1" ht="18" customHeight="1">
      <c r="A314" s="318">
        <f ca="1">IF(ROWS($1:300)&gt;COUNT(Dong5),"",OFFSET(TH!C$1,SMALL(Dong5,ROWS($1:300)),))</f>
        <v>42490</v>
      </c>
      <c r="B314" s="318" t="str">
        <f ca="1">IF(ROWS($1:300)&gt;COUNT(Dong5),"",OFFSET(TH!D$1,SMALL(Dong5,ROWS($1:300)),))</f>
        <v>CTGS</v>
      </c>
      <c r="C314" s="318">
        <f ca="1">IF(ROWS($1:300)&gt;COUNT(Dong5),"",OFFSET(TH!E$1,SMALL(Dong5,ROWS($1:300)),))</f>
        <v>42475</v>
      </c>
      <c r="D314" s="383" t="str">
        <f ca="1">IF(ROWS($1:300)&gt;COUNT(Dong5),"",OFFSET(TH!F$1,SMALL(Dong5,ROWS($1:300)),))</f>
        <v>VAT Phí xếp dỡ, niêm chì, điện giao hàng, chứng từ</v>
      </c>
      <c r="E314" s="318" t="str">
        <f ca="1">IF(ROWS($1:300)&gt;COUNT(Dong5),"",IF(OFFSET(TH!N$1,SMALL(Dong5,ROWS($1:300)),)=$E$7,OFFSET(TH!O$1,SMALL(Dong5,ROWS($1:300)),),OFFSET(TH!N$1,SMALL(Dong5,ROWS($1:300)),)))</f>
        <v>331</v>
      </c>
      <c r="F314" s="384">
        <f ca="1">IF(ROWS($1:300)&gt;COUNT(Dong5),0,IF(OFFSET(TH!N$1,SMALL(Dong5,ROWS($1:300)),)=$E$7,OFFSET(TH!M$1,SMALL(Dong5,ROWS($1:300)),),0))</f>
        <v>621886</v>
      </c>
      <c r="G314" s="382">
        <f ca="1">IF(ROWS($1:300)&gt;COUNT(Dong5),0,IF(OFFSET(TH!O$1,SMALL(Dong5,ROWS($1:300)),)=$E$7,OFFSET(TH!M$1,SMALL(Dong5,ROWS($1:300)),),0))</f>
        <v>0</v>
      </c>
      <c r="H314" s="385">
        <f ca="1">IF(D314&lt;&gt;"",MAX(H313+F314-G314-I313,0),0)</f>
        <v>545495876</v>
      </c>
      <c r="I314" s="385">
        <f ca="1">IF(D314&lt;&gt;"",MAX(I313+G314-H313-F314,0),0)</f>
        <v>0</v>
      </c>
      <c r="J314" s="18">
        <f ca="1">MONTH(A314)</f>
        <v>4</v>
      </c>
    </row>
    <row r="315" spans="1:10" s="18" customFormat="1" ht="18" customHeight="1">
      <c r="A315" s="318">
        <f ca="1">IF(ROWS($1:301)&gt;COUNT(Dong5),"",OFFSET(TH!C$1,SMALL(Dong5,ROWS($1:301)),))</f>
        <v>42444</v>
      </c>
      <c r="B315" s="318" t="str">
        <f ca="1">IF(ROWS($1:301)&gt;COUNT(Dong5),"",OFFSET(TH!D$1,SMALL(Dong5,ROWS($1:301)),))</f>
        <v>GBN</v>
      </c>
      <c r="C315" s="318">
        <f ca="1">IF(ROWS($1:301)&gt;COUNT(Dong5),"",OFFSET(TH!E$1,SMALL(Dong5,ROWS($1:301)),))</f>
        <v>42444</v>
      </c>
      <c r="D315" s="383" t="str">
        <f ca="1">IF(ROWS($1:301)&gt;COUNT(Dong5),"",OFFSET(TH!F$1,SMALL(Dong5,ROWS($1:301)),))</f>
        <v>VAT Phí chuyển tiền</v>
      </c>
      <c r="E315" s="318" t="str">
        <f ca="1">IF(ROWS($1:301)&gt;COUNT(Dong5),"",IF(OFFSET(TH!N$1,SMALL(Dong5,ROWS($1:301)),)=$E$7,OFFSET(TH!O$1,SMALL(Dong5,ROWS($1:301)),),OFFSET(TH!N$1,SMALL(Dong5,ROWS($1:301)),)))</f>
        <v>1121</v>
      </c>
      <c r="F315" s="384">
        <f ca="1">IF(ROWS($1:301)&gt;COUNT(Dong5),0,IF(OFFSET(TH!N$1,SMALL(Dong5,ROWS($1:301)),)=$E$7,OFFSET(TH!M$1,SMALL(Dong5,ROWS($1:301)),),0))</f>
        <v>2000</v>
      </c>
      <c r="G315" s="382">
        <f ca="1">IF(ROWS($1:301)&gt;COUNT(Dong5),0,IF(OFFSET(TH!O$1,SMALL(Dong5,ROWS($1:301)),)=$E$7,OFFSET(TH!M$1,SMALL(Dong5,ROWS($1:301)),),0))</f>
        <v>0</v>
      </c>
      <c r="H315" s="385">
        <f ca="1">IF(D315&lt;&gt;"",MAX(H314+F315-G315-I314,0),0)</f>
        <v>545497876</v>
      </c>
      <c r="I315" s="385">
        <f ca="1">IF(D315&lt;&gt;"",MAX(I314+G315-H314-F315,0),0)</f>
        <v>0</v>
      </c>
      <c r="J315" s="18">
        <f ca="1">MONTH(A315)</f>
        <v>3</v>
      </c>
    </row>
    <row r="316" spans="1:10" s="18" customFormat="1" ht="18" customHeight="1">
      <c r="A316" s="318">
        <f ca="1">IF(ROWS($1:302)&gt;COUNT(Dong5),"",OFFSET(TH!C$1,SMALL(Dong5,ROWS($1:302)),))</f>
        <v>42446</v>
      </c>
      <c r="B316" s="318" t="str">
        <f ca="1">IF(ROWS($1:302)&gt;COUNT(Dong5),"",OFFSET(TH!D$1,SMALL(Dong5,ROWS($1:302)),))</f>
        <v>C36</v>
      </c>
      <c r="C316" s="318">
        <f ca="1">IF(ROWS($1:302)&gt;COUNT(Dong5),"",OFFSET(TH!E$1,SMALL(Dong5,ROWS($1:302)),))</f>
        <v>42446</v>
      </c>
      <c r="D316" s="383" t="str">
        <f ca="1">IF(ROWS($1:302)&gt;COUNT(Dong5),"",OFFSET(TH!F$1,SMALL(Dong5,ROWS($1:302)),))</f>
        <v>VAT Sửa chữa xe 51F - 080.56</v>
      </c>
      <c r="E316" s="318" t="str">
        <f ca="1">IF(ROWS($1:302)&gt;COUNT(Dong5),"",IF(OFFSET(TH!N$1,SMALL(Dong5,ROWS($1:302)),)=$E$7,OFFSET(TH!O$1,SMALL(Dong5,ROWS($1:302)),),OFFSET(TH!N$1,SMALL(Dong5,ROWS($1:302)),)))</f>
        <v>1111</v>
      </c>
      <c r="F316" s="384">
        <f ca="1">IF(ROWS($1:302)&gt;COUNT(Dong5),0,IF(OFFSET(TH!N$1,SMALL(Dong5,ROWS($1:302)),)=$E$7,OFFSET(TH!M$1,SMALL(Dong5,ROWS($1:302)),),0))</f>
        <v>103388</v>
      </c>
      <c r="G316" s="382">
        <f ca="1">IF(ROWS($1:302)&gt;COUNT(Dong5),0,IF(OFFSET(TH!O$1,SMALL(Dong5,ROWS($1:302)),)=$E$7,OFFSET(TH!M$1,SMALL(Dong5,ROWS($1:302)),),0))</f>
        <v>0</v>
      </c>
      <c r="H316" s="385">
        <f ca="1">IF(D316&lt;&gt;"",MAX(H315+F316-G316-I315,0),0)</f>
        <v>545601264</v>
      </c>
      <c r="I316" s="385">
        <f ca="1">IF(D316&lt;&gt;"",MAX(I315+G316-H315-F316,0),0)</f>
        <v>0</v>
      </c>
      <c r="J316" s="18">
        <f ca="1">MONTH(A316)</f>
        <v>3</v>
      </c>
    </row>
    <row r="317" spans="1:10" s="18" customFormat="1" ht="18" customHeight="1">
      <c r="A317" s="318">
        <f ca="1">IF(ROWS($1:303)&gt;COUNT(Dong5),"",OFFSET(TH!C$1,SMALL(Dong5,ROWS($1:303)),))</f>
        <v>42446</v>
      </c>
      <c r="B317" s="318" t="str">
        <f ca="1">IF(ROWS($1:303)&gt;COUNT(Dong5),"",OFFSET(TH!D$1,SMALL(Dong5,ROWS($1:303)),))</f>
        <v>C37</v>
      </c>
      <c r="C317" s="318">
        <f ca="1">IF(ROWS($1:303)&gt;COUNT(Dong5),"",OFFSET(TH!E$1,SMALL(Dong5,ROWS($1:303)),))</f>
        <v>42446</v>
      </c>
      <c r="D317" s="383" t="str">
        <f ca="1">IF(ROWS($1:303)&gt;COUNT(Dong5),"",OFFSET(TH!F$1,SMALL(Dong5,ROWS($1:303)),))</f>
        <v>VAT Dầu DO</v>
      </c>
      <c r="E317" s="318" t="str">
        <f ca="1">IF(ROWS($1:303)&gt;COUNT(Dong5),"",IF(OFFSET(TH!N$1,SMALL(Dong5,ROWS($1:303)),)=$E$7,OFFSET(TH!O$1,SMALL(Dong5,ROWS($1:303)),),OFFSET(TH!N$1,SMALL(Dong5,ROWS($1:303)),)))</f>
        <v>1111</v>
      </c>
      <c r="F317" s="384">
        <f ca="1">IF(ROWS($1:303)&gt;COUNT(Dong5),0,IF(OFFSET(TH!N$1,SMALL(Dong5,ROWS($1:303)),)=$E$7,OFFSET(TH!M$1,SMALL(Dong5,ROWS($1:303)),),0))</f>
        <v>51384</v>
      </c>
      <c r="G317" s="382">
        <f ca="1">IF(ROWS($1:303)&gt;COUNT(Dong5),0,IF(OFFSET(TH!O$1,SMALL(Dong5,ROWS($1:303)),)=$E$7,OFFSET(TH!M$1,SMALL(Dong5,ROWS($1:303)),),0))</f>
        <v>0</v>
      </c>
      <c r="H317" s="385">
        <f ca="1">IF(D317&lt;&gt;"",MAX(H316+F317-G317-I316,0),0)</f>
        <v>545652648</v>
      </c>
      <c r="I317" s="385">
        <f ca="1">IF(D317&lt;&gt;"",MAX(I316+G317-H316-F317,0),0)</f>
        <v>0</v>
      </c>
      <c r="J317" s="18">
        <f ca="1">MONTH(A317)</f>
        <v>3</v>
      </c>
    </row>
    <row r="318" spans="1:10" s="18" customFormat="1" ht="18" customHeight="1">
      <c r="A318" s="318">
        <f ca="1">IF(ROWS($1:304)&gt;COUNT(Dong5),"",OFFSET(TH!C$1,SMALL(Dong5,ROWS($1:304)),))</f>
        <v>42446</v>
      </c>
      <c r="B318" s="318" t="str">
        <f ca="1">IF(ROWS($1:304)&gt;COUNT(Dong5),"",OFFSET(TH!D$1,SMALL(Dong5,ROWS($1:304)),))</f>
        <v>GBN</v>
      </c>
      <c r="C318" s="318">
        <f ca="1">IF(ROWS($1:304)&gt;COUNT(Dong5),"",OFFSET(TH!E$1,SMALL(Dong5,ROWS($1:304)),))</f>
        <v>42446</v>
      </c>
      <c r="D318" s="383" t="str">
        <f ca="1">IF(ROWS($1:304)&gt;COUNT(Dong5),"",OFFSET(TH!F$1,SMALL(Dong5,ROWS($1:304)),))</f>
        <v>VAT Phí thông báo số dư</v>
      </c>
      <c r="E318" s="318" t="str">
        <f ca="1">IF(ROWS($1:304)&gt;COUNT(Dong5),"",IF(OFFSET(TH!N$1,SMALL(Dong5,ROWS($1:304)),)=$E$7,OFFSET(TH!O$1,SMALL(Dong5,ROWS($1:304)),),OFFSET(TH!N$1,SMALL(Dong5,ROWS($1:304)),)))</f>
        <v>1121</v>
      </c>
      <c r="F318" s="384">
        <f ca="1">IF(ROWS($1:304)&gt;COUNT(Dong5),0,IF(OFFSET(TH!N$1,SMALL(Dong5,ROWS($1:304)),)=$E$7,OFFSET(TH!M$1,SMALL(Dong5,ROWS($1:304)),),0))</f>
        <v>5000</v>
      </c>
      <c r="G318" s="382">
        <f ca="1">IF(ROWS($1:304)&gt;COUNT(Dong5),0,IF(OFFSET(TH!O$1,SMALL(Dong5,ROWS($1:304)),)=$E$7,OFFSET(TH!M$1,SMALL(Dong5,ROWS($1:304)),),0))</f>
        <v>0</v>
      </c>
      <c r="H318" s="385">
        <f ca="1">IF(D318&lt;&gt;"",MAX(H317+F318-G318-I317,0),0)</f>
        <v>545657648</v>
      </c>
      <c r="I318" s="385">
        <f ca="1">IF(D318&lt;&gt;"",MAX(I317+G318-H317-F318,0),0)</f>
        <v>0</v>
      </c>
      <c r="J318" s="18">
        <f ca="1">MONTH(A318)</f>
        <v>3</v>
      </c>
    </row>
    <row r="319" spans="1:10" s="18" customFormat="1" ht="18" customHeight="1">
      <c r="A319" s="318">
        <f ca="1">IF(ROWS($1:305)&gt;COUNT(Dong5),"",OFFSET(TH!C$1,SMALL(Dong5,ROWS($1:305)),))</f>
        <v>42446</v>
      </c>
      <c r="B319" s="318" t="str">
        <f ca="1">IF(ROWS($1:305)&gt;COUNT(Dong5),"",OFFSET(TH!D$1,SMALL(Dong5,ROWS($1:305)),))</f>
        <v>GBN</v>
      </c>
      <c r="C319" s="318">
        <f ca="1">IF(ROWS($1:305)&gt;COUNT(Dong5),"",OFFSET(TH!E$1,SMALL(Dong5,ROWS($1:305)),))</f>
        <v>42446</v>
      </c>
      <c r="D319" s="383" t="str">
        <f ca="1">IF(ROWS($1:305)&gt;COUNT(Dong5),"",OFFSET(TH!F$1,SMALL(Dong5,ROWS($1:305)),))</f>
        <v>VAT Phí thông báo số dư</v>
      </c>
      <c r="E319" s="318" t="str">
        <f ca="1">IF(ROWS($1:305)&gt;COUNT(Dong5),"",IF(OFFSET(TH!N$1,SMALL(Dong5,ROWS($1:305)),)=$E$7,OFFSET(TH!O$1,SMALL(Dong5,ROWS($1:305)),),OFFSET(TH!N$1,SMALL(Dong5,ROWS($1:305)),)))</f>
        <v>1121</v>
      </c>
      <c r="F319" s="384">
        <f ca="1">IF(ROWS($1:305)&gt;COUNT(Dong5),0,IF(OFFSET(TH!N$1,SMALL(Dong5,ROWS($1:305)),)=$E$7,OFFSET(TH!M$1,SMALL(Dong5,ROWS($1:305)),),0))</f>
        <v>5000</v>
      </c>
      <c r="G319" s="382">
        <f ca="1">IF(ROWS($1:305)&gt;COUNT(Dong5),0,IF(OFFSET(TH!O$1,SMALL(Dong5,ROWS($1:305)),)=$E$7,OFFSET(TH!M$1,SMALL(Dong5,ROWS($1:305)),),0))</f>
        <v>0</v>
      </c>
      <c r="H319" s="385">
        <f ca="1">IF(D319&lt;&gt;"",MAX(H318+F319-G319-I318,0),0)</f>
        <v>545662648</v>
      </c>
      <c r="I319" s="385">
        <f ca="1">IF(D319&lt;&gt;"",MAX(I318+G319-H318-F319,0),0)</f>
        <v>0</v>
      </c>
      <c r="J319" s="18">
        <f ca="1">MONTH(A319)</f>
        <v>3</v>
      </c>
    </row>
    <row r="320" spans="1:10" s="18" customFormat="1" ht="18" customHeight="1">
      <c r="A320" s="318">
        <f ca="1">IF(ROWS($1:306)&gt;COUNT(Dong5),"",OFFSET(TH!C$1,SMALL(Dong5,ROWS($1:306)),))</f>
        <v>42447</v>
      </c>
      <c r="B320" s="318" t="str">
        <f ca="1">IF(ROWS($1:306)&gt;COUNT(Dong5),"",OFFSET(TH!D$1,SMALL(Dong5,ROWS($1:306)),))</f>
        <v>C38</v>
      </c>
      <c r="C320" s="318">
        <f ca="1">IF(ROWS($1:306)&gt;COUNT(Dong5),"",OFFSET(TH!E$1,SMALL(Dong5,ROWS($1:306)),))</f>
        <v>42447</v>
      </c>
      <c r="D320" s="383" t="str">
        <f ca="1">IF(ROWS($1:306)&gt;COUNT(Dong5),"",OFFSET(TH!F$1,SMALL(Dong5,ROWS($1:306)),))</f>
        <v>VAT Xăng 95</v>
      </c>
      <c r="E320" s="318" t="str">
        <f ca="1">IF(ROWS($1:306)&gt;COUNT(Dong5),"",IF(OFFSET(TH!N$1,SMALL(Dong5,ROWS($1:306)),)=$E$7,OFFSET(TH!O$1,SMALL(Dong5,ROWS($1:306)),),OFFSET(TH!N$1,SMALL(Dong5,ROWS($1:306)),)))</f>
        <v>1111</v>
      </c>
      <c r="F320" s="384">
        <f ca="1">IF(ROWS($1:306)&gt;COUNT(Dong5),0,IF(OFFSET(TH!N$1,SMALL(Dong5,ROWS($1:306)),)=$E$7,OFFSET(TH!M$1,SMALL(Dong5,ROWS($1:306)),),0))</f>
        <v>55173</v>
      </c>
      <c r="G320" s="382">
        <f ca="1">IF(ROWS($1:306)&gt;COUNT(Dong5),0,IF(OFFSET(TH!O$1,SMALL(Dong5,ROWS($1:306)),)=$E$7,OFFSET(TH!M$1,SMALL(Dong5,ROWS($1:306)),),0))</f>
        <v>0</v>
      </c>
      <c r="H320" s="385">
        <f ca="1">IF(D320&lt;&gt;"",MAX(H319+F320-G320-I319,0),0)</f>
        <v>545717821</v>
      </c>
      <c r="I320" s="385">
        <f ca="1">IF(D320&lt;&gt;"",MAX(I319+G320-H319-F320,0),0)</f>
        <v>0</v>
      </c>
      <c r="J320" s="18">
        <f ca="1">MONTH(A320)</f>
        <v>3</v>
      </c>
    </row>
    <row r="321" spans="1:10" s="18" customFormat="1" ht="18" customHeight="1">
      <c r="A321" s="318">
        <f ca="1">IF(ROWS($1:307)&gt;COUNT(Dong5),"",OFFSET(TH!C$1,SMALL(Dong5,ROWS($1:307)),))</f>
        <v>42449</v>
      </c>
      <c r="B321" s="318" t="str">
        <f ca="1">IF(ROWS($1:307)&gt;COUNT(Dong5),"",OFFSET(TH!D$1,SMALL(Dong5,ROWS($1:307)),))</f>
        <v>C39</v>
      </c>
      <c r="C321" s="318">
        <f ca="1">IF(ROWS($1:307)&gt;COUNT(Dong5),"",OFFSET(TH!E$1,SMALL(Dong5,ROWS($1:307)),))</f>
        <v>42449</v>
      </c>
      <c r="D321" s="383" t="str">
        <f ca="1">IF(ROWS($1:307)&gt;COUNT(Dong5),"",OFFSET(TH!F$1,SMALL(Dong5,ROWS($1:307)),))</f>
        <v>VAT Xăng 95</v>
      </c>
      <c r="E321" s="318" t="str">
        <f ca="1">IF(ROWS($1:307)&gt;COUNT(Dong5),"",IF(OFFSET(TH!N$1,SMALL(Dong5,ROWS($1:307)),)=$E$7,OFFSET(TH!O$1,SMALL(Dong5,ROWS($1:307)),),OFFSET(TH!N$1,SMALL(Dong5,ROWS($1:307)),)))</f>
        <v>1111</v>
      </c>
      <c r="F321" s="384">
        <f ca="1">IF(ROWS($1:307)&gt;COUNT(Dong5),0,IF(OFFSET(TH!N$1,SMALL(Dong5,ROWS($1:307)),)=$E$7,OFFSET(TH!M$1,SMALL(Dong5,ROWS($1:307)),),0))</f>
        <v>44664</v>
      </c>
      <c r="G321" s="382">
        <f ca="1">IF(ROWS($1:307)&gt;COUNT(Dong5),0,IF(OFFSET(TH!O$1,SMALL(Dong5,ROWS($1:307)),)=$E$7,OFFSET(TH!M$1,SMALL(Dong5,ROWS($1:307)),),0))</f>
        <v>0</v>
      </c>
      <c r="H321" s="385">
        <f ca="1">IF(D321&lt;&gt;"",MAX(H320+F321-G321-I320,0),0)</f>
        <v>545762485</v>
      </c>
      <c r="I321" s="385">
        <f ca="1">IF(D321&lt;&gt;"",MAX(I320+G321-H320-F321,0),0)</f>
        <v>0</v>
      </c>
      <c r="J321" s="18">
        <f ca="1">MONTH(A321)</f>
        <v>3</v>
      </c>
    </row>
    <row r="322" spans="1:10" s="18" customFormat="1" ht="18" customHeight="1">
      <c r="A322" s="318">
        <f ca="1">IF(ROWS($1:308)&gt;COUNT(Dong5),"",OFFSET(TH!C$1,SMALL(Dong5,ROWS($1:308)),))</f>
        <v>42450</v>
      </c>
      <c r="B322" s="318" t="str">
        <f ca="1">IF(ROWS($1:308)&gt;COUNT(Dong5),"",OFFSET(TH!D$1,SMALL(Dong5,ROWS($1:308)),))</f>
        <v>GBN</v>
      </c>
      <c r="C322" s="318">
        <f ca="1">IF(ROWS($1:308)&gt;COUNT(Dong5),"",OFFSET(TH!E$1,SMALL(Dong5,ROWS($1:308)),))</f>
        <v>42450</v>
      </c>
      <c r="D322" s="383" t="str">
        <f ca="1">IF(ROWS($1:308)&gt;COUNT(Dong5),"",OFFSET(TH!F$1,SMALL(Dong5,ROWS($1:308)),))</f>
        <v>VAT Phí thông báo LC</v>
      </c>
      <c r="E322" s="318" t="str">
        <f ca="1">IF(ROWS($1:308)&gt;COUNT(Dong5),"",IF(OFFSET(TH!N$1,SMALL(Dong5,ROWS($1:308)),)=$E$7,OFFSET(TH!O$1,SMALL(Dong5,ROWS($1:308)),),OFFSET(TH!N$1,SMALL(Dong5,ROWS($1:308)),)))</f>
        <v>1121</v>
      </c>
      <c r="F322" s="384">
        <f ca="1">IF(ROWS($1:308)&gt;COUNT(Dong5),0,IF(OFFSET(TH!N$1,SMALL(Dong5,ROWS($1:308)),)=$E$7,OFFSET(TH!M$1,SMALL(Dong5,ROWS($1:308)),),0))</f>
        <v>33390</v>
      </c>
      <c r="G322" s="382">
        <f ca="1">IF(ROWS($1:308)&gt;COUNT(Dong5),0,IF(OFFSET(TH!O$1,SMALL(Dong5,ROWS($1:308)),)=$E$7,OFFSET(TH!M$1,SMALL(Dong5,ROWS($1:308)),),0))</f>
        <v>0</v>
      </c>
      <c r="H322" s="385">
        <f ca="1">IF(D322&lt;&gt;"",MAX(H321+F322-G322-I321,0),0)</f>
        <v>545795875</v>
      </c>
      <c r="I322" s="385">
        <f ca="1">IF(D322&lt;&gt;"",MAX(I321+G322-H321-F322,0),0)</f>
        <v>0</v>
      </c>
      <c r="J322" s="18">
        <f ca="1">MONTH(A322)</f>
        <v>3</v>
      </c>
    </row>
    <row r="323" spans="1:10" s="18" customFormat="1" ht="18" customHeight="1">
      <c r="A323" s="318">
        <f ca="1">IF(ROWS($1:309)&gt;COUNT(Dong5),"",OFFSET(TH!C$1,SMALL(Dong5,ROWS($1:309)),))</f>
        <v>42452</v>
      </c>
      <c r="B323" s="318" t="str">
        <f ca="1">IF(ROWS($1:309)&gt;COUNT(Dong5),"",OFFSET(TH!D$1,SMALL(Dong5,ROWS($1:309)),))</f>
        <v>C40</v>
      </c>
      <c r="C323" s="318">
        <f ca="1">IF(ROWS($1:309)&gt;COUNT(Dong5),"",OFFSET(TH!E$1,SMALL(Dong5,ROWS($1:309)),))</f>
        <v>42452</v>
      </c>
      <c r="D323" s="383" t="str">
        <f ca="1">IF(ROWS($1:309)&gt;COUNT(Dong5),"",OFFSET(TH!F$1,SMALL(Dong5,ROWS($1:309)),))</f>
        <v>VAT Phí DHL</v>
      </c>
      <c r="E323" s="318" t="str">
        <f ca="1">IF(ROWS($1:309)&gt;COUNT(Dong5),"",IF(OFFSET(TH!N$1,SMALL(Dong5,ROWS($1:309)),)=$E$7,OFFSET(TH!O$1,SMALL(Dong5,ROWS($1:309)),),OFFSET(TH!N$1,SMALL(Dong5,ROWS($1:309)),)))</f>
        <v>1111</v>
      </c>
      <c r="F323" s="384">
        <f ca="1">IF(ROWS($1:309)&gt;COUNT(Dong5),0,IF(OFFSET(TH!N$1,SMALL(Dong5,ROWS($1:309)),)=$E$7,OFFSET(TH!M$1,SMALL(Dong5,ROWS($1:309)),),0))</f>
        <v>102513</v>
      </c>
      <c r="G323" s="382">
        <f ca="1">IF(ROWS($1:309)&gt;COUNT(Dong5),0,IF(OFFSET(TH!O$1,SMALL(Dong5,ROWS($1:309)),)=$E$7,OFFSET(TH!M$1,SMALL(Dong5,ROWS($1:309)),),0))</f>
        <v>0</v>
      </c>
      <c r="H323" s="385">
        <f ca="1">IF(D323&lt;&gt;"",MAX(H322+F323-G323-I322,0),0)</f>
        <v>545898388</v>
      </c>
      <c r="I323" s="385">
        <f ca="1">IF(D323&lt;&gt;"",MAX(I322+G323-H322-F323,0),0)</f>
        <v>0</v>
      </c>
      <c r="J323" s="18">
        <f ca="1">MONTH(A323)</f>
        <v>3</v>
      </c>
    </row>
    <row r="324" spans="1:10" s="18" customFormat="1" ht="18" customHeight="1">
      <c r="A324" s="318">
        <f ca="1">IF(ROWS($1:310)&gt;COUNT(Dong5),"",OFFSET(TH!C$1,SMALL(Dong5,ROWS($1:310)),))</f>
        <v>42452</v>
      </c>
      <c r="B324" s="318" t="str">
        <f ca="1">IF(ROWS($1:310)&gt;COUNT(Dong5),"",OFFSET(TH!D$1,SMALL(Dong5,ROWS($1:310)),))</f>
        <v>C41</v>
      </c>
      <c r="C324" s="318">
        <f ca="1">IF(ROWS($1:310)&gt;COUNT(Dong5),"",OFFSET(TH!E$1,SMALL(Dong5,ROWS($1:310)),))</f>
        <v>42452</v>
      </c>
      <c r="D324" s="383" t="str">
        <f ca="1">IF(ROWS($1:310)&gt;COUNT(Dong5),"",OFFSET(TH!F$1,SMALL(Dong5,ROWS($1:310)),))</f>
        <v>VAT Dầu DO</v>
      </c>
      <c r="E324" s="318" t="str">
        <f ca="1">IF(ROWS($1:310)&gt;COUNT(Dong5),"",IF(OFFSET(TH!N$1,SMALL(Dong5,ROWS($1:310)),)=$E$7,OFFSET(TH!O$1,SMALL(Dong5,ROWS($1:310)),),OFFSET(TH!N$1,SMALL(Dong5,ROWS($1:310)),)))</f>
        <v>1111</v>
      </c>
      <c r="F324" s="384">
        <f ca="1">IF(ROWS($1:310)&gt;COUNT(Dong5),0,IF(OFFSET(TH!N$1,SMALL(Dong5,ROWS($1:310)),)=$E$7,OFFSET(TH!M$1,SMALL(Dong5,ROWS($1:310)),),0))</f>
        <v>52042</v>
      </c>
      <c r="G324" s="382">
        <f ca="1">IF(ROWS($1:310)&gt;COUNT(Dong5),0,IF(OFFSET(TH!O$1,SMALL(Dong5,ROWS($1:310)),)=$E$7,OFFSET(TH!M$1,SMALL(Dong5,ROWS($1:310)),),0))</f>
        <v>0</v>
      </c>
      <c r="H324" s="385">
        <f ca="1">IF(D324&lt;&gt;"",MAX(H323+F324-G324-I323,0),0)</f>
        <v>545950430</v>
      </c>
      <c r="I324" s="385">
        <f ca="1">IF(D324&lt;&gt;"",MAX(I323+G324-H323-F324,0),0)</f>
        <v>0</v>
      </c>
      <c r="J324" s="18">
        <f ca="1">MONTH(A324)</f>
        <v>3</v>
      </c>
    </row>
    <row r="325" spans="1:10" s="18" customFormat="1" ht="18" customHeight="1">
      <c r="A325" s="318">
        <f ca="1">IF(ROWS($1:311)&gt;COUNT(Dong5),"",OFFSET(TH!C$1,SMALL(Dong5,ROWS($1:311)),))</f>
        <v>42453</v>
      </c>
      <c r="B325" s="318" t="str">
        <f ca="1">IF(ROWS($1:311)&gt;COUNT(Dong5),"",OFFSET(TH!D$1,SMALL(Dong5,ROWS($1:311)),))</f>
        <v>C43</v>
      </c>
      <c r="C325" s="318">
        <f ca="1">IF(ROWS($1:311)&gt;COUNT(Dong5),"",OFFSET(TH!E$1,SMALL(Dong5,ROWS($1:311)),))</f>
        <v>42453</v>
      </c>
      <c r="D325" s="383" t="str">
        <f ca="1">IF(ROWS($1:311)&gt;COUNT(Dong5),"",OFFSET(TH!F$1,SMALL(Dong5,ROWS($1:311)),))</f>
        <v>VAT Xăng 95</v>
      </c>
      <c r="E325" s="318" t="str">
        <f ca="1">IF(ROWS($1:311)&gt;COUNT(Dong5),"",IF(OFFSET(TH!N$1,SMALL(Dong5,ROWS($1:311)),)=$E$7,OFFSET(TH!O$1,SMALL(Dong5,ROWS($1:311)),),OFFSET(TH!N$1,SMALL(Dong5,ROWS($1:311)),)))</f>
        <v>1111</v>
      </c>
      <c r="F325" s="384">
        <f ca="1">IF(ROWS($1:311)&gt;COUNT(Dong5),0,IF(OFFSET(TH!N$1,SMALL(Dong5,ROWS($1:311)),)=$E$7,OFFSET(TH!M$1,SMALL(Dong5,ROWS($1:311)),),0))</f>
        <v>67353</v>
      </c>
      <c r="G325" s="382">
        <f ca="1">IF(ROWS($1:311)&gt;COUNT(Dong5),0,IF(OFFSET(TH!O$1,SMALL(Dong5,ROWS($1:311)),)=$E$7,OFFSET(TH!M$1,SMALL(Dong5,ROWS($1:311)),),0))</f>
        <v>0</v>
      </c>
      <c r="H325" s="385">
        <f ca="1">IF(D325&lt;&gt;"",MAX(H324+F325-G325-I324,0),0)</f>
        <v>546017783</v>
      </c>
      <c r="I325" s="385">
        <f ca="1">IF(D325&lt;&gt;"",MAX(I324+G325-H324-F325,0),0)</f>
        <v>0</v>
      </c>
      <c r="J325" s="18">
        <f ca="1">MONTH(A325)</f>
        <v>3</v>
      </c>
    </row>
    <row r="326" spans="1:10" s="18" customFormat="1" ht="18" customHeight="1">
      <c r="A326" s="318">
        <f ca="1">IF(ROWS($1:312)&gt;COUNT(Dong5),"",OFFSET(TH!C$1,SMALL(Dong5,ROWS($1:312)),))</f>
        <v>42454</v>
      </c>
      <c r="B326" s="318" t="str">
        <f ca="1">IF(ROWS($1:312)&gt;COUNT(Dong5),"",OFFSET(TH!D$1,SMALL(Dong5,ROWS($1:312)),))</f>
        <v>C44</v>
      </c>
      <c r="C326" s="318">
        <f ca="1">IF(ROWS($1:312)&gt;COUNT(Dong5),"",OFFSET(TH!E$1,SMALL(Dong5,ROWS($1:312)),))</f>
        <v>42454</v>
      </c>
      <c r="D326" s="383" t="str">
        <f ca="1">IF(ROWS($1:312)&gt;COUNT(Dong5),"",OFFSET(TH!F$1,SMALL(Dong5,ROWS($1:312)),))</f>
        <v>VAT Dầu DO</v>
      </c>
      <c r="E326" s="318" t="str">
        <f ca="1">IF(ROWS($1:312)&gt;COUNT(Dong5),"",IF(OFFSET(TH!N$1,SMALL(Dong5,ROWS($1:312)),)=$E$7,OFFSET(TH!O$1,SMALL(Dong5,ROWS($1:312)),),OFFSET(TH!N$1,SMALL(Dong5,ROWS($1:312)),)))</f>
        <v>1111</v>
      </c>
      <c r="F326" s="384">
        <f ca="1">IF(ROWS($1:312)&gt;COUNT(Dong5),0,IF(OFFSET(TH!N$1,SMALL(Dong5,ROWS($1:312)),)=$E$7,OFFSET(TH!M$1,SMALL(Dong5,ROWS($1:312)),),0))</f>
        <v>37685</v>
      </c>
      <c r="G326" s="382">
        <f ca="1">IF(ROWS($1:312)&gt;COUNT(Dong5),0,IF(OFFSET(TH!O$1,SMALL(Dong5,ROWS($1:312)),)=$E$7,OFFSET(TH!M$1,SMALL(Dong5,ROWS($1:312)),),0))</f>
        <v>0</v>
      </c>
      <c r="H326" s="385">
        <f ca="1">IF(D326&lt;&gt;"",MAX(H325+F326-G326-I325,0),0)</f>
        <v>546055468</v>
      </c>
      <c r="I326" s="385">
        <f ca="1">IF(D326&lt;&gt;"",MAX(I325+G326-H325-F326,0),0)</f>
        <v>0</v>
      </c>
      <c r="J326" s="18">
        <f ca="1">MONTH(A326)</f>
        <v>3</v>
      </c>
    </row>
    <row r="327" spans="1:10" s="18" customFormat="1" ht="18" customHeight="1">
      <c r="A327" s="318">
        <f ca="1">IF(ROWS($1:313)&gt;COUNT(Dong5),"",OFFSET(TH!C$1,SMALL(Dong5,ROWS($1:313)),))</f>
        <v>42454</v>
      </c>
      <c r="B327" s="318" t="str">
        <f ca="1">IF(ROWS($1:313)&gt;COUNT(Dong5),"",OFFSET(TH!D$1,SMALL(Dong5,ROWS($1:313)),))</f>
        <v>GBN</v>
      </c>
      <c r="C327" s="318">
        <f ca="1">IF(ROWS($1:313)&gt;COUNT(Dong5),"",OFFSET(TH!E$1,SMALL(Dong5,ROWS($1:313)),))</f>
        <v>42454</v>
      </c>
      <c r="D327" s="383" t="str">
        <f ca="1">IF(ROWS($1:313)&gt;COUNT(Dong5),"",OFFSET(TH!F$1,SMALL(Dong5,ROWS($1:313)),))</f>
        <v>VAT Phí thông báo số dư</v>
      </c>
      <c r="E327" s="318" t="str">
        <f ca="1">IF(ROWS($1:313)&gt;COUNT(Dong5),"",IF(OFFSET(TH!N$1,SMALL(Dong5,ROWS($1:313)),)=$E$7,OFFSET(TH!O$1,SMALL(Dong5,ROWS($1:313)),),OFFSET(TH!N$1,SMALL(Dong5,ROWS($1:313)),)))</f>
        <v>1121</v>
      </c>
      <c r="F327" s="384">
        <f ca="1">IF(ROWS($1:313)&gt;COUNT(Dong5),0,IF(OFFSET(TH!N$1,SMALL(Dong5,ROWS($1:313)),)=$E$7,OFFSET(TH!M$1,SMALL(Dong5,ROWS($1:313)),),0))</f>
        <v>5000</v>
      </c>
      <c r="G327" s="382">
        <f ca="1">IF(ROWS($1:313)&gt;COUNT(Dong5),0,IF(OFFSET(TH!O$1,SMALL(Dong5,ROWS($1:313)),)=$E$7,OFFSET(TH!M$1,SMALL(Dong5,ROWS($1:313)),),0))</f>
        <v>0</v>
      </c>
      <c r="H327" s="385">
        <f ca="1">IF(D327&lt;&gt;"",MAX(H326+F327-G327-I326,0),0)</f>
        <v>546060468</v>
      </c>
      <c r="I327" s="385">
        <f ca="1">IF(D327&lt;&gt;"",MAX(I326+G327-H326-F327,0),0)</f>
        <v>0</v>
      </c>
      <c r="J327" s="18">
        <f ca="1">MONTH(A327)</f>
        <v>3</v>
      </c>
    </row>
    <row r="328" spans="1:10" s="18" customFormat="1" ht="18" customHeight="1">
      <c r="A328" s="318">
        <f ca="1">IF(ROWS($1:314)&gt;COUNT(Dong5),"",OFFSET(TH!C$1,SMALL(Dong5,ROWS($1:314)),))</f>
        <v>42454</v>
      </c>
      <c r="B328" s="318" t="str">
        <f ca="1">IF(ROWS($1:314)&gt;COUNT(Dong5),"",OFFSET(TH!D$1,SMALL(Dong5,ROWS($1:314)),))</f>
        <v>GBN</v>
      </c>
      <c r="C328" s="318">
        <f ca="1">IF(ROWS($1:314)&gt;COUNT(Dong5),"",OFFSET(TH!E$1,SMALL(Dong5,ROWS($1:314)),))</f>
        <v>42454</v>
      </c>
      <c r="D328" s="383" t="str">
        <f ca="1">IF(ROWS($1:314)&gt;COUNT(Dong5),"",OFFSET(TH!F$1,SMALL(Dong5,ROWS($1:314)),))</f>
        <v>VAT Phí thông báo số dư</v>
      </c>
      <c r="E328" s="318" t="str">
        <f ca="1">IF(ROWS($1:314)&gt;COUNT(Dong5),"",IF(OFFSET(TH!N$1,SMALL(Dong5,ROWS($1:314)),)=$E$7,OFFSET(TH!O$1,SMALL(Dong5,ROWS($1:314)),),OFFSET(TH!N$1,SMALL(Dong5,ROWS($1:314)),)))</f>
        <v>1121</v>
      </c>
      <c r="F328" s="384">
        <f ca="1">IF(ROWS($1:314)&gt;COUNT(Dong5),0,IF(OFFSET(TH!N$1,SMALL(Dong5,ROWS($1:314)),)=$E$7,OFFSET(TH!M$1,SMALL(Dong5,ROWS($1:314)),),0))</f>
        <v>5000</v>
      </c>
      <c r="G328" s="382">
        <f ca="1">IF(ROWS($1:314)&gt;COUNT(Dong5),0,IF(OFFSET(TH!O$1,SMALL(Dong5,ROWS($1:314)),)=$E$7,OFFSET(TH!M$1,SMALL(Dong5,ROWS($1:314)),),0))</f>
        <v>0</v>
      </c>
      <c r="H328" s="385">
        <f ca="1">IF(D328&lt;&gt;"",MAX(H327+F328-G328-I327,0),0)</f>
        <v>546065468</v>
      </c>
      <c r="I328" s="385">
        <f ca="1">IF(D328&lt;&gt;"",MAX(I327+G328-H327-F328,0),0)</f>
        <v>0</v>
      </c>
      <c r="J328" s="18">
        <f ca="1">MONTH(A328)</f>
        <v>3</v>
      </c>
    </row>
    <row r="329" spans="1:10" s="18" customFormat="1" ht="18" customHeight="1">
      <c r="A329" s="318">
        <f ca="1">IF(ROWS($1:315)&gt;COUNT(Dong5),"",OFFSET(TH!C$1,SMALL(Dong5,ROWS($1:315)),))</f>
        <v>42454</v>
      </c>
      <c r="B329" s="318" t="str">
        <f ca="1">IF(ROWS($1:315)&gt;COUNT(Dong5),"",OFFSET(TH!D$1,SMALL(Dong5,ROWS($1:315)),))</f>
        <v>GBN</v>
      </c>
      <c r="C329" s="318">
        <f ca="1">IF(ROWS($1:315)&gt;COUNT(Dong5),"",OFFSET(TH!E$1,SMALL(Dong5,ROWS($1:315)),))</f>
        <v>42454</v>
      </c>
      <c r="D329" s="383" t="str">
        <f ca="1">IF(ROWS($1:315)&gt;COUNT(Dong5),"",OFFSET(TH!F$1,SMALL(Dong5,ROWS($1:315)),))</f>
        <v>VAT Phí thông báo số dư</v>
      </c>
      <c r="E329" s="318" t="str">
        <f ca="1">IF(ROWS($1:315)&gt;COUNT(Dong5),"",IF(OFFSET(TH!N$1,SMALL(Dong5,ROWS($1:315)),)=$E$7,OFFSET(TH!O$1,SMALL(Dong5,ROWS($1:315)),),OFFSET(TH!N$1,SMALL(Dong5,ROWS($1:315)),)))</f>
        <v>1121</v>
      </c>
      <c r="F329" s="384">
        <f ca="1">IF(ROWS($1:315)&gt;COUNT(Dong5),0,IF(OFFSET(TH!N$1,SMALL(Dong5,ROWS($1:315)),)=$E$7,OFFSET(TH!M$1,SMALL(Dong5,ROWS($1:315)),),0))</f>
        <v>5000</v>
      </c>
      <c r="G329" s="382">
        <f ca="1">IF(ROWS($1:315)&gt;COUNT(Dong5),0,IF(OFFSET(TH!O$1,SMALL(Dong5,ROWS($1:315)),)=$E$7,OFFSET(TH!M$1,SMALL(Dong5,ROWS($1:315)),),0))</f>
        <v>0</v>
      </c>
      <c r="H329" s="385">
        <f ca="1">IF(D329&lt;&gt;"",MAX(H328+F329-G329-I328,0),0)</f>
        <v>546070468</v>
      </c>
      <c r="I329" s="385">
        <f ca="1">IF(D329&lt;&gt;"",MAX(I328+G329-H328-F329,0),0)</f>
        <v>0</v>
      </c>
      <c r="J329" s="18">
        <f ca="1">MONTH(A329)</f>
        <v>3</v>
      </c>
    </row>
    <row r="330" spans="1:10" s="18" customFormat="1" ht="18" customHeight="1">
      <c r="A330" s="318">
        <f ca="1">IF(ROWS($1:316)&gt;COUNT(Dong5),"",OFFSET(TH!C$1,SMALL(Dong5,ROWS($1:316)),))</f>
        <v>42454</v>
      </c>
      <c r="B330" s="318" t="str">
        <f ca="1">IF(ROWS($1:316)&gt;COUNT(Dong5),"",OFFSET(TH!D$1,SMALL(Dong5,ROWS($1:316)),))</f>
        <v>GBN</v>
      </c>
      <c r="C330" s="318">
        <f ca="1">IF(ROWS($1:316)&gt;COUNT(Dong5),"",OFFSET(TH!E$1,SMALL(Dong5,ROWS($1:316)),))</f>
        <v>42454</v>
      </c>
      <c r="D330" s="383" t="str">
        <f ca="1">IF(ROWS($1:316)&gt;COUNT(Dong5),"",OFFSET(TH!F$1,SMALL(Dong5,ROWS($1:316)),))</f>
        <v>VAT Phí thông báo số dư</v>
      </c>
      <c r="E330" s="318" t="str">
        <f ca="1">IF(ROWS($1:316)&gt;COUNT(Dong5),"",IF(OFFSET(TH!N$1,SMALL(Dong5,ROWS($1:316)),)=$E$7,OFFSET(TH!O$1,SMALL(Dong5,ROWS($1:316)),),OFFSET(TH!N$1,SMALL(Dong5,ROWS($1:316)),)))</f>
        <v>1121</v>
      </c>
      <c r="F330" s="384">
        <f ca="1">IF(ROWS($1:316)&gt;COUNT(Dong5),0,IF(OFFSET(TH!N$1,SMALL(Dong5,ROWS($1:316)),)=$E$7,OFFSET(TH!M$1,SMALL(Dong5,ROWS($1:316)),),0))</f>
        <v>5000</v>
      </c>
      <c r="G330" s="382">
        <f ca="1">IF(ROWS($1:316)&gt;COUNT(Dong5),0,IF(OFFSET(TH!O$1,SMALL(Dong5,ROWS($1:316)),)=$E$7,OFFSET(TH!M$1,SMALL(Dong5,ROWS($1:316)),),0))</f>
        <v>0</v>
      </c>
      <c r="H330" s="385">
        <f ca="1">IF(D330&lt;&gt;"",MAX(H329+F330-G330-I329,0),0)</f>
        <v>546075468</v>
      </c>
      <c r="I330" s="385">
        <f ca="1">IF(D330&lt;&gt;"",MAX(I329+G330-H329-F330,0),0)</f>
        <v>0</v>
      </c>
      <c r="J330" s="18">
        <f ca="1">MONTH(A330)</f>
        <v>3</v>
      </c>
    </row>
    <row r="331" spans="1:10" s="18" customFormat="1" ht="18" customHeight="1">
      <c r="A331" s="318">
        <f ca="1">IF(ROWS($1:317)&gt;COUNT(Dong5),"",OFFSET(TH!C$1,SMALL(Dong5,ROWS($1:317)),))</f>
        <v>42456</v>
      </c>
      <c r="B331" s="318" t="str">
        <f ca="1">IF(ROWS($1:317)&gt;COUNT(Dong5),"",OFFSET(TH!D$1,SMALL(Dong5,ROWS($1:317)),))</f>
        <v>C45</v>
      </c>
      <c r="C331" s="318">
        <f ca="1">IF(ROWS($1:317)&gt;COUNT(Dong5),"",OFFSET(TH!E$1,SMALL(Dong5,ROWS($1:317)),))</f>
        <v>42456</v>
      </c>
      <c r="D331" s="383" t="str">
        <f ca="1">IF(ROWS($1:317)&gt;COUNT(Dong5),"",OFFSET(TH!F$1,SMALL(Dong5,ROWS($1:317)),))</f>
        <v>VAT Dầu DO</v>
      </c>
      <c r="E331" s="318" t="str">
        <f ca="1">IF(ROWS($1:317)&gt;COUNT(Dong5),"",IF(OFFSET(TH!N$1,SMALL(Dong5,ROWS($1:317)),)=$E$7,OFFSET(TH!O$1,SMALL(Dong5,ROWS($1:317)),),OFFSET(TH!N$1,SMALL(Dong5,ROWS($1:317)),)))</f>
        <v>1111</v>
      </c>
      <c r="F331" s="384">
        <f ca="1">IF(ROWS($1:317)&gt;COUNT(Dong5),0,IF(OFFSET(TH!N$1,SMALL(Dong5,ROWS($1:317)),)=$E$7,OFFSET(TH!M$1,SMALL(Dong5,ROWS($1:317)),),0))</f>
        <v>38583</v>
      </c>
      <c r="G331" s="382">
        <f ca="1">IF(ROWS($1:317)&gt;COUNT(Dong5),0,IF(OFFSET(TH!O$1,SMALL(Dong5,ROWS($1:317)),)=$E$7,OFFSET(TH!M$1,SMALL(Dong5,ROWS($1:317)),),0))</f>
        <v>0</v>
      </c>
      <c r="H331" s="385">
        <f ca="1">IF(D331&lt;&gt;"",MAX(H330+F331-G331-I330,0),0)</f>
        <v>546114051</v>
      </c>
      <c r="I331" s="385">
        <f ca="1">IF(D331&lt;&gt;"",MAX(I330+G331-H330-F331,0),0)</f>
        <v>0</v>
      </c>
      <c r="J331" s="18">
        <f ca="1">MONTH(A331)</f>
        <v>3</v>
      </c>
    </row>
    <row r="332" spans="1:10" s="18" customFormat="1" ht="18" customHeight="1">
      <c r="A332" s="318">
        <f ca="1">IF(ROWS($1:318)&gt;COUNT(Dong5),"",OFFSET(TH!C$1,SMALL(Dong5,ROWS($1:318)),))</f>
        <v>42457</v>
      </c>
      <c r="B332" s="318" t="str">
        <f ca="1">IF(ROWS($1:318)&gt;COUNT(Dong5),"",OFFSET(TH!D$1,SMALL(Dong5,ROWS($1:318)),))</f>
        <v>C46</v>
      </c>
      <c r="C332" s="318">
        <f ca="1">IF(ROWS($1:318)&gt;COUNT(Dong5),"",OFFSET(TH!E$1,SMALL(Dong5,ROWS($1:318)),))</f>
        <v>42457</v>
      </c>
      <c r="D332" s="383" t="str">
        <f ca="1">IF(ROWS($1:318)&gt;COUNT(Dong5),"",OFFSET(TH!F$1,SMALL(Dong5,ROWS($1:318)),))</f>
        <v>VAT Phí dịch vụ bảo vệ T3/2016</v>
      </c>
      <c r="E332" s="318" t="str">
        <f ca="1">IF(ROWS($1:318)&gt;COUNT(Dong5),"",IF(OFFSET(TH!N$1,SMALL(Dong5,ROWS($1:318)),)=$E$7,OFFSET(TH!O$1,SMALL(Dong5,ROWS($1:318)),),OFFSET(TH!N$1,SMALL(Dong5,ROWS($1:318)),)))</f>
        <v>1111</v>
      </c>
      <c r="F332" s="384">
        <f ca="1">IF(ROWS($1:318)&gt;COUNT(Dong5),0,IF(OFFSET(TH!N$1,SMALL(Dong5,ROWS($1:318)),)=$E$7,OFFSET(TH!M$1,SMALL(Dong5,ROWS($1:318)),),0))</f>
        <v>1500000</v>
      </c>
      <c r="G332" s="382">
        <f ca="1">IF(ROWS($1:318)&gt;COUNT(Dong5),0,IF(OFFSET(TH!O$1,SMALL(Dong5,ROWS($1:318)),)=$E$7,OFFSET(TH!M$1,SMALL(Dong5,ROWS($1:318)),),0))</f>
        <v>0</v>
      </c>
      <c r="H332" s="385">
        <f ca="1">IF(D332&lt;&gt;"",MAX(H331+F332-G332-I331,0),0)</f>
        <v>547614051</v>
      </c>
      <c r="I332" s="385">
        <f ca="1">IF(D332&lt;&gt;"",MAX(I331+G332-H331-F332,0),0)</f>
        <v>0</v>
      </c>
      <c r="J332" s="18">
        <f ca="1">MONTH(A332)</f>
        <v>3</v>
      </c>
    </row>
    <row r="333" spans="1:10" s="18" customFormat="1" ht="18" customHeight="1">
      <c r="A333" s="318">
        <f ca="1">IF(ROWS($1:319)&gt;COUNT(Dong5),"",OFFSET(TH!C$1,SMALL(Dong5,ROWS($1:319)),))</f>
        <v>42458</v>
      </c>
      <c r="B333" s="318" t="str">
        <f ca="1">IF(ROWS($1:319)&gt;COUNT(Dong5),"",OFFSET(TH!D$1,SMALL(Dong5,ROWS($1:319)),))</f>
        <v>C48</v>
      </c>
      <c r="C333" s="318">
        <f ca="1">IF(ROWS($1:319)&gt;COUNT(Dong5),"",OFFSET(TH!E$1,SMALL(Dong5,ROWS($1:319)),))</f>
        <v>42458</v>
      </c>
      <c r="D333" s="383" t="str">
        <f ca="1">IF(ROWS($1:319)&gt;COUNT(Dong5),"",OFFSET(TH!F$1,SMALL(Dong5,ROWS($1:319)),))</f>
        <v>VAT Xăng 95</v>
      </c>
      <c r="E333" s="318" t="str">
        <f ca="1">IF(ROWS($1:319)&gt;COUNT(Dong5),"",IF(OFFSET(TH!N$1,SMALL(Dong5,ROWS($1:319)),)=$E$7,OFFSET(TH!O$1,SMALL(Dong5,ROWS($1:319)),),OFFSET(TH!N$1,SMALL(Dong5,ROWS($1:319)),)))</f>
        <v>1111</v>
      </c>
      <c r="F333" s="384">
        <f ca="1">IF(ROWS($1:319)&gt;COUNT(Dong5),0,IF(OFFSET(TH!N$1,SMALL(Dong5,ROWS($1:319)),)=$E$7,OFFSET(TH!M$1,SMALL(Dong5,ROWS($1:319)),),0))</f>
        <v>71476</v>
      </c>
      <c r="G333" s="382">
        <f ca="1">IF(ROWS($1:319)&gt;COUNT(Dong5),0,IF(OFFSET(TH!O$1,SMALL(Dong5,ROWS($1:319)),)=$E$7,OFFSET(TH!M$1,SMALL(Dong5,ROWS($1:319)),),0))</f>
        <v>0</v>
      </c>
      <c r="H333" s="385">
        <f ca="1">IF(D333&lt;&gt;"",MAX(H332+F333-G333-I332,0),0)</f>
        <v>547685527</v>
      </c>
      <c r="I333" s="385">
        <f ca="1">IF(D333&lt;&gt;"",MAX(I332+G333-H332-F333,0),0)</f>
        <v>0</v>
      </c>
      <c r="J333" s="18">
        <f ca="1">MONTH(A333)</f>
        <v>3</v>
      </c>
    </row>
    <row r="334" spans="1:10" s="18" customFormat="1" ht="18" customHeight="1">
      <c r="A334" s="318">
        <f ca="1">IF(ROWS($1:320)&gt;COUNT(Dong5),"",OFFSET(TH!C$1,SMALL(Dong5,ROWS($1:320)),))</f>
        <v>42458</v>
      </c>
      <c r="B334" s="318" t="str">
        <f ca="1">IF(ROWS($1:320)&gt;COUNT(Dong5),"",OFFSET(TH!D$1,SMALL(Dong5,ROWS($1:320)),))</f>
        <v>CTGS</v>
      </c>
      <c r="C334" s="318">
        <f ca="1">IF(ROWS($1:320)&gt;COUNT(Dong5),"",OFFSET(TH!E$1,SMALL(Dong5,ROWS($1:320)),))</f>
        <v>42458</v>
      </c>
      <c r="D334" s="383" t="str">
        <f ca="1">IF(ROWS($1:320)&gt;COUNT(Dong5),"",OFFSET(TH!F$1,SMALL(Dong5,ROWS($1:320)),))</f>
        <v>VAT Phí dịch vụ thanh toán ngoài nước</v>
      </c>
      <c r="E334" s="318" t="str">
        <f ca="1">IF(ROWS($1:320)&gt;COUNT(Dong5),"",IF(OFFSET(TH!N$1,SMALL(Dong5,ROWS($1:320)),)=$E$7,OFFSET(TH!O$1,SMALL(Dong5,ROWS($1:320)),),OFFSET(TH!N$1,SMALL(Dong5,ROWS($1:320)),)))</f>
        <v>131</v>
      </c>
      <c r="F334" s="384">
        <f ca="1">IF(ROWS($1:320)&gt;COUNT(Dong5),0,IF(OFFSET(TH!N$1,SMALL(Dong5,ROWS($1:320)),)=$E$7,OFFSET(TH!M$1,SMALL(Dong5,ROWS($1:320)),),0))</f>
        <v>352247</v>
      </c>
      <c r="G334" s="382">
        <f ca="1">IF(ROWS($1:320)&gt;COUNT(Dong5),0,IF(OFFSET(TH!O$1,SMALL(Dong5,ROWS($1:320)),)=$E$7,OFFSET(TH!M$1,SMALL(Dong5,ROWS($1:320)),),0))</f>
        <v>0</v>
      </c>
      <c r="H334" s="385">
        <f ca="1">IF(D334&lt;&gt;"",MAX(H333+F334-G334-I333,0),0)</f>
        <v>548037774</v>
      </c>
      <c r="I334" s="385">
        <f ca="1">IF(D334&lt;&gt;"",MAX(I333+G334-H333-F334,0),0)</f>
        <v>0</v>
      </c>
      <c r="J334" s="18">
        <f ca="1">MONTH(A334)</f>
        <v>3</v>
      </c>
    </row>
    <row r="335" spans="1:10" s="18" customFormat="1" ht="18" customHeight="1">
      <c r="A335" s="318">
        <f ca="1">IF(ROWS($1:321)&gt;COUNT(Dong5),"",OFFSET(TH!C$1,SMALL(Dong5,ROWS($1:321)),))</f>
        <v>42458</v>
      </c>
      <c r="B335" s="318" t="str">
        <f ca="1">IF(ROWS($1:321)&gt;COUNT(Dong5),"",OFFSET(TH!D$1,SMALL(Dong5,ROWS($1:321)),))</f>
        <v>GBN</v>
      </c>
      <c r="C335" s="318">
        <f ca="1">IF(ROWS($1:321)&gt;COUNT(Dong5),"",OFFSET(TH!E$1,SMALL(Dong5,ROWS($1:321)),))</f>
        <v>42458</v>
      </c>
      <c r="D335" s="383" t="str">
        <f ca="1">IF(ROWS($1:321)&gt;COUNT(Dong5),"",OFFSET(TH!F$1,SMALL(Dong5,ROWS($1:321)),))</f>
        <v>VAT Điện phí</v>
      </c>
      <c r="E335" s="318" t="str">
        <f ca="1">IF(ROWS($1:321)&gt;COUNT(Dong5),"",IF(OFFSET(TH!N$1,SMALL(Dong5,ROWS($1:321)),)=$E$7,OFFSET(TH!O$1,SMALL(Dong5,ROWS($1:321)),),OFFSET(TH!N$1,SMALL(Dong5,ROWS($1:321)),)))</f>
        <v>1122</v>
      </c>
      <c r="F335" s="384">
        <f ca="1">IF(ROWS($1:321)&gt;COUNT(Dong5),0,IF(OFFSET(TH!N$1,SMALL(Dong5,ROWS($1:321)),)=$E$7,OFFSET(TH!M$1,SMALL(Dong5,ROWS($1:321)),),0))</f>
        <v>11148</v>
      </c>
      <c r="G335" s="382">
        <f ca="1">IF(ROWS($1:321)&gt;COUNT(Dong5),0,IF(OFFSET(TH!O$1,SMALL(Dong5,ROWS($1:321)),)=$E$7,OFFSET(TH!M$1,SMALL(Dong5,ROWS($1:321)),),0))</f>
        <v>0</v>
      </c>
      <c r="H335" s="385">
        <f ca="1">IF(D335&lt;&gt;"",MAX(H334+F335-G335-I334,0),0)</f>
        <v>548048922</v>
      </c>
      <c r="I335" s="385">
        <f ca="1">IF(D335&lt;&gt;"",MAX(I334+G335-H334-F335,0),0)</f>
        <v>0</v>
      </c>
      <c r="J335" s="18">
        <f ca="1">MONTH(A335)</f>
        <v>3</v>
      </c>
    </row>
    <row r="336" spans="1:10" s="18" customFormat="1" ht="18" customHeight="1">
      <c r="A336" s="318">
        <f ca="1">IF(ROWS($1:322)&gt;COUNT(Dong5),"",OFFSET(TH!C$1,SMALL(Dong5,ROWS($1:322)),))</f>
        <v>42459</v>
      </c>
      <c r="B336" s="318" t="str">
        <f ca="1">IF(ROWS($1:322)&gt;COUNT(Dong5),"",OFFSET(TH!D$1,SMALL(Dong5,ROWS($1:322)),))</f>
        <v>C51</v>
      </c>
      <c r="C336" s="318">
        <f ca="1">IF(ROWS($1:322)&gt;COUNT(Dong5),"",OFFSET(TH!E$1,SMALL(Dong5,ROWS($1:322)),))</f>
        <v>42459</v>
      </c>
      <c r="D336" s="383" t="str">
        <f ca="1">IF(ROWS($1:322)&gt;COUNT(Dong5),"",OFFSET(TH!F$1,SMALL(Dong5,ROWS($1:322)),))</f>
        <v>VAT Xét nghiệm nước</v>
      </c>
      <c r="E336" s="318" t="str">
        <f ca="1">IF(ROWS($1:322)&gt;COUNT(Dong5),"",IF(OFFSET(TH!N$1,SMALL(Dong5,ROWS($1:322)),)=$E$7,OFFSET(TH!O$1,SMALL(Dong5,ROWS($1:322)),),OFFSET(TH!N$1,SMALL(Dong5,ROWS($1:322)),)))</f>
        <v>1111</v>
      </c>
      <c r="F336" s="384">
        <f ca="1">IF(ROWS($1:322)&gt;COUNT(Dong5),0,IF(OFFSET(TH!N$1,SMALL(Dong5,ROWS($1:322)),)=$E$7,OFFSET(TH!M$1,SMALL(Dong5,ROWS($1:322)),),0))</f>
        <v>46273</v>
      </c>
      <c r="G336" s="382">
        <f ca="1">IF(ROWS($1:322)&gt;COUNT(Dong5),0,IF(OFFSET(TH!O$1,SMALL(Dong5,ROWS($1:322)),)=$E$7,OFFSET(TH!M$1,SMALL(Dong5,ROWS($1:322)),),0))</f>
        <v>0</v>
      </c>
      <c r="H336" s="385">
        <f ca="1">IF(D336&lt;&gt;"",MAX(H335+F336-G336-I335,0),0)</f>
        <v>548095195</v>
      </c>
      <c r="I336" s="385">
        <f ca="1">IF(D336&lt;&gt;"",MAX(I335+G336-H335-F336,0),0)</f>
        <v>0</v>
      </c>
      <c r="J336" s="18">
        <f ca="1">MONTH(A336)</f>
        <v>3</v>
      </c>
    </row>
    <row r="337" spans="1:10" s="18" customFormat="1" ht="18" customHeight="1">
      <c r="A337" s="318">
        <f ca="1">IF(ROWS($1:323)&gt;COUNT(Dong5),"",OFFSET(TH!C$1,SMALL(Dong5,ROWS($1:323)),))</f>
        <v>42459</v>
      </c>
      <c r="B337" s="318" t="str">
        <f ca="1">IF(ROWS($1:323)&gt;COUNT(Dong5),"",OFFSET(TH!D$1,SMALL(Dong5,ROWS($1:323)),))</f>
        <v>GBN</v>
      </c>
      <c r="C337" s="318">
        <f ca="1">IF(ROWS($1:323)&gt;COUNT(Dong5),"",OFFSET(TH!E$1,SMALL(Dong5,ROWS($1:323)),))</f>
        <v>42459</v>
      </c>
      <c r="D337" s="383" t="str">
        <f ca="1">IF(ROWS($1:323)&gt;COUNT(Dong5),"",OFFSET(TH!F$1,SMALL(Dong5,ROWS($1:323)),))</f>
        <v>VAT Phí chuyển tiền</v>
      </c>
      <c r="E337" s="318" t="str">
        <f ca="1">IF(ROWS($1:323)&gt;COUNT(Dong5),"",IF(OFFSET(TH!N$1,SMALL(Dong5,ROWS($1:323)),)=$E$7,OFFSET(TH!O$1,SMALL(Dong5,ROWS($1:323)),),OFFSET(TH!N$1,SMALL(Dong5,ROWS($1:323)),)))</f>
        <v>1121</v>
      </c>
      <c r="F337" s="384">
        <f ca="1">IF(ROWS($1:323)&gt;COUNT(Dong5),0,IF(OFFSET(TH!N$1,SMALL(Dong5,ROWS($1:323)),)=$E$7,OFFSET(TH!M$1,SMALL(Dong5,ROWS($1:323)),),0))</f>
        <v>4500</v>
      </c>
      <c r="G337" s="382">
        <f ca="1">IF(ROWS($1:323)&gt;COUNT(Dong5),0,IF(OFFSET(TH!O$1,SMALL(Dong5,ROWS($1:323)),)=$E$7,OFFSET(TH!M$1,SMALL(Dong5,ROWS($1:323)),),0))</f>
        <v>0</v>
      </c>
      <c r="H337" s="385">
        <f ca="1">IF(D337&lt;&gt;"",MAX(H336+F337-G337-I336,0),0)</f>
        <v>548099695</v>
      </c>
      <c r="I337" s="385">
        <f ca="1">IF(D337&lt;&gt;"",MAX(I336+G337-H336-F337,0),0)</f>
        <v>0</v>
      </c>
      <c r="J337" s="18">
        <f ca="1">MONTH(A337)</f>
        <v>3</v>
      </c>
    </row>
    <row r="338" spans="1:10" s="18" customFormat="1" ht="18" customHeight="1">
      <c r="A338" s="318">
        <f ca="1">IF(ROWS($1:324)&gt;COUNT(Dong5),"",OFFSET(TH!C$1,SMALL(Dong5,ROWS($1:324)),))</f>
        <v>42460</v>
      </c>
      <c r="B338" s="318" t="str">
        <f ca="1">IF(ROWS($1:324)&gt;COUNT(Dong5),"",OFFSET(TH!D$1,SMALL(Dong5,ROWS($1:324)),))</f>
        <v>C53</v>
      </c>
      <c r="C338" s="318">
        <f ca="1">IF(ROWS($1:324)&gt;COUNT(Dong5),"",OFFSET(TH!E$1,SMALL(Dong5,ROWS($1:324)),))</f>
        <v>42460</v>
      </c>
      <c r="D338" s="383" t="str">
        <f ca="1">IF(ROWS($1:324)&gt;COUNT(Dong5),"",OFFSET(TH!F$1,SMALL(Dong5,ROWS($1:324)),))</f>
        <v>VAT Phí giao thông</v>
      </c>
      <c r="E338" s="318" t="str">
        <f ca="1">IF(ROWS($1:324)&gt;COUNT(Dong5),"",IF(OFFSET(TH!N$1,SMALL(Dong5,ROWS($1:324)),)=$E$7,OFFSET(TH!O$1,SMALL(Dong5,ROWS($1:324)),),OFFSET(TH!N$1,SMALL(Dong5,ROWS($1:324)),)))</f>
        <v>1111</v>
      </c>
      <c r="F338" s="384">
        <f ca="1">IF(ROWS($1:324)&gt;COUNT(Dong5),0,IF(OFFSET(TH!N$1,SMALL(Dong5,ROWS($1:324)),)=$E$7,OFFSET(TH!M$1,SMALL(Dong5,ROWS($1:324)),),0))</f>
        <v>179637</v>
      </c>
      <c r="G338" s="382">
        <f ca="1">IF(ROWS($1:324)&gt;COUNT(Dong5),0,IF(OFFSET(TH!O$1,SMALL(Dong5,ROWS($1:324)),)=$E$7,OFFSET(TH!M$1,SMALL(Dong5,ROWS($1:324)),),0))</f>
        <v>0</v>
      </c>
      <c r="H338" s="385">
        <f ca="1">IF(D338&lt;&gt;"",MAX(H337+F338-G338-I337,0),0)</f>
        <v>548279332</v>
      </c>
      <c r="I338" s="385">
        <f ca="1">IF(D338&lt;&gt;"",MAX(I337+G338-H337-F338,0),0)</f>
        <v>0</v>
      </c>
      <c r="J338" s="18">
        <f ca="1">MONTH(A338)</f>
        <v>3</v>
      </c>
    </row>
    <row r="339" spans="1:10" s="18" customFormat="1" ht="18" customHeight="1">
      <c r="A339" s="318">
        <f ca="1">IF(ROWS($1:325)&gt;COUNT(Dong5),"",OFFSET(TH!C$1,SMALL(Dong5,ROWS($1:325)),))</f>
        <v>42460</v>
      </c>
      <c r="B339" s="318" t="str">
        <f ca="1">IF(ROWS($1:325)&gt;COUNT(Dong5),"",OFFSET(TH!D$1,SMALL(Dong5,ROWS($1:325)),))</f>
        <v>C54</v>
      </c>
      <c r="C339" s="318">
        <f ca="1">IF(ROWS($1:325)&gt;COUNT(Dong5),"",OFFSET(TH!E$1,SMALL(Dong5,ROWS($1:325)),))</f>
        <v>42460</v>
      </c>
      <c r="D339" s="383" t="str">
        <f ca="1">IF(ROWS($1:325)&gt;COUNT(Dong5),"",OFFSET(TH!F$1,SMALL(Dong5,ROWS($1:325)),))</f>
        <v>VAT Cước CPN T3/2016</v>
      </c>
      <c r="E339" s="318" t="str">
        <f ca="1">IF(ROWS($1:325)&gt;COUNT(Dong5),"",IF(OFFSET(TH!N$1,SMALL(Dong5,ROWS($1:325)),)=$E$7,OFFSET(TH!O$1,SMALL(Dong5,ROWS($1:325)),),OFFSET(TH!N$1,SMALL(Dong5,ROWS($1:325)),)))</f>
        <v>1111</v>
      </c>
      <c r="F339" s="384">
        <f ca="1">IF(ROWS($1:325)&gt;COUNT(Dong5),0,IF(OFFSET(TH!N$1,SMALL(Dong5,ROWS($1:325)),)=$E$7,OFFSET(TH!M$1,SMALL(Dong5,ROWS($1:325)),),0))</f>
        <v>2967</v>
      </c>
      <c r="G339" s="382">
        <f ca="1">IF(ROWS($1:325)&gt;COUNT(Dong5),0,IF(OFFSET(TH!O$1,SMALL(Dong5,ROWS($1:325)),)=$E$7,OFFSET(TH!M$1,SMALL(Dong5,ROWS($1:325)),),0))</f>
        <v>0</v>
      </c>
      <c r="H339" s="385">
        <f ca="1">IF(D339&lt;&gt;"",MAX(H338+F339-G339-I338,0),0)</f>
        <v>548282299</v>
      </c>
      <c r="I339" s="385">
        <f ca="1">IF(D339&lt;&gt;"",MAX(I338+G339-H338-F339,0),0)</f>
        <v>0</v>
      </c>
      <c r="J339" s="18">
        <f ca="1">MONTH(A339)</f>
        <v>3</v>
      </c>
    </row>
    <row r="340" spans="1:10" s="18" customFormat="1" ht="18" customHeight="1">
      <c r="A340" s="318">
        <f ca="1">IF(ROWS($1:326)&gt;COUNT(Dong5),"",OFFSET(TH!C$1,SMALL(Dong5,ROWS($1:326)),))</f>
        <v>42462</v>
      </c>
      <c r="B340" s="318" t="str">
        <f ca="1">IF(ROWS($1:326)&gt;COUNT(Dong5),"",OFFSET(TH!D$1,SMALL(Dong5,ROWS($1:326)),))</f>
        <v>C01</v>
      </c>
      <c r="C340" s="318">
        <f ca="1">IF(ROWS($1:326)&gt;COUNT(Dong5),"",OFFSET(TH!E$1,SMALL(Dong5,ROWS($1:326)),))</f>
        <v>42462</v>
      </c>
      <c r="D340" s="383" t="str">
        <f ca="1">IF(ROWS($1:326)&gt;COUNT(Dong5),"",OFFSET(TH!F$1,SMALL(Dong5,ROWS($1:326)),))</f>
        <v xml:space="preserve">VAT  Xăng, dầu </v>
      </c>
      <c r="E340" s="318" t="str">
        <f ca="1">IF(ROWS($1:326)&gt;COUNT(Dong5),"",IF(OFFSET(TH!N$1,SMALL(Dong5,ROWS($1:326)),)=$E$7,OFFSET(TH!O$1,SMALL(Dong5,ROWS($1:326)),),OFFSET(TH!N$1,SMALL(Dong5,ROWS($1:326)),)))</f>
        <v>1111</v>
      </c>
      <c r="F340" s="384">
        <f ca="1">IF(ROWS($1:326)&gt;COUNT(Dong5),0,IF(OFFSET(TH!N$1,SMALL(Dong5,ROWS($1:326)),)=$E$7,OFFSET(TH!M$1,SMALL(Dong5,ROWS($1:326)),),0))</f>
        <v>103663</v>
      </c>
      <c r="G340" s="382">
        <f ca="1">IF(ROWS($1:326)&gt;COUNT(Dong5),0,IF(OFFSET(TH!O$1,SMALL(Dong5,ROWS($1:326)),)=$E$7,OFFSET(TH!M$1,SMALL(Dong5,ROWS($1:326)),),0))</f>
        <v>0</v>
      </c>
      <c r="H340" s="385">
        <f ca="1">IF(D340&lt;&gt;"",MAX(H339+F340-G340-I339,0),0)</f>
        <v>548385962</v>
      </c>
      <c r="I340" s="385">
        <f ca="1">IF(D340&lt;&gt;"",MAX(I339+G340-H339-F340,0),0)</f>
        <v>0</v>
      </c>
      <c r="J340" s="18">
        <f ca="1">MONTH(A340)</f>
        <v>4</v>
      </c>
    </row>
    <row r="341" spans="1:10" s="18" customFormat="1" ht="18" customHeight="1">
      <c r="A341" s="318">
        <f ca="1">IF(ROWS($1:327)&gt;COUNT(Dong5),"",OFFSET(TH!C$1,SMALL(Dong5,ROWS($1:327)),))</f>
        <v>42464</v>
      </c>
      <c r="B341" s="318" t="str">
        <f ca="1">IF(ROWS($1:327)&gt;COUNT(Dong5),"",OFFSET(TH!D$1,SMALL(Dong5,ROWS($1:327)),))</f>
        <v>C05</v>
      </c>
      <c r="C341" s="318">
        <f ca="1">IF(ROWS($1:327)&gt;COUNT(Dong5),"",OFFSET(TH!E$1,SMALL(Dong5,ROWS($1:327)),))</f>
        <v>42464</v>
      </c>
      <c r="D341" s="383" t="str">
        <f ca="1">IF(ROWS($1:327)&gt;COUNT(Dong5),"",OFFSET(TH!F$1,SMALL(Dong5,ROWS($1:327)),))</f>
        <v>VAT Xăng</v>
      </c>
      <c r="E341" s="318" t="str">
        <f ca="1">IF(ROWS($1:327)&gt;COUNT(Dong5),"",IF(OFFSET(TH!N$1,SMALL(Dong5,ROWS($1:327)),)=$E$7,OFFSET(TH!O$1,SMALL(Dong5,ROWS($1:327)),),OFFSET(TH!N$1,SMALL(Dong5,ROWS($1:327)),)))</f>
        <v>1111</v>
      </c>
      <c r="F341" s="384">
        <f ca="1">IF(ROWS($1:327)&gt;COUNT(Dong5),0,IF(OFFSET(TH!N$1,SMALL(Dong5,ROWS($1:327)),)=$E$7,OFFSET(TH!M$1,SMALL(Dong5,ROWS($1:327)),),0))</f>
        <v>64604</v>
      </c>
      <c r="G341" s="382">
        <f ca="1">IF(ROWS($1:327)&gt;COUNT(Dong5),0,IF(OFFSET(TH!O$1,SMALL(Dong5,ROWS($1:327)),)=$E$7,OFFSET(TH!M$1,SMALL(Dong5,ROWS($1:327)),),0))</f>
        <v>0</v>
      </c>
      <c r="H341" s="385">
        <f ca="1">IF(D341&lt;&gt;"",MAX(H340+F341-G341-I340,0),0)</f>
        <v>548450566</v>
      </c>
      <c r="I341" s="385">
        <f ca="1">IF(D341&lt;&gt;"",MAX(I340+G341-H340-F341,0),0)</f>
        <v>0</v>
      </c>
      <c r="J341" s="18">
        <f ca="1">MONTH(A341)</f>
        <v>4</v>
      </c>
    </row>
    <row r="342" spans="1:10" s="18" customFormat="1" ht="18" customHeight="1">
      <c r="A342" s="318">
        <f ca="1">IF(ROWS($1:328)&gt;COUNT(Dong5),"",OFFSET(TH!C$1,SMALL(Dong5,ROWS($1:328)),))</f>
        <v>42465</v>
      </c>
      <c r="B342" s="318" t="str">
        <f ca="1">IF(ROWS($1:328)&gt;COUNT(Dong5),"",OFFSET(TH!D$1,SMALL(Dong5,ROWS($1:328)),))</f>
        <v>C06</v>
      </c>
      <c r="C342" s="318">
        <f ca="1">IF(ROWS($1:328)&gt;COUNT(Dong5),"",OFFSET(TH!E$1,SMALL(Dong5,ROWS($1:328)),))</f>
        <v>42465</v>
      </c>
      <c r="D342" s="383" t="str">
        <f ca="1">IF(ROWS($1:328)&gt;COUNT(Dong5),"",OFFSET(TH!F$1,SMALL(Dong5,ROWS($1:328)),))</f>
        <v>VAT Cước VT -CNTT T3/2016</v>
      </c>
      <c r="E342" s="318" t="str">
        <f ca="1">IF(ROWS($1:328)&gt;COUNT(Dong5),"",IF(OFFSET(TH!N$1,SMALL(Dong5,ROWS($1:328)),)=$E$7,OFFSET(TH!O$1,SMALL(Dong5,ROWS($1:328)),),OFFSET(TH!N$1,SMALL(Dong5,ROWS($1:328)),)))</f>
        <v>1111</v>
      </c>
      <c r="F342" s="384">
        <f ca="1">IF(ROWS($1:328)&gt;COUNT(Dong5),0,IF(OFFSET(TH!N$1,SMALL(Dong5,ROWS($1:328)),)=$E$7,OFFSET(TH!M$1,SMALL(Dong5,ROWS($1:328)),),0))</f>
        <v>198154</v>
      </c>
      <c r="G342" s="382">
        <f ca="1">IF(ROWS($1:328)&gt;COUNT(Dong5),0,IF(OFFSET(TH!O$1,SMALL(Dong5,ROWS($1:328)),)=$E$7,OFFSET(TH!M$1,SMALL(Dong5,ROWS($1:328)),),0))</f>
        <v>0</v>
      </c>
      <c r="H342" s="385">
        <f ca="1">IF(D342&lt;&gt;"",MAX(H341+F342-G342-I341,0),0)</f>
        <v>548648720</v>
      </c>
      <c r="I342" s="385">
        <f ca="1">IF(D342&lt;&gt;"",MAX(I341+G342-H341-F342,0),0)</f>
        <v>0</v>
      </c>
      <c r="J342" s="18">
        <f ca="1">MONTH(A342)</f>
        <v>4</v>
      </c>
    </row>
    <row r="343" spans="1:10" s="18" customFormat="1" ht="18" customHeight="1">
      <c r="A343" s="318">
        <f ca="1">IF(ROWS($1:329)&gt;COUNT(Dong5),"",OFFSET(TH!C$1,SMALL(Dong5,ROWS($1:329)),))</f>
        <v>42466</v>
      </c>
      <c r="B343" s="318" t="str">
        <f ca="1">IF(ROWS($1:329)&gt;COUNT(Dong5),"",OFFSET(TH!D$1,SMALL(Dong5,ROWS($1:329)),))</f>
        <v>GBN</v>
      </c>
      <c r="C343" s="318">
        <f ca="1">IF(ROWS($1:329)&gt;COUNT(Dong5),"",OFFSET(TH!E$1,SMALL(Dong5,ROWS($1:329)),))</f>
        <v>42466</v>
      </c>
      <c r="D343" s="383" t="str">
        <f ca="1">IF(ROWS($1:329)&gt;COUNT(Dong5),"",OFFSET(TH!F$1,SMALL(Dong5,ROWS($1:329)),))</f>
        <v>VAT Phí thông báo LC</v>
      </c>
      <c r="E343" s="318" t="str">
        <f ca="1">IF(ROWS($1:329)&gt;COUNT(Dong5),"",IF(OFFSET(TH!N$1,SMALL(Dong5,ROWS($1:329)),)=$E$7,OFFSET(TH!O$1,SMALL(Dong5,ROWS($1:329)),),OFFSET(TH!N$1,SMALL(Dong5,ROWS($1:329)),)))</f>
        <v>1121</v>
      </c>
      <c r="F343" s="384">
        <f ca="1">IF(ROWS($1:329)&gt;COUNT(Dong5),0,IF(OFFSET(TH!N$1,SMALL(Dong5,ROWS($1:329)),)=$E$7,OFFSET(TH!M$1,SMALL(Dong5,ROWS($1:329)),),0))</f>
        <v>33390</v>
      </c>
      <c r="G343" s="382">
        <f ca="1">IF(ROWS($1:329)&gt;COUNT(Dong5),0,IF(OFFSET(TH!O$1,SMALL(Dong5,ROWS($1:329)),)=$E$7,OFFSET(TH!M$1,SMALL(Dong5,ROWS($1:329)),),0))</f>
        <v>0</v>
      </c>
      <c r="H343" s="385">
        <f ca="1">IF(D343&lt;&gt;"",MAX(H342+F343-G343-I342,0),0)</f>
        <v>548682110</v>
      </c>
      <c r="I343" s="385">
        <f ca="1">IF(D343&lt;&gt;"",MAX(I342+G343-H342-F343,0),0)</f>
        <v>0</v>
      </c>
      <c r="J343" s="18">
        <f ca="1">MONTH(A343)</f>
        <v>4</v>
      </c>
    </row>
    <row r="344" spans="1:10" s="18" customFormat="1" ht="18" customHeight="1">
      <c r="A344" s="318">
        <f ca="1">IF(ROWS($1:330)&gt;COUNT(Dong5),"",OFFSET(TH!C$1,SMALL(Dong5,ROWS($1:330)),))</f>
        <v>42468</v>
      </c>
      <c r="B344" s="318" t="str">
        <f ca="1">IF(ROWS($1:330)&gt;COUNT(Dong5),"",OFFSET(TH!D$1,SMALL(Dong5,ROWS($1:330)),))</f>
        <v>GBN</v>
      </c>
      <c r="C344" s="318">
        <f ca="1">IF(ROWS($1:330)&gt;COUNT(Dong5),"",OFFSET(TH!E$1,SMALL(Dong5,ROWS($1:330)),))</f>
        <v>42468</v>
      </c>
      <c r="D344" s="383" t="str">
        <f ca="1">IF(ROWS($1:330)&gt;COUNT(Dong5),"",OFFSET(TH!F$1,SMALL(Dong5,ROWS($1:330)),))</f>
        <v>VAT Phí thông báo tu chỉnh LC</v>
      </c>
      <c r="E344" s="318" t="str">
        <f ca="1">IF(ROWS($1:330)&gt;COUNT(Dong5),"",IF(OFFSET(TH!N$1,SMALL(Dong5,ROWS($1:330)),)=$E$7,OFFSET(TH!O$1,SMALL(Dong5,ROWS($1:330)),),OFFSET(TH!N$1,SMALL(Dong5,ROWS($1:330)),)))</f>
        <v>1122</v>
      </c>
      <c r="F344" s="384">
        <f ca="1">IF(ROWS($1:330)&gt;COUNT(Dong5),0,IF(OFFSET(TH!N$1,SMALL(Dong5,ROWS($1:330)),)=$E$7,OFFSET(TH!M$1,SMALL(Dong5,ROWS($1:330)),),0))</f>
        <v>11130</v>
      </c>
      <c r="G344" s="382">
        <f ca="1">IF(ROWS($1:330)&gt;COUNT(Dong5),0,IF(OFFSET(TH!O$1,SMALL(Dong5,ROWS($1:330)),)=$E$7,OFFSET(TH!M$1,SMALL(Dong5,ROWS($1:330)),),0))</f>
        <v>0</v>
      </c>
      <c r="H344" s="385">
        <f ca="1">IF(D344&lt;&gt;"",MAX(H343+F344-G344-I343,0),0)</f>
        <v>548693240</v>
      </c>
      <c r="I344" s="385">
        <f ca="1">IF(D344&lt;&gt;"",MAX(I343+G344-H343-F344,0),0)</f>
        <v>0</v>
      </c>
      <c r="J344" s="18">
        <f ca="1">MONTH(A344)</f>
        <v>4</v>
      </c>
    </row>
    <row r="345" spans="1:10" s="18" customFormat="1" ht="18" customHeight="1">
      <c r="A345" s="318">
        <f ca="1">IF(ROWS($1:331)&gt;COUNT(Dong5),"",OFFSET(TH!C$1,SMALL(Dong5,ROWS($1:331)),))</f>
        <v>42468</v>
      </c>
      <c r="B345" s="318" t="str">
        <f ca="1">IF(ROWS($1:331)&gt;COUNT(Dong5),"",OFFSET(TH!D$1,SMALL(Dong5,ROWS($1:331)),))</f>
        <v>GBN</v>
      </c>
      <c r="C345" s="318">
        <f ca="1">IF(ROWS($1:331)&gt;COUNT(Dong5),"",OFFSET(TH!E$1,SMALL(Dong5,ROWS($1:331)),))</f>
        <v>42468</v>
      </c>
      <c r="D345" s="383" t="str">
        <f ca="1">IF(ROWS($1:331)&gt;COUNT(Dong5),"",OFFSET(TH!F$1,SMALL(Dong5,ROWS($1:331)),))</f>
        <v>VAT Phí chuyển tiền</v>
      </c>
      <c r="E345" s="318" t="str">
        <f ca="1">IF(ROWS($1:331)&gt;COUNT(Dong5),"",IF(OFFSET(TH!N$1,SMALL(Dong5,ROWS($1:331)),)=$E$7,OFFSET(TH!O$1,SMALL(Dong5,ROWS($1:331)),),OFFSET(TH!N$1,SMALL(Dong5,ROWS($1:331)),)))</f>
        <v>1121</v>
      </c>
      <c r="F345" s="384">
        <f ca="1">IF(ROWS($1:331)&gt;COUNT(Dong5),0,IF(OFFSET(TH!N$1,SMALL(Dong5,ROWS($1:331)),)=$E$7,OFFSET(TH!M$1,SMALL(Dong5,ROWS($1:331)),),0))</f>
        <v>2000</v>
      </c>
      <c r="G345" s="382">
        <f ca="1">IF(ROWS($1:331)&gt;COUNT(Dong5),0,IF(OFFSET(TH!O$1,SMALL(Dong5,ROWS($1:331)),)=$E$7,OFFSET(TH!M$1,SMALL(Dong5,ROWS($1:331)),),0))</f>
        <v>0</v>
      </c>
      <c r="H345" s="385">
        <f ca="1">IF(D345&lt;&gt;"",MAX(H344+F345-G345-I344,0),0)</f>
        <v>548695240</v>
      </c>
      <c r="I345" s="385">
        <f ca="1">IF(D345&lt;&gt;"",MAX(I344+G345-H344-F345,0),0)</f>
        <v>0</v>
      </c>
      <c r="J345" s="18">
        <f ca="1">MONTH(A345)</f>
        <v>4</v>
      </c>
    </row>
    <row r="346" spans="1:10" s="18" customFormat="1" ht="18" customHeight="1">
      <c r="A346" s="318">
        <f ca="1">IF(ROWS($1:332)&gt;COUNT(Dong5),"",OFFSET(TH!C$1,SMALL(Dong5,ROWS($1:332)),))</f>
        <v>42468</v>
      </c>
      <c r="B346" s="318" t="str">
        <f ca="1">IF(ROWS($1:332)&gt;COUNT(Dong5),"",OFFSET(TH!D$1,SMALL(Dong5,ROWS($1:332)),))</f>
        <v>GBN</v>
      </c>
      <c r="C346" s="318">
        <f ca="1">IF(ROWS($1:332)&gt;COUNT(Dong5),"",OFFSET(TH!E$1,SMALL(Dong5,ROWS($1:332)),))</f>
        <v>42468</v>
      </c>
      <c r="D346" s="383" t="str">
        <f ca="1">IF(ROWS($1:332)&gt;COUNT(Dong5),"",OFFSET(TH!F$1,SMALL(Dong5,ROWS($1:332)),))</f>
        <v>VAT Phí chuyển tiền</v>
      </c>
      <c r="E346" s="318" t="str">
        <f ca="1">IF(ROWS($1:332)&gt;COUNT(Dong5),"",IF(OFFSET(TH!N$1,SMALL(Dong5,ROWS($1:332)),)=$E$7,OFFSET(TH!O$1,SMALL(Dong5,ROWS($1:332)),),OFFSET(TH!N$1,SMALL(Dong5,ROWS($1:332)),)))</f>
        <v>1121</v>
      </c>
      <c r="F346" s="384">
        <f ca="1">IF(ROWS($1:332)&gt;COUNT(Dong5),0,IF(OFFSET(TH!N$1,SMALL(Dong5,ROWS($1:332)),)=$E$7,OFFSET(TH!M$1,SMALL(Dong5,ROWS($1:332)),),0))</f>
        <v>4500</v>
      </c>
      <c r="G346" s="382">
        <f ca="1">IF(ROWS($1:332)&gt;COUNT(Dong5),0,IF(OFFSET(TH!O$1,SMALL(Dong5,ROWS($1:332)),)=$E$7,OFFSET(TH!M$1,SMALL(Dong5,ROWS($1:332)),),0))</f>
        <v>0</v>
      </c>
      <c r="H346" s="385">
        <f ca="1">IF(D346&lt;&gt;"",MAX(H345+F346-G346-I345,0),0)</f>
        <v>548699740</v>
      </c>
      <c r="I346" s="385">
        <f ca="1">IF(D346&lt;&gt;"",MAX(I345+G346-H345-F346,0),0)</f>
        <v>0</v>
      </c>
      <c r="J346" s="18">
        <f ca="1">MONTH(A346)</f>
        <v>4</v>
      </c>
    </row>
    <row r="347" spans="1:10" s="18" customFormat="1" ht="18" customHeight="1">
      <c r="A347" s="318">
        <f ca="1">IF(ROWS($1:333)&gt;COUNT(Dong5),"",OFFSET(TH!C$1,SMALL(Dong5,ROWS($1:333)),))</f>
        <v>42567</v>
      </c>
      <c r="B347" s="318" t="str">
        <f ca="1">IF(ROWS($1:333)&gt;COUNT(Dong5),"",OFFSET(TH!D$1,SMALL(Dong5,ROWS($1:333)),))</f>
        <v>VL/N01</v>
      </c>
      <c r="C347" s="318">
        <f ca="1">IF(ROWS($1:333)&gt;COUNT(Dong5),"",OFFSET(TH!E$1,SMALL(Dong5,ROWS($1:333)),))</f>
        <v>42567</v>
      </c>
      <c r="D347" s="383" t="str">
        <f ca="1">IF(ROWS($1:333)&gt;COUNT(Dong5),"",OFFSET(TH!F$1,SMALL(Dong5,ROWS($1:333)),))</f>
        <v>VAT Tinh bột bắp</v>
      </c>
      <c r="E347" s="318" t="str">
        <f ca="1">IF(ROWS($1:333)&gt;COUNT(Dong5),"",IF(OFFSET(TH!N$1,SMALL(Dong5,ROWS($1:333)),)=$E$7,OFFSET(TH!O$1,SMALL(Dong5,ROWS($1:333)),),OFFSET(TH!N$1,SMALL(Dong5,ROWS($1:333)),)))</f>
        <v>331</v>
      </c>
      <c r="F347" s="384">
        <f ca="1">IF(ROWS($1:333)&gt;COUNT(Dong5),0,IF(OFFSET(TH!N$1,SMALL(Dong5,ROWS($1:333)),)=$E$7,OFFSET(TH!M$1,SMALL(Dong5,ROWS($1:333)),),0))</f>
        <v>636400</v>
      </c>
      <c r="G347" s="382">
        <f ca="1">IF(ROWS($1:333)&gt;COUNT(Dong5),0,IF(OFFSET(TH!O$1,SMALL(Dong5,ROWS($1:333)),)=$E$7,OFFSET(TH!M$1,SMALL(Dong5,ROWS($1:333)),),0))</f>
        <v>0</v>
      </c>
      <c r="H347" s="385">
        <f ca="1">IF(D347&lt;&gt;"",MAX(H346+F347-G347-I346,0),0)</f>
        <v>549336140</v>
      </c>
      <c r="I347" s="385">
        <f ca="1">IF(D347&lt;&gt;"",MAX(I346+G347-H346-F347,0),0)</f>
        <v>0</v>
      </c>
      <c r="J347" s="18">
        <f ca="1">MONTH(A347)</f>
        <v>7</v>
      </c>
    </row>
    <row r="348" spans="1:10" s="18" customFormat="1" ht="18" customHeight="1">
      <c r="A348" s="318">
        <f ca="1">IF(ROWS($1:334)&gt;COUNT(Dong5),"",OFFSET(TH!C$1,SMALL(Dong5,ROWS($1:334)),))</f>
        <v>42475</v>
      </c>
      <c r="B348" s="318" t="str">
        <f ca="1">IF(ROWS($1:334)&gt;COUNT(Dong5),"",OFFSET(TH!D$1,SMALL(Dong5,ROWS($1:334)),))</f>
        <v>C09</v>
      </c>
      <c r="C348" s="318">
        <f ca="1">IF(ROWS($1:334)&gt;COUNT(Dong5),"",OFFSET(TH!E$1,SMALL(Dong5,ROWS($1:334)),))</f>
        <v>42475</v>
      </c>
      <c r="D348" s="383" t="str">
        <f ca="1">IF(ROWS($1:334)&gt;COUNT(Dong5),"",OFFSET(TH!F$1,SMALL(Dong5,ROWS($1:334)),))</f>
        <v xml:space="preserve">VAT  Xăng, dầu </v>
      </c>
      <c r="E348" s="318" t="str">
        <f ca="1">IF(ROWS($1:334)&gt;COUNT(Dong5),"",IF(OFFSET(TH!N$1,SMALL(Dong5,ROWS($1:334)),)=$E$7,OFFSET(TH!O$1,SMALL(Dong5,ROWS($1:334)),),OFFSET(TH!N$1,SMALL(Dong5,ROWS($1:334)),)))</f>
        <v>1111</v>
      </c>
      <c r="F348" s="384">
        <f ca="1">IF(ROWS($1:334)&gt;COUNT(Dong5),0,IF(OFFSET(TH!N$1,SMALL(Dong5,ROWS($1:334)),)=$E$7,OFFSET(TH!M$1,SMALL(Dong5,ROWS($1:334)),),0))</f>
        <v>287953</v>
      </c>
      <c r="G348" s="382">
        <f ca="1">IF(ROWS($1:334)&gt;COUNT(Dong5),0,IF(OFFSET(TH!O$1,SMALL(Dong5,ROWS($1:334)),)=$E$7,OFFSET(TH!M$1,SMALL(Dong5,ROWS($1:334)),),0))</f>
        <v>0</v>
      </c>
      <c r="H348" s="385">
        <f ca="1">IF(D348&lt;&gt;"",MAX(H347+F348-G348-I347,0),0)</f>
        <v>549624093</v>
      </c>
      <c r="I348" s="385">
        <f ca="1">IF(D348&lt;&gt;"",MAX(I347+G348-H347-F348,0),0)</f>
        <v>0</v>
      </c>
      <c r="J348" s="18">
        <f ca="1">MONTH(A348)</f>
        <v>4</v>
      </c>
    </row>
    <row r="349" spans="1:10" s="18" customFormat="1" ht="18" customHeight="1">
      <c r="A349" s="318">
        <f ca="1">IF(ROWS($1:335)&gt;COUNT(Dong5),"",OFFSET(TH!C$1,SMALL(Dong5,ROWS($1:335)),))</f>
        <v>42475</v>
      </c>
      <c r="B349" s="318" t="str">
        <f ca="1">IF(ROWS($1:335)&gt;COUNT(Dong5),"",OFFSET(TH!D$1,SMALL(Dong5,ROWS($1:335)),))</f>
        <v>GBN</v>
      </c>
      <c r="C349" s="318">
        <f ca="1">IF(ROWS($1:335)&gt;COUNT(Dong5),"",OFFSET(TH!E$1,SMALL(Dong5,ROWS($1:335)),))</f>
        <v>42475</v>
      </c>
      <c r="D349" s="383" t="str">
        <f ca="1">IF(ROWS($1:335)&gt;COUNT(Dong5),"",OFFSET(TH!F$1,SMALL(Dong5,ROWS($1:335)),))</f>
        <v>VAT Phí thông báo tu chỉnh LC</v>
      </c>
      <c r="E349" s="318" t="str">
        <f ca="1">IF(ROWS($1:335)&gt;COUNT(Dong5),"",IF(OFFSET(TH!N$1,SMALL(Dong5,ROWS($1:335)),)=$E$7,OFFSET(TH!O$1,SMALL(Dong5,ROWS($1:335)),),OFFSET(TH!N$1,SMALL(Dong5,ROWS($1:335)),)))</f>
        <v>1122</v>
      </c>
      <c r="F349" s="384">
        <f ca="1">IF(ROWS($1:335)&gt;COUNT(Dong5),0,IF(OFFSET(TH!N$1,SMALL(Dong5,ROWS($1:335)),)=$E$7,OFFSET(TH!M$1,SMALL(Dong5,ROWS($1:335)),),0))</f>
        <v>11130</v>
      </c>
      <c r="G349" s="382">
        <f ca="1">IF(ROWS($1:335)&gt;COUNT(Dong5),0,IF(OFFSET(TH!O$1,SMALL(Dong5,ROWS($1:335)),)=$E$7,OFFSET(TH!M$1,SMALL(Dong5,ROWS($1:335)),),0))</f>
        <v>0</v>
      </c>
      <c r="H349" s="385">
        <f ca="1">IF(D349&lt;&gt;"",MAX(H348+F349-G349-I348,0),0)</f>
        <v>549635223</v>
      </c>
      <c r="I349" s="385">
        <f ca="1">IF(D349&lt;&gt;"",MAX(I348+G349-H348-F349,0),0)</f>
        <v>0</v>
      </c>
      <c r="J349" s="18">
        <f ca="1">MONTH(A349)</f>
        <v>4</v>
      </c>
    </row>
    <row r="350" spans="1:10" s="18" customFormat="1" ht="18" customHeight="1">
      <c r="A350" s="318">
        <f ca="1">IF(ROWS($1:336)&gt;COUNT(Dong5),"",OFFSET(TH!C$1,SMALL(Dong5,ROWS($1:336)),))</f>
        <v>42475</v>
      </c>
      <c r="B350" s="318" t="str">
        <f ca="1">IF(ROWS($1:336)&gt;COUNT(Dong5),"",OFFSET(TH!D$1,SMALL(Dong5,ROWS($1:336)),))</f>
        <v>GBN</v>
      </c>
      <c r="C350" s="318">
        <f ca="1">IF(ROWS($1:336)&gt;COUNT(Dong5),"",OFFSET(TH!E$1,SMALL(Dong5,ROWS($1:336)),))</f>
        <v>42475</v>
      </c>
      <c r="D350" s="383" t="str">
        <f ca="1">IF(ROWS($1:336)&gt;COUNT(Dong5),"",OFFSET(TH!F$1,SMALL(Dong5,ROWS($1:336)),))</f>
        <v>VAT Phí xử lý bộ chứng từ</v>
      </c>
      <c r="E350" s="318" t="str">
        <f ca="1">IF(ROWS($1:336)&gt;COUNT(Dong5),"",IF(OFFSET(TH!N$1,SMALL(Dong5,ROWS($1:336)),)=$E$7,OFFSET(TH!O$1,SMALL(Dong5,ROWS($1:336)),),OFFSET(TH!N$1,SMALL(Dong5,ROWS($1:336)),)))</f>
        <v>1121</v>
      </c>
      <c r="F350" s="384">
        <f ca="1">IF(ROWS($1:336)&gt;COUNT(Dong5),0,IF(OFFSET(TH!N$1,SMALL(Dong5,ROWS($1:336)),)=$E$7,OFFSET(TH!M$1,SMALL(Dong5,ROWS($1:336)),),0))</f>
        <v>22280</v>
      </c>
      <c r="G350" s="382">
        <f ca="1">IF(ROWS($1:336)&gt;COUNT(Dong5),0,IF(OFFSET(TH!O$1,SMALL(Dong5,ROWS($1:336)),)=$E$7,OFFSET(TH!M$1,SMALL(Dong5,ROWS($1:336)),),0))</f>
        <v>0</v>
      </c>
      <c r="H350" s="385">
        <f ca="1">IF(D350&lt;&gt;"",MAX(H349+F350-G350-I349,0),0)</f>
        <v>549657503</v>
      </c>
      <c r="I350" s="385">
        <f ca="1">IF(D350&lt;&gt;"",MAX(I349+G350-H349-F350,0),0)</f>
        <v>0</v>
      </c>
      <c r="J350" s="18">
        <f ca="1">MONTH(A350)</f>
        <v>4</v>
      </c>
    </row>
    <row r="351" spans="1:10" s="18" customFormat="1" ht="18" customHeight="1">
      <c r="A351" s="318">
        <f ca="1">IF(ROWS($1:337)&gt;COUNT(Dong5),"",OFFSET(TH!C$1,SMALL(Dong5,ROWS($1:337)),))</f>
        <v>42475</v>
      </c>
      <c r="B351" s="318" t="str">
        <f ca="1">IF(ROWS($1:337)&gt;COUNT(Dong5),"",OFFSET(TH!D$1,SMALL(Dong5,ROWS($1:337)),))</f>
        <v>GBN</v>
      </c>
      <c r="C351" s="318">
        <f ca="1">IF(ROWS($1:337)&gt;COUNT(Dong5),"",OFFSET(TH!E$1,SMALL(Dong5,ROWS($1:337)),))</f>
        <v>42475</v>
      </c>
      <c r="D351" s="383" t="str">
        <f ca="1">IF(ROWS($1:337)&gt;COUNT(Dong5),"",OFFSET(TH!F$1,SMALL(Dong5,ROWS($1:337)),))</f>
        <v>VAT Phí DHL</v>
      </c>
      <c r="E351" s="318" t="str">
        <f ca="1">IF(ROWS($1:337)&gt;COUNT(Dong5),"",IF(OFFSET(TH!N$1,SMALL(Dong5,ROWS($1:337)),)=$E$7,OFFSET(TH!O$1,SMALL(Dong5,ROWS($1:337)),),OFFSET(TH!N$1,SMALL(Dong5,ROWS($1:337)),)))</f>
        <v>1121</v>
      </c>
      <c r="F351" s="384">
        <f ca="1">IF(ROWS($1:337)&gt;COUNT(Dong5),0,IF(OFFSET(TH!N$1,SMALL(Dong5,ROWS($1:337)),)=$E$7,OFFSET(TH!M$1,SMALL(Dong5,ROWS($1:337)),),0))</f>
        <v>61493</v>
      </c>
      <c r="G351" s="382">
        <f ca="1">IF(ROWS($1:337)&gt;COUNT(Dong5),0,IF(OFFSET(TH!O$1,SMALL(Dong5,ROWS($1:337)),)=$E$7,OFFSET(TH!M$1,SMALL(Dong5,ROWS($1:337)),),0))</f>
        <v>0</v>
      </c>
      <c r="H351" s="385">
        <f ca="1">IF(D351&lt;&gt;"",MAX(H350+F351-G351-I350,0),0)</f>
        <v>549718996</v>
      </c>
      <c r="I351" s="385">
        <f ca="1">IF(D351&lt;&gt;"",MAX(I350+G351-H350-F351,0),0)</f>
        <v>0</v>
      </c>
      <c r="J351" s="18">
        <f ca="1">MONTH(A351)</f>
        <v>4</v>
      </c>
    </row>
    <row r="352" spans="1:10" s="18" customFormat="1" ht="18" customHeight="1">
      <c r="A352" s="318">
        <f ca="1">IF(ROWS($1:338)&gt;COUNT(Dong5),"",OFFSET(TH!C$1,SMALL(Dong5,ROWS($1:338)),))</f>
        <v>42477</v>
      </c>
      <c r="B352" s="318" t="str">
        <f ca="1">IF(ROWS($1:338)&gt;COUNT(Dong5),"",OFFSET(TH!D$1,SMALL(Dong5,ROWS($1:338)),))</f>
        <v>C11</v>
      </c>
      <c r="C352" s="318">
        <f ca="1">IF(ROWS($1:338)&gt;COUNT(Dong5),"",OFFSET(TH!E$1,SMALL(Dong5,ROWS($1:338)),))</f>
        <v>42477</v>
      </c>
      <c r="D352" s="383" t="str">
        <f ca="1">IF(ROWS($1:338)&gt;COUNT(Dong5),"",OFFSET(TH!F$1,SMALL(Dong5,ROWS($1:338)),))</f>
        <v>VAT Dầu DO</v>
      </c>
      <c r="E352" s="318" t="str">
        <f ca="1">IF(ROWS($1:338)&gt;COUNT(Dong5),"",IF(OFFSET(TH!N$1,SMALL(Dong5,ROWS($1:338)),)=$E$7,OFFSET(TH!O$1,SMALL(Dong5,ROWS($1:338)),),OFFSET(TH!N$1,SMALL(Dong5,ROWS($1:338)),)))</f>
        <v>1111</v>
      </c>
      <c r="F352" s="384">
        <f ca="1">IF(ROWS($1:338)&gt;COUNT(Dong5),0,IF(OFFSET(TH!N$1,SMALL(Dong5,ROWS($1:338)),)=$E$7,OFFSET(TH!M$1,SMALL(Dong5,ROWS($1:338)),),0))</f>
        <v>48453</v>
      </c>
      <c r="G352" s="382">
        <f ca="1">IF(ROWS($1:338)&gt;COUNT(Dong5),0,IF(OFFSET(TH!O$1,SMALL(Dong5,ROWS($1:338)),)=$E$7,OFFSET(TH!M$1,SMALL(Dong5,ROWS($1:338)),),0))</f>
        <v>0</v>
      </c>
      <c r="H352" s="385">
        <f ca="1">IF(D352&lt;&gt;"",MAX(H351+F352-G352-I351,0),0)</f>
        <v>549767449</v>
      </c>
      <c r="I352" s="385">
        <f ca="1">IF(D352&lt;&gt;"",MAX(I351+G352-H351-F352,0),0)</f>
        <v>0</v>
      </c>
      <c r="J352" s="18">
        <f ca="1">MONTH(A352)</f>
        <v>4</v>
      </c>
    </row>
    <row r="353" spans="1:10" s="18" customFormat="1" ht="18" customHeight="1">
      <c r="A353" s="318">
        <f ca="1">IF(ROWS($1:339)&gt;COUNT(Dong5),"",OFFSET(TH!C$1,SMALL(Dong5,ROWS($1:339)),))</f>
        <v>42485</v>
      </c>
      <c r="B353" s="318" t="str">
        <f ca="1">IF(ROWS($1:339)&gt;COUNT(Dong5),"",OFFSET(TH!D$1,SMALL(Dong5,ROWS($1:339)),))</f>
        <v>C15</v>
      </c>
      <c r="C353" s="318">
        <f ca="1">IF(ROWS($1:339)&gt;COUNT(Dong5),"",OFFSET(TH!E$1,SMALL(Dong5,ROWS($1:339)),))</f>
        <v>42485</v>
      </c>
      <c r="D353" s="383" t="str">
        <f ca="1">IF(ROWS($1:339)&gt;COUNT(Dong5),"",OFFSET(TH!F$1,SMALL(Dong5,ROWS($1:339)),))</f>
        <v>VAT Dầu DO, Xăng</v>
      </c>
      <c r="E353" s="318" t="str">
        <f ca="1">IF(ROWS($1:339)&gt;COUNT(Dong5),"",IF(OFFSET(TH!N$1,SMALL(Dong5,ROWS($1:339)),)=$E$7,OFFSET(TH!O$1,SMALL(Dong5,ROWS($1:339)),),OFFSET(TH!N$1,SMALL(Dong5,ROWS($1:339)),)))</f>
        <v>1111</v>
      </c>
      <c r="F353" s="384">
        <f ca="1">IF(ROWS($1:339)&gt;COUNT(Dong5),0,IF(OFFSET(TH!N$1,SMALL(Dong5,ROWS($1:339)),)=$E$7,OFFSET(TH!M$1,SMALL(Dong5,ROWS($1:339)),),0))</f>
        <v>166074</v>
      </c>
      <c r="G353" s="382">
        <f ca="1">IF(ROWS($1:339)&gt;COUNT(Dong5),0,IF(OFFSET(TH!O$1,SMALL(Dong5,ROWS($1:339)),)=$E$7,OFFSET(TH!M$1,SMALL(Dong5,ROWS($1:339)),),0))</f>
        <v>0</v>
      </c>
      <c r="H353" s="385">
        <f ca="1">IF(D353&lt;&gt;"",MAX(H352+F353-G353-I352,0),0)</f>
        <v>549933523</v>
      </c>
      <c r="I353" s="385">
        <f ca="1">IF(D353&lt;&gt;"",MAX(I352+G353-H352-F353,0),0)</f>
        <v>0</v>
      </c>
      <c r="J353" s="18">
        <f ca="1">MONTH(A353)</f>
        <v>4</v>
      </c>
    </row>
    <row r="354" spans="1:10" s="18" customFormat="1" ht="18" customHeight="1">
      <c r="A354" s="318">
        <f ca="1">IF(ROWS($1:340)&gt;COUNT(Dong5),"",OFFSET(TH!C$1,SMALL(Dong5,ROWS($1:340)),))</f>
        <v>42485</v>
      </c>
      <c r="B354" s="318" t="str">
        <f ca="1">IF(ROWS($1:340)&gt;COUNT(Dong5),"",OFFSET(TH!D$1,SMALL(Dong5,ROWS($1:340)),))</f>
        <v>GBN</v>
      </c>
      <c r="C354" s="318">
        <f ca="1">IF(ROWS($1:340)&gt;COUNT(Dong5),"",OFFSET(TH!E$1,SMALL(Dong5,ROWS($1:340)),))</f>
        <v>42485</v>
      </c>
      <c r="D354" s="383" t="str">
        <f ca="1">IF(ROWS($1:340)&gt;COUNT(Dong5),"",OFFSET(TH!F$1,SMALL(Dong5,ROWS($1:340)),))</f>
        <v>VAT Phí chuyển tiền</v>
      </c>
      <c r="E354" s="318" t="str">
        <f ca="1">IF(ROWS($1:340)&gt;COUNT(Dong5),"",IF(OFFSET(TH!N$1,SMALL(Dong5,ROWS($1:340)),)=$E$7,OFFSET(TH!O$1,SMALL(Dong5,ROWS($1:340)),),OFFSET(TH!N$1,SMALL(Dong5,ROWS($1:340)),)))</f>
        <v>1121</v>
      </c>
      <c r="F354" s="384">
        <f ca="1">IF(ROWS($1:340)&gt;COUNT(Dong5),0,IF(OFFSET(TH!N$1,SMALL(Dong5,ROWS($1:340)),)=$E$7,OFFSET(TH!M$1,SMALL(Dong5,ROWS($1:340)),),0))</f>
        <v>2000</v>
      </c>
      <c r="G354" s="382">
        <f ca="1">IF(ROWS($1:340)&gt;COUNT(Dong5),0,IF(OFFSET(TH!O$1,SMALL(Dong5,ROWS($1:340)),)=$E$7,OFFSET(TH!M$1,SMALL(Dong5,ROWS($1:340)),),0))</f>
        <v>0</v>
      </c>
      <c r="H354" s="385">
        <f ca="1">IF(D354&lt;&gt;"",MAX(H353+F354-G354-I353,0),0)</f>
        <v>549935523</v>
      </c>
      <c r="I354" s="385">
        <f ca="1">IF(D354&lt;&gt;"",MAX(I353+G354-H353-F354,0),0)</f>
        <v>0</v>
      </c>
      <c r="J354" s="18">
        <f ca="1">MONTH(A354)</f>
        <v>4</v>
      </c>
    </row>
    <row r="355" spans="1:10" s="18" customFormat="1" ht="18" customHeight="1">
      <c r="A355" s="318">
        <f ca="1">IF(ROWS($1:341)&gt;COUNT(Dong5),"",OFFSET(TH!C$1,SMALL(Dong5,ROWS($1:341)),))</f>
        <v>42485</v>
      </c>
      <c r="B355" s="318" t="str">
        <f ca="1">IF(ROWS($1:341)&gt;COUNT(Dong5),"",OFFSET(TH!D$1,SMALL(Dong5,ROWS($1:341)),))</f>
        <v>GBN</v>
      </c>
      <c r="C355" s="318">
        <f ca="1">IF(ROWS($1:341)&gt;COUNT(Dong5),"",OFFSET(TH!E$1,SMALL(Dong5,ROWS($1:341)),))</f>
        <v>42485</v>
      </c>
      <c r="D355" s="383" t="str">
        <f ca="1">IF(ROWS($1:341)&gt;COUNT(Dong5),"",OFFSET(TH!F$1,SMALL(Dong5,ROWS($1:341)),))</f>
        <v>VAT Phí chuyển tiền</v>
      </c>
      <c r="E355" s="318" t="str">
        <f ca="1">IF(ROWS($1:341)&gt;COUNT(Dong5),"",IF(OFFSET(TH!N$1,SMALL(Dong5,ROWS($1:341)),)=$E$7,OFFSET(TH!O$1,SMALL(Dong5,ROWS($1:341)),),OFFSET(TH!N$1,SMALL(Dong5,ROWS($1:341)),)))</f>
        <v>1121</v>
      </c>
      <c r="F355" s="384">
        <f ca="1">IF(ROWS($1:341)&gt;COUNT(Dong5),0,IF(OFFSET(TH!N$1,SMALL(Dong5,ROWS($1:341)),)=$E$7,OFFSET(TH!M$1,SMALL(Dong5,ROWS($1:341)),),0))</f>
        <v>2000</v>
      </c>
      <c r="G355" s="382">
        <f ca="1">IF(ROWS($1:341)&gt;COUNT(Dong5),0,IF(OFFSET(TH!O$1,SMALL(Dong5,ROWS($1:341)),)=$E$7,OFFSET(TH!M$1,SMALL(Dong5,ROWS($1:341)),),0))</f>
        <v>0</v>
      </c>
      <c r="H355" s="385">
        <f ca="1">IF(D355&lt;&gt;"",MAX(H354+F355-G355-I354,0),0)</f>
        <v>549937523</v>
      </c>
      <c r="I355" s="385">
        <f ca="1">IF(D355&lt;&gt;"",MAX(I354+G355-H354-F355,0),0)</f>
        <v>0</v>
      </c>
      <c r="J355" s="18">
        <f ca="1">MONTH(A355)</f>
        <v>4</v>
      </c>
    </row>
    <row r="356" spans="1:10" s="18" customFormat="1" ht="18" customHeight="1">
      <c r="A356" s="318">
        <f ca="1">IF(ROWS($1:342)&gt;COUNT(Dong5),"",OFFSET(TH!C$1,SMALL(Dong5,ROWS($1:342)),))</f>
        <v>42485</v>
      </c>
      <c r="B356" s="318" t="str">
        <f ca="1">IF(ROWS($1:342)&gt;COUNT(Dong5),"",OFFSET(TH!D$1,SMALL(Dong5,ROWS($1:342)),))</f>
        <v>GBN</v>
      </c>
      <c r="C356" s="318">
        <f ca="1">IF(ROWS($1:342)&gt;COUNT(Dong5),"",OFFSET(TH!E$1,SMALL(Dong5,ROWS($1:342)),))</f>
        <v>42485</v>
      </c>
      <c r="D356" s="383" t="str">
        <f ca="1">IF(ROWS($1:342)&gt;COUNT(Dong5),"",OFFSET(TH!F$1,SMALL(Dong5,ROWS($1:342)),))</f>
        <v>VAT Phí chuyển tiền</v>
      </c>
      <c r="E356" s="318" t="str">
        <f ca="1">IF(ROWS($1:342)&gt;COUNT(Dong5),"",IF(OFFSET(TH!N$1,SMALL(Dong5,ROWS($1:342)),)=$E$7,OFFSET(TH!O$1,SMALL(Dong5,ROWS($1:342)),),OFFSET(TH!N$1,SMALL(Dong5,ROWS($1:342)),)))</f>
        <v>1121</v>
      </c>
      <c r="F356" s="384">
        <f ca="1">IF(ROWS($1:342)&gt;COUNT(Dong5),0,IF(OFFSET(TH!N$1,SMALL(Dong5,ROWS($1:342)),)=$E$7,OFFSET(TH!M$1,SMALL(Dong5,ROWS($1:342)),),0))</f>
        <v>4000</v>
      </c>
      <c r="G356" s="382">
        <f ca="1">IF(ROWS($1:342)&gt;COUNT(Dong5),0,IF(OFFSET(TH!O$1,SMALL(Dong5,ROWS($1:342)),)=$E$7,OFFSET(TH!M$1,SMALL(Dong5,ROWS($1:342)),),0))</f>
        <v>0</v>
      </c>
      <c r="H356" s="385">
        <f ca="1">IF(D356&lt;&gt;"",MAX(H355+F356-G356-I355,0),0)</f>
        <v>549941523</v>
      </c>
      <c r="I356" s="385">
        <f ca="1">IF(D356&lt;&gt;"",MAX(I355+G356-H355-F356,0),0)</f>
        <v>0</v>
      </c>
      <c r="J356" s="18">
        <f ca="1">MONTH(A356)</f>
        <v>4</v>
      </c>
    </row>
    <row r="357" spans="1:10" s="18" customFormat="1" ht="18" customHeight="1">
      <c r="A357" s="318">
        <f ca="1">IF(ROWS($1:343)&gt;COUNT(Dong5),"",OFFSET(TH!C$1,SMALL(Dong5,ROWS($1:343)),))</f>
        <v>42485</v>
      </c>
      <c r="B357" s="318" t="str">
        <f ca="1">IF(ROWS($1:343)&gt;COUNT(Dong5),"",OFFSET(TH!D$1,SMALL(Dong5,ROWS($1:343)),))</f>
        <v>GBN</v>
      </c>
      <c r="C357" s="318">
        <f ca="1">IF(ROWS($1:343)&gt;COUNT(Dong5),"",OFFSET(TH!E$1,SMALL(Dong5,ROWS($1:343)),))</f>
        <v>42485</v>
      </c>
      <c r="D357" s="383" t="str">
        <f ca="1">IF(ROWS($1:343)&gt;COUNT(Dong5),"",OFFSET(TH!F$1,SMALL(Dong5,ROWS($1:343)),))</f>
        <v>VAT Phí chuyển tiền</v>
      </c>
      <c r="E357" s="318" t="str">
        <f ca="1">IF(ROWS($1:343)&gt;COUNT(Dong5),"",IF(OFFSET(TH!N$1,SMALL(Dong5,ROWS($1:343)),)=$E$7,OFFSET(TH!O$1,SMALL(Dong5,ROWS($1:343)),),OFFSET(TH!N$1,SMALL(Dong5,ROWS($1:343)),)))</f>
        <v>1121</v>
      </c>
      <c r="F357" s="384">
        <f ca="1">IF(ROWS($1:343)&gt;COUNT(Dong5),0,IF(OFFSET(TH!N$1,SMALL(Dong5,ROWS($1:343)),)=$E$7,OFFSET(TH!M$1,SMALL(Dong5,ROWS($1:343)),),0))</f>
        <v>4000</v>
      </c>
      <c r="G357" s="382">
        <f ca="1">IF(ROWS($1:343)&gt;COUNT(Dong5),0,IF(OFFSET(TH!O$1,SMALL(Dong5,ROWS($1:343)),)=$E$7,OFFSET(TH!M$1,SMALL(Dong5,ROWS($1:343)),),0))</f>
        <v>0</v>
      </c>
      <c r="H357" s="385">
        <f ca="1">IF(D357&lt;&gt;"",MAX(H356+F357-G357-I356,0),0)</f>
        <v>549945523</v>
      </c>
      <c r="I357" s="385">
        <f ca="1">IF(D357&lt;&gt;"",MAX(I356+G357-H356-F357,0),0)</f>
        <v>0</v>
      </c>
      <c r="J357" s="18">
        <f ca="1">MONTH(A357)</f>
        <v>4</v>
      </c>
    </row>
    <row r="358" spans="1:10" s="18" customFormat="1" ht="18" customHeight="1">
      <c r="A358" s="318">
        <f ca="1">IF(ROWS($1:344)&gt;COUNT(Dong5),"",OFFSET(TH!C$1,SMALL(Dong5,ROWS($1:344)),))</f>
        <v>42486</v>
      </c>
      <c r="B358" s="318" t="str">
        <f ca="1">IF(ROWS($1:344)&gt;COUNT(Dong5),"",OFFSET(TH!D$1,SMALL(Dong5,ROWS($1:344)),))</f>
        <v>GBN</v>
      </c>
      <c r="C358" s="318">
        <f ca="1">IF(ROWS($1:344)&gt;COUNT(Dong5),"",OFFSET(TH!E$1,SMALL(Dong5,ROWS($1:344)),))</f>
        <v>42486</v>
      </c>
      <c r="D358" s="383" t="str">
        <f ca="1">IF(ROWS($1:344)&gt;COUNT(Dong5),"",OFFSET(TH!F$1,SMALL(Dong5,ROWS($1:344)),))</f>
        <v>VAT Phí chuyển tiền</v>
      </c>
      <c r="E358" s="318" t="str">
        <f ca="1">IF(ROWS($1:344)&gt;COUNT(Dong5),"",IF(OFFSET(TH!N$1,SMALL(Dong5,ROWS($1:344)),)=$E$7,OFFSET(TH!O$1,SMALL(Dong5,ROWS($1:344)),),OFFSET(TH!N$1,SMALL(Dong5,ROWS($1:344)),)))</f>
        <v>1121</v>
      </c>
      <c r="F358" s="384">
        <f ca="1">IF(ROWS($1:344)&gt;COUNT(Dong5),0,IF(OFFSET(TH!N$1,SMALL(Dong5,ROWS($1:344)),)=$E$7,OFFSET(TH!M$1,SMALL(Dong5,ROWS($1:344)),),0))</f>
        <v>4500</v>
      </c>
      <c r="G358" s="382">
        <f ca="1">IF(ROWS($1:344)&gt;COUNT(Dong5),0,IF(OFFSET(TH!O$1,SMALL(Dong5,ROWS($1:344)),)=$E$7,OFFSET(TH!M$1,SMALL(Dong5,ROWS($1:344)),),0))</f>
        <v>0</v>
      </c>
      <c r="H358" s="385">
        <f ca="1">IF(D358&lt;&gt;"",MAX(H357+F358-G358-I357,0),0)</f>
        <v>549950023</v>
      </c>
      <c r="I358" s="385">
        <f ca="1">IF(D358&lt;&gt;"",MAX(I357+G358-H357-F358,0),0)</f>
        <v>0</v>
      </c>
      <c r="J358" s="18">
        <f ca="1">MONTH(A358)</f>
        <v>4</v>
      </c>
    </row>
    <row r="359" spans="1:10" s="18" customFormat="1" ht="18" customHeight="1">
      <c r="A359" s="318">
        <f ca="1">IF(ROWS($1:345)&gt;COUNT(Dong5),"",OFFSET(TH!C$1,SMALL(Dong5,ROWS($1:345)),))</f>
        <v>42487</v>
      </c>
      <c r="B359" s="318" t="str">
        <f ca="1">IF(ROWS($1:345)&gt;COUNT(Dong5),"",OFFSET(TH!D$1,SMALL(Dong5,ROWS($1:345)),))</f>
        <v>C18</v>
      </c>
      <c r="C359" s="318">
        <f ca="1">IF(ROWS($1:345)&gt;COUNT(Dong5),"",OFFSET(TH!E$1,SMALL(Dong5,ROWS($1:345)),))</f>
        <v>42487</v>
      </c>
      <c r="D359" s="383" t="str">
        <f ca="1">IF(ROWS($1:345)&gt;COUNT(Dong5),"",OFFSET(TH!F$1,SMALL(Dong5,ROWS($1:345)),))</f>
        <v>VAT Phí dịch vụ bảo vệ T4/2016</v>
      </c>
      <c r="E359" s="318" t="str">
        <f ca="1">IF(ROWS($1:345)&gt;COUNT(Dong5),"",IF(OFFSET(TH!N$1,SMALL(Dong5,ROWS($1:345)),)=$E$7,OFFSET(TH!O$1,SMALL(Dong5,ROWS($1:345)),),OFFSET(TH!N$1,SMALL(Dong5,ROWS($1:345)),)))</f>
        <v>1111</v>
      </c>
      <c r="F359" s="384">
        <f ca="1">IF(ROWS($1:345)&gt;COUNT(Dong5),0,IF(OFFSET(TH!N$1,SMALL(Dong5,ROWS($1:345)),)=$E$7,OFFSET(TH!M$1,SMALL(Dong5,ROWS($1:345)),),0))</f>
        <v>1605000</v>
      </c>
      <c r="G359" s="382">
        <f ca="1">IF(ROWS($1:345)&gt;COUNT(Dong5),0,IF(OFFSET(TH!O$1,SMALL(Dong5,ROWS($1:345)),)=$E$7,OFFSET(TH!M$1,SMALL(Dong5,ROWS($1:345)),),0))</f>
        <v>0</v>
      </c>
      <c r="H359" s="385">
        <f ca="1">IF(D359&lt;&gt;"",MAX(H358+F359-G359-I358,0),0)</f>
        <v>551555023</v>
      </c>
      <c r="I359" s="385">
        <f ca="1">IF(D359&lt;&gt;"",MAX(I358+G359-H358-F359,0),0)</f>
        <v>0</v>
      </c>
      <c r="J359" s="18">
        <f ca="1">MONTH(A359)</f>
        <v>4</v>
      </c>
    </row>
    <row r="360" spans="1:10" s="18" customFormat="1" ht="18" customHeight="1">
      <c r="A360" s="318">
        <f ca="1">IF(ROWS($1:346)&gt;COUNT(Dong5),"",OFFSET(TH!C$1,SMALL(Dong5,ROWS($1:346)),))</f>
        <v>42487</v>
      </c>
      <c r="B360" s="318" t="str">
        <f ca="1">IF(ROWS($1:346)&gt;COUNT(Dong5),"",OFFSET(TH!D$1,SMALL(Dong5,ROWS($1:346)),))</f>
        <v>C19</v>
      </c>
      <c r="C360" s="318">
        <f ca="1">IF(ROWS($1:346)&gt;COUNT(Dong5),"",OFFSET(TH!E$1,SMALL(Dong5,ROWS($1:346)),))</f>
        <v>42487</v>
      </c>
      <c r="D360" s="383" t="str">
        <f ca="1">IF(ROWS($1:346)&gt;COUNT(Dong5),"",OFFSET(TH!F$1,SMALL(Dong5,ROWS($1:346)),))</f>
        <v>VAT Bảo dưỡng ô tô</v>
      </c>
      <c r="E360" s="318" t="str">
        <f ca="1">IF(ROWS($1:346)&gt;COUNT(Dong5),"",IF(OFFSET(TH!N$1,SMALL(Dong5,ROWS($1:346)),)=$E$7,OFFSET(TH!O$1,SMALL(Dong5,ROWS($1:346)),),OFFSET(TH!N$1,SMALL(Dong5,ROWS($1:346)),)))</f>
        <v>1111</v>
      </c>
      <c r="F360" s="384">
        <f ca="1">IF(ROWS($1:346)&gt;COUNT(Dong5),0,IF(OFFSET(TH!N$1,SMALL(Dong5,ROWS($1:346)),)=$E$7,OFFSET(TH!M$1,SMALL(Dong5,ROWS($1:346)),),0))</f>
        <v>263800</v>
      </c>
      <c r="G360" s="382">
        <f ca="1">IF(ROWS($1:346)&gt;COUNT(Dong5),0,IF(OFFSET(TH!O$1,SMALL(Dong5,ROWS($1:346)),)=$E$7,OFFSET(TH!M$1,SMALL(Dong5,ROWS($1:346)),),0))</f>
        <v>0</v>
      </c>
      <c r="H360" s="385">
        <f ca="1">IF(D360&lt;&gt;"",MAX(H359+F360-G360-I359,0),0)</f>
        <v>551818823</v>
      </c>
      <c r="I360" s="385">
        <f ca="1">IF(D360&lt;&gt;"",MAX(I359+G360-H359-F360,0),0)</f>
        <v>0</v>
      </c>
      <c r="J360" s="18">
        <f ca="1">MONTH(A360)</f>
        <v>4</v>
      </c>
    </row>
    <row r="361" spans="1:10" s="18" customFormat="1" ht="18" customHeight="1">
      <c r="A361" s="318">
        <f ca="1">IF(ROWS($1:347)&gt;COUNT(Dong5),"",OFFSET(TH!C$1,SMALL(Dong5,ROWS($1:347)),))</f>
        <v>42489</v>
      </c>
      <c r="B361" s="318" t="str">
        <f ca="1">IF(ROWS($1:347)&gt;COUNT(Dong5),"",OFFSET(TH!D$1,SMALL(Dong5,ROWS($1:347)),))</f>
        <v>C20</v>
      </c>
      <c r="C361" s="318">
        <f ca="1">IF(ROWS($1:347)&gt;COUNT(Dong5),"",OFFSET(TH!E$1,SMALL(Dong5,ROWS($1:347)),))</f>
        <v>42489</v>
      </c>
      <c r="D361" s="383" t="str">
        <f ca="1">IF(ROWS($1:347)&gt;COUNT(Dong5),"",OFFSET(TH!F$1,SMALL(Dong5,ROWS($1:347)),))</f>
        <v>VAT Phí giao thông</v>
      </c>
      <c r="E361" s="318" t="str">
        <f ca="1">IF(ROWS($1:347)&gt;COUNT(Dong5),"",IF(OFFSET(TH!N$1,SMALL(Dong5,ROWS($1:347)),)=$E$7,OFFSET(TH!O$1,SMALL(Dong5,ROWS($1:347)),),OFFSET(TH!N$1,SMALL(Dong5,ROWS($1:347)),)))</f>
        <v>1111</v>
      </c>
      <c r="F361" s="384">
        <f ca="1">IF(ROWS($1:347)&gt;COUNT(Dong5),0,IF(OFFSET(TH!N$1,SMALL(Dong5,ROWS($1:347)),)=$E$7,OFFSET(TH!M$1,SMALL(Dong5,ROWS($1:347)),),0))</f>
        <v>81818</v>
      </c>
      <c r="G361" s="382">
        <f ca="1">IF(ROWS($1:347)&gt;COUNT(Dong5),0,IF(OFFSET(TH!O$1,SMALL(Dong5,ROWS($1:347)),)=$E$7,OFFSET(TH!M$1,SMALL(Dong5,ROWS($1:347)),),0))</f>
        <v>0</v>
      </c>
      <c r="H361" s="385">
        <f ca="1">IF(D361&lt;&gt;"",MAX(H360+F361-G361-I360,0),0)</f>
        <v>551900641</v>
      </c>
      <c r="I361" s="385">
        <f ca="1">IF(D361&lt;&gt;"",MAX(I360+G361-H360-F361,0),0)</f>
        <v>0</v>
      </c>
      <c r="J361" s="18">
        <f ca="1">MONTH(A361)</f>
        <v>4</v>
      </c>
    </row>
    <row r="362" spans="1:10" s="18" customFormat="1" ht="18" customHeight="1">
      <c r="A362" s="318">
        <f ca="1">IF(ROWS($1:348)&gt;COUNT(Dong5),"",OFFSET(TH!C$1,SMALL(Dong5,ROWS($1:348)),))</f>
        <v>42489</v>
      </c>
      <c r="B362" s="318" t="str">
        <f ca="1">IF(ROWS($1:348)&gt;COUNT(Dong5),"",OFFSET(TH!D$1,SMALL(Dong5,ROWS($1:348)),))</f>
        <v>C21</v>
      </c>
      <c r="C362" s="318">
        <f ca="1">IF(ROWS($1:348)&gt;COUNT(Dong5),"",OFFSET(TH!E$1,SMALL(Dong5,ROWS($1:348)),))</f>
        <v>42489</v>
      </c>
      <c r="D362" s="383" t="str">
        <f ca="1">IF(ROWS($1:348)&gt;COUNT(Dong5),"",OFFSET(TH!F$1,SMALL(Dong5,ROWS($1:348)),))</f>
        <v>VAT Dầu DO</v>
      </c>
      <c r="E362" s="318" t="str">
        <f ca="1">IF(ROWS($1:348)&gt;COUNT(Dong5),"",IF(OFFSET(TH!N$1,SMALL(Dong5,ROWS($1:348)),)=$E$7,OFFSET(TH!O$1,SMALL(Dong5,ROWS($1:348)),),OFFSET(TH!N$1,SMALL(Dong5,ROWS($1:348)),)))</f>
        <v>1111</v>
      </c>
      <c r="F362" s="384">
        <f ca="1">IF(ROWS($1:348)&gt;COUNT(Dong5),0,IF(OFFSET(TH!N$1,SMALL(Dong5,ROWS($1:348)),)=$E$7,OFFSET(TH!M$1,SMALL(Dong5,ROWS($1:348)),),0))</f>
        <v>54678</v>
      </c>
      <c r="G362" s="382">
        <f ca="1">IF(ROWS($1:348)&gt;COUNT(Dong5),0,IF(OFFSET(TH!O$1,SMALL(Dong5,ROWS($1:348)),)=$E$7,OFFSET(TH!M$1,SMALL(Dong5,ROWS($1:348)),),0))</f>
        <v>0</v>
      </c>
      <c r="H362" s="385">
        <f ca="1">IF(D362&lt;&gt;"",MAX(H361+F362-G362-I361,0),0)</f>
        <v>551955319</v>
      </c>
      <c r="I362" s="385">
        <f ca="1">IF(D362&lt;&gt;"",MAX(I361+G362-H361-F362,0),0)</f>
        <v>0</v>
      </c>
      <c r="J362" s="18">
        <f ca="1">MONTH(A362)</f>
        <v>4</v>
      </c>
    </row>
    <row r="363" spans="1:10" s="18" customFormat="1" ht="18" customHeight="1">
      <c r="A363" s="318">
        <f ca="1">IF(ROWS($1:349)&gt;COUNT(Dong5),"",OFFSET(TH!C$1,SMALL(Dong5,ROWS($1:349)),))</f>
        <v>42489</v>
      </c>
      <c r="B363" s="318" t="str">
        <f ca="1">IF(ROWS($1:349)&gt;COUNT(Dong5),"",OFFSET(TH!D$1,SMALL(Dong5,ROWS($1:349)),))</f>
        <v>GBN</v>
      </c>
      <c r="C363" s="318">
        <f ca="1">IF(ROWS($1:349)&gt;COUNT(Dong5),"",OFFSET(TH!E$1,SMALL(Dong5,ROWS($1:349)),))</f>
        <v>42489</v>
      </c>
      <c r="D363" s="383" t="str">
        <f ca="1">IF(ROWS($1:349)&gt;COUNT(Dong5),"",OFFSET(TH!F$1,SMALL(Dong5,ROWS($1:349)),))</f>
        <v>VAT Phí nước ngoài giảm trừ</v>
      </c>
      <c r="E363" s="318" t="str">
        <f ca="1">IF(ROWS($1:349)&gt;COUNT(Dong5),"",IF(OFFSET(TH!N$1,SMALL(Dong5,ROWS($1:349)),)=$E$7,OFFSET(TH!O$1,SMALL(Dong5,ROWS($1:349)),),OFFSET(TH!N$1,SMALL(Dong5,ROWS($1:349)),)))</f>
        <v>131</v>
      </c>
      <c r="F363" s="384">
        <f ca="1">IF(ROWS($1:349)&gt;COUNT(Dong5),0,IF(OFFSET(TH!N$1,SMALL(Dong5,ROWS($1:349)),)=$E$7,OFFSET(TH!M$1,SMALL(Dong5,ROWS($1:349)),),0))</f>
        <v>256323</v>
      </c>
      <c r="G363" s="382">
        <f ca="1">IF(ROWS($1:349)&gt;COUNT(Dong5),0,IF(OFFSET(TH!O$1,SMALL(Dong5,ROWS($1:349)),)=$E$7,OFFSET(TH!M$1,SMALL(Dong5,ROWS($1:349)),),0))</f>
        <v>0</v>
      </c>
      <c r="H363" s="385">
        <f ca="1">IF(D363&lt;&gt;"",MAX(H362+F363-G363-I362,0),0)</f>
        <v>552211642</v>
      </c>
      <c r="I363" s="385">
        <f ca="1">IF(D363&lt;&gt;"",MAX(I362+G363-H362-F363,0),0)</f>
        <v>0</v>
      </c>
      <c r="J363" s="18">
        <f ca="1">MONTH(A363)</f>
        <v>4</v>
      </c>
    </row>
    <row r="364" spans="1:10" s="18" customFormat="1" ht="18" customHeight="1">
      <c r="A364" s="318">
        <f ca="1">IF(ROWS($1:350)&gt;COUNT(Dong5),"",OFFSET(TH!C$1,SMALL(Dong5,ROWS($1:350)),))</f>
        <v>42494</v>
      </c>
      <c r="B364" s="318" t="str">
        <f ca="1">IF(ROWS($1:350)&gt;COUNT(Dong5),"",OFFSET(TH!D$1,SMALL(Dong5,ROWS($1:350)),))</f>
        <v>C02</v>
      </c>
      <c r="C364" s="318">
        <f ca="1">IF(ROWS($1:350)&gt;COUNT(Dong5),"",OFFSET(TH!E$1,SMALL(Dong5,ROWS($1:350)),))</f>
        <v>42489</v>
      </c>
      <c r="D364" s="383" t="str">
        <f ca="1">IF(ROWS($1:350)&gt;COUNT(Dong5),"",OFFSET(TH!F$1,SMALL(Dong5,ROWS($1:350)),))</f>
        <v>VAT Cước CPN T4/2016</v>
      </c>
      <c r="E364" s="318" t="str">
        <f ca="1">IF(ROWS($1:350)&gt;COUNT(Dong5),"",IF(OFFSET(TH!N$1,SMALL(Dong5,ROWS($1:350)),)=$E$7,OFFSET(TH!O$1,SMALL(Dong5,ROWS($1:350)),),OFFSET(TH!N$1,SMALL(Dong5,ROWS($1:350)),)))</f>
        <v>1111</v>
      </c>
      <c r="F364" s="384">
        <f ca="1">IF(ROWS($1:350)&gt;COUNT(Dong5),0,IF(OFFSET(TH!N$1,SMALL(Dong5,ROWS($1:350)),)=$E$7,OFFSET(TH!M$1,SMALL(Dong5,ROWS($1:350)),),0))</f>
        <v>3305</v>
      </c>
      <c r="G364" s="382">
        <f ca="1">IF(ROWS($1:350)&gt;COUNT(Dong5),0,IF(OFFSET(TH!O$1,SMALL(Dong5,ROWS($1:350)),)=$E$7,OFFSET(TH!M$1,SMALL(Dong5,ROWS($1:350)),),0))</f>
        <v>0</v>
      </c>
      <c r="H364" s="385">
        <f ca="1">IF(D364&lt;&gt;"",MAX(H363+F364-G364-I363,0),0)</f>
        <v>552214947</v>
      </c>
      <c r="I364" s="385">
        <f ca="1">IF(D364&lt;&gt;"",MAX(I363+G364-H363-F364,0),0)</f>
        <v>0</v>
      </c>
      <c r="J364" s="18">
        <f ca="1">MONTH(A364)</f>
        <v>5</v>
      </c>
    </row>
    <row r="365" spans="1:10" s="18" customFormat="1" ht="18" customHeight="1">
      <c r="A365" s="318">
        <f ca="1">IF(ROWS($1:351)&gt;COUNT(Dong5),"",OFFSET(TH!C$1,SMALL(Dong5,ROWS($1:351)),))</f>
        <v>42494</v>
      </c>
      <c r="B365" s="318" t="str">
        <f ca="1">IF(ROWS($1:351)&gt;COUNT(Dong5),"",OFFSET(TH!D$1,SMALL(Dong5,ROWS($1:351)),))</f>
        <v>C04</v>
      </c>
      <c r="C365" s="318">
        <f ca="1">IF(ROWS($1:351)&gt;COUNT(Dong5),"",OFFSET(TH!E$1,SMALL(Dong5,ROWS($1:351)),))</f>
        <v>42494</v>
      </c>
      <c r="D365" s="383" t="str">
        <f ca="1">IF(ROWS($1:351)&gt;COUNT(Dong5),"",OFFSET(TH!F$1,SMALL(Dong5,ROWS($1:351)),))</f>
        <v xml:space="preserve">VAT Xăng, dầu </v>
      </c>
      <c r="E365" s="318" t="str">
        <f ca="1">IF(ROWS($1:351)&gt;COUNT(Dong5),"",IF(OFFSET(TH!N$1,SMALL(Dong5,ROWS($1:351)),)=$E$7,OFFSET(TH!O$1,SMALL(Dong5,ROWS($1:351)),),OFFSET(TH!N$1,SMALL(Dong5,ROWS($1:351)),)))</f>
        <v>1111</v>
      </c>
      <c r="F365" s="384">
        <f ca="1">IF(ROWS($1:351)&gt;COUNT(Dong5),0,IF(OFFSET(TH!N$1,SMALL(Dong5,ROWS($1:351)),)=$E$7,OFFSET(TH!M$1,SMALL(Dong5,ROWS($1:351)),),0))</f>
        <v>108244</v>
      </c>
      <c r="G365" s="382">
        <f ca="1">IF(ROWS($1:351)&gt;COUNT(Dong5),0,IF(OFFSET(TH!O$1,SMALL(Dong5,ROWS($1:351)),)=$E$7,OFFSET(TH!M$1,SMALL(Dong5,ROWS($1:351)),),0))</f>
        <v>0</v>
      </c>
      <c r="H365" s="385">
        <f ca="1">IF(D365&lt;&gt;"",MAX(H364+F365-G365-I364,0),0)</f>
        <v>552323191</v>
      </c>
      <c r="I365" s="385">
        <f ca="1">IF(D365&lt;&gt;"",MAX(I364+G365-H364-F365,0),0)</f>
        <v>0</v>
      </c>
      <c r="J365" s="18">
        <f ca="1">MONTH(A365)</f>
        <v>5</v>
      </c>
    </row>
    <row r="366" spans="1:10" s="18" customFormat="1" ht="18" customHeight="1">
      <c r="A366" s="318">
        <f ca="1">IF(ROWS($1:352)&gt;COUNT(Dong5),"",OFFSET(TH!C$1,SMALL(Dong5,ROWS($1:352)),))</f>
        <v>42674</v>
      </c>
      <c r="B366" s="318" t="str">
        <f ca="1">IF(ROWS($1:352)&gt;COUNT(Dong5),"",OFFSET(TH!D$1,SMALL(Dong5,ROWS($1:352)),))</f>
        <v>CTGS</v>
      </c>
      <c r="C366" s="318">
        <f ca="1">IF(ROWS($1:352)&gt;COUNT(Dong5),"",OFFSET(TH!E$1,SMALL(Dong5,ROWS($1:352)),))</f>
        <v>42649</v>
      </c>
      <c r="D366" s="383" t="str">
        <f ca="1">IF(ROWS($1:352)&gt;COUNT(Dong5),"",OFFSET(TH!F$1,SMALL(Dong5,ROWS($1:352)),))</f>
        <v>VAT Tiền điện kỳ 1 T10/16</v>
      </c>
      <c r="E366" s="318" t="str">
        <f ca="1">IF(ROWS($1:352)&gt;COUNT(Dong5),"",IF(OFFSET(TH!N$1,SMALL(Dong5,ROWS($1:352)),)=$E$7,OFFSET(TH!O$1,SMALL(Dong5,ROWS($1:352)),),OFFSET(TH!N$1,SMALL(Dong5,ROWS($1:352)),)))</f>
        <v>331</v>
      </c>
      <c r="F366" s="384">
        <f ca="1">IF(ROWS($1:352)&gt;COUNT(Dong5),0,IF(OFFSET(TH!N$1,SMALL(Dong5,ROWS($1:352)),)=$E$7,OFFSET(TH!M$1,SMALL(Dong5,ROWS($1:352)),),0))</f>
        <v>1890660</v>
      </c>
      <c r="G366" s="382">
        <f ca="1">IF(ROWS($1:352)&gt;COUNT(Dong5),0,IF(OFFSET(TH!O$1,SMALL(Dong5,ROWS($1:352)),)=$E$7,OFFSET(TH!M$1,SMALL(Dong5,ROWS($1:352)),),0))</f>
        <v>0</v>
      </c>
      <c r="H366" s="385">
        <f ca="1">IF(D366&lt;&gt;"",MAX(H365+F366-G366-I365,0),0)</f>
        <v>554213851</v>
      </c>
      <c r="I366" s="385">
        <f ca="1">IF(D366&lt;&gt;"",MAX(I365+G366-H365-F366,0),0)</f>
        <v>0</v>
      </c>
      <c r="J366" s="18">
        <f ca="1">MONTH(A366)</f>
        <v>10</v>
      </c>
    </row>
    <row r="367" spans="1:10" s="18" customFormat="1" ht="18" customHeight="1">
      <c r="A367" s="318">
        <f ca="1">IF(ROWS($1:353)&gt;COUNT(Dong5),"",OFFSET(TH!C$1,SMALL(Dong5,ROWS($1:353)),))</f>
        <v>42494</v>
      </c>
      <c r="B367" s="318" t="str">
        <f ca="1">IF(ROWS($1:353)&gt;COUNT(Dong5),"",OFFSET(TH!D$1,SMALL(Dong5,ROWS($1:353)),))</f>
        <v>GBN</v>
      </c>
      <c r="C367" s="318">
        <f ca="1">IF(ROWS($1:353)&gt;COUNT(Dong5),"",OFFSET(TH!E$1,SMALL(Dong5,ROWS($1:353)),))</f>
        <v>42494</v>
      </c>
      <c r="D367" s="383" t="str">
        <f ca="1">IF(ROWS($1:353)&gt;COUNT(Dong5),"",OFFSET(TH!F$1,SMALL(Dong5,ROWS($1:353)),))</f>
        <v>VAT Phí chuyển tiền</v>
      </c>
      <c r="E367" s="318" t="str">
        <f ca="1">IF(ROWS($1:353)&gt;COUNT(Dong5),"",IF(OFFSET(TH!N$1,SMALL(Dong5,ROWS($1:353)),)=$E$7,OFFSET(TH!O$1,SMALL(Dong5,ROWS($1:353)),),OFFSET(TH!N$1,SMALL(Dong5,ROWS($1:353)),)))</f>
        <v>1121</v>
      </c>
      <c r="F367" s="384">
        <f ca="1">IF(ROWS($1:353)&gt;COUNT(Dong5),0,IF(OFFSET(TH!N$1,SMALL(Dong5,ROWS($1:353)),)=$E$7,OFFSET(TH!M$1,SMALL(Dong5,ROWS($1:353)),),0))</f>
        <v>2500</v>
      </c>
      <c r="G367" s="382">
        <f ca="1">IF(ROWS($1:353)&gt;COUNT(Dong5),0,IF(OFFSET(TH!O$1,SMALL(Dong5,ROWS($1:353)),)=$E$7,OFFSET(TH!M$1,SMALL(Dong5,ROWS($1:353)),),0))</f>
        <v>0</v>
      </c>
      <c r="H367" s="385">
        <f ca="1">IF(D367&lt;&gt;"",MAX(H366+F367-G367-I366,0),0)</f>
        <v>554216351</v>
      </c>
      <c r="I367" s="385">
        <f ca="1">IF(D367&lt;&gt;"",MAX(I366+G367-H366-F367,0),0)</f>
        <v>0</v>
      </c>
      <c r="J367" s="18">
        <f ca="1">MONTH(A367)</f>
        <v>5</v>
      </c>
    </row>
    <row r="368" spans="1:10" s="18" customFormat="1" ht="18" customHeight="1">
      <c r="A368" s="318">
        <f ca="1">IF(ROWS($1:354)&gt;COUNT(Dong5),"",OFFSET(TH!C$1,SMALL(Dong5,ROWS($1:354)),))</f>
        <v>42494</v>
      </c>
      <c r="B368" s="318" t="str">
        <f ca="1">IF(ROWS($1:354)&gt;COUNT(Dong5),"",OFFSET(TH!D$1,SMALL(Dong5,ROWS($1:354)),))</f>
        <v>GBN</v>
      </c>
      <c r="C368" s="318">
        <f ca="1">IF(ROWS($1:354)&gt;COUNT(Dong5),"",OFFSET(TH!E$1,SMALL(Dong5,ROWS($1:354)),))</f>
        <v>42494</v>
      </c>
      <c r="D368" s="383" t="str">
        <f ca="1">IF(ROWS($1:354)&gt;COUNT(Dong5),"",OFFSET(TH!F$1,SMALL(Dong5,ROWS($1:354)),))</f>
        <v>VAT Phí kiểm đếm</v>
      </c>
      <c r="E368" s="318" t="str">
        <f ca="1">IF(ROWS($1:354)&gt;COUNT(Dong5),"",IF(OFFSET(TH!N$1,SMALL(Dong5,ROWS($1:354)),)=$E$7,OFFSET(TH!O$1,SMALL(Dong5,ROWS($1:354)),),OFFSET(TH!N$1,SMALL(Dong5,ROWS($1:354)),)))</f>
        <v>1121</v>
      </c>
      <c r="F368" s="384">
        <f ca="1">IF(ROWS($1:354)&gt;COUNT(Dong5),0,IF(OFFSET(TH!N$1,SMALL(Dong5,ROWS($1:354)),)=$E$7,OFFSET(TH!M$1,SMALL(Dong5,ROWS($1:354)),),0))</f>
        <v>2000</v>
      </c>
      <c r="G368" s="382">
        <f ca="1">IF(ROWS($1:354)&gt;COUNT(Dong5),0,IF(OFFSET(TH!O$1,SMALL(Dong5,ROWS($1:354)),)=$E$7,OFFSET(TH!M$1,SMALL(Dong5,ROWS($1:354)),),0))</f>
        <v>0</v>
      </c>
      <c r="H368" s="385">
        <f ca="1">IF(D368&lt;&gt;"",MAX(H367+F368-G368-I367,0),0)</f>
        <v>554218351</v>
      </c>
      <c r="I368" s="385">
        <f ca="1">IF(D368&lt;&gt;"",MAX(I367+G368-H367-F368,0),0)</f>
        <v>0</v>
      </c>
      <c r="J368" s="18">
        <f ca="1">MONTH(A368)</f>
        <v>5</v>
      </c>
    </row>
    <row r="369" spans="1:10" s="18" customFormat="1" ht="18" customHeight="1">
      <c r="A369" s="318">
        <f ca="1">IF(ROWS($1:355)&gt;COUNT(Dong5),"",OFFSET(TH!C$1,SMALL(Dong5,ROWS($1:355)),))</f>
        <v>42495</v>
      </c>
      <c r="B369" s="318" t="str">
        <f ca="1">IF(ROWS($1:355)&gt;COUNT(Dong5),"",OFFSET(TH!D$1,SMALL(Dong5,ROWS($1:355)),))</f>
        <v>C05</v>
      </c>
      <c r="C369" s="318">
        <f ca="1">IF(ROWS($1:355)&gt;COUNT(Dong5),"",OFFSET(TH!E$1,SMALL(Dong5,ROWS($1:355)),))</f>
        <v>42495</v>
      </c>
      <c r="D369" s="383" t="str">
        <f ca="1">IF(ROWS($1:355)&gt;COUNT(Dong5),"",OFFSET(TH!F$1,SMALL(Dong5,ROWS($1:355)),))</f>
        <v>VAT Cước VT - CNTT T4/2016</v>
      </c>
      <c r="E369" s="318" t="str">
        <f ca="1">IF(ROWS($1:355)&gt;COUNT(Dong5),"",IF(OFFSET(TH!N$1,SMALL(Dong5,ROWS($1:355)),)=$E$7,OFFSET(TH!O$1,SMALL(Dong5,ROWS($1:355)),),OFFSET(TH!N$1,SMALL(Dong5,ROWS($1:355)),)))</f>
        <v>1111</v>
      </c>
      <c r="F369" s="384">
        <f ca="1">IF(ROWS($1:355)&gt;COUNT(Dong5),0,IF(OFFSET(TH!N$1,SMALL(Dong5,ROWS($1:355)),)=$E$7,OFFSET(TH!M$1,SMALL(Dong5,ROWS($1:355)),),0))</f>
        <v>192782</v>
      </c>
      <c r="G369" s="382">
        <f ca="1">IF(ROWS($1:355)&gt;COUNT(Dong5),0,IF(OFFSET(TH!O$1,SMALL(Dong5,ROWS($1:355)),)=$E$7,OFFSET(TH!M$1,SMALL(Dong5,ROWS($1:355)),),0))</f>
        <v>0</v>
      </c>
      <c r="H369" s="385">
        <f ca="1">IF(D369&lt;&gt;"",MAX(H368+F369-G369-I368,0),0)</f>
        <v>554411133</v>
      </c>
      <c r="I369" s="385">
        <f ca="1">IF(D369&lt;&gt;"",MAX(I368+G369-H368-F369,0),0)</f>
        <v>0</v>
      </c>
      <c r="J369" s="18">
        <f ca="1">MONTH(A369)</f>
        <v>5</v>
      </c>
    </row>
    <row r="370" spans="1:10" s="18" customFormat="1" ht="18" customHeight="1">
      <c r="A370" s="318">
        <f ca="1">IF(ROWS($1:356)&gt;COUNT(Dong5),"",OFFSET(TH!C$1,SMALL(Dong5,ROWS($1:356)),))</f>
        <v>42500</v>
      </c>
      <c r="B370" s="318" t="str">
        <f ca="1">IF(ROWS($1:356)&gt;COUNT(Dong5),"",OFFSET(TH!D$1,SMALL(Dong5,ROWS($1:356)),))</f>
        <v>GBN</v>
      </c>
      <c r="C370" s="318">
        <f ca="1">IF(ROWS($1:356)&gt;COUNT(Dong5),"",OFFSET(TH!E$1,SMALL(Dong5,ROWS($1:356)),))</f>
        <v>42500</v>
      </c>
      <c r="D370" s="383" t="str">
        <f ca="1">IF(ROWS($1:356)&gt;COUNT(Dong5),"",OFFSET(TH!F$1,SMALL(Dong5,ROWS($1:356)),))</f>
        <v>VAT Phí thông báo LC</v>
      </c>
      <c r="E370" s="318" t="str">
        <f ca="1">IF(ROWS($1:356)&gt;COUNT(Dong5),"",IF(OFFSET(TH!N$1,SMALL(Dong5,ROWS($1:356)),)=$E$7,OFFSET(TH!O$1,SMALL(Dong5,ROWS($1:356)),),OFFSET(TH!N$1,SMALL(Dong5,ROWS($1:356)),)))</f>
        <v>1121</v>
      </c>
      <c r="F370" s="384">
        <f ca="1">IF(ROWS($1:356)&gt;COUNT(Dong5),0,IF(OFFSET(TH!N$1,SMALL(Dong5,ROWS($1:356)),)=$E$7,OFFSET(TH!M$1,SMALL(Dong5,ROWS($1:356)),),0))</f>
        <v>33390</v>
      </c>
      <c r="G370" s="382">
        <f ca="1">IF(ROWS($1:356)&gt;COUNT(Dong5),0,IF(OFFSET(TH!O$1,SMALL(Dong5,ROWS($1:356)),)=$E$7,OFFSET(TH!M$1,SMALL(Dong5,ROWS($1:356)),),0))</f>
        <v>0</v>
      </c>
      <c r="H370" s="385">
        <f ca="1">IF(D370&lt;&gt;"",MAX(H369+F370-G370-I369,0),0)</f>
        <v>554444523</v>
      </c>
      <c r="I370" s="385">
        <f ca="1">IF(D370&lt;&gt;"",MAX(I369+G370-H369-F370,0),0)</f>
        <v>0</v>
      </c>
      <c r="J370" s="18">
        <f ca="1">MONTH(A370)</f>
        <v>5</v>
      </c>
    </row>
    <row r="371" spans="1:10" s="18" customFormat="1" ht="18" customHeight="1">
      <c r="A371" s="318">
        <f ca="1">IF(ROWS($1:357)&gt;COUNT(Dong5),"",OFFSET(TH!C$1,SMALL(Dong5,ROWS($1:357)),))</f>
        <v>42501</v>
      </c>
      <c r="B371" s="318" t="str">
        <f ca="1">IF(ROWS($1:357)&gt;COUNT(Dong5),"",OFFSET(TH!D$1,SMALL(Dong5,ROWS($1:357)),))</f>
        <v>CTGS</v>
      </c>
      <c r="C371" s="318">
        <f ca="1">IF(ROWS($1:357)&gt;COUNT(Dong5),"",OFFSET(TH!E$1,SMALL(Dong5,ROWS($1:357)),))</f>
        <v>42501</v>
      </c>
      <c r="D371" s="383" t="str">
        <f ca="1">IF(ROWS($1:357)&gt;COUNT(Dong5),"",OFFSET(TH!F$1,SMALL(Dong5,ROWS($1:357)),))</f>
        <v>VAT Phí xử lý bộ chứng từ</v>
      </c>
      <c r="E371" s="318" t="str">
        <f ca="1">IF(ROWS($1:357)&gt;COUNT(Dong5),"",IF(OFFSET(TH!N$1,SMALL(Dong5,ROWS($1:357)),)=$E$7,OFFSET(TH!O$1,SMALL(Dong5,ROWS($1:357)),),OFFSET(TH!N$1,SMALL(Dong5,ROWS($1:357)),)))</f>
        <v>3412</v>
      </c>
      <c r="F371" s="384">
        <f ca="1">IF(ROWS($1:357)&gt;COUNT(Dong5),0,IF(OFFSET(TH!N$1,SMALL(Dong5,ROWS($1:357)),)=$E$7,OFFSET(TH!M$1,SMALL(Dong5,ROWS($1:357)),),0))</f>
        <v>22260</v>
      </c>
      <c r="G371" s="382">
        <f ca="1">IF(ROWS($1:357)&gt;COUNT(Dong5),0,IF(OFFSET(TH!O$1,SMALL(Dong5,ROWS($1:357)),)=$E$7,OFFSET(TH!M$1,SMALL(Dong5,ROWS($1:357)),),0))</f>
        <v>0</v>
      </c>
      <c r="H371" s="385">
        <f ca="1">IF(D371&lt;&gt;"",MAX(H370+F371-G371-I370,0),0)</f>
        <v>554466783</v>
      </c>
      <c r="I371" s="385">
        <f ca="1">IF(D371&lt;&gt;"",MAX(I370+G371-H370-F371,0),0)</f>
        <v>0</v>
      </c>
      <c r="J371" s="18">
        <f ca="1">MONTH(A371)</f>
        <v>5</v>
      </c>
    </row>
    <row r="372" spans="1:10" s="18" customFormat="1" ht="18" customHeight="1">
      <c r="A372" s="318">
        <f ca="1">IF(ROWS($1:358)&gt;COUNT(Dong5),"",OFFSET(TH!C$1,SMALL(Dong5,ROWS($1:358)),))</f>
        <v>42501</v>
      </c>
      <c r="B372" s="318" t="str">
        <f ca="1">IF(ROWS($1:358)&gt;COUNT(Dong5),"",OFFSET(TH!D$1,SMALL(Dong5,ROWS($1:358)),))</f>
        <v>CTGS</v>
      </c>
      <c r="C372" s="318">
        <f ca="1">IF(ROWS($1:358)&gt;COUNT(Dong5),"",OFFSET(TH!E$1,SMALL(Dong5,ROWS($1:358)),))</f>
        <v>42501</v>
      </c>
      <c r="D372" s="383" t="str">
        <f ca="1">IF(ROWS($1:358)&gt;COUNT(Dong5),"",OFFSET(TH!F$1,SMALL(Dong5,ROWS($1:358)),))</f>
        <v>VAT Phí DHL</v>
      </c>
      <c r="E372" s="318" t="str">
        <f ca="1">IF(ROWS($1:358)&gt;COUNT(Dong5),"",IF(OFFSET(TH!N$1,SMALL(Dong5,ROWS($1:358)),)=$E$7,OFFSET(TH!O$1,SMALL(Dong5,ROWS($1:358)),),OFFSET(TH!N$1,SMALL(Dong5,ROWS($1:358)),)))</f>
        <v>3412</v>
      </c>
      <c r="F372" s="384">
        <f ca="1">IF(ROWS($1:358)&gt;COUNT(Dong5),0,IF(OFFSET(TH!N$1,SMALL(Dong5,ROWS($1:358)),)=$E$7,OFFSET(TH!M$1,SMALL(Dong5,ROWS($1:358)),),0))</f>
        <v>61438</v>
      </c>
      <c r="G372" s="382">
        <f ca="1">IF(ROWS($1:358)&gt;COUNT(Dong5),0,IF(OFFSET(TH!O$1,SMALL(Dong5,ROWS($1:358)),)=$E$7,OFFSET(TH!M$1,SMALL(Dong5,ROWS($1:358)),),0))</f>
        <v>0</v>
      </c>
      <c r="H372" s="385">
        <f ca="1">IF(D372&lt;&gt;"",MAX(H371+F372-G372-I371,0),0)</f>
        <v>554528221</v>
      </c>
      <c r="I372" s="385">
        <f ca="1">IF(D372&lt;&gt;"",MAX(I371+G372-H371-F372,0),0)</f>
        <v>0</v>
      </c>
      <c r="J372" s="18">
        <f ca="1">MONTH(A372)</f>
        <v>5</v>
      </c>
    </row>
    <row r="373" spans="1:10" s="18" customFormat="1" ht="18" customHeight="1">
      <c r="A373" s="318">
        <f ca="1">IF(ROWS($1:359)&gt;COUNT(Dong5),"",OFFSET(TH!C$1,SMALL(Dong5,ROWS($1:359)),))</f>
        <v>42502</v>
      </c>
      <c r="B373" s="318" t="str">
        <f ca="1">IF(ROWS($1:359)&gt;COUNT(Dong5),"",OFFSET(TH!D$1,SMALL(Dong5,ROWS($1:359)),))</f>
        <v>C09</v>
      </c>
      <c r="C373" s="318">
        <f ca="1">IF(ROWS($1:359)&gt;COUNT(Dong5),"",OFFSET(TH!E$1,SMALL(Dong5,ROWS($1:359)),))</f>
        <v>42502</v>
      </c>
      <c r="D373" s="383" t="str">
        <f ca="1">IF(ROWS($1:359)&gt;COUNT(Dong5),"",OFFSET(TH!F$1,SMALL(Dong5,ROWS($1:359)),))</f>
        <v>VAT Gas</v>
      </c>
      <c r="E373" s="318" t="str">
        <f ca="1">IF(ROWS($1:359)&gt;COUNT(Dong5),"",IF(OFFSET(TH!N$1,SMALL(Dong5,ROWS($1:359)),)=$E$7,OFFSET(TH!O$1,SMALL(Dong5,ROWS($1:359)),),OFFSET(TH!N$1,SMALL(Dong5,ROWS($1:359)),)))</f>
        <v>1111</v>
      </c>
      <c r="F373" s="384">
        <f ca="1">IF(ROWS($1:359)&gt;COUNT(Dong5),0,IF(OFFSET(TH!N$1,SMALL(Dong5,ROWS($1:359)),)=$E$7,OFFSET(TH!M$1,SMALL(Dong5,ROWS($1:359)),),0))</f>
        <v>880454</v>
      </c>
      <c r="G373" s="382">
        <f ca="1">IF(ROWS($1:359)&gt;COUNT(Dong5),0,IF(OFFSET(TH!O$1,SMALL(Dong5,ROWS($1:359)),)=$E$7,OFFSET(TH!M$1,SMALL(Dong5,ROWS($1:359)),),0))</f>
        <v>0</v>
      </c>
      <c r="H373" s="385">
        <f ca="1">IF(D373&lt;&gt;"",MAX(H372+F373-G373-I372,0),0)</f>
        <v>555408675</v>
      </c>
      <c r="I373" s="385">
        <f ca="1">IF(D373&lt;&gt;"",MAX(I372+G373-H372-F373,0),0)</f>
        <v>0</v>
      </c>
      <c r="J373" s="18">
        <f ca="1">MONTH(A373)</f>
        <v>5</v>
      </c>
    </row>
    <row r="374" spans="1:10" s="18" customFormat="1" ht="18" customHeight="1">
      <c r="A374" s="318">
        <f ca="1">IF(ROWS($1:360)&gt;COUNT(Dong5),"",OFFSET(TH!C$1,SMALL(Dong5,ROWS($1:360)),))</f>
        <v>42503</v>
      </c>
      <c r="B374" s="318" t="str">
        <f ca="1">IF(ROWS($1:360)&gt;COUNT(Dong5),"",OFFSET(TH!D$1,SMALL(Dong5,ROWS($1:360)),))</f>
        <v>C10</v>
      </c>
      <c r="C374" s="318">
        <f ca="1">IF(ROWS($1:360)&gt;COUNT(Dong5),"",OFFSET(TH!E$1,SMALL(Dong5,ROWS($1:360)),))</f>
        <v>42503</v>
      </c>
      <c r="D374" s="383" t="str">
        <f ca="1">IF(ROWS($1:360)&gt;COUNT(Dong5),"",OFFSET(TH!F$1,SMALL(Dong5,ROWS($1:360)),))</f>
        <v>VAT Phí gửi chứng từ, phụ thu</v>
      </c>
      <c r="E374" s="318" t="str">
        <f ca="1">IF(ROWS($1:360)&gt;COUNT(Dong5),"",IF(OFFSET(TH!N$1,SMALL(Dong5,ROWS($1:360)),)=$E$7,OFFSET(TH!O$1,SMALL(Dong5,ROWS($1:360)),),OFFSET(TH!N$1,SMALL(Dong5,ROWS($1:360)),)))</f>
        <v>1111</v>
      </c>
      <c r="F374" s="384">
        <f ca="1">IF(ROWS($1:360)&gt;COUNT(Dong5),0,IF(OFFSET(TH!N$1,SMALL(Dong5,ROWS($1:360)),)=$E$7,OFFSET(TH!M$1,SMALL(Dong5,ROWS($1:360)),),0))</f>
        <v>35453</v>
      </c>
      <c r="G374" s="382">
        <f ca="1">IF(ROWS($1:360)&gt;COUNT(Dong5),0,IF(OFFSET(TH!O$1,SMALL(Dong5,ROWS($1:360)),)=$E$7,OFFSET(TH!M$1,SMALL(Dong5,ROWS($1:360)),),0))</f>
        <v>0</v>
      </c>
      <c r="H374" s="385">
        <f ca="1">IF(D374&lt;&gt;"",MAX(H373+F374-G374-I373,0),0)</f>
        <v>555444128</v>
      </c>
      <c r="I374" s="385">
        <f ca="1">IF(D374&lt;&gt;"",MAX(I373+G374-H373-F374,0),0)</f>
        <v>0</v>
      </c>
      <c r="J374" s="18">
        <f ca="1">MONTH(A374)</f>
        <v>5</v>
      </c>
    </row>
    <row r="375" spans="1:10" s="18" customFormat="1" ht="18" customHeight="1">
      <c r="A375" s="318">
        <f ca="1">IF(ROWS($1:361)&gt;COUNT(Dong5),"",OFFSET(TH!C$1,SMALL(Dong5,ROWS($1:361)),))</f>
        <v>42503</v>
      </c>
      <c r="B375" s="318" t="str">
        <f ca="1">IF(ROWS($1:361)&gt;COUNT(Dong5),"",OFFSET(TH!D$1,SMALL(Dong5,ROWS($1:361)),))</f>
        <v>CTGS</v>
      </c>
      <c r="C375" s="318">
        <f ca="1">IF(ROWS($1:361)&gt;COUNT(Dong5),"",OFFSET(TH!E$1,SMALL(Dong5,ROWS($1:361)),))</f>
        <v>42503</v>
      </c>
      <c r="D375" s="383" t="str">
        <f ca="1">IF(ROWS($1:361)&gt;COUNT(Dong5),"",OFFSET(TH!F$1,SMALL(Dong5,ROWS($1:361)),))</f>
        <v>VAT Phí xử lý bộ chứng từ</v>
      </c>
      <c r="E375" s="318" t="str">
        <f ca="1">IF(ROWS($1:361)&gt;COUNT(Dong5),"",IF(OFFSET(TH!N$1,SMALL(Dong5,ROWS($1:361)),)=$E$7,OFFSET(TH!O$1,SMALL(Dong5,ROWS($1:361)),),OFFSET(TH!N$1,SMALL(Dong5,ROWS($1:361)),)))</f>
        <v>3412</v>
      </c>
      <c r="F375" s="384">
        <f ca="1">IF(ROWS($1:361)&gt;COUNT(Dong5),0,IF(OFFSET(TH!N$1,SMALL(Dong5,ROWS($1:361)),)=$E$7,OFFSET(TH!M$1,SMALL(Dong5,ROWS($1:361)),),0))</f>
        <v>22290</v>
      </c>
      <c r="G375" s="382">
        <f ca="1">IF(ROWS($1:361)&gt;COUNT(Dong5),0,IF(OFFSET(TH!O$1,SMALL(Dong5,ROWS($1:361)),)=$E$7,OFFSET(TH!M$1,SMALL(Dong5,ROWS($1:361)),),0))</f>
        <v>0</v>
      </c>
      <c r="H375" s="385">
        <f ca="1">IF(D375&lt;&gt;"",MAX(H374+F375-G375-I374,0),0)</f>
        <v>555466418</v>
      </c>
      <c r="I375" s="385">
        <f ca="1">IF(D375&lt;&gt;"",MAX(I374+G375-H374-F375,0),0)</f>
        <v>0</v>
      </c>
      <c r="J375" s="18">
        <f ca="1">MONTH(A375)</f>
        <v>5</v>
      </c>
    </row>
    <row r="376" spans="1:10" s="18" customFormat="1" ht="18" customHeight="1">
      <c r="A376" s="318">
        <f ca="1">IF(ROWS($1:362)&gt;COUNT(Dong5),"",OFFSET(TH!C$1,SMALL(Dong5,ROWS($1:362)),))</f>
        <v>42503</v>
      </c>
      <c r="B376" s="318" t="str">
        <f ca="1">IF(ROWS($1:362)&gt;COUNT(Dong5),"",OFFSET(TH!D$1,SMALL(Dong5,ROWS($1:362)),))</f>
        <v>CTGS</v>
      </c>
      <c r="C376" s="318">
        <f ca="1">IF(ROWS($1:362)&gt;COUNT(Dong5),"",OFFSET(TH!E$1,SMALL(Dong5,ROWS($1:362)),))</f>
        <v>42503</v>
      </c>
      <c r="D376" s="383" t="str">
        <f ca="1">IF(ROWS($1:362)&gt;COUNT(Dong5),"",OFFSET(TH!F$1,SMALL(Dong5,ROWS($1:362)),))</f>
        <v>VAT Phí DHL</v>
      </c>
      <c r="E376" s="318" t="str">
        <f ca="1">IF(ROWS($1:362)&gt;COUNT(Dong5),"",IF(OFFSET(TH!N$1,SMALL(Dong5,ROWS($1:362)),)=$E$7,OFFSET(TH!O$1,SMALL(Dong5,ROWS($1:362)),),OFFSET(TH!N$1,SMALL(Dong5,ROWS($1:362)),)))</f>
        <v>3412</v>
      </c>
      <c r="F376" s="384">
        <f ca="1">IF(ROWS($1:362)&gt;COUNT(Dong5),0,IF(OFFSET(TH!N$1,SMALL(Dong5,ROWS($1:362)),)=$E$7,OFFSET(TH!M$1,SMALL(Dong5,ROWS($1:362)),),0))</f>
        <v>61520</v>
      </c>
      <c r="G376" s="382">
        <f ca="1">IF(ROWS($1:362)&gt;COUNT(Dong5),0,IF(OFFSET(TH!O$1,SMALL(Dong5,ROWS($1:362)),)=$E$7,OFFSET(TH!M$1,SMALL(Dong5,ROWS($1:362)),),0))</f>
        <v>0</v>
      </c>
      <c r="H376" s="385">
        <f ca="1">IF(D376&lt;&gt;"",MAX(H375+F376-G376-I375,0),0)</f>
        <v>555527938</v>
      </c>
      <c r="I376" s="385">
        <f ca="1">IF(D376&lt;&gt;"",MAX(I375+G376-H375-F376,0),0)</f>
        <v>0</v>
      </c>
      <c r="J376" s="18">
        <f ca="1">MONTH(A376)</f>
        <v>5</v>
      </c>
    </row>
    <row r="377" spans="1:10" s="18" customFormat="1" ht="18" customHeight="1">
      <c r="A377" s="318">
        <f ca="1">IF(ROWS($1:363)&gt;COUNT(Dong5),"",OFFSET(TH!C$1,SMALL(Dong5,ROWS($1:363)),))</f>
        <v>42503</v>
      </c>
      <c r="B377" s="318" t="str">
        <f ca="1">IF(ROWS($1:363)&gt;COUNT(Dong5),"",OFFSET(TH!D$1,SMALL(Dong5,ROWS($1:363)),))</f>
        <v>CTGS</v>
      </c>
      <c r="C377" s="318">
        <f ca="1">IF(ROWS($1:363)&gt;COUNT(Dong5),"",OFFSET(TH!E$1,SMALL(Dong5,ROWS($1:363)),))</f>
        <v>42503</v>
      </c>
      <c r="D377" s="383" t="str">
        <f ca="1">IF(ROWS($1:363)&gt;COUNT(Dong5),"",OFFSET(TH!F$1,SMALL(Dong5,ROWS($1:363)),))</f>
        <v>VAT Điện phí</v>
      </c>
      <c r="E377" s="318" t="str">
        <f ca="1">IF(ROWS($1:363)&gt;COUNT(Dong5),"",IF(OFFSET(TH!N$1,SMALL(Dong5,ROWS($1:363)),)=$E$7,OFFSET(TH!O$1,SMALL(Dong5,ROWS($1:363)),),OFFSET(TH!N$1,SMALL(Dong5,ROWS($1:363)),)))</f>
        <v>3412</v>
      </c>
      <c r="F377" s="384">
        <f ca="1">IF(ROWS($1:363)&gt;COUNT(Dong5),0,IF(OFFSET(TH!N$1,SMALL(Dong5,ROWS($1:363)),)=$E$7,OFFSET(TH!M$1,SMALL(Dong5,ROWS($1:363)),),0))</f>
        <v>11145</v>
      </c>
      <c r="G377" s="382">
        <f ca="1">IF(ROWS($1:363)&gt;COUNT(Dong5),0,IF(OFFSET(TH!O$1,SMALL(Dong5,ROWS($1:363)),)=$E$7,OFFSET(TH!M$1,SMALL(Dong5,ROWS($1:363)),),0))</f>
        <v>0</v>
      </c>
      <c r="H377" s="385">
        <f ca="1">IF(D377&lt;&gt;"",MAX(H376+F377-G377-I376,0),0)</f>
        <v>555539083</v>
      </c>
      <c r="I377" s="385">
        <f ca="1">IF(D377&lt;&gt;"",MAX(I376+G377-H376-F377,0),0)</f>
        <v>0</v>
      </c>
      <c r="J377" s="18">
        <f ca="1">MONTH(A377)</f>
        <v>5</v>
      </c>
    </row>
    <row r="378" spans="1:10" s="18" customFormat="1" ht="18" customHeight="1">
      <c r="A378" s="318">
        <f ca="1">IF(ROWS($1:364)&gt;COUNT(Dong5),"",OFFSET(TH!C$1,SMALL(Dong5,ROWS($1:364)),))</f>
        <v>42506</v>
      </c>
      <c r="B378" s="318" t="str">
        <f ca="1">IF(ROWS($1:364)&gt;COUNT(Dong5),"",OFFSET(TH!D$1,SMALL(Dong5,ROWS($1:364)),))</f>
        <v>C13</v>
      </c>
      <c r="C378" s="318">
        <f ca="1">IF(ROWS($1:364)&gt;COUNT(Dong5),"",OFFSET(TH!E$1,SMALL(Dong5,ROWS($1:364)),))</f>
        <v>42506</v>
      </c>
      <c r="D378" s="383" t="str">
        <f ca="1">IF(ROWS($1:364)&gt;COUNT(Dong5),"",OFFSET(TH!F$1,SMALL(Dong5,ROWS($1:364)),))</f>
        <v xml:space="preserve">VAT Xăng, dầu </v>
      </c>
      <c r="E378" s="318" t="str">
        <f ca="1">IF(ROWS($1:364)&gt;COUNT(Dong5),"",IF(OFFSET(TH!N$1,SMALL(Dong5,ROWS($1:364)),)=$E$7,OFFSET(TH!O$1,SMALL(Dong5,ROWS($1:364)),),OFFSET(TH!N$1,SMALL(Dong5,ROWS($1:364)),)))</f>
        <v>1111</v>
      </c>
      <c r="F378" s="384">
        <f ca="1">IF(ROWS($1:364)&gt;COUNT(Dong5),0,IF(OFFSET(TH!N$1,SMALL(Dong5,ROWS($1:364)),)=$E$7,OFFSET(TH!M$1,SMALL(Dong5,ROWS($1:364)),),0))</f>
        <v>267991</v>
      </c>
      <c r="G378" s="382">
        <f ca="1">IF(ROWS($1:364)&gt;COUNT(Dong5),0,IF(OFFSET(TH!O$1,SMALL(Dong5,ROWS($1:364)),)=$E$7,OFFSET(TH!M$1,SMALL(Dong5,ROWS($1:364)),),0))</f>
        <v>0</v>
      </c>
      <c r="H378" s="385">
        <f ca="1">IF(D378&lt;&gt;"",MAX(H377+F378-G378-I377,0),0)</f>
        <v>555807074</v>
      </c>
      <c r="I378" s="385">
        <f ca="1">IF(D378&lt;&gt;"",MAX(I377+G378-H377-F378,0),0)</f>
        <v>0</v>
      </c>
      <c r="J378" s="18">
        <f ca="1">MONTH(A378)</f>
        <v>5</v>
      </c>
    </row>
    <row r="379" spans="1:10" s="18" customFormat="1" ht="18" customHeight="1">
      <c r="A379" s="318">
        <f ca="1">IF(ROWS($1:365)&gt;COUNT(Dong5),"",OFFSET(TH!C$1,SMALL(Dong5,ROWS($1:365)),))</f>
        <v>42506</v>
      </c>
      <c r="B379" s="318" t="str">
        <f ca="1">IF(ROWS($1:365)&gt;COUNT(Dong5),"",OFFSET(TH!D$1,SMALL(Dong5,ROWS($1:365)),))</f>
        <v>GBN</v>
      </c>
      <c r="C379" s="318">
        <f ca="1">IF(ROWS($1:365)&gt;COUNT(Dong5),"",OFFSET(TH!E$1,SMALL(Dong5,ROWS($1:365)),))</f>
        <v>42506</v>
      </c>
      <c r="D379" s="383" t="str">
        <f ca="1">IF(ROWS($1:365)&gt;COUNT(Dong5),"",OFFSET(TH!F$1,SMALL(Dong5,ROWS($1:365)),))</f>
        <v>VAT Phí chuyển tiền</v>
      </c>
      <c r="E379" s="318" t="str">
        <f ca="1">IF(ROWS($1:365)&gt;COUNT(Dong5),"",IF(OFFSET(TH!N$1,SMALL(Dong5,ROWS($1:365)),)=$E$7,OFFSET(TH!O$1,SMALL(Dong5,ROWS($1:365)),),OFFSET(TH!N$1,SMALL(Dong5,ROWS($1:365)),)))</f>
        <v>1121</v>
      </c>
      <c r="F379" s="384">
        <f ca="1">IF(ROWS($1:365)&gt;COUNT(Dong5),0,IF(OFFSET(TH!N$1,SMALL(Dong5,ROWS($1:365)),)=$E$7,OFFSET(TH!M$1,SMALL(Dong5,ROWS($1:365)),),0))</f>
        <v>2500</v>
      </c>
      <c r="G379" s="382">
        <f ca="1">IF(ROWS($1:365)&gt;COUNT(Dong5),0,IF(OFFSET(TH!O$1,SMALL(Dong5,ROWS($1:365)),)=$E$7,OFFSET(TH!M$1,SMALL(Dong5,ROWS($1:365)),),0))</f>
        <v>0</v>
      </c>
      <c r="H379" s="385">
        <f ca="1">IF(D379&lt;&gt;"",MAX(H378+F379-G379-I378,0),0)</f>
        <v>555809574</v>
      </c>
      <c r="I379" s="385">
        <f ca="1">IF(D379&lt;&gt;"",MAX(I378+G379-H378-F379,0),0)</f>
        <v>0</v>
      </c>
      <c r="J379" s="18">
        <f ca="1">MONTH(A379)</f>
        <v>5</v>
      </c>
    </row>
    <row r="380" spans="1:10" s="18" customFormat="1" ht="18" customHeight="1">
      <c r="A380" s="318">
        <f ca="1">IF(ROWS($1:366)&gt;COUNT(Dong5),"",OFFSET(TH!C$1,SMALL(Dong5,ROWS($1:366)),))</f>
        <v>42506</v>
      </c>
      <c r="B380" s="318" t="str">
        <f ca="1">IF(ROWS($1:366)&gt;COUNT(Dong5),"",OFFSET(TH!D$1,SMALL(Dong5,ROWS($1:366)),))</f>
        <v>GBN</v>
      </c>
      <c r="C380" s="318">
        <f ca="1">IF(ROWS($1:366)&gt;COUNT(Dong5),"",OFFSET(TH!E$1,SMALL(Dong5,ROWS($1:366)),))</f>
        <v>42506</v>
      </c>
      <c r="D380" s="383" t="str">
        <f ca="1">IF(ROWS($1:366)&gt;COUNT(Dong5),"",OFFSET(TH!F$1,SMALL(Dong5,ROWS($1:366)),))</f>
        <v>VAT Phí thông báo số dư</v>
      </c>
      <c r="E380" s="318" t="str">
        <f ca="1">IF(ROWS($1:366)&gt;COUNT(Dong5),"",IF(OFFSET(TH!N$1,SMALL(Dong5,ROWS($1:366)),)=$E$7,OFFSET(TH!O$1,SMALL(Dong5,ROWS($1:366)),),OFFSET(TH!N$1,SMALL(Dong5,ROWS($1:366)),)))</f>
        <v>1121</v>
      </c>
      <c r="F380" s="384">
        <f ca="1">IF(ROWS($1:366)&gt;COUNT(Dong5),0,IF(OFFSET(TH!N$1,SMALL(Dong5,ROWS($1:366)),)=$E$7,OFFSET(TH!M$1,SMALL(Dong5,ROWS($1:366)),),0))</f>
        <v>5000</v>
      </c>
      <c r="G380" s="382">
        <f ca="1">IF(ROWS($1:366)&gt;COUNT(Dong5),0,IF(OFFSET(TH!O$1,SMALL(Dong5,ROWS($1:366)),)=$E$7,OFFSET(TH!M$1,SMALL(Dong5,ROWS($1:366)),),0))</f>
        <v>0</v>
      </c>
      <c r="H380" s="385">
        <f ca="1">IF(D380&lt;&gt;"",MAX(H379+F380-G380-I379,0),0)</f>
        <v>555814574</v>
      </c>
      <c r="I380" s="385">
        <f ca="1">IF(D380&lt;&gt;"",MAX(I379+G380-H379-F380,0),0)</f>
        <v>0</v>
      </c>
      <c r="J380" s="18">
        <f ca="1">MONTH(A380)</f>
        <v>5</v>
      </c>
    </row>
    <row r="381" spans="1:10" s="18" customFormat="1" ht="18" customHeight="1">
      <c r="A381" s="318">
        <f ca="1">IF(ROWS($1:367)&gt;COUNT(Dong5),"",OFFSET(TH!C$1,SMALL(Dong5,ROWS($1:367)),))</f>
        <v>42506</v>
      </c>
      <c r="B381" s="318" t="str">
        <f ca="1">IF(ROWS($1:367)&gt;COUNT(Dong5),"",OFFSET(TH!D$1,SMALL(Dong5,ROWS($1:367)),))</f>
        <v>GBN</v>
      </c>
      <c r="C381" s="318">
        <f ca="1">IF(ROWS($1:367)&gt;COUNT(Dong5),"",OFFSET(TH!E$1,SMALL(Dong5,ROWS($1:367)),))</f>
        <v>42506</v>
      </c>
      <c r="D381" s="383" t="str">
        <f ca="1">IF(ROWS($1:367)&gt;COUNT(Dong5),"",OFFSET(TH!F$1,SMALL(Dong5,ROWS($1:367)),))</f>
        <v>VAT Phí thông báo số dư</v>
      </c>
      <c r="E381" s="318" t="str">
        <f ca="1">IF(ROWS($1:367)&gt;COUNT(Dong5),"",IF(OFFSET(TH!N$1,SMALL(Dong5,ROWS($1:367)),)=$E$7,OFFSET(TH!O$1,SMALL(Dong5,ROWS($1:367)),),OFFSET(TH!N$1,SMALL(Dong5,ROWS($1:367)),)))</f>
        <v>1121</v>
      </c>
      <c r="F381" s="384">
        <f ca="1">IF(ROWS($1:367)&gt;COUNT(Dong5),0,IF(OFFSET(TH!N$1,SMALL(Dong5,ROWS($1:367)),)=$E$7,OFFSET(TH!M$1,SMALL(Dong5,ROWS($1:367)),),0))</f>
        <v>5000</v>
      </c>
      <c r="G381" s="382">
        <f ca="1">IF(ROWS($1:367)&gt;COUNT(Dong5),0,IF(OFFSET(TH!O$1,SMALL(Dong5,ROWS($1:367)),)=$E$7,OFFSET(TH!M$1,SMALL(Dong5,ROWS($1:367)),),0))</f>
        <v>0</v>
      </c>
      <c r="H381" s="385">
        <f ca="1">IF(D381&lt;&gt;"",MAX(H380+F381-G381-I380,0),0)</f>
        <v>555819574</v>
      </c>
      <c r="I381" s="385">
        <f ca="1">IF(D381&lt;&gt;"",MAX(I380+G381-H380-F381,0),0)</f>
        <v>0</v>
      </c>
      <c r="J381" s="18">
        <f ca="1">MONTH(A381)</f>
        <v>5</v>
      </c>
    </row>
    <row r="382" spans="1:10" s="18" customFormat="1" ht="18" customHeight="1">
      <c r="A382" s="318">
        <f ca="1">IF(ROWS($1:368)&gt;COUNT(Dong5),"",OFFSET(TH!C$1,SMALL(Dong5,ROWS($1:368)),))</f>
        <v>42507</v>
      </c>
      <c r="B382" s="318" t="str">
        <f ca="1">IF(ROWS($1:368)&gt;COUNT(Dong5),"",OFFSET(TH!D$1,SMALL(Dong5,ROWS($1:368)),))</f>
        <v>GBN</v>
      </c>
      <c r="C382" s="318">
        <f ca="1">IF(ROWS($1:368)&gt;COUNT(Dong5),"",OFFSET(TH!E$1,SMALL(Dong5,ROWS($1:368)),))</f>
        <v>42507</v>
      </c>
      <c r="D382" s="383" t="str">
        <f ca="1">IF(ROWS($1:368)&gt;COUNT(Dong5),"",OFFSET(TH!F$1,SMALL(Dong5,ROWS($1:368)),))</f>
        <v>VAT Phí chuyển tiền</v>
      </c>
      <c r="E382" s="318" t="str">
        <f ca="1">IF(ROWS($1:368)&gt;COUNT(Dong5),"",IF(OFFSET(TH!N$1,SMALL(Dong5,ROWS($1:368)),)=$E$7,OFFSET(TH!O$1,SMALL(Dong5,ROWS($1:368)),),OFFSET(TH!N$1,SMALL(Dong5,ROWS($1:368)),)))</f>
        <v>1121</v>
      </c>
      <c r="F382" s="384">
        <f ca="1">IF(ROWS($1:368)&gt;COUNT(Dong5),0,IF(OFFSET(TH!N$1,SMALL(Dong5,ROWS($1:368)),)=$E$7,OFFSET(TH!M$1,SMALL(Dong5,ROWS($1:368)),),0))</f>
        <v>2500</v>
      </c>
      <c r="G382" s="382">
        <f ca="1">IF(ROWS($1:368)&gt;COUNT(Dong5),0,IF(OFFSET(TH!O$1,SMALL(Dong5,ROWS($1:368)),)=$E$7,OFFSET(TH!M$1,SMALL(Dong5,ROWS($1:368)),),0))</f>
        <v>0</v>
      </c>
      <c r="H382" s="385">
        <f ca="1">IF(D382&lt;&gt;"",MAX(H381+F382-G382-I381,0),0)</f>
        <v>555822074</v>
      </c>
      <c r="I382" s="385">
        <f ca="1">IF(D382&lt;&gt;"",MAX(I381+G382-H381-F382,0),0)</f>
        <v>0</v>
      </c>
      <c r="J382" s="18">
        <f ca="1">MONTH(A382)</f>
        <v>5</v>
      </c>
    </row>
    <row r="383" spans="1:10" s="18" customFormat="1" ht="18" customHeight="1">
      <c r="A383" s="318">
        <f ca="1">IF(ROWS($1:369)&gt;COUNT(Dong5),"",OFFSET(TH!C$1,SMALL(Dong5,ROWS($1:369)),))</f>
        <v>42536</v>
      </c>
      <c r="B383" s="318" t="str">
        <f ca="1">IF(ROWS($1:369)&gt;COUNT(Dong5),"",OFFSET(TH!D$1,SMALL(Dong5,ROWS($1:369)),))</f>
        <v>CTGS</v>
      </c>
      <c r="C383" s="318">
        <f ca="1">IF(ROWS($1:369)&gt;COUNT(Dong5),"",OFFSET(TH!E$1,SMALL(Dong5,ROWS($1:369)),))</f>
        <v>42536</v>
      </c>
      <c r="D383" s="383" t="str">
        <f ca="1">IF(ROWS($1:369)&gt;COUNT(Dong5),"",OFFSET(TH!F$1,SMALL(Dong5,ROWS($1:369)),))</f>
        <v>VAT Phí DHL</v>
      </c>
      <c r="E383" s="318" t="str">
        <f ca="1">IF(ROWS($1:369)&gt;COUNT(Dong5),"",IF(OFFSET(TH!N$1,SMALL(Dong5,ROWS($1:369)),)=$E$7,OFFSET(TH!O$1,SMALL(Dong5,ROWS($1:369)),),OFFSET(TH!N$1,SMALL(Dong5,ROWS($1:369)),)))</f>
        <v>131</v>
      </c>
      <c r="F383" s="384">
        <f ca="1">IF(ROWS($1:369)&gt;COUNT(Dong5),0,IF(OFFSET(TH!N$1,SMALL(Dong5,ROWS($1:369)),)=$E$7,OFFSET(TH!M$1,SMALL(Dong5,ROWS($1:369)),),0))</f>
        <v>61686</v>
      </c>
      <c r="G383" s="382">
        <f ca="1">IF(ROWS($1:369)&gt;COUNT(Dong5),0,IF(OFFSET(TH!O$1,SMALL(Dong5,ROWS($1:369)),)=$E$7,OFFSET(TH!M$1,SMALL(Dong5,ROWS($1:369)),),0))</f>
        <v>0</v>
      </c>
      <c r="H383" s="385">
        <f ca="1">IF(D383&lt;&gt;"",MAX(H382+F383-G383-I382,0),0)</f>
        <v>555883760</v>
      </c>
      <c r="I383" s="385">
        <f ca="1">IF(D383&lt;&gt;"",MAX(I382+G383-H382-F383,0),0)</f>
        <v>0</v>
      </c>
      <c r="J383" s="18">
        <f ca="1">MONTH(A383)</f>
        <v>6</v>
      </c>
    </row>
    <row r="384" spans="1:10" s="18" customFormat="1" ht="18" customHeight="1">
      <c r="A384" s="318">
        <f ca="1">IF(ROWS($1:370)&gt;COUNT(Dong5),"",OFFSET(TH!C$1,SMALL(Dong5,ROWS($1:370)),))</f>
        <v>42710</v>
      </c>
      <c r="B384" s="318" t="str">
        <f ca="1">IF(ROWS($1:370)&gt;COUNT(Dong5),"",OFFSET(TH!D$1,SMALL(Dong5,ROWS($1:370)),))</f>
        <v>CTGS</v>
      </c>
      <c r="C384" s="318">
        <f ca="1">IF(ROWS($1:370)&gt;COUNT(Dong5),"",OFFSET(TH!E$1,SMALL(Dong5,ROWS($1:370)),))</f>
        <v>42710</v>
      </c>
      <c r="D384" s="383" t="str">
        <f ca="1">IF(ROWS($1:370)&gt;COUNT(Dong5),"",OFFSET(TH!F$1,SMALL(Dong5,ROWS($1:370)),))</f>
        <v>VAT Phí gia công</v>
      </c>
      <c r="E384" s="318" t="str">
        <f ca="1">IF(ROWS($1:370)&gt;COUNT(Dong5),"",IF(OFFSET(TH!N$1,SMALL(Dong5,ROWS($1:370)),)=$E$7,OFFSET(TH!O$1,SMALL(Dong5,ROWS($1:370)),),OFFSET(TH!N$1,SMALL(Dong5,ROWS($1:370)),)))</f>
        <v>331</v>
      </c>
      <c r="F384" s="384">
        <f ca="1">IF(ROWS($1:370)&gt;COUNT(Dong5),0,IF(OFFSET(TH!N$1,SMALL(Dong5,ROWS($1:370)),)=$E$7,OFFSET(TH!M$1,SMALL(Dong5,ROWS($1:370)),),0))</f>
        <v>26000000</v>
      </c>
      <c r="G384" s="382">
        <f ca="1">IF(ROWS($1:370)&gt;COUNT(Dong5),0,IF(OFFSET(TH!O$1,SMALL(Dong5,ROWS($1:370)),)=$E$7,OFFSET(TH!M$1,SMALL(Dong5,ROWS($1:370)),),0))</f>
        <v>0</v>
      </c>
      <c r="H384" s="385">
        <f ca="1">IF(D384&lt;&gt;"",MAX(H383+F384-G384-I383,0),0)</f>
        <v>581883760</v>
      </c>
      <c r="I384" s="385">
        <f ca="1">IF(D384&lt;&gt;"",MAX(I383+G384-H383-F384,0),0)</f>
        <v>0</v>
      </c>
      <c r="J384" s="18">
        <f ca="1">MONTH(A384)</f>
        <v>12</v>
      </c>
    </row>
    <row r="385" spans="1:10" s="18" customFormat="1" ht="18" customHeight="1">
      <c r="A385" s="318">
        <f ca="1">IF(ROWS($1:371)&gt;COUNT(Dong5),"",OFFSET(TH!C$1,SMALL(Dong5,ROWS($1:371)),))</f>
        <v>42510</v>
      </c>
      <c r="B385" s="318" t="str">
        <f ca="1">IF(ROWS($1:371)&gt;COUNT(Dong5),"",OFFSET(TH!D$1,SMALL(Dong5,ROWS($1:371)),))</f>
        <v>C14</v>
      </c>
      <c r="C385" s="318">
        <f ca="1">IF(ROWS($1:371)&gt;COUNT(Dong5),"",OFFSET(TH!E$1,SMALL(Dong5,ROWS($1:371)),))</f>
        <v>42510</v>
      </c>
      <c r="D385" s="383" t="str">
        <f ca="1">IF(ROWS($1:371)&gt;COUNT(Dong5),"",OFFSET(TH!F$1,SMALL(Dong5,ROWS($1:371)),))</f>
        <v xml:space="preserve">VAT Xăng, dầu </v>
      </c>
      <c r="E385" s="318" t="str">
        <f ca="1">IF(ROWS($1:371)&gt;COUNT(Dong5),"",IF(OFFSET(TH!N$1,SMALL(Dong5,ROWS($1:371)),)=$E$7,OFFSET(TH!O$1,SMALL(Dong5,ROWS($1:371)),),OFFSET(TH!N$1,SMALL(Dong5,ROWS($1:371)),)))</f>
        <v>1111</v>
      </c>
      <c r="F385" s="384">
        <f ca="1">IF(ROWS($1:371)&gt;COUNT(Dong5),0,IF(OFFSET(TH!N$1,SMALL(Dong5,ROWS($1:371)),)=$E$7,OFFSET(TH!M$1,SMALL(Dong5,ROWS($1:371)),),0))</f>
        <v>87158</v>
      </c>
      <c r="G385" s="382">
        <f ca="1">IF(ROWS($1:371)&gt;COUNT(Dong5),0,IF(OFFSET(TH!O$1,SMALL(Dong5,ROWS($1:371)),)=$E$7,OFFSET(TH!M$1,SMALL(Dong5,ROWS($1:371)),),0))</f>
        <v>0</v>
      </c>
      <c r="H385" s="385">
        <f ca="1">IF(D385&lt;&gt;"",MAX(H384+F385-G385-I384,0),0)</f>
        <v>581970918</v>
      </c>
      <c r="I385" s="385">
        <f ca="1">IF(D385&lt;&gt;"",MAX(I384+G385-H384-F385,0),0)</f>
        <v>0</v>
      </c>
      <c r="J385" s="18">
        <f ca="1">MONTH(A385)</f>
        <v>5</v>
      </c>
    </row>
    <row r="386" spans="1:10" s="18" customFormat="1" ht="18" customHeight="1">
      <c r="A386" s="318">
        <f ca="1">IF(ROWS($1:372)&gt;COUNT(Dong5),"",OFFSET(TH!C$1,SMALL(Dong5,ROWS($1:372)),))</f>
        <v>42510</v>
      </c>
      <c r="B386" s="318" t="str">
        <f ca="1">IF(ROWS($1:372)&gt;COUNT(Dong5),"",OFFSET(TH!D$1,SMALL(Dong5,ROWS($1:372)),))</f>
        <v>CTGS</v>
      </c>
      <c r="C386" s="318">
        <f ca="1">IF(ROWS($1:372)&gt;COUNT(Dong5),"",OFFSET(TH!E$1,SMALL(Dong5,ROWS($1:372)),))</f>
        <v>42510</v>
      </c>
      <c r="D386" s="383" t="str">
        <f ca="1">IF(ROWS($1:372)&gt;COUNT(Dong5),"",OFFSET(TH!F$1,SMALL(Dong5,ROWS($1:372)),))</f>
        <v>VAT Phí nhận tiền từ nước ngoài</v>
      </c>
      <c r="E386" s="318" t="str">
        <f ca="1">IF(ROWS($1:372)&gt;COUNT(Dong5),"",IF(OFFSET(TH!N$1,SMALL(Dong5,ROWS($1:372)),)=$E$7,OFFSET(TH!O$1,SMALL(Dong5,ROWS($1:372)),),OFFSET(TH!N$1,SMALL(Dong5,ROWS($1:372)),)))</f>
        <v>131</v>
      </c>
      <c r="F386" s="384">
        <f ca="1">IF(ROWS($1:372)&gt;COUNT(Dong5),0,IF(OFFSET(TH!N$1,SMALL(Dong5,ROWS($1:372)),)=$E$7,OFFSET(TH!M$1,SMALL(Dong5,ROWS($1:372)),),0))</f>
        <v>4902</v>
      </c>
      <c r="G386" s="382">
        <f ca="1">IF(ROWS($1:372)&gt;COUNT(Dong5),0,IF(OFFSET(TH!O$1,SMALL(Dong5,ROWS($1:372)),)=$E$7,OFFSET(TH!M$1,SMALL(Dong5,ROWS($1:372)),),0))</f>
        <v>0</v>
      </c>
      <c r="H386" s="385">
        <f ca="1">IF(D386&lt;&gt;"",MAX(H385+F386-G386-I385,0),0)</f>
        <v>581975820</v>
      </c>
      <c r="I386" s="385">
        <f ca="1">IF(D386&lt;&gt;"",MAX(I385+G386-H385-F386,0),0)</f>
        <v>0</v>
      </c>
      <c r="J386" s="18">
        <f ca="1">MONTH(A386)</f>
        <v>5</v>
      </c>
    </row>
    <row r="387" spans="1:10" s="18" customFormat="1" ht="18" customHeight="1">
      <c r="A387" s="318">
        <f ca="1">IF(ROWS($1:373)&gt;COUNT(Dong5),"",OFFSET(TH!C$1,SMALL(Dong5,ROWS($1:373)),))</f>
        <v>42513</v>
      </c>
      <c r="B387" s="318" t="str">
        <f ca="1">IF(ROWS($1:373)&gt;COUNT(Dong5),"",OFFSET(TH!D$1,SMALL(Dong5,ROWS($1:373)),))</f>
        <v>C17</v>
      </c>
      <c r="C387" s="318">
        <f ca="1">IF(ROWS($1:373)&gt;COUNT(Dong5),"",OFFSET(TH!E$1,SMALL(Dong5,ROWS($1:373)),))</f>
        <v>42513</v>
      </c>
      <c r="D387" s="383" t="str">
        <f ca="1">IF(ROWS($1:373)&gt;COUNT(Dong5),"",OFFSET(TH!F$1,SMALL(Dong5,ROWS($1:373)),))</f>
        <v>VAT Phí phân tích chỉ tiêu</v>
      </c>
      <c r="E387" s="318" t="str">
        <f ca="1">IF(ROWS($1:373)&gt;COUNT(Dong5),"",IF(OFFSET(TH!N$1,SMALL(Dong5,ROWS($1:373)),)=$E$7,OFFSET(TH!O$1,SMALL(Dong5,ROWS($1:373)),),OFFSET(TH!N$1,SMALL(Dong5,ROWS($1:373)),)))</f>
        <v>1111</v>
      </c>
      <c r="F387" s="384">
        <f ca="1">IF(ROWS($1:373)&gt;COUNT(Dong5),0,IF(OFFSET(TH!N$1,SMALL(Dong5,ROWS($1:373)),)=$E$7,OFFSET(TH!M$1,SMALL(Dong5,ROWS($1:373)),),0))</f>
        <v>24000</v>
      </c>
      <c r="G387" s="382">
        <f ca="1">IF(ROWS($1:373)&gt;COUNT(Dong5),0,IF(OFFSET(TH!O$1,SMALL(Dong5,ROWS($1:373)),)=$E$7,OFFSET(TH!M$1,SMALL(Dong5,ROWS($1:373)),),0))</f>
        <v>0</v>
      </c>
      <c r="H387" s="385">
        <f ca="1">IF(D387&lt;&gt;"",MAX(H386+F387-G387-I386,0),0)</f>
        <v>581999820</v>
      </c>
      <c r="I387" s="385">
        <f ca="1">IF(D387&lt;&gt;"",MAX(I386+G387-H386-F387,0),0)</f>
        <v>0</v>
      </c>
      <c r="J387" s="18">
        <f ca="1">MONTH(A387)</f>
        <v>5</v>
      </c>
    </row>
    <row r="388" spans="1:10" s="18" customFormat="1" ht="18" customHeight="1">
      <c r="A388" s="318">
        <f ca="1">IF(ROWS($1:374)&gt;COUNT(Dong5),"",OFFSET(TH!C$1,SMALL(Dong5,ROWS($1:374)),))</f>
        <v>42513</v>
      </c>
      <c r="B388" s="318" t="str">
        <f ca="1">IF(ROWS($1:374)&gt;COUNT(Dong5),"",OFFSET(TH!D$1,SMALL(Dong5,ROWS($1:374)),))</f>
        <v>C18</v>
      </c>
      <c r="C388" s="318">
        <f ca="1">IF(ROWS($1:374)&gt;COUNT(Dong5),"",OFFSET(TH!E$1,SMALL(Dong5,ROWS($1:374)),))</f>
        <v>42513</v>
      </c>
      <c r="D388" s="383" t="str">
        <f ca="1">IF(ROWS($1:374)&gt;COUNT(Dong5),"",OFFSET(TH!F$1,SMALL(Dong5,ROWS($1:374)),))</f>
        <v>VAT Phí phân tích chỉ tiêu</v>
      </c>
      <c r="E388" s="318" t="str">
        <f ca="1">IF(ROWS($1:374)&gt;COUNT(Dong5),"",IF(OFFSET(TH!N$1,SMALL(Dong5,ROWS($1:374)),)=$E$7,OFFSET(TH!O$1,SMALL(Dong5,ROWS($1:374)),),OFFSET(TH!N$1,SMALL(Dong5,ROWS($1:374)),)))</f>
        <v>1111</v>
      </c>
      <c r="F388" s="384">
        <f ca="1">IF(ROWS($1:374)&gt;COUNT(Dong5),0,IF(OFFSET(TH!N$1,SMALL(Dong5,ROWS($1:374)),)=$E$7,OFFSET(TH!M$1,SMALL(Dong5,ROWS($1:374)),),0))</f>
        <v>15000</v>
      </c>
      <c r="G388" s="382">
        <f ca="1">IF(ROWS($1:374)&gt;COUNT(Dong5),0,IF(OFFSET(TH!O$1,SMALL(Dong5,ROWS($1:374)),)=$E$7,OFFSET(TH!M$1,SMALL(Dong5,ROWS($1:374)),),0))</f>
        <v>0</v>
      </c>
      <c r="H388" s="385">
        <f ca="1">IF(D388&lt;&gt;"",MAX(H387+F388-G388-I387,0),0)</f>
        <v>582014820</v>
      </c>
      <c r="I388" s="385">
        <f ca="1">IF(D388&lt;&gt;"",MAX(I387+G388-H387-F388,0),0)</f>
        <v>0</v>
      </c>
      <c r="J388" s="18">
        <f ca="1">MONTH(A388)</f>
        <v>5</v>
      </c>
    </row>
    <row r="389" spans="1:10" s="18" customFormat="1" ht="18" customHeight="1">
      <c r="A389" s="318">
        <f ca="1">IF(ROWS($1:375)&gt;COUNT(Dong5),"",OFFSET(TH!C$1,SMALL(Dong5,ROWS($1:375)),))</f>
        <v>42514</v>
      </c>
      <c r="B389" s="318" t="str">
        <f ca="1">IF(ROWS($1:375)&gt;COUNT(Dong5),"",OFFSET(TH!D$1,SMALL(Dong5,ROWS($1:375)),))</f>
        <v>C19</v>
      </c>
      <c r="C389" s="318">
        <f ca="1">IF(ROWS($1:375)&gt;COUNT(Dong5),"",OFFSET(TH!E$1,SMALL(Dong5,ROWS($1:375)),))</f>
        <v>42514</v>
      </c>
      <c r="D389" s="383" t="str">
        <f ca="1">IF(ROWS($1:375)&gt;COUNT(Dong5),"",OFFSET(TH!F$1,SMALL(Dong5,ROWS($1:375)),))</f>
        <v xml:space="preserve">VAT Xăng, dầu </v>
      </c>
      <c r="E389" s="318" t="str">
        <f ca="1">IF(ROWS($1:375)&gt;COUNT(Dong5),"",IF(OFFSET(TH!N$1,SMALL(Dong5,ROWS($1:375)),)=$E$7,OFFSET(TH!O$1,SMALL(Dong5,ROWS($1:375)),),OFFSET(TH!N$1,SMALL(Dong5,ROWS($1:375)),)))</f>
        <v>1111</v>
      </c>
      <c r="F389" s="384">
        <f ca="1">IF(ROWS($1:375)&gt;COUNT(Dong5),0,IF(OFFSET(TH!N$1,SMALL(Dong5,ROWS($1:375)),)=$E$7,OFFSET(TH!M$1,SMALL(Dong5,ROWS($1:375)),),0))</f>
        <v>131038</v>
      </c>
      <c r="G389" s="382">
        <f ca="1">IF(ROWS($1:375)&gt;COUNT(Dong5),0,IF(OFFSET(TH!O$1,SMALL(Dong5,ROWS($1:375)),)=$E$7,OFFSET(TH!M$1,SMALL(Dong5,ROWS($1:375)),),0))</f>
        <v>0</v>
      </c>
      <c r="H389" s="385">
        <f ca="1">IF(D389&lt;&gt;"",MAX(H388+F389-G389-I388,0),0)</f>
        <v>582145858</v>
      </c>
      <c r="I389" s="385">
        <f ca="1">IF(D389&lt;&gt;"",MAX(I388+G389-H388-F389,0),0)</f>
        <v>0</v>
      </c>
      <c r="J389" s="18">
        <f ca="1">MONTH(A389)</f>
        <v>5</v>
      </c>
    </row>
    <row r="390" spans="1:10" s="18" customFormat="1" ht="18" customHeight="1">
      <c r="A390" s="318">
        <f ca="1">IF(ROWS($1:376)&gt;COUNT(Dong5),"",OFFSET(TH!C$1,SMALL(Dong5,ROWS($1:376)),))</f>
        <v>42674</v>
      </c>
      <c r="B390" s="318" t="str">
        <f ca="1">IF(ROWS($1:376)&gt;COUNT(Dong5),"",OFFSET(TH!D$1,SMALL(Dong5,ROWS($1:376)),))</f>
        <v>CTGS</v>
      </c>
      <c r="C390" s="318">
        <f ca="1">IF(ROWS($1:376)&gt;COUNT(Dong5),"",OFFSET(TH!E$1,SMALL(Dong5,ROWS($1:376)),))</f>
        <v>42660</v>
      </c>
      <c r="D390" s="383" t="str">
        <f ca="1">IF(ROWS($1:376)&gt;COUNT(Dong5),"",OFFSET(TH!F$1,SMALL(Dong5,ROWS($1:376)),)&amp;" - "&amp;OFFSET(TH!H$1,SMALL(Dong5,ROWS($1:376)),))</f>
        <v>VAT Tiền điện kỳ 2 T10/16 - Cty Điện Lực Long An</v>
      </c>
      <c r="E390" s="318" t="str">
        <f ca="1">IF(ROWS($1:376)&gt;COUNT(Dong5),"",IF(OFFSET(TH!N$1,SMALL(Dong5,ROWS($1:376)),)=$E$7,OFFSET(TH!O$1,SMALL(Dong5,ROWS($1:376)),),OFFSET(TH!N$1,SMALL(Dong5,ROWS($1:376)),)))</f>
        <v>331</v>
      </c>
      <c r="F390" s="384">
        <f ca="1">IF(ROWS($1:376)&gt;COUNT(Dong5),0,IF(OFFSET(TH!N$1,SMALL(Dong5,ROWS($1:376)),)=$E$7,OFFSET(TH!M$1,SMALL(Dong5,ROWS($1:376)),),0))</f>
        <v>2212620</v>
      </c>
      <c r="G390" s="382">
        <f ca="1">IF(ROWS($1:376)&gt;COUNT(Dong5),0,IF(OFFSET(TH!O$1,SMALL(Dong5,ROWS($1:376)),)=$E$7,OFFSET(TH!M$1,SMALL(Dong5,ROWS($1:376)),),0))</f>
        <v>0</v>
      </c>
      <c r="H390" s="385">
        <f ca="1">IF(D390&lt;&gt;"",MAX(H389+F390-G390-I389,0),0)</f>
        <v>584358478</v>
      </c>
      <c r="I390" s="385">
        <f ca="1">IF(D390&lt;&gt;"",MAX(I389+G390-H389-F390,0),0)</f>
        <v>0</v>
      </c>
      <c r="J390" s="18">
        <f ca="1">MONTH(A390)</f>
        <v>10</v>
      </c>
    </row>
    <row r="391" spans="1:10" s="18" customFormat="1" ht="18" customHeight="1">
      <c r="A391" s="318">
        <f ca="1">IF(ROWS($1:377)&gt;COUNT(Dong5),"",OFFSET(TH!C$1,SMALL(Dong5,ROWS($1:377)),))</f>
        <v>42514</v>
      </c>
      <c r="B391" s="318" t="str">
        <f ca="1">IF(ROWS($1:377)&gt;COUNT(Dong5),"",OFFSET(TH!D$1,SMALL(Dong5,ROWS($1:377)),))</f>
        <v>GBN</v>
      </c>
      <c r="C391" s="318">
        <f ca="1">IF(ROWS($1:377)&gt;COUNT(Dong5),"",OFFSET(TH!E$1,SMALL(Dong5,ROWS($1:377)),))</f>
        <v>42514</v>
      </c>
      <c r="D391" s="383" t="str">
        <f ca="1">IF(ROWS($1:377)&gt;COUNT(Dong5),"",OFFSET(TH!F$1,SMALL(Dong5,ROWS($1:377)),))</f>
        <v>VAT Phí chuyển tiền</v>
      </c>
      <c r="E391" s="318" t="str">
        <f ca="1">IF(ROWS($1:377)&gt;COUNT(Dong5),"",IF(OFFSET(TH!N$1,SMALL(Dong5,ROWS($1:377)),)=$E$7,OFFSET(TH!O$1,SMALL(Dong5,ROWS($1:377)),),OFFSET(TH!N$1,SMALL(Dong5,ROWS($1:377)),)))</f>
        <v>1121</v>
      </c>
      <c r="F391" s="384">
        <f ca="1">IF(ROWS($1:377)&gt;COUNT(Dong5),0,IF(OFFSET(TH!N$1,SMALL(Dong5,ROWS($1:377)),)=$E$7,OFFSET(TH!M$1,SMALL(Dong5,ROWS($1:377)),),0))</f>
        <v>2500</v>
      </c>
      <c r="G391" s="382">
        <f ca="1">IF(ROWS($1:377)&gt;COUNT(Dong5),0,IF(OFFSET(TH!O$1,SMALL(Dong5,ROWS($1:377)),)=$E$7,OFFSET(TH!M$1,SMALL(Dong5,ROWS($1:377)),),0))</f>
        <v>0</v>
      </c>
      <c r="H391" s="385">
        <f ca="1">IF(D391&lt;&gt;"",MAX(H390+F391-G391-I390,0),0)</f>
        <v>584360978</v>
      </c>
      <c r="I391" s="385">
        <f ca="1">IF(D391&lt;&gt;"",MAX(I390+G391-H390-F391,0),0)</f>
        <v>0</v>
      </c>
      <c r="J391" s="18">
        <f ca="1">MONTH(A391)</f>
        <v>5</v>
      </c>
    </row>
    <row r="392" spans="1:10" s="18" customFormat="1" ht="18" customHeight="1">
      <c r="A392" s="318">
        <f ca="1">IF(ROWS($1:378)&gt;COUNT(Dong5),"",OFFSET(TH!C$1,SMALL(Dong5,ROWS($1:378)),))</f>
        <v>42515</v>
      </c>
      <c r="B392" s="318" t="str">
        <f ca="1">IF(ROWS($1:378)&gt;COUNT(Dong5),"",OFFSET(TH!D$1,SMALL(Dong5,ROWS($1:378)),))</f>
        <v>C20</v>
      </c>
      <c r="C392" s="318">
        <f ca="1">IF(ROWS($1:378)&gt;COUNT(Dong5),"",OFFSET(TH!E$1,SMALL(Dong5,ROWS($1:378)),))</f>
        <v>42515</v>
      </c>
      <c r="D392" s="383" t="str">
        <f ca="1">IF(ROWS($1:378)&gt;COUNT(Dong5),"",OFFSET(TH!F$1,SMALL(Dong5,ROWS($1:378)),))</f>
        <v>VAT Sửa chữa xe 51F - 080.56</v>
      </c>
      <c r="E392" s="318" t="str">
        <f ca="1">IF(ROWS($1:378)&gt;COUNT(Dong5),"",IF(OFFSET(TH!N$1,SMALL(Dong5,ROWS($1:378)),)=$E$7,OFFSET(TH!O$1,SMALL(Dong5,ROWS($1:378)),),OFFSET(TH!N$1,SMALL(Dong5,ROWS($1:378)),)))</f>
        <v>1111</v>
      </c>
      <c r="F392" s="384">
        <f ca="1">IF(ROWS($1:378)&gt;COUNT(Dong5),0,IF(OFFSET(TH!N$1,SMALL(Dong5,ROWS($1:378)),)=$E$7,OFFSET(TH!M$1,SMALL(Dong5,ROWS($1:378)),),0))</f>
        <v>152666</v>
      </c>
      <c r="G392" s="382">
        <f ca="1">IF(ROWS($1:378)&gt;COUNT(Dong5),0,IF(OFFSET(TH!O$1,SMALL(Dong5,ROWS($1:378)),)=$E$7,OFFSET(TH!M$1,SMALL(Dong5,ROWS($1:378)),),0))</f>
        <v>0</v>
      </c>
      <c r="H392" s="385">
        <f ca="1">IF(D392&lt;&gt;"",MAX(H391+F392-G392-I391,0),0)</f>
        <v>584513644</v>
      </c>
      <c r="I392" s="385">
        <f ca="1">IF(D392&lt;&gt;"",MAX(I391+G392-H391-F392,0),0)</f>
        <v>0</v>
      </c>
      <c r="J392" s="18">
        <f ca="1">MONTH(A392)</f>
        <v>5</v>
      </c>
    </row>
    <row r="393" spans="1:10" s="18" customFormat="1" ht="18" customHeight="1">
      <c r="A393" s="318">
        <f ca="1">IF(ROWS($1:379)&gt;COUNT(Dong5),"",OFFSET(TH!C$1,SMALL(Dong5,ROWS($1:379)),))</f>
        <v>42516</v>
      </c>
      <c r="B393" s="318" t="str">
        <f ca="1">IF(ROWS($1:379)&gt;COUNT(Dong5),"",OFFSET(TH!D$1,SMALL(Dong5,ROWS($1:379)),))</f>
        <v>C21</v>
      </c>
      <c r="C393" s="318">
        <f ca="1">IF(ROWS($1:379)&gt;COUNT(Dong5),"",OFFSET(TH!E$1,SMALL(Dong5,ROWS($1:379)),))</f>
        <v>42516</v>
      </c>
      <c r="D393" s="383" t="str">
        <f ca="1">IF(ROWS($1:379)&gt;COUNT(Dong5),"",OFFSET(TH!F$1,SMALL(Dong5,ROWS($1:379)),))</f>
        <v>VAT Phí xét nghiệm</v>
      </c>
      <c r="E393" s="318" t="str">
        <f ca="1">IF(ROWS($1:379)&gt;COUNT(Dong5),"",IF(OFFSET(TH!N$1,SMALL(Dong5,ROWS($1:379)),)=$E$7,OFFSET(TH!O$1,SMALL(Dong5,ROWS($1:379)),),OFFSET(TH!N$1,SMALL(Dong5,ROWS($1:379)),)))</f>
        <v>1111</v>
      </c>
      <c r="F393" s="384">
        <f ca="1">IF(ROWS($1:379)&gt;COUNT(Dong5),0,IF(OFFSET(TH!N$1,SMALL(Dong5,ROWS($1:379)),)=$E$7,OFFSET(TH!M$1,SMALL(Dong5,ROWS($1:379)),),0))</f>
        <v>46273</v>
      </c>
      <c r="G393" s="382">
        <f ca="1">IF(ROWS($1:379)&gt;COUNT(Dong5),0,IF(OFFSET(TH!O$1,SMALL(Dong5,ROWS($1:379)),)=$E$7,OFFSET(TH!M$1,SMALL(Dong5,ROWS($1:379)),),0))</f>
        <v>0</v>
      </c>
      <c r="H393" s="385">
        <f ca="1">IF(D393&lt;&gt;"",MAX(H392+F393-G393-I392,0),0)</f>
        <v>584559917</v>
      </c>
      <c r="I393" s="385">
        <f ca="1">IF(D393&lt;&gt;"",MAX(I392+G393-H392-F393,0),0)</f>
        <v>0</v>
      </c>
      <c r="J393" s="18">
        <f ca="1">MONTH(A393)</f>
        <v>5</v>
      </c>
    </row>
    <row r="394" spans="1:10" s="18" customFormat="1" ht="18" customHeight="1">
      <c r="A394" s="318">
        <f ca="1">IF(ROWS($1:380)&gt;COUNT(Dong5),"",OFFSET(TH!C$1,SMALL(Dong5,ROWS($1:380)),))</f>
        <v>42517</v>
      </c>
      <c r="B394" s="318" t="str">
        <f ca="1">IF(ROWS($1:380)&gt;COUNT(Dong5),"",OFFSET(TH!D$1,SMALL(Dong5,ROWS($1:380)),))</f>
        <v>C22</v>
      </c>
      <c r="C394" s="318">
        <f ca="1">IF(ROWS($1:380)&gt;COUNT(Dong5),"",OFFSET(TH!E$1,SMALL(Dong5,ROWS($1:380)),))</f>
        <v>42517</v>
      </c>
      <c r="D394" s="383" t="str">
        <f ca="1">IF(ROWS($1:380)&gt;COUNT(Dong5),"",OFFSET(TH!F$1,SMALL(Dong5,ROWS($1:380)),))</f>
        <v>VAT Phí dịch vụ bảo vệ T5/2016</v>
      </c>
      <c r="E394" s="318" t="str">
        <f ca="1">IF(ROWS($1:380)&gt;COUNT(Dong5),"",IF(OFFSET(TH!N$1,SMALL(Dong5,ROWS($1:380)),)=$E$7,OFFSET(TH!O$1,SMALL(Dong5,ROWS($1:380)),),OFFSET(TH!N$1,SMALL(Dong5,ROWS($1:380)),)))</f>
        <v>1111</v>
      </c>
      <c r="F394" s="384">
        <f ca="1">IF(ROWS($1:380)&gt;COUNT(Dong5),0,IF(OFFSET(TH!N$1,SMALL(Dong5,ROWS($1:380)),)=$E$7,OFFSET(TH!M$1,SMALL(Dong5,ROWS($1:380)),),0))</f>
        <v>1605000</v>
      </c>
      <c r="G394" s="382">
        <f ca="1">IF(ROWS($1:380)&gt;COUNT(Dong5),0,IF(OFFSET(TH!O$1,SMALL(Dong5,ROWS($1:380)),)=$E$7,OFFSET(TH!M$1,SMALL(Dong5,ROWS($1:380)),),0))</f>
        <v>0</v>
      </c>
      <c r="H394" s="385">
        <f ca="1">IF(D394&lt;&gt;"",MAX(H393+F394-G394-I393,0),0)</f>
        <v>586164917</v>
      </c>
      <c r="I394" s="385">
        <f ca="1">IF(D394&lt;&gt;"",MAX(I393+G394-H393-F394,0),0)</f>
        <v>0</v>
      </c>
      <c r="J394" s="18">
        <f ca="1">MONTH(A394)</f>
        <v>5</v>
      </c>
    </row>
    <row r="395" spans="1:10" s="18" customFormat="1" ht="18" customHeight="1">
      <c r="A395" s="318">
        <f ca="1">IF(ROWS($1:381)&gt;COUNT(Dong5),"",OFFSET(TH!C$1,SMALL(Dong5,ROWS($1:381)),))</f>
        <v>42519</v>
      </c>
      <c r="B395" s="318" t="str">
        <f ca="1">IF(ROWS($1:381)&gt;COUNT(Dong5),"",OFFSET(TH!D$1,SMALL(Dong5,ROWS($1:381)),))</f>
        <v>C23</v>
      </c>
      <c r="C395" s="318">
        <f ca="1">IF(ROWS($1:381)&gt;COUNT(Dong5),"",OFFSET(TH!E$1,SMALL(Dong5,ROWS($1:381)),))</f>
        <v>42519</v>
      </c>
      <c r="D395" s="383" t="str">
        <f ca="1">IF(ROWS($1:381)&gt;COUNT(Dong5),"",OFFSET(TH!F$1,SMALL(Dong5,ROWS($1:381)),))</f>
        <v xml:space="preserve">VAT Xăng, dầu </v>
      </c>
      <c r="E395" s="318" t="str">
        <f ca="1">IF(ROWS($1:381)&gt;COUNT(Dong5),"",IF(OFFSET(TH!N$1,SMALL(Dong5,ROWS($1:381)),)=$E$7,OFFSET(TH!O$1,SMALL(Dong5,ROWS($1:381)),),OFFSET(TH!N$1,SMALL(Dong5,ROWS($1:381)),)))</f>
        <v>1111</v>
      </c>
      <c r="F395" s="384">
        <f ca="1">IF(ROWS($1:381)&gt;COUNT(Dong5),0,IF(OFFSET(TH!N$1,SMALL(Dong5,ROWS($1:381)),)=$E$7,OFFSET(TH!M$1,SMALL(Dong5,ROWS($1:381)),),0))</f>
        <v>159193</v>
      </c>
      <c r="G395" s="382">
        <f ca="1">IF(ROWS($1:381)&gt;COUNT(Dong5),0,IF(OFFSET(TH!O$1,SMALL(Dong5,ROWS($1:381)),)=$E$7,OFFSET(TH!M$1,SMALL(Dong5,ROWS($1:381)),),0))</f>
        <v>0</v>
      </c>
      <c r="H395" s="385">
        <f ca="1">IF(D395&lt;&gt;"",MAX(H394+F395-G395-I394,0),0)</f>
        <v>586324110</v>
      </c>
      <c r="I395" s="385">
        <f ca="1">IF(D395&lt;&gt;"",MAX(I394+G395-H394-F395,0),0)</f>
        <v>0</v>
      </c>
      <c r="J395" s="18">
        <f ca="1">MONTH(A395)</f>
        <v>5</v>
      </c>
    </row>
    <row r="396" spans="1:10" s="18" customFormat="1" ht="18" customHeight="1">
      <c r="A396" s="318">
        <f ca="1">IF(ROWS($1:382)&gt;COUNT(Dong5),"",OFFSET(TH!C$1,SMALL(Dong5,ROWS($1:382)),))</f>
        <v>42520</v>
      </c>
      <c r="B396" s="318" t="str">
        <f ca="1">IF(ROWS($1:382)&gt;COUNT(Dong5),"",OFFSET(TH!D$1,SMALL(Dong5,ROWS($1:382)),))</f>
        <v>C24</v>
      </c>
      <c r="C396" s="318">
        <f ca="1">IF(ROWS($1:382)&gt;COUNT(Dong5),"",OFFSET(TH!E$1,SMALL(Dong5,ROWS($1:382)),))</f>
        <v>42520</v>
      </c>
      <c r="D396" s="383" t="str">
        <f ca="1">IF(ROWS($1:382)&gt;COUNT(Dong5),"",OFFSET(TH!F$1,SMALL(Dong5,ROWS($1:382)),))</f>
        <v>VAT Phí phân tích chỉ tiêu</v>
      </c>
      <c r="E396" s="318" t="str">
        <f ca="1">IF(ROWS($1:382)&gt;COUNT(Dong5),"",IF(OFFSET(TH!N$1,SMALL(Dong5,ROWS($1:382)),)=$E$7,OFFSET(TH!O$1,SMALL(Dong5,ROWS($1:382)),),OFFSET(TH!N$1,SMALL(Dong5,ROWS($1:382)),)))</f>
        <v>1111</v>
      </c>
      <c r="F396" s="384">
        <f ca="1">IF(ROWS($1:382)&gt;COUNT(Dong5),0,IF(OFFSET(TH!N$1,SMALL(Dong5,ROWS($1:382)),)=$E$7,OFFSET(TH!M$1,SMALL(Dong5,ROWS($1:382)),),0))</f>
        <v>252000</v>
      </c>
      <c r="G396" s="382">
        <f ca="1">IF(ROWS($1:382)&gt;COUNT(Dong5),0,IF(OFFSET(TH!O$1,SMALL(Dong5,ROWS($1:382)),)=$E$7,OFFSET(TH!M$1,SMALL(Dong5,ROWS($1:382)),),0))</f>
        <v>0</v>
      </c>
      <c r="H396" s="385">
        <f ca="1">IF(D396&lt;&gt;"",MAX(H395+F396-G396-I395,0),0)</f>
        <v>586576110</v>
      </c>
      <c r="I396" s="385">
        <f ca="1">IF(D396&lt;&gt;"",MAX(I395+G396-H395-F396,0),0)</f>
        <v>0</v>
      </c>
      <c r="J396" s="18">
        <f ca="1">MONTH(A396)</f>
        <v>5</v>
      </c>
    </row>
    <row r="397" spans="1:10" s="18" customFormat="1" ht="18" customHeight="1">
      <c r="A397" s="318">
        <f ca="1">IF(ROWS($1:383)&gt;COUNT(Dong5),"",OFFSET(TH!C$1,SMALL(Dong5,ROWS($1:383)),))</f>
        <v>42520</v>
      </c>
      <c r="B397" s="318" t="str">
        <f ca="1">IF(ROWS($1:383)&gt;COUNT(Dong5),"",OFFSET(TH!D$1,SMALL(Dong5,ROWS($1:383)),))</f>
        <v>C25</v>
      </c>
      <c r="C397" s="318">
        <f ca="1">IF(ROWS($1:383)&gt;COUNT(Dong5),"",OFFSET(TH!E$1,SMALL(Dong5,ROWS($1:383)),))</f>
        <v>42520</v>
      </c>
      <c r="D397" s="383" t="str">
        <f ca="1">IF(ROWS($1:383)&gt;COUNT(Dong5),"",OFFSET(TH!F$1,SMALL(Dong5,ROWS($1:383)),))</f>
        <v>VAT Gas</v>
      </c>
      <c r="E397" s="318" t="str">
        <f ca="1">IF(ROWS($1:383)&gt;COUNT(Dong5),"",IF(OFFSET(TH!N$1,SMALL(Dong5,ROWS($1:383)),)=$E$7,OFFSET(TH!O$1,SMALL(Dong5,ROWS($1:383)),),OFFSET(TH!N$1,SMALL(Dong5,ROWS($1:383)),)))</f>
        <v>1111</v>
      </c>
      <c r="F397" s="384">
        <f ca="1">IF(ROWS($1:383)&gt;COUNT(Dong5),0,IF(OFFSET(TH!N$1,SMALL(Dong5,ROWS($1:383)),)=$E$7,OFFSET(TH!M$1,SMALL(Dong5,ROWS($1:383)),),0))</f>
        <v>880451</v>
      </c>
      <c r="G397" s="382">
        <f ca="1">IF(ROWS($1:383)&gt;COUNT(Dong5),0,IF(OFFSET(TH!O$1,SMALL(Dong5,ROWS($1:383)),)=$E$7,OFFSET(TH!M$1,SMALL(Dong5,ROWS($1:383)),),0))</f>
        <v>0</v>
      </c>
      <c r="H397" s="385">
        <f ca="1">IF(D397&lt;&gt;"",MAX(H396+F397-G397-I396,0),0)</f>
        <v>587456561</v>
      </c>
      <c r="I397" s="385">
        <f ca="1">IF(D397&lt;&gt;"",MAX(I396+G397-H396-F397,0),0)</f>
        <v>0</v>
      </c>
      <c r="J397" s="18">
        <f ca="1">MONTH(A397)</f>
        <v>5</v>
      </c>
    </row>
    <row r="398" spans="1:10" s="18" customFormat="1" ht="18" customHeight="1">
      <c r="A398" s="318">
        <f ca="1">IF(ROWS($1:384)&gt;COUNT(Dong5),"",OFFSET(TH!C$1,SMALL(Dong5,ROWS($1:384)),))</f>
        <v>42521</v>
      </c>
      <c r="B398" s="318" t="str">
        <f ca="1">IF(ROWS($1:384)&gt;COUNT(Dong5),"",OFFSET(TH!D$1,SMALL(Dong5,ROWS($1:384)),))</f>
        <v>C26</v>
      </c>
      <c r="C398" s="318">
        <f ca="1">IF(ROWS($1:384)&gt;COUNT(Dong5),"",OFFSET(TH!E$1,SMALL(Dong5,ROWS($1:384)),))</f>
        <v>42521</v>
      </c>
      <c r="D398" s="383" t="str">
        <f ca="1">IF(ROWS($1:384)&gt;COUNT(Dong5),"",OFFSET(TH!F$1,SMALL(Dong5,ROWS($1:384)),))</f>
        <v xml:space="preserve">VAT Xăng, dầu </v>
      </c>
      <c r="E398" s="318" t="str">
        <f ca="1">IF(ROWS($1:384)&gt;COUNT(Dong5),"",IF(OFFSET(TH!N$1,SMALL(Dong5,ROWS($1:384)),)=$E$7,OFFSET(TH!O$1,SMALL(Dong5,ROWS($1:384)),),OFFSET(TH!N$1,SMALL(Dong5,ROWS($1:384)),)))</f>
        <v>1111</v>
      </c>
      <c r="F398" s="384">
        <f ca="1">IF(ROWS($1:384)&gt;COUNT(Dong5),0,IF(OFFSET(TH!N$1,SMALL(Dong5,ROWS($1:384)),)=$E$7,OFFSET(TH!M$1,SMALL(Dong5,ROWS($1:384)),),0))</f>
        <v>50336</v>
      </c>
      <c r="G398" s="382">
        <f ca="1">IF(ROWS($1:384)&gt;COUNT(Dong5),0,IF(OFFSET(TH!O$1,SMALL(Dong5,ROWS($1:384)),)=$E$7,OFFSET(TH!M$1,SMALL(Dong5,ROWS($1:384)),),0))</f>
        <v>0</v>
      </c>
      <c r="H398" s="385">
        <f ca="1">IF(D398&lt;&gt;"",MAX(H397+F398-G398-I397,0),0)</f>
        <v>587506897</v>
      </c>
      <c r="I398" s="385">
        <f ca="1">IF(D398&lt;&gt;"",MAX(I397+G398-H397-F398,0),0)</f>
        <v>0</v>
      </c>
      <c r="J398" s="18">
        <f ca="1">MONTH(A398)</f>
        <v>5</v>
      </c>
    </row>
    <row r="399" spans="1:10" s="18" customFormat="1" ht="18" customHeight="1">
      <c r="A399" s="318">
        <f ca="1">IF(ROWS($1:385)&gt;COUNT(Dong5),"",OFFSET(TH!C$1,SMALL(Dong5,ROWS($1:385)),))</f>
        <v>42521</v>
      </c>
      <c r="B399" s="318" t="str">
        <f ca="1">IF(ROWS($1:385)&gt;COUNT(Dong5),"",OFFSET(TH!D$1,SMALL(Dong5,ROWS($1:385)),))</f>
        <v>C28</v>
      </c>
      <c r="C399" s="318">
        <f ca="1">IF(ROWS($1:385)&gt;COUNT(Dong5),"",OFFSET(TH!E$1,SMALL(Dong5,ROWS($1:385)),))</f>
        <v>42521</v>
      </c>
      <c r="D399" s="383" t="str">
        <f ca="1">IF(ROWS($1:385)&gt;COUNT(Dong5),"",OFFSET(TH!F$1,SMALL(Dong5,ROWS($1:385)),))</f>
        <v>VAT Ắc quy</v>
      </c>
      <c r="E399" s="318" t="str">
        <f ca="1">IF(ROWS($1:385)&gt;COUNT(Dong5),"",IF(OFFSET(TH!N$1,SMALL(Dong5,ROWS($1:385)),)=$E$7,OFFSET(TH!O$1,SMALL(Dong5,ROWS($1:385)),),OFFSET(TH!N$1,SMALL(Dong5,ROWS($1:385)),)))</f>
        <v>1111</v>
      </c>
      <c r="F399" s="384">
        <f ca="1">IF(ROWS($1:385)&gt;COUNT(Dong5),0,IF(OFFSET(TH!N$1,SMALL(Dong5,ROWS($1:385)),)=$E$7,OFFSET(TH!M$1,SMALL(Dong5,ROWS($1:385)),),0))</f>
        <v>200000</v>
      </c>
      <c r="G399" s="382">
        <f ca="1">IF(ROWS($1:385)&gt;COUNT(Dong5),0,IF(OFFSET(TH!O$1,SMALL(Dong5,ROWS($1:385)),)=$E$7,OFFSET(TH!M$1,SMALL(Dong5,ROWS($1:385)),),0))</f>
        <v>0</v>
      </c>
      <c r="H399" s="385">
        <f ca="1">IF(D399&lt;&gt;"",MAX(H398+F399-G399-I398,0),0)</f>
        <v>587706897</v>
      </c>
      <c r="I399" s="385">
        <f ca="1">IF(D399&lt;&gt;"",MAX(I398+G399-H398-F399,0),0)</f>
        <v>0</v>
      </c>
      <c r="J399" s="18">
        <f ca="1">MONTH(A399)</f>
        <v>5</v>
      </c>
    </row>
    <row r="400" spans="1:10" s="18" customFormat="1" ht="18" customHeight="1">
      <c r="A400" s="318">
        <f ca="1">IF(ROWS($1:386)&gt;COUNT(Dong5),"",OFFSET(TH!C$1,SMALL(Dong5,ROWS($1:386)),))</f>
        <v>42521</v>
      </c>
      <c r="B400" s="318" t="str">
        <f ca="1">IF(ROWS($1:386)&gt;COUNT(Dong5),"",OFFSET(TH!D$1,SMALL(Dong5,ROWS($1:386)),))</f>
        <v>C30</v>
      </c>
      <c r="C400" s="318">
        <f ca="1">IF(ROWS($1:386)&gt;COUNT(Dong5),"",OFFSET(TH!E$1,SMALL(Dong5,ROWS($1:386)),))</f>
        <v>42521</v>
      </c>
      <c r="D400" s="383" t="str">
        <f ca="1">IF(ROWS($1:386)&gt;COUNT(Dong5),"",OFFSET(TH!F$1,SMALL(Dong5,ROWS($1:386)),))</f>
        <v>VAT Phí giao thông T5/2016</v>
      </c>
      <c r="E400" s="318" t="str">
        <f ca="1">IF(ROWS($1:386)&gt;COUNT(Dong5),"",IF(OFFSET(TH!N$1,SMALL(Dong5,ROWS($1:386)),)=$E$7,OFFSET(TH!O$1,SMALL(Dong5,ROWS($1:386)),),OFFSET(TH!N$1,SMALL(Dong5,ROWS($1:386)),)))</f>
        <v>1111</v>
      </c>
      <c r="F400" s="384">
        <f ca="1">IF(ROWS($1:386)&gt;COUNT(Dong5),0,IF(OFFSET(TH!N$1,SMALL(Dong5,ROWS($1:386)),)=$E$7,OFFSET(TH!M$1,SMALL(Dong5,ROWS($1:386)),),0))</f>
        <v>123636</v>
      </c>
      <c r="G400" s="382">
        <f ca="1">IF(ROWS($1:386)&gt;COUNT(Dong5),0,IF(OFFSET(TH!O$1,SMALL(Dong5,ROWS($1:386)),)=$E$7,OFFSET(TH!M$1,SMALL(Dong5,ROWS($1:386)),),0))</f>
        <v>0</v>
      </c>
      <c r="H400" s="385">
        <f ca="1">IF(D400&lt;&gt;"",MAX(H399+F400-G400-I399,0),0)</f>
        <v>587830533</v>
      </c>
      <c r="I400" s="385">
        <f ca="1">IF(D400&lt;&gt;"",MAX(I399+G400-H399-F400,0),0)</f>
        <v>0</v>
      </c>
      <c r="J400" s="18">
        <f ca="1">MONTH(A400)</f>
        <v>5</v>
      </c>
    </row>
    <row r="401" spans="1:10" s="18" customFormat="1" ht="18" customHeight="1">
      <c r="A401" s="318">
        <f ca="1">IF(ROWS($1:387)&gt;COUNT(Dong5),"",OFFSET(TH!C$1,SMALL(Dong5,ROWS($1:387)),))</f>
        <v>42521</v>
      </c>
      <c r="B401" s="318" t="str">
        <f ca="1">IF(ROWS($1:387)&gt;COUNT(Dong5),"",OFFSET(TH!D$1,SMALL(Dong5,ROWS($1:387)),))</f>
        <v>CTGS</v>
      </c>
      <c r="C401" s="318">
        <f ca="1">IF(ROWS($1:387)&gt;COUNT(Dong5),"",OFFSET(TH!E$1,SMALL(Dong5,ROWS($1:387)),))</f>
        <v>42521</v>
      </c>
      <c r="D401" s="383" t="str">
        <f ca="1">IF(ROWS($1:387)&gt;COUNT(Dong5),"",OFFSET(TH!F$1,SMALL(Dong5,ROWS($1:387)),))</f>
        <v>Đề nghị hoàn thuế GTGT số:01/2016-AL</v>
      </c>
      <c r="E401" s="318" t="str">
        <f ca="1">IF(ROWS($1:387)&gt;COUNT(Dong5),"",IF(OFFSET(TH!N$1,SMALL(Dong5,ROWS($1:387)),)=$E$7,OFFSET(TH!O$1,SMALL(Dong5,ROWS($1:387)),),OFFSET(TH!N$1,SMALL(Dong5,ROWS($1:387)),)))</f>
        <v>1388</v>
      </c>
      <c r="F401" s="384">
        <f ca="1">IF(ROWS($1:387)&gt;COUNT(Dong5),0,IF(OFFSET(TH!N$1,SMALL(Dong5,ROWS($1:387)),)=$E$7,OFFSET(TH!M$1,SMALL(Dong5,ROWS($1:387)),),0))</f>
        <v>0</v>
      </c>
      <c r="G401" s="382">
        <f ca="1">IF(ROWS($1:387)&gt;COUNT(Dong5),0,IF(OFFSET(TH!O$1,SMALL(Dong5,ROWS($1:387)),)=$E$7,OFFSET(TH!M$1,SMALL(Dong5,ROWS($1:387)),),0))</f>
        <v>321158412</v>
      </c>
      <c r="H401" s="385">
        <f ca="1">IF(D401&lt;&gt;"",MAX(H400+F401-G401-I400,0),0)</f>
        <v>266672121</v>
      </c>
      <c r="I401" s="385">
        <f ca="1">IF(D401&lt;&gt;"",MAX(I400+G401-H400-F401,0),0)</f>
        <v>0</v>
      </c>
      <c r="J401" s="18">
        <f ca="1">MONTH(A401)</f>
        <v>5</v>
      </c>
    </row>
    <row r="402" spans="1:10" s="18" customFormat="1" ht="18" customHeight="1">
      <c r="A402" s="318">
        <f ca="1">IF(ROWS($1:388)&gt;COUNT(Dong5),"",OFFSET(TH!C$1,SMALL(Dong5,ROWS($1:388)),))</f>
        <v>42522</v>
      </c>
      <c r="B402" s="318" t="str">
        <f ca="1">IF(ROWS($1:388)&gt;COUNT(Dong5),"",OFFSET(TH!D$1,SMALL(Dong5,ROWS($1:388)),))</f>
        <v>C02</v>
      </c>
      <c r="C402" s="318">
        <f ca="1">IF(ROWS($1:388)&gt;COUNT(Dong5),"",OFFSET(TH!E$1,SMALL(Dong5,ROWS($1:388)),))</f>
        <v>42479</v>
      </c>
      <c r="D402" s="383" t="str">
        <f ca="1">IF(ROWS($1:388)&gt;COUNT(Dong5),"",OFFSET(TH!F$1,SMALL(Dong5,ROWS($1:388)),))</f>
        <v>VAT Phí phân tích chỉ tiêu</v>
      </c>
      <c r="E402" s="318" t="str">
        <f ca="1">IF(ROWS($1:388)&gt;COUNT(Dong5),"",IF(OFFSET(TH!N$1,SMALL(Dong5,ROWS($1:388)),)=$E$7,OFFSET(TH!O$1,SMALL(Dong5,ROWS($1:388)),),OFFSET(TH!N$1,SMALL(Dong5,ROWS($1:388)),)))</f>
        <v>1111</v>
      </c>
      <c r="F402" s="384">
        <f ca="1">IF(ROWS($1:388)&gt;COUNT(Dong5),0,IF(OFFSET(TH!N$1,SMALL(Dong5,ROWS($1:388)),)=$E$7,OFFSET(TH!M$1,SMALL(Dong5,ROWS($1:388)),),0))</f>
        <v>20000</v>
      </c>
      <c r="G402" s="382">
        <f ca="1">IF(ROWS($1:388)&gt;COUNT(Dong5),0,IF(OFFSET(TH!O$1,SMALL(Dong5,ROWS($1:388)),)=$E$7,OFFSET(TH!M$1,SMALL(Dong5,ROWS($1:388)),),0))</f>
        <v>0</v>
      </c>
      <c r="H402" s="385">
        <f ca="1">IF(D402&lt;&gt;"",MAX(H401+F402-G402-I401,0),0)</f>
        <v>266692121</v>
      </c>
      <c r="I402" s="385">
        <f ca="1">IF(D402&lt;&gt;"",MAX(I401+G402-H401-F402,0),0)</f>
        <v>0</v>
      </c>
      <c r="J402" s="18">
        <f ca="1">MONTH(A402)</f>
        <v>6</v>
      </c>
    </row>
    <row r="403" spans="1:10" s="18" customFormat="1" ht="18" customHeight="1">
      <c r="A403" s="318">
        <f ca="1">IF(ROWS($1:389)&gt;COUNT(Dong5),"",OFFSET(TH!C$1,SMALL(Dong5,ROWS($1:389)),))</f>
        <v>42522</v>
      </c>
      <c r="B403" s="318" t="str">
        <f ca="1">IF(ROWS($1:389)&gt;COUNT(Dong5),"",OFFSET(TH!D$1,SMALL(Dong5,ROWS($1:389)),))</f>
        <v>C03</v>
      </c>
      <c r="C403" s="318">
        <f ca="1">IF(ROWS($1:389)&gt;COUNT(Dong5),"",OFFSET(TH!E$1,SMALL(Dong5,ROWS($1:389)),))</f>
        <v>42521</v>
      </c>
      <c r="D403" s="383" t="str">
        <f ca="1">IF(ROWS($1:389)&gt;COUNT(Dong5),"",OFFSET(TH!F$1,SMALL(Dong5,ROWS($1:389)),))</f>
        <v>VAT Cước CPN T5/2016</v>
      </c>
      <c r="E403" s="318" t="str">
        <f ca="1">IF(ROWS($1:389)&gt;COUNT(Dong5),"",IF(OFFSET(TH!N$1,SMALL(Dong5,ROWS($1:389)),)=$E$7,OFFSET(TH!O$1,SMALL(Dong5,ROWS($1:389)),),OFFSET(TH!N$1,SMALL(Dong5,ROWS($1:389)),)))</f>
        <v>1111</v>
      </c>
      <c r="F403" s="384">
        <f ca="1">IF(ROWS($1:389)&gt;COUNT(Dong5),0,IF(OFFSET(TH!N$1,SMALL(Dong5,ROWS($1:389)),)=$E$7,OFFSET(TH!M$1,SMALL(Dong5,ROWS($1:389)),),0))</f>
        <v>4600</v>
      </c>
      <c r="G403" s="382">
        <f ca="1">IF(ROWS($1:389)&gt;COUNT(Dong5),0,IF(OFFSET(TH!O$1,SMALL(Dong5,ROWS($1:389)),)=$E$7,OFFSET(TH!M$1,SMALL(Dong5,ROWS($1:389)),),0))</f>
        <v>0</v>
      </c>
      <c r="H403" s="385">
        <f ca="1">IF(D403&lt;&gt;"",MAX(H402+F403-G403-I402,0),0)</f>
        <v>266696721</v>
      </c>
      <c r="I403" s="385">
        <f ca="1">IF(D403&lt;&gt;"",MAX(I402+G403-H402-F403,0),0)</f>
        <v>0</v>
      </c>
      <c r="J403" s="18">
        <f ca="1">MONTH(A403)</f>
        <v>6</v>
      </c>
    </row>
    <row r="404" spans="1:10" s="18" customFormat="1" ht="18" customHeight="1">
      <c r="A404" s="318">
        <f ca="1">IF(ROWS($1:390)&gt;COUNT(Dong5),"",OFFSET(TH!C$1,SMALL(Dong5,ROWS($1:390)),))</f>
        <v>42523</v>
      </c>
      <c r="B404" s="318" t="str">
        <f ca="1">IF(ROWS($1:390)&gt;COUNT(Dong5),"",OFFSET(TH!D$1,SMALL(Dong5,ROWS($1:390)),))</f>
        <v>GBN</v>
      </c>
      <c r="C404" s="318">
        <f ca="1">IF(ROWS($1:390)&gt;COUNT(Dong5),"",OFFSET(TH!E$1,SMALL(Dong5,ROWS($1:390)),))</f>
        <v>42523</v>
      </c>
      <c r="D404" s="383" t="str">
        <f ca="1">IF(ROWS($1:390)&gt;COUNT(Dong5),"",OFFSET(TH!F$1,SMALL(Dong5,ROWS($1:390)),))</f>
        <v>VAT Phí dịch vụ</v>
      </c>
      <c r="E404" s="318" t="str">
        <f ca="1">IF(ROWS($1:390)&gt;COUNT(Dong5),"",IF(OFFSET(TH!N$1,SMALL(Dong5,ROWS($1:390)),)=$E$7,OFFSET(TH!O$1,SMALL(Dong5,ROWS($1:390)),),OFFSET(TH!N$1,SMALL(Dong5,ROWS($1:390)),)))</f>
        <v>1121</v>
      </c>
      <c r="F404" s="384">
        <f ca="1">IF(ROWS($1:390)&gt;COUNT(Dong5),0,IF(OFFSET(TH!N$1,SMALL(Dong5,ROWS($1:390)),)=$E$7,OFFSET(TH!M$1,SMALL(Dong5,ROWS($1:390)),),0))</f>
        <v>4500</v>
      </c>
      <c r="G404" s="382">
        <f ca="1">IF(ROWS($1:390)&gt;COUNT(Dong5),0,IF(OFFSET(TH!O$1,SMALL(Dong5,ROWS($1:390)),)=$E$7,OFFSET(TH!M$1,SMALL(Dong5,ROWS($1:390)),),0))</f>
        <v>0</v>
      </c>
      <c r="H404" s="385">
        <f ca="1">IF(D404&lt;&gt;"",MAX(H403+F404-G404-I403,0),0)</f>
        <v>266701221</v>
      </c>
      <c r="I404" s="385">
        <f ca="1">IF(D404&lt;&gt;"",MAX(I403+G404-H403-F404,0),0)</f>
        <v>0</v>
      </c>
      <c r="J404" s="18">
        <f ca="1">MONTH(A404)</f>
        <v>6</v>
      </c>
    </row>
    <row r="405" spans="1:10" s="18" customFormat="1" ht="18" customHeight="1">
      <c r="A405" s="318">
        <f ca="1">IF(ROWS($1:391)&gt;COUNT(Dong5),"",OFFSET(TH!C$1,SMALL(Dong5,ROWS($1:391)),))</f>
        <v>42523</v>
      </c>
      <c r="B405" s="318" t="str">
        <f ca="1">IF(ROWS($1:391)&gt;COUNT(Dong5),"",OFFSET(TH!D$1,SMALL(Dong5,ROWS($1:391)),))</f>
        <v>GBN</v>
      </c>
      <c r="C405" s="318">
        <f ca="1">IF(ROWS($1:391)&gt;COUNT(Dong5),"",OFFSET(TH!E$1,SMALL(Dong5,ROWS($1:391)),))</f>
        <v>42523</v>
      </c>
      <c r="D405" s="383" t="str">
        <f ca="1">IF(ROWS($1:391)&gt;COUNT(Dong5),"",OFFSET(TH!F$1,SMALL(Dong5,ROWS($1:391)),))</f>
        <v>VAT Phí thông báo bộ chứng từ nhờ thu</v>
      </c>
      <c r="E405" s="318" t="str">
        <f ca="1">IF(ROWS($1:391)&gt;COUNT(Dong5),"",IF(OFFSET(TH!N$1,SMALL(Dong5,ROWS($1:391)),)=$E$7,OFFSET(TH!O$1,SMALL(Dong5,ROWS($1:391)),),OFFSET(TH!N$1,SMALL(Dong5,ROWS($1:391)),)))</f>
        <v>1121</v>
      </c>
      <c r="F405" s="384">
        <f ca="1">IF(ROWS($1:391)&gt;COUNT(Dong5),0,IF(OFFSET(TH!N$1,SMALL(Dong5,ROWS($1:391)),)=$E$7,OFFSET(TH!M$1,SMALL(Dong5,ROWS($1:391)),),0))</f>
        <v>11245</v>
      </c>
      <c r="G405" s="382">
        <f ca="1">IF(ROWS($1:391)&gt;COUNT(Dong5),0,IF(OFFSET(TH!O$1,SMALL(Dong5,ROWS($1:391)),)=$E$7,OFFSET(TH!M$1,SMALL(Dong5,ROWS($1:391)),),0))</f>
        <v>0</v>
      </c>
      <c r="H405" s="385">
        <f ca="1">IF(D405&lt;&gt;"",MAX(H404+F405-G405-I404,0),0)</f>
        <v>266712466</v>
      </c>
      <c r="I405" s="385">
        <f ca="1">IF(D405&lt;&gt;"",MAX(I404+G405-H404-F405,0),0)</f>
        <v>0</v>
      </c>
      <c r="J405" s="18">
        <f ca="1">MONTH(A405)</f>
        <v>6</v>
      </c>
    </row>
    <row r="406" spans="1:10" s="18" customFormat="1" ht="18" customHeight="1">
      <c r="A406" s="318">
        <f ca="1">IF(ROWS($1:392)&gt;COUNT(Dong5),"",OFFSET(TH!C$1,SMALL(Dong5,ROWS($1:392)),))</f>
        <v>42524</v>
      </c>
      <c r="B406" s="318" t="str">
        <f ca="1">IF(ROWS($1:392)&gt;COUNT(Dong5),"",OFFSET(TH!D$1,SMALL(Dong5,ROWS($1:392)),))</f>
        <v>C05</v>
      </c>
      <c r="C406" s="318">
        <f ca="1">IF(ROWS($1:392)&gt;COUNT(Dong5),"",OFFSET(TH!E$1,SMALL(Dong5,ROWS($1:392)),))</f>
        <v>42524</v>
      </c>
      <c r="D406" s="383" t="str">
        <f ca="1">IF(ROWS($1:392)&gt;COUNT(Dong5),"",OFFSET(TH!F$1,SMALL(Dong5,ROWS($1:392)),))</f>
        <v>VAT Xăng 95</v>
      </c>
      <c r="E406" s="318" t="str">
        <f ca="1">IF(ROWS($1:392)&gt;COUNT(Dong5),"",IF(OFFSET(TH!N$1,SMALL(Dong5,ROWS($1:392)),)=$E$7,OFFSET(TH!O$1,SMALL(Dong5,ROWS($1:392)),),OFFSET(TH!N$1,SMALL(Dong5,ROWS($1:392)),)))</f>
        <v>1111</v>
      </c>
      <c r="F406" s="384">
        <f ca="1">IF(ROWS($1:392)&gt;COUNT(Dong5),0,IF(OFFSET(TH!N$1,SMALL(Dong5,ROWS($1:392)),)=$E$7,OFFSET(TH!M$1,SMALL(Dong5,ROWS($1:392)),),0))</f>
        <v>67582</v>
      </c>
      <c r="G406" s="382">
        <f ca="1">IF(ROWS($1:392)&gt;COUNT(Dong5),0,IF(OFFSET(TH!O$1,SMALL(Dong5,ROWS($1:392)),)=$E$7,OFFSET(TH!M$1,SMALL(Dong5,ROWS($1:392)),),0))</f>
        <v>0</v>
      </c>
      <c r="H406" s="385">
        <f ca="1">IF(D406&lt;&gt;"",MAX(H405+F406-G406-I405,0),0)</f>
        <v>266780048</v>
      </c>
      <c r="I406" s="385">
        <f ca="1">IF(D406&lt;&gt;"",MAX(I405+G406-H405-F406,0),0)</f>
        <v>0</v>
      </c>
      <c r="J406" s="18">
        <f ca="1">MONTH(A406)</f>
        <v>6</v>
      </c>
    </row>
    <row r="407" spans="1:10" s="18" customFormat="1" ht="18" customHeight="1">
      <c r="A407" s="318">
        <f ca="1">IF(ROWS($1:393)&gt;COUNT(Dong5),"",OFFSET(TH!C$1,SMALL(Dong5,ROWS($1:393)),))</f>
        <v>42525</v>
      </c>
      <c r="B407" s="318" t="str">
        <f ca="1">IF(ROWS($1:393)&gt;COUNT(Dong5),"",OFFSET(TH!D$1,SMALL(Dong5,ROWS($1:393)),))</f>
        <v>C07</v>
      </c>
      <c r="C407" s="318">
        <f ca="1">IF(ROWS($1:393)&gt;COUNT(Dong5),"",OFFSET(TH!E$1,SMALL(Dong5,ROWS($1:393)),))</f>
        <v>42525</v>
      </c>
      <c r="D407" s="383" t="str">
        <f ca="1">IF(ROWS($1:393)&gt;COUNT(Dong5),"",OFFSET(TH!F$1,SMALL(Dong5,ROWS($1:393)),))</f>
        <v>VAT Dầu DO</v>
      </c>
      <c r="E407" s="318" t="str">
        <f ca="1">IF(ROWS($1:393)&gt;COUNT(Dong5),"",IF(OFFSET(TH!N$1,SMALL(Dong5,ROWS($1:393)),)=$E$7,OFFSET(TH!O$1,SMALL(Dong5,ROWS($1:393)),),OFFSET(TH!N$1,SMALL(Dong5,ROWS($1:393)),)))</f>
        <v>1111</v>
      </c>
      <c r="F407" s="384">
        <f ca="1">IF(ROWS($1:393)&gt;COUNT(Dong5),0,IF(OFFSET(TH!N$1,SMALL(Dong5,ROWS($1:393)),)=$E$7,OFFSET(TH!M$1,SMALL(Dong5,ROWS($1:393)),),0))</f>
        <v>56500</v>
      </c>
      <c r="G407" s="382">
        <f ca="1">IF(ROWS($1:393)&gt;COUNT(Dong5),0,IF(OFFSET(TH!O$1,SMALL(Dong5,ROWS($1:393)),)=$E$7,OFFSET(TH!M$1,SMALL(Dong5,ROWS($1:393)),),0))</f>
        <v>0</v>
      </c>
      <c r="H407" s="385">
        <f ca="1">IF(D407&lt;&gt;"",MAX(H406+F407-G407-I406,0),0)</f>
        <v>266836548</v>
      </c>
      <c r="I407" s="385">
        <f ca="1">IF(D407&lt;&gt;"",MAX(I406+G407-H406-F407,0),0)</f>
        <v>0</v>
      </c>
      <c r="J407" s="18">
        <f ca="1">MONTH(A407)</f>
        <v>6</v>
      </c>
    </row>
    <row r="408" spans="1:10" s="18" customFormat="1" ht="18" customHeight="1">
      <c r="A408" s="318">
        <f ca="1">IF(ROWS($1:394)&gt;COUNT(Dong5),"",OFFSET(TH!C$1,SMALL(Dong5,ROWS($1:394)),))</f>
        <v>42527</v>
      </c>
      <c r="B408" s="318" t="str">
        <f ca="1">IF(ROWS($1:394)&gt;COUNT(Dong5),"",OFFSET(TH!D$1,SMALL(Dong5,ROWS($1:394)),))</f>
        <v>C10</v>
      </c>
      <c r="C408" s="318">
        <f ca="1">IF(ROWS($1:394)&gt;COUNT(Dong5),"",OFFSET(TH!E$1,SMALL(Dong5,ROWS($1:394)),))</f>
        <v>42527</v>
      </c>
      <c r="D408" s="383" t="str">
        <f ca="1">IF(ROWS($1:394)&gt;COUNT(Dong5),"",OFFSET(TH!F$1,SMALL(Dong5,ROWS($1:394)),))</f>
        <v>VAT Cước VT - CNTT T5/2016</v>
      </c>
      <c r="E408" s="318" t="str">
        <f ca="1">IF(ROWS($1:394)&gt;COUNT(Dong5),"",IF(OFFSET(TH!N$1,SMALL(Dong5,ROWS($1:394)),)=$E$7,OFFSET(TH!O$1,SMALL(Dong5,ROWS($1:394)),),OFFSET(TH!N$1,SMALL(Dong5,ROWS($1:394)),)))</f>
        <v>1111</v>
      </c>
      <c r="F408" s="384">
        <f ca="1">IF(ROWS($1:394)&gt;COUNT(Dong5),0,IF(OFFSET(TH!N$1,SMALL(Dong5,ROWS($1:394)),)=$E$7,OFFSET(TH!M$1,SMALL(Dong5,ROWS($1:394)),),0))</f>
        <v>196501</v>
      </c>
      <c r="G408" s="382">
        <f ca="1">IF(ROWS($1:394)&gt;COUNT(Dong5),0,IF(OFFSET(TH!O$1,SMALL(Dong5,ROWS($1:394)),)=$E$7,OFFSET(TH!M$1,SMALL(Dong5,ROWS($1:394)),),0))</f>
        <v>0</v>
      </c>
      <c r="H408" s="385">
        <f ca="1">IF(D408&lt;&gt;"",MAX(H407+F408-G408-I407,0),0)</f>
        <v>267033049</v>
      </c>
      <c r="I408" s="385">
        <f ca="1">IF(D408&lt;&gt;"",MAX(I407+G408-H407-F408,0),0)</f>
        <v>0</v>
      </c>
      <c r="J408" s="18">
        <f ca="1">MONTH(A408)</f>
        <v>6</v>
      </c>
    </row>
    <row r="409" spans="1:10" s="18" customFormat="1" ht="18" customHeight="1">
      <c r="A409" s="318">
        <f ca="1">IF(ROWS($1:395)&gt;COUNT(Dong5),"",OFFSET(TH!C$1,SMALL(Dong5,ROWS($1:395)),))</f>
        <v>42527</v>
      </c>
      <c r="B409" s="318" t="str">
        <f ca="1">IF(ROWS($1:395)&gt;COUNT(Dong5),"",OFFSET(TH!D$1,SMALL(Dong5,ROWS($1:395)),))</f>
        <v>C11</v>
      </c>
      <c r="C409" s="318">
        <f ca="1">IF(ROWS($1:395)&gt;COUNT(Dong5),"",OFFSET(TH!E$1,SMALL(Dong5,ROWS($1:395)),))</f>
        <v>42527</v>
      </c>
      <c r="D409" s="383" t="str">
        <f ca="1">IF(ROWS($1:395)&gt;COUNT(Dong5),"",OFFSET(TH!F$1,SMALL(Dong5,ROWS($1:395)),))</f>
        <v>VAT Phí phân tích chỉ tiêu</v>
      </c>
      <c r="E409" s="318" t="str">
        <f ca="1">IF(ROWS($1:395)&gt;COUNT(Dong5),"",IF(OFFSET(TH!N$1,SMALL(Dong5,ROWS($1:395)),)=$E$7,OFFSET(TH!O$1,SMALL(Dong5,ROWS($1:395)),),OFFSET(TH!N$1,SMALL(Dong5,ROWS($1:395)),)))</f>
        <v>1111</v>
      </c>
      <c r="F409" s="384">
        <f ca="1">IF(ROWS($1:395)&gt;COUNT(Dong5),0,IF(OFFSET(TH!N$1,SMALL(Dong5,ROWS($1:395)),)=$E$7,OFFSET(TH!M$1,SMALL(Dong5,ROWS($1:395)),),0))</f>
        <v>72000</v>
      </c>
      <c r="G409" s="382">
        <f ca="1">IF(ROWS($1:395)&gt;COUNT(Dong5),0,IF(OFFSET(TH!O$1,SMALL(Dong5,ROWS($1:395)),)=$E$7,OFFSET(TH!M$1,SMALL(Dong5,ROWS($1:395)),),0))</f>
        <v>0</v>
      </c>
      <c r="H409" s="385">
        <f ca="1">IF(D409&lt;&gt;"",MAX(H408+F409-G409-I408,0),0)</f>
        <v>267105049</v>
      </c>
      <c r="I409" s="385">
        <f ca="1">IF(D409&lt;&gt;"",MAX(I408+G409-H408-F409,0),0)</f>
        <v>0</v>
      </c>
      <c r="J409" s="18">
        <f ca="1">MONTH(A409)</f>
        <v>6</v>
      </c>
    </row>
    <row r="410" spans="1:10" s="18" customFormat="1" ht="18" customHeight="1">
      <c r="A410" s="318">
        <f ca="1">IF(ROWS($1:396)&gt;COUNT(Dong5),"",OFFSET(TH!C$1,SMALL(Dong5,ROWS($1:396)),))</f>
        <v>42527</v>
      </c>
      <c r="B410" s="318" t="str">
        <f ca="1">IF(ROWS($1:396)&gt;COUNT(Dong5),"",OFFSET(TH!D$1,SMALL(Dong5,ROWS($1:396)),))</f>
        <v>GBN</v>
      </c>
      <c r="C410" s="318">
        <f ca="1">IF(ROWS($1:396)&gt;COUNT(Dong5),"",OFFSET(TH!E$1,SMALL(Dong5,ROWS($1:396)),))</f>
        <v>42527</v>
      </c>
      <c r="D410" s="383" t="str">
        <f ca="1">IF(ROWS($1:396)&gt;COUNT(Dong5),"",OFFSET(TH!F$1,SMALL(Dong5,ROWS($1:396)),))</f>
        <v>VAT Phí dịch vụ</v>
      </c>
      <c r="E410" s="318" t="str">
        <f ca="1">IF(ROWS($1:396)&gt;COUNT(Dong5),"",IF(OFFSET(TH!N$1,SMALL(Dong5,ROWS($1:396)),)=$E$7,OFFSET(TH!O$1,SMALL(Dong5,ROWS($1:396)),),OFFSET(TH!N$1,SMALL(Dong5,ROWS($1:396)),)))</f>
        <v>1121</v>
      </c>
      <c r="F410" s="384">
        <f ca="1">IF(ROWS($1:396)&gt;COUNT(Dong5),0,IF(OFFSET(TH!N$1,SMALL(Dong5,ROWS($1:396)),)=$E$7,OFFSET(TH!M$1,SMALL(Dong5,ROWS($1:396)),),0))</f>
        <v>2000</v>
      </c>
      <c r="G410" s="382">
        <f ca="1">IF(ROWS($1:396)&gt;COUNT(Dong5),0,IF(OFFSET(TH!O$1,SMALL(Dong5,ROWS($1:396)),)=$E$7,OFFSET(TH!M$1,SMALL(Dong5,ROWS($1:396)),),0))</f>
        <v>0</v>
      </c>
      <c r="H410" s="385">
        <f ca="1">IF(D410&lt;&gt;"",MAX(H409+F410-G410-I409,0),0)</f>
        <v>267107049</v>
      </c>
      <c r="I410" s="385">
        <f ca="1">IF(D410&lt;&gt;"",MAX(I409+G410-H409-F410,0),0)</f>
        <v>0</v>
      </c>
      <c r="J410" s="18">
        <f ca="1">MONTH(A410)</f>
        <v>6</v>
      </c>
    </row>
    <row r="411" spans="1:10" s="18" customFormat="1" ht="18" customHeight="1">
      <c r="A411" s="318">
        <f ca="1">IF(ROWS($1:397)&gt;COUNT(Dong5),"",OFFSET(TH!C$1,SMALL(Dong5,ROWS($1:397)),))</f>
        <v>42527</v>
      </c>
      <c r="B411" s="318" t="str">
        <f ca="1">IF(ROWS($1:397)&gt;COUNT(Dong5),"",OFFSET(TH!D$1,SMALL(Dong5,ROWS($1:397)),))</f>
        <v>GBN</v>
      </c>
      <c r="C411" s="318">
        <f ca="1">IF(ROWS($1:397)&gt;COUNT(Dong5),"",OFFSET(TH!E$1,SMALL(Dong5,ROWS($1:397)),))</f>
        <v>42527</v>
      </c>
      <c r="D411" s="383" t="str">
        <f ca="1">IF(ROWS($1:397)&gt;COUNT(Dong5),"",OFFSET(TH!F$1,SMALL(Dong5,ROWS($1:397)),))</f>
        <v>VAT Phí dịch vụ</v>
      </c>
      <c r="E411" s="318" t="str">
        <f ca="1">IF(ROWS($1:397)&gt;COUNT(Dong5),"",IF(OFFSET(TH!N$1,SMALL(Dong5,ROWS($1:397)),)=$E$7,OFFSET(TH!O$1,SMALL(Dong5,ROWS($1:397)),),OFFSET(TH!N$1,SMALL(Dong5,ROWS($1:397)),)))</f>
        <v>1121</v>
      </c>
      <c r="F411" s="384">
        <f ca="1">IF(ROWS($1:397)&gt;COUNT(Dong5),0,IF(OFFSET(TH!N$1,SMALL(Dong5,ROWS($1:397)),)=$E$7,OFFSET(TH!M$1,SMALL(Dong5,ROWS($1:397)),),0))</f>
        <v>2000</v>
      </c>
      <c r="G411" s="382">
        <f ca="1">IF(ROWS($1:397)&gt;COUNT(Dong5),0,IF(OFFSET(TH!O$1,SMALL(Dong5,ROWS($1:397)),)=$E$7,OFFSET(TH!M$1,SMALL(Dong5,ROWS($1:397)),),0))</f>
        <v>0</v>
      </c>
      <c r="H411" s="385">
        <f ca="1">IF(D411&lt;&gt;"",MAX(H410+F411-G411-I410,0),0)</f>
        <v>267109049</v>
      </c>
      <c r="I411" s="385">
        <f ca="1">IF(D411&lt;&gt;"",MAX(I410+G411-H410-F411,0),0)</f>
        <v>0</v>
      </c>
      <c r="J411" s="18">
        <f ca="1">MONTH(A411)</f>
        <v>6</v>
      </c>
    </row>
    <row r="412" spans="1:10" s="18" customFormat="1" ht="18" customHeight="1">
      <c r="A412" s="318">
        <f ca="1">IF(ROWS($1:398)&gt;COUNT(Dong5),"",OFFSET(TH!C$1,SMALL(Dong5,ROWS($1:398)),))</f>
        <v>42527</v>
      </c>
      <c r="B412" s="318" t="str">
        <f ca="1">IF(ROWS($1:398)&gt;COUNT(Dong5),"",OFFSET(TH!D$1,SMALL(Dong5,ROWS($1:398)),))</f>
        <v>GBN</v>
      </c>
      <c r="C412" s="318">
        <f ca="1">IF(ROWS($1:398)&gt;COUNT(Dong5),"",OFFSET(TH!E$1,SMALL(Dong5,ROWS($1:398)),))</f>
        <v>42527</v>
      </c>
      <c r="D412" s="383" t="str">
        <f ca="1">IF(ROWS($1:398)&gt;COUNT(Dong5),"",OFFSET(TH!F$1,SMALL(Dong5,ROWS($1:398)),))</f>
        <v>VAT Phí dịch vụ</v>
      </c>
      <c r="E412" s="318" t="str">
        <f ca="1">IF(ROWS($1:398)&gt;COUNT(Dong5),"",IF(OFFSET(TH!N$1,SMALL(Dong5,ROWS($1:398)),)=$E$7,OFFSET(TH!O$1,SMALL(Dong5,ROWS($1:398)),),OFFSET(TH!N$1,SMALL(Dong5,ROWS($1:398)),)))</f>
        <v>1121</v>
      </c>
      <c r="F412" s="384">
        <f ca="1">IF(ROWS($1:398)&gt;COUNT(Dong5),0,IF(OFFSET(TH!N$1,SMALL(Dong5,ROWS($1:398)),)=$E$7,OFFSET(TH!M$1,SMALL(Dong5,ROWS($1:398)),),0))</f>
        <v>2000</v>
      </c>
      <c r="G412" s="382">
        <f ca="1">IF(ROWS($1:398)&gt;COUNT(Dong5),0,IF(OFFSET(TH!O$1,SMALL(Dong5,ROWS($1:398)),)=$E$7,OFFSET(TH!M$1,SMALL(Dong5,ROWS($1:398)),),0))</f>
        <v>0</v>
      </c>
      <c r="H412" s="385">
        <f ca="1">IF(D412&lt;&gt;"",MAX(H411+F412-G412-I411,0),0)</f>
        <v>267111049</v>
      </c>
      <c r="I412" s="385">
        <f ca="1">IF(D412&lt;&gt;"",MAX(I411+G412-H411-F412,0),0)</f>
        <v>0</v>
      </c>
      <c r="J412" s="18">
        <f ca="1">MONTH(A412)</f>
        <v>6</v>
      </c>
    </row>
    <row r="413" spans="1:10" s="18" customFormat="1" ht="18" customHeight="1">
      <c r="A413" s="318">
        <f ca="1">IF(ROWS($1:399)&gt;COUNT(Dong5),"",OFFSET(TH!C$1,SMALL(Dong5,ROWS($1:399)),))</f>
        <v>42528</v>
      </c>
      <c r="B413" s="318" t="str">
        <f ca="1">IF(ROWS($1:399)&gt;COUNT(Dong5),"",OFFSET(TH!D$1,SMALL(Dong5,ROWS($1:399)),))</f>
        <v>GBN</v>
      </c>
      <c r="C413" s="318">
        <f ca="1">IF(ROWS($1:399)&gt;COUNT(Dong5),"",OFFSET(TH!E$1,SMALL(Dong5,ROWS($1:399)),))</f>
        <v>42528</v>
      </c>
      <c r="D413" s="383" t="str">
        <f ca="1">IF(ROWS($1:399)&gt;COUNT(Dong5),"",OFFSET(TH!F$1,SMALL(Dong5,ROWS($1:399)),))</f>
        <v>VAT Phí xử lý bộ chứng từ</v>
      </c>
      <c r="E413" s="318" t="str">
        <f ca="1">IF(ROWS($1:399)&gt;COUNT(Dong5),"",IF(OFFSET(TH!N$1,SMALL(Dong5,ROWS($1:399)),)=$E$7,OFFSET(TH!O$1,SMALL(Dong5,ROWS($1:399)),),OFFSET(TH!N$1,SMALL(Dong5,ROWS($1:399)),)))</f>
        <v>1122</v>
      </c>
      <c r="F413" s="384">
        <f ca="1">IF(ROWS($1:399)&gt;COUNT(Dong5),0,IF(OFFSET(TH!N$1,SMALL(Dong5,ROWS($1:399)),)=$E$7,OFFSET(TH!M$1,SMALL(Dong5,ROWS($1:399)),),0))</f>
        <v>22380</v>
      </c>
      <c r="G413" s="382">
        <f ca="1">IF(ROWS($1:399)&gt;COUNT(Dong5),0,IF(OFFSET(TH!O$1,SMALL(Dong5,ROWS($1:399)),)=$E$7,OFFSET(TH!M$1,SMALL(Dong5,ROWS($1:399)),),0))</f>
        <v>0</v>
      </c>
      <c r="H413" s="385">
        <f ca="1">IF(D413&lt;&gt;"",MAX(H412+F413-G413-I412,0),0)</f>
        <v>267133429</v>
      </c>
      <c r="I413" s="385">
        <f ca="1">IF(D413&lt;&gt;"",MAX(I412+G413-H412-F413,0),0)</f>
        <v>0</v>
      </c>
      <c r="J413" s="18">
        <f ca="1">MONTH(A413)</f>
        <v>6</v>
      </c>
    </row>
    <row r="414" spans="1:10" s="18" customFormat="1" ht="18" customHeight="1">
      <c r="A414" s="318">
        <f ca="1">IF(ROWS($1:400)&gt;COUNT(Dong5),"",OFFSET(TH!C$1,SMALL(Dong5,ROWS($1:400)),))</f>
        <v>42528</v>
      </c>
      <c r="B414" s="318" t="str">
        <f ca="1">IF(ROWS($1:400)&gt;COUNT(Dong5),"",OFFSET(TH!D$1,SMALL(Dong5,ROWS($1:400)),))</f>
        <v>GBN</v>
      </c>
      <c r="C414" s="318">
        <f ca="1">IF(ROWS($1:400)&gt;COUNT(Dong5),"",OFFSET(TH!E$1,SMALL(Dong5,ROWS($1:400)),))</f>
        <v>42528</v>
      </c>
      <c r="D414" s="383" t="str">
        <f ca="1">IF(ROWS($1:400)&gt;COUNT(Dong5),"",OFFSET(TH!F$1,SMALL(Dong5,ROWS($1:400)),))</f>
        <v>VAT Phí DHL</v>
      </c>
      <c r="E414" s="318" t="str">
        <f ca="1">IF(ROWS($1:400)&gt;COUNT(Dong5),"",IF(OFFSET(TH!N$1,SMALL(Dong5,ROWS($1:400)),)=$E$7,OFFSET(TH!O$1,SMALL(Dong5,ROWS($1:400)),),OFFSET(TH!N$1,SMALL(Dong5,ROWS($1:400)),)))</f>
        <v>1122</v>
      </c>
      <c r="F414" s="384">
        <f ca="1">IF(ROWS($1:400)&gt;COUNT(Dong5),0,IF(OFFSET(TH!N$1,SMALL(Dong5,ROWS($1:400)),)=$E$7,OFFSET(TH!M$1,SMALL(Dong5,ROWS($1:400)),),0))</f>
        <v>61769</v>
      </c>
      <c r="G414" s="382">
        <f ca="1">IF(ROWS($1:400)&gt;COUNT(Dong5),0,IF(OFFSET(TH!O$1,SMALL(Dong5,ROWS($1:400)),)=$E$7,OFFSET(TH!M$1,SMALL(Dong5,ROWS($1:400)),),0))</f>
        <v>0</v>
      </c>
      <c r="H414" s="385">
        <f ca="1">IF(D414&lt;&gt;"",MAX(H413+F414-G414-I413,0),0)</f>
        <v>267195198</v>
      </c>
      <c r="I414" s="385">
        <f ca="1">IF(D414&lt;&gt;"",MAX(I413+G414-H413-F414,0),0)</f>
        <v>0</v>
      </c>
      <c r="J414" s="18">
        <f ca="1">MONTH(A414)</f>
        <v>6</v>
      </c>
    </row>
    <row r="415" spans="1:10" s="18" customFormat="1" ht="18" customHeight="1">
      <c r="A415" s="318">
        <f ca="1">IF(ROWS($1:401)&gt;COUNT(Dong5),"",OFFSET(TH!C$1,SMALL(Dong5,ROWS($1:401)),))</f>
        <v>42529</v>
      </c>
      <c r="B415" s="318" t="str">
        <f ca="1">IF(ROWS($1:401)&gt;COUNT(Dong5),"",OFFSET(TH!D$1,SMALL(Dong5,ROWS($1:401)),))</f>
        <v>GBN</v>
      </c>
      <c r="C415" s="318">
        <f ca="1">IF(ROWS($1:401)&gt;COUNT(Dong5),"",OFFSET(TH!E$1,SMALL(Dong5,ROWS($1:401)),))</f>
        <v>42529</v>
      </c>
      <c r="D415" s="383" t="str">
        <f ca="1">IF(ROWS($1:401)&gt;COUNT(Dong5),"",OFFSET(TH!F$1,SMALL(Dong5,ROWS($1:401)),))</f>
        <v>VAT Phí kiểm đếm</v>
      </c>
      <c r="E415" s="318" t="str">
        <f ca="1">IF(ROWS($1:401)&gt;COUNT(Dong5),"",IF(OFFSET(TH!N$1,SMALL(Dong5,ROWS($1:401)),)=$E$7,OFFSET(TH!O$1,SMALL(Dong5,ROWS($1:401)),),OFFSET(TH!N$1,SMALL(Dong5,ROWS($1:401)),)))</f>
        <v>1121</v>
      </c>
      <c r="F415" s="384">
        <f ca="1">IF(ROWS($1:401)&gt;COUNT(Dong5),0,IF(OFFSET(TH!N$1,SMALL(Dong5,ROWS($1:401)),)=$E$7,OFFSET(TH!M$1,SMALL(Dong5,ROWS($1:401)),),0))</f>
        <v>46670</v>
      </c>
      <c r="G415" s="382">
        <f ca="1">IF(ROWS($1:401)&gt;COUNT(Dong5),0,IF(OFFSET(TH!O$1,SMALL(Dong5,ROWS($1:401)),)=$E$7,OFFSET(TH!M$1,SMALL(Dong5,ROWS($1:401)),),0))</f>
        <v>0</v>
      </c>
      <c r="H415" s="385">
        <f ca="1">IF(D415&lt;&gt;"",MAX(H414+F415-G415-I414,0),0)</f>
        <v>267241868</v>
      </c>
      <c r="I415" s="385">
        <f ca="1">IF(D415&lt;&gt;"",MAX(I414+G415-H414-F415,0),0)</f>
        <v>0</v>
      </c>
      <c r="J415" s="18">
        <f ca="1">MONTH(A415)</f>
        <v>6</v>
      </c>
    </row>
    <row r="416" spans="1:10" s="18" customFormat="1" ht="18" customHeight="1">
      <c r="A416" s="318">
        <f ca="1">IF(ROWS($1:402)&gt;COUNT(Dong5),"",OFFSET(TH!C$1,SMALL(Dong5,ROWS($1:402)),))</f>
        <v>42529</v>
      </c>
      <c r="B416" s="318" t="str">
        <f ca="1">IF(ROWS($1:402)&gt;COUNT(Dong5),"",OFFSET(TH!D$1,SMALL(Dong5,ROWS($1:402)),))</f>
        <v>GBN</v>
      </c>
      <c r="C416" s="318">
        <f ca="1">IF(ROWS($1:402)&gt;COUNT(Dong5),"",OFFSET(TH!E$1,SMALL(Dong5,ROWS($1:402)),))</f>
        <v>42529</v>
      </c>
      <c r="D416" s="383" t="str">
        <f ca="1">IF(ROWS($1:402)&gt;COUNT(Dong5),"",OFFSET(TH!F$1,SMALL(Dong5,ROWS($1:402)),))</f>
        <v>VAT Phí thông báo LC</v>
      </c>
      <c r="E416" s="318" t="str">
        <f ca="1">IF(ROWS($1:402)&gt;COUNT(Dong5),"",IF(OFFSET(TH!N$1,SMALL(Dong5,ROWS($1:402)),)=$E$7,OFFSET(TH!O$1,SMALL(Dong5,ROWS($1:402)),),OFFSET(TH!N$1,SMALL(Dong5,ROWS($1:402)),)))</f>
        <v>1122</v>
      </c>
      <c r="F416" s="384">
        <f ca="1">IF(ROWS($1:402)&gt;COUNT(Dong5),0,IF(OFFSET(TH!N$1,SMALL(Dong5,ROWS($1:402)),)=$E$7,OFFSET(TH!M$1,SMALL(Dong5,ROWS($1:402)),),0))</f>
        <v>33450</v>
      </c>
      <c r="G416" s="382">
        <f ca="1">IF(ROWS($1:402)&gt;COUNT(Dong5),0,IF(OFFSET(TH!O$1,SMALL(Dong5,ROWS($1:402)),)=$E$7,OFFSET(TH!M$1,SMALL(Dong5,ROWS($1:402)),),0))</f>
        <v>0</v>
      </c>
      <c r="H416" s="385">
        <f ca="1">IF(D416&lt;&gt;"",MAX(H415+F416-G416-I415,0),0)</f>
        <v>267275318</v>
      </c>
      <c r="I416" s="385">
        <f ca="1">IF(D416&lt;&gt;"",MAX(I415+G416-H415-F416,0),0)</f>
        <v>0</v>
      </c>
      <c r="J416" s="18">
        <f ca="1">MONTH(A416)</f>
        <v>6</v>
      </c>
    </row>
    <row r="417" spans="1:10" s="18" customFormat="1" ht="18" customHeight="1">
      <c r="A417" s="318">
        <f ca="1">IF(ROWS($1:403)&gt;COUNT(Dong5),"",OFFSET(TH!C$1,SMALL(Dong5,ROWS($1:403)),))</f>
        <v>42529</v>
      </c>
      <c r="B417" s="318" t="str">
        <f ca="1">IF(ROWS($1:403)&gt;COUNT(Dong5),"",OFFSET(TH!D$1,SMALL(Dong5,ROWS($1:403)),))</f>
        <v>GBN</v>
      </c>
      <c r="C417" s="318">
        <f ca="1">IF(ROWS($1:403)&gt;COUNT(Dong5),"",OFFSET(TH!E$1,SMALL(Dong5,ROWS($1:403)),))</f>
        <v>42529</v>
      </c>
      <c r="D417" s="383" t="str">
        <f ca="1">IF(ROWS($1:403)&gt;COUNT(Dong5),"",OFFSET(TH!F$1,SMALL(Dong5,ROWS($1:403)),))</f>
        <v>VAT Phí thông báo LC</v>
      </c>
      <c r="E417" s="318" t="str">
        <f ca="1">IF(ROWS($1:403)&gt;COUNT(Dong5),"",IF(OFFSET(TH!N$1,SMALL(Dong5,ROWS($1:403)),)=$E$7,OFFSET(TH!O$1,SMALL(Dong5,ROWS($1:403)),),OFFSET(TH!N$1,SMALL(Dong5,ROWS($1:403)),)))</f>
        <v>1122</v>
      </c>
      <c r="F417" s="384">
        <f ca="1">IF(ROWS($1:403)&gt;COUNT(Dong5),0,IF(OFFSET(TH!N$1,SMALL(Dong5,ROWS($1:403)),)=$E$7,OFFSET(TH!M$1,SMALL(Dong5,ROWS($1:403)),),0))</f>
        <v>33450</v>
      </c>
      <c r="G417" s="382">
        <f ca="1">IF(ROWS($1:403)&gt;COUNT(Dong5),0,IF(OFFSET(TH!O$1,SMALL(Dong5,ROWS($1:403)),)=$E$7,OFFSET(TH!M$1,SMALL(Dong5,ROWS($1:403)),),0))</f>
        <v>0</v>
      </c>
      <c r="H417" s="385">
        <f ca="1">IF(D417&lt;&gt;"",MAX(H416+F417-G417-I416,0),0)</f>
        <v>267308768</v>
      </c>
      <c r="I417" s="385">
        <f ca="1">IF(D417&lt;&gt;"",MAX(I416+G417-H416-F417,0),0)</f>
        <v>0</v>
      </c>
      <c r="J417" s="18">
        <f ca="1">MONTH(A417)</f>
        <v>6</v>
      </c>
    </row>
    <row r="418" spans="1:10" s="18" customFormat="1" ht="18" customHeight="1">
      <c r="A418" s="318">
        <f ca="1">IF(ROWS($1:404)&gt;COUNT(Dong5),"",OFFSET(TH!C$1,SMALL(Dong5,ROWS($1:404)),))</f>
        <v>42530</v>
      </c>
      <c r="B418" s="318" t="str">
        <f ca="1">IF(ROWS($1:404)&gt;COUNT(Dong5),"",OFFSET(TH!D$1,SMALL(Dong5,ROWS($1:404)),))</f>
        <v>C16</v>
      </c>
      <c r="C418" s="318">
        <f ca="1">IF(ROWS($1:404)&gt;COUNT(Dong5),"",OFFSET(TH!E$1,SMALL(Dong5,ROWS($1:404)),))</f>
        <v>42530</v>
      </c>
      <c r="D418" s="383" t="str">
        <f ca="1">IF(ROWS($1:404)&gt;COUNT(Dong5),"",OFFSET(TH!F$1,SMALL(Dong5,ROWS($1:404)),))</f>
        <v xml:space="preserve">VAT Xăng, dầu </v>
      </c>
      <c r="E418" s="318" t="str">
        <f ca="1">IF(ROWS($1:404)&gt;COUNT(Dong5),"",IF(OFFSET(TH!N$1,SMALL(Dong5,ROWS($1:404)),)=$E$7,OFFSET(TH!O$1,SMALL(Dong5,ROWS($1:404)),),OFFSET(TH!N$1,SMALL(Dong5,ROWS($1:404)),)))</f>
        <v>1111</v>
      </c>
      <c r="F418" s="384">
        <f ca="1">IF(ROWS($1:404)&gt;COUNT(Dong5),0,IF(OFFSET(TH!N$1,SMALL(Dong5,ROWS($1:404)),)=$E$7,OFFSET(TH!M$1,SMALL(Dong5,ROWS($1:404)),),0))</f>
        <v>192727</v>
      </c>
      <c r="G418" s="382">
        <f ca="1">IF(ROWS($1:404)&gt;COUNT(Dong5),0,IF(OFFSET(TH!O$1,SMALL(Dong5,ROWS($1:404)),)=$E$7,OFFSET(TH!M$1,SMALL(Dong5,ROWS($1:404)),),0))</f>
        <v>0</v>
      </c>
      <c r="H418" s="385">
        <f ca="1">IF(D418&lt;&gt;"",MAX(H417+F418-G418-I417,0),0)</f>
        <v>267501495</v>
      </c>
      <c r="I418" s="385">
        <f ca="1">IF(D418&lt;&gt;"",MAX(I417+G418-H417-F418,0),0)</f>
        <v>0</v>
      </c>
      <c r="J418" s="18">
        <f ca="1">MONTH(A418)</f>
        <v>6</v>
      </c>
    </row>
    <row r="419" spans="1:10" s="18" customFormat="1" ht="18" customHeight="1">
      <c r="A419" s="318">
        <f ca="1">IF(ROWS($1:405)&gt;COUNT(Dong5),"",OFFSET(TH!C$1,SMALL(Dong5,ROWS($1:405)),))</f>
        <v>42531</v>
      </c>
      <c r="B419" s="318" t="str">
        <f ca="1">IF(ROWS($1:405)&gt;COUNT(Dong5),"",OFFSET(TH!D$1,SMALL(Dong5,ROWS($1:405)),))</f>
        <v>GBN</v>
      </c>
      <c r="C419" s="318">
        <f ca="1">IF(ROWS($1:405)&gt;COUNT(Dong5),"",OFFSET(TH!E$1,SMALL(Dong5,ROWS($1:405)),))</f>
        <v>42531</v>
      </c>
      <c r="D419" s="383" t="str">
        <f ca="1">IF(ROWS($1:405)&gt;COUNT(Dong5),"",OFFSET(TH!F$1,SMALL(Dong5,ROWS($1:405)),))</f>
        <v>VAT Phí thanh toán bộ chứng từ</v>
      </c>
      <c r="E419" s="318" t="str">
        <f ca="1">IF(ROWS($1:405)&gt;COUNT(Dong5),"",IF(OFFSET(TH!N$1,SMALL(Dong5,ROWS($1:405)),)=$E$7,OFFSET(TH!O$1,SMALL(Dong5,ROWS($1:405)),),OFFSET(TH!N$1,SMALL(Dong5,ROWS($1:405)),)))</f>
        <v>1121</v>
      </c>
      <c r="F419" s="384">
        <f ca="1">IF(ROWS($1:405)&gt;COUNT(Dong5),0,IF(OFFSET(TH!N$1,SMALL(Dong5,ROWS($1:405)),)=$E$7,OFFSET(TH!M$1,SMALL(Dong5,ROWS($1:405)),),0))</f>
        <v>140126</v>
      </c>
      <c r="G419" s="382">
        <f ca="1">IF(ROWS($1:405)&gt;COUNT(Dong5),0,IF(OFFSET(TH!O$1,SMALL(Dong5,ROWS($1:405)),)=$E$7,OFFSET(TH!M$1,SMALL(Dong5,ROWS($1:405)),),0))</f>
        <v>0</v>
      </c>
      <c r="H419" s="385">
        <f ca="1">IF(D419&lt;&gt;"",MAX(H418+F419-G419-I418,0),0)</f>
        <v>267641621</v>
      </c>
      <c r="I419" s="385">
        <f ca="1">IF(D419&lt;&gt;"",MAX(I418+G419-H418-F419,0),0)</f>
        <v>0</v>
      </c>
      <c r="J419" s="18">
        <f ca="1">MONTH(A419)</f>
        <v>6</v>
      </c>
    </row>
    <row r="420" spans="1:10" s="18" customFormat="1" ht="18" customHeight="1">
      <c r="A420" s="318">
        <f ca="1">IF(ROWS($1:406)&gt;COUNT(Dong5),"",OFFSET(TH!C$1,SMALL(Dong5,ROWS($1:406)),))</f>
        <v>42531</v>
      </c>
      <c r="B420" s="318" t="str">
        <f ca="1">IF(ROWS($1:406)&gt;COUNT(Dong5),"",OFFSET(TH!D$1,SMALL(Dong5,ROWS($1:406)),))</f>
        <v>GBN</v>
      </c>
      <c r="C420" s="318">
        <f ca="1">IF(ROWS($1:406)&gt;COUNT(Dong5),"",OFFSET(TH!E$1,SMALL(Dong5,ROWS($1:406)),))</f>
        <v>42531</v>
      </c>
      <c r="D420" s="383" t="str">
        <f ca="1">IF(ROWS($1:406)&gt;COUNT(Dong5),"",OFFSET(TH!F$1,SMALL(Dong5,ROWS($1:406)),))</f>
        <v>VAT Phí thông báo LC</v>
      </c>
      <c r="E420" s="318" t="str">
        <f ca="1">IF(ROWS($1:406)&gt;COUNT(Dong5),"",IF(OFFSET(TH!N$1,SMALL(Dong5,ROWS($1:406)),)=$E$7,OFFSET(TH!O$1,SMALL(Dong5,ROWS($1:406)),),OFFSET(TH!N$1,SMALL(Dong5,ROWS($1:406)),)))</f>
        <v>1122</v>
      </c>
      <c r="F420" s="384">
        <f ca="1">IF(ROWS($1:406)&gt;COUNT(Dong5),0,IF(OFFSET(TH!N$1,SMALL(Dong5,ROWS($1:406)),)=$E$7,OFFSET(TH!M$1,SMALL(Dong5,ROWS($1:406)),),0))</f>
        <v>33450</v>
      </c>
      <c r="G420" s="382">
        <f ca="1">IF(ROWS($1:406)&gt;COUNT(Dong5),0,IF(OFFSET(TH!O$1,SMALL(Dong5,ROWS($1:406)),)=$E$7,OFFSET(TH!M$1,SMALL(Dong5,ROWS($1:406)),),0))</f>
        <v>0</v>
      </c>
      <c r="H420" s="385">
        <f ca="1">IF(D420&lt;&gt;"",MAX(H419+F420-G420-I419,0),0)</f>
        <v>267675071</v>
      </c>
      <c r="I420" s="385">
        <f ca="1">IF(D420&lt;&gt;"",MAX(I419+G420-H419-F420,0),0)</f>
        <v>0</v>
      </c>
      <c r="J420" s="18">
        <f ca="1">MONTH(A420)</f>
        <v>6</v>
      </c>
    </row>
    <row r="421" spans="1:10" s="18" customFormat="1" ht="18" customHeight="1">
      <c r="A421" s="318">
        <f ca="1">IF(ROWS($1:407)&gt;COUNT(Dong5),"",OFFSET(TH!C$1,SMALL(Dong5,ROWS($1:407)),))</f>
        <v>42674</v>
      </c>
      <c r="B421" s="318" t="str">
        <f ca="1">IF(ROWS($1:407)&gt;COUNT(Dong5),"",OFFSET(TH!D$1,SMALL(Dong5,ROWS($1:407)),))</f>
        <v>CTGS</v>
      </c>
      <c r="C421" s="318">
        <f ca="1">IF(ROWS($1:407)&gt;COUNT(Dong5),"",OFFSET(TH!E$1,SMALL(Dong5,ROWS($1:407)),))</f>
        <v>42669</v>
      </c>
      <c r="D421" s="383" t="str">
        <f ca="1">IF(ROWS($1:407)&gt;COUNT(Dong5),"",OFFSET(TH!F$1,SMALL(Dong5,ROWS($1:407)),))</f>
        <v>VAT Tiền điện kỳ 3 T10/16</v>
      </c>
      <c r="E421" s="318" t="str">
        <f ca="1">IF(ROWS($1:407)&gt;COUNT(Dong5),"",IF(OFFSET(TH!N$1,SMALL(Dong5,ROWS($1:407)),)=$E$7,OFFSET(TH!O$1,SMALL(Dong5,ROWS($1:407)),),OFFSET(TH!N$1,SMALL(Dong5,ROWS($1:407)),)))</f>
        <v>331</v>
      </c>
      <c r="F421" s="384">
        <f ca="1">IF(ROWS($1:407)&gt;COUNT(Dong5),0,IF(OFFSET(TH!N$1,SMALL(Dong5,ROWS($1:407)),)=$E$7,OFFSET(TH!M$1,SMALL(Dong5,ROWS($1:407)),),0))</f>
        <v>2057710</v>
      </c>
      <c r="G421" s="382">
        <f ca="1">IF(ROWS($1:407)&gt;COUNT(Dong5),0,IF(OFFSET(TH!O$1,SMALL(Dong5,ROWS($1:407)),)=$E$7,OFFSET(TH!M$1,SMALL(Dong5,ROWS($1:407)),),0))</f>
        <v>0</v>
      </c>
      <c r="H421" s="385">
        <f ca="1">IF(D421&lt;&gt;"",MAX(H420+F421-G421-I420,0),0)</f>
        <v>269732781</v>
      </c>
      <c r="I421" s="385">
        <f ca="1">IF(D421&lt;&gt;"",MAX(I420+G421-H420-F421,0),0)</f>
        <v>0</v>
      </c>
      <c r="J421" s="18">
        <f ca="1">MONTH(A421)</f>
        <v>10</v>
      </c>
    </row>
    <row r="422" spans="1:10" s="18" customFormat="1" ht="18" customHeight="1">
      <c r="A422" s="318">
        <f ca="1">IF(ROWS($1:408)&gt;COUNT(Dong5),"",OFFSET(TH!C$1,SMALL(Dong5,ROWS($1:408)),))</f>
        <v>42534</v>
      </c>
      <c r="B422" s="318" t="str">
        <f ca="1">IF(ROWS($1:408)&gt;COUNT(Dong5),"",OFFSET(TH!D$1,SMALL(Dong5,ROWS($1:408)),))</f>
        <v>GBN</v>
      </c>
      <c r="C422" s="318">
        <f ca="1">IF(ROWS($1:408)&gt;COUNT(Dong5),"",OFFSET(TH!E$1,SMALL(Dong5,ROWS($1:408)),))</f>
        <v>42534</v>
      </c>
      <c r="D422" s="383" t="str">
        <f ca="1">IF(ROWS($1:408)&gt;COUNT(Dong5),"",OFFSET(TH!F$1,SMALL(Dong5,ROWS($1:408)),))</f>
        <v>VAT Phí dịch vụ</v>
      </c>
      <c r="E422" s="318" t="str">
        <f ca="1">IF(ROWS($1:408)&gt;COUNT(Dong5),"",IF(OFFSET(TH!N$1,SMALL(Dong5,ROWS($1:408)),)=$E$7,OFFSET(TH!O$1,SMALL(Dong5,ROWS($1:408)),),OFFSET(TH!N$1,SMALL(Dong5,ROWS($1:408)),)))</f>
        <v>1121</v>
      </c>
      <c r="F422" s="384">
        <f ca="1">IF(ROWS($1:408)&gt;COUNT(Dong5),0,IF(OFFSET(TH!N$1,SMALL(Dong5,ROWS($1:408)),)=$E$7,OFFSET(TH!M$1,SMALL(Dong5,ROWS($1:408)),),0))</f>
        <v>4500</v>
      </c>
      <c r="G422" s="382">
        <f ca="1">IF(ROWS($1:408)&gt;COUNT(Dong5),0,IF(OFFSET(TH!O$1,SMALL(Dong5,ROWS($1:408)),)=$E$7,OFFSET(TH!M$1,SMALL(Dong5,ROWS($1:408)),),0))</f>
        <v>0</v>
      </c>
      <c r="H422" s="385">
        <f ca="1">IF(D422&lt;&gt;"",MAX(H421+F422-G422-I421,0),0)</f>
        <v>269737281</v>
      </c>
      <c r="I422" s="385">
        <f ca="1">IF(D422&lt;&gt;"",MAX(I421+G422-H421-F422,0),0)</f>
        <v>0</v>
      </c>
      <c r="J422" s="18">
        <f ca="1">MONTH(A422)</f>
        <v>6</v>
      </c>
    </row>
    <row r="423" spans="1:10" s="18" customFormat="1" ht="18" customHeight="1">
      <c r="A423" s="318">
        <f ca="1">IF(ROWS($1:409)&gt;COUNT(Dong5),"",OFFSET(TH!C$1,SMALL(Dong5,ROWS($1:409)),))</f>
        <v>42535</v>
      </c>
      <c r="B423" s="318" t="str">
        <f ca="1">IF(ROWS($1:409)&gt;COUNT(Dong5),"",OFFSET(TH!D$1,SMALL(Dong5,ROWS($1:409)),))</f>
        <v>C20</v>
      </c>
      <c r="C423" s="318">
        <f ca="1">IF(ROWS($1:409)&gt;COUNT(Dong5),"",OFFSET(TH!E$1,SMALL(Dong5,ROWS($1:409)),))</f>
        <v>42535</v>
      </c>
      <c r="D423" s="383" t="str">
        <f ca="1">IF(ROWS($1:409)&gt;COUNT(Dong5),"",OFFSET(TH!F$1,SMALL(Dong5,ROWS($1:409)),))</f>
        <v>VAT Xăng</v>
      </c>
      <c r="E423" s="318" t="str">
        <f ca="1">IF(ROWS($1:409)&gt;COUNT(Dong5),"",IF(OFFSET(TH!N$1,SMALL(Dong5,ROWS($1:409)),)=$E$7,OFFSET(TH!O$1,SMALL(Dong5,ROWS($1:409)),),OFFSET(TH!N$1,SMALL(Dong5,ROWS($1:409)),)))</f>
        <v>1111</v>
      </c>
      <c r="F423" s="384">
        <f ca="1">IF(ROWS($1:409)&gt;COUNT(Dong5),0,IF(OFFSET(TH!N$1,SMALL(Dong5,ROWS($1:409)),)=$E$7,OFFSET(TH!M$1,SMALL(Dong5,ROWS($1:409)),),0))</f>
        <v>90000</v>
      </c>
      <c r="G423" s="382">
        <f ca="1">IF(ROWS($1:409)&gt;COUNT(Dong5),0,IF(OFFSET(TH!O$1,SMALL(Dong5,ROWS($1:409)),)=$E$7,OFFSET(TH!M$1,SMALL(Dong5,ROWS($1:409)),),0))</f>
        <v>0</v>
      </c>
      <c r="H423" s="385">
        <f ca="1">IF(D423&lt;&gt;"",MAX(H422+F423-G423-I422,0),0)</f>
        <v>269827281</v>
      </c>
      <c r="I423" s="385">
        <f ca="1">IF(D423&lt;&gt;"",MAX(I422+G423-H422-F423,0),0)</f>
        <v>0</v>
      </c>
      <c r="J423" s="18">
        <f ca="1">MONTH(A423)</f>
        <v>6</v>
      </c>
    </row>
    <row r="424" spans="1:10" s="18" customFormat="1" ht="18" customHeight="1">
      <c r="A424" s="318">
        <f ca="1">IF(ROWS($1:410)&gt;COUNT(Dong5),"",OFFSET(TH!C$1,SMALL(Dong5,ROWS($1:410)),))</f>
        <v>42536</v>
      </c>
      <c r="B424" s="318" t="str">
        <f ca="1">IF(ROWS($1:410)&gt;COUNT(Dong5),"",OFFSET(TH!D$1,SMALL(Dong5,ROWS($1:410)),))</f>
        <v>C21</v>
      </c>
      <c r="C424" s="318">
        <f ca="1">IF(ROWS($1:410)&gt;COUNT(Dong5),"",OFFSET(TH!E$1,SMALL(Dong5,ROWS($1:410)),))</f>
        <v>42536</v>
      </c>
      <c r="D424" s="383" t="str">
        <f ca="1">IF(ROWS($1:410)&gt;COUNT(Dong5),"",OFFSET(TH!F$1,SMALL(Dong5,ROWS($1:410)),))</f>
        <v xml:space="preserve">VAT Xăng, dầu </v>
      </c>
      <c r="E424" s="318" t="str">
        <f ca="1">IF(ROWS($1:410)&gt;COUNT(Dong5),"",IF(OFFSET(TH!N$1,SMALL(Dong5,ROWS($1:410)),)=$E$7,OFFSET(TH!O$1,SMALL(Dong5,ROWS($1:410)),),OFFSET(TH!N$1,SMALL(Dong5,ROWS($1:410)),)))</f>
        <v>1111</v>
      </c>
      <c r="F424" s="384">
        <f ca="1">IF(ROWS($1:410)&gt;COUNT(Dong5),0,IF(OFFSET(TH!N$1,SMALL(Dong5,ROWS($1:410)),)=$E$7,OFFSET(TH!M$1,SMALL(Dong5,ROWS($1:410)),),0))</f>
        <v>201191</v>
      </c>
      <c r="G424" s="382">
        <f ca="1">IF(ROWS($1:410)&gt;COUNT(Dong5),0,IF(OFFSET(TH!O$1,SMALL(Dong5,ROWS($1:410)),)=$E$7,OFFSET(TH!M$1,SMALL(Dong5,ROWS($1:410)),),0))</f>
        <v>0</v>
      </c>
      <c r="H424" s="385">
        <f ca="1">IF(D424&lt;&gt;"",MAX(H423+F424-G424-I423,0),0)</f>
        <v>270028472</v>
      </c>
      <c r="I424" s="385">
        <f ca="1">IF(D424&lt;&gt;"",MAX(I423+G424-H423-F424,0),0)</f>
        <v>0</v>
      </c>
      <c r="J424" s="18">
        <f ca="1">MONTH(A424)</f>
        <v>6</v>
      </c>
    </row>
    <row r="425" spans="1:10" s="18" customFormat="1" ht="18" customHeight="1">
      <c r="A425" s="318">
        <f ca="1">IF(ROWS($1:411)&gt;COUNT(Dong5),"",OFFSET(TH!C$1,SMALL(Dong5,ROWS($1:411)),))</f>
        <v>42542</v>
      </c>
      <c r="B425" s="318" t="str">
        <f ca="1">IF(ROWS($1:411)&gt;COUNT(Dong5),"",OFFSET(TH!D$1,SMALL(Dong5,ROWS($1:411)),))</f>
        <v>CTGS</v>
      </c>
      <c r="C425" s="318">
        <f ca="1">IF(ROWS($1:411)&gt;COUNT(Dong5),"",OFFSET(TH!E$1,SMALL(Dong5,ROWS($1:411)),))</f>
        <v>42542</v>
      </c>
      <c r="D425" s="383" t="str">
        <f ca="1">IF(ROWS($1:411)&gt;COUNT(Dong5),"",OFFSET(TH!F$1,SMALL(Dong5,ROWS($1:411)),))</f>
        <v>VAT Phí thanh toán bộ chứng từ</v>
      </c>
      <c r="E425" s="318" t="str">
        <f ca="1">IF(ROWS($1:411)&gt;COUNT(Dong5),"",IF(OFFSET(TH!N$1,SMALL(Dong5,ROWS($1:411)),)=$E$7,OFFSET(TH!O$1,SMALL(Dong5,ROWS($1:411)),),OFFSET(TH!N$1,SMALL(Dong5,ROWS($1:411)),)))</f>
        <v>131</v>
      </c>
      <c r="F425" s="384">
        <f ca="1">IF(ROWS($1:411)&gt;COUNT(Dong5),0,IF(OFFSET(TH!N$1,SMALL(Dong5,ROWS($1:411)),)=$E$7,OFFSET(TH!M$1,SMALL(Dong5,ROWS($1:411)),),0))</f>
        <v>108455</v>
      </c>
      <c r="G425" s="382">
        <f ca="1">IF(ROWS($1:411)&gt;COUNT(Dong5),0,IF(OFFSET(TH!O$1,SMALL(Dong5,ROWS($1:411)),)=$E$7,OFFSET(TH!M$1,SMALL(Dong5,ROWS($1:411)),),0))</f>
        <v>0</v>
      </c>
      <c r="H425" s="385">
        <f ca="1">IF(D425&lt;&gt;"",MAX(H424+F425-G425-I424,0),0)</f>
        <v>270136927</v>
      </c>
      <c r="I425" s="385">
        <f ca="1">IF(D425&lt;&gt;"",MAX(I424+G425-H424-F425,0),0)</f>
        <v>0</v>
      </c>
      <c r="J425" s="18">
        <f ca="1">MONTH(A425)</f>
        <v>6</v>
      </c>
    </row>
    <row r="426" spans="1:10" s="18" customFormat="1" ht="18" customHeight="1">
      <c r="A426" s="318">
        <f ca="1">IF(ROWS($1:412)&gt;COUNT(Dong5),"",OFFSET(TH!C$1,SMALL(Dong5,ROWS($1:412)),))</f>
        <v>42536</v>
      </c>
      <c r="B426" s="318" t="str">
        <f ca="1">IF(ROWS($1:412)&gt;COUNT(Dong5),"",OFFSET(TH!D$1,SMALL(Dong5,ROWS($1:412)),))</f>
        <v>GBN</v>
      </c>
      <c r="C426" s="318">
        <f ca="1">IF(ROWS($1:412)&gt;COUNT(Dong5),"",OFFSET(TH!E$1,SMALL(Dong5,ROWS($1:412)),))</f>
        <v>42536</v>
      </c>
      <c r="D426" s="383" t="str">
        <f ca="1">IF(ROWS($1:412)&gt;COUNT(Dong5),"",OFFSET(TH!F$1,SMALL(Dong5,ROWS($1:412)),))</f>
        <v>VAT Phí thông báo số dư</v>
      </c>
      <c r="E426" s="318" t="str">
        <f ca="1">IF(ROWS($1:412)&gt;COUNT(Dong5),"",IF(OFFSET(TH!N$1,SMALL(Dong5,ROWS($1:412)),)=$E$7,OFFSET(TH!O$1,SMALL(Dong5,ROWS($1:412)),),OFFSET(TH!N$1,SMALL(Dong5,ROWS($1:412)),)))</f>
        <v>1121</v>
      </c>
      <c r="F426" s="384">
        <f ca="1">IF(ROWS($1:412)&gt;COUNT(Dong5),0,IF(OFFSET(TH!N$1,SMALL(Dong5,ROWS($1:412)),)=$E$7,OFFSET(TH!M$1,SMALL(Dong5,ROWS($1:412)),),0))</f>
        <v>5000</v>
      </c>
      <c r="G426" s="382">
        <f ca="1">IF(ROWS($1:412)&gt;COUNT(Dong5),0,IF(OFFSET(TH!O$1,SMALL(Dong5,ROWS($1:412)),)=$E$7,OFFSET(TH!M$1,SMALL(Dong5,ROWS($1:412)),),0))</f>
        <v>0</v>
      </c>
      <c r="H426" s="385">
        <f ca="1">IF(D426&lt;&gt;"",MAX(H425+F426-G426-I425,0),0)</f>
        <v>270141927</v>
      </c>
      <c r="I426" s="385">
        <f ca="1">IF(D426&lt;&gt;"",MAX(I425+G426-H425-F426,0),0)</f>
        <v>0</v>
      </c>
      <c r="J426" s="18">
        <f ca="1">MONTH(A426)</f>
        <v>6</v>
      </c>
    </row>
    <row r="427" spans="1:10" s="18" customFormat="1" ht="18" customHeight="1">
      <c r="A427" s="318">
        <f ca="1">IF(ROWS($1:413)&gt;COUNT(Dong5),"",OFFSET(TH!C$1,SMALL(Dong5,ROWS($1:413)),))</f>
        <v>42537</v>
      </c>
      <c r="B427" s="318" t="str">
        <f ca="1">IF(ROWS($1:413)&gt;COUNT(Dong5),"",OFFSET(TH!D$1,SMALL(Dong5,ROWS($1:413)),))</f>
        <v>GBN</v>
      </c>
      <c r="C427" s="318">
        <f ca="1">IF(ROWS($1:413)&gt;COUNT(Dong5),"",OFFSET(TH!E$1,SMALL(Dong5,ROWS($1:413)),))</f>
        <v>42537</v>
      </c>
      <c r="D427" s="383" t="str">
        <f ca="1">IF(ROWS($1:413)&gt;COUNT(Dong5),"",OFFSET(TH!F$1,SMALL(Dong5,ROWS($1:413)),))</f>
        <v>VAT phí dịch vụ</v>
      </c>
      <c r="E427" s="318" t="str">
        <f ca="1">IF(ROWS($1:413)&gt;COUNT(Dong5),"",IF(OFFSET(TH!N$1,SMALL(Dong5,ROWS($1:413)),)=$E$7,OFFSET(TH!O$1,SMALL(Dong5,ROWS($1:413)),),OFFSET(TH!N$1,SMALL(Dong5,ROWS($1:413)),)))</f>
        <v>1121</v>
      </c>
      <c r="F427" s="384">
        <f ca="1">IF(ROWS($1:413)&gt;COUNT(Dong5),0,IF(OFFSET(TH!N$1,SMALL(Dong5,ROWS($1:413)),)=$E$7,OFFSET(TH!M$1,SMALL(Dong5,ROWS($1:413)),),0))</f>
        <v>4500</v>
      </c>
      <c r="G427" s="382">
        <f ca="1">IF(ROWS($1:413)&gt;COUNT(Dong5),0,IF(OFFSET(TH!O$1,SMALL(Dong5,ROWS($1:413)),)=$E$7,OFFSET(TH!M$1,SMALL(Dong5,ROWS($1:413)),),0))</f>
        <v>0</v>
      </c>
      <c r="H427" s="385">
        <f ca="1">IF(D427&lt;&gt;"",MAX(H426+F427-G427-I426,0),0)</f>
        <v>270146427</v>
      </c>
      <c r="I427" s="385">
        <f ca="1">IF(D427&lt;&gt;"",MAX(I426+G427-H426-F427,0),0)</f>
        <v>0</v>
      </c>
      <c r="J427" s="18">
        <f ca="1">MONTH(A427)</f>
        <v>6</v>
      </c>
    </row>
    <row r="428" spans="1:10" s="18" customFormat="1" ht="18" customHeight="1">
      <c r="A428" s="318">
        <f ca="1">IF(ROWS($1:414)&gt;COUNT(Dong5),"",OFFSET(TH!C$1,SMALL(Dong5,ROWS($1:414)),))</f>
        <v>42537</v>
      </c>
      <c r="B428" s="318" t="str">
        <f ca="1">IF(ROWS($1:414)&gt;COUNT(Dong5),"",OFFSET(TH!D$1,SMALL(Dong5,ROWS($1:414)),))</f>
        <v>GBN</v>
      </c>
      <c r="C428" s="318">
        <f ca="1">IF(ROWS($1:414)&gt;COUNT(Dong5),"",OFFSET(TH!E$1,SMALL(Dong5,ROWS($1:414)),))</f>
        <v>42537</v>
      </c>
      <c r="D428" s="383" t="str">
        <f ca="1">IF(ROWS($1:414)&gt;COUNT(Dong5),"",OFFSET(TH!F$1,SMALL(Dong5,ROWS($1:414)),))</f>
        <v>VAT Phí dịch vụ</v>
      </c>
      <c r="E428" s="318" t="str">
        <f ca="1">IF(ROWS($1:414)&gt;COUNT(Dong5),"",IF(OFFSET(TH!N$1,SMALL(Dong5,ROWS($1:414)),)=$E$7,OFFSET(TH!O$1,SMALL(Dong5,ROWS($1:414)),),OFFSET(TH!N$1,SMALL(Dong5,ROWS($1:414)),)))</f>
        <v>1121</v>
      </c>
      <c r="F428" s="384">
        <f ca="1">IF(ROWS($1:414)&gt;COUNT(Dong5),0,IF(OFFSET(TH!N$1,SMALL(Dong5,ROWS($1:414)),)=$E$7,OFFSET(TH!M$1,SMALL(Dong5,ROWS($1:414)),),0))</f>
        <v>2500</v>
      </c>
      <c r="G428" s="382">
        <f ca="1">IF(ROWS($1:414)&gt;COUNT(Dong5),0,IF(OFFSET(TH!O$1,SMALL(Dong5,ROWS($1:414)),)=$E$7,OFFSET(TH!M$1,SMALL(Dong5,ROWS($1:414)),),0))</f>
        <v>0</v>
      </c>
      <c r="H428" s="385">
        <f ca="1">IF(D428&lt;&gt;"",MAX(H427+F428-G428-I427,0),0)</f>
        <v>270148927</v>
      </c>
      <c r="I428" s="385">
        <f ca="1">IF(D428&lt;&gt;"",MAX(I427+G428-H427-F428,0),0)</f>
        <v>0</v>
      </c>
      <c r="J428" s="18">
        <f ca="1">MONTH(A428)</f>
        <v>6</v>
      </c>
    </row>
    <row r="429" spans="1:10" s="18" customFormat="1" ht="18" customHeight="1">
      <c r="A429" s="318">
        <f ca="1">IF(ROWS($1:415)&gt;COUNT(Dong5),"",OFFSET(TH!C$1,SMALL(Dong5,ROWS($1:415)),))</f>
        <v>42537</v>
      </c>
      <c r="B429" s="318" t="str">
        <f ca="1">IF(ROWS($1:415)&gt;COUNT(Dong5),"",OFFSET(TH!D$1,SMALL(Dong5,ROWS($1:415)),))</f>
        <v>GBN</v>
      </c>
      <c r="C429" s="318">
        <f ca="1">IF(ROWS($1:415)&gt;COUNT(Dong5),"",OFFSET(TH!E$1,SMALL(Dong5,ROWS($1:415)),))</f>
        <v>42537</v>
      </c>
      <c r="D429" s="383" t="str">
        <f ca="1">IF(ROWS($1:415)&gt;COUNT(Dong5),"",OFFSET(TH!F$1,SMALL(Dong5,ROWS($1:415)),))</f>
        <v>VAT Phí dịch vụ</v>
      </c>
      <c r="E429" s="318" t="str">
        <f ca="1">IF(ROWS($1:415)&gt;COUNT(Dong5),"",IF(OFFSET(TH!N$1,SMALL(Dong5,ROWS($1:415)),)=$E$7,OFFSET(TH!O$1,SMALL(Dong5,ROWS($1:415)),),OFFSET(TH!N$1,SMALL(Dong5,ROWS($1:415)),)))</f>
        <v>1121</v>
      </c>
      <c r="F429" s="384">
        <f ca="1">IF(ROWS($1:415)&gt;COUNT(Dong5),0,IF(OFFSET(TH!N$1,SMALL(Dong5,ROWS($1:415)),)=$E$7,OFFSET(TH!M$1,SMALL(Dong5,ROWS($1:415)),),0))</f>
        <v>2000</v>
      </c>
      <c r="G429" s="382">
        <f ca="1">IF(ROWS($1:415)&gt;COUNT(Dong5),0,IF(OFFSET(TH!O$1,SMALL(Dong5,ROWS($1:415)),)=$E$7,OFFSET(TH!M$1,SMALL(Dong5,ROWS($1:415)),),0))</f>
        <v>0</v>
      </c>
      <c r="H429" s="385">
        <f ca="1">IF(D429&lt;&gt;"",MAX(H428+F429-G429-I428,0),0)</f>
        <v>270150927</v>
      </c>
      <c r="I429" s="385">
        <f ca="1">IF(D429&lt;&gt;"",MAX(I428+G429-H428-F429,0),0)</f>
        <v>0</v>
      </c>
      <c r="J429" s="18">
        <f ca="1">MONTH(A429)</f>
        <v>6</v>
      </c>
    </row>
    <row r="430" spans="1:10" s="18" customFormat="1" ht="18" customHeight="1">
      <c r="A430" s="318">
        <f ca="1">IF(ROWS($1:416)&gt;COUNT(Dong5),"",OFFSET(TH!C$1,SMALL(Dong5,ROWS($1:416)),))</f>
        <v>42537</v>
      </c>
      <c r="B430" s="318" t="str">
        <f ca="1">IF(ROWS($1:416)&gt;COUNT(Dong5),"",OFFSET(TH!D$1,SMALL(Dong5,ROWS($1:416)),))</f>
        <v>GBN</v>
      </c>
      <c r="C430" s="318">
        <f ca="1">IF(ROWS($1:416)&gt;COUNT(Dong5),"",OFFSET(TH!E$1,SMALL(Dong5,ROWS($1:416)),))</f>
        <v>42537</v>
      </c>
      <c r="D430" s="383" t="str">
        <f ca="1">IF(ROWS($1:416)&gt;COUNT(Dong5),"",OFFSET(TH!F$1,SMALL(Dong5,ROWS($1:416)),))</f>
        <v>VAT Phí dịch vụ</v>
      </c>
      <c r="E430" s="318" t="str">
        <f ca="1">IF(ROWS($1:416)&gt;COUNT(Dong5),"",IF(OFFSET(TH!N$1,SMALL(Dong5,ROWS($1:416)),)=$E$7,OFFSET(TH!O$1,SMALL(Dong5,ROWS($1:416)),),OFFSET(TH!N$1,SMALL(Dong5,ROWS($1:416)),)))</f>
        <v>1121</v>
      </c>
      <c r="F430" s="384">
        <f ca="1">IF(ROWS($1:416)&gt;COUNT(Dong5),0,IF(OFFSET(TH!N$1,SMALL(Dong5,ROWS($1:416)),)=$E$7,OFFSET(TH!M$1,SMALL(Dong5,ROWS($1:416)),),0))</f>
        <v>2000</v>
      </c>
      <c r="G430" s="382">
        <f ca="1">IF(ROWS($1:416)&gt;COUNT(Dong5),0,IF(OFFSET(TH!O$1,SMALL(Dong5,ROWS($1:416)),)=$E$7,OFFSET(TH!M$1,SMALL(Dong5,ROWS($1:416)),),0))</f>
        <v>0</v>
      </c>
      <c r="H430" s="385">
        <f ca="1">IF(D430&lt;&gt;"",MAX(H429+F430-G430-I429,0),0)</f>
        <v>270152927</v>
      </c>
      <c r="I430" s="385">
        <f ca="1">IF(D430&lt;&gt;"",MAX(I429+G430-H429-F430,0),0)</f>
        <v>0</v>
      </c>
      <c r="J430" s="18">
        <f ca="1">MONTH(A430)</f>
        <v>6</v>
      </c>
    </row>
    <row r="431" spans="1:10" s="18" customFormat="1" ht="18" customHeight="1">
      <c r="A431" s="318">
        <f ca="1">IF(ROWS($1:417)&gt;COUNT(Dong5),"",OFFSET(TH!C$1,SMALL(Dong5,ROWS($1:417)),))</f>
        <v>42537</v>
      </c>
      <c r="B431" s="318" t="str">
        <f ca="1">IF(ROWS($1:417)&gt;COUNT(Dong5),"",OFFSET(TH!D$1,SMALL(Dong5,ROWS($1:417)),))</f>
        <v>GBN</v>
      </c>
      <c r="C431" s="318">
        <f ca="1">IF(ROWS($1:417)&gt;COUNT(Dong5),"",OFFSET(TH!E$1,SMALL(Dong5,ROWS($1:417)),))</f>
        <v>42537</v>
      </c>
      <c r="D431" s="383" t="str">
        <f ca="1">IF(ROWS($1:417)&gt;COUNT(Dong5),"",OFFSET(TH!F$1,SMALL(Dong5,ROWS($1:417)),))</f>
        <v>VAT Phí dịch vụ</v>
      </c>
      <c r="E431" s="318" t="str">
        <f ca="1">IF(ROWS($1:417)&gt;COUNT(Dong5),"",IF(OFFSET(TH!N$1,SMALL(Dong5,ROWS($1:417)),)=$E$7,OFFSET(TH!O$1,SMALL(Dong5,ROWS($1:417)),),OFFSET(TH!N$1,SMALL(Dong5,ROWS($1:417)),)))</f>
        <v>1121</v>
      </c>
      <c r="F431" s="384">
        <f ca="1">IF(ROWS($1:417)&gt;COUNT(Dong5),0,IF(OFFSET(TH!N$1,SMALL(Dong5,ROWS($1:417)),)=$E$7,OFFSET(TH!M$1,SMALL(Dong5,ROWS($1:417)),),0))</f>
        <v>2000</v>
      </c>
      <c r="G431" s="382">
        <f ca="1">IF(ROWS($1:417)&gt;COUNT(Dong5),0,IF(OFFSET(TH!O$1,SMALL(Dong5,ROWS($1:417)),)=$E$7,OFFSET(TH!M$1,SMALL(Dong5,ROWS($1:417)),),0))</f>
        <v>0</v>
      </c>
      <c r="H431" s="385">
        <f ca="1">IF(D431&lt;&gt;"",MAX(H430+F431-G431-I430,0),0)</f>
        <v>270154927</v>
      </c>
      <c r="I431" s="385">
        <f ca="1">IF(D431&lt;&gt;"",MAX(I430+G431-H430-F431,0),0)</f>
        <v>0</v>
      </c>
      <c r="J431" s="18">
        <f ca="1">MONTH(A431)</f>
        <v>6</v>
      </c>
    </row>
    <row r="432" spans="1:10" s="18" customFormat="1" ht="18" customHeight="1">
      <c r="A432" s="318">
        <f ca="1">IF(ROWS($1:418)&gt;COUNT(Dong5),"",OFFSET(TH!C$1,SMALL(Dong5,ROWS($1:418)),))</f>
        <v>42643</v>
      </c>
      <c r="B432" s="318" t="str">
        <f ca="1">IF(ROWS($1:418)&gt;COUNT(Dong5),"",OFFSET(TH!D$1,SMALL(Dong5,ROWS($1:418)),))</f>
        <v>CTGS</v>
      </c>
      <c r="C432" s="318">
        <f ca="1">IF(ROWS($1:418)&gt;COUNT(Dong5),"",OFFSET(TH!E$1,SMALL(Dong5,ROWS($1:418)),))</f>
        <v>42643</v>
      </c>
      <c r="D432" s="383" t="str">
        <f ca="1">IF(ROWS($1:418)&gt;COUNT(Dong5),"",OFFSET(TH!F$1,SMALL(Dong5,ROWS($1:418)),))</f>
        <v>VAT Bảo hộ lao động</v>
      </c>
      <c r="E432" s="318" t="str">
        <f ca="1">IF(ROWS($1:418)&gt;COUNT(Dong5),"",IF(OFFSET(TH!N$1,SMALL(Dong5,ROWS($1:418)),)=$E$7,OFFSET(TH!O$1,SMALL(Dong5,ROWS($1:418)),),OFFSET(TH!N$1,SMALL(Dong5,ROWS($1:418)),)))</f>
        <v>331</v>
      </c>
      <c r="F432" s="384">
        <f ca="1">IF(ROWS($1:418)&gt;COUNT(Dong5),0,IF(OFFSET(TH!N$1,SMALL(Dong5,ROWS($1:418)),)=$E$7,OFFSET(TH!M$1,SMALL(Dong5,ROWS($1:418)),),0))</f>
        <v>2696000</v>
      </c>
      <c r="G432" s="382">
        <f ca="1">IF(ROWS($1:418)&gt;COUNT(Dong5),0,IF(OFFSET(TH!O$1,SMALL(Dong5,ROWS($1:418)),)=$E$7,OFFSET(TH!M$1,SMALL(Dong5,ROWS($1:418)),),0))</f>
        <v>0</v>
      </c>
      <c r="H432" s="385">
        <f ca="1">IF(D432&lt;&gt;"",MAX(H431+F432-G432-I431,0),0)</f>
        <v>272850927</v>
      </c>
      <c r="I432" s="385">
        <f ca="1">IF(D432&lt;&gt;"",MAX(I431+G432-H431-F432,0),0)</f>
        <v>0</v>
      </c>
      <c r="J432" s="18">
        <f ca="1">MONTH(A432)</f>
        <v>9</v>
      </c>
    </row>
    <row r="433" spans="1:10" s="18" customFormat="1" ht="18" customHeight="1">
      <c r="A433" s="318">
        <f ca="1">IF(ROWS($1:419)&gt;COUNT(Dong5),"",OFFSET(TH!C$1,SMALL(Dong5,ROWS($1:419)),))</f>
        <v>42537</v>
      </c>
      <c r="B433" s="318" t="str">
        <f ca="1">IF(ROWS($1:419)&gt;COUNT(Dong5),"",OFFSET(TH!D$1,SMALL(Dong5,ROWS($1:419)),))</f>
        <v>GBN</v>
      </c>
      <c r="C433" s="318">
        <f ca="1">IF(ROWS($1:419)&gt;COUNT(Dong5),"",OFFSET(TH!E$1,SMALL(Dong5,ROWS($1:419)),))</f>
        <v>42537</v>
      </c>
      <c r="D433" s="383" t="str">
        <f ca="1">IF(ROWS($1:419)&gt;COUNT(Dong5),"",OFFSET(TH!F$1,SMALL(Dong5,ROWS($1:419)),))</f>
        <v>VAT Phí dịch vụ</v>
      </c>
      <c r="E433" s="318" t="str">
        <f ca="1">IF(ROWS($1:419)&gt;COUNT(Dong5),"",IF(OFFSET(TH!N$1,SMALL(Dong5,ROWS($1:419)),)=$E$7,OFFSET(TH!O$1,SMALL(Dong5,ROWS($1:419)),),OFFSET(TH!N$1,SMALL(Dong5,ROWS($1:419)),)))</f>
        <v>1121</v>
      </c>
      <c r="F433" s="384">
        <f ca="1">IF(ROWS($1:419)&gt;COUNT(Dong5),0,IF(OFFSET(TH!N$1,SMALL(Dong5,ROWS($1:419)),)=$E$7,OFFSET(TH!M$1,SMALL(Dong5,ROWS($1:419)),),0))</f>
        <v>2000</v>
      </c>
      <c r="G433" s="382">
        <f ca="1">IF(ROWS($1:419)&gt;COUNT(Dong5),0,IF(OFFSET(TH!O$1,SMALL(Dong5,ROWS($1:419)),)=$E$7,OFFSET(TH!M$1,SMALL(Dong5,ROWS($1:419)),),0))</f>
        <v>0</v>
      </c>
      <c r="H433" s="385">
        <f ca="1">IF(D433&lt;&gt;"",MAX(H432+F433-G433-I432,0),0)</f>
        <v>272852927</v>
      </c>
      <c r="I433" s="385">
        <f ca="1">IF(D433&lt;&gt;"",MAX(I432+G433-H432-F433,0),0)</f>
        <v>0</v>
      </c>
      <c r="J433" s="18">
        <f ca="1">MONTH(A433)</f>
        <v>6</v>
      </c>
    </row>
    <row r="434" spans="1:10" s="18" customFormat="1" ht="18" customHeight="1">
      <c r="A434" s="318">
        <f ca="1">IF(ROWS($1:420)&gt;COUNT(Dong5),"",OFFSET(TH!C$1,SMALL(Dong5,ROWS($1:420)),))</f>
        <v>42537</v>
      </c>
      <c r="B434" s="318" t="str">
        <f ca="1">IF(ROWS($1:420)&gt;COUNT(Dong5),"",OFFSET(TH!D$1,SMALL(Dong5,ROWS($1:420)),))</f>
        <v>GBN</v>
      </c>
      <c r="C434" s="318">
        <f ca="1">IF(ROWS($1:420)&gt;COUNT(Dong5),"",OFFSET(TH!E$1,SMALL(Dong5,ROWS($1:420)),))</f>
        <v>42537</v>
      </c>
      <c r="D434" s="383" t="str">
        <f ca="1">IF(ROWS($1:420)&gt;COUNT(Dong5),"",OFFSET(TH!F$1,SMALL(Dong5,ROWS($1:420)),))</f>
        <v>VAT Phí dịch vụ</v>
      </c>
      <c r="E434" s="318" t="str">
        <f ca="1">IF(ROWS($1:420)&gt;COUNT(Dong5),"",IF(OFFSET(TH!N$1,SMALL(Dong5,ROWS($1:420)),)=$E$7,OFFSET(TH!O$1,SMALL(Dong5,ROWS($1:420)),),OFFSET(TH!N$1,SMALL(Dong5,ROWS($1:420)),)))</f>
        <v>1121</v>
      </c>
      <c r="F434" s="384">
        <f ca="1">IF(ROWS($1:420)&gt;COUNT(Dong5),0,IF(OFFSET(TH!N$1,SMALL(Dong5,ROWS($1:420)),)=$E$7,OFFSET(TH!M$1,SMALL(Dong5,ROWS($1:420)),),0))</f>
        <v>2000</v>
      </c>
      <c r="G434" s="382">
        <f ca="1">IF(ROWS($1:420)&gt;COUNT(Dong5),0,IF(OFFSET(TH!O$1,SMALL(Dong5,ROWS($1:420)),)=$E$7,OFFSET(TH!M$1,SMALL(Dong5,ROWS($1:420)),),0))</f>
        <v>0</v>
      </c>
      <c r="H434" s="385">
        <f ca="1">IF(D434&lt;&gt;"",MAX(H433+F434-G434-I433,0),0)</f>
        <v>272854927</v>
      </c>
      <c r="I434" s="385">
        <f ca="1">IF(D434&lt;&gt;"",MAX(I433+G434-H433-F434,0),0)</f>
        <v>0</v>
      </c>
      <c r="J434" s="18">
        <f ca="1">MONTH(A434)</f>
        <v>6</v>
      </c>
    </row>
    <row r="435" spans="1:10" s="18" customFormat="1" ht="18" customHeight="1">
      <c r="A435" s="318">
        <f ca="1">IF(ROWS($1:421)&gt;COUNT(Dong5),"",OFFSET(TH!C$1,SMALL(Dong5,ROWS($1:421)),))</f>
        <v>42538</v>
      </c>
      <c r="B435" s="318" t="str">
        <f ca="1">IF(ROWS($1:421)&gt;COUNT(Dong5),"",OFFSET(TH!D$1,SMALL(Dong5,ROWS($1:421)),))</f>
        <v>C22</v>
      </c>
      <c r="C435" s="318">
        <f ca="1">IF(ROWS($1:421)&gt;COUNT(Dong5),"",OFFSET(TH!E$1,SMALL(Dong5,ROWS($1:421)),))</f>
        <v>42538</v>
      </c>
      <c r="D435" s="383" t="str">
        <f ca="1">IF(ROWS($1:421)&gt;COUNT(Dong5),"",OFFSET(TH!F$1,SMALL(Dong5,ROWS($1:421)),))</f>
        <v>VAT Phí CPN</v>
      </c>
      <c r="E435" s="318" t="str">
        <f ca="1">IF(ROWS($1:421)&gt;COUNT(Dong5),"",IF(OFFSET(TH!N$1,SMALL(Dong5,ROWS($1:421)),)=$E$7,OFFSET(TH!O$1,SMALL(Dong5,ROWS($1:421)),),OFFSET(TH!N$1,SMALL(Dong5,ROWS($1:421)),)))</f>
        <v>1111</v>
      </c>
      <c r="F435" s="384">
        <f ca="1">IF(ROWS($1:421)&gt;COUNT(Dong5),0,IF(OFFSET(TH!N$1,SMALL(Dong5,ROWS($1:421)),)=$E$7,OFFSET(TH!M$1,SMALL(Dong5,ROWS($1:421)),),0))</f>
        <v>35456</v>
      </c>
      <c r="G435" s="382">
        <f ca="1">IF(ROWS($1:421)&gt;COUNT(Dong5),0,IF(OFFSET(TH!O$1,SMALL(Dong5,ROWS($1:421)),)=$E$7,OFFSET(TH!M$1,SMALL(Dong5,ROWS($1:421)),),0))</f>
        <v>0</v>
      </c>
      <c r="H435" s="385">
        <f ca="1">IF(D435&lt;&gt;"",MAX(H434+F435-G435-I434,0),0)</f>
        <v>272890383</v>
      </c>
      <c r="I435" s="385">
        <f ca="1">IF(D435&lt;&gt;"",MAX(I434+G435-H434-F435,0),0)</f>
        <v>0</v>
      </c>
      <c r="J435" s="18">
        <f ca="1">MONTH(A435)</f>
        <v>6</v>
      </c>
    </row>
    <row r="436" spans="1:10" s="18" customFormat="1" ht="18" customHeight="1">
      <c r="A436" s="318">
        <f ca="1">IF(ROWS($1:422)&gt;COUNT(Dong5),"",OFFSET(TH!C$1,SMALL(Dong5,ROWS($1:422)),))</f>
        <v>42538</v>
      </c>
      <c r="B436" s="318" t="str">
        <f ca="1">IF(ROWS($1:422)&gt;COUNT(Dong5),"",OFFSET(TH!D$1,SMALL(Dong5,ROWS($1:422)),))</f>
        <v>CTGS</v>
      </c>
      <c r="C436" s="318">
        <f ca="1">IF(ROWS($1:422)&gt;COUNT(Dong5),"",OFFSET(TH!E$1,SMALL(Dong5,ROWS($1:422)),))</f>
        <v>42538</v>
      </c>
      <c r="D436" s="383" t="str">
        <f ca="1">IF(ROWS($1:422)&gt;COUNT(Dong5),"",OFFSET(TH!F$1,SMALL(Dong5,ROWS($1:422)),))</f>
        <v>VAT Phí xử lý bộ chứng từ</v>
      </c>
      <c r="E436" s="318" t="str">
        <f ca="1">IF(ROWS($1:422)&gt;COUNT(Dong5),"",IF(OFFSET(TH!N$1,SMALL(Dong5,ROWS($1:422)),)=$E$7,OFFSET(TH!O$1,SMALL(Dong5,ROWS($1:422)),),OFFSET(TH!N$1,SMALL(Dong5,ROWS($1:422)),)))</f>
        <v>131</v>
      </c>
      <c r="F436" s="384">
        <f ca="1">IF(ROWS($1:422)&gt;COUNT(Dong5),0,IF(OFFSET(TH!N$1,SMALL(Dong5,ROWS($1:422)),)=$E$7,OFFSET(TH!M$1,SMALL(Dong5,ROWS($1:422)),),0))</f>
        <v>22340</v>
      </c>
      <c r="G436" s="382">
        <f ca="1">IF(ROWS($1:422)&gt;COUNT(Dong5),0,IF(OFFSET(TH!O$1,SMALL(Dong5,ROWS($1:422)),)=$E$7,OFFSET(TH!M$1,SMALL(Dong5,ROWS($1:422)),),0))</f>
        <v>0</v>
      </c>
      <c r="H436" s="385">
        <f ca="1">IF(D436&lt;&gt;"",MAX(H435+F436-G436-I435,0),0)</f>
        <v>272912723</v>
      </c>
      <c r="I436" s="385">
        <f ca="1">IF(D436&lt;&gt;"",MAX(I435+G436-H435-F436,0),0)</f>
        <v>0</v>
      </c>
      <c r="J436" s="18">
        <f ca="1">MONTH(A436)</f>
        <v>6</v>
      </c>
    </row>
    <row r="437" spans="1:10" s="18" customFormat="1" ht="18" customHeight="1">
      <c r="A437" s="318">
        <f ca="1">IF(ROWS($1:423)&gt;COUNT(Dong5),"",OFFSET(TH!C$1,SMALL(Dong5,ROWS($1:423)),))</f>
        <v>42538</v>
      </c>
      <c r="B437" s="318" t="str">
        <f ca="1">IF(ROWS($1:423)&gt;COUNT(Dong5),"",OFFSET(TH!D$1,SMALL(Dong5,ROWS($1:423)),))</f>
        <v>CTGS</v>
      </c>
      <c r="C437" s="318">
        <f ca="1">IF(ROWS($1:423)&gt;COUNT(Dong5),"",OFFSET(TH!E$1,SMALL(Dong5,ROWS($1:423)),))</f>
        <v>42538</v>
      </c>
      <c r="D437" s="383" t="str">
        <f ca="1">IF(ROWS($1:423)&gt;COUNT(Dong5),"",OFFSET(TH!F$1,SMALL(Dong5,ROWS($1:423)),))</f>
        <v>VAT Phí DHL</v>
      </c>
      <c r="E437" s="318" t="str">
        <f ca="1">IF(ROWS($1:423)&gt;COUNT(Dong5),"",IF(OFFSET(TH!N$1,SMALL(Dong5,ROWS($1:423)),)=$E$7,OFFSET(TH!O$1,SMALL(Dong5,ROWS($1:423)),),OFFSET(TH!N$1,SMALL(Dong5,ROWS($1:423)),)))</f>
        <v>131</v>
      </c>
      <c r="F437" s="384">
        <f ca="1">IF(ROWS($1:423)&gt;COUNT(Dong5),0,IF(OFFSET(TH!N$1,SMALL(Dong5,ROWS($1:423)),)=$E$7,OFFSET(TH!M$1,SMALL(Dong5,ROWS($1:423)),),0))</f>
        <v>61658</v>
      </c>
      <c r="G437" s="382">
        <f ca="1">IF(ROWS($1:423)&gt;COUNT(Dong5),0,IF(OFFSET(TH!O$1,SMALL(Dong5,ROWS($1:423)),)=$E$7,OFFSET(TH!M$1,SMALL(Dong5,ROWS($1:423)),),0))</f>
        <v>0</v>
      </c>
      <c r="H437" s="385">
        <f ca="1">IF(D437&lt;&gt;"",MAX(H436+F437-G437-I436,0),0)</f>
        <v>272974381</v>
      </c>
      <c r="I437" s="385">
        <f ca="1">IF(D437&lt;&gt;"",MAX(I436+G437-H436-F437,0),0)</f>
        <v>0</v>
      </c>
      <c r="J437" s="18">
        <f ca="1">MONTH(A437)</f>
        <v>6</v>
      </c>
    </row>
    <row r="438" spans="1:10" s="18" customFormat="1" ht="18" customHeight="1">
      <c r="A438" s="318">
        <f ca="1">IF(ROWS($1:424)&gt;COUNT(Dong5),"",OFFSET(TH!C$1,SMALL(Dong5,ROWS($1:424)),))</f>
        <v>42538</v>
      </c>
      <c r="B438" s="318" t="str">
        <f ca="1">IF(ROWS($1:424)&gt;COUNT(Dong5),"",OFFSET(TH!D$1,SMALL(Dong5,ROWS($1:424)),))</f>
        <v>GBN</v>
      </c>
      <c r="C438" s="318">
        <f ca="1">IF(ROWS($1:424)&gt;COUNT(Dong5),"",OFFSET(TH!E$1,SMALL(Dong5,ROWS($1:424)),))</f>
        <v>42538</v>
      </c>
      <c r="D438" s="383" t="str">
        <f ca="1">IF(ROWS($1:424)&gt;COUNT(Dong5),"",OFFSET(TH!F$1,SMALL(Dong5,ROWS($1:424)),))</f>
        <v>VAT Phí dịch vụ thanh toán ngoài nước</v>
      </c>
      <c r="E438" s="318" t="str">
        <f ca="1">IF(ROWS($1:424)&gt;COUNT(Dong5),"",IF(OFFSET(TH!N$1,SMALL(Dong5,ROWS($1:424)),)=$E$7,OFFSET(TH!O$1,SMALL(Dong5,ROWS($1:424)),),OFFSET(TH!N$1,SMALL(Dong5,ROWS($1:424)),)))</f>
        <v>131</v>
      </c>
      <c r="F438" s="384">
        <f ca="1">IF(ROWS($1:424)&gt;COUNT(Dong5),0,IF(OFFSET(TH!N$1,SMALL(Dong5,ROWS($1:424)),)=$E$7,OFFSET(TH!M$1,SMALL(Dong5,ROWS($1:424)),),0))</f>
        <v>282510</v>
      </c>
      <c r="G438" s="382">
        <f ca="1">IF(ROWS($1:424)&gt;COUNT(Dong5),0,IF(OFFSET(TH!O$1,SMALL(Dong5,ROWS($1:424)),)=$E$7,OFFSET(TH!M$1,SMALL(Dong5,ROWS($1:424)),),0))</f>
        <v>0</v>
      </c>
      <c r="H438" s="385">
        <f ca="1">IF(D438&lt;&gt;"",MAX(H437+F438-G438-I437,0),0)</f>
        <v>273256891</v>
      </c>
      <c r="I438" s="385">
        <f ca="1">IF(D438&lt;&gt;"",MAX(I437+G438-H437-F438,0),0)</f>
        <v>0</v>
      </c>
      <c r="J438" s="18">
        <f ca="1">MONTH(A438)</f>
        <v>6</v>
      </c>
    </row>
    <row r="439" spans="1:10" s="18" customFormat="1" ht="18" customHeight="1">
      <c r="A439" s="318">
        <f ca="1">IF(ROWS($1:425)&gt;COUNT(Dong5),"",OFFSET(TH!C$1,SMALL(Dong5,ROWS($1:425)),))</f>
        <v>42538</v>
      </c>
      <c r="B439" s="318" t="str">
        <f ca="1">IF(ROWS($1:425)&gt;COUNT(Dong5),"",OFFSET(TH!D$1,SMALL(Dong5,ROWS($1:425)),))</f>
        <v>GBN</v>
      </c>
      <c r="C439" s="318">
        <f ca="1">IF(ROWS($1:425)&gt;COUNT(Dong5),"",OFFSET(TH!E$1,SMALL(Dong5,ROWS($1:425)),))</f>
        <v>42538</v>
      </c>
      <c r="D439" s="383" t="str">
        <f ca="1">IF(ROWS($1:425)&gt;COUNT(Dong5),"",OFFSET(TH!F$1,SMALL(Dong5,ROWS($1:425)),))</f>
        <v>VAT Phí thanh toán nhờ thu</v>
      </c>
      <c r="E439" s="318" t="str">
        <f ca="1">IF(ROWS($1:425)&gt;COUNT(Dong5),"",IF(OFFSET(TH!N$1,SMALL(Dong5,ROWS($1:425)),)=$E$7,OFFSET(TH!O$1,SMALL(Dong5,ROWS($1:425)),),OFFSET(TH!N$1,SMALL(Dong5,ROWS($1:425)),)))</f>
        <v>1121</v>
      </c>
      <c r="F439" s="384">
        <f ca="1">IF(ROWS($1:425)&gt;COUNT(Dong5),0,IF(OFFSET(TH!N$1,SMALL(Dong5,ROWS($1:425)),)=$E$7,OFFSET(TH!M$1,SMALL(Dong5,ROWS($1:425)),),0))</f>
        <v>44680</v>
      </c>
      <c r="G439" s="382">
        <f ca="1">IF(ROWS($1:425)&gt;COUNT(Dong5),0,IF(OFFSET(TH!O$1,SMALL(Dong5,ROWS($1:425)),)=$E$7,OFFSET(TH!M$1,SMALL(Dong5,ROWS($1:425)),),0))</f>
        <v>0</v>
      </c>
      <c r="H439" s="385">
        <f ca="1">IF(D439&lt;&gt;"",MAX(H438+F439-G439-I438,0),0)</f>
        <v>273301571</v>
      </c>
      <c r="I439" s="385">
        <f ca="1">IF(D439&lt;&gt;"",MAX(I438+G439-H438-F439,0),0)</f>
        <v>0</v>
      </c>
      <c r="J439" s="18">
        <f ca="1">MONTH(A439)</f>
        <v>6</v>
      </c>
    </row>
    <row r="440" spans="1:10" s="18" customFormat="1" ht="18" customHeight="1">
      <c r="A440" s="318">
        <f ca="1">IF(ROWS($1:426)&gt;COUNT(Dong5),"",OFFSET(TH!C$1,SMALL(Dong5,ROWS($1:426)),))</f>
        <v>42538</v>
      </c>
      <c r="B440" s="318" t="str">
        <f ca="1">IF(ROWS($1:426)&gt;COUNT(Dong5),"",OFFSET(TH!D$1,SMALL(Dong5,ROWS($1:426)),))</f>
        <v>GBN</v>
      </c>
      <c r="C440" s="318">
        <f ca="1">IF(ROWS($1:426)&gt;COUNT(Dong5),"",OFFSET(TH!E$1,SMALL(Dong5,ROWS($1:426)),))</f>
        <v>42538</v>
      </c>
      <c r="D440" s="383" t="str">
        <f ca="1">IF(ROWS($1:426)&gt;COUNT(Dong5),"",OFFSET(TH!F$1,SMALL(Dong5,ROWS($1:426)),))</f>
        <v>VAT Phí thông báo tu chỉnh LC</v>
      </c>
      <c r="E440" s="318" t="str">
        <f ca="1">IF(ROWS($1:426)&gt;COUNT(Dong5),"",IF(OFFSET(TH!N$1,SMALL(Dong5,ROWS($1:426)),)=$E$7,OFFSET(TH!O$1,SMALL(Dong5,ROWS($1:426)),),OFFSET(TH!N$1,SMALL(Dong5,ROWS($1:426)),)))</f>
        <v>1122</v>
      </c>
      <c r="F440" s="384">
        <f ca="1">IF(ROWS($1:426)&gt;COUNT(Dong5),0,IF(OFFSET(TH!N$1,SMALL(Dong5,ROWS($1:426)),)=$E$7,OFFSET(TH!M$1,SMALL(Dong5,ROWS($1:426)),),0))</f>
        <v>11140</v>
      </c>
      <c r="G440" s="382">
        <f ca="1">IF(ROWS($1:426)&gt;COUNT(Dong5),0,IF(OFFSET(TH!O$1,SMALL(Dong5,ROWS($1:426)),)=$E$7,OFFSET(TH!M$1,SMALL(Dong5,ROWS($1:426)),),0))</f>
        <v>0</v>
      </c>
      <c r="H440" s="385">
        <f ca="1">IF(D440&lt;&gt;"",MAX(H439+F440-G440-I439,0),0)</f>
        <v>273312711</v>
      </c>
      <c r="I440" s="385">
        <f ca="1">IF(D440&lt;&gt;"",MAX(I439+G440-H439-F440,0),0)</f>
        <v>0</v>
      </c>
      <c r="J440" s="18">
        <f ca="1">MONTH(A440)</f>
        <v>6</v>
      </c>
    </row>
    <row r="441" spans="1:10" s="18" customFormat="1" ht="18" customHeight="1">
      <c r="A441" s="318">
        <f ca="1">IF(ROWS($1:427)&gt;COUNT(Dong5),"",OFFSET(TH!C$1,SMALL(Dong5,ROWS($1:427)),))</f>
        <v>42538</v>
      </c>
      <c r="B441" s="318" t="str">
        <f ca="1">IF(ROWS($1:427)&gt;COUNT(Dong5),"",OFFSET(TH!D$1,SMALL(Dong5,ROWS($1:427)),))</f>
        <v>GBN</v>
      </c>
      <c r="C441" s="318">
        <f ca="1">IF(ROWS($1:427)&gt;COUNT(Dong5),"",OFFSET(TH!E$1,SMALL(Dong5,ROWS($1:427)),))</f>
        <v>42538</v>
      </c>
      <c r="D441" s="383" t="str">
        <f ca="1">IF(ROWS($1:427)&gt;COUNT(Dong5),"",OFFSET(TH!F$1,SMALL(Dong5,ROWS($1:427)),))</f>
        <v>VAT Phí thông báo số dư tự động</v>
      </c>
      <c r="E441" s="318" t="str">
        <f ca="1">IF(ROWS($1:427)&gt;COUNT(Dong5),"",IF(OFFSET(TH!N$1,SMALL(Dong5,ROWS($1:427)),)=$E$7,OFFSET(TH!O$1,SMALL(Dong5,ROWS($1:427)),),OFFSET(TH!N$1,SMALL(Dong5,ROWS($1:427)),)))</f>
        <v>1121</v>
      </c>
      <c r="F441" s="384">
        <f ca="1">IF(ROWS($1:427)&gt;COUNT(Dong5),0,IF(OFFSET(TH!N$1,SMALL(Dong5,ROWS($1:427)),)=$E$7,OFFSET(TH!M$1,SMALL(Dong5,ROWS($1:427)),),0))</f>
        <v>5000</v>
      </c>
      <c r="G441" s="382">
        <f ca="1">IF(ROWS($1:427)&gt;COUNT(Dong5),0,IF(OFFSET(TH!O$1,SMALL(Dong5,ROWS($1:427)),)=$E$7,OFFSET(TH!M$1,SMALL(Dong5,ROWS($1:427)),),0))</f>
        <v>0</v>
      </c>
      <c r="H441" s="385">
        <f ca="1">IF(D441&lt;&gt;"",MAX(H440+F441-G441-I440,0),0)</f>
        <v>273317711</v>
      </c>
      <c r="I441" s="385">
        <f ca="1">IF(D441&lt;&gt;"",MAX(I440+G441-H440-F441,0),0)</f>
        <v>0</v>
      </c>
      <c r="J441" s="18">
        <f ca="1">MONTH(A441)</f>
        <v>6</v>
      </c>
    </row>
    <row r="442" spans="1:10" s="18" customFormat="1" ht="18" customHeight="1">
      <c r="A442" s="318">
        <f ca="1">IF(ROWS($1:428)&gt;COUNT(Dong5),"",OFFSET(TH!C$1,SMALL(Dong5,ROWS($1:428)),))</f>
        <v>42538</v>
      </c>
      <c r="B442" s="318" t="str">
        <f ca="1">IF(ROWS($1:428)&gt;COUNT(Dong5),"",OFFSET(TH!D$1,SMALL(Dong5,ROWS($1:428)),))</f>
        <v>GBN</v>
      </c>
      <c r="C442" s="318">
        <f ca="1">IF(ROWS($1:428)&gt;COUNT(Dong5),"",OFFSET(TH!E$1,SMALL(Dong5,ROWS($1:428)),))</f>
        <v>42538</v>
      </c>
      <c r="D442" s="383" t="str">
        <f ca="1">IF(ROWS($1:428)&gt;COUNT(Dong5),"",OFFSET(TH!F$1,SMALL(Dong5,ROWS($1:428)),))</f>
        <v>VAT Phí thông báo số dư tự động</v>
      </c>
      <c r="E442" s="318" t="str">
        <f ca="1">IF(ROWS($1:428)&gt;COUNT(Dong5),"",IF(OFFSET(TH!N$1,SMALL(Dong5,ROWS($1:428)),)=$E$7,OFFSET(TH!O$1,SMALL(Dong5,ROWS($1:428)),),OFFSET(TH!N$1,SMALL(Dong5,ROWS($1:428)),)))</f>
        <v>1121</v>
      </c>
      <c r="F442" s="384">
        <f ca="1">IF(ROWS($1:428)&gt;COUNT(Dong5),0,IF(OFFSET(TH!N$1,SMALL(Dong5,ROWS($1:428)),)=$E$7,OFFSET(TH!M$1,SMALL(Dong5,ROWS($1:428)),),0))</f>
        <v>5000</v>
      </c>
      <c r="G442" s="382">
        <f ca="1">IF(ROWS($1:428)&gt;COUNT(Dong5),0,IF(OFFSET(TH!O$1,SMALL(Dong5,ROWS($1:428)),)=$E$7,OFFSET(TH!M$1,SMALL(Dong5,ROWS($1:428)),),0))</f>
        <v>0</v>
      </c>
      <c r="H442" s="385">
        <f ca="1">IF(D442&lt;&gt;"",MAX(H441+F442-G442-I441,0),0)</f>
        <v>273322711</v>
      </c>
      <c r="I442" s="385">
        <f ca="1">IF(D442&lt;&gt;"",MAX(I441+G442-H441-F442,0),0)</f>
        <v>0</v>
      </c>
      <c r="J442" s="18">
        <f ca="1">MONTH(A442)</f>
        <v>6</v>
      </c>
    </row>
    <row r="443" spans="1:10" s="18" customFormat="1" ht="18" customHeight="1">
      <c r="A443" s="318">
        <f ca="1">IF(ROWS($1:429)&gt;COUNT(Dong5),"",OFFSET(TH!C$1,SMALL(Dong5,ROWS($1:429)),))</f>
        <v>42541</v>
      </c>
      <c r="B443" s="318" t="str">
        <f ca="1">IF(ROWS($1:429)&gt;COUNT(Dong5),"",OFFSET(TH!D$1,SMALL(Dong5,ROWS($1:429)),))</f>
        <v>C25</v>
      </c>
      <c r="C443" s="318">
        <f ca="1">IF(ROWS($1:429)&gt;COUNT(Dong5),"",OFFSET(TH!E$1,SMALL(Dong5,ROWS($1:429)),))</f>
        <v>42541</v>
      </c>
      <c r="D443" s="383" t="str">
        <f ca="1">IF(ROWS($1:429)&gt;COUNT(Dong5),"",OFFSET(TH!F$1,SMALL(Dong5,ROWS($1:429)),))</f>
        <v>VAT Phí chuừng từ, bốc xếp, xếp dỡ, phụ trội, giao nhận</v>
      </c>
      <c r="E443" s="318" t="str">
        <f ca="1">IF(ROWS($1:429)&gt;COUNT(Dong5),"",IF(OFFSET(TH!N$1,SMALL(Dong5,ROWS($1:429)),)=$E$7,OFFSET(TH!O$1,SMALL(Dong5,ROWS($1:429)),),OFFSET(TH!N$1,SMALL(Dong5,ROWS($1:429)),)))</f>
        <v>1111</v>
      </c>
      <c r="F443" s="384">
        <f ca="1">IF(ROWS($1:429)&gt;COUNT(Dong5),0,IF(OFFSET(TH!N$1,SMALL(Dong5,ROWS($1:429)),)=$E$7,OFFSET(TH!M$1,SMALL(Dong5,ROWS($1:429)),),0))</f>
        <v>254828</v>
      </c>
      <c r="G443" s="382">
        <f ca="1">IF(ROWS($1:429)&gt;COUNT(Dong5),0,IF(OFFSET(TH!O$1,SMALL(Dong5,ROWS($1:429)),)=$E$7,OFFSET(TH!M$1,SMALL(Dong5,ROWS($1:429)),),0))</f>
        <v>0</v>
      </c>
      <c r="H443" s="385">
        <f ca="1">IF(D443&lt;&gt;"",MAX(H442+F443-G443-I442,0),0)</f>
        <v>273577539</v>
      </c>
      <c r="I443" s="385">
        <f ca="1">IF(D443&lt;&gt;"",MAX(I442+G443-H442-F443,0),0)</f>
        <v>0</v>
      </c>
      <c r="J443" s="18">
        <f ca="1">MONTH(A443)</f>
        <v>6</v>
      </c>
    </row>
    <row r="444" spans="1:10" s="18" customFormat="1" ht="18" customHeight="1">
      <c r="A444" s="318">
        <f ca="1">IF(ROWS($1:430)&gt;COUNT(Dong5),"",OFFSET(TH!C$1,SMALL(Dong5,ROWS($1:430)),))</f>
        <v>42541</v>
      </c>
      <c r="B444" s="318" t="str">
        <f ca="1">IF(ROWS($1:430)&gt;COUNT(Dong5),"",OFFSET(TH!D$1,SMALL(Dong5,ROWS($1:430)),))</f>
        <v>C26</v>
      </c>
      <c r="C444" s="318">
        <f ca="1">IF(ROWS($1:430)&gt;COUNT(Dong5),"",OFFSET(TH!E$1,SMALL(Dong5,ROWS($1:430)),))</f>
        <v>42541</v>
      </c>
      <c r="D444" s="383" t="str">
        <f ca="1">IF(ROWS($1:430)&gt;COUNT(Dong5),"",OFFSET(TH!F$1,SMALL(Dong5,ROWS($1:430)),))</f>
        <v>VAT Xăng</v>
      </c>
      <c r="E444" s="318" t="str">
        <f ca="1">IF(ROWS($1:430)&gt;COUNT(Dong5),"",IF(OFFSET(TH!N$1,SMALL(Dong5,ROWS($1:430)),)=$E$7,OFFSET(TH!O$1,SMALL(Dong5,ROWS($1:430)),),OFFSET(TH!N$1,SMALL(Dong5,ROWS($1:430)),)))</f>
        <v>1111</v>
      </c>
      <c r="F444" s="384">
        <f ca="1">IF(ROWS($1:430)&gt;COUNT(Dong5),0,IF(OFFSET(TH!N$1,SMALL(Dong5,ROWS($1:430)),)=$E$7,OFFSET(TH!M$1,SMALL(Dong5,ROWS($1:430)),),0))</f>
        <v>146982</v>
      </c>
      <c r="G444" s="382">
        <f ca="1">IF(ROWS($1:430)&gt;COUNT(Dong5),0,IF(OFFSET(TH!O$1,SMALL(Dong5,ROWS($1:430)),)=$E$7,OFFSET(TH!M$1,SMALL(Dong5,ROWS($1:430)),),0))</f>
        <v>0</v>
      </c>
      <c r="H444" s="385">
        <f ca="1">IF(D444&lt;&gt;"",MAX(H443+F444-G444-I443,0),0)</f>
        <v>273724521</v>
      </c>
      <c r="I444" s="385">
        <f ca="1">IF(D444&lt;&gt;"",MAX(I443+G444-H443-F444,0),0)</f>
        <v>0</v>
      </c>
      <c r="J444" s="18">
        <f ca="1">MONTH(A444)</f>
        <v>6</v>
      </c>
    </row>
    <row r="445" spans="1:10" s="18" customFormat="1" ht="18" customHeight="1">
      <c r="A445" s="318">
        <f ca="1">IF(ROWS($1:431)&gt;COUNT(Dong5),"",OFFSET(TH!C$1,SMALL(Dong5,ROWS($1:431)),))</f>
        <v>42593</v>
      </c>
      <c r="B445" s="318" t="str">
        <f ca="1">IF(ROWS($1:431)&gt;COUNT(Dong5),"",OFFSET(TH!D$1,SMALL(Dong5,ROWS($1:431)),))</f>
        <v>CTGS</v>
      </c>
      <c r="C445" s="318">
        <f ca="1">IF(ROWS($1:431)&gt;COUNT(Dong5),"",OFFSET(TH!E$1,SMALL(Dong5,ROWS($1:431)),))</f>
        <v>42593</v>
      </c>
      <c r="D445" s="383" t="str">
        <f ca="1">IF(ROWS($1:431)&gt;COUNT(Dong5),"",OFFSET(TH!F$1,SMALL(Dong5,ROWS($1:431)),))</f>
        <v>VAT Phí thanh toán bộ chứng từ</v>
      </c>
      <c r="E445" s="318" t="str">
        <f ca="1">IF(ROWS($1:431)&gt;COUNT(Dong5),"",IF(OFFSET(TH!N$1,SMALL(Dong5,ROWS($1:431)),)=$E$7,OFFSET(TH!O$1,SMALL(Dong5,ROWS($1:431)),),OFFSET(TH!N$1,SMALL(Dong5,ROWS($1:431)),)))</f>
        <v>131</v>
      </c>
      <c r="F445" s="384">
        <f ca="1">IF(ROWS($1:431)&gt;COUNT(Dong5),0,IF(OFFSET(TH!N$1,SMALL(Dong5,ROWS($1:431)),)=$E$7,OFFSET(TH!M$1,SMALL(Dong5,ROWS($1:431)),),0))</f>
        <v>158785</v>
      </c>
      <c r="G445" s="382">
        <f ca="1">IF(ROWS($1:431)&gt;COUNT(Dong5),0,IF(OFFSET(TH!O$1,SMALL(Dong5,ROWS($1:431)),)=$E$7,OFFSET(TH!M$1,SMALL(Dong5,ROWS($1:431)),),0))</f>
        <v>0</v>
      </c>
      <c r="H445" s="385">
        <f ca="1">IF(D445&lt;&gt;"",MAX(H444+F445-G445-I444,0),0)</f>
        <v>273883306</v>
      </c>
      <c r="I445" s="385">
        <f ca="1">IF(D445&lt;&gt;"",MAX(I444+G445-H444-F445,0),0)</f>
        <v>0</v>
      </c>
      <c r="J445" s="18">
        <f ca="1">MONTH(A445)</f>
        <v>8</v>
      </c>
    </row>
    <row r="446" spans="1:10" s="18" customFormat="1" ht="18" customHeight="1">
      <c r="A446" s="318">
        <f ca="1">IF(ROWS($1:432)&gt;COUNT(Dong5),"",OFFSET(TH!C$1,SMALL(Dong5,ROWS($1:432)),))</f>
        <v>42543</v>
      </c>
      <c r="B446" s="318" t="str">
        <f ca="1">IF(ROWS($1:432)&gt;COUNT(Dong5),"",OFFSET(TH!D$1,SMALL(Dong5,ROWS($1:432)),))</f>
        <v>C30</v>
      </c>
      <c r="C446" s="318">
        <f ca="1">IF(ROWS($1:432)&gt;COUNT(Dong5),"",OFFSET(TH!E$1,SMALL(Dong5,ROWS($1:432)),))</f>
        <v>42543</v>
      </c>
      <c r="D446" s="383" t="str">
        <f ca="1">IF(ROWS($1:432)&gt;COUNT(Dong5),"",OFFSET(TH!F$1,SMALL(Dong5,ROWS($1:432)),))</f>
        <v>VAT Phí lưu kho</v>
      </c>
      <c r="E446" s="318" t="str">
        <f ca="1">IF(ROWS($1:432)&gt;COUNT(Dong5),"",IF(OFFSET(TH!N$1,SMALL(Dong5,ROWS($1:432)),)=$E$7,OFFSET(TH!O$1,SMALL(Dong5,ROWS($1:432)),),OFFSET(TH!N$1,SMALL(Dong5,ROWS($1:432)),)))</f>
        <v>1111</v>
      </c>
      <c r="F446" s="384">
        <f ca="1">IF(ROWS($1:432)&gt;COUNT(Dong5),0,IF(OFFSET(TH!N$1,SMALL(Dong5,ROWS($1:432)),)=$E$7,OFFSET(TH!M$1,SMALL(Dong5,ROWS($1:432)),),0))</f>
        <v>10756</v>
      </c>
      <c r="G446" s="382">
        <f ca="1">IF(ROWS($1:432)&gt;COUNT(Dong5),0,IF(OFFSET(TH!O$1,SMALL(Dong5,ROWS($1:432)),)=$E$7,OFFSET(TH!M$1,SMALL(Dong5,ROWS($1:432)),),0))</f>
        <v>0</v>
      </c>
      <c r="H446" s="385">
        <f ca="1">IF(D446&lt;&gt;"",MAX(H445+F446-G446-I445,0),0)</f>
        <v>273894062</v>
      </c>
      <c r="I446" s="385">
        <f ca="1">IF(D446&lt;&gt;"",MAX(I445+G446-H445-F446,0),0)</f>
        <v>0</v>
      </c>
      <c r="J446" s="18">
        <f ca="1">MONTH(A446)</f>
        <v>6</v>
      </c>
    </row>
    <row r="447" spans="1:10" s="18" customFormat="1" ht="18" customHeight="1">
      <c r="A447" s="318">
        <f ca="1">IF(ROWS($1:433)&gt;COUNT(Dong5),"",OFFSET(TH!C$1,SMALL(Dong5,ROWS($1:433)),))</f>
        <v>42543</v>
      </c>
      <c r="B447" s="318" t="str">
        <f ca="1">IF(ROWS($1:433)&gt;COUNT(Dong5),"",OFFSET(TH!D$1,SMALL(Dong5,ROWS($1:433)),))</f>
        <v>GBN</v>
      </c>
      <c r="C447" s="318">
        <f ca="1">IF(ROWS($1:433)&gt;COUNT(Dong5),"",OFFSET(TH!E$1,SMALL(Dong5,ROWS($1:433)),))</f>
        <v>42543</v>
      </c>
      <c r="D447" s="383" t="str">
        <f ca="1">IF(ROWS($1:433)&gt;COUNT(Dong5),"",OFFSET(TH!F$1,SMALL(Dong5,ROWS($1:433)),))</f>
        <v>VAT Phí dịch vụ</v>
      </c>
      <c r="E447" s="318" t="str">
        <f ca="1">IF(ROWS($1:433)&gt;COUNT(Dong5),"",IF(OFFSET(TH!N$1,SMALL(Dong5,ROWS($1:433)),)=$E$7,OFFSET(TH!O$1,SMALL(Dong5,ROWS($1:433)),),OFFSET(TH!N$1,SMALL(Dong5,ROWS($1:433)),)))</f>
        <v>1121</v>
      </c>
      <c r="F447" s="384">
        <f ca="1">IF(ROWS($1:433)&gt;COUNT(Dong5),0,IF(OFFSET(TH!N$1,SMALL(Dong5,ROWS($1:433)),)=$E$7,OFFSET(TH!M$1,SMALL(Dong5,ROWS($1:433)),),0))</f>
        <v>2500</v>
      </c>
      <c r="G447" s="382">
        <f ca="1">IF(ROWS($1:433)&gt;COUNT(Dong5),0,IF(OFFSET(TH!O$1,SMALL(Dong5,ROWS($1:433)),)=$E$7,OFFSET(TH!M$1,SMALL(Dong5,ROWS($1:433)),),0))</f>
        <v>0</v>
      </c>
      <c r="H447" s="385">
        <f ca="1">IF(D447&lt;&gt;"",MAX(H446+F447-G447-I446,0),0)</f>
        <v>273896562</v>
      </c>
      <c r="I447" s="385">
        <f ca="1">IF(D447&lt;&gt;"",MAX(I446+G447-H446-F447,0),0)</f>
        <v>0</v>
      </c>
      <c r="J447" s="18">
        <f ca="1">MONTH(A447)</f>
        <v>6</v>
      </c>
    </row>
    <row r="448" spans="1:10" s="18" customFormat="1" ht="18" customHeight="1">
      <c r="A448" s="318">
        <f ca="1">IF(ROWS($1:434)&gt;COUNT(Dong5),"",OFFSET(TH!C$1,SMALL(Dong5,ROWS($1:434)),))</f>
        <v>42544</v>
      </c>
      <c r="B448" s="318" t="str">
        <f ca="1">IF(ROWS($1:434)&gt;COUNT(Dong5),"",OFFSET(TH!D$1,SMALL(Dong5,ROWS($1:434)),))</f>
        <v>C32</v>
      </c>
      <c r="C448" s="318">
        <f ca="1">IF(ROWS($1:434)&gt;COUNT(Dong5),"",OFFSET(TH!E$1,SMALL(Dong5,ROWS($1:434)),))</f>
        <v>42544</v>
      </c>
      <c r="D448" s="383" t="str">
        <f ca="1">IF(ROWS($1:434)&gt;COUNT(Dong5),"",OFFSET(TH!F$1,SMALL(Dong5,ROWS($1:434)),))</f>
        <v>VAT Xăng</v>
      </c>
      <c r="E448" s="318" t="str">
        <f ca="1">IF(ROWS($1:434)&gt;COUNT(Dong5),"",IF(OFFSET(TH!N$1,SMALL(Dong5,ROWS($1:434)),)=$E$7,OFFSET(TH!O$1,SMALL(Dong5,ROWS($1:434)),),OFFSET(TH!N$1,SMALL(Dong5,ROWS($1:434)),)))</f>
        <v>1111</v>
      </c>
      <c r="F448" s="384">
        <f ca="1">IF(ROWS($1:434)&gt;COUNT(Dong5),0,IF(OFFSET(TH!N$1,SMALL(Dong5,ROWS($1:434)),)=$E$7,OFFSET(TH!M$1,SMALL(Dong5,ROWS($1:434)),),0))</f>
        <v>85833</v>
      </c>
      <c r="G448" s="382">
        <f ca="1">IF(ROWS($1:434)&gt;COUNT(Dong5),0,IF(OFFSET(TH!O$1,SMALL(Dong5,ROWS($1:434)),)=$E$7,OFFSET(TH!M$1,SMALL(Dong5,ROWS($1:434)),),0))</f>
        <v>0</v>
      </c>
      <c r="H448" s="385">
        <f ca="1">IF(D448&lt;&gt;"",MAX(H447+F448-G448-I447,0),0)</f>
        <v>273982395</v>
      </c>
      <c r="I448" s="385">
        <f ca="1">IF(D448&lt;&gt;"",MAX(I447+G448-H447-F448,0),0)</f>
        <v>0</v>
      </c>
      <c r="J448" s="18">
        <f ca="1">MONTH(A448)</f>
        <v>6</v>
      </c>
    </row>
    <row r="449" spans="1:10" s="18" customFormat="1" ht="18" customHeight="1">
      <c r="A449" s="318">
        <f ca="1">IF(ROWS($1:435)&gt;COUNT(Dong5),"",OFFSET(TH!C$1,SMALL(Dong5,ROWS($1:435)),))</f>
        <v>42544</v>
      </c>
      <c r="B449" s="318" t="str">
        <f ca="1">IF(ROWS($1:435)&gt;COUNT(Dong5),"",OFFSET(TH!D$1,SMALL(Dong5,ROWS($1:435)),))</f>
        <v>C33</v>
      </c>
      <c r="C449" s="318">
        <f ca="1">IF(ROWS($1:435)&gt;COUNT(Dong5),"",OFFSET(TH!E$1,SMALL(Dong5,ROWS($1:435)),))</f>
        <v>42544</v>
      </c>
      <c r="D449" s="383" t="str">
        <f ca="1">IF(ROWS($1:435)&gt;COUNT(Dong5),"",OFFSET(TH!F$1,SMALL(Dong5,ROWS($1:435)),))</f>
        <v>VAT Phí bốc xếp, lưu kho</v>
      </c>
      <c r="E449" s="318" t="str">
        <f ca="1">IF(ROWS($1:435)&gt;COUNT(Dong5),"",IF(OFFSET(TH!N$1,SMALL(Dong5,ROWS($1:435)),)=$E$7,OFFSET(TH!O$1,SMALL(Dong5,ROWS($1:435)),),OFFSET(TH!N$1,SMALL(Dong5,ROWS($1:435)),)))</f>
        <v>1111</v>
      </c>
      <c r="F449" s="384">
        <f ca="1">IF(ROWS($1:435)&gt;COUNT(Dong5),0,IF(OFFSET(TH!N$1,SMALL(Dong5,ROWS($1:435)),)=$E$7,OFFSET(TH!M$1,SMALL(Dong5,ROWS($1:435)),),0))</f>
        <v>5193</v>
      </c>
      <c r="G449" s="382">
        <f ca="1">IF(ROWS($1:435)&gt;COUNT(Dong5),0,IF(OFFSET(TH!O$1,SMALL(Dong5,ROWS($1:435)),)=$E$7,OFFSET(TH!M$1,SMALL(Dong5,ROWS($1:435)),),0))</f>
        <v>0</v>
      </c>
      <c r="H449" s="385">
        <f ca="1">IF(D449&lt;&gt;"",MAX(H448+F449-G449-I448,0),0)</f>
        <v>273987588</v>
      </c>
      <c r="I449" s="385">
        <f ca="1">IF(D449&lt;&gt;"",MAX(I448+G449-H448-F449,0),0)</f>
        <v>0</v>
      </c>
      <c r="J449" s="18">
        <f ca="1">MONTH(A449)</f>
        <v>6</v>
      </c>
    </row>
    <row r="450" spans="1:10" s="18" customFormat="1" ht="18" customHeight="1">
      <c r="A450" s="318">
        <f ca="1">IF(ROWS($1:436)&gt;COUNT(Dong5),"",OFFSET(TH!C$1,SMALL(Dong5,ROWS($1:436)),))</f>
        <v>42544</v>
      </c>
      <c r="B450" s="318" t="str">
        <f ca="1">IF(ROWS($1:436)&gt;COUNT(Dong5),"",OFFSET(TH!D$1,SMALL(Dong5,ROWS($1:436)),))</f>
        <v>C34</v>
      </c>
      <c r="C450" s="318">
        <f ca="1">IF(ROWS($1:436)&gt;COUNT(Dong5),"",OFFSET(TH!E$1,SMALL(Dong5,ROWS($1:436)),))</f>
        <v>42544</v>
      </c>
      <c r="D450" s="383" t="str">
        <f ca="1">IF(ROWS($1:436)&gt;COUNT(Dong5),"",OFFSET(TH!F$1,SMALL(Dong5,ROWS($1:436)),))</f>
        <v xml:space="preserve">VAT Cước vận chuyển </v>
      </c>
      <c r="E450" s="318" t="str">
        <f ca="1">IF(ROWS($1:436)&gt;COUNT(Dong5),"",IF(OFFSET(TH!N$1,SMALL(Dong5,ROWS($1:436)),)=$E$7,OFFSET(TH!O$1,SMALL(Dong5,ROWS($1:436)),),OFFSET(TH!N$1,SMALL(Dong5,ROWS($1:436)),)))</f>
        <v>1111</v>
      </c>
      <c r="F450" s="384">
        <f ca="1">IF(ROWS($1:436)&gt;COUNT(Dong5),0,IF(OFFSET(TH!N$1,SMALL(Dong5,ROWS($1:436)),)=$E$7,OFFSET(TH!M$1,SMALL(Dong5,ROWS($1:436)),),0))</f>
        <v>80000</v>
      </c>
      <c r="G450" s="382">
        <f ca="1">IF(ROWS($1:436)&gt;COUNT(Dong5),0,IF(OFFSET(TH!O$1,SMALL(Dong5,ROWS($1:436)),)=$E$7,OFFSET(TH!M$1,SMALL(Dong5,ROWS($1:436)),),0))</f>
        <v>0</v>
      </c>
      <c r="H450" s="385">
        <f ca="1">IF(D450&lt;&gt;"",MAX(H449+F450-G450-I449,0),0)</f>
        <v>274067588</v>
      </c>
      <c r="I450" s="385">
        <f ca="1">IF(D450&lt;&gt;"",MAX(I449+G450-H449-F450,0),0)</f>
        <v>0</v>
      </c>
      <c r="J450" s="18">
        <f ca="1">MONTH(A450)</f>
        <v>6</v>
      </c>
    </row>
    <row r="451" spans="1:10" s="18" customFormat="1" ht="18" customHeight="1">
      <c r="A451" s="318">
        <f ca="1">IF(ROWS($1:437)&gt;COUNT(Dong5),"",OFFSET(TH!C$1,SMALL(Dong5,ROWS($1:437)),))</f>
        <v>42546</v>
      </c>
      <c r="B451" s="318" t="str">
        <f ca="1">IF(ROWS($1:437)&gt;COUNT(Dong5),"",OFFSET(TH!D$1,SMALL(Dong5,ROWS($1:437)),))</f>
        <v>GBN</v>
      </c>
      <c r="C451" s="318">
        <f ca="1">IF(ROWS($1:437)&gt;COUNT(Dong5),"",OFFSET(TH!E$1,SMALL(Dong5,ROWS($1:437)),))</f>
        <v>42546</v>
      </c>
      <c r="D451" s="383" t="str">
        <f ca="1">IF(ROWS($1:437)&gt;COUNT(Dong5),"",OFFSET(TH!F$1,SMALL(Dong5,ROWS($1:437)),))</f>
        <v>VAT Phí dịch vụ thông báo số dư tự động</v>
      </c>
      <c r="E451" s="318" t="str">
        <f ca="1">IF(ROWS($1:437)&gt;COUNT(Dong5),"",IF(OFFSET(TH!N$1,SMALL(Dong5,ROWS($1:437)),)=$E$7,OFFSET(TH!O$1,SMALL(Dong5,ROWS($1:437)),),OFFSET(TH!N$1,SMALL(Dong5,ROWS($1:437)),)))</f>
        <v>1121</v>
      </c>
      <c r="F451" s="384">
        <f ca="1">IF(ROWS($1:437)&gt;COUNT(Dong5),0,IF(OFFSET(TH!N$1,SMALL(Dong5,ROWS($1:437)),)=$E$7,OFFSET(TH!M$1,SMALL(Dong5,ROWS($1:437)),),0))</f>
        <v>5000</v>
      </c>
      <c r="G451" s="382">
        <f ca="1">IF(ROWS($1:437)&gt;COUNT(Dong5),0,IF(OFFSET(TH!O$1,SMALL(Dong5,ROWS($1:437)),)=$E$7,OFFSET(TH!M$1,SMALL(Dong5,ROWS($1:437)),),0))</f>
        <v>0</v>
      </c>
      <c r="H451" s="385">
        <f ca="1">IF(D451&lt;&gt;"",MAX(H450+F451-G451-I450,0),0)</f>
        <v>274072588</v>
      </c>
      <c r="I451" s="385">
        <f ca="1">IF(D451&lt;&gt;"",MAX(I450+G451-H450-F451,0),0)</f>
        <v>0</v>
      </c>
      <c r="J451" s="18">
        <f ca="1">MONTH(A451)</f>
        <v>6</v>
      </c>
    </row>
    <row r="452" spans="1:10" s="18" customFormat="1" ht="18" customHeight="1">
      <c r="A452" s="318">
        <f ca="1">IF(ROWS($1:438)&gt;COUNT(Dong5),"",OFFSET(TH!C$1,SMALL(Dong5,ROWS($1:438)),))</f>
        <v>42546</v>
      </c>
      <c r="B452" s="318" t="str">
        <f ca="1">IF(ROWS($1:438)&gt;COUNT(Dong5),"",OFFSET(TH!D$1,SMALL(Dong5,ROWS($1:438)),))</f>
        <v>GBN</v>
      </c>
      <c r="C452" s="318">
        <f ca="1">IF(ROWS($1:438)&gt;COUNT(Dong5),"",OFFSET(TH!E$1,SMALL(Dong5,ROWS($1:438)),))</f>
        <v>42546</v>
      </c>
      <c r="D452" s="383" t="str">
        <f ca="1">IF(ROWS($1:438)&gt;COUNT(Dong5),"",OFFSET(TH!F$1,SMALL(Dong5,ROWS($1:438)),))</f>
        <v>VAT Phí dịch vụ thông báo số dư tự động</v>
      </c>
      <c r="E452" s="318" t="str">
        <f ca="1">IF(ROWS($1:438)&gt;COUNT(Dong5),"",IF(OFFSET(TH!N$1,SMALL(Dong5,ROWS($1:438)),)=$E$7,OFFSET(TH!O$1,SMALL(Dong5,ROWS($1:438)),),OFFSET(TH!N$1,SMALL(Dong5,ROWS($1:438)),)))</f>
        <v>1121</v>
      </c>
      <c r="F452" s="384">
        <f ca="1">IF(ROWS($1:438)&gt;COUNT(Dong5),0,IF(OFFSET(TH!N$1,SMALL(Dong5,ROWS($1:438)),)=$E$7,OFFSET(TH!M$1,SMALL(Dong5,ROWS($1:438)),),0))</f>
        <v>5000</v>
      </c>
      <c r="G452" s="382">
        <f ca="1">IF(ROWS($1:438)&gt;COUNT(Dong5),0,IF(OFFSET(TH!O$1,SMALL(Dong5,ROWS($1:438)),)=$E$7,OFFSET(TH!M$1,SMALL(Dong5,ROWS($1:438)),),0))</f>
        <v>0</v>
      </c>
      <c r="H452" s="385">
        <f ca="1">IF(D452&lt;&gt;"",MAX(H451+F452-G452-I451,0),0)</f>
        <v>274077588</v>
      </c>
      <c r="I452" s="385">
        <f ca="1">IF(D452&lt;&gt;"",MAX(I451+G452-H451-F452,0),0)</f>
        <v>0</v>
      </c>
      <c r="J452" s="18">
        <f ca="1">MONTH(A452)</f>
        <v>6</v>
      </c>
    </row>
    <row r="453" spans="1:10" s="18" customFormat="1" ht="18" customHeight="1">
      <c r="A453" s="318">
        <f ca="1">IF(ROWS($1:439)&gt;COUNT(Dong5),"",OFFSET(TH!C$1,SMALL(Dong5,ROWS($1:439)),))</f>
        <v>42546</v>
      </c>
      <c r="B453" s="318" t="str">
        <f ca="1">IF(ROWS($1:439)&gt;COUNT(Dong5),"",OFFSET(TH!D$1,SMALL(Dong5,ROWS($1:439)),))</f>
        <v>GBN</v>
      </c>
      <c r="C453" s="318">
        <f ca="1">IF(ROWS($1:439)&gt;COUNT(Dong5),"",OFFSET(TH!E$1,SMALL(Dong5,ROWS($1:439)),))</f>
        <v>42546</v>
      </c>
      <c r="D453" s="383" t="str">
        <f ca="1">IF(ROWS($1:439)&gt;COUNT(Dong5),"",OFFSET(TH!F$1,SMALL(Dong5,ROWS($1:439)),))</f>
        <v>VAT Phí dịch vụ thông báo số dư tự động</v>
      </c>
      <c r="E453" s="318" t="str">
        <f ca="1">IF(ROWS($1:439)&gt;COUNT(Dong5),"",IF(OFFSET(TH!N$1,SMALL(Dong5,ROWS($1:439)),)=$E$7,OFFSET(TH!O$1,SMALL(Dong5,ROWS($1:439)),),OFFSET(TH!N$1,SMALL(Dong5,ROWS($1:439)),)))</f>
        <v>1121</v>
      </c>
      <c r="F453" s="384">
        <f ca="1">IF(ROWS($1:439)&gt;COUNT(Dong5),0,IF(OFFSET(TH!N$1,SMALL(Dong5,ROWS($1:439)),)=$E$7,OFFSET(TH!M$1,SMALL(Dong5,ROWS($1:439)),),0))</f>
        <v>5000</v>
      </c>
      <c r="G453" s="382">
        <f ca="1">IF(ROWS($1:439)&gt;COUNT(Dong5),0,IF(OFFSET(TH!O$1,SMALL(Dong5,ROWS($1:439)),)=$E$7,OFFSET(TH!M$1,SMALL(Dong5,ROWS($1:439)),),0))</f>
        <v>0</v>
      </c>
      <c r="H453" s="385">
        <f ca="1">IF(D453&lt;&gt;"",MAX(H452+F453-G453-I452,0),0)</f>
        <v>274082588</v>
      </c>
      <c r="I453" s="385">
        <f ca="1">IF(D453&lt;&gt;"",MAX(I452+G453-H452-F453,0),0)</f>
        <v>0</v>
      </c>
      <c r="J453" s="18">
        <f ca="1">MONTH(A453)</f>
        <v>6</v>
      </c>
    </row>
    <row r="454" spans="1:10" s="18" customFormat="1" ht="18" customHeight="1">
      <c r="A454" s="318">
        <f ca="1">IF(ROWS($1:440)&gt;COUNT(Dong5),"",OFFSET(TH!C$1,SMALL(Dong5,ROWS($1:440)),))</f>
        <v>42546</v>
      </c>
      <c r="B454" s="318" t="str">
        <f ca="1">IF(ROWS($1:440)&gt;COUNT(Dong5),"",OFFSET(TH!D$1,SMALL(Dong5,ROWS($1:440)),))</f>
        <v>GBN</v>
      </c>
      <c r="C454" s="318">
        <f ca="1">IF(ROWS($1:440)&gt;COUNT(Dong5),"",OFFSET(TH!E$1,SMALL(Dong5,ROWS($1:440)),))</f>
        <v>42546</v>
      </c>
      <c r="D454" s="383" t="str">
        <f ca="1">IF(ROWS($1:440)&gt;COUNT(Dong5),"",OFFSET(TH!F$1,SMALL(Dong5,ROWS($1:440)),))</f>
        <v>VAT Phí dịch vụ thông báo số dư tự động</v>
      </c>
      <c r="E454" s="318" t="str">
        <f ca="1">IF(ROWS($1:440)&gt;COUNT(Dong5),"",IF(OFFSET(TH!N$1,SMALL(Dong5,ROWS($1:440)),)=$E$7,OFFSET(TH!O$1,SMALL(Dong5,ROWS($1:440)),),OFFSET(TH!N$1,SMALL(Dong5,ROWS($1:440)),)))</f>
        <v>1121</v>
      </c>
      <c r="F454" s="384">
        <f ca="1">IF(ROWS($1:440)&gt;COUNT(Dong5),0,IF(OFFSET(TH!N$1,SMALL(Dong5,ROWS($1:440)),)=$E$7,OFFSET(TH!M$1,SMALL(Dong5,ROWS($1:440)),),0))</f>
        <v>5000</v>
      </c>
      <c r="G454" s="382">
        <f ca="1">IF(ROWS($1:440)&gt;COUNT(Dong5),0,IF(OFFSET(TH!O$1,SMALL(Dong5,ROWS($1:440)),)=$E$7,OFFSET(TH!M$1,SMALL(Dong5,ROWS($1:440)),),0))</f>
        <v>0</v>
      </c>
      <c r="H454" s="385">
        <f ca="1">IF(D454&lt;&gt;"",MAX(H453+F454-G454-I453,0),0)</f>
        <v>274087588</v>
      </c>
      <c r="I454" s="385">
        <f ca="1">IF(D454&lt;&gt;"",MAX(I453+G454-H453-F454,0),0)</f>
        <v>0</v>
      </c>
      <c r="J454" s="18">
        <f ca="1">MONTH(A454)</f>
        <v>6</v>
      </c>
    </row>
    <row r="455" spans="1:10" s="18" customFormat="1" ht="18" customHeight="1">
      <c r="A455" s="318">
        <f ca="1">IF(ROWS($1:441)&gt;COUNT(Dong5),"",OFFSET(TH!C$1,SMALL(Dong5,ROWS($1:441)),))</f>
        <v>42548</v>
      </c>
      <c r="B455" s="318" t="str">
        <f ca="1">IF(ROWS($1:441)&gt;COUNT(Dong5),"",OFFSET(TH!D$1,SMALL(Dong5,ROWS($1:441)),))</f>
        <v>C37</v>
      </c>
      <c r="C455" s="318">
        <f ca="1">IF(ROWS($1:441)&gt;COUNT(Dong5),"",OFFSET(TH!E$1,SMALL(Dong5,ROWS($1:441)),))</f>
        <v>42548</v>
      </c>
      <c r="D455" s="383" t="str">
        <f ca="1">IF(ROWS($1:441)&gt;COUNT(Dong5),"",OFFSET(TH!F$1,SMALL(Dong5,ROWS($1:441)),))</f>
        <v xml:space="preserve">VAT Xăng, dầu </v>
      </c>
      <c r="E455" s="318" t="str">
        <f ca="1">IF(ROWS($1:441)&gt;COUNT(Dong5),"",IF(OFFSET(TH!N$1,SMALL(Dong5,ROWS($1:441)),)=$E$7,OFFSET(TH!O$1,SMALL(Dong5,ROWS($1:441)),),OFFSET(TH!N$1,SMALL(Dong5,ROWS($1:441)),)))</f>
        <v>1111</v>
      </c>
      <c r="F455" s="384">
        <f ca="1">IF(ROWS($1:441)&gt;COUNT(Dong5),0,IF(OFFSET(TH!N$1,SMALL(Dong5,ROWS($1:441)),)=$E$7,OFFSET(TH!M$1,SMALL(Dong5,ROWS($1:441)),),0))</f>
        <v>122501</v>
      </c>
      <c r="G455" s="382">
        <f ca="1">IF(ROWS($1:441)&gt;COUNT(Dong5),0,IF(OFFSET(TH!O$1,SMALL(Dong5,ROWS($1:441)),)=$E$7,OFFSET(TH!M$1,SMALL(Dong5,ROWS($1:441)),),0))</f>
        <v>0</v>
      </c>
      <c r="H455" s="385">
        <f ca="1">IF(D455&lt;&gt;"",MAX(H454+F455-G455-I454,0),0)</f>
        <v>274210089</v>
      </c>
      <c r="I455" s="385">
        <f ca="1">IF(D455&lt;&gt;"",MAX(I454+G455-H454-F455,0),0)</f>
        <v>0</v>
      </c>
      <c r="J455" s="18">
        <f ca="1">MONTH(A455)</f>
        <v>6</v>
      </c>
    </row>
    <row r="456" spans="1:10" s="18" customFormat="1" ht="18" customHeight="1">
      <c r="A456" s="318">
        <f ca="1">IF(ROWS($1:442)&gt;COUNT(Dong5),"",OFFSET(TH!C$1,SMALL(Dong5,ROWS($1:442)),))</f>
        <v>42548</v>
      </c>
      <c r="B456" s="318" t="str">
        <f ca="1">IF(ROWS($1:442)&gt;COUNT(Dong5),"",OFFSET(TH!D$1,SMALL(Dong5,ROWS($1:442)),))</f>
        <v>C38</v>
      </c>
      <c r="C456" s="318">
        <f ca="1">IF(ROWS($1:442)&gt;COUNT(Dong5),"",OFFSET(TH!E$1,SMALL(Dong5,ROWS($1:442)),))</f>
        <v>42548</v>
      </c>
      <c r="D456" s="383" t="str">
        <f ca="1">IF(ROWS($1:442)&gt;COUNT(Dong5),"",OFFSET(TH!F$1,SMALL(Dong5,ROWS($1:442)),))</f>
        <v>VAT Đầu đốt hồng ngoại</v>
      </c>
      <c r="E456" s="318" t="str">
        <f ca="1">IF(ROWS($1:442)&gt;COUNT(Dong5),"",IF(OFFSET(TH!N$1,SMALL(Dong5,ROWS($1:442)),)=$E$7,OFFSET(TH!O$1,SMALL(Dong5,ROWS($1:442)),),OFFSET(TH!N$1,SMALL(Dong5,ROWS($1:442)),)))</f>
        <v>1111</v>
      </c>
      <c r="F456" s="384">
        <f ca="1">IF(ROWS($1:442)&gt;COUNT(Dong5),0,IF(OFFSET(TH!N$1,SMALL(Dong5,ROWS($1:442)),)=$E$7,OFFSET(TH!M$1,SMALL(Dong5,ROWS($1:442)),),0))</f>
        <v>1620000</v>
      </c>
      <c r="G456" s="382">
        <f ca="1">IF(ROWS($1:442)&gt;COUNT(Dong5),0,IF(OFFSET(TH!O$1,SMALL(Dong5,ROWS($1:442)),)=$E$7,OFFSET(TH!M$1,SMALL(Dong5,ROWS($1:442)),),0))</f>
        <v>0</v>
      </c>
      <c r="H456" s="385">
        <f ca="1">IF(D456&lt;&gt;"",MAX(H455+F456-G456-I455,0),0)</f>
        <v>275830089</v>
      </c>
      <c r="I456" s="385">
        <f ca="1">IF(D456&lt;&gt;"",MAX(I455+G456-H455-F456,0),0)</f>
        <v>0</v>
      </c>
      <c r="J456" s="18">
        <f ca="1">MONTH(A456)</f>
        <v>6</v>
      </c>
    </row>
    <row r="457" spans="1:10" s="18" customFormat="1" ht="18" customHeight="1">
      <c r="A457" s="318">
        <f ca="1">IF(ROWS($1:443)&gt;COUNT(Dong5),"",OFFSET(TH!C$1,SMALL(Dong5,ROWS($1:443)),))</f>
        <v>42548</v>
      </c>
      <c r="B457" s="318" t="str">
        <f ca="1">IF(ROWS($1:443)&gt;COUNT(Dong5),"",OFFSET(TH!D$1,SMALL(Dong5,ROWS($1:443)),))</f>
        <v>C39</v>
      </c>
      <c r="C457" s="318">
        <f ca="1">IF(ROWS($1:443)&gt;COUNT(Dong5),"",OFFSET(TH!E$1,SMALL(Dong5,ROWS($1:443)),))</f>
        <v>42548</v>
      </c>
      <c r="D457" s="383" t="str">
        <f ca="1">IF(ROWS($1:443)&gt;COUNT(Dong5),"",OFFSET(TH!F$1,SMALL(Dong5,ROWS($1:443)),))</f>
        <v>VAT Phí dịch vụ bảo vệ T6/2016</v>
      </c>
      <c r="E457" s="318" t="str">
        <f ca="1">IF(ROWS($1:443)&gt;COUNT(Dong5),"",IF(OFFSET(TH!N$1,SMALL(Dong5,ROWS($1:443)),)=$E$7,OFFSET(TH!O$1,SMALL(Dong5,ROWS($1:443)),),OFFSET(TH!N$1,SMALL(Dong5,ROWS($1:443)),)))</f>
        <v>1111</v>
      </c>
      <c r="F457" s="384">
        <f ca="1">IF(ROWS($1:443)&gt;COUNT(Dong5),0,IF(OFFSET(TH!N$1,SMALL(Dong5,ROWS($1:443)),)=$E$7,OFFSET(TH!M$1,SMALL(Dong5,ROWS($1:443)),),0))</f>
        <v>1605000</v>
      </c>
      <c r="G457" s="382">
        <f ca="1">IF(ROWS($1:443)&gt;COUNT(Dong5),0,IF(OFFSET(TH!O$1,SMALL(Dong5,ROWS($1:443)),)=$E$7,OFFSET(TH!M$1,SMALL(Dong5,ROWS($1:443)),),0))</f>
        <v>0</v>
      </c>
      <c r="H457" s="385">
        <f ca="1">IF(D457&lt;&gt;"",MAX(H456+F457-G457-I456,0),0)</f>
        <v>277435089</v>
      </c>
      <c r="I457" s="385">
        <f ca="1">IF(D457&lt;&gt;"",MAX(I456+G457-H456-F457,0),0)</f>
        <v>0</v>
      </c>
      <c r="J457" s="18">
        <f ca="1">MONTH(A457)</f>
        <v>6</v>
      </c>
    </row>
    <row r="458" spans="1:10" s="18" customFormat="1" ht="18" customHeight="1">
      <c r="A458" s="318">
        <f ca="1">IF(ROWS($1:444)&gt;COUNT(Dong5),"",OFFSET(TH!C$1,SMALL(Dong5,ROWS($1:444)),))</f>
        <v>42549</v>
      </c>
      <c r="B458" s="318" t="str">
        <f ca="1">IF(ROWS($1:444)&gt;COUNT(Dong5),"",OFFSET(TH!D$1,SMALL(Dong5,ROWS($1:444)),))</f>
        <v>C40</v>
      </c>
      <c r="C458" s="318">
        <f ca="1">IF(ROWS($1:444)&gt;COUNT(Dong5),"",OFFSET(TH!E$1,SMALL(Dong5,ROWS($1:444)),))</f>
        <v>42549</v>
      </c>
      <c r="D458" s="383" t="str">
        <f ca="1">IF(ROWS($1:444)&gt;COUNT(Dong5),"",OFFSET(TH!F$1,SMALL(Dong5,ROWS($1:444)),))</f>
        <v>VAT Van giảm áp</v>
      </c>
      <c r="E458" s="318" t="str">
        <f ca="1">IF(ROWS($1:444)&gt;COUNT(Dong5),"",IF(OFFSET(TH!N$1,SMALL(Dong5,ROWS($1:444)),)=$E$7,OFFSET(TH!O$1,SMALL(Dong5,ROWS($1:444)),),OFFSET(TH!N$1,SMALL(Dong5,ROWS($1:444)),)))</f>
        <v>1111</v>
      </c>
      <c r="F458" s="384">
        <f ca="1">IF(ROWS($1:444)&gt;COUNT(Dong5),0,IF(OFFSET(TH!N$1,SMALL(Dong5,ROWS($1:444)),)=$E$7,OFFSET(TH!M$1,SMALL(Dong5,ROWS($1:444)),),0))</f>
        <v>345000</v>
      </c>
      <c r="G458" s="382">
        <f ca="1">IF(ROWS($1:444)&gt;COUNT(Dong5),0,IF(OFFSET(TH!O$1,SMALL(Dong5,ROWS($1:444)),)=$E$7,OFFSET(TH!M$1,SMALL(Dong5,ROWS($1:444)),),0))</f>
        <v>0</v>
      </c>
      <c r="H458" s="385">
        <f ca="1">IF(D458&lt;&gt;"",MAX(H457+F458-G458-I457,0),0)</f>
        <v>277780089</v>
      </c>
      <c r="I458" s="385">
        <f ca="1">IF(D458&lt;&gt;"",MAX(I457+G458-H457-F458,0),0)</f>
        <v>0</v>
      </c>
      <c r="J458" s="18">
        <f ca="1">MONTH(A458)</f>
        <v>6</v>
      </c>
    </row>
    <row r="459" spans="1:10" s="18" customFormat="1" ht="18" customHeight="1">
      <c r="A459" s="318">
        <f ca="1">IF(ROWS($1:445)&gt;COUNT(Dong5),"",OFFSET(TH!C$1,SMALL(Dong5,ROWS($1:445)),))</f>
        <v>42549</v>
      </c>
      <c r="B459" s="318" t="str">
        <f ca="1">IF(ROWS($1:445)&gt;COUNT(Dong5),"",OFFSET(TH!D$1,SMALL(Dong5,ROWS($1:445)),))</f>
        <v>CTGS</v>
      </c>
      <c r="C459" s="318">
        <f ca="1">IF(ROWS($1:445)&gt;COUNT(Dong5),"",OFFSET(TH!E$1,SMALL(Dong5,ROWS($1:445)),))</f>
        <v>42549</v>
      </c>
      <c r="D459" s="383" t="str">
        <f ca="1">IF(ROWS($1:445)&gt;COUNT(Dong5),"",OFFSET(TH!F$1,SMALL(Dong5,ROWS($1:445)),))</f>
        <v>VAT Phí thanh toán bộ chứng từ</v>
      </c>
      <c r="E459" s="318" t="str">
        <f ca="1">IF(ROWS($1:445)&gt;COUNT(Dong5),"",IF(OFFSET(TH!N$1,SMALL(Dong5,ROWS($1:445)),)=$E$7,OFFSET(TH!O$1,SMALL(Dong5,ROWS($1:445)),),OFFSET(TH!N$1,SMALL(Dong5,ROWS($1:445)),)))</f>
        <v>131</v>
      </c>
      <c r="F459" s="384">
        <f ca="1">IF(ROWS($1:445)&gt;COUNT(Dong5),0,IF(OFFSET(TH!N$1,SMALL(Dong5,ROWS($1:445)),)=$E$7,OFFSET(TH!M$1,SMALL(Dong5,ROWS($1:445)),),0))</f>
        <v>445600</v>
      </c>
      <c r="G459" s="382">
        <f ca="1">IF(ROWS($1:445)&gt;COUNT(Dong5),0,IF(OFFSET(TH!O$1,SMALL(Dong5,ROWS($1:445)),)=$E$7,OFFSET(TH!M$1,SMALL(Dong5,ROWS($1:445)),),0))</f>
        <v>0</v>
      </c>
      <c r="H459" s="385">
        <f ca="1">IF(D459&lt;&gt;"",MAX(H458+F459-G459-I458,0),0)</f>
        <v>278225689</v>
      </c>
      <c r="I459" s="385">
        <f ca="1">IF(D459&lt;&gt;"",MAX(I458+G459-H458-F459,0),0)</f>
        <v>0</v>
      </c>
      <c r="J459" s="18">
        <f ca="1">MONTH(A459)</f>
        <v>6</v>
      </c>
    </row>
    <row r="460" spans="1:10" s="18" customFormat="1" ht="18" customHeight="1">
      <c r="A460" s="318">
        <f ca="1">IF(ROWS($1:446)&gt;COUNT(Dong5),"",OFFSET(TH!C$1,SMALL(Dong5,ROWS($1:446)),))</f>
        <v>42549</v>
      </c>
      <c r="B460" s="318" t="str">
        <f ca="1">IF(ROWS($1:446)&gt;COUNT(Dong5),"",OFFSET(TH!D$1,SMALL(Dong5,ROWS($1:446)),))</f>
        <v>GBN</v>
      </c>
      <c r="C460" s="318">
        <f ca="1">IF(ROWS($1:446)&gt;COUNT(Dong5),"",OFFSET(TH!E$1,SMALL(Dong5,ROWS($1:446)),))</f>
        <v>42549</v>
      </c>
      <c r="D460" s="383" t="str">
        <f ca="1">IF(ROWS($1:446)&gt;COUNT(Dong5),"",OFFSET(TH!F$1,SMALL(Dong5,ROWS($1:446)),))</f>
        <v>VAT Phí nộp tiền mặt và chuyển khoản</v>
      </c>
      <c r="E460" s="318" t="str">
        <f ca="1">IF(ROWS($1:446)&gt;COUNT(Dong5),"",IF(OFFSET(TH!N$1,SMALL(Dong5,ROWS($1:446)),)=$E$7,OFFSET(TH!O$1,SMALL(Dong5,ROWS($1:446)),),OFFSET(TH!N$1,SMALL(Dong5,ROWS($1:446)),)))</f>
        <v>1121</v>
      </c>
      <c r="F460" s="384">
        <f ca="1">IF(ROWS($1:446)&gt;COUNT(Dong5),0,IF(OFFSET(TH!N$1,SMALL(Dong5,ROWS($1:446)),)=$E$7,OFFSET(TH!M$1,SMALL(Dong5,ROWS($1:446)),),0))</f>
        <v>29099</v>
      </c>
      <c r="G460" s="382">
        <f ca="1">IF(ROWS($1:446)&gt;COUNT(Dong5),0,IF(OFFSET(TH!O$1,SMALL(Dong5,ROWS($1:446)),)=$E$7,OFFSET(TH!M$1,SMALL(Dong5,ROWS($1:446)),),0))</f>
        <v>0</v>
      </c>
      <c r="H460" s="385">
        <f ca="1">IF(D460&lt;&gt;"",MAX(H459+F460-G460-I459,0),0)</f>
        <v>278254788</v>
      </c>
      <c r="I460" s="385">
        <f ca="1">IF(D460&lt;&gt;"",MAX(I459+G460-H459-F460,0),0)</f>
        <v>0</v>
      </c>
      <c r="J460" s="18">
        <f ca="1">MONTH(A460)</f>
        <v>6</v>
      </c>
    </row>
    <row r="461" spans="1:10" s="18" customFormat="1" ht="18" customHeight="1">
      <c r="A461" s="318">
        <f ca="1">IF(ROWS($1:447)&gt;COUNT(Dong5),"",OFFSET(TH!C$1,SMALL(Dong5,ROWS($1:447)),))</f>
        <v>42549</v>
      </c>
      <c r="B461" s="318" t="str">
        <f ca="1">IF(ROWS($1:447)&gt;COUNT(Dong5),"",OFFSET(TH!D$1,SMALL(Dong5,ROWS($1:447)),))</f>
        <v>GBN</v>
      </c>
      <c r="C461" s="318">
        <f ca="1">IF(ROWS($1:447)&gt;COUNT(Dong5),"",OFFSET(TH!E$1,SMALL(Dong5,ROWS($1:447)),))</f>
        <v>42549</v>
      </c>
      <c r="D461" s="383" t="str">
        <f ca="1">IF(ROWS($1:447)&gt;COUNT(Dong5),"",OFFSET(TH!F$1,SMALL(Dong5,ROWS($1:447)),))</f>
        <v>VAT Phí dịch vụ</v>
      </c>
      <c r="E461" s="318" t="str">
        <f ca="1">IF(ROWS($1:447)&gt;COUNT(Dong5),"",IF(OFFSET(TH!N$1,SMALL(Dong5,ROWS($1:447)),)=$E$7,OFFSET(TH!O$1,SMALL(Dong5,ROWS($1:447)),),OFFSET(TH!N$1,SMALL(Dong5,ROWS($1:447)),)))</f>
        <v>1121</v>
      </c>
      <c r="F461" s="384">
        <f ca="1">IF(ROWS($1:447)&gt;COUNT(Dong5),0,IF(OFFSET(TH!N$1,SMALL(Dong5,ROWS($1:447)),)=$E$7,OFFSET(TH!M$1,SMALL(Dong5,ROWS($1:447)),),0))</f>
        <v>7000</v>
      </c>
      <c r="G461" s="382">
        <f ca="1">IF(ROWS($1:447)&gt;COUNT(Dong5),0,IF(OFFSET(TH!O$1,SMALL(Dong5,ROWS($1:447)),)=$E$7,OFFSET(TH!M$1,SMALL(Dong5,ROWS($1:447)),),0))</f>
        <v>0</v>
      </c>
      <c r="H461" s="385">
        <f ca="1">IF(D461&lt;&gt;"",MAX(H460+F461-G461-I460,0),0)</f>
        <v>278261788</v>
      </c>
      <c r="I461" s="385">
        <f ca="1">IF(D461&lt;&gt;"",MAX(I460+G461-H460-F461,0),0)</f>
        <v>0</v>
      </c>
      <c r="J461" s="18">
        <f ca="1">MONTH(A461)</f>
        <v>6</v>
      </c>
    </row>
    <row r="462" spans="1:10" s="18" customFormat="1" ht="18" customHeight="1">
      <c r="A462" s="318">
        <f ca="1">IF(ROWS($1:448)&gt;COUNT(Dong5),"",OFFSET(TH!C$1,SMALL(Dong5,ROWS($1:448)),))</f>
        <v>42549</v>
      </c>
      <c r="B462" s="318" t="str">
        <f ca="1">IF(ROWS($1:448)&gt;COUNT(Dong5),"",OFFSET(TH!D$1,SMALL(Dong5,ROWS($1:448)),))</f>
        <v>GBN</v>
      </c>
      <c r="C462" s="318">
        <f ca="1">IF(ROWS($1:448)&gt;COUNT(Dong5),"",OFFSET(TH!E$1,SMALL(Dong5,ROWS($1:448)),))</f>
        <v>42549</v>
      </c>
      <c r="D462" s="383" t="str">
        <f ca="1">IF(ROWS($1:448)&gt;COUNT(Dong5),"",OFFSET(TH!F$1,SMALL(Dong5,ROWS($1:448)),))</f>
        <v>VAT Phí dịch vụ</v>
      </c>
      <c r="E462" s="318" t="str">
        <f ca="1">IF(ROWS($1:448)&gt;COUNT(Dong5),"",IF(OFFSET(TH!N$1,SMALL(Dong5,ROWS($1:448)),)=$E$7,OFFSET(TH!O$1,SMALL(Dong5,ROWS($1:448)),),OFFSET(TH!N$1,SMALL(Dong5,ROWS($1:448)),)))</f>
        <v>1121</v>
      </c>
      <c r="F462" s="384">
        <f ca="1">IF(ROWS($1:448)&gt;COUNT(Dong5),0,IF(OFFSET(TH!N$1,SMALL(Dong5,ROWS($1:448)),)=$E$7,OFFSET(TH!M$1,SMALL(Dong5,ROWS($1:448)),),0))</f>
        <v>2000</v>
      </c>
      <c r="G462" s="382">
        <f ca="1">IF(ROWS($1:448)&gt;COUNT(Dong5),0,IF(OFFSET(TH!O$1,SMALL(Dong5,ROWS($1:448)),)=$E$7,OFFSET(TH!M$1,SMALL(Dong5,ROWS($1:448)),),0))</f>
        <v>0</v>
      </c>
      <c r="H462" s="385">
        <f ca="1">IF(D462&lt;&gt;"",MAX(H461+F462-G462-I461,0),0)</f>
        <v>278263788</v>
      </c>
      <c r="I462" s="385">
        <f ca="1">IF(D462&lt;&gt;"",MAX(I461+G462-H461-F462,0),0)</f>
        <v>0</v>
      </c>
      <c r="J462" s="18">
        <f ca="1">MONTH(A462)</f>
        <v>6</v>
      </c>
    </row>
    <row r="463" spans="1:10" s="18" customFormat="1" ht="18" customHeight="1">
      <c r="A463" s="318">
        <f ca="1">IF(ROWS($1:449)&gt;COUNT(Dong5),"",OFFSET(TH!C$1,SMALL(Dong5,ROWS($1:449)),))</f>
        <v>42549</v>
      </c>
      <c r="B463" s="318" t="str">
        <f ca="1">IF(ROWS($1:449)&gt;COUNT(Dong5),"",OFFSET(TH!D$1,SMALL(Dong5,ROWS($1:449)),))</f>
        <v>GBN</v>
      </c>
      <c r="C463" s="318">
        <f ca="1">IF(ROWS($1:449)&gt;COUNT(Dong5),"",OFFSET(TH!E$1,SMALL(Dong5,ROWS($1:449)),))</f>
        <v>42549</v>
      </c>
      <c r="D463" s="383" t="str">
        <f ca="1">IF(ROWS($1:449)&gt;COUNT(Dong5),"",OFFSET(TH!F$1,SMALL(Dong5,ROWS($1:449)),))</f>
        <v>VAT Phí dịch vụ</v>
      </c>
      <c r="E463" s="318" t="str">
        <f ca="1">IF(ROWS($1:449)&gt;COUNT(Dong5),"",IF(OFFSET(TH!N$1,SMALL(Dong5,ROWS($1:449)),)=$E$7,OFFSET(TH!O$1,SMALL(Dong5,ROWS($1:449)),),OFFSET(TH!N$1,SMALL(Dong5,ROWS($1:449)),)))</f>
        <v>1121</v>
      </c>
      <c r="F463" s="384">
        <f ca="1">IF(ROWS($1:449)&gt;COUNT(Dong5),0,IF(OFFSET(TH!N$1,SMALL(Dong5,ROWS($1:449)),)=$E$7,OFFSET(TH!M$1,SMALL(Dong5,ROWS($1:449)),),0))</f>
        <v>2000</v>
      </c>
      <c r="G463" s="382">
        <f ca="1">IF(ROWS($1:449)&gt;COUNT(Dong5),0,IF(OFFSET(TH!O$1,SMALL(Dong5,ROWS($1:449)),)=$E$7,OFFSET(TH!M$1,SMALL(Dong5,ROWS($1:449)),),0))</f>
        <v>0</v>
      </c>
      <c r="H463" s="385">
        <f ca="1">IF(D463&lt;&gt;"",MAX(H462+F463-G463-I462,0),0)</f>
        <v>278265788</v>
      </c>
      <c r="I463" s="385">
        <f ca="1">IF(D463&lt;&gt;"",MAX(I462+G463-H462-F463,0),0)</f>
        <v>0</v>
      </c>
      <c r="J463" s="18">
        <f ca="1">MONTH(A463)</f>
        <v>6</v>
      </c>
    </row>
    <row r="464" spans="1:10" s="18" customFormat="1" ht="18" customHeight="1">
      <c r="A464" s="318">
        <f ca="1">IF(ROWS($1:450)&gt;COUNT(Dong5),"",OFFSET(TH!C$1,SMALL(Dong5,ROWS($1:450)),))</f>
        <v>42549</v>
      </c>
      <c r="B464" s="318" t="str">
        <f ca="1">IF(ROWS($1:450)&gt;COUNT(Dong5),"",OFFSET(TH!D$1,SMALL(Dong5,ROWS($1:450)),))</f>
        <v>GBN</v>
      </c>
      <c r="C464" s="318">
        <f ca="1">IF(ROWS($1:450)&gt;COUNT(Dong5),"",OFFSET(TH!E$1,SMALL(Dong5,ROWS($1:450)),))</f>
        <v>42549</v>
      </c>
      <c r="D464" s="383" t="str">
        <f ca="1">IF(ROWS($1:450)&gt;COUNT(Dong5),"",OFFSET(TH!F$1,SMALL(Dong5,ROWS($1:450)),))</f>
        <v>VAT Phí dịch vụ</v>
      </c>
      <c r="E464" s="318" t="str">
        <f ca="1">IF(ROWS($1:450)&gt;COUNT(Dong5),"",IF(OFFSET(TH!N$1,SMALL(Dong5,ROWS($1:450)),)=$E$7,OFFSET(TH!O$1,SMALL(Dong5,ROWS($1:450)),),OFFSET(TH!N$1,SMALL(Dong5,ROWS($1:450)),)))</f>
        <v>1121</v>
      </c>
      <c r="F464" s="384">
        <f ca="1">IF(ROWS($1:450)&gt;COUNT(Dong5),0,IF(OFFSET(TH!N$1,SMALL(Dong5,ROWS($1:450)),)=$E$7,OFFSET(TH!M$1,SMALL(Dong5,ROWS($1:450)),),0))</f>
        <v>2000</v>
      </c>
      <c r="G464" s="382">
        <f ca="1">IF(ROWS($1:450)&gt;COUNT(Dong5),0,IF(OFFSET(TH!O$1,SMALL(Dong5,ROWS($1:450)),)=$E$7,OFFSET(TH!M$1,SMALL(Dong5,ROWS($1:450)),),0))</f>
        <v>0</v>
      </c>
      <c r="H464" s="385">
        <f ca="1">IF(D464&lt;&gt;"",MAX(H463+F464-G464-I463,0),0)</f>
        <v>278267788</v>
      </c>
      <c r="I464" s="385">
        <f ca="1">IF(D464&lt;&gt;"",MAX(I463+G464-H463-F464,0),0)</f>
        <v>0</v>
      </c>
      <c r="J464" s="18">
        <f ca="1">MONTH(A464)</f>
        <v>6</v>
      </c>
    </row>
    <row r="465" spans="1:10" s="18" customFormat="1" ht="18" customHeight="1">
      <c r="A465" s="318">
        <f ca="1">IF(ROWS($1:451)&gt;COUNT(Dong5),"",OFFSET(TH!C$1,SMALL(Dong5,ROWS($1:451)),))</f>
        <v>42551</v>
      </c>
      <c r="B465" s="318" t="str">
        <f ca="1">IF(ROWS($1:451)&gt;COUNT(Dong5),"",OFFSET(TH!D$1,SMALL(Dong5,ROWS($1:451)),))</f>
        <v>C42</v>
      </c>
      <c r="C465" s="318">
        <f ca="1">IF(ROWS($1:451)&gt;COUNT(Dong5),"",OFFSET(TH!E$1,SMALL(Dong5,ROWS($1:451)),))</f>
        <v>42551</v>
      </c>
      <c r="D465" s="383" t="str">
        <f ca="1">IF(ROWS($1:451)&gt;COUNT(Dong5),"",OFFSET(TH!F$1,SMALL(Dong5,ROWS($1:451)),))</f>
        <v>VAT Bảo dưỡng xe ô tô 51A - 141.74</v>
      </c>
      <c r="E465" s="318" t="str">
        <f ca="1">IF(ROWS($1:451)&gt;COUNT(Dong5),"",IF(OFFSET(TH!N$1,SMALL(Dong5,ROWS($1:451)),)=$E$7,OFFSET(TH!O$1,SMALL(Dong5,ROWS($1:451)),),OFFSET(TH!N$1,SMALL(Dong5,ROWS($1:451)),)))</f>
        <v>1111</v>
      </c>
      <c r="F465" s="384">
        <f ca="1">IF(ROWS($1:451)&gt;COUNT(Dong5),0,IF(OFFSET(TH!N$1,SMALL(Dong5,ROWS($1:451)),)=$E$7,OFFSET(TH!M$1,SMALL(Dong5,ROWS($1:451)),),0))</f>
        <v>141300</v>
      </c>
      <c r="G465" s="382">
        <f ca="1">IF(ROWS($1:451)&gt;COUNT(Dong5),0,IF(OFFSET(TH!O$1,SMALL(Dong5,ROWS($1:451)),)=$E$7,OFFSET(TH!M$1,SMALL(Dong5,ROWS($1:451)),),0))</f>
        <v>0</v>
      </c>
      <c r="H465" s="385">
        <f ca="1">IF(D465&lt;&gt;"",MAX(H464+F465-G465-I464,0),0)</f>
        <v>278409088</v>
      </c>
      <c r="I465" s="385">
        <f ca="1">IF(D465&lt;&gt;"",MAX(I464+G465-H464-F465,0),0)</f>
        <v>0</v>
      </c>
      <c r="J465" s="18">
        <f ca="1">MONTH(A465)</f>
        <v>6</v>
      </c>
    </row>
    <row r="466" spans="1:10" s="18" customFormat="1" ht="18" customHeight="1">
      <c r="A466" s="318">
        <f ca="1">IF(ROWS($1:452)&gt;COUNT(Dong5),"",OFFSET(TH!C$1,SMALL(Dong5,ROWS($1:452)),))</f>
        <v>42551</v>
      </c>
      <c r="B466" s="318" t="str">
        <f ca="1">IF(ROWS($1:452)&gt;COUNT(Dong5),"",OFFSET(TH!D$1,SMALL(Dong5,ROWS($1:452)),))</f>
        <v>C43</v>
      </c>
      <c r="C466" s="318">
        <f ca="1">IF(ROWS($1:452)&gt;COUNT(Dong5),"",OFFSET(TH!E$1,SMALL(Dong5,ROWS($1:452)),))</f>
        <v>42551</v>
      </c>
      <c r="D466" s="383" t="str">
        <f ca="1">IF(ROWS($1:452)&gt;COUNT(Dong5),"",OFFSET(TH!F$1,SMALL(Dong5,ROWS($1:452)),))</f>
        <v>VAT Phí giao thông T5/2016</v>
      </c>
      <c r="E466" s="318" t="str">
        <f ca="1">IF(ROWS($1:452)&gt;COUNT(Dong5),"",IF(OFFSET(TH!N$1,SMALL(Dong5,ROWS($1:452)),)=$E$7,OFFSET(TH!O$1,SMALL(Dong5,ROWS($1:452)),),OFFSET(TH!N$1,SMALL(Dong5,ROWS($1:452)),)))</f>
        <v>1111</v>
      </c>
      <c r="F466" s="384">
        <f ca="1">IF(ROWS($1:452)&gt;COUNT(Dong5),0,IF(OFFSET(TH!N$1,SMALL(Dong5,ROWS($1:452)),)=$E$7,OFFSET(TH!M$1,SMALL(Dong5,ROWS($1:452)),),0))</f>
        <v>113364</v>
      </c>
      <c r="G466" s="382">
        <f ca="1">IF(ROWS($1:452)&gt;COUNT(Dong5),0,IF(OFFSET(TH!O$1,SMALL(Dong5,ROWS($1:452)),)=$E$7,OFFSET(TH!M$1,SMALL(Dong5,ROWS($1:452)),),0))</f>
        <v>0</v>
      </c>
      <c r="H466" s="385">
        <f ca="1">IF(D466&lt;&gt;"",MAX(H465+F466-G466-I465,0),0)</f>
        <v>278522452</v>
      </c>
      <c r="I466" s="385">
        <f ca="1">IF(D466&lt;&gt;"",MAX(I465+G466-H465-F466,0),0)</f>
        <v>0</v>
      </c>
      <c r="J466" s="18">
        <f ca="1">MONTH(A466)</f>
        <v>6</v>
      </c>
    </row>
    <row r="467" spans="1:10" s="18" customFormat="1" ht="18" customHeight="1">
      <c r="A467" s="318">
        <f ca="1">IF(ROWS($1:453)&gt;COUNT(Dong5),"",OFFSET(TH!C$1,SMALL(Dong5,ROWS($1:453)),))</f>
        <v>42551</v>
      </c>
      <c r="B467" s="318" t="str">
        <f ca="1">IF(ROWS($1:453)&gt;COUNT(Dong5),"",OFFSET(TH!D$1,SMALL(Dong5,ROWS($1:453)),))</f>
        <v>CTGS</v>
      </c>
      <c r="C467" s="318">
        <f ca="1">IF(ROWS($1:453)&gt;COUNT(Dong5),"",OFFSET(TH!E$1,SMALL(Dong5,ROWS($1:453)),))</f>
        <v>42551</v>
      </c>
      <c r="D467" s="383" t="str">
        <f ca="1">IF(ROWS($1:453)&gt;COUNT(Dong5),"",OFFSET(TH!F$1,SMALL(Dong5,ROWS($1:453)),))</f>
        <v>Thuế GTGT hàng nhập khẩu TK 10091171883</v>
      </c>
      <c r="E467" s="318" t="str">
        <f ca="1">IF(ROWS($1:453)&gt;COUNT(Dong5),"",IF(OFFSET(TH!N$1,SMALL(Dong5,ROWS($1:453)),)=$E$7,OFFSET(TH!O$1,SMALL(Dong5,ROWS($1:453)),),OFFSET(TH!N$1,SMALL(Dong5,ROWS($1:453)),)))</f>
        <v>33312</v>
      </c>
      <c r="F467" s="384">
        <f ca="1">IF(ROWS($1:453)&gt;COUNT(Dong5),0,IF(OFFSET(TH!N$1,SMALL(Dong5,ROWS($1:453)),)=$E$7,OFFSET(TH!M$1,SMALL(Dong5,ROWS($1:453)),),0))</f>
        <v>4898300</v>
      </c>
      <c r="G467" s="382">
        <f ca="1">IF(ROWS($1:453)&gt;COUNT(Dong5),0,IF(OFFSET(TH!O$1,SMALL(Dong5,ROWS($1:453)),)=$E$7,OFFSET(TH!M$1,SMALL(Dong5,ROWS($1:453)),),0))</f>
        <v>0</v>
      </c>
      <c r="H467" s="385">
        <f ca="1">IF(D467&lt;&gt;"",MAX(H466+F467-G467-I466,0),0)</f>
        <v>283420752</v>
      </c>
      <c r="I467" s="385">
        <f ca="1">IF(D467&lt;&gt;"",MAX(I466+G467-H466-F467,0),0)</f>
        <v>0</v>
      </c>
      <c r="J467" s="18">
        <f ca="1">MONTH(A467)</f>
        <v>6</v>
      </c>
    </row>
    <row r="468" spans="1:10" s="18" customFormat="1" ht="18" customHeight="1">
      <c r="A468" s="318">
        <f ca="1">IF(ROWS($1:454)&gt;COUNT(Dong5),"",OFFSET(TH!C$1,SMALL(Dong5,ROWS($1:454)),))</f>
        <v>42551</v>
      </c>
      <c r="B468" s="318" t="str">
        <f ca="1">IF(ROWS($1:454)&gt;COUNT(Dong5),"",OFFSET(TH!D$1,SMALL(Dong5,ROWS($1:454)),))</f>
        <v>GBN</v>
      </c>
      <c r="C468" s="318">
        <f ca="1">IF(ROWS($1:454)&gt;COUNT(Dong5),"",OFFSET(TH!E$1,SMALL(Dong5,ROWS($1:454)),))</f>
        <v>42551</v>
      </c>
      <c r="D468" s="383" t="str">
        <f ca="1">IF(ROWS($1:454)&gt;COUNT(Dong5),"",OFFSET(TH!F$1,SMALL(Dong5,ROWS($1:454)),))</f>
        <v>VAT Phí chuyển tiền</v>
      </c>
      <c r="E468" s="318" t="str">
        <f ca="1">IF(ROWS($1:454)&gt;COUNT(Dong5),"",IF(OFFSET(TH!N$1,SMALL(Dong5,ROWS($1:454)),)=$E$7,OFFSET(TH!O$1,SMALL(Dong5,ROWS($1:454)),),OFFSET(TH!N$1,SMALL(Dong5,ROWS($1:454)),)))</f>
        <v>1121</v>
      </c>
      <c r="F468" s="384">
        <f ca="1">IF(ROWS($1:454)&gt;COUNT(Dong5),0,IF(OFFSET(TH!N$1,SMALL(Dong5,ROWS($1:454)),)=$E$7,OFFSET(TH!M$1,SMALL(Dong5,ROWS($1:454)),),0))</f>
        <v>6702</v>
      </c>
      <c r="G468" s="382">
        <f ca="1">IF(ROWS($1:454)&gt;COUNT(Dong5),0,IF(OFFSET(TH!O$1,SMALL(Dong5,ROWS($1:454)),)=$E$7,OFFSET(TH!M$1,SMALL(Dong5,ROWS($1:454)),),0))</f>
        <v>0</v>
      </c>
      <c r="H468" s="385">
        <f ca="1">IF(D468&lt;&gt;"",MAX(H467+F468-G468-I467,0),0)</f>
        <v>283427454</v>
      </c>
      <c r="I468" s="385">
        <f ca="1">IF(D468&lt;&gt;"",MAX(I467+G468-H467-F468,0),0)</f>
        <v>0</v>
      </c>
      <c r="J468" s="18">
        <f ca="1">MONTH(A468)</f>
        <v>6</v>
      </c>
    </row>
    <row r="469" spans="1:10" s="18" customFormat="1" ht="18" customHeight="1">
      <c r="A469" s="318">
        <f ca="1">IF(ROWS($1:455)&gt;COUNT(Dong5),"",OFFSET(TH!C$1,SMALL(Dong5,ROWS($1:455)),))</f>
        <v>42715</v>
      </c>
      <c r="B469" s="318" t="str">
        <f ca="1">IF(ROWS($1:455)&gt;COUNT(Dong5),"",OFFSET(TH!D$1,SMALL(Dong5,ROWS($1:455)),))</f>
        <v>CTGS</v>
      </c>
      <c r="C469" s="318">
        <f ca="1">IF(ROWS($1:455)&gt;COUNT(Dong5),"",OFFSET(TH!E$1,SMALL(Dong5,ROWS($1:455)),))</f>
        <v>42715</v>
      </c>
      <c r="D469" s="383" t="str">
        <f ca="1">IF(ROWS($1:455)&gt;COUNT(Dong5),"",OFFSET(TH!F$1,SMALL(Dong5,ROWS($1:455)),))</f>
        <v>VAT Phí gia công</v>
      </c>
      <c r="E469" s="318" t="str">
        <f ca="1">IF(ROWS($1:455)&gt;COUNT(Dong5),"",IF(OFFSET(TH!N$1,SMALL(Dong5,ROWS($1:455)),)=$E$7,OFFSET(TH!O$1,SMALL(Dong5,ROWS($1:455)),),OFFSET(TH!N$1,SMALL(Dong5,ROWS($1:455)),)))</f>
        <v>331</v>
      </c>
      <c r="F469" s="384">
        <f ca="1">IF(ROWS($1:455)&gt;COUNT(Dong5),0,IF(OFFSET(TH!N$1,SMALL(Dong5,ROWS($1:455)),)=$E$7,OFFSET(TH!M$1,SMALL(Dong5,ROWS($1:455)),),0))</f>
        <v>26000000</v>
      </c>
      <c r="G469" s="382">
        <f ca="1">IF(ROWS($1:455)&gt;COUNT(Dong5),0,IF(OFFSET(TH!O$1,SMALL(Dong5,ROWS($1:455)),)=$E$7,OFFSET(TH!M$1,SMALL(Dong5,ROWS($1:455)),),0))</f>
        <v>0</v>
      </c>
      <c r="H469" s="385">
        <f ca="1">IF(D469&lt;&gt;"",MAX(H468+F469-G469-I468,0),0)</f>
        <v>309427454</v>
      </c>
      <c r="I469" s="385">
        <f ca="1">IF(D469&lt;&gt;"",MAX(I468+G469-H468-F469,0),0)</f>
        <v>0</v>
      </c>
      <c r="J469" s="18">
        <f ca="1">MONTH(A469)</f>
        <v>12</v>
      </c>
    </row>
    <row r="470" spans="1:10" s="18" customFormat="1" ht="18" customHeight="1">
      <c r="A470" s="318">
        <f ca="1">IF(ROWS($1:456)&gt;COUNT(Dong5),"",OFFSET(TH!C$1,SMALL(Dong5,ROWS($1:456)),))</f>
        <v>42552</v>
      </c>
      <c r="B470" s="318" t="str">
        <f ca="1">IF(ROWS($1:456)&gt;COUNT(Dong5),"",OFFSET(TH!D$1,SMALL(Dong5,ROWS($1:456)),))</f>
        <v>GBN</v>
      </c>
      <c r="C470" s="318">
        <f ca="1">IF(ROWS($1:456)&gt;COUNT(Dong5),"",OFFSET(TH!E$1,SMALL(Dong5,ROWS($1:456)),))</f>
        <v>42552</v>
      </c>
      <c r="D470" s="383" t="str">
        <f ca="1">IF(ROWS($1:456)&gt;COUNT(Dong5),"",OFFSET(TH!F$1,SMALL(Dong5,ROWS($1:456)),))</f>
        <v>VAT Phí Ngân hàng</v>
      </c>
      <c r="E470" s="318" t="str">
        <f ca="1">IF(ROWS($1:456)&gt;COUNT(Dong5),"",IF(OFFSET(TH!N$1,SMALL(Dong5,ROWS($1:456)),)=$E$7,OFFSET(TH!O$1,SMALL(Dong5,ROWS($1:456)),),OFFSET(TH!N$1,SMALL(Dong5,ROWS($1:456)),)))</f>
        <v>1121</v>
      </c>
      <c r="F470" s="384">
        <f ca="1">IF(ROWS($1:456)&gt;COUNT(Dong5),0,IF(OFFSET(TH!N$1,SMALL(Dong5,ROWS($1:456)),)=$E$7,OFFSET(TH!M$1,SMALL(Dong5,ROWS($1:456)),),0))</f>
        <v>4470</v>
      </c>
      <c r="G470" s="382">
        <f ca="1">IF(ROWS($1:456)&gt;COUNT(Dong5),0,IF(OFFSET(TH!O$1,SMALL(Dong5,ROWS($1:456)),)=$E$7,OFFSET(TH!M$1,SMALL(Dong5,ROWS($1:456)),),0))</f>
        <v>0</v>
      </c>
      <c r="H470" s="385">
        <f ca="1">IF(D470&lt;&gt;"",MAX(H469+F470-G470-I469,0),0)</f>
        <v>309431924</v>
      </c>
      <c r="I470" s="385">
        <f ca="1">IF(D470&lt;&gt;"",MAX(I469+G470-H469-F470,0),0)</f>
        <v>0</v>
      </c>
      <c r="J470" s="18">
        <f ca="1">MONTH(A470)</f>
        <v>7</v>
      </c>
    </row>
    <row r="471" spans="1:10" s="18" customFormat="1" ht="18" customHeight="1">
      <c r="A471" s="318">
        <f ca="1">IF(ROWS($1:457)&gt;COUNT(Dong5),"",OFFSET(TH!C$1,SMALL(Dong5,ROWS($1:457)),))</f>
        <v>42552</v>
      </c>
      <c r="B471" s="318" t="str">
        <f ca="1">IF(ROWS($1:457)&gt;COUNT(Dong5),"",OFFSET(TH!D$1,SMALL(Dong5,ROWS($1:457)),))</f>
        <v>GBN</v>
      </c>
      <c r="C471" s="318">
        <f ca="1">IF(ROWS($1:457)&gt;COUNT(Dong5),"",OFFSET(TH!E$1,SMALL(Dong5,ROWS($1:457)),))</f>
        <v>42552</v>
      </c>
      <c r="D471" s="383" t="str">
        <f ca="1">IF(ROWS($1:457)&gt;COUNT(Dong5),"",OFFSET(TH!F$1,SMALL(Dong5,ROWS($1:457)),))</f>
        <v>VAT Phí kiểm đếm</v>
      </c>
      <c r="E471" s="318" t="str">
        <f ca="1">IF(ROWS($1:457)&gt;COUNT(Dong5),"",IF(OFFSET(TH!N$1,SMALL(Dong5,ROWS($1:457)),)=$E$7,OFFSET(TH!O$1,SMALL(Dong5,ROWS($1:457)),),OFFSET(TH!N$1,SMALL(Dong5,ROWS($1:457)),)))</f>
        <v>1121</v>
      </c>
      <c r="F471" s="384">
        <f ca="1">IF(ROWS($1:457)&gt;COUNT(Dong5),0,IF(OFFSET(TH!N$1,SMALL(Dong5,ROWS($1:457)),)=$E$7,OFFSET(TH!M$1,SMALL(Dong5,ROWS($1:457)),),0))</f>
        <v>1000</v>
      </c>
      <c r="G471" s="382">
        <f ca="1">IF(ROWS($1:457)&gt;COUNT(Dong5),0,IF(OFFSET(TH!O$1,SMALL(Dong5,ROWS($1:457)),)=$E$7,OFFSET(TH!M$1,SMALL(Dong5,ROWS($1:457)),),0))</f>
        <v>0</v>
      </c>
      <c r="H471" s="385">
        <f ca="1">IF(D471&lt;&gt;"",MAX(H470+F471-G471-I470,0),0)</f>
        <v>309432924</v>
      </c>
      <c r="I471" s="385">
        <f ca="1">IF(D471&lt;&gt;"",MAX(I470+G471-H470-F471,0),0)</f>
        <v>0</v>
      </c>
      <c r="J471" s="18">
        <f ca="1">MONTH(A471)</f>
        <v>7</v>
      </c>
    </row>
    <row r="472" spans="1:10" s="18" customFormat="1" ht="18" customHeight="1">
      <c r="A472" s="318">
        <f ca="1">IF(ROWS($1:458)&gt;COUNT(Dong5),"",OFFSET(TH!C$1,SMALL(Dong5,ROWS($1:458)),))</f>
        <v>42552</v>
      </c>
      <c r="B472" s="318" t="str">
        <f ca="1">IF(ROWS($1:458)&gt;COUNT(Dong5),"",OFFSET(TH!D$1,SMALL(Dong5,ROWS($1:458)),))</f>
        <v>GBN</v>
      </c>
      <c r="C472" s="318">
        <f ca="1">IF(ROWS($1:458)&gt;COUNT(Dong5),"",OFFSET(TH!E$1,SMALL(Dong5,ROWS($1:458)),))</f>
        <v>42552</v>
      </c>
      <c r="D472" s="383" t="str">
        <f ca="1">IF(ROWS($1:458)&gt;COUNT(Dong5),"",OFFSET(TH!F$1,SMALL(Dong5,ROWS($1:458)),))</f>
        <v>VAT Phí dịch vụ Internet Banking</v>
      </c>
      <c r="E472" s="318" t="str">
        <f ca="1">IF(ROWS($1:458)&gt;COUNT(Dong5),"",IF(OFFSET(TH!N$1,SMALL(Dong5,ROWS($1:458)),)=$E$7,OFFSET(TH!O$1,SMALL(Dong5,ROWS($1:458)),),OFFSET(TH!N$1,SMALL(Dong5,ROWS($1:458)),)))</f>
        <v>1121</v>
      </c>
      <c r="F472" s="384">
        <f ca="1">IF(ROWS($1:458)&gt;COUNT(Dong5),0,IF(OFFSET(TH!N$1,SMALL(Dong5,ROWS($1:458)),)=$E$7,OFFSET(TH!M$1,SMALL(Dong5,ROWS($1:458)),),0))</f>
        <v>10000</v>
      </c>
      <c r="G472" s="382">
        <f ca="1">IF(ROWS($1:458)&gt;COUNT(Dong5),0,IF(OFFSET(TH!O$1,SMALL(Dong5,ROWS($1:458)),)=$E$7,OFFSET(TH!M$1,SMALL(Dong5,ROWS($1:458)),),0))</f>
        <v>0</v>
      </c>
      <c r="H472" s="385">
        <f ca="1">IF(D472&lt;&gt;"",MAX(H471+F472-G472-I471,0),0)</f>
        <v>309442924</v>
      </c>
      <c r="I472" s="385">
        <f ca="1">IF(D472&lt;&gt;"",MAX(I471+G472-H471-F472,0),0)</f>
        <v>0</v>
      </c>
      <c r="J472" s="18">
        <f ca="1">MONTH(A472)</f>
        <v>7</v>
      </c>
    </row>
    <row r="473" spans="1:10" s="18" customFormat="1" ht="18" customHeight="1">
      <c r="A473" s="318">
        <f ca="1">IF(ROWS($1:459)&gt;COUNT(Dong5),"",OFFSET(TH!C$1,SMALL(Dong5,ROWS($1:459)),))</f>
        <v>42553</v>
      </c>
      <c r="B473" s="318" t="str">
        <f ca="1">IF(ROWS($1:459)&gt;COUNT(Dong5),"",OFFSET(TH!D$1,SMALL(Dong5,ROWS($1:459)),))</f>
        <v>C02</v>
      </c>
      <c r="C473" s="318">
        <f ca="1">IF(ROWS($1:459)&gt;COUNT(Dong5),"",OFFSET(TH!E$1,SMALL(Dong5,ROWS($1:459)),))</f>
        <v>42553</v>
      </c>
      <c r="D473" s="383" t="str">
        <f ca="1">IF(ROWS($1:459)&gt;COUNT(Dong5),"",OFFSET(TH!F$1,SMALL(Dong5,ROWS($1:459)),))</f>
        <v>VAT Gas</v>
      </c>
      <c r="E473" s="318" t="str">
        <f ca="1">IF(ROWS($1:459)&gt;COUNT(Dong5),"",IF(OFFSET(TH!N$1,SMALL(Dong5,ROWS($1:459)),)=$E$7,OFFSET(TH!O$1,SMALL(Dong5,ROWS($1:459)),),OFFSET(TH!N$1,SMALL(Dong5,ROWS($1:459)),)))</f>
        <v>1111</v>
      </c>
      <c r="F473" s="384">
        <f ca="1">IF(ROWS($1:459)&gt;COUNT(Dong5),0,IF(OFFSET(TH!N$1,SMALL(Dong5,ROWS($1:459)),)=$E$7,OFFSET(TH!M$1,SMALL(Dong5,ROWS($1:459)),),0))</f>
        <v>828182</v>
      </c>
      <c r="G473" s="382">
        <f ca="1">IF(ROWS($1:459)&gt;COUNT(Dong5),0,IF(OFFSET(TH!O$1,SMALL(Dong5,ROWS($1:459)),)=$E$7,OFFSET(TH!M$1,SMALL(Dong5,ROWS($1:459)),),0))</f>
        <v>0</v>
      </c>
      <c r="H473" s="385">
        <f ca="1">IF(D473&lt;&gt;"",MAX(H472+F473-G473-I472,0),0)</f>
        <v>310271106</v>
      </c>
      <c r="I473" s="385">
        <f ca="1">IF(D473&lt;&gt;"",MAX(I472+G473-H472-F473,0),0)</f>
        <v>0</v>
      </c>
      <c r="J473" s="18">
        <f ca="1">MONTH(A473)</f>
        <v>7</v>
      </c>
    </row>
    <row r="474" spans="1:10" s="18" customFormat="1" ht="18" customHeight="1">
      <c r="A474" s="318">
        <f ca="1">IF(ROWS($1:460)&gt;COUNT(Dong5),"",OFFSET(TH!C$1,SMALL(Dong5,ROWS($1:460)),))</f>
        <v>42554</v>
      </c>
      <c r="B474" s="318" t="str">
        <f ca="1">IF(ROWS($1:460)&gt;COUNT(Dong5),"",OFFSET(TH!D$1,SMALL(Dong5,ROWS($1:460)),))</f>
        <v>C04</v>
      </c>
      <c r="C474" s="318">
        <f ca="1">IF(ROWS($1:460)&gt;COUNT(Dong5),"",OFFSET(TH!E$1,SMALL(Dong5,ROWS($1:460)),))</f>
        <v>42554</v>
      </c>
      <c r="D474" s="383" t="str">
        <f ca="1">IF(ROWS($1:460)&gt;COUNT(Dong5),"",OFFSET(TH!F$1,SMALL(Dong5,ROWS($1:460)),))</f>
        <v xml:space="preserve">VAT Xăng, dầu </v>
      </c>
      <c r="E474" s="318" t="str">
        <f ca="1">IF(ROWS($1:460)&gt;COUNT(Dong5),"",IF(OFFSET(TH!N$1,SMALL(Dong5,ROWS($1:460)),)=$E$7,OFFSET(TH!O$1,SMALL(Dong5,ROWS($1:460)),),OFFSET(TH!N$1,SMALL(Dong5,ROWS($1:460)),)))</f>
        <v>1111</v>
      </c>
      <c r="F474" s="384">
        <f ca="1">IF(ROWS($1:460)&gt;COUNT(Dong5),0,IF(OFFSET(TH!N$1,SMALL(Dong5,ROWS($1:460)),)=$E$7,OFFSET(TH!M$1,SMALL(Dong5,ROWS($1:460)),),0))</f>
        <v>154244</v>
      </c>
      <c r="G474" s="382">
        <f ca="1">IF(ROWS($1:460)&gt;COUNT(Dong5),0,IF(OFFSET(TH!O$1,SMALL(Dong5,ROWS($1:460)),)=$E$7,OFFSET(TH!M$1,SMALL(Dong5,ROWS($1:460)),),0))</f>
        <v>0</v>
      </c>
      <c r="H474" s="385">
        <f ca="1">IF(D474&lt;&gt;"",MAX(H473+F474-G474-I473,0),0)</f>
        <v>310425350</v>
      </c>
      <c r="I474" s="385">
        <f ca="1">IF(D474&lt;&gt;"",MAX(I473+G474-H473-F474,0),0)</f>
        <v>0</v>
      </c>
      <c r="J474" s="18">
        <f ca="1">MONTH(A474)</f>
        <v>7</v>
      </c>
    </row>
    <row r="475" spans="1:10" s="18" customFormat="1" ht="18" customHeight="1">
      <c r="A475" s="318">
        <f ca="1">IF(ROWS($1:461)&gt;COUNT(Dong5),"",OFFSET(TH!C$1,SMALL(Dong5,ROWS($1:461)),))</f>
        <v>42556</v>
      </c>
      <c r="B475" s="318" t="str">
        <f ca="1">IF(ROWS($1:461)&gt;COUNT(Dong5),"",OFFSET(TH!D$1,SMALL(Dong5,ROWS($1:461)),))</f>
        <v>C07</v>
      </c>
      <c r="C475" s="318">
        <f ca="1">IF(ROWS($1:461)&gt;COUNT(Dong5),"",OFFSET(TH!E$1,SMALL(Dong5,ROWS($1:461)),))</f>
        <v>42556</v>
      </c>
      <c r="D475" s="383" t="str">
        <f ca="1">IF(ROWS($1:461)&gt;COUNT(Dong5),"",OFFSET(TH!F$1,SMALL(Dong5,ROWS($1:461)),))</f>
        <v>VAT Sửa chữa xe 51A - 141.74</v>
      </c>
      <c r="E475" s="318" t="str">
        <f ca="1">IF(ROWS($1:461)&gt;COUNT(Dong5),"",IF(OFFSET(TH!N$1,SMALL(Dong5,ROWS($1:461)),)=$E$7,OFFSET(TH!O$1,SMALL(Dong5,ROWS($1:461)),),OFFSET(TH!N$1,SMALL(Dong5,ROWS($1:461)),)))</f>
        <v>1111</v>
      </c>
      <c r="F475" s="384">
        <f ca="1">IF(ROWS($1:461)&gt;COUNT(Dong5),0,IF(OFFSET(TH!N$1,SMALL(Dong5,ROWS($1:461)),)=$E$7,OFFSET(TH!M$1,SMALL(Dong5,ROWS($1:461)),),0))</f>
        <v>1579200</v>
      </c>
      <c r="G475" s="382">
        <f ca="1">IF(ROWS($1:461)&gt;COUNT(Dong5),0,IF(OFFSET(TH!O$1,SMALL(Dong5,ROWS($1:461)),)=$E$7,OFFSET(TH!M$1,SMALL(Dong5,ROWS($1:461)),),0))</f>
        <v>0</v>
      </c>
      <c r="H475" s="385">
        <f ca="1">IF(D475&lt;&gt;"",MAX(H474+F475-G475-I474,0),0)</f>
        <v>312004550</v>
      </c>
      <c r="I475" s="385">
        <f ca="1">IF(D475&lt;&gt;"",MAX(I474+G475-H474-F475,0),0)</f>
        <v>0</v>
      </c>
      <c r="J475" s="18">
        <f ca="1">MONTH(A475)</f>
        <v>7</v>
      </c>
    </row>
    <row r="476" spans="1:10" s="18" customFormat="1" ht="18" customHeight="1">
      <c r="A476" s="318">
        <f ca="1">IF(ROWS($1:462)&gt;COUNT(Dong5),"",OFFSET(TH!C$1,SMALL(Dong5,ROWS($1:462)),))</f>
        <v>42556</v>
      </c>
      <c r="B476" s="318" t="str">
        <f ca="1">IF(ROWS($1:462)&gt;COUNT(Dong5),"",OFFSET(TH!D$1,SMALL(Dong5,ROWS($1:462)),))</f>
        <v>GBN</v>
      </c>
      <c r="C476" s="318">
        <f ca="1">IF(ROWS($1:462)&gt;COUNT(Dong5),"",OFFSET(TH!E$1,SMALL(Dong5,ROWS($1:462)),))</f>
        <v>42556</v>
      </c>
      <c r="D476" s="383" t="str">
        <f ca="1">IF(ROWS($1:462)&gt;COUNT(Dong5),"",OFFSET(TH!F$1,SMALL(Dong5,ROWS($1:462)),))</f>
        <v>VAT Phí dịch vụ</v>
      </c>
      <c r="E476" s="318" t="str">
        <f ca="1">IF(ROWS($1:462)&gt;COUNT(Dong5),"",IF(OFFSET(TH!N$1,SMALL(Dong5,ROWS($1:462)),)=$E$7,OFFSET(TH!O$1,SMALL(Dong5,ROWS($1:462)),),OFFSET(TH!N$1,SMALL(Dong5,ROWS($1:462)),)))</f>
        <v>1121</v>
      </c>
      <c r="F476" s="384">
        <f ca="1">IF(ROWS($1:462)&gt;COUNT(Dong5),0,IF(OFFSET(TH!N$1,SMALL(Dong5,ROWS($1:462)),)=$E$7,OFFSET(TH!M$1,SMALL(Dong5,ROWS($1:462)),),0))</f>
        <v>2851</v>
      </c>
      <c r="G476" s="382">
        <f ca="1">IF(ROWS($1:462)&gt;COUNT(Dong5),0,IF(OFFSET(TH!O$1,SMALL(Dong5,ROWS($1:462)),)=$E$7,OFFSET(TH!M$1,SMALL(Dong5,ROWS($1:462)),),0))</f>
        <v>0</v>
      </c>
      <c r="H476" s="385">
        <f ca="1">IF(D476&lt;&gt;"",MAX(H475+F476-G476-I475,0),0)</f>
        <v>312007401</v>
      </c>
      <c r="I476" s="385">
        <f ca="1">IF(D476&lt;&gt;"",MAX(I475+G476-H475-F476,0),0)</f>
        <v>0</v>
      </c>
      <c r="J476" s="18">
        <f ca="1">MONTH(A476)</f>
        <v>7</v>
      </c>
    </row>
    <row r="477" spans="1:10" s="18" customFormat="1" ht="18" customHeight="1">
      <c r="A477" s="318">
        <f ca="1">IF(ROWS($1:463)&gt;COUNT(Dong5),"",OFFSET(TH!C$1,SMALL(Dong5,ROWS($1:463)),))</f>
        <v>42556</v>
      </c>
      <c r="B477" s="318" t="str">
        <f ca="1">IF(ROWS($1:463)&gt;COUNT(Dong5),"",OFFSET(TH!D$1,SMALL(Dong5,ROWS($1:463)),))</f>
        <v>GBN</v>
      </c>
      <c r="C477" s="318">
        <f ca="1">IF(ROWS($1:463)&gt;COUNT(Dong5),"",OFFSET(TH!E$1,SMALL(Dong5,ROWS($1:463)),))</f>
        <v>42556</v>
      </c>
      <c r="D477" s="383" t="str">
        <f ca="1">IF(ROWS($1:463)&gt;COUNT(Dong5),"",OFFSET(TH!F$1,SMALL(Dong5,ROWS($1:463)),))</f>
        <v>VAT Phí dịch vụ</v>
      </c>
      <c r="E477" s="318" t="str">
        <f ca="1">IF(ROWS($1:463)&gt;COUNT(Dong5),"",IF(OFFSET(TH!N$1,SMALL(Dong5,ROWS($1:463)),)=$E$7,OFFSET(TH!O$1,SMALL(Dong5,ROWS($1:463)),),OFFSET(TH!N$1,SMALL(Dong5,ROWS($1:463)),)))</f>
        <v>1121</v>
      </c>
      <c r="F477" s="384">
        <f ca="1">IF(ROWS($1:463)&gt;COUNT(Dong5),0,IF(OFFSET(TH!N$1,SMALL(Dong5,ROWS($1:463)),)=$E$7,OFFSET(TH!M$1,SMALL(Dong5,ROWS($1:463)),),0))</f>
        <v>2500</v>
      </c>
      <c r="G477" s="382">
        <f ca="1">IF(ROWS($1:463)&gt;COUNT(Dong5),0,IF(OFFSET(TH!O$1,SMALL(Dong5,ROWS($1:463)),)=$E$7,OFFSET(TH!M$1,SMALL(Dong5,ROWS($1:463)),),0))</f>
        <v>0</v>
      </c>
      <c r="H477" s="385">
        <f ca="1">IF(D477&lt;&gt;"",MAX(H476+F477-G477-I476,0),0)</f>
        <v>312009901</v>
      </c>
      <c r="I477" s="385">
        <f ca="1">IF(D477&lt;&gt;"",MAX(I476+G477-H476-F477,0),0)</f>
        <v>0</v>
      </c>
      <c r="J477" s="18">
        <f ca="1">MONTH(A477)</f>
        <v>7</v>
      </c>
    </row>
    <row r="478" spans="1:10" s="18" customFormat="1" ht="18" customHeight="1">
      <c r="A478" s="318">
        <f ca="1">IF(ROWS($1:464)&gt;COUNT(Dong5),"",OFFSET(TH!C$1,SMALL(Dong5,ROWS($1:464)),))</f>
        <v>42556</v>
      </c>
      <c r="B478" s="318" t="str">
        <f ca="1">IF(ROWS($1:464)&gt;COUNT(Dong5),"",OFFSET(TH!D$1,SMALL(Dong5,ROWS($1:464)),))</f>
        <v>GBN</v>
      </c>
      <c r="C478" s="318">
        <f ca="1">IF(ROWS($1:464)&gt;COUNT(Dong5),"",OFFSET(TH!E$1,SMALL(Dong5,ROWS($1:464)),))</f>
        <v>42556</v>
      </c>
      <c r="D478" s="383" t="str">
        <f ca="1">IF(ROWS($1:464)&gt;COUNT(Dong5),"",OFFSET(TH!F$1,SMALL(Dong5,ROWS($1:464)),))</f>
        <v>VAT Phí dịch vụ</v>
      </c>
      <c r="E478" s="318" t="str">
        <f ca="1">IF(ROWS($1:464)&gt;COUNT(Dong5),"",IF(OFFSET(TH!N$1,SMALL(Dong5,ROWS($1:464)),)=$E$7,OFFSET(TH!O$1,SMALL(Dong5,ROWS($1:464)),),OFFSET(TH!N$1,SMALL(Dong5,ROWS($1:464)),)))</f>
        <v>1121</v>
      </c>
      <c r="F478" s="384">
        <f ca="1">IF(ROWS($1:464)&gt;COUNT(Dong5),0,IF(OFFSET(TH!N$1,SMALL(Dong5,ROWS($1:464)),)=$E$7,OFFSET(TH!M$1,SMALL(Dong5,ROWS($1:464)),),0))</f>
        <v>4000</v>
      </c>
      <c r="G478" s="382">
        <f ca="1">IF(ROWS($1:464)&gt;COUNT(Dong5),0,IF(OFFSET(TH!O$1,SMALL(Dong5,ROWS($1:464)),)=$E$7,OFFSET(TH!M$1,SMALL(Dong5,ROWS($1:464)),),0))</f>
        <v>0</v>
      </c>
      <c r="H478" s="385">
        <f ca="1">IF(D478&lt;&gt;"",MAX(H477+F478-G478-I477,0),0)</f>
        <v>312013901</v>
      </c>
      <c r="I478" s="385">
        <f ca="1">IF(D478&lt;&gt;"",MAX(I477+G478-H477-F478,0),0)</f>
        <v>0</v>
      </c>
      <c r="J478" s="18">
        <f ca="1">MONTH(A478)</f>
        <v>7</v>
      </c>
    </row>
    <row r="479" spans="1:10" s="18" customFormat="1" ht="18" customHeight="1">
      <c r="A479" s="318">
        <f ca="1">IF(ROWS($1:465)&gt;COUNT(Dong5),"",OFFSET(TH!C$1,SMALL(Dong5,ROWS($1:465)),))</f>
        <v>42705</v>
      </c>
      <c r="B479" s="318" t="str">
        <f ca="1">IF(ROWS($1:465)&gt;COUNT(Dong5),"",OFFSET(TH!D$1,SMALL(Dong5,ROWS($1:465)),))</f>
        <v>CTGS</v>
      </c>
      <c r="C479" s="318">
        <f ca="1">IF(ROWS($1:465)&gt;COUNT(Dong5),"",OFFSET(TH!E$1,SMALL(Dong5,ROWS($1:465)),))</f>
        <v>42674</v>
      </c>
      <c r="D479" s="383" t="str">
        <f ca="1">IF(ROWS($1:465)&gt;COUNT(Dong5),"",OFFSET(TH!F$1,SMALL(Dong5,ROWS($1:465)),))</f>
        <v>VAT Nước sinh hoạt, phí cơ sở hạ tầng</v>
      </c>
      <c r="E479" s="318" t="str">
        <f ca="1">IF(ROWS($1:465)&gt;COUNT(Dong5),"",IF(OFFSET(TH!N$1,SMALL(Dong5,ROWS($1:465)),)=$E$7,OFFSET(TH!O$1,SMALL(Dong5,ROWS($1:465)),),OFFSET(TH!N$1,SMALL(Dong5,ROWS($1:465)),)))</f>
        <v>331</v>
      </c>
      <c r="F479" s="384">
        <f ca="1">IF(ROWS($1:465)&gt;COUNT(Dong5),0,IF(OFFSET(TH!N$1,SMALL(Dong5,ROWS($1:465)),)=$E$7,OFFSET(TH!M$1,SMALL(Dong5,ROWS($1:465)),),0))</f>
        <v>506878</v>
      </c>
      <c r="G479" s="382">
        <f ca="1">IF(ROWS($1:465)&gt;COUNT(Dong5),0,IF(OFFSET(TH!O$1,SMALL(Dong5,ROWS($1:465)),)=$E$7,OFFSET(TH!M$1,SMALL(Dong5,ROWS($1:465)),),0))</f>
        <v>0</v>
      </c>
      <c r="H479" s="385">
        <f ca="1">IF(D479&lt;&gt;"",MAX(H478+F479-G479-I478,0),0)</f>
        <v>312520779</v>
      </c>
      <c r="I479" s="385">
        <f ca="1">IF(D479&lt;&gt;"",MAX(I478+G479-H478-F479,0),0)</f>
        <v>0</v>
      </c>
      <c r="J479" s="18">
        <f ca="1">MONTH(A479)</f>
        <v>12</v>
      </c>
    </row>
    <row r="480" spans="1:10" s="18" customFormat="1" ht="18" customHeight="1">
      <c r="A480" s="318">
        <f ca="1">IF(ROWS($1:466)&gt;COUNT(Dong5),"",OFFSET(TH!C$1,SMALL(Dong5,ROWS($1:466)),))</f>
        <v>42556</v>
      </c>
      <c r="B480" s="318" t="str">
        <f ca="1">IF(ROWS($1:466)&gt;COUNT(Dong5),"",OFFSET(TH!D$1,SMALL(Dong5,ROWS($1:466)),))</f>
        <v>GBN</v>
      </c>
      <c r="C480" s="318">
        <f ca="1">IF(ROWS($1:466)&gt;COUNT(Dong5),"",OFFSET(TH!E$1,SMALL(Dong5,ROWS($1:466)),))</f>
        <v>42556</v>
      </c>
      <c r="D480" s="383" t="str">
        <f ca="1">IF(ROWS($1:466)&gt;COUNT(Dong5),"",OFFSET(TH!F$1,SMALL(Dong5,ROWS($1:466)),))</f>
        <v>VAT Phí dịch vụ</v>
      </c>
      <c r="E480" s="318" t="str">
        <f ca="1">IF(ROWS($1:466)&gt;COUNT(Dong5),"",IF(OFFSET(TH!N$1,SMALL(Dong5,ROWS($1:466)),)=$E$7,OFFSET(TH!O$1,SMALL(Dong5,ROWS($1:466)),),OFFSET(TH!N$1,SMALL(Dong5,ROWS($1:466)),)))</f>
        <v>1121</v>
      </c>
      <c r="F480" s="384">
        <f ca="1">IF(ROWS($1:466)&gt;COUNT(Dong5),0,IF(OFFSET(TH!N$1,SMALL(Dong5,ROWS($1:466)),)=$E$7,OFFSET(TH!M$1,SMALL(Dong5,ROWS($1:466)),),0))</f>
        <v>2000</v>
      </c>
      <c r="G480" s="382">
        <f ca="1">IF(ROWS($1:466)&gt;COUNT(Dong5),0,IF(OFFSET(TH!O$1,SMALL(Dong5,ROWS($1:466)),)=$E$7,OFFSET(TH!M$1,SMALL(Dong5,ROWS($1:466)),),0))</f>
        <v>0</v>
      </c>
      <c r="H480" s="385">
        <f ca="1">IF(D480&lt;&gt;"",MAX(H479+F480-G480-I479,0),0)</f>
        <v>312522779</v>
      </c>
      <c r="I480" s="385">
        <f ca="1">IF(D480&lt;&gt;"",MAX(I479+G480-H479-F480,0),0)</f>
        <v>0</v>
      </c>
      <c r="J480" s="18">
        <f ca="1">MONTH(A480)</f>
        <v>7</v>
      </c>
    </row>
    <row r="481" spans="1:10" s="18" customFormat="1" ht="18" customHeight="1">
      <c r="A481" s="318">
        <f ca="1">IF(ROWS($1:467)&gt;COUNT(Dong5),"",OFFSET(TH!C$1,SMALL(Dong5,ROWS($1:467)),))</f>
        <v>42728</v>
      </c>
      <c r="B481" s="318" t="str">
        <f ca="1">IF(ROWS($1:467)&gt;COUNT(Dong5),"",OFFSET(TH!D$1,SMALL(Dong5,ROWS($1:467)),))</f>
        <v>VL/N44</v>
      </c>
      <c r="C481" s="318">
        <f ca="1">IF(ROWS($1:467)&gt;COUNT(Dong5),"",OFFSET(TH!E$1,SMALL(Dong5,ROWS($1:467)),))</f>
        <v>42728</v>
      </c>
      <c r="D481" s="383" t="str">
        <f ca="1">IF(ROWS($1:467)&gt;COUNT(Dong5),"",OFFSET(TH!F$1,SMALL(Dong5,ROWS($1:467)),))</f>
        <v>VAT Thùng carton</v>
      </c>
      <c r="E481" s="318" t="str">
        <f ca="1">IF(ROWS($1:467)&gt;COUNT(Dong5),"",IF(OFFSET(TH!N$1,SMALL(Dong5,ROWS($1:467)),)=$E$7,OFFSET(TH!O$1,SMALL(Dong5,ROWS($1:467)),),OFFSET(TH!N$1,SMALL(Dong5,ROWS($1:467)),)))</f>
        <v>331</v>
      </c>
      <c r="F481" s="384">
        <f ca="1">IF(ROWS($1:467)&gt;COUNT(Dong5),0,IF(OFFSET(TH!N$1,SMALL(Dong5,ROWS($1:467)),)=$E$7,OFFSET(TH!M$1,SMALL(Dong5,ROWS($1:467)),),0))</f>
        <v>819450</v>
      </c>
      <c r="G481" s="382">
        <f ca="1">IF(ROWS($1:467)&gt;COUNT(Dong5),0,IF(OFFSET(TH!O$1,SMALL(Dong5,ROWS($1:467)),)=$E$7,OFFSET(TH!M$1,SMALL(Dong5,ROWS($1:467)),),0))</f>
        <v>0</v>
      </c>
      <c r="H481" s="385">
        <f ca="1">IF(D481&lt;&gt;"",MAX(H480+F481-G481-I480,0),0)</f>
        <v>313342229</v>
      </c>
      <c r="I481" s="385">
        <f ca="1">IF(D481&lt;&gt;"",MAX(I480+G481-H480-F481,0),0)</f>
        <v>0</v>
      </c>
      <c r="J481" s="18">
        <f ca="1">MONTH(A481)</f>
        <v>12</v>
      </c>
    </row>
    <row r="482" spans="1:10" s="18" customFormat="1" ht="18" customHeight="1">
      <c r="A482" s="318">
        <f ca="1">IF(ROWS($1:468)&gt;COUNT(Dong5),"",OFFSET(TH!C$1,SMALL(Dong5,ROWS($1:468)),))</f>
        <v>42556</v>
      </c>
      <c r="B482" s="318" t="str">
        <f ca="1">IF(ROWS($1:468)&gt;COUNT(Dong5),"",OFFSET(TH!D$1,SMALL(Dong5,ROWS($1:468)),))</f>
        <v>GBN</v>
      </c>
      <c r="C482" s="318">
        <f ca="1">IF(ROWS($1:468)&gt;COUNT(Dong5),"",OFFSET(TH!E$1,SMALL(Dong5,ROWS($1:468)),))</f>
        <v>42556</v>
      </c>
      <c r="D482" s="383" t="str">
        <f ca="1">IF(ROWS($1:468)&gt;COUNT(Dong5),"",OFFSET(TH!F$1,SMALL(Dong5,ROWS($1:468)),))</f>
        <v>VAT Phí dịch vụ</v>
      </c>
      <c r="E482" s="318" t="str">
        <f ca="1">IF(ROWS($1:468)&gt;COUNT(Dong5),"",IF(OFFSET(TH!N$1,SMALL(Dong5,ROWS($1:468)),)=$E$7,OFFSET(TH!O$1,SMALL(Dong5,ROWS($1:468)),),OFFSET(TH!N$1,SMALL(Dong5,ROWS($1:468)),)))</f>
        <v>1121</v>
      </c>
      <c r="F482" s="384">
        <f ca="1">IF(ROWS($1:468)&gt;COUNT(Dong5),0,IF(OFFSET(TH!N$1,SMALL(Dong5,ROWS($1:468)),)=$E$7,OFFSET(TH!M$1,SMALL(Dong5,ROWS($1:468)),),0))</f>
        <v>2000</v>
      </c>
      <c r="G482" s="382">
        <f ca="1">IF(ROWS($1:468)&gt;COUNT(Dong5),0,IF(OFFSET(TH!O$1,SMALL(Dong5,ROWS($1:468)),)=$E$7,OFFSET(TH!M$1,SMALL(Dong5,ROWS($1:468)),),0))</f>
        <v>0</v>
      </c>
      <c r="H482" s="385">
        <f ca="1">IF(D482&lt;&gt;"",MAX(H481+F482-G482-I481,0),0)</f>
        <v>313344229</v>
      </c>
      <c r="I482" s="385">
        <f ca="1">IF(D482&lt;&gt;"",MAX(I481+G482-H481-F482,0),0)</f>
        <v>0</v>
      </c>
      <c r="J482" s="18">
        <f ca="1">MONTH(A482)</f>
        <v>7</v>
      </c>
    </row>
    <row r="483" spans="1:10" s="18" customFormat="1" ht="18" customHeight="1">
      <c r="A483" s="318">
        <f ca="1">IF(ROWS($1:469)&gt;COUNT(Dong5),"",OFFSET(TH!C$1,SMALL(Dong5,ROWS($1:469)),))</f>
        <v>42557</v>
      </c>
      <c r="B483" s="318" t="str">
        <f ca="1">IF(ROWS($1:469)&gt;COUNT(Dong5),"",OFFSET(TH!D$1,SMALL(Dong5,ROWS($1:469)),))</f>
        <v>C08</v>
      </c>
      <c r="C483" s="318">
        <f ca="1">IF(ROWS($1:469)&gt;COUNT(Dong5),"",OFFSET(TH!E$1,SMALL(Dong5,ROWS($1:469)),))</f>
        <v>42557</v>
      </c>
      <c r="D483" s="383" t="str">
        <f ca="1">IF(ROWS($1:469)&gt;COUNT(Dong5),"",OFFSET(TH!F$1,SMALL(Dong5,ROWS($1:469)),))</f>
        <v>VAT Dầu DO</v>
      </c>
      <c r="E483" s="318" t="str">
        <f ca="1">IF(ROWS($1:469)&gt;COUNT(Dong5),"",IF(OFFSET(TH!N$1,SMALL(Dong5,ROWS($1:469)),)=$E$7,OFFSET(TH!O$1,SMALL(Dong5,ROWS($1:469)),),OFFSET(TH!N$1,SMALL(Dong5,ROWS($1:469)),)))</f>
        <v>1111</v>
      </c>
      <c r="F483" s="384">
        <f ca="1">IF(ROWS($1:469)&gt;COUNT(Dong5),0,IF(OFFSET(TH!N$1,SMALL(Dong5,ROWS($1:469)),)=$E$7,OFFSET(TH!M$1,SMALL(Dong5,ROWS($1:469)),),0))</f>
        <v>72623</v>
      </c>
      <c r="G483" s="382">
        <f ca="1">IF(ROWS($1:469)&gt;COUNT(Dong5),0,IF(OFFSET(TH!O$1,SMALL(Dong5,ROWS($1:469)),)=$E$7,OFFSET(TH!M$1,SMALL(Dong5,ROWS($1:469)),),0))</f>
        <v>0</v>
      </c>
      <c r="H483" s="385">
        <f ca="1">IF(D483&lt;&gt;"",MAX(H482+F483-G483-I482,0),0)</f>
        <v>313416852</v>
      </c>
      <c r="I483" s="385">
        <f ca="1">IF(D483&lt;&gt;"",MAX(I482+G483-H482-F483,0),0)</f>
        <v>0</v>
      </c>
      <c r="J483" s="18">
        <f ca="1">MONTH(A483)</f>
        <v>7</v>
      </c>
    </row>
    <row r="484" spans="1:10" s="18" customFormat="1" ht="18" customHeight="1">
      <c r="A484" s="318">
        <f ca="1">IF(ROWS($1:470)&gt;COUNT(Dong5),"",OFFSET(TH!C$1,SMALL(Dong5,ROWS($1:470)),))</f>
        <v>42557</v>
      </c>
      <c r="B484" s="318" t="str">
        <f ca="1">IF(ROWS($1:470)&gt;COUNT(Dong5),"",OFFSET(TH!D$1,SMALL(Dong5,ROWS($1:470)),))</f>
        <v>C09</v>
      </c>
      <c r="C484" s="318">
        <f ca="1">IF(ROWS($1:470)&gt;COUNT(Dong5),"",OFFSET(TH!E$1,SMALL(Dong5,ROWS($1:470)),))</f>
        <v>42557</v>
      </c>
      <c r="D484" s="383" t="str">
        <f ca="1">IF(ROWS($1:470)&gt;COUNT(Dong5),"",OFFSET(TH!F$1,SMALL(Dong5,ROWS($1:470)),))</f>
        <v>VAT Cước VT - CNTT T6/2016</v>
      </c>
      <c r="E484" s="318" t="str">
        <f ca="1">IF(ROWS($1:470)&gt;COUNT(Dong5),"",IF(OFFSET(TH!N$1,SMALL(Dong5,ROWS($1:470)),)=$E$7,OFFSET(TH!O$1,SMALL(Dong5,ROWS($1:470)),),OFFSET(TH!N$1,SMALL(Dong5,ROWS($1:470)),)))</f>
        <v>1111</v>
      </c>
      <c r="F484" s="384">
        <f ca="1">IF(ROWS($1:470)&gt;COUNT(Dong5),0,IF(OFFSET(TH!N$1,SMALL(Dong5,ROWS($1:470)),)=$E$7,OFFSET(TH!M$1,SMALL(Dong5,ROWS($1:470)),),0))</f>
        <v>199427</v>
      </c>
      <c r="G484" s="382">
        <f ca="1">IF(ROWS($1:470)&gt;COUNT(Dong5),0,IF(OFFSET(TH!O$1,SMALL(Dong5,ROWS($1:470)),)=$E$7,OFFSET(TH!M$1,SMALL(Dong5,ROWS($1:470)),),0))</f>
        <v>0</v>
      </c>
      <c r="H484" s="385">
        <f ca="1">IF(D484&lt;&gt;"",MAX(H483+F484-G484-I483,0),0)</f>
        <v>313616279</v>
      </c>
      <c r="I484" s="385">
        <f ca="1">IF(D484&lt;&gt;"",MAX(I483+G484-H483-F484,0),0)</f>
        <v>0</v>
      </c>
      <c r="J484" s="18">
        <f ca="1">MONTH(A484)</f>
        <v>7</v>
      </c>
    </row>
    <row r="485" spans="1:10" s="18" customFormat="1" ht="18" customHeight="1">
      <c r="A485" s="318">
        <f ca="1">IF(ROWS($1:471)&gt;COUNT(Dong5),"",OFFSET(TH!C$1,SMALL(Dong5,ROWS($1:471)),))</f>
        <v>42560</v>
      </c>
      <c r="B485" s="318" t="str">
        <f ca="1">IF(ROWS($1:471)&gt;COUNT(Dong5),"",OFFSET(TH!D$1,SMALL(Dong5,ROWS($1:471)),))</f>
        <v>C10</v>
      </c>
      <c r="C485" s="318">
        <f ca="1">IF(ROWS($1:471)&gt;COUNT(Dong5),"",OFFSET(TH!E$1,SMALL(Dong5,ROWS($1:471)),))</f>
        <v>42560</v>
      </c>
      <c r="D485" s="383" t="str">
        <f ca="1">IF(ROWS($1:471)&gt;COUNT(Dong5),"",OFFSET(TH!F$1,SMALL(Dong5,ROWS($1:471)),))</f>
        <v>VAT Phí hiệu chuẩn nhiệt kế</v>
      </c>
      <c r="E485" s="318" t="str">
        <f ca="1">IF(ROWS($1:471)&gt;COUNT(Dong5),"",IF(OFFSET(TH!N$1,SMALL(Dong5,ROWS($1:471)),)=$E$7,OFFSET(TH!O$1,SMALL(Dong5,ROWS($1:471)),),OFFSET(TH!N$1,SMALL(Dong5,ROWS($1:471)),)))</f>
        <v>1111</v>
      </c>
      <c r="F485" s="384">
        <f ca="1">IF(ROWS($1:471)&gt;COUNT(Dong5),0,IF(OFFSET(TH!N$1,SMALL(Dong5,ROWS($1:471)),)=$E$7,OFFSET(TH!M$1,SMALL(Dong5,ROWS($1:471)),),0))</f>
        <v>64000</v>
      </c>
      <c r="G485" s="382">
        <f ca="1">IF(ROWS($1:471)&gt;COUNT(Dong5),0,IF(OFFSET(TH!O$1,SMALL(Dong5,ROWS($1:471)),)=$E$7,OFFSET(TH!M$1,SMALL(Dong5,ROWS($1:471)),),0))</f>
        <v>0</v>
      </c>
      <c r="H485" s="385">
        <f ca="1">IF(D485&lt;&gt;"",MAX(H484+F485-G485-I484,0),0)</f>
        <v>313680279</v>
      </c>
      <c r="I485" s="385">
        <f ca="1">IF(D485&lt;&gt;"",MAX(I484+G485-H484-F485,0),0)</f>
        <v>0</v>
      </c>
      <c r="J485" s="18">
        <f ca="1">MONTH(A485)</f>
        <v>7</v>
      </c>
    </row>
    <row r="486" spans="1:10" s="18" customFormat="1" ht="18" customHeight="1">
      <c r="A486" s="318">
        <f ca="1">IF(ROWS($1:472)&gt;COUNT(Dong5),"",OFFSET(TH!C$1,SMALL(Dong5,ROWS($1:472)),))</f>
        <v>42561</v>
      </c>
      <c r="B486" s="318" t="str">
        <f ca="1">IF(ROWS($1:472)&gt;COUNT(Dong5),"",OFFSET(TH!D$1,SMALL(Dong5,ROWS($1:472)),))</f>
        <v>C11</v>
      </c>
      <c r="C486" s="318">
        <f ca="1">IF(ROWS($1:472)&gt;COUNT(Dong5),"",OFFSET(TH!E$1,SMALL(Dong5,ROWS($1:472)),))</f>
        <v>42561</v>
      </c>
      <c r="D486" s="383" t="str">
        <f ca="1">IF(ROWS($1:472)&gt;COUNT(Dong5),"",OFFSET(TH!F$1,SMALL(Dong5,ROWS($1:472)),))</f>
        <v>VAT Xăng 95</v>
      </c>
      <c r="E486" s="318" t="str">
        <f ca="1">IF(ROWS($1:472)&gt;COUNT(Dong5),"",IF(OFFSET(TH!N$1,SMALL(Dong5,ROWS($1:472)),)=$E$7,OFFSET(TH!O$1,SMALL(Dong5,ROWS($1:472)),),OFFSET(TH!N$1,SMALL(Dong5,ROWS($1:472)),)))</f>
        <v>1111</v>
      </c>
      <c r="F486" s="384">
        <f ca="1">IF(ROWS($1:472)&gt;COUNT(Dong5),0,IF(OFFSET(TH!N$1,SMALL(Dong5,ROWS($1:472)),)=$E$7,OFFSET(TH!M$1,SMALL(Dong5,ROWS($1:472)),),0))</f>
        <v>75727</v>
      </c>
      <c r="G486" s="382">
        <f ca="1">IF(ROWS($1:472)&gt;COUNT(Dong5),0,IF(OFFSET(TH!O$1,SMALL(Dong5,ROWS($1:472)),)=$E$7,OFFSET(TH!M$1,SMALL(Dong5,ROWS($1:472)),),0))</f>
        <v>0</v>
      </c>
      <c r="H486" s="385">
        <f ca="1">IF(D486&lt;&gt;"",MAX(H485+F486-G486-I485,0),0)</f>
        <v>313756006</v>
      </c>
      <c r="I486" s="385">
        <f ca="1">IF(D486&lt;&gt;"",MAX(I485+G486-H485-F486,0),0)</f>
        <v>0</v>
      </c>
      <c r="J486" s="18">
        <f ca="1">MONTH(A486)</f>
        <v>7</v>
      </c>
    </row>
    <row r="487" spans="1:10" s="18" customFormat="1" ht="18" customHeight="1">
      <c r="A487" s="318">
        <f ca="1">IF(ROWS($1:473)&gt;COUNT(Dong5),"",OFFSET(TH!C$1,SMALL(Dong5,ROWS($1:473)),))</f>
        <v>42562</v>
      </c>
      <c r="B487" s="318" t="str">
        <f ca="1">IF(ROWS($1:473)&gt;COUNT(Dong5),"",OFFSET(TH!D$1,SMALL(Dong5,ROWS($1:473)),))</f>
        <v>C14</v>
      </c>
      <c r="C487" s="318">
        <f ca="1">IF(ROWS($1:473)&gt;COUNT(Dong5),"",OFFSET(TH!E$1,SMALL(Dong5,ROWS($1:473)),))</f>
        <v>42562</v>
      </c>
      <c r="D487" s="383" t="str">
        <f ca="1">IF(ROWS($1:473)&gt;COUNT(Dong5),"",OFFSET(TH!F$1,SMALL(Dong5,ROWS($1:473)),))</f>
        <v>VAT ĐTDĐ</v>
      </c>
      <c r="E487" s="318" t="str">
        <f ca="1">IF(ROWS($1:473)&gt;COUNT(Dong5),"",IF(OFFSET(TH!N$1,SMALL(Dong5,ROWS($1:473)),)=$E$7,OFFSET(TH!O$1,SMALL(Dong5,ROWS($1:473)),),OFFSET(TH!N$1,SMALL(Dong5,ROWS($1:473)),)))</f>
        <v>1111</v>
      </c>
      <c r="F487" s="384">
        <f ca="1">IF(ROWS($1:473)&gt;COUNT(Dong5),0,IF(OFFSET(TH!N$1,SMALL(Dong5,ROWS($1:473)),)=$E$7,OFFSET(TH!M$1,SMALL(Dong5,ROWS($1:473)),),0))</f>
        <v>34455</v>
      </c>
      <c r="G487" s="382">
        <f ca="1">IF(ROWS($1:473)&gt;COUNT(Dong5),0,IF(OFFSET(TH!O$1,SMALL(Dong5,ROWS($1:473)),)=$E$7,OFFSET(TH!M$1,SMALL(Dong5,ROWS($1:473)),),0))</f>
        <v>0</v>
      </c>
      <c r="H487" s="385">
        <f ca="1">IF(D487&lt;&gt;"",MAX(H486+F487-G487-I486,0),0)</f>
        <v>313790461</v>
      </c>
      <c r="I487" s="385">
        <f ca="1">IF(D487&lt;&gt;"",MAX(I486+G487-H486-F487,0),0)</f>
        <v>0</v>
      </c>
      <c r="J487" s="18">
        <f ca="1">MONTH(A487)</f>
        <v>7</v>
      </c>
    </row>
    <row r="488" spans="1:10" s="18" customFormat="1" ht="18" customHeight="1">
      <c r="A488" s="318">
        <f ca="1">IF(ROWS($1:474)&gt;COUNT(Dong5),"",OFFSET(TH!C$1,SMALL(Dong5,ROWS($1:474)),))</f>
        <v>42564</v>
      </c>
      <c r="B488" s="318" t="str">
        <f ca="1">IF(ROWS($1:474)&gt;COUNT(Dong5),"",OFFSET(TH!D$1,SMALL(Dong5,ROWS($1:474)),))</f>
        <v>C16</v>
      </c>
      <c r="C488" s="318">
        <f ca="1">IF(ROWS($1:474)&gt;COUNT(Dong5),"",OFFSET(TH!E$1,SMALL(Dong5,ROWS($1:474)),))</f>
        <v>42564</v>
      </c>
      <c r="D488" s="383" t="str">
        <f ca="1">IF(ROWS($1:474)&gt;COUNT(Dong5),"",OFFSET(TH!F$1,SMALL(Dong5,ROWS($1:474)),))</f>
        <v xml:space="preserve">VAT Xăng, dầu </v>
      </c>
      <c r="E488" s="318" t="str">
        <f ca="1">IF(ROWS($1:474)&gt;COUNT(Dong5),"",IF(OFFSET(TH!N$1,SMALL(Dong5,ROWS($1:474)),)=$E$7,OFFSET(TH!O$1,SMALL(Dong5,ROWS($1:474)),),OFFSET(TH!N$1,SMALL(Dong5,ROWS($1:474)),)))</f>
        <v>1111</v>
      </c>
      <c r="F488" s="384">
        <f ca="1">IF(ROWS($1:474)&gt;COUNT(Dong5),0,IF(OFFSET(TH!N$1,SMALL(Dong5,ROWS($1:474)),)=$E$7,OFFSET(TH!M$1,SMALL(Dong5,ROWS($1:474)),),0))</f>
        <v>109841</v>
      </c>
      <c r="G488" s="382">
        <f ca="1">IF(ROWS($1:474)&gt;COUNT(Dong5),0,IF(OFFSET(TH!O$1,SMALL(Dong5,ROWS($1:474)),)=$E$7,OFFSET(TH!M$1,SMALL(Dong5,ROWS($1:474)),),0))</f>
        <v>0</v>
      </c>
      <c r="H488" s="385">
        <f ca="1">IF(D488&lt;&gt;"",MAX(H487+F488-G488-I487,0),0)</f>
        <v>313900302</v>
      </c>
      <c r="I488" s="385">
        <f ca="1">IF(D488&lt;&gt;"",MAX(I487+G488-H487-F488,0),0)</f>
        <v>0</v>
      </c>
      <c r="J488" s="18">
        <f ca="1">MONTH(A488)</f>
        <v>7</v>
      </c>
    </row>
    <row r="489" spans="1:10" s="18" customFormat="1" ht="18" customHeight="1">
      <c r="A489" s="318">
        <f ca="1">IF(ROWS($1:475)&gt;COUNT(Dong5),"",OFFSET(TH!C$1,SMALL(Dong5,ROWS($1:475)),))</f>
        <v>42564</v>
      </c>
      <c r="B489" s="318" t="str">
        <f ca="1">IF(ROWS($1:475)&gt;COUNT(Dong5),"",OFFSET(TH!D$1,SMALL(Dong5,ROWS($1:475)),))</f>
        <v>C17</v>
      </c>
      <c r="C489" s="318">
        <f ca="1">IF(ROWS($1:475)&gt;COUNT(Dong5),"",OFFSET(TH!E$1,SMALL(Dong5,ROWS($1:475)),))</f>
        <v>42564</v>
      </c>
      <c r="D489" s="383" t="str">
        <f ca="1">IF(ROWS($1:475)&gt;COUNT(Dong5),"",OFFSET(TH!F$1,SMALL(Dong5,ROWS($1:475)),))</f>
        <v>VAT Phí phân tích chỉ tiêu</v>
      </c>
      <c r="E489" s="318" t="str">
        <f ca="1">IF(ROWS($1:475)&gt;COUNT(Dong5),"",IF(OFFSET(TH!N$1,SMALL(Dong5,ROWS($1:475)),)=$E$7,OFFSET(TH!O$1,SMALL(Dong5,ROWS($1:475)),),OFFSET(TH!N$1,SMALL(Dong5,ROWS($1:475)),)))</f>
        <v>1111</v>
      </c>
      <c r="F489" s="384">
        <f ca="1">IF(ROWS($1:475)&gt;COUNT(Dong5),0,IF(OFFSET(TH!N$1,SMALL(Dong5,ROWS($1:475)),)=$E$7,OFFSET(TH!M$1,SMALL(Dong5,ROWS($1:475)),),0))</f>
        <v>187500</v>
      </c>
      <c r="G489" s="382">
        <f ca="1">IF(ROWS($1:475)&gt;COUNT(Dong5),0,IF(OFFSET(TH!O$1,SMALL(Dong5,ROWS($1:475)),)=$E$7,OFFSET(TH!M$1,SMALL(Dong5,ROWS($1:475)),),0))</f>
        <v>0</v>
      </c>
      <c r="H489" s="385">
        <f ca="1">IF(D489&lt;&gt;"",MAX(H488+F489-G489-I488,0),0)</f>
        <v>314087802</v>
      </c>
      <c r="I489" s="385">
        <f ca="1">IF(D489&lt;&gt;"",MAX(I488+G489-H488-F489,0),0)</f>
        <v>0</v>
      </c>
      <c r="J489" s="18">
        <f ca="1">MONTH(A489)</f>
        <v>7</v>
      </c>
    </row>
    <row r="490" spans="1:10" s="18" customFormat="1" ht="18" customHeight="1">
      <c r="A490" s="318">
        <f ca="1">IF(ROWS($1:476)&gt;COUNT(Dong5),"",OFFSET(TH!C$1,SMALL(Dong5,ROWS($1:476)),))</f>
        <v>42564</v>
      </c>
      <c r="B490" s="318" t="str">
        <f ca="1">IF(ROWS($1:476)&gt;COUNT(Dong5),"",OFFSET(TH!D$1,SMALL(Dong5,ROWS($1:476)),))</f>
        <v>C18</v>
      </c>
      <c r="C490" s="318">
        <f ca="1">IF(ROWS($1:476)&gt;COUNT(Dong5),"",OFFSET(TH!E$1,SMALL(Dong5,ROWS($1:476)),))</f>
        <v>42564</v>
      </c>
      <c r="D490" s="383" t="str">
        <f ca="1">IF(ROWS($1:476)&gt;COUNT(Dong5),"",OFFSET(TH!F$1,SMALL(Dong5,ROWS($1:476)),))</f>
        <v xml:space="preserve">VAT Xăng, dầu </v>
      </c>
      <c r="E490" s="318" t="str">
        <f ca="1">IF(ROWS($1:476)&gt;COUNT(Dong5),"",IF(OFFSET(TH!N$1,SMALL(Dong5,ROWS($1:476)),)=$E$7,OFFSET(TH!O$1,SMALL(Dong5,ROWS($1:476)),),OFFSET(TH!N$1,SMALL(Dong5,ROWS($1:476)),)))</f>
        <v>1111</v>
      </c>
      <c r="F490" s="384">
        <f ca="1">IF(ROWS($1:476)&gt;COUNT(Dong5),0,IF(OFFSET(TH!N$1,SMALL(Dong5,ROWS($1:476)),)=$E$7,OFFSET(TH!M$1,SMALL(Dong5,ROWS($1:476)),),0))</f>
        <v>131988</v>
      </c>
      <c r="G490" s="382">
        <f ca="1">IF(ROWS($1:476)&gt;COUNT(Dong5),0,IF(OFFSET(TH!O$1,SMALL(Dong5,ROWS($1:476)),)=$E$7,OFFSET(TH!M$1,SMALL(Dong5,ROWS($1:476)),),0))</f>
        <v>0</v>
      </c>
      <c r="H490" s="385">
        <f ca="1">IF(D490&lt;&gt;"",MAX(H489+F490-G490-I489,0),0)</f>
        <v>314219790</v>
      </c>
      <c r="I490" s="385">
        <f ca="1">IF(D490&lt;&gt;"",MAX(I489+G490-H489-F490,0),0)</f>
        <v>0</v>
      </c>
      <c r="J490" s="18">
        <f ca="1">MONTH(A490)</f>
        <v>7</v>
      </c>
    </row>
    <row r="491" spans="1:10" s="18" customFormat="1" ht="18" customHeight="1">
      <c r="A491" s="318">
        <f ca="1">IF(ROWS($1:477)&gt;COUNT(Dong5),"",OFFSET(TH!C$1,SMALL(Dong5,ROWS($1:477)),))</f>
        <v>42564</v>
      </c>
      <c r="B491" s="318" t="str">
        <f ca="1">IF(ROWS($1:477)&gt;COUNT(Dong5),"",OFFSET(TH!D$1,SMALL(Dong5,ROWS($1:477)),))</f>
        <v>GBN</v>
      </c>
      <c r="C491" s="318">
        <f ca="1">IF(ROWS($1:477)&gt;COUNT(Dong5),"",OFFSET(TH!E$1,SMALL(Dong5,ROWS($1:477)),))</f>
        <v>42564</v>
      </c>
      <c r="D491" s="383" t="str">
        <f ca="1">IF(ROWS($1:477)&gt;COUNT(Dong5),"",OFFSET(TH!F$1,SMALL(Dong5,ROWS($1:477)),))</f>
        <v>VAT Phí dịch vụ</v>
      </c>
      <c r="E491" s="318" t="str">
        <f ca="1">IF(ROWS($1:477)&gt;COUNT(Dong5),"",IF(OFFSET(TH!N$1,SMALL(Dong5,ROWS($1:477)),)=$E$7,OFFSET(TH!O$1,SMALL(Dong5,ROWS($1:477)),),OFFSET(TH!N$1,SMALL(Dong5,ROWS($1:477)),)))</f>
        <v>1121</v>
      </c>
      <c r="F491" s="384">
        <f ca="1">IF(ROWS($1:477)&gt;COUNT(Dong5),0,IF(OFFSET(TH!N$1,SMALL(Dong5,ROWS($1:477)),)=$E$7,OFFSET(TH!M$1,SMALL(Dong5,ROWS($1:477)),),0))</f>
        <v>2500</v>
      </c>
      <c r="G491" s="382">
        <f ca="1">IF(ROWS($1:477)&gt;COUNT(Dong5),0,IF(OFFSET(TH!O$1,SMALL(Dong5,ROWS($1:477)),)=$E$7,OFFSET(TH!M$1,SMALL(Dong5,ROWS($1:477)),),0))</f>
        <v>0</v>
      </c>
      <c r="H491" s="385">
        <f ca="1">IF(D491&lt;&gt;"",MAX(H490+F491-G491-I490,0),0)</f>
        <v>314222290</v>
      </c>
      <c r="I491" s="385">
        <f ca="1">IF(D491&lt;&gt;"",MAX(I490+G491-H490-F491,0),0)</f>
        <v>0</v>
      </c>
      <c r="J491" s="18">
        <f ca="1">MONTH(A491)</f>
        <v>7</v>
      </c>
    </row>
    <row r="492" spans="1:10" s="18" customFormat="1" ht="18" customHeight="1">
      <c r="A492" s="318">
        <f ca="1">IF(ROWS($1:478)&gt;COUNT(Dong5),"",OFFSET(TH!C$1,SMALL(Dong5,ROWS($1:478)),))</f>
        <v>42565</v>
      </c>
      <c r="B492" s="318" t="str">
        <f ca="1">IF(ROWS($1:478)&gt;COUNT(Dong5),"",OFFSET(TH!D$1,SMALL(Dong5,ROWS($1:478)),))</f>
        <v>C19</v>
      </c>
      <c r="C492" s="318">
        <f ca="1">IF(ROWS($1:478)&gt;COUNT(Dong5),"",OFFSET(TH!E$1,SMALL(Dong5,ROWS($1:478)),))</f>
        <v>42565</v>
      </c>
      <c r="D492" s="383" t="str">
        <f ca="1">IF(ROWS($1:478)&gt;COUNT(Dong5),"",OFFSET(TH!F$1,SMALL(Dong5,ROWS($1:478)),))</f>
        <v>VAT Xăng 95</v>
      </c>
      <c r="E492" s="318" t="str">
        <f ca="1">IF(ROWS($1:478)&gt;COUNT(Dong5),"",IF(OFFSET(TH!N$1,SMALL(Dong5,ROWS($1:478)),)=$E$7,OFFSET(TH!O$1,SMALL(Dong5,ROWS($1:478)),),OFFSET(TH!N$1,SMALL(Dong5,ROWS($1:478)),)))</f>
        <v>1111</v>
      </c>
      <c r="F492" s="384">
        <f ca="1">IF(ROWS($1:478)&gt;COUNT(Dong5),0,IF(OFFSET(TH!N$1,SMALL(Dong5,ROWS($1:478)),)=$E$7,OFFSET(TH!M$1,SMALL(Dong5,ROWS($1:478)),),0))</f>
        <v>116073</v>
      </c>
      <c r="G492" s="382">
        <f ca="1">IF(ROWS($1:478)&gt;COUNT(Dong5),0,IF(OFFSET(TH!O$1,SMALL(Dong5,ROWS($1:478)),)=$E$7,OFFSET(TH!M$1,SMALL(Dong5,ROWS($1:478)),),0))</f>
        <v>0</v>
      </c>
      <c r="H492" s="385">
        <f ca="1">IF(D492&lt;&gt;"",MAX(H491+F492-G492-I491,0),0)</f>
        <v>314338363</v>
      </c>
      <c r="I492" s="385">
        <f ca="1">IF(D492&lt;&gt;"",MAX(I491+G492-H491-F492,0),0)</f>
        <v>0</v>
      </c>
      <c r="J492" s="18">
        <f ca="1">MONTH(A492)</f>
        <v>7</v>
      </c>
    </row>
    <row r="493" spans="1:10" s="18" customFormat="1" ht="18" customHeight="1">
      <c r="A493" s="318">
        <f ca="1">IF(ROWS($1:479)&gt;COUNT(Dong5),"",OFFSET(TH!C$1,SMALL(Dong5,ROWS($1:479)),))</f>
        <v>42566</v>
      </c>
      <c r="B493" s="318" t="str">
        <f ca="1">IF(ROWS($1:479)&gt;COUNT(Dong5),"",OFFSET(TH!D$1,SMALL(Dong5,ROWS($1:479)),))</f>
        <v>GBN</v>
      </c>
      <c r="C493" s="318">
        <f ca="1">IF(ROWS($1:479)&gt;COUNT(Dong5),"",OFFSET(TH!E$1,SMALL(Dong5,ROWS($1:479)),))</f>
        <v>42566</v>
      </c>
      <c r="D493" s="383" t="str">
        <f ca="1">IF(ROWS($1:479)&gt;COUNT(Dong5),"",OFFSET(TH!F$1,SMALL(Dong5,ROWS($1:479)),))</f>
        <v>VAT Bưu phí</v>
      </c>
      <c r="E493" s="318" t="str">
        <f ca="1">IF(ROWS($1:479)&gt;COUNT(Dong5),"",IF(OFFSET(TH!N$1,SMALL(Dong5,ROWS($1:479)),)=$E$7,OFFSET(TH!O$1,SMALL(Dong5,ROWS($1:479)),),OFFSET(TH!N$1,SMALL(Dong5,ROWS($1:479)),)))</f>
        <v>131</v>
      </c>
      <c r="F493" s="384">
        <f ca="1">IF(ROWS($1:479)&gt;COUNT(Dong5),0,IF(OFFSET(TH!N$1,SMALL(Dong5,ROWS($1:479)),)=$E$7,OFFSET(TH!M$1,SMALL(Dong5,ROWS($1:479)),),0))</f>
        <v>65028</v>
      </c>
      <c r="G493" s="382">
        <f ca="1">IF(ROWS($1:479)&gt;COUNT(Dong5),0,IF(OFFSET(TH!O$1,SMALL(Dong5,ROWS($1:479)),)=$E$7,OFFSET(TH!M$1,SMALL(Dong5,ROWS($1:479)),),0))</f>
        <v>0</v>
      </c>
      <c r="H493" s="385">
        <f ca="1">IF(D493&lt;&gt;"",MAX(H492+F493-G493-I492,0),0)</f>
        <v>314403391</v>
      </c>
      <c r="I493" s="385">
        <f ca="1">IF(D493&lt;&gt;"",MAX(I492+G493-H492-F493,0),0)</f>
        <v>0</v>
      </c>
      <c r="J493" s="18">
        <f ca="1">MONTH(A493)</f>
        <v>7</v>
      </c>
    </row>
    <row r="494" spans="1:10" s="18" customFormat="1" ht="18" customHeight="1">
      <c r="A494" s="318">
        <f ca="1">IF(ROWS($1:480)&gt;COUNT(Dong5),"",OFFSET(TH!C$1,SMALL(Dong5,ROWS($1:480)),))</f>
        <v>42727</v>
      </c>
      <c r="B494" s="318" t="str">
        <f ca="1">IF(ROWS($1:480)&gt;COUNT(Dong5),"",OFFSET(TH!D$1,SMALL(Dong5,ROWS($1:480)),))</f>
        <v>VL/N41</v>
      </c>
      <c r="C494" s="318">
        <f ca="1">IF(ROWS($1:480)&gt;COUNT(Dong5),"",OFFSET(TH!E$1,SMALL(Dong5,ROWS($1:480)),))</f>
        <v>42727</v>
      </c>
      <c r="D494" s="383" t="str">
        <f ca="1">IF(ROWS($1:480)&gt;COUNT(Dong5),"",OFFSET(TH!F$1,SMALL(Dong5,ROWS($1:480)),))</f>
        <v>VAT sorbitol</v>
      </c>
      <c r="E494" s="318" t="str">
        <f ca="1">IF(ROWS($1:480)&gt;COUNT(Dong5),"",IF(OFFSET(TH!N$1,SMALL(Dong5,ROWS($1:480)),)=$E$7,OFFSET(TH!O$1,SMALL(Dong5,ROWS($1:480)),),OFFSET(TH!N$1,SMALL(Dong5,ROWS($1:480)),)))</f>
        <v>331</v>
      </c>
      <c r="F494" s="384">
        <f ca="1">IF(ROWS($1:480)&gt;COUNT(Dong5),0,IF(OFFSET(TH!N$1,SMALL(Dong5,ROWS($1:480)),)=$E$7,OFFSET(TH!M$1,SMALL(Dong5,ROWS($1:480)),),0))</f>
        <v>9941400</v>
      </c>
      <c r="G494" s="382">
        <f ca="1">IF(ROWS($1:480)&gt;COUNT(Dong5),0,IF(OFFSET(TH!O$1,SMALL(Dong5,ROWS($1:480)),)=$E$7,OFFSET(TH!M$1,SMALL(Dong5,ROWS($1:480)),),0))</f>
        <v>0</v>
      </c>
      <c r="H494" s="385">
        <f ca="1">IF(D494&lt;&gt;"",MAX(H493+F494-G494-I493,0),0)</f>
        <v>324344791</v>
      </c>
      <c r="I494" s="385">
        <f ca="1">IF(D494&lt;&gt;"",MAX(I493+G494-H493-F494,0),0)</f>
        <v>0</v>
      </c>
      <c r="J494" s="18">
        <f ca="1">MONTH(A494)</f>
        <v>12</v>
      </c>
    </row>
    <row r="495" spans="1:10" s="18" customFormat="1" ht="18" customHeight="1">
      <c r="A495" s="318">
        <f ca="1">IF(ROWS($1:481)&gt;COUNT(Dong5),"",OFFSET(TH!C$1,SMALL(Dong5,ROWS($1:481)),))</f>
        <v>42566</v>
      </c>
      <c r="B495" s="318" t="str">
        <f ca="1">IF(ROWS($1:481)&gt;COUNT(Dong5),"",OFFSET(TH!D$1,SMALL(Dong5,ROWS($1:481)),))</f>
        <v>GBN</v>
      </c>
      <c r="C495" s="318">
        <f ca="1">IF(ROWS($1:481)&gt;COUNT(Dong5),"",OFFSET(TH!E$1,SMALL(Dong5,ROWS($1:481)),))</f>
        <v>42566</v>
      </c>
      <c r="D495" s="383" t="str">
        <f ca="1">IF(ROWS($1:481)&gt;COUNT(Dong5),"",OFFSET(TH!F$1,SMALL(Dong5,ROWS($1:481)),))</f>
        <v>VAT Phí dịch vụ</v>
      </c>
      <c r="E495" s="318" t="str">
        <f ca="1">IF(ROWS($1:481)&gt;COUNT(Dong5),"",IF(OFFSET(TH!N$1,SMALL(Dong5,ROWS($1:481)),)=$E$7,OFFSET(TH!O$1,SMALL(Dong5,ROWS($1:481)),),OFFSET(TH!N$1,SMALL(Dong5,ROWS($1:481)),)))</f>
        <v>1121</v>
      </c>
      <c r="F495" s="384">
        <f ca="1">IF(ROWS($1:481)&gt;COUNT(Dong5),0,IF(OFFSET(TH!N$1,SMALL(Dong5,ROWS($1:481)),)=$E$7,OFFSET(TH!M$1,SMALL(Dong5,ROWS($1:481)),),0))</f>
        <v>4000</v>
      </c>
      <c r="G495" s="382">
        <f ca="1">IF(ROWS($1:481)&gt;COUNT(Dong5),0,IF(OFFSET(TH!O$1,SMALL(Dong5,ROWS($1:481)),)=$E$7,OFFSET(TH!M$1,SMALL(Dong5,ROWS($1:481)),),0))</f>
        <v>0</v>
      </c>
      <c r="H495" s="385">
        <f ca="1">IF(D495&lt;&gt;"",MAX(H494+F495-G495-I494,0),0)</f>
        <v>324348791</v>
      </c>
      <c r="I495" s="385">
        <f ca="1">IF(D495&lt;&gt;"",MAX(I494+G495-H494-F495,0),0)</f>
        <v>0</v>
      </c>
      <c r="J495" s="18">
        <f ca="1">MONTH(A495)</f>
        <v>7</v>
      </c>
    </row>
    <row r="496" spans="1:10" s="18" customFormat="1" ht="18" customHeight="1">
      <c r="A496" s="318">
        <f ca="1">IF(ROWS($1:482)&gt;COUNT(Dong5),"",OFFSET(TH!C$1,SMALL(Dong5,ROWS($1:482)),))</f>
        <v>42566</v>
      </c>
      <c r="B496" s="318" t="str">
        <f ca="1">IF(ROWS($1:482)&gt;COUNT(Dong5),"",OFFSET(TH!D$1,SMALL(Dong5,ROWS($1:482)),))</f>
        <v>GBN</v>
      </c>
      <c r="C496" s="318">
        <f ca="1">IF(ROWS($1:482)&gt;COUNT(Dong5),"",OFFSET(TH!E$1,SMALL(Dong5,ROWS($1:482)),))</f>
        <v>42566</v>
      </c>
      <c r="D496" s="383" t="str">
        <f ca="1">IF(ROWS($1:482)&gt;COUNT(Dong5),"",OFFSET(TH!F$1,SMALL(Dong5,ROWS($1:482)),))</f>
        <v>VAT Phí xử lý bộ chứng từ</v>
      </c>
      <c r="E496" s="318" t="str">
        <f ca="1">IF(ROWS($1:482)&gt;COUNT(Dong5),"",IF(OFFSET(TH!N$1,SMALL(Dong5,ROWS($1:482)),)=$E$7,OFFSET(TH!O$1,SMALL(Dong5,ROWS($1:482)),),OFFSET(TH!N$1,SMALL(Dong5,ROWS($1:482)),)))</f>
        <v>131</v>
      </c>
      <c r="F496" s="384">
        <f ca="1">IF(ROWS($1:482)&gt;COUNT(Dong5),0,IF(OFFSET(TH!N$1,SMALL(Dong5,ROWS($1:482)),)=$E$7,OFFSET(TH!M$1,SMALL(Dong5,ROWS($1:482)),),0))</f>
        <v>22270</v>
      </c>
      <c r="G496" s="382">
        <f ca="1">IF(ROWS($1:482)&gt;COUNT(Dong5),0,IF(OFFSET(TH!O$1,SMALL(Dong5,ROWS($1:482)),)=$E$7,OFFSET(TH!M$1,SMALL(Dong5,ROWS($1:482)),),0))</f>
        <v>0</v>
      </c>
      <c r="H496" s="385">
        <f ca="1">IF(D496&lt;&gt;"",MAX(H495+F496-G496-I495,0),0)</f>
        <v>324371061</v>
      </c>
      <c r="I496" s="385">
        <f ca="1">IF(D496&lt;&gt;"",MAX(I495+G496-H495-F496,0),0)</f>
        <v>0</v>
      </c>
      <c r="J496" s="18">
        <f ca="1">MONTH(A496)</f>
        <v>7</v>
      </c>
    </row>
    <row r="497" spans="1:10" s="18" customFormat="1" ht="18" customHeight="1">
      <c r="A497" s="318">
        <f ca="1">IF(ROWS($1:483)&gt;COUNT(Dong5),"",OFFSET(TH!C$1,SMALL(Dong5,ROWS($1:483)),))</f>
        <v>42566</v>
      </c>
      <c r="B497" s="318" t="str">
        <f ca="1">IF(ROWS($1:483)&gt;COUNT(Dong5),"",OFFSET(TH!D$1,SMALL(Dong5,ROWS($1:483)),))</f>
        <v>GBN</v>
      </c>
      <c r="C497" s="318">
        <f ca="1">IF(ROWS($1:483)&gt;COUNT(Dong5),"",OFFSET(TH!E$1,SMALL(Dong5,ROWS($1:483)),))</f>
        <v>42566</v>
      </c>
      <c r="D497" s="383" t="str">
        <f ca="1">IF(ROWS($1:483)&gt;COUNT(Dong5),"",OFFSET(TH!F$1,SMALL(Dong5,ROWS($1:483)),))</f>
        <v>VAT Phí thanh toán bộ chứng từ</v>
      </c>
      <c r="E497" s="318" t="str">
        <f ca="1">IF(ROWS($1:483)&gt;COUNT(Dong5),"",IF(OFFSET(TH!N$1,SMALL(Dong5,ROWS($1:483)),)=$E$7,OFFSET(TH!O$1,SMALL(Dong5,ROWS($1:483)),),OFFSET(TH!N$1,SMALL(Dong5,ROWS($1:483)),)))</f>
        <v>131</v>
      </c>
      <c r="F497" s="384">
        <f ca="1">IF(ROWS($1:483)&gt;COUNT(Dong5),0,IF(OFFSET(TH!N$1,SMALL(Dong5,ROWS($1:483)),)=$E$7,OFFSET(TH!M$1,SMALL(Dong5,ROWS($1:483)),),0))</f>
        <v>139410</v>
      </c>
      <c r="G497" s="382">
        <f ca="1">IF(ROWS($1:483)&gt;COUNT(Dong5),0,IF(OFFSET(TH!O$1,SMALL(Dong5,ROWS($1:483)),)=$E$7,OFFSET(TH!M$1,SMALL(Dong5,ROWS($1:483)),),0))</f>
        <v>0</v>
      </c>
      <c r="H497" s="385">
        <f ca="1">IF(D497&lt;&gt;"",MAX(H496+F497-G497-I496,0),0)</f>
        <v>324510471</v>
      </c>
      <c r="I497" s="385">
        <f ca="1">IF(D497&lt;&gt;"",MAX(I496+G497-H496-F497,0),0)</f>
        <v>0</v>
      </c>
      <c r="J497" s="18">
        <f ca="1">MONTH(A497)</f>
        <v>7</v>
      </c>
    </row>
    <row r="498" spans="1:10" s="18" customFormat="1" ht="18" customHeight="1">
      <c r="A498" s="318">
        <f ca="1">IF(ROWS($1:484)&gt;COUNT(Dong5),"",OFFSET(TH!C$1,SMALL(Dong5,ROWS($1:484)),))</f>
        <v>42569</v>
      </c>
      <c r="B498" s="318" t="str">
        <f ca="1">IF(ROWS($1:484)&gt;COUNT(Dong5),"",OFFSET(TH!D$1,SMALL(Dong5,ROWS($1:484)),))</f>
        <v>C24</v>
      </c>
      <c r="C498" s="318">
        <f ca="1">IF(ROWS($1:484)&gt;COUNT(Dong5),"",OFFSET(TH!E$1,SMALL(Dong5,ROWS($1:484)),))</f>
        <v>42569</v>
      </c>
      <c r="D498" s="383" t="str">
        <f ca="1">IF(ROWS($1:484)&gt;COUNT(Dong5),"",OFFSET(TH!F$1,SMALL(Dong5,ROWS($1:484)),))</f>
        <v>VAT Sửa chữa xe 51F - 080.56</v>
      </c>
      <c r="E498" s="318" t="str">
        <f ca="1">IF(ROWS($1:484)&gt;COUNT(Dong5),"",IF(OFFSET(TH!N$1,SMALL(Dong5,ROWS($1:484)),)=$E$7,OFFSET(TH!O$1,SMALL(Dong5,ROWS($1:484)),),OFFSET(TH!N$1,SMALL(Dong5,ROWS($1:484)),)))</f>
        <v>1111</v>
      </c>
      <c r="F498" s="384">
        <f ca="1">IF(ROWS($1:484)&gt;COUNT(Dong5),0,IF(OFFSET(TH!N$1,SMALL(Dong5,ROWS($1:484)),)=$E$7,OFFSET(TH!M$1,SMALL(Dong5,ROWS($1:484)),),0))</f>
        <v>206952</v>
      </c>
      <c r="G498" s="382">
        <f ca="1">IF(ROWS($1:484)&gt;COUNT(Dong5),0,IF(OFFSET(TH!O$1,SMALL(Dong5,ROWS($1:484)),)=$E$7,OFFSET(TH!M$1,SMALL(Dong5,ROWS($1:484)),),0))</f>
        <v>0</v>
      </c>
      <c r="H498" s="385">
        <f ca="1">IF(D498&lt;&gt;"",MAX(H497+F498-G498-I497,0),0)</f>
        <v>324717423</v>
      </c>
      <c r="I498" s="385">
        <f ca="1">IF(D498&lt;&gt;"",MAX(I497+G498-H497-F498,0),0)</f>
        <v>0</v>
      </c>
      <c r="J498" s="18">
        <f ca="1">MONTH(A498)</f>
        <v>7</v>
      </c>
    </row>
    <row r="499" spans="1:10" s="18" customFormat="1" ht="18" customHeight="1">
      <c r="A499" s="318">
        <f ca="1">IF(ROWS($1:485)&gt;COUNT(Dong5),"",OFFSET(TH!C$1,SMALL(Dong5,ROWS($1:485)),))</f>
        <v>42570</v>
      </c>
      <c r="B499" s="318" t="str">
        <f ca="1">IF(ROWS($1:485)&gt;COUNT(Dong5),"",OFFSET(TH!D$1,SMALL(Dong5,ROWS($1:485)),))</f>
        <v>C25</v>
      </c>
      <c r="C499" s="318">
        <f ca="1">IF(ROWS($1:485)&gt;COUNT(Dong5),"",OFFSET(TH!E$1,SMALL(Dong5,ROWS($1:485)),))</f>
        <v>42570</v>
      </c>
      <c r="D499" s="383" t="str">
        <f ca="1">IF(ROWS($1:485)&gt;COUNT(Dong5),"",OFFSET(TH!F$1,SMALL(Dong5,ROWS($1:485)),))</f>
        <v>VAT Phí phân tích chỉ tiêu</v>
      </c>
      <c r="E499" s="318" t="str">
        <f ca="1">IF(ROWS($1:485)&gt;COUNT(Dong5),"",IF(OFFSET(TH!N$1,SMALL(Dong5,ROWS($1:485)),)=$E$7,OFFSET(TH!O$1,SMALL(Dong5,ROWS($1:485)),),OFFSET(TH!N$1,SMALL(Dong5,ROWS($1:485)),)))</f>
        <v>1111</v>
      </c>
      <c r="F499" s="384">
        <f ca="1">IF(ROWS($1:485)&gt;COUNT(Dong5),0,IF(OFFSET(TH!N$1,SMALL(Dong5,ROWS($1:485)),)=$E$7,OFFSET(TH!M$1,SMALL(Dong5,ROWS($1:485)),),0))</f>
        <v>25000</v>
      </c>
      <c r="G499" s="382">
        <f ca="1">IF(ROWS($1:485)&gt;COUNT(Dong5),0,IF(OFFSET(TH!O$1,SMALL(Dong5,ROWS($1:485)),)=$E$7,OFFSET(TH!M$1,SMALL(Dong5,ROWS($1:485)),),0))</f>
        <v>0</v>
      </c>
      <c r="H499" s="385">
        <f ca="1">IF(D499&lt;&gt;"",MAX(H498+F499-G499-I498,0),0)</f>
        <v>324742423</v>
      </c>
      <c r="I499" s="385">
        <f ca="1">IF(D499&lt;&gt;"",MAX(I498+G499-H498-F499,0),0)</f>
        <v>0</v>
      </c>
      <c r="J499" s="18">
        <f ca="1">MONTH(A499)</f>
        <v>7</v>
      </c>
    </row>
    <row r="500" spans="1:10" s="18" customFormat="1" ht="18" customHeight="1">
      <c r="A500" s="318">
        <f ca="1">IF(ROWS($1:486)&gt;COUNT(Dong5),"",OFFSET(TH!C$1,SMALL(Dong5,ROWS($1:486)),))</f>
        <v>42572</v>
      </c>
      <c r="B500" s="318" t="str">
        <f ca="1">IF(ROWS($1:486)&gt;COUNT(Dong5),"",OFFSET(TH!D$1,SMALL(Dong5,ROWS($1:486)),))</f>
        <v>C26</v>
      </c>
      <c r="C500" s="318">
        <f ca="1">IF(ROWS($1:486)&gt;COUNT(Dong5),"",OFFSET(TH!E$1,SMALL(Dong5,ROWS($1:486)),))</f>
        <v>42572</v>
      </c>
      <c r="D500" s="383" t="str">
        <f ca="1">IF(ROWS($1:486)&gt;COUNT(Dong5),"",OFFSET(TH!F$1,SMALL(Dong5,ROWS($1:486)),))</f>
        <v>VAT Xét nghiệm mẫu</v>
      </c>
      <c r="E500" s="318" t="str">
        <f ca="1">IF(ROWS($1:486)&gt;COUNT(Dong5),"",IF(OFFSET(TH!N$1,SMALL(Dong5,ROWS($1:486)),)=$E$7,OFFSET(TH!O$1,SMALL(Dong5,ROWS($1:486)),),OFFSET(TH!N$1,SMALL(Dong5,ROWS($1:486)),)))</f>
        <v>1111</v>
      </c>
      <c r="F500" s="384">
        <f ca="1">IF(ROWS($1:486)&gt;COUNT(Dong5),0,IF(OFFSET(TH!N$1,SMALL(Dong5,ROWS($1:486)),)=$E$7,OFFSET(TH!M$1,SMALL(Dong5,ROWS($1:486)),),0))</f>
        <v>211909</v>
      </c>
      <c r="G500" s="382">
        <f ca="1">IF(ROWS($1:486)&gt;COUNT(Dong5),0,IF(OFFSET(TH!O$1,SMALL(Dong5,ROWS($1:486)),)=$E$7,OFFSET(TH!M$1,SMALL(Dong5,ROWS($1:486)),),0))</f>
        <v>0</v>
      </c>
      <c r="H500" s="385">
        <f ca="1">IF(D500&lt;&gt;"",MAX(H499+F500-G500-I499,0),0)</f>
        <v>324954332</v>
      </c>
      <c r="I500" s="385">
        <f ca="1">IF(D500&lt;&gt;"",MAX(I499+G500-H499-F500,0),0)</f>
        <v>0</v>
      </c>
      <c r="J500" s="18">
        <f ca="1">MONTH(A500)</f>
        <v>7</v>
      </c>
    </row>
    <row r="501" spans="1:10" s="18" customFormat="1" ht="18" customHeight="1">
      <c r="A501" s="318">
        <f ca="1">IF(ROWS($1:487)&gt;COUNT(Dong5),"",OFFSET(TH!C$1,SMALL(Dong5,ROWS($1:487)),))</f>
        <v>42573</v>
      </c>
      <c r="B501" s="318" t="str">
        <f ca="1">IF(ROWS($1:487)&gt;COUNT(Dong5),"",OFFSET(TH!D$1,SMALL(Dong5,ROWS($1:487)),))</f>
        <v>GBN</v>
      </c>
      <c r="C501" s="318">
        <f ca="1">IF(ROWS($1:487)&gt;COUNT(Dong5),"",OFFSET(TH!E$1,SMALL(Dong5,ROWS($1:487)),))</f>
        <v>42573</v>
      </c>
      <c r="D501" s="383" t="str">
        <f ca="1">IF(ROWS($1:487)&gt;COUNT(Dong5),"",OFFSET(TH!F$1,SMALL(Dong5,ROWS($1:487)),))</f>
        <v>VAT Phí dịch vụ</v>
      </c>
      <c r="E501" s="318" t="str">
        <f ca="1">IF(ROWS($1:487)&gt;COUNT(Dong5),"",IF(OFFSET(TH!N$1,SMALL(Dong5,ROWS($1:487)),)=$E$7,OFFSET(TH!O$1,SMALL(Dong5,ROWS($1:487)),),OFFSET(TH!N$1,SMALL(Dong5,ROWS($1:487)),)))</f>
        <v>1121</v>
      </c>
      <c r="F501" s="384">
        <f ca="1">IF(ROWS($1:487)&gt;COUNT(Dong5),0,IF(OFFSET(TH!N$1,SMALL(Dong5,ROWS($1:487)),)=$E$7,OFFSET(TH!M$1,SMALL(Dong5,ROWS($1:487)),),0))</f>
        <v>2000</v>
      </c>
      <c r="G501" s="382">
        <f ca="1">IF(ROWS($1:487)&gt;COUNT(Dong5),0,IF(OFFSET(TH!O$1,SMALL(Dong5,ROWS($1:487)),)=$E$7,OFFSET(TH!M$1,SMALL(Dong5,ROWS($1:487)),),0))</f>
        <v>0</v>
      </c>
      <c r="H501" s="385">
        <f ca="1">IF(D501&lt;&gt;"",MAX(H500+F501-G501-I500,0),0)</f>
        <v>324956332</v>
      </c>
      <c r="I501" s="385">
        <f ca="1">IF(D501&lt;&gt;"",MAX(I500+G501-H500-F501,0),0)</f>
        <v>0</v>
      </c>
      <c r="J501" s="18">
        <f ca="1">MONTH(A501)</f>
        <v>7</v>
      </c>
    </row>
    <row r="502" spans="1:10" s="18" customFormat="1" ht="18" customHeight="1">
      <c r="A502" s="318">
        <f ca="1">IF(ROWS($1:488)&gt;COUNT(Dong5),"",OFFSET(TH!C$1,SMALL(Dong5,ROWS($1:488)),))</f>
        <v>42681</v>
      </c>
      <c r="B502" s="318" t="str">
        <f ca="1">IF(ROWS($1:488)&gt;COUNT(Dong5),"",OFFSET(TH!D$1,SMALL(Dong5,ROWS($1:488)),))</f>
        <v>CTGS</v>
      </c>
      <c r="C502" s="318">
        <f ca="1">IF(ROWS($1:488)&gt;COUNT(Dong5),"",OFFSET(TH!E$1,SMALL(Dong5,ROWS($1:488)),))</f>
        <v>42681</v>
      </c>
      <c r="D502" s="383" t="str">
        <f ca="1">IF(ROWS($1:488)&gt;COUNT(Dong5),"",OFFSET(TH!F$1,SMALL(Dong5,ROWS($1:488)),))</f>
        <v>VAT Tiền điện kỳ 1 T11/2016</v>
      </c>
      <c r="E502" s="318" t="str">
        <f ca="1">IF(ROWS($1:488)&gt;COUNT(Dong5),"",IF(OFFSET(TH!N$1,SMALL(Dong5,ROWS($1:488)),)=$E$7,OFFSET(TH!O$1,SMALL(Dong5,ROWS($1:488)),),OFFSET(TH!N$1,SMALL(Dong5,ROWS($1:488)),)))</f>
        <v>331</v>
      </c>
      <c r="F502" s="384">
        <f ca="1">IF(ROWS($1:488)&gt;COUNT(Dong5),0,IF(OFFSET(TH!N$1,SMALL(Dong5,ROWS($1:488)),)=$E$7,OFFSET(TH!M$1,SMALL(Dong5,ROWS($1:488)),),0))</f>
        <v>2839370</v>
      </c>
      <c r="G502" s="382">
        <f ca="1">IF(ROWS($1:488)&gt;COUNT(Dong5),0,IF(OFFSET(TH!O$1,SMALL(Dong5,ROWS($1:488)),)=$E$7,OFFSET(TH!M$1,SMALL(Dong5,ROWS($1:488)),),0))</f>
        <v>0</v>
      </c>
      <c r="H502" s="385">
        <f ca="1">IF(D502&lt;&gt;"",MAX(H501+F502-G502-I501,0),0)</f>
        <v>327795702</v>
      </c>
      <c r="I502" s="385">
        <f ca="1">IF(D502&lt;&gt;"",MAX(I501+G502-H501-F502,0),0)</f>
        <v>0</v>
      </c>
      <c r="J502" s="18">
        <f ca="1">MONTH(A502)</f>
        <v>11</v>
      </c>
    </row>
    <row r="503" spans="1:10" s="18" customFormat="1" ht="18" customHeight="1">
      <c r="A503" s="318">
        <f ca="1">IF(ROWS($1:489)&gt;COUNT(Dong5),"",OFFSET(TH!C$1,SMALL(Dong5,ROWS($1:489)),))</f>
        <v>42573</v>
      </c>
      <c r="B503" s="318" t="str">
        <f ca="1">IF(ROWS($1:489)&gt;COUNT(Dong5),"",OFFSET(TH!D$1,SMALL(Dong5,ROWS($1:489)),))</f>
        <v>GBN</v>
      </c>
      <c r="C503" s="318">
        <f ca="1">IF(ROWS($1:489)&gt;COUNT(Dong5),"",OFFSET(TH!E$1,SMALL(Dong5,ROWS($1:489)),))</f>
        <v>42573</v>
      </c>
      <c r="D503" s="383" t="str">
        <f ca="1">IF(ROWS($1:489)&gt;COUNT(Dong5),"",OFFSET(TH!F$1,SMALL(Dong5,ROWS($1:489)),))</f>
        <v>VAT Phí dịch vụ</v>
      </c>
      <c r="E503" s="318" t="str">
        <f ca="1">IF(ROWS($1:489)&gt;COUNT(Dong5),"",IF(OFFSET(TH!N$1,SMALL(Dong5,ROWS($1:489)),)=$E$7,OFFSET(TH!O$1,SMALL(Dong5,ROWS($1:489)),),OFFSET(TH!N$1,SMALL(Dong5,ROWS($1:489)),)))</f>
        <v>1121</v>
      </c>
      <c r="F503" s="384">
        <f ca="1">IF(ROWS($1:489)&gt;COUNT(Dong5),0,IF(OFFSET(TH!N$1,SMALL(Dong5,ROWS($1:489)),)=$E$7,OFFSET(TH!M$1,SMALL(Dong5,ROWS($1:489)),),0))</f>
        <v>2851</v>
      </c>
      <c r="G503" s="382">
        <f ca="1">IF(ROWS($1:489)&gt;COUNT(Dong5),0,IF(OFFSET(TH!O$1,SMALL(Dong5,ROWS($1:489)),)=$E$7,OFFSET(TH!M$1,SMALL(Dong5,ROWS($1:489)),),0))</f>
        <v>0</v>
      </c>
      <c r="H503" s="385">
        <f ca="1">IF(D503&lt;&gt;"",MAX(H502+F503-G503-I502,0),0)</f>
        <v>327798553</v>
      </c>
      <c r="I503" s="385">
        <f ca="1">IF(D503&lt;&gt;"",MAX(I502+G503-H502-F503,0),0)</f>
        <v>0</v>
      </c>
      <c r="J503" s="18">
        <f ca="1">MONTH(A503)</f>
        <v>7</v>
      </c>
    </row>
    <row r="504" spans="1:10" s="18" customFormat="1" ht="18" customHeight="1">
      <c r="A504" s="318">
        <f ca="1">IF(ROWS($1:490)&gt;COUNT(Dong5),"",OFFSET(TH!C$1,SMALL(Dong5,ROWS($1:490)),))</f>
        <v>42573</v>
      </c>
      <c r="B504" s="318" t="str">
        <f ca="1">IF(ROWS($1:490)&gt;COUNT(Dong5),"",OFFSET(TH!D$1,SMALL(Dong5,ROWS($1:490)),))</f>
        <v>GBN</v>
      </c>
      <c r="C504" s="318">
        <f ca="1">IF(ROWS($1:490)&gt;COUNT(Dong5),"",OFFSET(TH!E$1,SMALL(Dong5,ROWS($1:490)),))</f>
        <v>42573</v>
      </c>
      <c r="D504" s="383" t="str">
        <f ca="1">IF(ROWS($1:490)&gt;COUNT(Dong5),"",OFFSET(TH!F$1,SMALL(Dong5,ROWS($1:490)),))</f>
        <v>VAT Phí dịch vụ</v>
      </c>
      <c r="E504" s="318" t="str">
        <f ca="1">IF(ROWS($1:490)&gt;COUNT(Dong5),"",IF(OFFSET(TH!N$1,SMALL(Dong5,ROWS($1:490)),)=$E$7,OFFSET(TH!O$1,SMALL(Dong5,ROWS($1:490)),),OFFSET(TH!N$1,SMALL(Dong5,ROWS($1:490)),)))</f>
        <v>1121</v>
      </c>
      <c r="F504" s="384">
        <f ca="1">IF(ROWS($1:490)&gt;COUNT(Dong5),0,IF(OFFSET(TH!N$1,SMALL(Dong5,ROWS($1:490)),)=$E$7,OFFSET(TH!M$1,SMALL(Dong5,ROWS($1:490)),),0))</f>
        <v>2000</v>
      </c>
      <c r="G504" s="382">
        <f ca="1">IF(ROWS($1:490)&gt;COUNT(Dong5),0,IF(OFFSET(TH!O$1,SMALL(Dong5,ROWS($1:490)),)=$E$7,OFFSET(TH!M$1,SMALL(Dong5,ROWS($1:490)),),0))</f>
        <v>0</v>
      </c>
      <c r="H504" s="385">
        <f ca="1">IF(D504&lt;&gt;"",MAX(H503+F504-G504-I503,0),0)</f>
        <v>327800553</v>
      </c>
      <c r="I504" s="385">
        <f ca="1">IF(D504&lt;&gt;"",MAX(I503+G504-H503-F504,0),0)</f>
        <v>0</v>
      </c>
      <c r="J504" s="18">
        <f ca="1">MONTH(A504)</f>
        <v>7</v>
      </c>
    </row>
    <row r="505" spans="1:10" s="18" customFormat="1" ht="18" customHeight="1">
      <c r="A505" s="318">
        <f ca="1">IF(ROWS($1:491)&gt;COUNT(Dong5),"",OFFSET(TH!C$1,SMALL(Dong5,ROWS($1:491)),))</f>
        <v>42578</v>
      </c>
      <c r="B505" s="318" t="str">
        <f ca="1">IF(ROWS($1:491)&gt;COUNT(Dong5),"",OFFSET(TH!D$1,SMALL(Dong5,ROWS($1:491)),))</f>
        <v>C28</v>
      </c>
      <c r="C505" s="318">
        <f ca="1">IF(ROWS($1:491)&gt;COUNT(Dong5),"",OFFSET(TH!E$1,SMALL(Dong5,ROWS($1:491)),))</f>
        <v>42578</v>
      </c>
      <c r="D505" s="383" t="str">
        <f ca="1">IF(ROWS($1:491)&gt;COUNT(Dong5),"",OFFSET(TH!F$1,SMALL(Dong5,ROWS($1:491)),))</f>
        <v>VAT Phí dịch vụ bảo vệ T7/2016</v>
      </c>
      <c r="E505" s="318" t="str">
        <f ca="1">IF(ROWS($1:491)&gt;COUNT(Dong5),"",IF(OFFSET(TH!N$1,SMALL(Dong5,ROWS($1:491)),)=$E$7,OFFSET(TH!O$1,SMALL(Dong5,ROWS($1:491)),),OFFSET(TH!N$1,SMALL(Dong5,ROWS($1:491)),)))</f>
        <v>1111</v>
      </c>
      <c r="F505" s="384">
        <f ca="1">IF(ROWS($1:491)&gt;COUNT(Dong5),0,IF(OFFSET(TH!N$1,SMALL(Dong5,ROWS($1:491)),)=$E$7,OFFSET(TH!M$1,SMALL(Dong5,ROWS($1:491)),),0))</f>
        <v>1605000</v>
      </c>
      <c r="G505" s="382">
        <f ca="1">IF(ROWS($1:491)&gt;COUNT(Dong5),0,IF(OFFSET(TH!O$1,SMALL(Dong5,ROWS($1:491)),)=$E$7,OFFSET(TH!M$1,SMALL(Dong5,ROWS($1:491)),),0))</f>
        <v>0</v>
      </c>
      <c r="H505" s="385">
        <f ca="1">IF(D505&lt;&gt;"",MAX(H504+F505-G505-I504,0),0)</f>
        <v>329405553</v>
      </c>
      <c r="I505" s="385">
        <f ca="1">IF(D505&lt;&gt;"",MAX(I504+G505-H504-F505,0),0)</f>
        <v>0</v>
      </c>
      <c r="J505" s="18">
        <f ca="1">MONTH(A505)</f>
        <v>7</v>
      </c>
    </row>
    <row r="506" spans="1:10" s="18" customFormat="1" ht="18" customHeight="1">
      <c r="A506" s="318">
        <f ca="1">IF(ROWS($1:492)&gt;COUNT(Dong5),"",OFFSET(TH!C$1,SMALL(Dong5,ROWS($1:492)),))</f>
        <v>42579</v>
      </c>
      <c r="B506" s="318" t="str">
        <f ca="1">IF(ROWS($1:492)&gt;COUNT(Dong5),"",OFFSET(TH!D$1,SMALL(Dong5,ROWS($1:492)),))</f>
        <v>C29</v>
      </c>
      <c r="C506" s="318">
        <f ca="1">IF(ROWS($1:492)&gt;COUNT(Dong5),"",OFFSET(TH!E$1,SMALL(Dong5,ROWS($1:492)),))</f>
        <v>42579</v>
      </c>
      <c r="D506" s="383" t="str">
        <f ca="1">IF(ROWS($1:492)&gt;COUNT(Dong5),"",OFFSET(TH!F$1,SMALL(Dong5,ROWS($1:492)),))</f>
        <v xml:space="preserve">VAT Xăng, dầu </v>
      </c>
      <c r="E506" s="318" t="str">
        <f ca="1">IF(ROWS($1:492)&gt;COUNT(Dong5),"",IF(OFFSET(TH!N$1,SMALL(Dong5,ROWS($1:492)),)=$E$7,OFFSET(TH!O$1,SMALL(Dong5,ROWS($1:492)),),OFFSET(TH!N$1,SMALL(Dong5,ROWS($1:492)),)))</f>
        <v>1111</v>
      </c>
      <c r="F506" s="384">
        <f ca="1">IF(ROWS($1:492)&gt;COUNT(Dong5),0,IF(OFFSET(TH!N$1,SMALL(Dong5,ROWS($1:492)),)=$E$7,OFFSET(TH!M$1,SMALL(Dong5,ROWS($1:492)),),0))</f>
        <v>149166</v>
      </c>
      <c r="G506" s="382">
        <f ca="1">IF(ROWS($1:492)&gt;COUNT(Dong5),0,IF(OFFSET(TH!O$1,SMALL(Dong5,ROWS($1:492)),)=$E$7,OFFSET(TH!M$1,SMALL(Dong5,ROWS($1:492)),),0))</f>
        <v>0</v>
      </c>
      <c r="H506" s="385">
        <f ca="1">IF(D506&lt;&gt;"",MAX(H505+F506-G506-I505,0),0)</f>
        <v>329554719</v>
      </c>
      <c r="I506" s="385">
        <f ca="1">IF(D506&lt;&gt;"",MAX(I505+G506-H505-F506,0),0)</f>
        <v>0</v>
      </c>
      <c r="J506" s="18">
        <f ca="1">MONTH(A506)</f>
        <v>7</v>
      </c>
    </row>
    <row r="507" spans="1:10" s="18" customFormat="1" ht="18" customHeight="1">
      <c r="A507" s="318">
        <f ca="1">IF(ROWS($1:493)&gt;COUNT(Dong5),"",OFFSET(TH!C$1,SMALL(Dong5,ROWS($1:493)),))</f>
        <v>42579</v>
      </c>
      <c r="B507" s="318" t="str">
        <f ca="1">IF(ROWS($1:493)&gt;COUNT(Dong5),"",OFFSET(TH!D$1,SMALL(Dong5,ROWS($1:493)),))</f>
        <v>C30</v>
      </c>
      <c r="C507" s="318">
        <f ca="1">IF(ROWS($1:493)&gt;COUNT(Dong5),"",OFFSET(TH!E$1,SMALL(Dong5,ROWS($1:493)),))</f>
        <v>42579</v>
      </c>
      <c r="D507" s="383" t="str">
        <f ca="1">IF(ROWS($1:493)&gt;COUNT(Dong5),"",OFFSET(TH!F$1,SMALL(Dong5,ROWS($1:493)),))</f>
        <v>VAT Phí phân tích chỉ tiêu</v>
      </c>
      <c r="E507" s="318" t="str">
        <f ca="1">IF(ROWS($1:493)&gt;COUNT(Dong5),"",IF(OFFSET(TH!N$1,SMALL(Dong5,ROWS($1:493)),)=$E$7,OFFSET(TH!O$1,SMALL(Dong5,ROWS($1:493)),),OFFSET(TH!N$1,SMALL(Dong5,ROWS($1:493)),)))</f>
        <v>1111</v>
      </c>
      <c r="F507" s="384">
        <f ca="1">IF(ROWS($1:493)&gt;COUNT(Dong5),0,IF(OFFSET(TH!N$1,SMALL(Dong5,ROWS($1:493)),)=$E$7,OFFSET(TH!M$1,SMALL(Dong5,ROWS($1:493)),),0))</f>
        <v>18000</v>
      </c>
      <c r="G507" s="382">
        <f ca="1">IF(ROWS($1:493)&gt;COUNT(Dong5),0,IF(OFFSET(TH!O$1,SMALL(Dong5,ROWS($1:493)),)=$E$7,OFFSET(TH!M$1,SMALL(Dong5,ROWS($1:493)),),0))</f>
        <v>0</v>
      </c>
      <c r="H507" s="385">
        <f ca="1">IF(D507&lt;&gt;"",MAX(H506+F507-G507-I506,0),0)</f>
        <v>329572719</v>
      </c>
      <c r="I507" s="385">
        <f ca="1">IF(D507&lt;&gt;"",MAX(I506+G507-H506-F507,0),0)</f>
        <v>0</v>
      </c>
      <c r="J507" s="18">
        <f ca="1">MONTH(A507)</f>
        <v>7</v>
      </c>
    </row>
    <row r="508" spans="1:10" s="18" customFormat="1" ht="18" customHeight="1">
      <c r="A508" s="318">
        <f ca="1">IF(ROWS($1:494)&gt;COUNT(Dong5),"",OFFSET(TH!C$1,SMALL(Dong5,ROWS($1:494)),))</f>
        <v>42580</v>
      </c>
      <c r="B508" s="318" t="str">
        <f ca="1">IF(ROWS($1:494)&gt;COUNT(Dong5),"",OFFSET(TH!D$1,SMALL(Dong5,ROWS($1:494)),))</f>
        <v>C31</v>
      </c>
      <c r="C508" s="318">
        <f ca="1">IF(ROWS($1:494)&gt;COUNT(Dong5),"",OFFSET(TH!E$1,SMALL(Dong5,ROWS($1:494)),))</f>
        <v>42580</v>
      </c>
      <c r="D508" s="383" t="str">
        <f ca="1">IF(ROWS($1:494)&gt;COUNT(Dong5),"",OFFSET(TH!F$1,SMALL(Dong5,ROWS($1:494)),))</f>
        <v>VAT Phí chứng từ, khai hải quan, an ninh</v>
      </c>
      <c r="E508" s="318" t="str">
        <f ca="1">IF(ROWS($1:494)&gt;COUNT(Dong5),"",IF(OFFSET(TH!N$1,SMALL(Dong5,ROWS($1:494)),)=$E$7,OFFSET(TH!O$1,SMALL(Dong5,ROWS($1:494)),),OFFSET(TH!N$1,SMALL(Dong5,ROWS($1:494)),)))</f>
        <v>1111</v>
      </c>
      <c r="F508" s="384">
        <f ca="1">IF(ROWS($1:494)&gt;COUNT(Dong5),0,IF(OFFSET(TH!N$1,SMALL(Dong5,ROWS($1:494)),)=$E$7,OFFSET(TH!M$1,SMALL(Dong5,ROWS($1:494)),),0))</f>
        <v>193936</v>
      </c>
      <c r="G508" s="382">
        <f ca="1">IF(ROWS($1:494)&gt;COUNT(Dong5),0,IF(OFFSET(TH!O$1,SMALL(Dong5,ROWS($1:494)),)=$E$7,OFFSET(TH!M$1,SMALL(Dong5,ROWS($1:494)),),0))</f>
        <v>0</v>
      </c>
      <c r="H508" s="385">
        <f ca="1">IF(D508&lt;&gt;"",MAX(H507+F508-G508-I507,0),0)</f>
        <v>329766655</v>
      </c>
      <c r="I508" s="385">
        <f ca="1">IF(D508&lt;&gt;"",MAX(I507+G508-H507-F508,0),0)</f>
        <v>0</v>
      </c>
      <c r="J508" s="18">
        <f ca="1">MONTH(A508)</f>
        <v>7</v>
      </c>
    </row>
    <row r="509" spans="1:10" s="18" customFormat="1" ht="18" customHeight="1">
      <c r="A509" s="318">
        <f ca="1">IF(ROWS($1:495)&gt;COUNT(Dong5),"",OFFSET(TH!C$1,SMALL(Dong5,ROWS($1:495)),))</f>
        <v>42582</v>
      </c>
      <c r="B509" s="318" t="str">
        <f ca="1">IF(ROWS($1:495)&gt;COUNT(Dong5),"",OFFSET(TH!D$1,SMALL(Dong5,ROWS($1:495)),))</f>
        <v>C32</v>
      </c>
      <c r="C509" s="318">
        <f ca="1">IF(ROWS($1:495)&gt;COUNT(Dong5),"",OFFSET(TH!E$1,SMALL(Dong5,ROWS($1:495)),))</f>
        <v>42582</v>
      </c>
      <c r="D509" s="383" t="str">
        <f ca="1">IF(ROWS($1:495)&gt;COUNT(Dong5),"",OFFSET(TH!F$1,SMALL(Dong5,ROWS($1:495)),))</f>
        <v>VAT Xăng 95</v>
      </c>
      <c r="E509" s="318" t="str">
        <f ca="1">IF(ROWS($1:495)&gt;COUNT(Dong5),"",IF(OFFSET(TH!N$1,SMALL(Dong5,ROWS($1:495)),)=$E$7,OFFSET(TH!O$1,SMALL(Dong5,ROWS($1:495)),),OFFSET(TH!N$1,SMALL(Dong5,ROWS($1:495)),)))</f>
        <v>1111</v>
      </c>
      <c r="F509" s="384">
        <f ca="1">IF(ROWS($1:495)&gt;COUNT(Dong5),0,IF(OFFSET(TH!N$1,SMALL(Dong5,ROWS($1:495)),)=$E$7,OFFSET(TH!M$1,SMALL(Dong5,ROWS($1:495)),),0))</f>
        <v>68364</v>
      </c>
      <c r="G509" s="382">
        <f ca="1">IF(ROWS($1:495)&gt;COUNT(Dong5),0,IF(OFFSET(TH!O$1,SMALL(Dong5,ROWS($1:495)),)=$E$7,OFFSET(TH!M$1,SMALL(Dong5,ROWS($1:495)),),0))</f>
        <v>0</v>
      </c>
      <c r="H509" s="385">
        <f ca="1">IF(D509&lt;&gt;"",MAX(H508+F509-G509-I508,0),0)</f>
        <v>329835019</v>
      </c>
      <c r="I509" s="385">
        <f ca="1">IF(D509&lt;&gt;"",MAX(I508+G509-H508-F509,0),0)</f>
        <v>0</v>
      </c>
      <c r="J509" s="18">
        <f ca="1">MONTH(A509)</f>
        <v>7</v>
      </c>
    </row>
    <row r="510" spans="1:10" s="18" customFormat="1" ht="18" customHeight="1">
      <c r="A510" s="318">
        <f ca="1">IF(ROWS($1:496)&gt;COUNT(Dong5),"",OFFSET(TH!C$1,SMALL(Dong5,ROWS($1:496)),))</f>
        <v>42582</v>
      </c>
      <c r="B510" s="318" t="str">
        <f ca="1">IF(ROWS($1:496)&gt;COUNT(Dong5),"",OFFSET(TH!D$1,SMALL(Dong5,ROWS($1:496)),))</f>
        <v>C33</v>
      </c>
      <c r="C510" s="318">
        <f ca="1">IF(ROWS($1:496)&gt;COUNT(Dong5),"",OFFSET(TH!E$1,SMALL(Dong5,ROWS($1:496)),))</f>
        <v>42558</v>
      </c>
      <c r="D510" s="383" t="str">
        <f ca="1">IF(ROWS($1:496)&gt;COUNT(Dong5),"",OFFSET(TH!F$1,SMALL(Dong5,ROWS($1:496)),))</f>
        <v>VAT Tư vấn giám sát môi trường</v>
      </c>
      <c r="E510" s="318" t="str">
        <f ca="1">IF(ROWS($1:496)&gt;COUNT(Dong5),"",IF(OFFSET(TH!N$1,SMALL(Dong5,ROWS($1:496)),)=$E$7,OFFSET(TH!O$1,SMALL(Dong5,ROWS($1:496)),),OFFSET(TH!N$1,SMALL(Dong5,ROWS($1:496)),)))</f>
        <v>1111</v>
      </c>
      <c r="F510" s="384">
        <f ca="1">IF(ROWS($1:496)&gt;COUNT(Dong5),0,IF(OFFSET(TH!N$1,SMALL(Dong5,ROWS($1:496)),)=$E$7,OFFSET(TH!M$1,SMALL(Dong5,ROWS($1:496)),),0))</f>
        <v>332500</v>
      </c>
      <c r="G510" s="382">
        <f ca="1">IF(ROWS($1:496)&gt;COUNT(Dong5),0,IF(OFFSET(TH!O$1,SMALL(Dong5,ROWS($1:496)),)=$E$7,OFFSET(TH!M$1,SMALL(Dong5,ROWS($1:496)),),0))</f>
        <v>0</v>
      </c>
      <c r="H510" s="385">
        <f ca="1">IF(D510&lt;&gt;"",MAX(H509+F510-G510-I509,0),0)</f>
        <v>330167519</v>
      </c>
      <c r="I510" s="385">
        <f ca="1">IF(D510&lt;&gt;"",MAX(I509+G510-H509-F510,0),0)</f>
        <v>0</v>
      </c>
      <c r="J510" s="18">
        <f ca="1">MONTH(A510)</f>
        <v>7</v>
      </c>
    </row>
    <row r="511" spans="1:10" s="18" customFormat="1" ht="18" customHeight="1">
      <c r="A511" s="318">
        <f ca="1">IF(ROWS($1:497)&gt;COUNT(Dong5),"",OFFSET(TH!C$1,SMALL(Dong5,ROWS($1:497)),))</f>
        <v>42582</v>
      </c>
      <c r="B511" s="318" t="str">
        <f ca="1">IF(ROWS($1:497)&gt;COUNT(Dong5),"",OFFSET(TH!D$1,SMALL(Dong5,ROWS($1:497)),))</f>
        <v>C34</v>
      </c>
      <c r="C511" s="318">
        <f ca="1">IF(ROWS($1:497)&gt;COUNT(Dong5),"",OFFSET(TH!E$1,SMALL(Dong5,ROWS($1:497)),))</f>
        <v>42582</v>
      </c>
      <c r="D511" s="383" t="str">
        <f ca="1">IF(ROWS($1:497)&gt;COUNT(Dong5),"",OFFSET(TH!F$1,SMALL(Dong5,ROWS($1:497)),))</f>
        <v>VAT Phí giao thông T7/2016</v>
      </c>
      <c r="E511" s="318" t="str">
        <f ca="1">IF(ROWS($1:497)&gt;COUNT(Dong5),"",IF(OFFSET(TH!N$1,SMALL(Dong5,ROWS($1:497)),)=$E$7,OFFSET(TH!O$1,SMALL(Dong5,ROWS($1:497)),),OFFSET(TH!N$1,SMALL(Dong5,ROWS($1:497)),)))</f>
        <v>1111</v>
      </c>
      <c r="F511" s="384">
        <f ca="1">IF(ROWS($1:497)&gt;COUNT(Dong5),0,IF(OFFSET(TH!N$1,SMALL(Dong5,ROWS($1:497)),)=$E$7,OFFSET(TH!M$1,SMALL(Dong5,ROWS($1:497)),),0))</f>
        <v>202727</v>
      </c>
      <c r="G511" s="382">
        <f ca="1">IF(ROWS($1:497)&gt;COUNT(Dong5),0,IF(OFFSET(TH!O$1,SMALL(Dong5,ROWS($1:497)),)=$E$7,OFFSET(TH!M$1,SMALL(Dong5,ROWS($1:497)),),0))</f>
        <v>0</v>
      </c>
      <c r="H511" s="385">
        <f ca="1">IF(D511&lt;&gt;"",MAX(H510+F511-G511-I510,0),0)</f>
        <v>330370246</v>
      </c>
      <c r="I511" s="385">
        <f ca="1">IF(D511&lt;&gt;"",MAX(I510+G511-H510-F511,0),0)</f>
        <v>0</v>
      </c>
      <c r="J511" s="18">
        <f ca="1">MONTH(A511)</f>
        <v>7</v>
      </c>
    </row>
    <row r="512" spans="1:10" s="18" customFormat="1" ht="18" customHeight="1">
      <c r="A512" s="318">
        <f ca="1">IF(ROWS($1:498)&gt;COUNT(Dong5),"",OFFSET(TH!C$1,SMALL(Dong5,ROWS($1:498)),))</f>
        <v>42583</v>
      </c>
      <c r="B512" s="318" t="str">
        <f ca="1">IF(ROWS($1:498)&gt;COUNT(Dong5),"",OFFSET(TH!D$1,SMALL(Dong5,ROWS($1:498)),))</f>
        <v>GBN</v>
      </c>
      <c r="C512" s="318">
        <f ca="1">IF(ROWS($1:498)&gt;COUNT(Dong5),"",OFFSET(TH!E$1,SMALL(Dong5,ROWS($1:498)),))</f>
        <v>42583</v>
      </c>
      <c r="D512" s="383" t="str">
        <f ca="1">IF(ROWS($1:498)&gt;COUNT(Dong5),"",OFFSET(TH!F$1,SMALL(Dong5,ROWS($1:498)),))</f>
        <v>VAT Phí chuyển tiền</v>
      </c>
      <c r="E512" s="318" t="str">
        <f ca="1">IF(ROWS($1:498)&gt;COUNT(Dong5),"",IF(OFFSET(TH!N$1,SMALL(Dong5,ROWS($1:498)),)=$E$7,OFFSET(TH!O$1,SMALL(Dong5,ROWS($1:498)),),OFFSET(TH!N$1,SMALL(Dong5,ROWS($1:498)),)))</f>
        <v>1122</v>
      </c>
      <c r="F512" s="384">
        <f ca="1">IF(ROWS($1:498)&gt;COUNT(Dong5),0,IF(OFFSET(TH!N$1,SMALL(Dong5,ROWS($1:498)),)=$E$7,OFFSET(TH!M$1,SMALL(Dong5,ROWS($1:498)),),0))</f>
        <v>6684</v>
      </c>
      <c r="G512" s="382">
        <f ca="1">IF(ROWS($1:498)&gt;COUNT(Dong5),0,IF(OFFSET(TH!O$1,SMALL(Dong5,ROWS($1:498)),)=$E$7,OFFSET(TH!M$1,SMALL(Dong5,ROWS($1:498)),),0))</f>
        <v>0</v>
      </c>
      <c r="H512" s="385">
        <f ca="1">IF(D512&lt;&gt;"",MAX(H511+F512-G512-I511,0),0)</f>
        <v>330376930</v>
      </c>
      <c r="I512" s="385">
        <f ca="1">IF(D512&lt;&gt;"",MAX(I511+G512-H511-F512,0),0)</f>
        <v>0</v>
      </c>
      <c r="J512" s="18">
        <f ca="1">MONTH(A512)</f>
        <v>8</v>
      </c>
    </row>
    <row r="513" spans="1:10" s="18" customFormat="1" ht="18" customHeight="1">
      <c r="A513" s="318">
        <f ca="1">IF(ROWS($1:499)&gt;COUNT(Dong5),"",OFFSET(TH!C$1,SMALL(Dong5,ROWS($1:499)),))</f>
        <v>42583</v>
      </c>
      <c r="B513" s="318" t="str">
        <f ca="1">IF(ROWS($1:499)&gt;COUNT(Dong5),"",OFFSET(TH!D$1,SMALL(Dong5,ROWS($1:499)),))</f>
        <v>GBN</v>
      </c>
      <c r="C513" s="318">
        <f ca="1">IF(ROWS($1:499)&gt;COUNT(Dong5),"",OFFSET(TH!E$1,SMALL(Dong5,ROWS($1:499)),))</f>
        <v>42583</v>
      </c>
      <c r="D513" s="383" t="str">
        <f ca="1">IF(ROWS($1:499)&gt;COUNT(Dong5),"",OFFSET(TH!F$1,SMALL(Dong5,ROWS($1:499)),))</f>
        <v>VAT Phí thông báo LC</v>
      </c>
      <c r="E513" s="318" t="str">
        <f ca="1">IF(ROWS($1:499)&gt;COUNT(Dong5),"",IF(OFFSET(TH!N$1,SMALL(Dong5,ROWS($1:499)),)=$E$7,OFFSET(TH!O$1,SMALL(Dong5,ROWS($1:499)),),OFFSET(TH!N$1,SMALL(Dong5,ROWS($1:499)),)))</f>
        <v>1121</v>
      </c>
      <c r="F513" s="384">
        <f ca="1">IF(ROWS($1:499)&gt;COUNT(Dong5),0,IF(OFFSET(TH!N$1,SMALL(Dong5,ROWS($1:499)),)=$E$7,OFFSET(TH!M$1,SMALL(Dong5,ROWS($1:499)),),0))</f>
        <v>11135</v>
      </c>
      <c r="G513" s="382">
        <f ca="1">IF(ROWS($1:499)&gt;COUNT(Dong5),0,IF(OFFSET(TH!O$1,SMALL(Dong5,ROWS($1:499)),)=$E$7,OFFSET(TH!M$1,SMALL(Dong5,ROWS($1:499)),),0))</f>
        <v>0</v>
      </c>
      <c r="H513" s="385">
        <f ca="1">IF(D513&lt;&gt;"",MAX(H512+F513-G513-I512,0),0)</f>
        <v>330388065</v>
      </c>
      <c r="I513" s="385">
        <f ca="1">IF(D513&lt;&gt;"",MAX(I512+G513-H512-F513,0),0)</f>
        <v>0</v>
      </c>
      <c r="J513" s="18">
        <f ca="1">MONTH(A513)</f>
        <v>8</v>
      </c>
    </row>
    <row r="514" spans="1:10" s="18" customFormat="1" ht="18" customHeight="1">
      <c r="A514" s="318">
        <f ca="1">IF(ROWS($1:500)&gt;COUNT(Dong5),"",OFFSET(TH!C$1,SMALL(Dong5,ROWS($1:500)),))</f>
        <v>42585</v>
      </c>
      <c r="B514" s="318" t="str">
        <f ca="1">IF(ROWS($1:500)&gt;COUNT(Dong5),"",OFFSET(TH!D$1,SMALL(Dong5,ROWS($1:500)),))</f>
        <v>C02</v>
      </c>
      <c r="C514" s="318">
        <f ca="1">IF(ROWS($1:500)&gt;COUNT(Dong5),"",OFFSET(TH!E$1,SMALL(Dong5,ROWS($1:500)),))</f>
        <v>42585</v>
      </c>
      <c r="D514" s="383" t="str">
        <f ca="1">IF(ROWS($1:500)&gt;COUNT(Dong5),"",OFFSET(TH!F$1,SMALL(Dong5,ROWS($1:500)),))</f>
        <v>VAT Dầu DO</v>
      </c>
      <c r="E514" s="318" t="str">
        <f ca="1">IF(ROWS($1:500)&gt;COUNT(Dong5),"",IF(OFFSET(TH!N$1,SMALL(Dong5,ROWS($1:500)),)=$E$7,OFFSET(TH!O$1,SMALL(Dong5,ROWS($1:500)),),OFFSET(TH!N$1,SMALL(Dong5,ROWS($1:500)),)))</f>
        <v>1111</v>
      </c>
      <c r="F514" s="384">
        <f ca="1">IF(ROWS($1:500)&gt;COUNT(Dong5),0,IF(OFFSET(TH!N$1,SMALL(Dong5,ROWS($1:500)),)=$E$7,OFFSET(TH!M$1,SMALL(Dong5,ROWS($1:500)),),0))</f>
        <v>59215</v>
      </c>
      <c r="G514" s="382">
        <f ca="1">IF(ROWS($1:500)&gt;COUNT(Dong5),0,IF(OFFSET(TH!O$1,SMALL(Dong5,ROWS($1:500)),)=$E$7,OFFSET(TH!M$1,SMALL(Dong5,ROWS($1:500)),),0))</f>
        <v>0</v>
      </c>
      <c r="H514" s="385">
        <f ca="1">IF(D514&lt;&gt;"",MAX(H513+F514-G514-I513,0),0)</f>
        <v>330447280</v>
      </c>
      <c r="I514" s="385">
        <f ca="1">IF(D514&lt;&gt;"",MAX(I513+G514-H513-F514,0),0)</f>
        <v>0</v>
      </c>
      <c r="J514" s="18">
        <f ca="1">MONTH(A514)</f>
        <v>8</v>
      </c>
    </row>
    <row r="515" spans="1:10" s="18" customFormat="1" ht="18" customHeight="1">
      <c r="A515" s="318">
        <f ca="1">IF(ROWS($1:501)&gt;COUNT(Dong5),"",OFFSET(TH!C$1,SMALL(Dong5,ROWS($1:501)),))</f>
        <v>42586</v>
      </c>
      <c r="B515" s="318" t="str">
        <f ca="1">IF(ROWS($1:501)&gt;COUNT(Dong5),"",OFFSET(TH!D$1,SMALL(Dong5,ROWS($1:501)),))</f>
        <v>C03</v>
      </c>
      <c r="C515" s="318">
        <f ca="1">IF(ROWS($1:501)&gt;COUNT(Dong5),"",OFFSET(TH!E$1,SMALL(Dong5,ROWS($1:501)),))</f>
        <v>42586</v>
      </c>
      <c r="D515" s="383" t="str">
        <f ca="1">IF(ROWS($1:501)&gt;COUNT(Dong5),"",OFFSET(TH!F$1,SMALL(Dong5,ROWS($1:501)),))</f>
        <v>VAT Phí phân tích thí nghiệm</v>
      </c>
      <c r="E515" s="318" t="str">
        <f ca="1">IF(ROWS($1:501)&gt;COUNT(Dong5),"",IF(OFFSET(TH!N$1,SMALL(Dong5,ROWS($1:501)),)=$E$7,OFFSET(TH!O$1,SMALL(Dong5,ROWS($1:501)),),OFFSET(TH!N$1,SMALL(Dong5,ROWS($1:501)),)))</f>
        <v>1111</v>
      </c>
      <c r="F515" s="384">
        <f ca="1">IF(ROWS($1:501)&gt;COUNT(Dong5),0,IF(OFFSET(TH!N$1,SMALL(Dong5,ROWS($1:501)),)=$E$7,OFFSET(TH!M$1,SMALL(Dong5,ROWS($1:501)),),0))</f>
        <v>36000</v>
      </c>
      <c r="G515" s="382">
        <f ca="1">IF(ROWS($1:501)&gt;COUNT(Dong5),0,IF(OFFSET(TH!O$1,SMALL(Dong5,ROWS($1:501)),)=$E$7,OFFSET(TH!M$1,SMALL(Dong5,ROWS($1:501)),),0))</f>
        <v>0</v>
      </c>
      <c r="H515" s="385">
        <f ca="1">IF(D515&lt;&gt;"",MAX(H514+F515-G515-I514,0),0)</f>
        <v>330483280</v>
      </c>
      <c r="I515" s="385">
        <f ca="1">IF(D515&lt;&gt;"",MAX(I514+G515-H514-F515,0),0)</f>
        <v>0</v>
      </c>
      <c r="J515" s="18">
        <f ca="1">MONTH(A515)</f>
        <v>8</v>
      </c>
    </row>
    <row r="516" spans="1:10" s="18" customFormat="1" ht="18" customHeight="1">
      <c r="A516" s="318">
        <f ca="1">IF(ROWS($1:502)&gt;COUNT(Dong5),"",OFFSET(TH!C$1,SMALL(Dong5,ROWS($1:502)),))</f>
        <v>42586</v>
      </c>
      <c r="B516" s="318" t="str">
        <f ca="1">IF(ROWS($1:502)&gt;COUNT(Dong5),"",OFFSET(TH!D$1,SMALL(Dong5,ROWS($1:502)),))</f>
        <v>GBN</v>
      </c>
      <c r="C516" s="318">
        <f ca="1">IF(ROWS($1:502)&gt;COUNT(Dong5),"",OFFSET(TH!E$1,SMALL(Dong5,ROWS($1:502)),))</f>
        <v>42586</v>
      </c>
      <c r="D516" s="383" t="str">
        <f ca="1">IF(ROWS($1:502)&gt;COUNT(Dong5),"",OFFSET(TH!F$1,SMALL(Dong5,ROWS($1:502)),))</f>
        <v>VAT Phí chuyển tiền</v>
      </c>
      <c r="E516" s="318" t="str">
        <f ca="1">IF(ROWS($1:502)&gt;COUNT(Dong5),"",IF(OFFSET(TH!N$1,SMALL(Dong5,ROWS($1:502)),)=$E$7,OFFSET(TH!O$1,SMALL(Dong5,ROWS($1:502)),),OFFSET(TH!N$1,SMALL(Dong5,ROWS($1:502)),)))</f>
        <v>1121</v>
      </c>
      <c r="F516" s="384">
        <f ca="1">IF(ROWS($1:502)&gt;COUNT(Dong5),0,IF(OFFSET(TH!N$1,SMALL(Dong5,ROWS($1:502)),)=$E$7,OFFSET(TH!M$1,SMALL(Dong5,ROWS($1:502)),),0))</f>
        <v>2000</v>
      </c>
      <c r="G516" s="382">
        <f ca="1">IF(ROWS($1:502)&gt;COUNT(Dong5),0,IF(OFFSET(TH!O$1,SMALL(Dong5,ROWS($1:502)),)=$E$7,OFFSET(TH!M$1,SMALL(Dong5,ROWS($1:502)),),0))</f>
        <v>0</v>
      </c>
      <c r="H516" s="385">
        <f ca="1">IF(D516&lt;&gt;"",MAX(H515+F516-G516-I515,0),0)</f>
        <v>330485280</v>
      </c>
      <c r="I516" s="385">
        <f ca="1">IF(D516&lt;&gt;"",MAX(I515+G516-H515-F516,0),0)</f>
        <v>0</v>
      </c>
      <c r="J516" s="18">
        <f ca="1">MONTH(A516)</f>
        <v>8</v>
      </c>
    </row>
    <row r="517" spans="1:10" s="18" customFormat="1" ht="18" customHeight="1">
      <c r="A517" s="318">
        <f ca="1">IF(ROWS($1:503)&gt;COUNT(Dong5),"",OFFSET(TH!C$1,SMALL(Dong5,ROWS($1:503)),))</f>
        <v>42586</v>
      </c>
      <c r="B517" s="318" t="str">
        <f ca="1">IF(ROWS($1:503)&gt;COUNT(Dong5),"",OFFSET(TH!D$1,SMALL(Dong5,ROWS($1:503)),))</f>
        <v>GBN</v>
      </c>
      <c r="C517" s="318">
        <f ca="1">IF(ROWS($1:503)&gt;COUNT(Dong5),"",OFFSET(TH!E$1,SMALL(Dong5,ROWS($1:503)),))</f>
        <v>42586</v>
      </c>
      <c r="D517" s="383" t="str">
        <f ca="1">IF(ROWS($1:503)&gt;COUNT(Dong5),"",OFFSET(TH!F$1,SMALL(Dong5,ROWS($1:503)),))</f>
        <v>VAT Phí chuyển tiền</v>
      </c>
      <c r="E517" s="318" t="str">
        <f ca="1">IF(ROWS($1:503)&gt;COUNT(Dong5),"",IF(OFFSET(TH!N$1,SMALL(Dong5,ROWS($1:503)),)=$E$7,OFFSET(TH!O$1,SMALL(Dong5,ROWS($1:503)),),OFFSET(TH!N$1,SMALL(Dong5,ROWS($1:503)),)))</f>
        <v>1121</v>
      </c>
      <c r="F517" s="384">
        <f ca="1">IF(ROWS($1:503)&gt;COUNT(Dong5),0,IF(OFFSET(TH!N$1,SMALL(Dong5,ROWS($1:503)),)=$E$7,OFFSET(TH!M$1,SMALL(Dong5,ROWS($1:503)),),0))</f>
        <v>4000</v>
      </c>
      <c r="G517" s="382">
        <f ca="1">IF(ROWS($1:503)&gt;COUNT(Dong5),0,IF(OFFSET(TH!O$1,SMALL(Dong5,ROWS($1:503)),)=$E$7,OFFSET(TH!M$1,SMALL(Dong5,ROWS($1:503)),),0))</f>
        <v>0</v>
      </c>
      <c r="H517" s="385">
        <f ca="1">IF(D517&lt;&gt;"",MAX(H516+F517-G517-I516,0),0)</f>
        <v>330489280</v>
      </c>
      <c r="I517" s="385">
        <f ca="1">IF(D517&lt;&gt;"",MAX(I516+G517-H516-F517,0),0)</f>
        <v>0</v>
      </c>
      <c r="J517" s="18">
        <f ca="1">MONTH(A517)</f>
        <v>8</v>
      </c>
    </row>
    <row r="518" spans="1:10" s="18" customFormat="1" ht="18" customHeight="1">
      <c r="A518" s="318">
        <f ca="1">IF(ROWS($1:504)&gt;COUNT(Dong5),"",OFFSET(TH!C$1,SMALL(Dong5,ROWS($1:504)),))</f>
        <v>42586</v>
      </c>
      <c r="B518" s="318" t="str">
        <f ca="1">IF(ROWS($1:504)&gt;COUNT(Dong5),"",OFFSET(TH!D$1,SMALL(Dong5,ROWS($1:504)),))</f>
        <v>GBN</v>
      </c>
      <c r="C518" s="318">
        <f ca="1">IF(ROWS($1:504)&gt;COUNT(Dong5),"",OFFSET(TH!E$1,SMALL(Dong5,ROWS($1:504)),))</f>
        <v>42586</v>
      </c>
      <c r="D518" s="383" t="str">
        <f ca="1">IF(ROWS($1:504)&gt;COUNT(Dong5),"",OFFSET(TH!F$1,SMALL(Dong5,ROWS($1:504)),))</f>
        <v>VAT Phí chuyển tiền</v>
      </c>
      <c r="E518" s="318" t="str">
        <f ca="1">IF(ROWS($1:504)&gt;COUNT(Dong5),"",IF(OFFSET(TH!N$1,SMALL(Dong5,ROWS($1:504)),)=$E$7,OFFSET(TH!O$1,SMALL(Dong5,ROWS($1:504)),),OFFSET(TH!N$1,SMALL(Dong5,ROWS($1:504)),)))</f>
        <v>1121</v>
      </c>
      <c r="F518" s="384">
        <f ca="1">IF(ROWS($1:504)&gt;COUNT(Dong5),0,IF(OFFSET(TH!N$1,SMALL(Dong5,ROWS($1:504)),)=$E$7,OFFSET(TH!M$1,SMALL(Dong5,ROWS($1:504)),),0))</f>
        <v>4000</v>
      </c>
      <c r="G518" s="382">
        <f ca="1">IF(ROWS($1:504)&gt;COUNT(Dong5),0,IF(OFFSET(TH!O$1,SMALL(Dong5,ROWS($1:504)),)=$E$7,OFFSET(TH!M$1,SMALL(Dong5,ROWS($1:504)),),0))</f>
        <v>0</v>
      </c>
      <c r="H518" s="385">
        <f ca="1">IF(D518&lt;&gt;"",MAX(H517+F518-G518-I517,0),0)</f>
        <v>330493280</v>
      </c>
      <c r="I518" s="385">
        <f ca="1">IF(D518&lt;&gt;"",MAX(I517+G518-H517-F518,0),0)</f>
        <v>0</v>
      </c>
      <c r="J518" s="18">
        <f ca="1">MONTH(A518)</f>
        <v>8</v>
      </c>
    </row>
    <row r="519" spans="1:10" s="18" customFormat="1" ht="18" customHeight="1">
      <c r="A519" s="318">
        <f ca="1">IF(ROWS($1:505)&gt;COUNT(Dong5),"",OFFSET(TH!C$1,SMALL(Dong5,ROWS($1:505)),))</f>
        <v>42586</v>
      </c>
      <c r="B519" s="318" t="str">
        <f ca="1">IF(ROWS($1:505)&gt;COUNT(Dong5),"",OFFSET(TH!D$1,SMALL(Dong5,ROWS($1:505)),))</f>
        <v>GBN</v>
      </c>
      <c r="C519" s="318">
        <f ca="1">IF(ROWS($1:505)&gt;COUNT(Dong5),"",OFFSET(TH!E$1,SMALL(Dong5,ROWS($1:505)),))</f>
        <v>42586</v>
      </c>
      <c r="D519" s="383" t="str">
        <f ca="1">IF(ROWS($1:505)&gt;COUNT(Dong5),"",OFFSET(TH!F$1,SMALL(Dong5,ROWS($1:505)),))</f>
        <v>VAT Phí chuyển tiền</v>
      </c>
      <c r="E519" s="318" t="str">
        <f ca="1">IF(ROWS($1:505)&gt;COUNT(Dong5),"",IF(OFFSET(TH!N$1,SMALL(Dong5,ROWS($1:505)),)=$E$7,OFFSET(TH!O$1,SMALL(Dong5,ROWS($1:505)),),OFFSET(TH!N$1,SMALL(Dong5,ROWS($1:505)),)))</f>
        <v>1121</v>
      </c>
      <c r="F519" s="384">
        <f ca="1">IF(ROWS($1:505)&gt;COUNT(Dong5),0,IF(OFFSET(TH!N$1,SMALL(Dong5,ROWS($1:505)),)=$E$7,OFFSET(TH!M$1,SMALL(Dong5,ROWS($1:505)),),0))</f>
        <v>4500</v>
      </c>
      <c r="G519" s="382">
        <f ca="1">IF(ROWS($1:505)&gt;COUNT(Dong5),0,IF(OFFSET(TH!O$1,SMALL(Dong5,ROWS($1:505)),)=$E$7,OFFSET(TH!M$1,SMALL(Dong5,ROWS($1:505)),),0))</f>
        <v>0</v>
      </c>
      <c r="H519" s="385">
        <f ca="1">IF(D519&lt;&gt;"",MAX(H518+F519-G519-I518,0),0)</f>
        <v>330497780</v>
      </c>
      <c r="I519" s="385">
        <f ca="1">IF(D519&lt;&gt;"",MAX(I518+G519-H518-F519,0),0)</f>
        <v>0</v>
      </c>
      <c r="J519" s="18">
        <f ca="1">MONTH(A519)</f>
        <v>8</v>
      </c>
    </row>
    <row r="520" spans="1:10" s="18" customFormat="1" ht="18" customHeight="1">
      <c r="A520" s="318">
        <f ca="1">IF(ROWS($1:506)&gt;COUNT(Dong5),"",OFFSET(TH!C$1,SMALL(Dong5,ROWS($1:506)),))</f>
        <v>42719</v>
      </c>
      <c r="B520" s="318" t="str">
        <f ca="1">IF(ROWS($1:506)&gt;COUNT(Dong5),"",OFFSET(TH!D$1,SMALL(Dong5,ROWS($1:506)),))</f>
        <v>CTGS</v>
      </c>
      <c r="C520" s="318">
        <f ca="1">IF(ROWS($1:506)&gt;COUNT(Dong5),"",OFFSET(TH!E$1,SMALL(Dong5,ROWS($1:506)),))</f>
        <v>42719</v>
      </c>
      <c r="D520" s="383" t="str">
        <f ca="1">IF(ROWS($1:506)&gt;COUNT(Dong5),"",OFFSET(TH!F$1,SMALL(Dong5,ROWS($1:506)),))</f>
        <v>VAT Phí gia công</v>
      </c>
      <c r="E520" s="318" t="str">
        <f ca="1">IF(ROWS($1:506)&gt;COUNT(Dong5),"",IF(OFFSET(TH!N$1,SMALL(Dong5,ROWS($1:506)),)=$E$7,OFFSET(TH!O$1,SMALL(Dong5,ROWS($1:506)),),OFFSET(TH!N$1,SMALL(Dong5,ROWS($1:506)),)))</f>
        <v>331</v>
      </c>
      <c r="F520" s="384">
        <f ca="1">IF(ROWS($1:506)&gt;COUNT(Dong5),0,IF(OFFSET(TH!N$1,SMALL(Dong5,ROWS($1:506)),)=$E$7,OFFSET(TH!M$1,SMALL(Dong5,ROWS($1:506)),),0))</f>
        <v>52000000</v>
      </c>
      <c r="G520" s="382">
        <f ca="1">IF(ROWS($1:506)&gt;COUNT(Dong5),0,IF(OFFSET(TH!O$1,SMALL(Dong5,ROWS($1:506)),)=$E$7,OFFSET(TH!M$1,SMALL(Dong5,ROWS($1:506)),),0))</f>
        <v>0</v>
      </c>
      <c r="H520" s="385">
        <f ca="1">IF(D520&lt;&gt;"",MAX(H519+F520-G520-I519,0),0)</f>
        <v>382497780</v>
      </c>
      <c r="I520" s="385">
        <f ca="1">IF(D520&lt;&gt;"",MAX(I519+G520-H519-F520,0),0)</f>
        <v>0</v>
      </c>
      <c r="J520" s="18">
        <f ca="1">MONTH(A520)</f>
        <v>12</v>
      </c>
    </row>
    <row r="521" spans="1:10" s="18" customFormat="1" ht="18" customHeight="1">
      <c r="A521" s="318">
        <f ca="1">IF(ROWS($1:507)&gt;COUNT(Dong5),"",OFFSET(TH!C$1,SMALL(Dong5,ROWS($1:507)),))</f>
        <v>42586</v>
      </c>
      <c r="B521" s="318" t="str">
        <f ca="1">IF(ROWS($1:507)&gt;COUNT(Dong5),"",OFFSET(TH!D$1,SMALL(Dong5,ROWS($1:507)),))</f>
        <v>GBN</v>
      </c>
      <c r="C521" s="318">
        <f ca="1">IF(ROWS($1:507)&gt;COUNT(Dong5),"",OFFSET(TH!E$1,SMALL(Dong5,ROWS($1:507)),))</f>
        <v>42586</v>
      </c>
      <c r="D521" s="383" t="str">
        <f ca="1">IF(ROWS($1:507)&gt;COUNT(Dong5),"",OFFSET(TH!F$1,SMALL(Dong5,ROWS($1:507)),))</f>
        <v>VAT Phí chuyển tiền</v>
      </c>
      <c r="E521" s="318" t="str">
        <f ca="1">IF(ROWS($1:507)&gt;COUNT(Dong5),"",IF(OFFSET(TH!N$1,SMALL(Dong5,ROWS($1:507)),)=$E$7,OFFSET(TH!O$1,SMALL(Dong5,ROWS($1:507)),),OFFSET(TH!N$1,SMALL(Dong5,ROWS($1:507)),)))</f>
        <v>1121</v>
      </c>
      <c r="F521" s="384">
        <f ca="1">IF(ROWS($1:507)&gt;COUNT(Dong5),0,IF(OFFSET(TH!N$1,SMALL(Dong5,ROWS($1:507)),)=$E$7,OFFSET(TH!M$1,SMALL(Dong5,ROWS($1:507)),),0))</f>
        <v>2000</v>
      </c>
      <c r="G521" s="382">
        <f ca="1">IF(ROWS($1:507)&gt;COUNT(Dong5),0,IF(OFFSET(TH!O$1,SMALL(Dong5,ROWS($1:507)),)=$E$7,OFFSET(TH!M$1,SMALL(Dong5,ROWS($1:507)),),0))</f>
        <v>0</v>
      </c>
      <c r="H521" s="385">
        <f ca="1">IF(D521&lt;&gt;"",MAX(H520+F521-G521-I520,0),0)</f>
        <v>382499780</v>
      </c>
      <c r="I521" s="385">
        <f ca="1">IF(D521&lt;&gt;"",MAX(I520+G521-H520-F521,0),0)</f>
        <v>0</v>
      </c>
      <c r="J521" s="18">
        <f ca="1">MONTH(A521)</f>
        <v>8</v>
      </c>
    </row>
    <row r="522" spans="1:10" s="18" customFormat="1" ht="18" customHeight="1">
      <c r="A522" s="318">
        <f ca="1">IF(ROWS($1:508)&gt;COUNT(Dong5),"",OFFSET(TH!C$1,SMALL(Dong5,ROWS($1:508)),))</f>
        <v>42586</v>
      </c>
      <c r="B522" s="318" t="str">
        <f ca="1">IF(ROWS($1:508)&gt;COUNT(Dong5),"",OFFSET(TH!D$1,SMALL(Dong5,ROWS($1:508)),))</f>
        <v>GBN</v>
      </c>
      <c r="C522" s="318">
        <f ca="1">IF(ROWS($1:508)&gt;COUNT(Dong5),"",OFFSET(TH!E$1,SMALL(Dong5,ROWS($1:508)),))</f>
        <v>42586</v>
      </c>
      <c r="D522" s="383" t="str">
        <f ca="1">IF(ROWS($1:508)&gt;COUNT(Dong5),"",OFFSET(TH!F$1,SMALL(Dong5,ROWS($1:508)),))</f>
        <v>VAT Phí chuyển tiền</v>
      </c>
      <c r="E522" s="318" t="str">
        <f ca="1">IF(ROWS($1:508)&gt;COUNT(Dong5),"",IF(OFFSET(TH!N$1,SMALL(Dong5,ROWS($1:508)),)=$E$7,OFFSET(TH!O$1,SMALL(Dong5,ROWS($1:508)),),OFFSET(TH!N$1,SMALL(Dong5,ROWS($1:508)),)))</f>
        <v>1121</v>
      </c>
      <c r="F522" s="384">
        <f ca="1">IF(ROWS($1:508)&gt;COUNT(Dong5),0,IF(OFFSET(TH!N$1,SMALL(Dong5,ROWS($1:508)),)=$E$7,OFFSET(TH!M$1,SMALL(Dong5,ROWS($1:508)),),0))</f>
        <v>2000</v>
      </c>
      <c r="G522" s="382">
        <f ca="1">IF(ROWS($1:508)&gt;COUNT(Dong5),0,IF(OFFSET(TH!O$1,SMALL(Dong5,ROWS($1:508)),)=$E$7,OFFSET(TH!M$1,SMALL(Dong5,ROWS($1:508)),),0))</f>
        <v>0</v>
      </c>
      <c r="H522" s="385">
        <f ca="1">IF(D522&lt;&gt;"",MAX(H521+F522-G522-I521,0),0)</f>
        <v>382501780</v>
      </c>
      <c r="I522" s="385">
        <f ca="1">IF(D522&lt;&gt;"",MAX(I521+G522-H521-F522,0),0)</f>
        <v>0</v>
      </c>
      <c r="J522" s="18">
        <f ca="1">MONTH(A522)</f>
        <v>8</v>
      </c>
    </row>
    <row r="523" spans="1:10" s="18" customFormat="1" ht="18" customHeight="1">
      <c r="A523" s="318">
        <f ca="1">IF(ROWS($1:509)&gt;COUNT(Dong5),"",OFFSET(TH!C$1,SMALL(Dong5,ROWS($1:509)),))</f>
        <v>42587</v>
      </c>
      <c r="B523" s="318" t="str">
        <f ca="1">IF(ROWS($1:509)&gt;COUNT(Dong5),"",OFFSET(TH!D$1,SMALL(Dong5,ROWS($1:509)),))</f>
        <v>C05</v>
      </c>
      <c r="C523" s="318">
        <f ca="1">IF(ROWS($1:509)&gt;COUNT(Dong5),"",OFFSET(TH!E$1,SMALL(Dong5,ROWS($1:509)),))</f>
        <v>42587</v>
      </c>
      <c r="D523" s="383" t="str">
        <f ca="1">IF(ROWS($1:509)&gt;COUNT(Dong5),"",OFFSET(TH!F$1,SMALL(Dong5,ROWS($1:509)),))</f>
        <v>VAT Phí CPN</v>
      </c>
      <c r="E523" s="318" t="str">
        <f ca="1">IF(ROWS($1:509)&gt;COUNT(Dong5),"",IF(OFFSET(TH!N$1,SMALL(Dong5,ROWS($1:509)),)=$E$7,OFFSET(TH!O$1,SMALL(Dong5,ROWS($1:509)),),OFFSET(TH!N$1,SMALL(Dong5,ROWS($1:509)),)))</f>
        <v>1111</v>
      </c>
      <c r="F523" s="384">
        <f ca="1">IF(ROWS($1:509)&gt;COUNT(Dong5),0,IF(OFFSET(TH!N$1,SMALL(Dong5,ROWS($1:509)),)=$E$7,OFFSET(TH!M$1,SMALL(Dong5,ROWS($1:509)),),0))</f>
        <v>35453</v>
      </c>
      <c r="G523" s="382">
        <f ca="1">IF(ROWS($1:509)&gt;COUNT(Dong5),0,IF(OFFSET(TH!O$1,SMALL(Dong5,ROWS($1:509)),)=$E$7,OFFSET(TH!M$1,SMALL(Dong5,ROWS($1:509)),),0))</f>
        <v>0</v>
      </c>
      <c r="H523" s="385">
        <f ca="1">IF(D523&lt;&gt;"",MAX(H522+F523-G523-I522,0),0)</f>
        <v>382537233</v>
      </c>
      <c r="I523" s="385">
        <f ca="1">IF(D523&lt;&gt;"",MAX(I522+G523-H522-F523,0),0)</f>
        <v>0</v>
      </c>
      <c r="J523" s="18">
        <f ca="1">MONTH(A523)</f>
        <v>8</v>
      </c>
    </row>
    <row r="524" spans="1:10" s="18" customFormat="1" ht="18" customHeight="1">
      <c r="A524" s="318">
        <f ca="1">IF(ROWS($1:510)&gt;COUNT(Dong5),"",OFFSET(TH!C$1,SMALL(Dong5,ROWS($1:510)),))</f>
        <v>42588</v>
      </c>
      <c r="B524" s="318" t="str">
        <f ca="1">IF(ROWS($1:510)&gt;COUNT(Dong5),"",OFFSET(TH!D$1,SMALL(Dong5,ROWS($1:510)),))</f>
        <v>C06</v>
      </c>
      <c r="C524" s="318">
        <f ca="1">IF(ROWS($1:510)&gt;COUNT(Dong5),"",OFFSET(TH!E$1,SMALL(Dong5,ROWS($1:510)),))</f>
        <v>42588</v>
      </c>
      <c r="D524" s="383" t="str">
        <f ca="1">IF(ROWS($1:510)&gt;COUNT(Dong5),"",OFFSET(TH!F$1,SMALL(Dong5,ROWS($1:510)),))</f>
        <v>VAT Cước VT - CNTT T7/2016</v>
      </c>
      <c r="E524" s="318" t="str">
        <f ca="1">IF(ROWS($1:510)&gt;COUNT(Dong5),"",IF(OFFSET(TH!N$1,SMALL(Dong5,ROWS($1:510)),)=$E$7,OFFSET(TH!O$1,SMALL(Dong5,ROWS($1:510)),),OFFSET(TH!N$1,SMALL(Dong5,ROWS($1:510)),)))</f>
        <v>1111</v>
      </c>
      <c r="F524" s="384">
        <f ca="1">IF(ROWS($1:510)&gt;COUNT(Dong5),0,IF(OFFSET(TH!N$1,SMALL(Dong5,ROWS($1:510)),)=$E$7,OFFSET(TH!M$1,SMALL(Dong5,ROWS($1:510)),),0))</f>
        <v>201663</v>
      </c>
      <c r="G524" s="382">
        <f ca="1">IF(ROWS($1:510)&gt;COUNT(Dong5),0,IF(OFFSET(TH!O$1,SMALL(Dong5,ROWS($1:510)),)=$E$7,OFFSET(TH!M$1,SMALL(Dong5,ROWS($1:510)),),0))</f>
        <v>0</v>
      </c>
      <c r="H524" s="385">
        <f ca="1">IF(D524&lt;&gt;"",MAX(H523+F524-G524-I523,0),0)</f>
        <v>382738896</v>
      </c>
      <c r="I524" s="385">
        <f ca="1">IF(D524&lt;&gt;"",MAX(I523+G524-H523-F524,0),0)</f>
        <v>0</v>
      </c>
      <c r="J524" s="18">
        <f ca="1">MONTH(A524)</f>
        <v>8</v>
      </c>
    </row>
    <row r="525" spans="1:10" s="18" customFormat="1" ht="18" customHeight="1">
      <c r="A525" s="318">
        <f ca="1">IF(ROWS($1:511)&gt;COUNT(Dong5),"",OFFSET(TH!C$1,SMALL(Dong5,ROWS($1:511)),))</f>
        <v>42588</v>
      </c>
      <c r="B525" s="318" t="str">
        <f ca="1">IF(ROWS($1:511)&gt;COUNT(Dong5),"",OFFSET(TH!D$1,SMALL(Dong5,ROWS($1:511)),))</f>
        <v>C07</v>
      </c>
      <c r="C525" s="318">
        <f ca="1">IF(ROWS($1:511)&gt;COUNT(Dong5),"",OFFSET(TH!E$1,SMALL(Dong5,ROWS($1:511)),))</f>
        <v>42588</v>
      </c>
      <c r="D525" s="383" t="str">
        <f ca="1">IF(ROWS($1:511)&gt;COUNT(Dong5),"",OFFSET(TH!F$1,SMALL(Dong5,ROWS($1:511)),))</f>
        <v>VAT Gas</v>
      </c>
      <c r="E525" s="318" t="str">
        <f ca="1">IF(ROWS($1:511)&gt;COUNT(Dong5),"",IF(OFFSET(TH!N$1,SMALL(Dong5,ROWS($1:511)),)=$E$7,OFFSET(TH!O$1,SMALL(Dong5,ROWS($1:511)),),OFFSET(TH!N$1,SMALL(Dong5,ROWS($1:511)),)))</f>
        <v>1111</v>
      </c>
      <c r="F525" s="384">
        <f ca="1">IF(ROWS($1:511)&gt;COUNT(Dong5),0,IF(OFFSET(TH!N$1,SMALL(Dong5,ROWS($1:511)),)=$E$7,OFFSET(TH!M$1,SMALL(Dong5,ROWS($1:511)),),0))</f>
        <v>812728</v>
      </c>
      <c r="G525" s="382">
        <f ca="1">IF(ROWS($1:511)&gt;COUNT(Dong5),0,IF(OFFSET(TH!O$1,SMALL(Dong5,ROWS($1:511)),)=$E$7,OFFSET(TH!M$1,SMALL(Dong5,ROWS($1:511)),),0))</f>
        <v>0</v>
      </c>
      <c r="H525" s="385">
        <f ca="1">IF(D525&lt;&gt;"",MAX(H524+F525-G525-I524,0),0)</f>
        <v>383551624</v>
      </c>
      <c r="I525" s="385">
        <f ca="1">IF(D525&lt;&gt;"",MAX(I524+G525-H524-F525,0),0)</f>
        <v>0</v>
      </c>
      <c r="J525" s="18">
        <f ca="1">MONTH(A525)</f>
        <v>8</v>
      </c>
    </row>
    <row r="526" spans="1:10" s="18" customFormat="1" ht="18" customHeight="1">
      <c r="A526" s="318">
        <f ca="1">IF(ROWS($1:512)&gt;COUNT(Dong5),"",OFFSET(TH!C$1,SMALL(Dong5,ROWS($1:512)),))</f>
        <v>42589</v>
      </c>
      <c r="B526" s="318" t="str">
        <f ca="1">IF(ROWS($1:512)&gt;COUNT(Dong5),"",OFFSET(TH!D$1,SMALL(Dong5,ROWS($1:512)),))</f>
        <v>C08</v>
      </c>
      <c r="C526" s="318">
        <f ca="1">IF(ROWS($1:512)&gt;COUNT(Dong5),"",OFFSET(TH!E$1,SMALL(Dong5,ROWS($1:512)),))</f>
        <v>42589</v>
      </c>
      <c r="D526" s="383" t="str">
        <f ca="1">IF(ROWS($1:512)&gt;COUNT(Dong5),"",OFFSET(TH!F$1,SMALL(Dong5,ROWS($1:512)),))</f>
        <v>VAT Dầu, xăng</v>
      </c>
      <c r="E526" s="318" t="str">
        <f ca="1">IF(ROWS($1:512)&gt;COUNT(Dong5),"",IF(OFFSET(TH!N$1,SMALL(Dong5,ROWS($1:512)),)=$E$7,OFFSET(TH!O$1,SMALL(Dong5,ROWS($1:512)),),OFFSET(TH!N$1,SMALL(Dong5,ROWS($1:512)),)))</f>
        <v>1111</v>
      </c>
      <c r="F526" s="384">
        <f ca="1">IF(ROWS($1:512)&gt;COUNT(Dong5),0,IF(OFFSET(TH!N$1,SMALL(Dong5,ROWS($1:512)),)=$E$7,OFFSET(TH!M$1,SMALL(Dong5,ROWS($1:512)),),0))</f>
        <v>125713</v>
      </c>
      <c r="G526" s="382">
        <f ca="1">IF(ROWS($1:512)&gt;COUNT(Dong5),0,IF(OFFSET(TH!O$1,SMALL(Dong5,ROWS($1:512)),)=$E$7,OFFSET(TH!M$1,SMALL(Dong5,ROWS($1:512)),),0))</f>
        <v>0</v>
      </c>
      <c r="H526" s="385">
        <f ca="1">IF(D526&lt;&gt;"",MAX(H525+F526-G526-I525,0),0)</f>
        <v>383677337</v>
      </c>
      <c r="I526" s="385">
        <f ca="1">IF(D526&lt;&gt;"",MAX(I525+G526-H525-F526,0),0)</f>
        <v>0</v>
      </c>
      <c r="J526" s="18">
        <f ca="1">MONTH(A526)</f>
        <v>8</v>
      </c>
    </row>
    <row r="527" spans="1:10" s="18" customFormat="1" ht="18" customHeight="1">
      <c r="A527" s="318">
        <f ca="1">IF(ROWS($1:513)&gt;COUNT(Dong5),"",OFFSET(TH!C$1,SMALL(Dong5,ROWS($1:513)),))</f>
        <v>42592</v>
      </c>
      <c r="B527" s="318" t="str">
        <f ca="1">IF(ROWS($1:513)&gt;COUNT(Dong5),"",OFFSET(TH!D$1,SMALL(Dong5,ROWS($1:513)),))</f>
        <v>C10</v>
      </c>
      <c r="C527" s="318">
        <f ca="1">IF(ROWS($1:513)&gt;COUNT(Dong5),"",OFFSET(TH!E$1,SMALL(Dong5,ROWS($1:513)),))</f>
        <v>42592</v>
      </c>
      <c r="D527" s="383" t="str">
        <f ca="1">IF(ROWS($1:513)&gt;COUNT(Dong5),"",OFFSET(TH!F$1,SMALL(Dong5,ROWS($1:513)),))</f>
        <v>VAT Dầu, xăng</v>
      </c>
      <c r="E527" s="318" t="str">
        <f ca="1">IF(ROWS($1:513)&gt;COUNT(Dong5),"",IF(OFFSET(TH!N$1,SMALL(Dong5,ROWS($1:513)),)=$E$7,OFFSET(TH!O$1,SMALL(Dong5,ROWS($1:513)),),OFFSET(TH!N$1,SMALL(Dong5,ROWS($1:513)),)))</f>
        <v>1111</v>
      </c>
      <c r="F527" s="384">
        <f ca="1">IF(ROWS($1:513)&gt;COUNT(Dong5),0,IF(OFFSET(TH!N$1,SMALL(Dong5,ROWS($1:513)),)=$E$7,OFFSET(TH!M$1,SMALL(Dong5,ROWS($1:513)),),0))</f>
        <v>124946</v>
      </c>
      <c r="G527" s="382">
        <f ca="1">IF(ROWS($1:513)&gt;COUNT(Dong5),0,IF(OFFSET(TH!O$1,SMALL(Dong5,ROWS($1:513)),)=$E$7,OFFSET(TH!M$1,SMALL(Dong5,ROWS($1:513)),),0))</f>
        <v>0</v>
      </c>
      <c r="H527" s="385">
        <f ca="1">IF(D527&lt;&gt;"",MAX(H526+F527-G527-I526,0),0)</f>
        <v>383802283</v>
      </c>
      <c r="I527" s="385">
        <f ca="1">IF(D527&lt;&gt;"",MAX(I526+G527-H526-F527,0),0)</f>
        <v>0</v>
      </c>
      <c r="J527" s="18">
        <f ca="1">MONTH(A527)</f>
        <v>8</v>
      </c>
    </row>
    <row r="528" spans="1:10" s="18" customFormat="1" ht="18" customHeight="1">
      <c r="A528" s="318">
        <f ca="1">IF(ROWS($1:514)&gt;COUNT(Dong5),"",OFFSET(TH!C$1,SMALL(Dong5,ROWS($1:514)),))</f>
        <v>42593</v>
      </c>
      <c r="B528" s="318" t="str">
        <f ca="1">IF(ROWS($1:514)&gt;COUNT(Dong5),"",OFFSET(TH!D$1,SMALL(Dong5,ROWS($1:514)),))</f>
        <v>CTGS</v>
      </c>
      <c r="C528" s="318">
        <f ca="1">IF(ROWS($1:514)&gt;COUNT(Dong5),"",OFFSET(TH!E$1,SMALL(Dong5,ROWS($1:514)),))</f>
        <v>42593</v>
      </c>
      <c r="D528" s="383" t="str">
        <f ca="1">IF(ROWS($1:514)&gt;COUNT(Dong5),"",OFFSET(TH!F$1,SMALL(Dong5,ROWS($1:514)),))</f>
        <v>VAT Phí xử lý bộ chứng từ</v>
      </c>
      <c r="E528" s="318" t="str">
        <f ca="1">IF(ROWS($1:514)&gt;COUNT(Dong5),"",IF(OFFSET(TH!N$1,SMALL(Dong5,ROWS($1:514)),)=$E$7,OFFSET(TH!O$1,SMALL(Dong5,ROWS($1:514)),),OFFSET(TH!N$1,SMALL(Dong5,ROWS($1:514)),)))</f>
        <v>131</v>
      </c>
      <c r="F528" s="384">
        <f ca="1">IF(ROWS($1:514)&gt;COUNT(Dong5),0,IF(OFFSET(TH!N$1,SMALL(Dong5,ROWS($1:514)),)=$E$7,OFFSET(TH!M$1,SMALL(Dong5,ROWS($1:514)),),0))</f>
        <v>22270</v>
      </c>
      <c r="G528" s="382">
        <f ca="1">IF(ROWS($1:514)&gt;COUNT(Dong5),0,IF(OFFSET(TH!O$1,SMALL(Dong5,ROWS($1:514)),)=$E$7,OFFSET(TH!M$1,SMALL(Dong5,ROWS($1:514)),),0))</f>
        <v>0</v>
      </c>
      <c r="H528" s="385">
        <f ca="1">IF(D528&lt;&gt;"",MAX(H527+F528-G528-I527,0),0)</f>
        <v>383824553</v>
      </c>
      <c r="I528" s="385">
        <f ca="1">IF(D528&lt;&gt;"",MAX(I527+G528-H527-F528,0),0)</f>
        <v>0</v>
      </c>
      <c r="J528" s="18">
        <f ca="1">MONTH(A528)</f>
        <v>8</v>
      </c>
    </row>
    <row r="529" spans="1:10" s="18" customFormat="1" ht="18" customHeight="1">
      <c r="A529" s="318">
        <f ca="1">IF(ROWS($1:515)&gt;COUNT(Dong5),"",OFFSET(TH!C$1,SMALL(Dong5,ROWS($1:515)),))</f>
        <v>42593</v>
      </c>
      <c r="B529" s="318" t="str">
        <f ca="1">IF(ROWS($1:515)&gt;COUNT(Dong5),"",OFFSET(TH!D$1,SMALL(Dong5,ROWS($1:515)),))</f>
        <v>CTGS</v>
      </c>
      <c r="C529" s="318">
        <f ca="1">IF(ROWS($1:515)&gt;COUNT(Dong5),"",OFFSET(TH!E$1,SMALL(Dong5,ROWS($1:515)),))</f>
        <v>42593</v>
      </c>
      <c r="D529" s="383" t="str">
        <f ca="1">IF(ROWS($1:515)&gt;COUNT(Dong5),"",OFFSET(TH!F$1,SMALL(Dong5,ROWS($1:515)),))</f>
        <v>VAT Điện phí</v>
      </c>
      <c r="E529" s="318" t="str">
        <f ca="1">IF(ROWS($1:515)&gt;COUNT(Dong5),"",IF(OFFSET(TH!N$1,SMALL(Dong5,ROWS($1:515)),)=$E$7,OFFSET(TH!O$1,SMALL(Dong5,ROWS($1:515)),),OFFSET(TH!N$1,SMALL(Dong5,ROWS($1:515)),)))</f>
        <v>131</v>
      </c>
      <c r="F529" s="384">
        <f ca="1">IF(ROWS($1:515)&gt;COUNT(Dong5),0,IF(OFFSET(TH!N$1,SMALL(Dong5,ROWS($1:515)),)=$E$7,OFFSET(TH!M$1,SMALL(Dong5,ROWS($1:515)),),0))</f>
        <v>115804</v>
      </c>
      <c r="G529" s="382">
        <f ca="1">IF(ROWS($1:515)&gt;COUNT(Dong5),0,IF(OFFSET(TH!O$1,SMALL(Dong5,ROWS($1:515)),)=$E$7,OFFSET(TH!M$1,SMALL(Dong5,ROWS($1:515)),),0))</f>
        <v>0</v>
      </c>
      <c r="H529" s="385">
        <f ca="1">IF(D529&lt;&gt;"",MAX(H528+F529-G529-I528,0),0)</f>
        <v>383940357</v>
      </c>
      <c r="I529" s="385">
        <f ca="1">IF(D529&lt;&gt;"",MAX(I528+G529-H528-F529,0),0)</f>
        <v>0</v>
      </c>
      <c r="J529" s="18">
        <f ca="1">MONTH(A529)</f>
        <v>8</v>
      </c>
    </row>
    <row r="530" spans="1:10" s="18" customFormat="1" ht="18" customHeight="1">
      <c r="A530" s="318">
        <f ca="1">IF(ROWS($1:516)&gt;COUNT(Dong5),"",OFFSET(TH!C$1,SMALL(Dong5,ROWS($1:516)),))</f>
        <v>42594</v>
      </c>
      <c r="B530" s="318" t="str">
        <f ca="1">IF(ROWS($1:516)&gt;COUNT(Dong5),"",OFFSET(TH!D$1,SMALL(Dong5,ROWS($1:516)),))</f>
        <v>C12</v>
      </c>
      <c r="C530" s="318">
        <f ca="1">IF(ROWS($1:516)&gt;COUNT(Dong5),"",OFFSET(TH!E$1,SMALL(Dong5,ROWS($1:516)),))</f>
        <v>42594</v>
      </c>
      <c r="D530" s="383" t="str">
        <f ca="1">IF(ROWS($1:516)&gt;COUNT(Dong5),"",OFFSET(TH!F$1,SMALL(Dong5,ROWS($1:516)),))</f>
        <v>VAT Phí BH theo HĐBH số S-MPB-00048787-04-16</v>
      </c>
      <c r="E530" s="318" t="str">
        <f ca="1">IF(ROWS($1:516)&gt;COUNT(Dong5),"",IF(OFFSET(TH!N$1,SMALL(Dong5,ROWS($1:516)),)=$E$7,OFFSET(TH!O$1,SMALL(Dong5,ROWS($1:516)),),OFFSET(TH!N$1,SMALL(Dong5,ROWS($1:516)),)))</f>
        <v>1111</v>
      </c>
      <c r="F530" s="384">
        <f ca="1">IF(ROWS($1:516)&gt;COUNT(Dong5),0,IF(OFFSET(TH!N$1,SMALL(Dong5,ROWS($1:516)),)=$E$7,OFFSET(TH!M$1,SMALL(Dong5,ROWS($1:516)),),0))</f>
        <v>1038546</v>
      </c>
      <c r="G530" s="382">
        <f ca="1">IF(ROWS($1:516)&gt;COUNT(Dong5),0,IF(OFFSET(TH!O$1,SMALL(Dong5,ROWS($1:516)),)=$E$7,OFFSET(TH!M$1,SMALL(Dong5,ROWS($1:516)),),0))</f>
        <v>0</v>
      </c>
      <c r="H530" s="385">
        <f ca="1">IF(D530&lt;&gt;"",MAX(H529+F530-G530-I529,0),0)</f>
        <v>384978903</v>
      </c>
      <c r="I530" s="385">
        <f ca="1">IF(D530&lt;&gt;"",MAX(I529+G530-H529-F530,0),0)</f>
        <v>0</v>
      </c>
      <c r="J530" s="18">
        <f ca="1">MONTH(A530)</f>
        <v>8</v>
      </c>
    </row>
    <row r="531" spans="1:10" s="18" customFormat="1" ht="18" customHeight="1">
      <c r="A531" s="318">
        <f ca="1">IF(ROWS($1:517)&gt;COUNT(Dong5),"",OFFSET(TH!C$1,SMALL(Dong5,ROWS($1:517)),))</f>
        <v>42594</v>
      </c>
      <c r="B531" s="318" t="str">
        <f ca="1">IF(ROWS($1:517)&gt;COUNT(Dong5),"",OFFSET(TH!D$1,SMALL(Dong5,ROWS($1:517)),))</f>
        <v>GBN</v>
      </c>
      <c r="C531" s="318">
        <f ca="1">IF(ROWS($1:517)&gt;COUNT(Dong5),"",OFFSET(TH!E$1,SMALL(Dong5,ROWS($1:517)),))</f>
        <v>42594</v>
      </c>
      <c r="D531" s="383" t="str">
        <f ca="1">IF(ROWS($1:517)&gt;COUNT(Dong5),"",OFFSET(TH!F$1,SMALL(Dong5,ROWS($1:517)),))</f>
        <v>VAT Phí chuyển tiền</v>
      </c>
      <c r="E531" s="318" t="str">
        <f ca="1">IF(ROWS($1:517)&gt;COUNT(Dong5),"",IF(OFFSET(TH!N$1,SMALL(Dong5,ROWS($1:517)),)=$E$7,OFFSET(TH!O$1,SMALL(Dong5,ROWS($1:517)),),OFFSET(TH!N$1,SMALL(Dong5,ROWS($1:517)),)))</f>
        <v>1121</v>
      </c>
      <c r="F531" s="384">
        <f ca="1">IF(ROWS($1:517)&gt;COUNT(Dong5),0,IF(OFFSET(TH!N$1,SMALL(Dong5,ROWS($1:517)),)=$E$7,OFFSET(TH!M$1,SMALL(Dong5,ROWS($1:517)),),0))</f>
        <v>2500</v>
      </c>
      <c r="G531" s="382">
        <f ca="1">IF(ROWS($1:517)&gt;COUNT(Dong5),0,IF(OFFSET(TH!O$1,SMALL(Dong5,ROWS($1:517)),)=$E$7,OFFSET(TH!M$1,SMALL(Dong5,ROWS($1:517)),),0))</f>
        <v>0</v>
      </c>
      <c r="H531" s="385">
        <f ca="1">IF(D531&lt;&gt;"",MAX(H530+F531-G531-I530,0),0)</f>
        <v>384981403</v>
      </c>
      <c r="I531" s="385">
        <f ca="1">IF(D531&lt;&gt;"",MAX(I530+G531-H530-F531,0),0)</f>
        <v>0</v>
      </c>
      <c r="J531" s="18">
        <f ca="1">MONTH(A531)</f>
        <v>8</v>
      </c>
    </row>
    <row r="532" spans="1:10" s="18" customFormat="1" ht="18" customHeight="1">
      <c r="A532" s="318">
        <f ca="1">IF(ROWS($1:518)&gt;COUNT(Dong5),"",OFFSET(TH!C$1,SMALL(Dong5,ROWS($1:518)),))</f>
        <v>42595</v>
      </c>
      <c r="B532" s="318" t="str">
        <f ca="1">IF(ROWS($1:518)&gt;COUNT(Dong5),"",OFFSET(TH!D$1,SMALL(Dong5,ROWS($1:518)),))</f>
        <v>C13</v>
      </c>
      <c r="C532" s="318">
        <f ca="1">IF(ROWS($1:518)&gt;COUNT(Dong5),"",OFFSET(TH!E$1,SMALL(Dong5,ROWS($1:518)),))</f>
        <v>42595</v>
      </c>
      <c r="D532" s="383" t="str">
        <f ca="1">IF(ROWS($1:518)&gt;COUNT(Dong5),"",OFFSET(TH!F$1,SMALL(Dong5,ROWS($1:518)),))</f>
        <v>VAT Xăng 95</v>
      </c>
      <c r="E532" s="318" t="str">
        <f ca="1">IF(ROWS($1:518)&gt;COUNT(Dong5),"",IF(OFFSET(TH!N$1,SMALL(Dong5,ROWS($1:518)),)=$E$7,OFFSET(TH!O$1,SMALL(Dong5,ROWS($1:518)),),OFFSET(TH!N$1,SMALL(Dong5,ROWS($1:518)),)))</f>
        <v>1111</v>
      </c>
      <c r="F532" s="384">
        <f ca="1">IF(ROWS($1:518)&gt;COUNT(Dong5),0,IF(OFFSET(TH!N$1,SMALL(Dong5,ROWS($1:518)),)=$E$7,OFFSET(TH!M$1,SMALL(Dong5,ROWS($1:518)),),0))</f>
        <v>106836</v>
      </c>
      <c r="G532" s="382">
        <f ca="1">IF(ROWS($1:518)&gt;COUNT(Dong5),0,IF(OFFSET(TH!O$1,SMALL(Dong5,ROWS($1:518)),)=$E$7,OFFSET(TH!M$1,SMALL(Dong5,ROWS($1:518)),),0))</f>
        <v>0</v>
      </c>
      <c r="H532" s="385">
        <f ca="1">IF(D532&lt;&gt;"",MAX(H531+F532-G532-I531,0),0)</f>
        <v>385088239</v>
      </c>
      <c r="I532" s="385">
        <f ca="1">IF(D532&lt;&gt;"",MAX(I531+G532-H531-F532,0),0)</f>
        <v>0</v>
      </c>
      <c r="J532" s="18">
        <f ca="1">MONTH(A532)</f>
        <v>8</v>
      </c>
    </row>
    <row r="533" spans="1:10" s="18" customFormat="1" ht="18" customHeight="1">
      <c r="A533" s="318">
        <f ca="1">IF(ROWS($1:519)&gt;COUNT(Dong5),"",OFFSET(TH!C$1,SMALL(Dong5,ROWS($1:519)),))</f>
        <v>42597</v>
      </c>
      <c r="B533" s="318" t="str">
        <f ca="1">IF(ROWS($1:519)&gt;COUNT(Dong5),"",OFFSET(TH!D$1,SMALL(Dong5,ROWS($1:519)),))</f>
        <v>C15</v>
      </c>
      <c r="C533" s="318">
        <f ca="1">IF(ROWS($1:519)&gt;COUNT(Dong5),"",OFFSET(TH!E$1,SMALL(Dong5,ROWS($1:519)),))</f>
        <v>42597</v>
      </c>
      <c r="D533" s="383" t="str">
        <f ca="1">IF(ROWS($1:519)&gt;COUNT(Dong5),"",OFFSET(TH!F$1,SMALL(Dong5,ROWS($1:519)),))</f>
        <v>VAT Dầu DO</v>
      </c>
      <c r="E533" s="318" t="str">
        <f ca="1">IF(ROWS($1:519)&gt;COUNT(Dong5),"",IF(OFFSET(TH!N$1,SMALL(Dong5,ROWS($1:519)),)=$E$7,OFFSET(TH!O$1,SMALL(Dong5,ROWS($1:519)),),OFFSET(TH!N$1,SMALL(Dong5,ROWS($1:519)),)))</f>
        <v>1111</v>
      </c>
      <c r="F533" s="384">
        <f ca="1">IF(ROWS($1:519)&gt;COUNT(Dong5),0,IF(OFFSET(TH!N$1,SMALL(Dong5,ROWS($1:519)),)=$E$7,OFFSET(TH!M$1,SMALL(Dong5,ROWS($1:519)),),0))</f>
        <v>53000</v>
      </c>
      <c r="G533" s="382">
        <f ca="1">IF(ROWS($1:519)&gt;COUNT(Dong5),0,IF(OFFSET(TH!O$1,SMALL(Dong5,ROWS($1:519)),)=$E$7,OFFSET(TH!M$1,SMALL(Dong5,ROWS($1:519)),),0))</f>
        <v>0</v>
      </c>
      <c r="H533" s="385">
        <f ca="1">IF(D533&lt;&gt;"",MAX(H532+F533-G533-I532,0),0)</f>
        <v>385141239</v>
      </c>
      <c r="I533" s="385">
        <f ca="1">IF(D533&lt;&gt;"",MAX(I532+G533-H532-F533,0),0)</f>
        <v>0</v>
      </c>
      <c r="J533" s="18">
        <f ca="1">MONTH(A533)</f>
        <v>8</v>
      </c>
    </row>
    <row r="534" spans="1:10" s="18" customFormat="1" ht="18" customHeight="1">
      <c r="A534" s="318">
        <f ca="1">IF(ROWS($1:520)&gt;COUNT(Dong5),"",OFFSET(TH!C$1,SMALL(Dong5,ROWS($1:520)),))</f>
        <v>42598</v>
      </c>
      <c r="B534" s="318" t="str">
        <f ca="1">IF(ROWS($1:520)&gt;COUNT(Dong5),"",OFFSET(TH!D$1,SMALL(Dong5,ROWS($1:520)),))</f>
        <v>C16</v>
      </c>
      <c r="C534" s="318">
        <f ca="1">IF(ROWS($1:520)&gt;COUNT(Dong5),"",OFFSET(TH!E$1,SMALL(Dong5,ROWS($1:520)),))</f>
        <v>42598</v>
      </c>
      <c r="D534" s="383" t="str">
        <f ca="1">IF(ROWS($1:520)&gt;COUNT(Dong5),"",OFFSET(TH!F$1,SMALL(Dong5,ROWS($1:520)),))</f>
        <v>VAT Xăng 95</v>
      </c>
      <c r="E534" s="318" t="str">
        <f ca="1">IF(ROWS($1:520)&gt;COUNT(Dong5),"",IF(OFFSET(TH!N$1,SMALL(Dong5,ROWS($1:520)),)=$E$7,OFFSET(TH!O$1,SMALL(Dong5,ROWS($1:520)),),OFFSET(TH!N$1,SMALL(Dong5,ROWS($1:520)),)))</f>
        <v>1111</v>
      </c>
      <c r="F534" s="384">
        <f ca="1">IF(ROWS($1:520)&gt;COUNT(Dong5),0,IF(OFFSET(TH!N$1,SMALL(Dong5,ROWS($1:520)),)=$E$7,OFFSET(TH!M$1,SMALL(Dong5,ROWS($1:520)),),0))</f>
        <v>78349</v>
      </c>
      <c r="G534" s="382">
        <f ca="1">IF(ROWS($1:520)&gt;COUNT(Dong5),0,IF(OFFSET(TH!O$1,SMALL(Dong5,ROWS($1:520)),)=$E$7,OFFSET(TH!M$1,SMALL(Dong5,ROWS($1:520)),),0))</f>
        <v>0</v>
      </c>
      <c r="H534" s="385">
        <f ca="1">IF(D534&lt;&gt;"",MAX(H533+F534-G534-I533,0),0)</f>
        <v>385219588</v>
      </c>
      <c r="I534" s="385">
        <f ca="1">IF(D534&lt;&gt;"",MAX(I533+G534-H533-F534,0),0)</f>
        <v>0</v>
      </c>
      <c r="J534" s="18">
        <f ca="1">MONTH(A534)</f>
        <v>8</v>
      </c>
    </row>
    <row r="535" spans="1:10" s="18" customFormat="1" ht="18" customHeight="1">
      <c r="A535" s="318">
        <f ca="1">IF(ROWS($1:521)&gt;COUNT(Dong5),"",OFFSET(TH!C$1,SMALL(Dong5,ROWS($1:521)),))</f>
        <v>42598</v>
      </c>
      <c r="B535" s="318" t="str">
        <f ca="1">IF(ROWS($1:521)&gt;COUNT(Dong5),"",OFFSET(TH!D$1,SMALL(Dong5,ROWS($1:521)),))</f>
        <v>GBN</v>
      </c>
      <c r="C535" s="318">
        <f ca="1">IF(ROWS($1:521)&gt;COUNT(Dong5),"",OFFSET(TH!E$1,SMALL(Dong5,ROWS($1:521)),))</f>
        <v>42598</v>
      </c>
      <c r="D535" s="383" t="str">
        <f ca="1">IF(ROWS($1:521)&gt;COUNT(Dong5),"",OFFSET(TH!F$1,SMALL(Dong5,ROWS($1:521)),))</f>
        <v>VAT Phí dịch vụ thông báo số dư tự động</v>
      </c>
      <c r="E535" s="318" t="str">
        <f ca="1">IF(ROWS($1:521)&gt;COUNT(Dong5),"",IF(OFFSET(TH!N$1,SMALL(Dong5,ROWS($1:521)),)=$E$7,OFFSET(TH!O$1,SMALL(Dong5,ROWS($1:521)),),OFFSET(TH!N$1,SMALL(Dong5,ROWS($1:521)),)))</f>
        <v>1121</v>
      </c>
      <c r="F535" s="384">
        <f ca="1">IF(ROWS($1:521)&gt;COUNT(Dong5),0,IF(OFFSET(TH!N$1,SMALL(Dong5,ROWS($1:521)),)=$E$7,OFFSET(TH!M$1,SMALL(Dong5,ROWS($1:521)),),0))</f>
        <v>5000</v>
      </c>
      <c r="G535" s="382">
        <f ca="1">IF(ROWS($1:521)&gt;COUNT(Dong5),0,IF(OFFSET(TH!O$1,SMALL(Dong5,ROWS($1:521)),)=$E$7,OFFSET(TH!M$1,SMALL(Dong5,ROWS($1:521)),),0))</f>
        <v>0</v>
      </c>
      <c r="H535" s="385">
        <f ca="1">IF(D535&lt;&gt;"",MAX(H534+F535-G535-I534,0),0)</f>
        <v>385224588</v>
      </c>
      <c r="I535" s="385">
        <f ca="1">IF(D535&lt;&gt;"",MAX(I534+G535-H534-F535,0),0)</f>
        <v>0</v>
      </c>
      <c r="J535" s="18">
        <f ca="1">MONTH(A535)</f>
        <v>8</v>
      </c>
    </row>
    <row r="536" spans="1:10" s="18" customFormat="1" ht="18" customHeight="1">
      <c r="A536" s="318">
        <f ca="1">IF(ROWS($1:522)&gt;COUNT(Dong5),"",OFFSET(TH!C$1,SMALL(Dong5,ROWS($1:522)),))</f>
        <v>42598</v>
      </c>
      <c r="B536" s="318" t="str">
        <f ca="1">IF(ROWS($1:522)&gt;COUNT(Dong5),"",OFFSET(TH!D$1,SMALL(Dong5,ROWS($1:522)),))</f>
        <v>GBN</v>
      </c>
      <c r="C536" s="318">
        <f ca="1">IF(ROWS($1:522)&gt;COUNT(Dong5),"",OFFSET(TH!E$1,SMALL(Dong5,ROWS($1:522)),))</f>
        <v>42598</v>
      </c>
      <c r="D536" s="383" t="str">
        <f ca="1">IF(ROWS($1:522)&gt;COUNT(Dong5),"",OFFSET(TH!F$1,SMALL(Dong5,ROWS($1:522)),))</f>
        <v>VAT Phí dịch vụ thông báo số dư tự động</v>
      </c>
      <c r="E536" s="318" t="str">
        <f ca="1">IF(ROWS($1:522)&gt;COUNT(Dong5),"",IF(OFFSET(TH!N$1,SMALL(Dong5,ROWS($1:522)),)=$E$7,OFFSET(TH!O$1,SMALL(Dong5,ROWS($1:522)),),OFFSET(TH!N$1,SMALL(Dong5,ROWS($1:522)),)))</f>
        <v>1121</v>
      </c>
      <c r="F536" s="384">
        <f ca="1">IF(ROWS($1:522)&gt;COUNT(Dong5),0,IF(OFFSET(TH!N$1,SMALL(Dong5,ROWS($1:522)),)=$E$7,OFFSET(TH!M$1,SMALL(Dong5,ROWS($1:522)),),0))</f>
        <v>5000</v>
      </c>
      <c r="G536" s="382">
        <f ca="1">IF(ROWS($1:522)&gt;COUNT(Dong5),0,IF(OFFSET(TH!O$1,SMALL(Dong5,ROWS($1:522)),)=$E$7,OFFSET(TH!M$1,SMALL(Dong5,ROWS($1:522)),),0))</f>
        <v>0</v>
      </c>
      <c r="H536" s="385">
        <f ca="1">IF(D536&lt;&gt;"",MAX(H535+F536-G536-I535,0),0)</f>
        <v>385229588</v>
      </c>
      <c r="I536" s="385">
        <f ca="1">IF(D536&lt;&gt;"",MAX(I535+G536-H535-F536,0),0)</f>
        <v>0</v>
      </c>
      <c r="J536" s="18">
        <f ca="1">MONTH(A536)</f>
        <v>8</v>
      </c>
    </row>
    <row r="537" spans="1:10" s="18" customFormat="1" ht="18" customHeight="1">
      <c r="A537" s="318">
        <f ca="1">IF(ROWS($1:523)&gt;COUNT(Dong5),"",OFFSET(TH!C$1,SMALL(Dong5,ROWS($1:523)),))</f>
        <v>42599</v>
      </c>
      <c r="B537" s="318" t="str">
        <f ca="1">IF(ROWS($1:523)&gt;COUNT(Dong5),"",OFFSET(TH!D$1,SMALL(Dong5,ROWS($1:523)),))</f>
        <v>C17</v>
      </c>
      <c r="C537" s="318">
        <f ca="1">IF(ROWS($1:523)&gt;COUNT(Dong5),"",OFFSET(TH!E$1,SMALL(Dong5,ROWS($1:523)),))</f>
        <v>42599</v>
      </c>
      <c r="D537" s="383" t="str">
        <f ca="1">IF(ROWS($1:523)&gt;COUNT(Dong5),"",OFFSET(TH!F$1,SMALL(Dong5,ROWS($1:523)),))</f>
        <v>VAT Dầu DO</v>
      </c>
      <c r="E537" s="318" t="str">
        <f ca="1">IF(ROWS($1:523)&gt;COUNT(Dong5),"",IF(OFFSET(TH!N$1,SMALL(Dong5,ROWS($1:523)),)=$E$7,OFFSET(TH!O$1,SMALL(Dong5,ROWS($1:523)),),OFFSET(TH!N$1,SMALL(Dong5,ROWS($1:523)),)))</f>
        <v>1111</v>
      </c>
      <c r="F537" s="384">
        <f ca="1">IF(ROWS($1:523)&gt;COUNT(Dong5),0,IF(OFFSET(TH!N$1,SMALL(Dong5,ROWS($1:523)),)=$E$7,OFFSET(TH!M$1,SMALL(Dong5,ROWS($1:523)),),0))</f>
        <v>61480</v>
      </c>
      <c r="G537" s="382">
        <f ca="1">IF(ROWS($1:523)&gt;COUNT(Dong5),0,IF(OFFSET(TH!O$1,SMALL(Dong5,ROWS($1:523)),)=$E$7,OFFSET(TH!M$1,SMALL(Dong5,ROWS($1:523)),),0))</f>
        <v>0</v>
      </c>
      <c r="H537" s="385">
        <f ca="1">IF(D537&lt;&gt;"",MAX(H536+F537-G537-I536,0),0)</f>
        <v>385291068</v>
      </c>
      <c r="I537" s="385">
        <f ca="1">IF(D537&lt;&gt;"",MAX(I536+G537-H536-F537,0),0)</f>
        <v>0</v>
      </c>
      <c r="J537" s="18">
        <f ca="1">MONTH(A537)</f>
        <v>8</v>
      </c>
    </row>
    <row r="538" spans="1:10" s="18" customFormat="1" ht="18" customHeight="1">
      <c r="A538" s="318">
        <f ca="1">IF(ROWS($1:524)&gt;COUNT(Dong5),"",OFFSET(TH!C$1,SMALL(Dong5,ROWS($1:524)),))</f>
        <v>42600</v>
      </c>
      <c r="B538" s="318" t="str">
        <f ca="1">IF(ROWS($1:524)&gt;COUNT(Dong5),"",OFFSET(TH!D$1,SMALL(Dong5,ROWS($1:524)),))</f>
        <v>C18</v>
      </c>
      <c r="C538" s="318">
        <f ca="1">IF(ROWS($1:524)&gt;COUNT(Dong5),"",OFFSET(TH!E$1,SMALL(Dong5,ROWS($1:524)),))</f>
        <v>42600</v>
      </c>
      <c r="D538" s="383" t="str">
        <f ca="1">IF(ROWS($1:524)&gt;COUNT(Dong5),"",OFFSET(TH!F$1,SMALL(Dong5,ROWS($1:524)),))</f>
        <v>VAT Xăng 95</v>
      </c>
      <c r="E538" s="318" t="str">
        <f ca="1">IF(ROWS($1:524)&gt;COUNT(Dong5),"",IF(OFFSET(TH!N$1,SMALL(Dong5,ROWS($1:524)),)=$E$7,OFFSET(TH!O$1,SMALL(Dong5,ROWS($1:524)),),OFFSET(TH!N$1,SMALL(Dong5,ROWS($1:524)),)))</f>
        <v>1111</v>
      </c>
      <c r="F538" s="384">
        <f ca="1">IF(ROWS($1:524)&gt;COUNT(Dong5),0,IF(OFFSET(TH!N$1,SMALL(Dong5,ROWS($1:524)),)=$E$7,OFFSET(TH!M$1,SMALL(Dong5,ROWS($1:524)),),0))</f>
        <v>40574</v>
      </c>
      <c r="G538" s="382">
        <f ca="1">IF(ROWS($1:524)&gt;COUNT(Dong5),0,IF(OFFSET(TH!O$1,SMALL(Dong5,ROWS($1:524)),)=$E$7,OFFSET(TH!M$1,SMALL(Dong5,ROWS($1:524)),),0))</f>
        <v>0</v>
      </c>
      <c r="H538" s="385">
        <f ca="1">IF(D538&lt;&gt;"",MAX(H537+F538-G538-I537,0),0)</f>
        <v>385331642</v>
      </c>
      <c r="I538" s="385">
        <f ca="1">IF(D538&lt;&gt;"",MAX(I537+G538-H537-F538,0),0)</f>
        <v>0</v>
      </c>
      <c r="J538" s="18">
        <f ca="1">MONTH(A538)</f>
        <v>8</v>
      </c>
    </row>
    <row r="539" spans="1:10" s="18" customFormat="1" ht="18" customHeight="1">
      <c r="A539" s="318">
        <f ca="1">IF(ROWS($1:525)&gt;COUNT(Dong5),"",OFFSET(TH!C$1,SMALL(Dong5,ROWS($1:525)),))</f>
        <v>42601</v>
      </c>
      <c r="B539" s="318" t="str">
        <f ca="1">IF(ROWS($1:525)&gt;COUNT(Dong5),"",OFFSET(TH!D$1,SMALL(Dong5,ROWS($1:525)),))</f>
        <v>GBN</v>
      </c>
      <c r="C539" s="318">
        <f ca="1">IF(ROWS($1:525)&gt;COUNT(Dong5),"",OFFSET(TH!E$1,SMALL(Dong5,ROWS($1:525)),))</f>
        <v>42601</v>
      </c>
      <c r="D539" s="383" t="str">
        <f ca="1">IF(ROWS($1:525)&gt;COUNT(Dong5),"",OFFSET(TH!F$1,SMALL(Dong5,ROWS($1:525)),))</f>
        <v>VAT Phí kiểm đếm</v>
      </c>
      <c r="E539" s="318" t="str">
        <f ca="1">IF(ROWS($1:525)&gt;COUNT(Dong5),"",IF(OFFSET(TH!N$1,SMALL(Dong5,ROWS($1:525)),)=$E$7,OFFSET(TH!O$1,SMALL(Dong5,ROWS($1:525)),),OFFSET(TH!N$1,SMALL(Dong5,ROWS($1:525)),)))</f>
        <v>1121</v>
      </c>
      <c r="F539" s="384">
        <f ca="1">IF(ROWS($1:525)&gt;COUNT(Dong5),0,IF(OFFSET(TH!N$1,SMALL(Dong5,ROWS($1:525)),)=$E$7,OFFSET(TH!M$1,SMALL(Dong5,ROWS($1:525)),),0))</f>
        <v>1000</v>
      </c>
      <c r="G539" s="382">
        <f ca="1">IF(ROWS($1:525)&gt;COUNT(Dong5),0,IF(OFFSET(TH!O$1,SMALL(Dong5,ROWS($1:525)),)=$E$7,OFFSET(TH!M$1,SMALL(Dong5,ROWS($1:525)),),0))</f>
        <v>0</v>
      </c>
      <c r="H539" s="385">
        <f ca="1">IF(D539&lt;&gt;"",MAX(H538+F539-G539-I538,0),0)</f>
        <v>385332642</v>
      </c>
      <c r="I539" s="385">
        <f ca="1">IF(D539&lt;&gt;"",MAX(I538+G539-H538-F539,0),0)</f>
        <v>0</v>
      </c>
      <c r="J539" s="18">
        <f ca="1">MONTH(A539)</f>
        <v>8</v>
      </c>
    </row>
    <row r="540" spans="1:10" s="18" customFormat="1" ht="18" customHeight="1">
      <c r="A540" s="318">
        <f ca="1">IF(ROWS($1:526)&gt;COUNT(Dong5),"",OFFSET(TH!C$1,SMALL(Dong5,ROWS($1:526)),))</f>
        <v>42601</v>
      </c>
      <c r="B540" s="318" t="str">
        <f ca="1">IF(ROWS($1:526)&gt;COUNT(Dong5),"",OFFSET(TH!D$1,SMALL(Dong5,ROWS($1:526)),))</f>
        <v>GBN</v>
      </c>
      <c r="C540" s="318">
        <f ca="1">IF(ROWS($1:526)&gt;COUNT(Dong5),"",OFFSET(TH!E$1,SMALL(Dong5,ROWS($1:526)),))</f>
        <v>42601</v>
      </c>
      <c r="D540" s="383" t="str">
        <f ca="1">IF(ROWS($1:526)&gt;COUNT(Dong5),"",OFFSET(TH!F$1,SMALL(Dong5,ROWS($1:526)),))</f>
        <v>VAT Phí chuyển tiền</v>
      </c>
      <c r="E540" s="318" t="str">
        <f ca="1">IF(ROWS($1:526)&gt;COUNT(Dong5),"",IF(OFFSET(TH!N$1,SMALL(Dong5,ROWS($1:526)),)=$E$7,OFFSET(TH!O$1,SMALL(Dong5,ROWS($1:526)),),OFFSET(TH!N$1,SMALL(Dong5,ROWS($1:526)),)))</f>
        <v>1121</v>
      </c>
      <c r="F540" s="384">
        <f ca="1">IF(ROWS($1:526)&gt;COUNT(Dong5),0,IF(OFFSET(TH!N$1,SMALL(Dong5,ROWS($1:526)),)=$E$7,OFFSET(TH!M$1,SMALL(Dong5,ROWS($1:526)),),0))</f>
        <v>15000</v>
      </c>
      <c r="G540" s="382">
        <f ca="1">IF(ROWS($1:526)&gt;COUNT(Dong5),0,IF(OFFSET(TH!O$1,SMALL(Dong5,ROWS($1:526)),)=$E$7,OFFSET(TH!M$1,SMALL(Dong5,ROWS($1:526)),),0))</f>
        <v>0</v>
      </c>
      <c r="H540" s="385">
        <f ca="1">IF(D540&lt;&gt;"",MAX(H539+F540-G540-I539,0),0)</f>
        <v>385347642</v>
      </c>
      <c r="I540" s="385">
        <f ca="1">IF(D540&lt;&gt;"",MAX(I539+G540-H539-F540,0),0)</f>
        <v>0</v>
      </c>
      <c r="J540" s="18">
        <f ca="1">MONTH(A540)</f>
        <v>8</v>
      </c>
    </row>
    <row r="541" spans="1:10" s="18" customFormat="1" ht="18" customHeight="1">
      <c r="A541" s="318">
        <f ca="1">IF(ROWS($1:527)&gt;COUNT(Dong5),"",OFFSET(TH!C$1,SMALL(Dong5,ROWS($1:527)),))</f>
        <v>42601</v>
      </c>
      <c r="B541" s="318" t="str">
        <f ca="1">IF(ROWS($1:527)&gt;COUNT(Dong5),"",OFFSET(TH!D$1,SMALL(Dong5,ROWS($1:527)),))</f>
        <v>GBN</v>
      </c>
      <c r="C541" s="318">
        <f ca="1">IF(ROWS($1:527)&gt;COUNT(Dong5),"",OFFSET(TH!E$1,SMALL(Dong5,ROWS($1:527)),))</f>
        <v>42601</v>
      </c>
      <c r="D541" s="383" t="str">
        <f ca="1">IF(ROWS($1:527)&gt;COUNT(Dong5),"",OFFSET(TH!F$1,SMALL(Dong5,ROWS($1:527)),))</f>
        <v>VAT Phí chuyển tiền</v>
      </c>
      <c r="E541" s="318" t="str">
        <f ca="1">IF(ROWS($1:527)&gt;COUNT(Dong5),"",IF(OFFSET(TH!N$1,SMALL(Dong5,ROWS($1:527)),)=$E$7,OFFSET(TH!O$1,SMALL(Dong5,ROWS($1:527)),),OFFSET(TH!N$1,SMALL(Dong5,ROWS($1:527)),)))</f>
        <v>1121</v>
      </c>
      <c r="F541" s="384">
        <f ca="1">IF(ROWS($1:527)&gt;COUNT(Dong5),0,IF(OFFSET(TH!N$1,SMALL(Dong5,ROWS($1:527)),)=$E$7,OFFSET(TH!M$1,SMALL(Dong5,ROWS($1:527)),),0))</f>
        <v>2000</v>
      </c>
      <c r="G541" s="382">
        <f ca="1">IF(ROWS($1:527)&gt;COUNT(Dong5),0,IF(OFFSET(TH!O$1,SMALL(Dong5,ROWS($1:527)),)=$E$7,OFFSET(TH!M$1,SMALL(Dong5,ROWS($1:527)),),0))</f>
        <v>0</v>
      </c>
      <c r="H541" s="385">
        <f ca="1">IF(D541&lt;&gt;"",MAX(H540+F541-G541-I540,0),0)</f>
        <v>385349642</v>
      </c>
      <c r="I541" s="385">
        <f ca="1">IF(D541&lt;&gt;"",MAX(I540+G541-H540-F541,0),0)</f>
        <v>0</v>
      </c>
      <c r="J541" s="18">
        <f ca="1">MONTH(A541)</f>
        <v>8</v>
      </c>
    </row>
    <row r="542" spans="1:10" s="18" customFormat="1" ht="18" customHeight="1">
      <c r="A542" s="318">
        <f ca="1">IF(ROWS($1:528)&gt;COUNT(Dong5),"",OFFSET(TH!C$1,SMALL(Dong5,ROWS($1:528)),))</f>
        <v>42693</v>
      </c>
      <c r="B542" s="318" t="str">
        <f ca="1">IF(ROWS($1:528)&gt;COUNT(Dong5),"",OFFSET(TH!D$1,SMALL(Dong5,ROWS($1:528)),))</f>
        <v>VL/N09</v>
      </c>
      <c r="C542" s="318">
        <f ca="1">IF(ROWS($1:528)&gt;COUNT(Dong5),"",OFFSET(TH!E$1,SMALL(Dong5,ROWS($1:528)),))</f>
        <v>42693</v>
      </c>
      <c r="D542" s="383" t="str">
        <f ca="1">IF(ROWS($1:528)&gt;COUNT(Dong5),"",OFFSET(TH!F$1,SMALL(Dong5,ROWS($1:528)),))</f>
        <v>VAT Hộp ghẹ</v>
      </c>
      <c r="E542" s="318" t="str">
        <f ca="1">IF(ROWS($1:528)&gt;COUNT(Dong5),"",IF(OFFSET(TH!N$1,SMALL(Dong5,ROWS($1:528)),)=$E$7,OFFSET(TH!O$1,SMALL(Dong5,ROWS($1:528)),),OFFSET(TH!N$1,SMALL(Dong5,ROWS($1:528)),)))</f>
        <v>331</v>
      </c>
      <c r="F542" s="384">
        <f ca="1">IF(ROWS($1:528)&gt;COUNT(Dong5),0,IF(OFFSET(TH!N$1,SMALL(Dong5,ROWS($1:528)),)=$E$7,OFFSET(TH!M$1,SMALL(Dong5,ROWS($1:528)),),0))</f>
        <v>3500000</v>
      </c>
      <c r="G542" s="382">
        <f ca="1">IF(ROWS($1:528)&gt;COUNT(Dong5),0,IF(OFFSET(TH!O$1,SMALL(Dong5,ROWS($1:528)),)=$E$7,OFFSET(TH!M$1,SMALL(Dong5,ROWS($1:528)),),0))</f>
        <v>0</v>
      </c>
      <c r="H542" s="385">
        <f ca="1">IF(D542&lt;&gt;"",MAX(H541+F542-G542-I541,0),0)</f>
        <v>388849642</v>
      </c>
      <c r="I542" s="385">
        <f ca="1">IF(D542&lt;&gt;"",MAX(I541+G542-H541-F542,0),0)</f>
        <v>0</v>
      </c>
      <c r="J542" s="18">
        <f ca="1">MONTH(A542)</f>
        <v>11</v>
      </c>
    </row>
    <row r="543" spans="1:10" s="18" customFormat="1" ht="18" customHeight="1">
      <c r="A543" s="318">
        <f ca="1">IF(ROWS($1:529)&gt;COUNT(Dong5),"",OFFSET(TH!C$1,SMALL(Dong5,ROWS($1:529)),))</f>
        <v>42601</v>
      </c>
      <c r="B543" s="318" t="str">
        <f ca="1">IF(ROWS($1:529)&gt;COUNT(Dong5),"",OFFSET(TH!D$1,SMALL(Dong5,ROWS($1:529)),))</f>
        <v>GBN</v>
      </c>
      <c r="C543" s="318">
        <f ca="1">IF(ROWS($1:529)&gt;COUNT(Dong5),"",OFFSET(TH!E$1,SMALL(Dong5,ROWS($1:529)),))</f>
        <v>42601</v>
      </c>
      <c r="D543" s="383" t="str">
        <f ca="1">IF(ROWS($1:529)&gt;COUNT(Dong5),"",OFFSET(TH!F$1,SMALL(Dong5,ROWS($1:529)),))</f>
        <v>VAT Phí chuyển tiền</v>
      </c>
      <c r="E543" s="318" t="str">
        <f ca="1">IF(ROWS($1:529)&gt;COUNT(Dong5),"",IF(OFFSET(TH!N$1,SMALL(Dong5,ROWS($1:529)),)=$E$7,OFFSET(TH!O$1,SMALL(Dong5,ROWS($1:529)),),OFFSET(TH!N$1,SMALL(Dong5,ROWS($1:529)),)))</f>
        <v>1121</v>
      </c>
      <c r="F543" s="384">
        <f ca="1">IF(ROWS($1:529)&gt;COUNT(Dong5),0,IF(OFFSET(TH!N$1,SMALL(Dong5,ROWS($1:529)),)=$E$7,OFFSET(TH!M$1,SMALL(Dong5,ROWS($1:529)),),0))</f>
        <v>2000</v>
      </c>
      <c r="G543" s="382">
        <f ca="1">IF(ROWS($1:529)&gt;COUNT(Dong5),0,IF(OFFSET(TH!O$1,SMALL(Dong5,ROWS($1:529)),)=$E$7,OFFSET(TH!M$1,SMALL(Dong5,ROWS($1:529)),),0))</f>
        <v>0</v>
      </c>
      <c r="H543" s="385">
        <f ca="1">IF(D543&lt;&gt;"",MAX(H542+F543-G543-I542,0),0)</f>
        <v>388851642</v>
      </c>
      <c r="I543" s="385">
        <f ca="1">IF(D543&lt;&gt;"",MAX(I542+G543-H542-F543,0),0)</f>
        <v>0</v>
      </c>
      <c r="J543" s="18">
        <f ca="1">MONTH(A543)</f>
        <v>8</v>
      </c>
    </row>
    <row r="544" spans="1:10" s="18" customFormat="1" ht="18" customHeight="1">
      <c r="A544" s="318">
        <f ca="1">IF(ROWS($1:530)&gt;COUNT(Dong5),"",OFFSET(TH!C$1,SMALL(Dong5,ROWS($1:530)),))</f>
        <v>42601</v>
      </c>
      <c r="B544" s="318" t="str">
        <f ca="1">IF(ROWS($1:530)&gt;COUNT(Dong5),"",OFFSET(TH!D$1,SMALL(Dong5,ROWS($1:530)),))</f>
        <v>GBN</v>
      </c>
      <c r="C544" s="318">
        <f ca="1">IF(ROWS($1:530)&gt;COUNT(Dong5),"",OFFSET(TH!E$1,SMALL(Dong5,ROWS($1:530)),))</f>
        <v>42601</v>
      </c>
      <c r="D544" s="383" t="str">
        <f ca="1">IF(ROWS($1:530)&gt;COUNT(Dong5),"",OFFSET(TH!F$1,SMALL(Dong5,ROWS($1:530)),))</f>
        <v>VAT Phí chuyển tiền</v>
      </c>
      <c r="E544" s="318" t="str">
        <f ca="1">IF(ROWS($1:530)&gt;COUNT(Dong5),"",IF(OFFSET(TH!N$1,SMALL(Dong5,ROWS($1:530)),)=$E$7,OFFSET(TH!O$1,SMALL(Dong5,ROWS($1:530)),),OFFSET(TH!N$1,SMALL(Dong5,ROWS($1:530)),)))</f>
        <v>1121</v>
      </c>
      <c r="F544" s="384">
        <f ca="1">IF(ROWS($1:530)&gt;COUNT(Dong5),0,IF(OFFSET(TH!N$1,SMALL(Dong5,ROWS($1:530)),)=$E$7,OFFSET(TH!M$1,SMALL(Dong5,ROWS($1:530)),),0))</f>
        <v>2000</v>
      </c>
      <c r="G544" s="382">
        <f ca="1">IF(ROWS($1:530)&gt;COUNT(Dong5),0,IF(OFFSET(TH!O$1,SMALL(Dong5,ROWS($1:530)),)=$E$7,OFFSET(TH!M$1,SMALL(Dong5,ROWS($1:530)),),0))</f>
        <v>0</v>
      </c>
      <c r="H544" s="385">
        <f ca="1">IF(D544&lt;&gt;"",MAX(H543+F544-G544-I543,0),0)</f>
        <v>388853642</v>
      </c>
      <c r="I544" s="385">
        <f ca="1">IF(D544&lt;&gt;"",MAX(I543+G544-H543-F544,0),0)</f>
        <v>0</v>
      </c>
      <c r="J544" s="18">
        <f ca="1">MONTH(A544)</f>
        <v>8</v>
      </c>
    </row>
    <row r="545" spans="1:10" s="18" customFormat="1" ht="18" customHeight="1">
      <c r="A545" s="318">
        <f ca="1">IF(ROWS($1:531)&gt;COUNT(Dong5),"",OFFSET(TH!C$1,SMALL(Dong5,ROWS($1:531)),))</f>
        <v>42601</v>
      </c>
      <c r="B545" s="318" t="str">
        <f ca="1">IF(ROWS($1:531)&gt;COUNT(Dong5),"",OFFSET(TH!D$1,SMALL(Dong5,ROWS($1:531)),))</f>
        <v>GBN</v>
      </c>
      <c r="C545" s="318">
        <f ca="1">IF(ROWS($1:531)&gt;COUNT(Dong5),"",OFFSET(TH!E$1,SMALL(Dong5,ROWS($1:531)),))</f>
        <v>42601</v>
      </c>
      <c r="D545" s="383" t="str">
        <f ca="1">IF(ROWS($1:531)&gt;COUNT(Dong5),"",OFFSET(TH!F$1,SMALL(Dong5,ROWS($1:531)),))</f>
        <v>VAT Phí chuyển tiền</v>
      </c>
      <c r="E545" s="318" t="str">
        <f ca="1">IF(ROWS($1:531)&gt;COUNT(Dong5),"",IF(OFFSET(TH!N$1,SMALL(Dong5,ROWS($1:531)),)=$E$7,OFFSET(TH!O$1,SMALL(Dong5,ROWS($1:531)),),OFFSET(TH!N$1,SMALL(Dong5,ROWS($1:531)),)))</f>
        <v>1121</v>
      </c>
      <c r="F545" s="384">
        <f ca="1">IF(ROWS($1:531)&gt;COUNT(Dong5),0,IF(OFFSET(TH!N$1,SMALL(Dong5,ROWS($1:531)),)=$E$7,OFFSET(TH!M$1,SMALL(Dong5,ROWS($1:531)),),0))</f>
        <v>2000</v>
      </c>
      <c r="G545" s="382">
        <f ca="1">IF(ROWS($1:531)&gt;COUNT(Dong5),0,IF(OFFSET(TH!O$1,SMALL(Dong5,ROWS($1:531)),)=$E$7,OFFSET(TH!M$1,SMALL(Dong5,ROWS($1:531)),),0))</f>
        <v>0</v>
      </c>
      <c r="H545" s="385">
        <f ca="1">IF(D545&lt;&gt;"",MAX(H544+F545-G545-I544,0),0)</f>
        <v>388855642</v>
      </c>
      <c r="I545" s="385">
        <f ca="1">IF(D545&lt;&gt;"",MAX(I544+G545-H544-F545,0),0)</f>
        <v>0</v>
      </c>
      <c r="J545" s="18">
        <f ca="1">MONTH(A545)</f>
        <v>8</v>
      </c>
    </row>
    <row r="546" spans="1:10" s="18" customFormat="1" ht="18" customHeight="1">
      <c r="A546" s="318">
        <f ca="1">IF(ROWS($1:532)&gt;COUNT(Dong5),"",OFFSET(TH!C$1,SMALL(Dong5,ROWS($1:532)),))</f>
        <v>42690</v>
      </c>
      <c r="B546" s="318" t="str">
        <f ca="1">IF(ROWS($1:532)&gt;COUNT(Dong5),"",OFFSET(TH!D$1,SMALL(Dong5,ROWS($1:532)),))</f>
        <v>CTGS</v>
      </c>
      <c r="C546" s="318">
        <f ca="1">IF(ROWS($1:532)&gt;COUNT(Dong5),"",OFFSET(TH!E$1,SMALL(Dong5,ROWS($1:532)),))</f>
        <v>42690</v>
      </c>
      <c r="D546" s="383" t="str">
        <f ca="1">IF(ROWS($1:532)&gt;COUNT(Dong5),"",OFFSET(TH!F$1,SMALL(Dong5,ROWS($1:532)),))</f>
        <v>VAT Tiền điện kỳ 2 T11/2016</v>
      </c>
      <c r="E546" s="318" t="str">
        <f ca="1">IF(ROWS($1:532)&gt;COUNT(Dong5),"",IF(OFFSET(TH!N$1,SMALL(Dong5,ROWS($1:532)),)=$E$7,OFFSET(TH!O$1,SMALL(Dong5,ROWS($1:532)),),OFFSET(TH!N$1,SMALL(Dong5,ROWS($1:532)),)))</f>
        <v>331</v>
      </c>
      <c r="F546" s="384">
        <f ca="1">IF(ROWS($1:532)&gt;COUNT(Dong5),0,IF(OFFSET(TH!N$1,SMALL(Dong5,ROWS($1:532)),)=$E$7,OFFSET(TH!M$1,SMALL(Dong5,ROWS($1:532)),),0))</f>
        <v>3107920</v>
      </c>
      <c r="G546" s="382">
        <f ca="1">IF(ROWS($1:532)&gt;COUNT(Dong5),0,IF(OFFSET(TH!O$1,SMALL(Dong5,ROWS($1:532)),)=$E$7,OFFSET(TH!M$1,SMALL(Dong5,ROWS($1:532)),),0))</f>
        <v>0</v>
      </c>
      <c r="H546" s="385">
        <f ca="1">IF(D546&lt;&gt;"",MAX(H545+F546-G546-I545,0),0)</f>
        <v>391963562</v>
      </c>
      <c r="I546" s="385">
        <f ca="1">IF(D546&lt;&gt;"",MAX(I545+G546-H545-F546,0),0)</f>
        <v>0</v>
      </c>
      <c r="J546" s="18">
        <f ca="1">MONTH(A546)</f>
        <v>11</v>
      </c>
    </row>
    <row r="547" spans="1:10" s="18" customFormat="1" ht="18" customHeight="1">
      <c r="A547" s="318">
        <f ca="1">IF(ROWS($1:533)&gt;COUNT(Dong5),"",OFFSET(TH!C$1,SMALL(Dong5,ROWS($1:533)),))</f>
        <v>42601</v>
      </c>
      <c r="B547" s="318" t="str">
        <f ca="1">IF(ROWS($1:533)&gt;COUNT(Dong5),"",OFFSET(TH!D$1,SMALL(Dong5,ROWS($1:533)),))</f>
        <v>GBN</v>
      </c>
      <c r="C547" s="318">
        <f ca="1">IF(ROWS($1:533)&gt;COUNT(Dong5),"",OFFSET(TH!E$1,SMALL(Dong5,ROWS($1:533)),))</f>
        <v>42601</v>
      </c>
      <c r="D547" s="383" t="str">
        <f ca="1">IF(ROWS($1:533)&gt;COUNT(Dong5),"",OFFSET(TH!F$1,SMALL(Dong5,ROWS($1:533)),))</f>
        <v>VAT Phí chuyển tiền</v>
      </c>
      <c r="E547" s="318" t="str">
        <f ca="1">IF(ROWS($1:533)&gt;COUNT(Dong5),"",IF(OFFSET(TH!N$1,SMALL(Dong5,ROWS($1:533)),)=$E$7,OFFSET(TH!O$1,SMALL(Dong5,ROWS($1:533)),),OFFSET(TH!N$1,SMALL(Dong5,ROWS($1:533)),)))</f>
        <v>1121</v>
      </c>
      <c r="F547" s="384">
        <f ca="1">IF(ROWS($1:533)&gt;COUNT(Dong5),0,IF(OFFSET(TH!N$1,SMALL(Dong5,ROWS($1:533)),)=$E$7,OFFSET(TH!M$1,SMALL(Dong5,ROWS($1:533)),),0))</f>
        <v>2000</v>
      </c>
      <c r="G547" s="382">
        <f ca="1">IF(ROWS($1:533)&gt;COUNT(Dong5),0,IF(OFFSET(TH!O$1,SMALL(Dong5,ROWS($1:533)),)=$E$7,OFFSET(TH!M$1,SMALL(Dong5,ROWS($1:533)),),0))</f>
        <v>0</v>
      </c>
      <c r="H547" s="385">
        <f ca="1">IF(D547&lt;&gt;"",MAX(H546+F547-G547-I546,0),0)</f>
        <v>391965562</v>
      </c>
      <c r="I547" s="385">
        <f ca="1">IF(D547&lt;&gt;"",MAX(I546+G547-H546-F547,0),0)</f>
        <v>0</v>
      </c>
      <c r="J547" s="18">
        <f ca="1">MONTH(A547)</f>
        <v>8</v>
      </c>
    </row>
    <row r="548" spans="1:10" s="18" customFormat="1" ht="18" customHeight="1">
      <c r="A548" s="318">
        <f ca="1">IF(ROWS($1:534)&gt;COUNT(Dong5),"",OFFSET(TH!C$1,SMALL(Dong5,ROWS($1:534)),))</f>
        <v>42722</v>
      </c>
      <c r="B548" s="318" t="str">
        <f ca="1">IF(ROWS($1:534)&gt;COUNT(Dong5),"",OFFSET(TH!D$1,SMALL(Dong5,ROWS($1:534)),))</f>
        <v>CTGS</v>
      </c>
      <c r="C548" s="318">
        <f ca="1">IF(ROWS($1:534)&gt;COUNT(Dong5),"",OFFSET(TH!E$1,SMALL(Dong5,ROWS($1:534)),))</f>
        <v>42722</v>
      </c>
      <c r="D548" s="383" t="str">
        <f ca="1">IF(ROWS($1:534)&gt;COUNT(Dong5),"",OFFSET(TH!F$1,SMALL(Dong5,ROWS($1:534)),))</f>
        <v>VAT Phí gia công</v>
      </c>
      <c r="E548" s="318" t="str">
        <f ca="1">IF(ROWS($1:534)&gt;COUNT(Dong5),"",IF(OFFSET(TH!N$1,SMALL(Dong5,ROWS($1:534)),)=$E$7,OFFSET(TH!O$1,SMALL(Dong5,ROWS($1:534)),),OFFSET(TH!N$1,SMALL(Dong5,ROWS($1:534)),)))</f>
        <v>331</v>
      </c>
      <c r="F548" s="384">
        <f ca="1">IF(ROWS($1:534)&gt;COUNT(Dong5),0,IF(OFFSET(TH!N$1,SMALL(Dong5,ROWS($1:534)),)=$E$7,OFFSET(TH!M$1,SMALL(Dong5,ROWS($1:534)),),0))</f>
        <v>26000000</v>
      </c>
      <c r="G548" s="382">
        <f ca="1">IF(ROWS($1:534)&gt;COUNT(Dong5),0,IF(OFFSET(TH!O$1,SMALL(Dong5,ROWS($1:534)),)=$E$7,OFFSET(TH!M$1,SMALL(Dong5,ROWS($1:534)),),0))</f>
        <v>0</v>
      </c>
      <c r="H548" s="385">
        <f ca="1">IF(D548&lt;&gt;"",MAX(H547+F548-G548-I547,0),0)</f>
        <v>417965562</v>
      </c>
      <c r="I548" s="385">
        <f ca="1">IF(D548&lt;&gt;"",MAX(I547+G548-H547-F548,0),0)</f>
        <v>0</v>
      </c>
      <c r="J548" s="18">
        <f ca="1">MONTH(A548)</f>
        <v>12</v>
      </c>
    </row>
    <row r="549" spans="1:10" s="18" customFormat="1" ht="18" customHeight="1">
      <c r="A549" s="318">
        <f ca="1">IF(ROWS($1:535)&gt;COUNT(Dong5),"",OFFSET(TH!C$1,SMALL(Dong5,ROWS($1:535)),))</f>
        <v>42605</v>
      </c>
      <c r="B549" s="318" t="str">
        <f ca="1">IF(ROWS($1:535)&gt;COUNT(Dong5),"",OFFSET(TH!D$1,SMALL(Dong5,ROWS($1:535)),))</f>
        <v>C20</v>
      </c>
      <c r="C549" s="318">
        <f ca="1">IF(ROWS($1:535)&gt;COUNT(Dong5),"",OFFSET(TH!E$1,SMALL(Dong5,ROWS($1:535)),))</f>
        <v>42605</v>
      </c>
      <c r="D549" s="383" t="str">
        <f ca="1">IF(ROWS($1:535)&gt;COUNT(Dong5),"",OFFSET(TH!F$1,SMALL(Dong5,ROWS($1:535)),))</f>
        <v>VAT Xăng 95</v>
      </c>
      <c r="E549" s="318" t="str">
        <f ca="1">IF(ROWS($1:535)&gt;COUNT(Dong5),"",IF(OFFSET(TH!N$1,SMALL(Dong5,ROWS($1:535)),)=$E$7,OFFSET(TH!O$1,SMALL(Dong5,ROWS($1:535)),),OFFSET(TH!N$1,SMALL(Dong5,ROWS($1:535)),)))</f>
        <v>1111</v>
      </c>
      <c r="F549" s="384">
        <f ca="1">IF(ROWS($1:535)&gt;COUNT(Dong5),0,IF(OFFSET(TH!N$1,SMALL(Dong5,ROWS($1:535)),)=$E$7,OFFSET(TH!M$1,SMALL(Dong5,ROWS($1:535)),),0))</f>
        <v>68663</v>
      </c>
      <c r="G549" s="382">
        <f ca="1">IF(ROWS($1:535)&gt;COUNT(Dong5),0,IF(OFFSET(TH!O$1,SMALL(Dong5,ROWS($1:535)),)=$E$7,OFFSET(TH!M$1,SMALL(Dong5,ROWS($1:535)),),0))</f>
        <v>0</v>
      </c>
      <c r="H549" s="385">
        <f ca="1">IF(D549&lt;&gt;"",MAX(H548+F549-G549-I548,0),0)</f>
        <v>418034225</v>
      </c>
      <c r="I549" s="385">
        <f ca="1">IF(D549&lt;&gt;"",MAX(I548+G549-H548-F549,0),0)</f>
        <v>0</v>
      </c>
      <c r="J549" s="18">
        <f ca="1">MONTH(A549)</f>
        <v>8</v>
      </c>
    </row>
    <row r="550" spans="1:10" s="18" customFormat="1" ht="18" customHeight="1">
      <c r="A550" s="318">
        <f ca="1">IF(ROWS($1:536)&gt;COUNT(Dong5),"",OFFSET(TH!C$1,SMALL(Dong5,ROWS($1:536)),))</f>
        <v>42606</v>
      </c>
      <c r="B550" s="318" t="str">
        <f ca="1">IF(ROWS($1:536)&gt;COUNT(Dong5),"",OFFSET(TH!D$1,SMALL(Dong5,ROWS($1:536)),))</f>
        <v>C21</v>
      </c>
      <c r="C550" s="318">
        <f ca="1">IF(ROWS($1:536)&gt;COUNT(Dong5),"",OFFSET(TH!E$1,SMALL(Dong5,ROWS($1:536)),))</f>
        <v>42606</v>
      </c>
      <c r="D550" s="383" t="str">
        <f ca="1">IF(ROWS($1:536)&gt;COUNT(Dong5),"",OFFSET(TH!F$1,SMALL(Dong5,ROWS($1:536)),))</f>
        <v>VAT Xăng 95</v>
      </c>
      <c r="E550" s="318" t="str">
        <f ca="1">IF(ROWS($1:536)&gt;COUNT(Dong5),"",IF(OFFSET(TH!N$1,SMALL(Dong5,ROWS($1:536)),)=$E$7,OFFSET(TH!O$1,SMALL(Dong5,ROWS($1:536)),),OFFSET(TH!N$1,SMALL(Dong5,ROWS($1:536)),)))</f>
        <v>1111</v>
      </c>
      <c r="F550" s="384">
        <f ca="1">IF(ROWS($1:536)&gt;COUNT(Dong5),0,IF(OFFSET(TH!N$1,SMALL(Dong5,ROWS($1:536)),)=$E$7,OFFSET(TH!M$1,SMALL(Dong5,ROWS($1:536)),),0))</f>
        <v>58436</v>
      </c>
      <c r="G550" s="382">
        <f ca="1">IF(ROWS($1:536)&gt;COUNT(Dong5),0,IF(OFFSET(TH!O$1,SMALL(Dong5,ROWS($1:536)),)=$E$7,OFFSET(TH!M$1,SMALL(Dong5,ROWS($1:536)),),0))</f>
        <v>0</v>
      </c>
      <c r="H550" s="385">
        <f ca="1">IF(D550&lt;&gt;"",MAX(H549+F550-G550-I549,0),0)</f>
        <v>418092661</v>
      </c>
      <c r="I550" s="385">
        <f ca="1">IF(D550&lt;&gt;"",MAX(I549+G550-H549-F550,0),0)</f>
        <v>0</v>
      </c>
      <c r="J550" s="18">
        <f ca="1">MONTH(A550)</f>
        <v>8</v>
      </c>
    </row>
    <row r="551" spans="1:10" s="18" customFormat="1" ht="18" customHeight="1">
      <c r="A551" s="318">
        <f ca="1">IF(ROWS($1:537)&gt;COUNT(Dong5),"",OFFSET(TH!C$1,SMALL(Dong5,ROWS($1:537)),))</f>
        <v>42606</v>
      </c>
      <c r="B551" s="318" t="str">
        <f ca="1">IF(ROWS($1:537)&gt;COUNT(Dong5),"",OFFSET(TH!D$1,SMALL(Dong5,ROWS($1:537)),))</f>
        <v>GBN</v>
      </c>
      <c r="C551" s="318">
        <f ca="1">IF(ROWS($1:537)&gt;COUNT(Dong5),"",OFFSET(TH!E$1,SMALL(Dong5,ROWS($1:537)),))</f>
        <v>42606</v>
      </c>
      <c r="D551" s="383" t="str">
        <f ca="1">IF(ROWS($1:537)&gt;COUNT(Dong5),"",OFFSET(TH!F$1,SMALL(Dong5,ROWS($1:537)),))</f>
        <v>VAT Phí chuyển tiền</v>
      </c>
      <c r="E551" s="318" t="str">
        <f ca="1">IF(ROWS($1:537)&gt;COUNT(Dong5),"",IF(OFFSET(TH!N$1,SMALL(Dong5,ROWS($1:537)),)=$E$7,OFFSET(TH!O$1,SMALL(Dong5,ROWS($1:537)),),OFFSET(TH!N$1,SMALL(Dong5,ROWS($1:537)),)))</f>
        <v>1121</v>
      </c>
      <c r="F551" s="384">
        <f ca="1">IF(ROWS($1:537)&gt;COUNT(Dong5),0,IF(OFFSET(TH!N$1,SMALL(Dong5,ROWS($1:537)),)=$E$7,OFFSET(TH!M$1,SMALL(Dong5,ROWS($1:537)),),0))</f>
        <v>4000</v>
      </c>
      <c r="G551" s="382">
        <f ca="1">IF(ROWS($1:537)&gt;COUNT(Dong5),0,IF(OFFSET(TH!O$1,SMALL(Dong5,ROWS($1:537)),)=$E$7,OFFSET(TH!M$1,SMALL(Dong5,ROWS($1:537)),),0))</f>
        <v>0</v>
      </c>
      <c r="H551" s="385">
        <f ca="1">IF(D551&lt;&gt;"",MAX(H550+F551-G551-I550,0),0)</f>
        <v>418096661</v>
      </c>
      <c r="I551" s="385">
        <f ca="1">IF(D551&lt;&gt;"",MAX(I550+G551-H550-F551,0),0)</f>
        <v>0</v>
      </c>
      <c r="J551" s="18">
        <f ca="1">MONTH(A551)</f>
        <v>8</v>
      </c>
    </row>
    <row r="552" spans="1:10" s="18" customFormat="1" ht="18" customHeight="1">
      <c r="A552" s="318">
        <f ca="1">IF(ROWS($1:538)&gt;COUNT(Dong5),"",OFFSET(TH!C$1,SMALL(Dong5,ROWS($1:538)),))</f>
        <v>42685</v>
      </c>
      <c r="B552" s="318" t="str">
        <f ca="1">IF(ROWS($1:538)&gt;COUNT(Dong5),"",OFFSET(TH!D$1,SMALL(Dong5,ROWS($1:538)),))</f>
        <v>VL/N05</v>
      </c>
      <c r="C552" s="318">
        <f ca="1">IF(ROWS($1:538)&gt;COUNT(Dong5),"",OFFSET(TH!E$1,SMALL(Dong5,ROWS($1:538)),))</f>
        <v>42685</v>
      </c>
      <c r="D552" s="383" t="str">
        <f ca="1">IF(ROWS($1:538)&gt;COUNT(Dong5),"",OFFSET(TH!F$1,SMALL(Dong5,ROWS($1:538)),))</f>
        <v>VAT Băng keo</v>
      </c>
      <c r="E552" s="318" t="str">
        <f ca="1">IF(ROWS($1:538)&gt;COUNT(Dong5),"",IF(OFFSET(TH!N$1,SMALL(Dong5,ROWS($1:538)),)=$E$7,OFFSET(TH!O$1,SMALL(Dong5,ROWS($1:538)),),OFFSET(TH!N$1,SMALL(Dong5,ROWS($1:538)),)))</f>
        <v>331</v>
      </c>
      <c r="F552" s="384">
        <f ca="1">IF(ROWS($1:538)&gt;COUNT(Dong5),0,IF(OFFSET(TH!N$1,SMALL(Dong5,ROWS($1:538)),)=$E$7,OFFSET(TH!M$1,SMALL(Dong5,ROWS($1:538)),),0))</f>
        <v>480000</v>
      </c>
      <c r="G552" s="382">
        <f ca="1">IF(ROWS($1:538)&gt;COUNT(Dong5),0,IF(OFFSET(TH!O$1,SMALL(Dong5,ROWS($1:538)),)=$E$7,OFFSET(TH!M$1,SMALL(Dong5,ROWS($1:538)),),0))</f>
        <v>0</v>
      </c>
      <c r="H552" s="385">
        <f ca="1">IF(D552&lt;&gt;"",MAX(H551+F552-G552-I551,0),0)</f>
        <v>418576661</v>
      </c>
      <c r="I552" s="385">
        <f ca="1">IF(D552&lt;&gt;"",MAX(I551+G552-H551-F552,0),0)</f>
        <v>0</v>
      </c>
      <c r="J552" s="18">
        <f ca="1">MONTH(A552)</f>
        <v>11</v>
      </c>
    </row>
    <row r="553" spans="1:10" s="18" customFormat="1" ht="18" customHeight="1">
      <c r="A553" s="318">
        <f ca="1">IF(ROWS($1:539)&gt;COUNT(Dong5),"",OFFSET(TH!C$1,SMALL(Dong5,ROWS($1:539)),))</f>
        <v>42608</v>
      </c>
      <c r="B553" s="318" t="str">
        <f ca="1">IF(ROWS($1:539)&gt;COUNT(Dong5),"",OFFSET(TH!D$1,SMALL(Dong5,ROWS($1:539)),))</f>
        <v>C24</v>
      </c>
      <c r="C553" s="318">
        <f ca="1">IF(ROWS($1:539)&gt;COUNT(Dong5),"",OFFSET(TH!E$1,SMALL(Dong5,ROWS($1:539)),))</f>
        <v>42608</v>
      </c>
      <c r="D553" s="383" t="str">
        <f ca="1">IF(ROWS($1:539)&gt;COUNT(Dong5),"",OFFSET(TH!F$1,SMALL(Dong5,ROWS($1:539)),))</f>
        <v>VAT Gas</v>
      </c>
      <c r="E553" s="318" t="str">
        <f ca="1">IF(ROWS($1:539)&gt;COUNT(Dong5),"",IF(OFFSET(TH!N$1,SMALL(Dong5,ROWS($1:539)),)=$E$7,OFFSET(TH!O$1,SMALL(Dong5,ROWS($1:539)),),OFFSET(TH!N$1,SMALL(Dong5,ROWS($1:539)),)))</f>
        <v>1111</v>
      </c>
      <c r="F553" s="384">
        <f ca="1">IF(ROWS($1:539)&gt;COUNT(Dong5),0,IF(OFFSET(TH!N$1,SMALL(Dong5,ROWS($1:539)),)=$E$7,OFFSET(TH!M$1,SMALL(Dong5,ROWS($1:539)),),0))</f>
        <v>812727</v>
      </c>
      <c r="G553" s="382">
        <f ca="1">IF(ROWS($1:539)&gt;COUNT(Dong5),0,IF(OFFSET(TH!O$1,SMALL(Dong5,ROWS($1:539)),)=$E$7,OFFSET(TH!M$1,SMALL(Dong5,ROWS($1:539)),),0))</f>
        <v>0</v>
      </c>
      <c r="H553" s="385">
        <f ca="1">IF(D553&lt;&gt;"",MAX(H552+F553-G553-I552,0),0)</f>
        <v>419389388</v>
      </c>
      <c r="I553" s="385">
        <f ca="1">IF(D553&lt;&gt;"",MAX(I552+G553-H552-F553,0),0)</f>
        <v>0</v>
      </c>
      <c r="J553" s="18">
        <f ca="1">MONTH(A553)</f>
        <v>8</v>
      </c>
    </row>
    <row r="554" spans="1:10" s="18" customFormat="1" ht="18" customHeight="1">
      <c r="A554" s="318">
        <f ca="1">IF(ROWS($1:540)&gt;COUNT(Dong5),"",OFFSET(TH!C$1,SMALL(Dong5,ROWS($1:540)),))</f>
        <v>42609</v>
      </c>
      <c r="B554" s="318" t="str">
        <f ca="1">IF(ROWS($1:540)&gt;COUNT(Dong5),"",OFFSET(TH!D$1,SMALL(Dong5,ROWS($1:540)),))</f>
        <v>C25</v>
      </c>
      <c r="C554" s="318">
        <f ca="1">IF(ROWS($1:540)&gt;COUNT(Dong5),"",OFFSET(TH!E$1,SMALL(Dong5,ROWS($1:540)),))</f>
        <v>42609</v>
      </c>
      <c r="D554" s="383" t="str">
        <f ca="1">IF(ROWS($1:540)&gt;COUNT(Dong5),"",OFFSET(TH!F$1,SMALL(Dong5,ROWS($1:540)),)&amp;" - "&amp;OFFSET(TH!H$1,SMALL(Dong5,ROWS($1:540)),))</f>
        <v>VAT Phí dịch vụ cung ứng bảo vệ T8/2016 - Cty TNHH Dịch Vụ Bảo Vệ Huỳnh Long</v>
      </c>
      <c r="E554" s="318" t="str">
        <f ca="1">IF(ROWS($1:540)&gt;COUNT(Dong5),"",IF(OFFSET(TH!N$1,SMALL(Dong5,ROWS($1:540)),)=$E$7,OFFSET(TH!O$1,SMALL(Dong5,ROWS($1:540)),),OFFSET(TH!N$1,SMALL(Dong5,ROWS($1:540)),)))</f>
        <v>1111</v>
      </c>
      <c r="F554" s="384">
        <f ca="1">IF(ROWS($1:540)&gt;COUNT(Dong5),0,IF(OFFSET(TH!N$1,SMALL(Dong5,ROWS($1:540)),)=$E$7,OFFSET(TH!M$1,SMALL(Dong5,ROWS($1:540)),),0))</f>
        <v>1605000</v>
      </c>
      <c r="G554" s="382">
        <f ca="1">IF(ROWS($1:540)&gt;COUNT(Dong5),0,IF(OFFSET(TH!O$1,SMALL(Dong5,ROWS($1:540)),)=$E$7,OFFSET(TH!M$1,SMALL(Dong5,ROWS($1:540)),),0))</f>
        <v>0</v>
      </c>
      <c r="H554" s="385">
        <f ca="1">IF(D554&lt;&gt;"",MAX(H553+F554-G554-I553,0),0)</f>
        <v>420994388</v>
      </c>
      <c r="I554" s="385">
        <f ca="1">IF(D554&lt;&gt;"",MAX(I553+G554-H553-F554,0),0)</f>
        <v>0</v>
      </c>
      <c r="J554" s="18">
        <f ca="1">MONTH(A554)</f>
        <v>8</v>
      </c>
    </row>
    <row r="555" spans="1:10" s="18" customFormat="1" ht="18" customHeight="1">
      <c r="A555" s="318">
        <f ca="1">IF(ROWS($1:541)&gt;COUNT(Dong5),"",OFFSET(TH!C$1,SMALL(Dong5,ROWS($1:541)),))</f>
        <v>42610</v>
      </c>
      <c r="B555" s="318" t="str">
        <f ca="1">IF(ROWS($1:541)&gt;COUNT(Dong5),"",OFFSET(TH!D$1,SMALL(Dong5,ROWS($1:541)),))</f>
        <v>C26</v>
      </c>
      <c r="C555" s="318">
        <f ca="1">IF(ROWS($1:541)&gt;COUNT(Dong5),"",OFFSET(TH!E$1,SMALL(Dong5,ROWS($1:541)),))</f>
        <v>42610</v>
      </c>
      <c r="D555" s="383" t="str">
        <f ca="1">IF(ROWS($1:541)&gt;COUNT(Dong5),"",OFFSET(TH!F$1,SMALL(Dong5,ROWS($1:541)),))</f>
        <v>VAT Dầu DO</v>
      </c>
      <c r="E555" s="318" t="str">
        <f ca="1">IF(ROWS($1:541)&gt;COUNT(Dong5),"",IF(OFFSET(TH!N$1,SMALL(Dong5,ROWS($1:541)),)=$E$7,OFFSET(TH!O$1,SMALL(Dong5,ROWS($1:541)),),OFFSET(TH!N$1,SMALL(Dong5,ROWS($1:541)),)))</f>
        <v>1111</v>
      </c>
      <c r="F555" s="384">
        <f ca="1">IF(ROWS($1:541)&gt;COUNT(Dong5),0,IF(OFFSET(TH!N$1,SMALL(Dong5,ROWS($1:541)),)=$E$7,OFFSET(TH!M$1,SMALL(Dong5,ROWS($1:541)),),0))</f>
        <v>57385</v>
      </c>
      <c r="G555" s="382">
        <f ca="1">IF(ROWS($1:541)&gt;COUNT(Dong5),0,IF(OFFSET(TH!O$1,SMALL(Dong5,ROWS($1:541)),)=$E$7,OFFSET(TH!M$1,SMALL(Dong5,ROWS($1:541)),),0))</f>
        <v>0</v>
      </c>
      <c r="H555" s="385">
        <f ca="1">IF(D555&lt;&gt;"",MAX(H554+F555-G555-I554,0),0)</f>
        <v>421051773</v>
      </c>
      <c r="I555" s="385">
        <f ca="1">IF(D555&lt;&gt;"",MAX(I554+G555-H554-F555,0),0)</f>
        <v>0</v>
      </c>
      <c r="J555" s="18">
        <f ca="1">MONTH(A555)</f>
        <v>8</v>
      </c>
    </row>
    <row r="556" spans="1:10" s="18" customFormat="1" ht="18" customHeight="1">
      <c r="A556" s="318">
        <f ca="1">IF(ROWS($1:542)&gt;COUNT(Dong5),"",OFFSET(TH!C$1,SMALL(Dong5,ROWS($1:542)),))</f>
        <v>42611</v>
      </c>
      <c r="B556" s="318" t="str">
        <f ca="1">IF(ROWS($1:542)&gt;COUNT(Dong5),"",OFFSET(TH!D$1,SMALL(Dong5,ROWS($1:542)),))</f>
        <v>C27</v>
      </c>
      <c r="C556" s="318">
        <f ca="1">IF(ROWS($1:542)&gt;COUNT(Dong5),"",OFFSET(TH!E$1,SMALL(Dong5,ROWS($1:542)),))</f>
        <v>42611</v>
      </c>
      <c r="D556" s="383" t="str">
        <f ca="1">IF(ROWS($1:542)&gt;COUNT(Dong5),"",OFFSET(TH!F$1,SMALL(Dong5,ROWS($1:542)),))</f>
        <v>VAT Dầu, xăng</v>
      </c>
      <c r="E556" s="318" t="str">
        <f ca="1">IF(ROWS($1:542)&gt;COUNT(Dong5),"",IF(OFFSET(TH!N$1,SMALL(Dong5,ROWS($1:542)),)=$E$7,OFFSET(TH!O$1,SMALL(Dong5,ROWS($1:542)),),OFFSET(TH!N$1,SMALL(Dong5,ROWS($1:542)),)))</f>
        <v>1111</v>
      </c>
      <c r="F556" s="384">
        <f ca="1">IF(ROWS($1:542)&gt;COUNT(Dong5),0,IF(OFFSET(TH!N$1,SMALL(Dong5,ROWS($1:542)),)=$E$7,OFFSET(TH!M$1,SMALL(Dong5,ROWS($1:542)),),0))</f>
        <v>132870</v>
      </c>
      <c r="G556" s="382">
        <f ca="1">IF(ROWS($1:542)&gt;COUNT(Dong5),0,IF(OFFSET(TH!O$1,SMALL(Dong5,ROWS($1:542)),)=$E$7,OFFSET(TH!M$1,SMALL(Dong5,ROWS($1:542)),),0))</f>
        <v>0</v>
      </c>
      <c r="H556" s="385">
        <f ca="1">IF(D556&lt;&gt;"",MAX(H555+F556-G556-I555,0),0)</f>
        <v>421184643</v>
      </c>
      <c r="I556" s="385">
        <f ca="1">IF(D556&lt;&gt;"",MAX(I555+G556-H555-F556,0),0)</f>
        <v>0</v>
      </c>
      <c r="J556" s="18">
        <f ca="1">MONTH(A556)</f>
        <v>8</v>
      </c>
    </row>
    <row r="557" spans="1:10" s="18" customFormat="1" ht="18" customHeight="1">
      <c r="A557" s="318">
        <f ca="1">IF(ROWS($1:543)&gt;COUNT(Dong5),"",OFFSET(TH!C$1,SMALL(Dong5,ROWS($1:543)),))</f>
        <v>42611</v>
      </c>
      <c r="B557" s="318" t="str">
        <f ca="1">IF(ROWS($1:543)&gt;COUNT(Dong5),"",OFFSET(TH!D$1,SMALL(Dong5,ROWS($1:543)),))</f>
        <v>GBN</v>
      </c>
      <c r="C557" s="318">
        <f ca="1">IF(ROWS($1:543)&gt;COUNT(Dong5),"",OFFSET(TH!E$1,SMALL(Dong5,ROWS($1:543)),))</f>
        <v>42611</v>
      </c>
      <c r="D557" s="383" t="str">
        <f ca="1">IF(ROWS($1:543)&gt;COUNT(Dong5),"",OFFSET(TH!F$1,SMALL(Dong5,ROWS($1:543)),))</f>
        <v>VAT Phí chuyển tiền</v>
      </c>
      <c r="E557" s="318" t="str">
        <f ca="1">IF(ROWS($1:543)&gt;COUNT(Dong5),"",IF(OFFSET(TH!N$1,SMALL(Dong5,ROWS($1:543)),)=$E$7,OFFSET(TH!O$1,SMALL(Dong5,ROWS($1:543)),),OFFSET(TH!N$1,SMALL(Dong5,ROWS($1:543)),)))</f>
        <v>1121</v>
      </c>
      <c r="F557" s="384">
        <f ca="1">IF(ROWS($1:543)&gt;COUNT(Dong5),0,IF(OFFSET(TH!N$1,SMALL(Dong5,ROWS($1:543)),)=$E$7,OFFSET(TH!M$1,SMALL(Dong5,ROWS($1:543)),),0))</f>
        <v>6300</v>
      </c>
      <c r="G557" s="382">
        <f ca="1">IF(ROWS($1:543)&gt;COUNT(Dong5),0,IF(OFFSET(TH!O$1,SMALL(Dong5,ROWS($1:543)),)=$E$7,OFFSET(TH!M$1,SMALL(Dong5,ROWS($1:543)),),0))</f>
        <v>0</v>
      </c>
      <c r="H557" s="385">
        <f ca="1">IF(D557&lt;&gt;"",MAX(H556+F557-G557-I556,0),0)</f>
        <v>421190943</v>
      </c>
      <c r="I557" s="385">
        <f ca="1">IF(D557&lt;&gt;"",MAX(I556+G557-H556-F557,0),0)</f>
        <v>0</v>
      </c>
      <c r="J557" s="18">
        <f ca="1">MONTH(A557)</f>
        <v>8</v>
      </c>
    </row>
    <row r="558" spans="1:10" s="18" customFormat="1" ht="18" customHeight="1">
      <c r="A558" s="318">
        <f ca="1">IF(ROWS($1:544)&gt;COUNT(Dong5),"",OFFSET(TH!C$1,SMALL(Dong5,ROWS($1:544)),))</f>
        <v>42612</v>
      </c>
      <c r="B558" s="318" t="str">
        <f ca="1">IF(ROWS($1:544)&gt;COUNT(Dong5),"",OFFSET(TH!D$1,SMALL(Dong5,ROWS($1:544)),))</f>
        <v>C29</v>
      </c>
      <c r="C558" s="318">
        <f ca="1">IF(ROWS($1:544)&gt;COUNT(Dong5),"",OFFSET(TH!E$1,SMALL(Dong5,ROWS($1:544)),))</f>
        <v>42612</v>
      </c>
      <c r="D558" s="383" t="str">
        <f ca="1">IF(ROWS($1:544)&gt;COUNT(Dong5),"",OFFSET(TH!F$1,SMALL(Dong5,ROWS($1:544)),))</f>
        <v>VAT Phí giao thông</v>
      </c>
      <c r="E558" s="318" t="str">
        <f ca="1">IF(ROWS($1:544)&gt;COUNT(Dong5),"",IF(OFFSET(TH!N$1,SMALL(Dong5,ROWS($1:544)),)=$E$7,OFFSET(TH!O$1,SMALL(Dong5,ROWS($1:544)),),OFFSET(TH!N$1,SMALL(Dong5,ROWS($1:544)),)))</f>
        <v>1111</v>
      </c>
      <c r="F558" s="384">
        <f ca="1">IF(ROWS($1:544)&gt;COUNT(Dong5),0,IF(OFFSET(TH!N$1,SMALL(Dong5,ROWS($1:544)),)=$E$7,OFFSET(TH!M$1,SMALL(Dong5,ROWS($1:544)),),0))</f>
        <v>24545</v>
      </c>
      <c r="G558" s="382">
        <f ca="1">IF(ROWS($1:544)&gt;COUNT(Dong5),0,IF(OFFSET(TH!O$1,SMALL(Dong5,ROWS($1:544)),)=$E$7,OFFSET(TH!M$1,SMALL(Dong5,ROWS($1:544)),),0))</f>
        <v>0</v>
      </c>
      <c r="H558" s="385">
        <f ca="1">IF(D558&lt;&gt;"",MAX(H557+F558-G558-I557,0),0)</f>
        <v>421215488</v>
      </c>
      <c r="I558" s="385">
        <f ca="1">IF(D558&lt;&gt;"",MAX(I557+G558-H557-F558,0),0)</f>
        <v>0</v>
      </c>
      <c r="J558" s="18">
        <f ca="1">MONTH(A558)</f>
        <v>8</v>
      </c>
    </row>
    <row r="559" spans="1:10" s="18" customFormat="1" ht="18" customHeight="1">
      <c r="A559" s="318">
        <f ca="1">IF(ROWS($1:545)&gt;COUNT(Dong5),"",OFFSET(TH!C$1,SMALL(Dong5,ROWS($1:545)),))</f>
        <v>42612</v>
      </c>
      <c r="B559" s="318" t="str">
        <f ca="1">IF(ROWS($1:545)&gt;COUNT(Dong5),"",OFFSET(TH!D$1,SMALL(Dong5,ROWS($1:545)),))</f>
        <v>GBN</v>
      </c>
      <c r="C559" s="318">
        <f ca="1">IF(ROWS($1:545)&gt;COUNT(Dong5),"",OFFSET(TH!E$1,SMALL(Dong5,ROWS($1:545)),))</f>
        <v>42612</v>
      </c>
      <c r="D559" s="383" t="str">
        <f ca="1">IF(ROWS($1:545)&gt;COUNT(Dong5),"",OFFSET(TH!F$1,SMALL(Dong5,ROWS($1:545)),))</f>
        <v>VAT Phí kiểm đếm</v>
      </c>
      <c r="E559" s="318" t="str">
        <f ca="1">IF(ROWS($1:545)&gt;COUNT(Dong5),"",IF(OFFSET(TH!N$1,SMALL(Dong5,ROWS($1:545)),)=$E$7,OFFSET(TH!O$1,SMALL(Dong5,ROWS($1:545)),),OFFSET(TH!N$1,SMALL(Dong5,ROWS($1:545)),)))</f>
        <v>1121</v>
      </c>
      <c r="F559" s="384">
        <f ca="1">IF(ROWS($1:545)&gt;COUNT(Dong5),0,IF(OFFSET(TH!N$1,SMALL(Dong5,ROWS($1:545)),)=$E$7,OFFSET(TH!M$1,SMALL(Dong5,ROWS($1:545)),),0))</f>
        <v>1000</v>
      </c>
      <c r="G559" s="382">
        <f ca="1">IF(ROWS($1:545)&gt;COUNT(Dong5),0,IF(OFFSET(TH!O$1,SMALL(Dong5,ROWS($1:545)),)=$E$7,OFFSET(TH!M$1,SMALL(Dong5,ROWS($1:545)),),0))</f>
        <v>0</v>
      </c>
      <c r="H559" s="385">
        <f ca="1">IF(D559&lt;&gt;"",MAX(H558+F559-G559-I558,0),0)</f>
        <v>421216488</v>
      </c>
      <c r="I559" s="385">
        <f ca="1">IF(D559&lt;&gt;"",MAX(I558+G559-H558-F559,0),0)</f>
        <v>0</v>
      </c>
      <c r="J559" s="18">
        <f ca="1">MONTH(A559)</f>
        <v>8</v>
      </c>
    </row>
    <row r="560" spans="1:10" s="18" customFormat="1" ht="18" customHeight="1">
      <c r="A560" s="318">
        <f ca="1">IF(ROWS($1:546)&gt;COUNT(Dong5),"",OFFSET(TH!C$1,SMALL(Dong5,ROWS($1:546)),))</f>
        <v>42613</v>
      </c>
      <c r="B560" s="318" t="str">
        <f ca="1">IF(ROWS($1:546)&gt;COUNT(Dong5),"",OFFSET(TH!D$1,SMALL(Dong5,ROWS($1:546)),))</f>
        <v>C30</v>
      </c>
      <c r="C560" s="318">
        <f ca="1">IF(ROWS($1:546)&gt;COUNT(Dong5),"",OFFSET(TH!E$1,SMALL(Dong5,ROWS($1:546)),))</f>
        <v>42613</v>
      </c>
      <c r="D560" s="383" t="str">
        <f ca="1">IF(ROWS($1:546)&gt;COUNT(Dong5),"",OFFSET(TH!F$1,SMALL(Dong5,ROWS($1:546)),))</f>
        <v>VAT Phí dịch vụ, kiểm dịch</v>
      </c>
      <c r="E560" s="318" t="str">
        <f ca="1">IF(ROWS($1:546)&gt;COUNT(Dong5),"",IF(OFFSET(TH!N$1,SMALL(Dong5,ROWS($1:546)),)=$E$7,OFFSET(TH!O$1,SMALL(Dong5,ROWS($1:546)),),OFFSET(TH!N$1,SMALL(Dong5,ROWS($1:546)),)))</f>
        <v>1111</v>
      </c>
      <c r="F560" s="384">
        <f ca="1">IF(ROWS($1:546)&gt;COUNT(Dong5),0,IF(OFFSET(TH!N$1,SMALL(Dong5,ROWS($1:546)),)=$E$7,OFFSET(TH!M$1,SMALL(Dong5,ROWS($1:546)),),0))</f>
        <v>256910</v>
      </c>
      <c r="G560" s="382">
        <f ca="1">IF(ROWS($1:546)&gt;COUNT(Dong5),0,IF(OFFSET(TH!O$1,SMALL(Dong5,ROWS($1:546)),)=$E$7,OFFSET(TH!M$1,SMALL(Dong5,ROWS($1:546)),),0))</f>
        <v>0</v>
      </c>
      <c r="H560" s="385">
        <f ca="1">IF(D560&lt;&gt;"",MAX(H559+F560-G560-I559,0),0)</f>
        <v>421473398</v>
      </c>
      <c r="I560" s="385">
        <f ca="1">IF(D560&lt;&gt;"",MAX(I559+G560-H559-F560,0),0)</f>
        <v>0</v>
      </c>
      <c r="J560" s="18">
        <f ca="1">MONTH(A560)</f>
        <v>8</v>
      </c>
    </row>
    <row r="561" spans="1:10" s="18" customFormat="1" ht="18" customHeight="1">
      <c r="A561" s="318">
        <f ca="1">IF(ROWS($1:547)&gt;COUNT(Dong5),"",OFFSET(TH!C$1,SMALL(Dong5,ROWS($1:547)),))</f>
        <v>42613</v>
      </c>
      <c r="B561" s="318" t="str">
        <f ca="1">IF(ROWS($1:547)&gt;COUNT(Dong5),"",OFFSET(TH!D$1,SMALL(Dong5,ROWS($1:547)),))</f>
        <v>GBN</v>
      </c>
      <c r="C561" s="318">
        <f ca="1">IF(ROWS($1:547)&gt;COUNT(Dong5),"",OFFSET(TH!E$1,SMALL(Dong5,ROWS($1:547)),))</f>
        <v>42613</v>
      </c>
      <c r="D561" s="383" t="str">
        <f ca="1">IF(ROWS($1:547)&gt;COUNT(Dong5),"",OFFSET(TH!F$1,SMALL(Dong5,ROWS($1:547)),))</f>
        <v>VAT Phí chuyển tiền</v>
      </c>
      <c r="E561" s="318" t="str">
        <f ca="1">IF(ROWS($1:547)&gt;COUNT(Dong5),"",IF(OFFSET(TH!N$1,SMALL(Dong5,ROWS($1:547)),)=$E$7,OFFSET(TH!O$1,SMALL(Dong5,ROWS($1:547)),),OFFSET(TH!N$1,SMALL(Dong5,ROWS($1:547)),)))</f>
        <v>1121</v>
      </c>
      <c r="F561" s="384">
        <f ca="1">IF(ROWS($1:547)&gt;COUNT(Dong5),0,IF(OFFSET(TH!N$1,SMALL(Dong5,ROWS($1:547)),)=$E$7,OFFSET(TH!M$1,SMALL(Dong5,ROWS($1:547)),),0))</f>
        <v>2500</v>
      </c>
      <c r="G561" s="382">
        <f ca="1">IF(ROWS($1:547)&gt;COUNT(Dong5),0,IF(OFFSET(TH!O$1,SMALL(Dong5,ROWS($1:547)),)=$E$7,OFFSET(TH!M$1,SMALL(Dong5,ROWS($1:547)),),0))</f>
        <v>0</v>
      </c>
      <c r="H561" s="385">
        <f ca="1">IF(D561&lt;&gt;"",MAX(H560+F561-G561-I560,0),0)</f>
        <v>421475898</v>
      </c>
      <c r="I561" s="385">
        <f ca="1">IF(D561&lt;&gt;"",MAX(I560+G561-H560-F561,0),0)</f>
        <v>0</v>
      </c>
      <c r="J561" s="18">
        <f ca="1">MONTH(A561)</f>
        <v>8</v>
      </c>
    </row>
    <row r="562" spans="1:10" s="18" customFormat="1" ht="18" customHeight="1">
      <c r="A562" s="318">
        <f ca="1">IF(ROWS($1:548)&gt;COUNT(Dong5),"",OFFSET(TH!C$1,SMALL(Dong5,ROWS($1:548)),))</f>
        <v>42614</v>
      </c>
      <c r="B562" s="318" t="str">
        <f ca="1">IF(ROWS($1:548)&gt;COUNT(Dong5),"",OFFSET(TH!D$1,SMALL(Dong5,ROWS($1:548)),))</f>
        <v>C02</v>
      </c>
      <c r="C562" s="318">
        <f ca="1">IF(ROWS($1:548)&gt;COUNT(Dong5),"",OFFSET(TH!E$1,SMALL(Dong5,ROWS($1:548)),))</f>
        <v>42590</v>
      </c>
      <c r="D562" s="383" t="str">
        <f ca="1">IF(ROWS($1:548)&gt;COUNT(Dong5),"",OFFSET(TH!F$1,SMALL(Dong5,ROWS($1:548)),))</f>
        <v>VAT Thử nghiệm nước thải</v>
      </c>
      <c r="E562" s="318" t="str">
        <f ca="1">IF(ROWS($1:548)&gt;COUNT(Dong5),"",IF(OFFSET(TH!N$1,SMALL(Dong5,ROWS($1:548)),)=$E$7,OFFSET(TH!O$1,SMALL(Dong5,ROWS($1:548)),),OFFSET(TH!N$1,SMALL(Dong5,ROWS($1:548)),)))</f>
        <v>1111</v>
      </c>
      <c r="F562" s="384">
        <f ca="1">IF(ROWS($1:548)&gt;COUNT(Dong5),0,IF(OFFSET(TH!N$1,SMALL(Dong5,ROWS($1:548)),)=$E$7,OFFSET(TH!M$1,SMALL(Dong5,ROWS($1:548)),),0))</f>
        <v>7000</v>
      </c>
      <c r="G562" s="382">
        <f ca="1">IF(ROWS($1:548)&gt;COUNT(Dong5),0,IF(OFFSET(TH!O$1,SMALL(Dong5,ROWS($1:548)),)=$E$7,OFFSET(TH!M$1,SMALL(Dong5,ROWS($1:548)),),0))</f>
        <v>0</v>
      </c>
      <c r="H562" s="385">
        <f ca="1">IF(D562&lt;&gt;"",MAX(H561+F562-G562-I561,0),0)</f>
        <v>421482898</v>
      </c>
      <c r="I562" s="385">
        <f ca="1">IF(D562&lt;&gt;"",MAX(I561+G562-H561-F562,0),0)</f>
        <v>0</v>
      </c>
      <c r="J562" s="18">
        <f ca="1">MONTH(A562)</f>
        <v>9</v>
      </c>
    </row>
    <row r="563" spans="1:10" s="18" customFormat="1" ht="18" customHeight="1">
      <c r="A563" s="318">
        <f ca="1">IF(ROWS($1:549)&gt;COUNT(Dong5),"",OFFSET(TH!C$1,SMALL(Dong5,ROWS($1:549)),))</f>
        <v>42614</v>
      </c>
      <c r="B563" s="318" t="str">
        <f ca="1">IF(ROWS($1:549)&gt;COUNT(Dong5),"",OFFSET(TH!D$1,SMALL(Dong5,ROWS($1:549)),))</f>
        <v>C01</v>
      </c>
      <c r="C563" s="318">
        <f ca="1">IF(ROWS($1:549)&gt;COUNT(Dong5),"",OFFSET(TH!E$1,SMALL(Dong5,ROWS($1:549)),))</f>
        <v>42614</v>
      </c>
      <c r="D563" s="383" t="str">
        <f ca="1">IF(ROWS($1:549)&gt;COUNT(Dong5),"",OFFSET(TH!F$1,SMALL(Dong5,ROWS($1:549)),))</f>
        <v>VAT Phí hiệu chuẩn cân</v>
      </c>
      <c r="E563" s="318" t="str">
        <f ca="1">IF(ROWS($1:549)&gt;COUNT(Dong5),"",IF(OFFSET(TH!N$1,SMALL(Dong5,ROWS($1:549)),)=$E$7,OFFSET(TH!O$1,SMALL(Dong5,ROWS($1:549)),),OFFSET(TH!N$1,SMALL(Dong5,ROWS($1:549)),)))</f>
        <v>1111</v>
      </c>
      <c r="F563" s="384">
        <f ca="1">IF(ROWS($1:549)&gt;COUNT(Dong5),0,IF(OFFSET(TH!N$1,SMALL(Dong5,ROWS($1:549)),)=$E$7,OFFSET(TH!M$1,SMALL(Dong5,ROWS($1:549)),),0))</f>
        <v>19000</v>
      </c>
      <c r="G563" s="382">
        <f ca="1">IF(ROWS($1:549)&gt;COUNT(Dong5),0,IF(OFFSET(TH!O$1,SMALL(Dong5,ROWS($1:549)),)=$E$7,OFFSET(TH!M$1,SMALL(Dong5,ROWS($1:549)),),0))</f>
        <v>0</v>
      </c>
      <c r="H563" s="385">
        <f ca="1">IF(D563&lt;&gt;"",MAX(H562+F563-G563-I562,0),0)</f>
        <v>421501898</v>
      </c>
      <c r="I563" s="385">
        <f ca="1">IF(D563&lt;&gt;"",MAX(I562+G563-H562-F563,0),0)</f>
        <v>0</v>
      </c>
      <c r="J563" s="18">
        <f ca="1">MONTH(A563)</f>
        <v>9</v>
      </c>
    </row>
    <row r="564" spans="1:10" s="18" customFormat="1" ht="18" customHeight="1">
      <c r="A564" s="318">
        <f ca="1">IF(ROWS($1:550)&gt;COUNT(Dong5),"",OFFSET(TH!C$1,SMALL(Dong5,ROWS($1:550)),))</f>
        <v>42614</v>
      </c>
      <c r="B564" s="318" t="str">
        <f ca="1">IF(ROWS($1:550)&gt;COUNT(Dong5),"",OFFSET(TH!D$1,SMALL(Dong5,ROWS($1:550)),))</f>
        <v>C03</v>
      </c>
      <c r="C564" s="318">
        <f ca="1">IF(ROWS($1:550)&gt;COUNT(Dong5),"",OFFSET(TH!E$1,SMALL(Dong5,ROWS($1:550)),))</f>
        <v>42597</v>
      </c>
      <c r="D564" s="383" t="str">
        <f ca="1">IF(ROWS($1:550)&gt;COUNT(Dong5),"",OFFSET(TH!F$1,SMALL(Dong5,ROWS($1:550)),))</f>
        <v>VAT Phân tích hoạt động phóng xa mẫu cá</v>
      </c>
      <c r="E564" s="318" t="str">
        <f ca="1">IF(ROWS($1:550)&gt;COUNT(Dong5),"",IF(OFFSET(TH!N$1,SMALL(Dong5,ROWS($1:550)),)=$E$7,OFFSET(TH!O$1,SMALL(Dong5,ROWS($1:550)),),OFFSET(TH!N$1,SMALL(Dong5,ROWS($1:550)),)))</f>
        <v>1111</v>
      </c>
      <c r="F564" s="384">
        <f ca="1">IF(ROWS($1:550)&gt;COUNT(Dong5),0,IF(OFFSET(TH!N$1,SMALL(Dong5,ROWS($1:550)),)=$E$7,OFFSET(TH!M$1,SMALL(Dong5,ROWS($1:550)),),0))</f>
        <v>100000</v>
      </c>
      <c r="G564" s="382">
        <f ca="1">IF(ROWS($1:550)&gt;COUNT(Dong5),0,IF(OFFSET(TH!O$1,SMALL(Dong5,ROWS($1:550)),)=$E$7,OFFSET(TH!M$1,SMALL(Dong5,ROWS($1:550)),),0))</f>
        <v>0</v>
      </c>
      <c r="H564" s="385">
        <f ca="1">IF(D564&lt;&gt;"",MAX(H563+F564-G564-I563,0),0)</f>
        <v>421601898</v>
      </c>
      <c r="I564" s="385">
        <f ca="1">IF(D564&lt;&gt;"",MAX(I563+G564-H563-F564,0),0)</f>
        <v>0</v>
      </c>
      <c r="J564" s="18">
        <f ca="1">MONTH(A564)</f>
        <v>9</v>
      </c>
    </row>
    <row r="565" spans="1:10" s="18" customFormat="1" ht="18" customHeight="1">
      <c r="A565" s="318">
        <f ca="1">IF(ROWS($1:551)&gt;COUNT(Dong5),"",OFFSET(TH!C$1,SMALL(Dong5,ROWS($1:551)),))</f>
        <v>42617</v>
      </c>
      <c r="B565" s="318" t="str">
        <f ca="1">IF(ROWS($1:551)&gt;COUNT(Dong5),"",OFFSET(TH!D$1,SMALL(Dong5,ROWS($1:551)),))</f>
        <v>C07</v>
      </c>
      <c r="C565" s="318">
        <f ca="1">IF(ROWS($1:551)&gt;COUNT(Dong5),"",OFFSET(TH!E$1,SMALL(Dong5,ROWS($1:551)),))</f>
        <v>42617</v>
      </c>
      <c r="D565" s="383" t="str">
        <f ca="1">IF(ROWS($1:551)&gt;COUNT(Dong5),"",OFFSET(TH!F$1,SMALL(Dong5,ROWS($1:551)),))</f>
        <v>VAT Xăng 95</v>
      </c>
      <c r="E565" s="318" t="str">
        <f ca="1">IF(ROWS($1:551)&gt;COUNT(Dong5),"",IF(OFFSET(TH!N$1,SMALL(Dong5,ROWS($1:551)),)=$E$7,OFFSET(TH!O$1,SMALL(Dong5,ROWS($1:551)),),OFFSET(TH!N$1,SMALL(Dong5,ROWS($1:551)),)))</f>
        <v>1111</v>
      </c>
      <c r="F565" s="384">
        <f ca="1">IF(ROWS($1:551)&gt;COUNT(Dong5),0,IF(OFFSET(TH!N$1,SMALL(Dong5,ROWS($1:551)),)=$E$7,OFFSET(TH!M$1,SMALL(Dong5,ROWS($1:551)),),0))</f>
        <v>58436</v>
      </c>
      <c r="G565" s="382">
        <f ca="1">IF(ROWS($1:551)&gt;COUNT(Dong5),0,IF(OFFSET(TH!O$1,SMALL(Dong5,ROWS($1:551)),)=$E$7,OFFSET(TH!M$1,SMALL(Dong5,ROWS($1:551)),),0))</f>
        <v>0</v>
      </c>
      <c r="H565" s="385">
        <f ca="1">IF(D565&lt;&gt;"",MAX(H564+F565-G565-I564,0),0)</f>
        <v>421660334</v>
      </c>
      <c r="I565" s="385">
        <f ca="1">IF(D565&lt;&gt;"",MAX(I564+G565-H564-F565,0),0)</f>
        <v>0</v>
      </c>
      <c r="J565" s="18">
        <f ca="1">MONTH(A565)</f>
        <v>9</v>
      </c>
    </row>
    <row r="566" spans="1:10" s="18" customFormat="1" ht="18" customHeight="1">
      <c r="A566" s="318">
        <f ca="1">IF(ROWS($1:552)&gt;COUNT(Dong5),"",OFFSET(TH!C$1,SMALL(Dong5,ROWS($1:552)),))</f>
        <v>42618</v>
      </c>
      <c r="B566" s="318" t="str">
        <f ca="1">IF(ROWS($1:552)&gt;COUNT(Dong5),"",OFFSET(TH!D$1,SMALL(Dong5,ROWS($1:552)),))</f>
        <v>C08</v>
      </c>
      <c r="C566" s="318">
        <f ca="1">IF(ROWS($1:552)&gt;COUNT(Dong5),"",OFFSET(TH!E$1,SMALL(Dong5,ROWS($1:552)),))</f>
        <v>42618</v>
      </c>
      <c r="D566" s="383" t="str">
        <f ca="1">IF(ROWS($1:552)&gt;COUNT(Dong5),"",OFFSET(TH!F$1,SMALL(Dong5,ROWS($1:552)),))</f>
        <v>VAT Xăng 95</v>
      </c>
      <c r="E566" s="318" t="str">
        <f ca="1">IF(ROWS($1:552)&gt;COUNT(Dong5),"",IF(OFFSET(TH!N$1,SMALL(Dong5,ROWS($1:552)),)=$E$7,OFFSET(TH!O$1,SMALL(Dong5,ROWS($1:552)),),OFFSET(TH!N$1,SMALL(Dong5,ROWS($1:552)),)))</f>
        <v>1111</v>
      </c>
      <c r="F566" s="384">
        <f ca="1">IF(ROWS($1:552)&gt;COUNT(Dong5),0,IF(OFFSET(TH!N$1,SMALL(Dong5,ROWS($1:552)),)=$E$7,OFFSET(TH!M$1,SMALL(Dong5,ROWS($1:552)),),0))</f>
        <v>61358</v>
      </c>
      <c r="G566" s="382">
        <f ca="1">IF(ROWS($1:552)&gt;COUNT(Dong5),0,IF(OFFSET(TH!O$1,SMALL(Dong5,ROWS($1:552)),)=$E$7,OFFSET(TH!M$1,SMALL(Dong5,ROWS($1:552)),),0))</f>
        <v>0</v>
      </c>
      <c r="H566" s="385">
        <f ca="1">IF(D566&lt;&gt;"",MAX(H565+F566-G566-I565,0),0)</f>
        <v>421721692</v>
      </c>
      <c r="I566" s="385">
        <f ca="1">IF(D566&lt;&gt;"",MAX(I565+G566-H565-F566,0),0)</f>
        <v>0</v>
      </c>
      <c r="J566" s="18">
        <f ca="1">MONTH(A566)</f>
        <v>9</v>
      </c>
    </row>
    <row r="567" spans="1:10" s="18" customFormat="1" ht="18" customHeight="1">
      <c r="A567" s="318">
        <f ca="1">IF(ROWS($1:553)&gt;COUNT(Dong5),"",OFFSET(TH!C$1,SMALL(Dong5,ROWS($1:553)),))</f>
        <v>42618</v>
      </c>
      <c r="B567" s="318" t="str">
        <f ca="1">IF(ROWS($1:553)&gt;COUNT(Dong5),"",OFFSET(TH!D$1,SMALL(Dong5,ROWS($1:553)),))</f>
        <v>C09</v>
      </c>
      <c r="C567" s="318">
        <f ca="1">IF(ROWS($1:553)&gt;COUNT(Dong5),"",OFFSET(TH!E$1,SMALL(Dong5,ROWS($1:553)),))</f>
        <v>42618</v>
      </c>
      <c r="D567" s="383" t="str">
        <f ca="1">IF(ROWS($1:553)&gt;COUNT(Dong5),"",OFFSET(TH!F$1,SMALL(Dong5,ROWS($1:553)),))</f>
        <v>VAT Cước VT - CNTT T8/2016</v>
      </c>
      <c r="E567" s="318" t="str">
        <f ca="1">IF(ROWS($1:553)&gt;COUNT(Dong5),"",IF(OFFSET(TH!N$1,SMALL(Dong5,ROWS($1:553)),)=$E$7,OFFSET(TH!O$1,SMALL(Dong5,ROWS($1:553)),),OFFSET(TH!N$1,SMALL(Dong5,ROWS($1:553)),)))</f>
        <v>1111</v>
      </c>
      <c r="F567" s="384">
        <f ca="1">IF(ROWS($1:553)&gt;COUNT(Dong5),0,IF(OFFSET(TH!N$1,SMALL(Dong5,ROWS($1:553)),)=$E$7,OFFSET(TH!M$1,SMALL(Dong5,ROWS($1:553)),),0))</f>
        <v>201586</v>
      </c>
      <c r="G567" s="382">
        <f ca="1">IF(ROWS($1:553)&gt;COUNT(Dong5),0,IF(OFFSET(TH!O$1,SMALL(Dong5,ROWS($1:553)),)=$E$7,OFFSET(TH!M$1,SMALL(Dong5,ROWS($1:553)),),0))</f>
        <v>0</v>
      </c>
      <c r="H567" s="385">
        <f ca="1">IF(D567&lt;&gt;"",MAX(H566+F567-G567-I566,0),0)</f>
        <v>421923278</v>
      </c>
      <c r="I567" s="385">
        <f ca="1">IF(D567&lt;&gt;"",MAX(I566+G567-H566-F567,0),0)</f>
        <v>0</v>
      </c>
      <c r="J567" s="18">
        <f ca="1">MONTH(A567)</f>
        <v>9</v>
      </c>
    </row>
    <row r="568" spans="1:10" s="18" customFormat="1" ht="18" customHeight="1">
      <c r="A568" s="318">
        <f ca="1">IF(ROWS($1:554)&gt;COUNT(Dong5),"",OFFSET(TH!C$1,SMALL(Dong5,ROWS($1:554)),))</f>
        <v>42618</v>
      </c>
      <c r="B568" s="318" t="str">
        <f ca="1">IF(ROWS($1:554)&gt;COUNT(Dong5),"",OFFSET(TH!D$1,SMALL(Dong5,ROWS($1:554)),))</f>
        <v>GBN</v>
      </c>
      <c r="C568" s="318">
        <f ca="1">IF(ROWS($1:554)&gt;COUNT(Dong5),"",OFFSET(TH!E$1,SMALL(Dong5,ROWS($1:554)),))</f>
        <v>42618</v>
      </c>
      <c r="D568" s="383" t="str">
        <f ca="1">IF(ROWS($1:554)&gt;COUNT(Dong5),"",OFFSET(TH!F$1,SMALL(Dong5,ROWS($1:554)),))</f>
        <v>VAT Phí dịch vụ</v>
      </c>
      <c r="E568" s="318" t="str">
        <f ca="1">IF(ROWS($1:554)&gt;COUNT(Dong5),"",IF(OFFSET(TH!N$1,SMALL(Dong5,ROWS($1:554)),)=$E$7,OFFSET(TH!O$1,SMALL(Dong5,ROWS($1:554)),),OFFSET(TH!N$1,SMALL(Dong5,ROWS($1:554)),)))</f>
        <v>1121</v>
      </c>
      <c r="F568" s="384">
        <f ca="1">IF(ROWS($1:554)&gt;COUNT(Dong5),0,IF(OFFSET(TH!N$1,SMALL(Dong5,ROWS($1:554)),)=$E$7,OFFSET(TH!M$1,SMALL(Dong5,ROWS($1:554)),),0))</f>
        <v>4466</v>
      </c>
      <c r="G568" s="382">
        <f ca="1">IF(ROWS($1:554)&gt;COUNT(Dong5),0,IF(OFFSET(TH!O$1,SMALL(Dong5,ROWS($1:554)),)=$E$7,OFFSET(TH!M$1,SMALL(Dong5,ROWS($1:554)),),0))</f>
        <v>0</v>
      </c>
      <c r="H568" s="385">
        <f ca="1">IF(D568&lt;&gt;"",MAX(H567+F568-G568-I567,0),0)</f>
        <v>421927744</v>
      </c>
      <c r="I568" s="385">
        <f ca="1">IF(D568&lt;&gt;"",MAX(I567+G568-H567-F568,0),0)</f>
        <v>0</v>
      </c>
      <c r="J568" s="18">
        <f ca="1">MONTH(A568)</f>
        <v>9</v>
      </c>
    </row>
    <row r="569" spans="1:10" s="18" customFormat="1" ht="18" customHeight="1">
      <c r="A569" s="318">
        <f ca="1">IF(ROWS($1:555)&gt;COUNT(Dong5),"",OFFSET(TH!C$1,SMALL(Dong5,ROWS($1:555)),))</f>
        <v>42621</v>
      </c>
      <c r="B569" s="318" t="str">
        <f ca="1">IF(ROWS($1:555)&gt;COUNT(Dong5),"",OFFSET(TH!D$1,SMALL(Dong5,ROWS($1:555)),))</f>
        <v>GBN</v>
      </c>
      <c r="C569" s="318">
        <f ca="1">IF(ROWS($1:555)&gt;COUNT(Dong5),"",OFFSET(TH!E$1,SMALL(Dong5,ROWS($1:555)),))</f>
        <v>42621</v>
      </c>
      <c r="D569" s="383" t="str">
        <f ca="1">IF(ROWS($1:555)&gt;COUNT(Dong5),"",OFFSET(TH!F$1,SMALL(Dong5,ROWS($1:555)),))</f>
        <v>VAT Phí dịch vụ</v>
      </c>
      <c r="E569" s="318" t="str">
        <f ca="1">IF(ROWS($1:555)&gt;COUNT(Dong5),"",IF(OFFSET(TH!N$1,SMALL(Dong5,ROWS($1:555)),)=$E$7,OFFSET(TH!O$1,SMALL(Dong5,ROWS($1:555)),),OFFSET(TH!N$1,SMALL(Dong5,ROWS($1:555)),)))</f>
        <v>1121</v>
      </c>
      <c r="F569" s="384">
        <f ca="1">IF(ROWS($1:555)&gt;COUNT(Dong5),0,IF(OFFSET(TH!N$1,SMALL(Dong5,ROWS($1:555)),)=$E$7,OFFSET(TH!M$1,SMALL(Dong5,ROWS($1:555)),),0))</f>
        <v>90124</v>
      </c>
      <c r="G569" s="382">
        <f ca="1">IF(ROWS($1:555)&gt;COUNT(Dong5),0,IF(OFFSET(TH!O$1,SMALL(Dong5,ROWS($1:555)),)=$E$7,OFFSET(TH!M$1,SMALL(Dong5,ROWS($1:555)),),0))</f>
        <v>0</v>
      </c>
      <c r="H569" s="385">
        <f ca="1">IF(D569&lt;&gt;"",MAX(H568+F569-G569-I568,0),0)</f>
        <v>422017868</v>
      </c>
      <c r="I569" s="385">
        <f ca="1">IF(D569&lt;&gt;"",MAX(I568+G569-H568-F569,0),0)</f>
        <v>0</v>
      </c>
      <c r="J569" s="18">
        <f ca="1">MONTH(A569)</f>
        <v>9</v>
      </c>
    </row>
    <row r="570" spans="1:10" s="18" customFormat="1" ht="18" customHeight="1">
      <c r="A570" s="318">
        <f ca="1">IF(ROWS($1:556)&gt;COUNT(Dong5),"",OFFSET(TH!C$1,SMALL(Dong5,ROWS($1:556)),))</f>
        <v>42622</v>
      </c>
      <c r="B570" s="318" t="str">
        <f ca="1">IF(ROWS($1:556)&gt;COUNT(Dong5),"",OFFSET(TH!D$1,SMALL(Dong5,ROWS($1:556)),))</f>
        <v>GBN</v>
      </c>
      <c r="C570" s="318">
        <f ca="1">IF(ROWS($1:556)&gt;COUNT(Dong5),"",OFFSET(TH!E$1,SMALL(Dong5,ROWS($1:556)),))</f>
        <v>42622</v>
      </c>
      <c r="D570" s="383" t="str">
        <f ca="1">IF(ROWS($1:556)&gt;COUNT(Dong5),"",OFFSET(TH!F$1,SMALL(Dong5,ROWS($1:556)),))</f>
        <v>VAT Phí NH</v>
      </c>
      <c r="E570" s="318" t="str">
        <f ca="1">IF(ROWS($1:556)&gt;COUNT(Dong5),"",IF(OFFSET(TH!N$1,SMALL(Dong5,ROWS($1:556)),)=$E$7,OFFSET(TH!O$1,SMALL(Dong5,ROWS($1:556)),),OFFSET(TH!N$1,SMALL(Dong5,ROWS($1:556)),)))</f>
        <v>1121</v>
      </c>
      <c r="F570" s="384">
        <f ca="1">IF(ROWS($1:556)&gt;COUNT(Dong5),0,IF(OFFSET(TH!N$1,SMALL(Dong5,ROWS($1:556)),)=$E$7,OFFSET(TH!M$1,SMALL(Dong5,ROWS($1:556)),),0))</f>
        <v>220302</v>
      </c>
      <c r="G570" s="382">
        <f ca="1">IF(ROWS($1:556)&gt;COUNT(Dong5),0,IF(OFFSET(TH!O$1,SMALL(Dong5,ROWS($1:556)),)=$E$7,OFFSET(TH!M$1,SMALL(Dong5,ROWS($1:556)),),0))</f>
        <v>0</v>
      </c>
      <c r="H570" s="385">
        <f ca="1">IF(D570&lt;&gt;"",MAX(H569+F570-G570-I569,0),0)</f>
        <v>422238170</v>
      </c>
      <c r="I570" s="385">
        <f ca="1">IF(D570&lt;&gt;"",MAX(I569+G570-H569-F570,0),0)</f>
        <v>0</v>
      </c>
      <c r="J570" s="18">
        <f ca="1">MONTH(A570)</f>
        <v>9</v>
      </c>
    </row>
    <row r="571" spans="1:10" s="18" customFormat="1" ht="18" customHeight="1">
      <c r="A571" s="318">
        <f ca="1">IF(ROWS($1:557)&gt;COUNT(Dong5),"",OFFSET(TH!C$1,SMALL(Dong5,ROWS($1:557)),))</f>
        <v>42624</v>
      </c>
      <c r="B571" s="318" t="str">
        <f ca="1">IF(ROWS($1:557)&gt;COUNT(Dong5),"",OFFSET(TH!D$1,SMALL(Dong5,ROWS($1:557)),))</f>
        <v>C14</v>
      </c>
      <c r="C571" s="318">
        <f ca="1">IF(ROWS($1:557)&gt;COUNT(Dong5),"",OFFSET(TH!E$1,SMALL(Dong5,ROWS($1:557)),))</f>
        <v>42618</v>
      </c>
      <c r="D571" s="383" t="str">
        <f ca="1">IF(ROWS($1:557)&gt;COUNT(Dong5),"",OFFSET(TH!F$1,SMALL(Dong5,ROWS($1:557)),))</f>
        <v>VAT Dầu DO</v>
      </c>
      <c r="E571" s="318" t="str">
        <f ca="1">IF(ROWS($1:557)&gt;COUNT(Dong5),"",IF(OFFSET(TH!N$1,SMALL(Dong5,ROWS($1:557)),)=$E$7,OFFSET(TH!O$1,SMALL(Dong5,ROWS($1:557)),),OFFSET(TH!N$1,SMALL(Dong5,ROWS($1:557)),)))</f>
        <v>1111</v>
      </c>
      <c r="F571" s="384">
        <f ca="1">IF(ROWS($1:557)&gt;COUNT(Dong5),0,IF(OFFSET(TH!N$1,SMALL(Dong5,ROWS($1:557)),)=$E$7,OFFSET(TH!M$1,SMALL(Dong5,ROWS($1:557)),),0))</f>
        <v>127176</v>
      </c>
      <c r="G571" s="382">
        <f ca="1">IF(ROWS($1:557)&gt;COUNT(Dong5),0,IF(OFFSET(TH!O$1,SMALL(Dong5,ROWS($1:557)),)=$E$7,OFFSET(TH!M$1,SMALL(Dong5,ROWS($1:557)),),0))</f>
        <v>0</v>
      </c>
      <c r="H571" s="385">
        <f ca="1">IF(D571&lt;&gt;"",MAX(H570+F571-G571-I570,0),0)</f>
        <v>422365346</v>
      </c>
      <c r="I571" s="385">
        <f ca="1">IF(D571&lt;&gt;"",MAX(I570+G571-H570-F571,0),0)</f>
        <v>0</v>
      </c>
      <c r="J571" s="18">
        <f ca="1">MONTH(A571)</f>
        <v>9</v>
      </c>
    </row>
    <row r="572" spans="1:10" s="18" customFormat="1" ht="18" customHeight="1">
      <c r="A572" s="318">
        <f ca="1">IF(ROWS($1:558)&gt;COUNT(Dong5),"",OFFSET(TH!C$1,SMALL(Dong5,ROWS($1:558)),))</f>
        <v>42626</v>
      </c>
      <c r="B572" s="318" t="str">
        <f ca="1">IF(ROWS($1:558)&gt;COUNT(Dong5),"",OFFSET(TH!D$1,SMALL(Dong5,ROWS($1:558)),))</f>
        <v>C15</v>
      </c>
      <c r="C572" s="318">
        <f ca="1">IF(ROWS($1:558)&gt;COUNT(Dong5),"",OFFSET(TH!E$1,SMALL(Dong5,ROWS($1:558)),))</f>
        <v>42626</v>
      </c>
      <c r="D572" s="383" t="str">
        <f ca="1">IF(ROWS($1:558)&gt;COUNT(Dong5),"",OFFSET(TH!F$1,SMALL(Dong5,ROWS($1:558)),))</f>
        <v>VAT Xăng, dầu DO</v>
      </c>
      <c r="E572" s="318" t="str">
        <f ca="1">IF(ROWS($1:558)&gt;COUNT(Dong5),"",IF(OFFSET(TH!N$1,SMALL(Dong5,ROWS($1:558)),)=$E$7,OFFSET(TH!O$1,SMALL(Dong5,ROWS($1:558)),),OFFSET(TH!N$1,SMALL(Dong5,ROWS($1:558)),)))</f>
        <v>1111</v>
      </c>
      <c r="F572" s="384">
        <f ca="1">IF(ROWS($1:558)&gt;COUNT(Dong5),0,IF(OFFSET(TH!N$1,SMALL(Dong5,ROWS($1:558)),)=$E$7,OFFSET(TH!M$1,SMALL(Dong5,ROWS($1:558)),),0))</f>
        <v>140378</v>
      </c>
      <c r="G572" s="382">
        <f ca="1">IF(ROWS($1:558)&gt;COUNT(Dong5),0,IF(OFFSET(TH!O$1,SMALL(Dong5,ROWS($1:558)),)=$E$7,OFFSET(TH!M$1,SMALL(Dong5,ROWS($1:558)),),0))</f>
        <v>0</v>
      </c>
      <c r="H572" s="385">
        <f ca="1">IF(D572&lt;&gt;"",MAX(H571+F572-G572-I571,0),0)</f>
        <v>422505724</v>
      </c>
      <c r="I572" s="385">
        <f ca="1">IF(D572&lt;&gt;"",MAX(I571+G572-H571-F572,0),0)</f>
        <v>0</v>
      </c>
      <c r="J572" s="18">
        <f ca="1">MONTH(A572)</f>
        <v>9</v>
      </c>
    </row>
    <row r="573" spans="1:10" s="18" customFormat="1" ht="18" customHeight="1">
      <c r="A573" s="318">
        <f ca="1">IF(ROWS($1:559)&gt;COUNT(Dong5),"",OFFSET(TH!C$1,SMALL(Dong5,ROWS($1:559)),))</f>
        <v>42628</v>
      </c>
      <c r="B573" s="318" t="str">
        <f ca="1">IF(ROWS($1:559)&gt;COUNT(Dong5),"",OFFSET(TH!D$1,SMALL(Dong5,ROWS($1:559)),))</f>
        <v>C18</v>
      </c>
      <c r="C573" s="318">
        <f ca="1">IF(ROWS($1:559)&gt;COUNT(Dong5),"",OFFSET(TH!E$1,SMALL(Dong5,ROWS($1:559)),))</f>
        <v>42628</v>
      </c>
      <c r="D573" s="383" t="str">
        <f ca="1">IF(ROWS($1:559)&gt;COUNT(Dong5),"",OFFSET(TH!F$1,SMALL(Dong5,ROWS($1:559)),))</f>
        <v>VAT Bảo dưỡng xe ô tô</v>
      </c>
      <c r="E573" s="318" t="str">
        <f ca="1">IF(ROWS($1:559)&gt;COUNT(Dong5),"",IF(OFFSET(TH!N$1,SMALL(Dong5,ROWS($1:559)),)=$E$7,OFFSET(TH!O$1,SMALL(Dong5,ROWS($1:559)),),OFFSET(TH!N$1,SMALL(Dong5,ROWS($1:559)),)))</f>
        <v>1111</v>
      </c>
      <c r="F573" s="384">
        <f ca="1">IF(ROWS($1:559)&gt;COUNT(Dong5),0,IF(OFFSET(TH!N$1,SMALL(Dong5,ROWS($1:559)),)=$E$7,OFFSET(TH!M$1,SMALL(Dong5,ROWS($1:559)),),0))</f>
        <v>167300</v>
      </c>
      <c r="G573" s="382">
        <f ca="1">IF(ROWS($1:559)&gt;COUNT(Dong5),0,IF(OFFSET(TH!O$1,SMALL(Dong5,ROWS($1:559)),)=$E$7,OFFSET(TH!M$1,SMALL(Dong5,ROWS($1:559)),),0))</f>
        <v>0</v>
      </c>
      <c r="H573" s="385">
        <f ca="1">IF(D573&lt;&gt;"",MAX(H572+F573-G573-I572,0),0)</f>
        <v>422673024</v>
      </c>
      <c r="I573" s="385">
        <f ca="1">IF(D573&lt;&gt;"",MAX(I572+G573-H572-F573,0),0)</f>
        <v>0</v>
      </c>
      <c r="J573" s="18">
        <f ca="1">MONTH(A573)</f>
        <v>9</v>
      </c>
    </row>
    <row r="574" spans="1:10" s="18" customFormat="1" ht="18" customHeight="1">
      <c r="A574" s="318">
        <f ca="1">IF(ROWS($1:560)&gt;COUNT(Dong5),"",OFFSET(TH!C$1,SMALL(Dong5,ROWS($1:560)),))</f>
        <v>42630</v>
      </c>
      <c r="B574" s="318" t="str">
        <f ca="1">IF(ROWS($1:560)&gt;COUNT(Dong5),"",OFFSET(TH!D$1,SMALL(Dong5,ROWS($1:560)),))</f>
        <v>GBN</v>
      </c>
      <c r="C574" s="318">
        <f ca="1">IF(ROWS($1:560)&gt;COUNT(Dong5),"",OFFSET(TH!E$1,SMALL(Dong5,ROWS($1:560)),))</f>
        <v>42630</v>
      </c>
      <c r="D574" s="383" t="str">
        <f ca="1">IF(ROWS($1:560)&gt;COUNT(Dong5),"",OFFSET(TH!F$1,SMALL(Dong5,ROWS($1:560)),))</f>
        <v>VAT Phí dịch vụ thông báo số dư tự động</v>
      </c>
      <c r="E574" s="318" t="str">
        <f ca="1">IF(ROWS($1:560)&gt;COUNT(Dong5),"",IF(OFFSET(TH!N$1,SMALL(Dong5,ROWS($1:560)),)=$E$7,OFFSET(TH!O$1,SMALL(Dong5,ROWS($1:560)),),OFFSET(TH!N$1,SMALL(Dong5,ROWS($1:560)),)))</f>
        <v>1121</v>
      </c>
      <c r="F574" s="384">
        <f ca="1">IF(ROWS($1:560)&gt;COUNT(Dong5),0,IF(OFFSET(TH!N$1,SMALL(Dong5,ROWS($1:560)),)=$E$7,OFFSET(TH!M$1,SMALL(Dong5,ROWS($1:560)),),0))</f>
        <v>5000</v>
      </c>
      <c r="G574" s="382">
        <f ca="1">IF(ROWS($1:560)&gt;COUNT(Dong5),0,IF(OFFSET(TH!O$1,SMALL(Dong5,ROWS($1:560)),)=$E$7,OFFSET(TH!M$1,SMALL(Dong5,ROWS($1:560)),),0))</f>
        <v>0</v>
      </c>
      <c r="H574" s="385">
        <f ca="1">IF(D574&lt;&gt;"",MAX(H573+F574-G574-I573,0),0)</f>
        <v>422678024</v>
      </c>
      <c r="I574" s="385">
        <f ca="1">IF(D574&lt;&gt;"",MAX(I573+G574-H573-F574,0),0)</f>
        <v>0</v>
      </c>
      <c r="J574" s="18">
        <f ca="1">MONTH(A574)</f>
        <v>9</v>
      </c>
    </row>
    <row r="575" spans="1:10" s="18" customFormat="1" ht="18" customHeight="1">
      <c r="A575" s="318">
        <f ca="1">IF(ROWS($1:561)&gt;COUNT(Dong5),"",OFFSET(TH!C$1,SMALL(Dong5,ROWS($1:561)),))</f>
        <v>42630</v>
      </c>
      <c r="B575" s="318" t="str">
        <f ca="1">IF(ROWS($1:561)&gt;COUNT(Dong5),"",OFFSET(TH!D$1,SMALL(Dong5,ROWS($1:561)),))</f>
        <v>GBN</v>
      </c>
      <c r="C575" s="318">
        <f ca="1">IF(ROWS($1:561)&gt;COUNT(Dong5),"",OFFSET(TH!E$1,SMALL(Dong5,ROWS($1:561)),))</f>
        <v>42630</v>
      </c>
      <c r="D575" s="383" t="str">
        <f ca="1">IF(ROWS($1:561)&gt;COUNT(Dong5),"",OFFSET(TH!F$1,SMALL(Dong5,ROWS($1:561)),))</f>
        <v>VAT Phí dịch vụ thông báo số dư tự động</v>
      </c>
      <c r="E575" s="318" t="str">
        <f ca="1">IF(ROWS($1:561)&gt;COUNT(Dong5),"",IF(OFFSET(TH!N$1,SMALL(Dong5,ROWS($1:561)),)=$E$7,OFFSET(TH!O$1,SMALL(Dong5,ROWS($1:561)),),OFFSET(TH!N$1,SMALL(Dong5,ROWS($1:561)),)))</f>
        <v>1121</v>
      </c>
      <c r="F575" s="384">
        <f ca="1">IF(ROWS($1:561)&gt;COUNT(Dong5),0,IF(OFFSET(TH!N$1,SMALL(Dong5,ROWS($1:561)),)=$E$7,OFFSET(TH!M$1,SMALL(Dong5,ROWS($1:561)),),0))</f>
        <v>5000</v>
      </c>
      <c r="G575" s="382">
        <f ca="1">IF(ROWS($1:561)&gt;COUNT(Dong5),0,IF(OFFSET(TH!O$1,SMALL(Dong5,ROWS($1:561)),)=$E$7,OFFSET(TH!M$1,SMALL(Dong5,ROWS($1:561)),),0))</f>
        <v>0</v>
      </c>
      <c r="H575" s="385">
        <f ca="1">IF(D575&lt;&gt;"",MAX(H574+F575-G575-I574,0),0)</f>
        <v>422683024</v>
      </c>
      <c r="I575" s="385">
        <f ca="1">IF(D575&lt;&gt;"",MAX(I574+G575-H574-F575,0),0)</f>
        <v>0</v>
      </c>
      <c r="J575" s="18">
        <f ca="1">MONTH(A575)</f>
        <v>9</v>
      </c>
    </row>
    <row r="576" spans="1:10" s="18" customFormat="1" ht="18" customHeight="1">
      <c r="A576" s="318">
        <f ca="1">IF(ROWS($1:562)&gt;COUNT(Dong5),"",OFFSET(TH!C$1,SMALL(Dong5,ROWS($1:562)),))</f>
        <v>42632</v>
      </c>
      <c r="B576" s="318" t="str">
        <f ca="1">IF(ROWS($1:562)&gt;COUNT(Dong5),"",OFFSET(TH!D$1,SMALL(Dong5,ROWS($1:562)),))</f>
        <v>C20</v>
      </c>
      <c r="C576" s="318">
        <f ca="1">IF(ROWS($1:562)&gt;COUNT(Dong5),"",OFFSET(TH!E$1,SMALL(Dong5,ROWS($1:562)),))</f>
        <v>42632</v>
      </c>
      <c r="D576" s="383" t="str">
        <f ca="1">IF(ROWS($1:562)&gt;COUNT(Dong5),"",OFFSET(TH!F$1,SMALL(Dong5,ROWS($1:562)),))</f>
        <v>VAT Xăng 95</v>
      </c>
      <c r="E576" s="318" t="str">
        <f ca="1">IF(ROWS($1:562)&gt;COUNT(Dong5),"",IF(OFFSET(TH!N$1,SMALL(Dong5,ROWS($1:562)),)=$E$7,OFFSET(TH!O$1,SMALL(Dong5,ROWS($1:562)),),OFFSET(TH!N$1,SMALL(Dong5,ROWS($1:562)),)))</f>
        <v>1111</v>
      </c>
      <c r="F576" s="384">
        <f ca="1">IF(ROWS($1:562)&gt;COUNT(Dong5),0,IF(OFFSET(TH!N$1,SMALL(Dong5,ROWS($1:562)),)=$E$7,OFFSET(TH!M$1,SMALL(Dong5,ROWS($1:562)),),0))</f>
        <v>87655</v>
      </c>
      <c r="G576" s="382">
        <f ca="1">IF(ROWS($1:562)&gt;COUNT(Dong5),0,IF(OFFSET(TH!O$1,SMALL(Dong5,ROWS($1:562)),)=$E$7,OFFSET(TH!M$1,SMALL(Dong5,ROWS($1:562)),),0))</f>
        <v>0</v>
      </c>
      <c r="H576" s="385">
        <f ca="1">IF(D576&lt;&gt;"",MAX(H575+F576-G576-I575,0),0)</f>
        <v>422770679</v>
      </c>
      <c r="I576" s="385">
        <f ca="1">IF(D576&lt;&gt;"",MAX(I575+G576-H575-F576,0),0)</f>
        <v>0</v>
      </c>
      <c r="J576" s="18">
        <f ca="1">MONTH(A576)</f>
        <v>9</v>
      </c>
    </row>
    <row r="577" spans="1:10" s="18" customFormat="1" ht="18" customHeight="1">
      <c r="A577" s="318">
        <f ca="1">IF(ROWS($1:563)&gt;COUNT(Dong5),"",OFFSET(TH!C$1,SMALL(Dong5,ROWS($1:563)),))</f>
        <v>42634</v>
      </c>
      <c r="B577" s="318" t="str">
        <f ca="1">IF(ROWS($1:563)&gt;COUNT(Dong5),"",OFFSET(TH!D$1,SMALL(Dong5,ROWS($1:563)),))</f>
        <v>GBN</v>
      </c>
      <c r="C577" s="318">
        <f ca="1">IF(ROWS($1:563)&gt;COUNT(Dong5),"",OFFSET(TH!E$1,SMALL(Dong5,ROWS($1:563)),))</f>
        <v>42634</v>
      </c>
      <c r="D577" s="383" t="str">
        <f ca="1">IF(ROWS($1:563)&gt;COUNT(Dong5),"",OFFSET(TH!F$1,SMALL(Dong5,ROWS($1:563)),))</f>
        <v>VAT Phí thông báo LC</v>
      </c>
      <c r="E577" s="318" t="str">
        <f ca="1">IF(ROWS($1:563)&gt;COUNT(Dong5),"",IF(OFFSET(TH!N$1,SMALL(Dong5,ROWS($1:563)),)=$E$7,OFFSET(TH!O$1,SMALL(Dong5,ROWS($1:563)),),OFFSET(TH!N$1,SMALL(Dong5,ROWS($1:563)),)))</f>
        <v>1122</v>
      </c>
      <c r="F577" s="384">
        <f ca="1">IF(ROWS($1:563)&gt;COUNT(Dong5),0,IF(OFFSET(TH!N$1,SMALL(Dong5,ROWS($1:563)),)=$E$7,OFFSET(TH!M$1,SMALL(Dong5,ROWS($1:563)),),0))</f>
        <v>33450</v>
      </c>
      <c r="G577" s="382">
        <f ca="1">IF(ROWS($1:563)&gt;COUNT(Dong5),0,IF(OFFSET(TH!O$1,SMALL(Dong5,ROWS($1:563)),)=$E$7,OFFSET(TH!M$1,SMALL(Dong5,ROWS($1:563)),),0))</f>
        <v>0</v>
      </c>
      <c r="H577" s="385">
        <f ca="1">IF(D577&lt;&gt;"",MAX(H576+F577-G577-I576,0),0)</f>
        <v>422804129</v>
      </c>
      <c r="I577" s="385">
        <f ca="1">IF(D577&lt;&gt;"",MAX(I576+G577-H576-F577,0),0)</f>
        <v>0</v>
      </c>
      <c r="J577" s="18">
        <f ca="1">MONTH(A577)</f>
        <v>9</v>
      </c>
    </row>
    <row r="578" spans="1:10" s="18" customFormat="1" ht="18" customHeight="1">
      <c r="A578" s="318">
        <f ca="1">IF(ROWS($1:564)&gt;COUNT(Dong5),"",OFFSET(TH!C$1,SMALL(Dong5,ROWS($1:564)),))</f>
        <v>42635</v>
      </c>
      <c r="B578" s="318" t="str">
        <f ca="1">IF(ROWS($1:564)&gt;COUNT(Dong5),"",OFFSET(TH!D$1,SMALL(Dong5,ROWS($1:564)),))</f>
        <v>C21</v>
      </c>
      <c r="C578" s="318">
        <f ca="1">IF(ROWS($1:564)&gt;COUNT(Dong5),"",OFFSET(TH!E$1,SMALL(Dong5,ROWS($1:564)),))</f>
        <v>42635</v>
      </c>
      <c r="D578" s="383" t="str">
        <f ca="1">IF(ROWS($1:564)&gt;COUNT(Dong5),"",OFFSET(TH!F$1,SMALL(Dong5,ROWS($1:564)),))</f>
        <v>VAT Gas</v>
      </c>
      <c r="E578" s="318" t="str">
        <f ca="1">IF(ROWS($1:564)&gt;COUNT(Dong5),"",IF(OFFSET(TH!N$1,SMALL(Dong5,ROWS($1:564)),)=$E$7,OFFSET(TH!O$1,SMALL(Dong5,ROWS($1:564)),),OFFSET(TH!N$1,SMALL(Dong5,ROWS($1:564)),)))</f>
        <v>1111</v>
      </c>
      <c r="F578" s="384">
        <f ca="1">IF(ROWS($1:564)&gt;COUNT(Dong5),0,IF(OFFSET(TH!N$1,SMALL(Dong5,ROWS($1:564)),)=$E$7,OFFSET(TH!M$1,SMALL(Dong5,ROWS($1:564)),),0))</f>
        <v>833182</v>
      </c>
      <c r="G578" s="382">
        <f ca="1">IF(ROWS($1:564)&gt;COUNT(Dong5),0,IF(OFFSET(TH!O$1,SMALL(Dong5,ROWS($1:564)),)=$E$7,OFFSET(TH!M$1,SMALL(Dong5,ROWS($1:564)),),0))</f>
        <v>0</v>
      </c>
      <c r="H578" s="385">
        <f ca="1">IF(D578&lt;&gt;"",MAX(H577+F578-G578-I577,0),0)</f>
        <v>423637311</v>
      </c>
      <c r="I578" s="385">
        <f ca="1">IF(D578&lt;&gt;"",MAX(I577+G578-H577-F578,0),0)</f>
        <v>0</v>
      </c>
      <c r="J578" s="18">
        <f ca="1">MONTH(A578)</f>
        <v>9</v>
      </c>
    </row>
    <row r="579" spans="1:10" s="18" customFormat="1" ht="18" customHeight="1">
      <c r="A579" s="318">
        <f ca="1">IF(ROWS($1:565)&gt;COUNT(Dong5),"",OFFSET(TH!C$1,SMALL(Dong5,ROWS($1:565)),))</f>
        <v>42635</v>
      </c>
      <c r="B579" s="318" t="str">
        <f ca="1">IF(ROWS($1:565)&gt;COUNT(Dong5),"",OFFSET(TH!D$1,SMALL(Dong5,ROWS($1:565)),))</f>
        <v>GBN</v>
      </c>
      <c r="C579" s="318">
        <f ca="1">IF(ROWS($1:565)&gt;COUNT(Dong5),"",OFFSET(TH!E$1,SMALL(Dong5,ROWS($1:565)),))</f>
        <v>42635</v>
      </c>
      <c r="D579" s="383" t="str">
        <f ca="1">IF(ROWS($1:565)&gt;COUNT(Dong5),"",OFFSET(TH!F$1,SMALL(Dong5,ROWS($1:565)),))</f>
        <v>VAT Phí chuyển tiền</v>
      </c>
      <c r="E579" s="318" t="str">
        <f ca="1">IF(ROWS($1:565)&gt;COUNT(Dong5),"",IF(OFFSET(TH!N$1,SMALL(Dong5,ROWS($1:565)),)=$E$7,OFFSET(TH!O$1,SMALL(Dong5,ROWS($1:565)),),OFFSET(TH!N$1,SMALL(Dong5,ROWS($1:565)),)))</f>
        <v>1121</v>
      </c>
      <c r="F579" s="384">
        <f ca="1">IF(ROWS($1:565)&gt;COUNT(Dong5),0,IF(OFFSET(TH!N$1,SMALL(Dong5,ROWS($1:565)),)=$E$7,OFFSET(TH!M$1,SMALL(Dong5,ROWS($1:565)),),0))</f>
        <v>2000</v>
      </c>
      <c r="G579" s="382">
        <f ca="1">IF(ROWS($1:565)&gt;COUNT(Dong5),0,IF(OFFSET(TH!O$1,SMALL(Dong5,ROWS($1:565)),)=$E$7,OFFSET(TH!M$1,SMALL(Dong5,ROWS($1:565)),),0))</f>
        <v>0</v>
      </c>
      <c r="H579" s="385">
        <f ca="1">IF(D579&lt;&gt;"",MAX(H578+F579-G579-I578,0),0)</f>
        <v>423639311</v>
      </c>
      <c r="I579" s="385">
        <f ca="1">IF(D579&lt;&gt;"",MAX(I578+G579-H578-F579,0),0)</f>
        <v>0</v>
      </c>
      <c r="J579" s="18">
        <f ca="1">MONTH(A579)</f>
        <v>9</v>
      </c>
    </row>
    <row r="580" spans="1:10" s="18" customFormat="1" ht="18" customHeight="1">
      <c r="A580" s="318">
        <f ca="1">IF(ROWS($1:566)&gt;COUNT(Dong5),"",OFFSET(TH!C$1,SMALL(Dong5,ROWS($1:566)),))</f>
        <v>42700</v>
      </c>
      <c r="B580" s="318" t="str">
        <f ca="1">IF(ROWS($1:566)&gt;COUNT(Dong5),"",OFFSET(TH!D$1,SMALL(Dong5,ROWS($1:566)),))</f>
        <v>CTGS</v>
      </c>
      <c r="C580" s="318">
        <f ca="1">IF(ROWS($1:566)&gt;COUNT(Dong5),"",OFFSET(TH!E$1,SMALL(Dong5,ROWS($1:566)),))</f>
        <v>42700</v>
      </c>
      <c r="D580" s="383" t="str">
        <f ca="1">IF(ROWS($1:566)&gt;COUNT(Dong5),"",OFFSET(TH!F$1,SMALL(Dong5,ROWS($1:566)),))</f>
        <v>VAT Tiền điện kỳ 3 T11/2016</v>
      </c>
      <c r="E580" s="318" t="str">
        <f ca="1">IF(ROWS($1:566)&gt;COUNT(Dong5),"",IF(OFFSET(TH!N$1,SMALL(Dong5,ROWS($1:566)),)=$E$7,OFFSET(TH!O$1,SMALL(Dong5,ROWS($1:566)),),OFFSET(TH!N$1,SMALL(Dong5,ROWS($1:566)),)))</f>
        <v>331</v>
      </c>
      <c r="F580" s="384">
        <f ca="1">IF(ROWS($1:566)&gt;COUNT(Dong5),0,IF(OFFSET(TH!N$1,SMALL(Dong5,ROWS($1:566)),)=$E$7,OFFSET(TH!M$1,SMALL(Dong5,ROWS($1:566)),),0))</f>
        <v>2533540</v>
      </c>
      <c r="G580" s="382">
        <f ca="1">IF(ROWS($1:566)&gt;COUNT(Dong5),0,IF(OFFSET(TH!O$1,SMALL(Dong5,ROWS($1:566)),)=$E$7,OFFSET(TH!M$1,SMALL(Dong5,ROWS($1:566)),),0))</f>
        <v>0</v>
      </c>
      <c r="H580" s="385">
        <f ca="1">IF(D580&lt;&gt;"",MAX(H579+F580-G580-I579,0),0)</f>
        <v>426172851</v>
      </c>
      <c r="I580" s="385">
        <f ca="1">IF(D580&lt;&gt;"",MAX(I579+G580-H579-F580,0),0)</f>
        <v>0</v>
      </c>
      <c r="J580" s="18">
        <f ca="1">MONTH(A580)</f>
        <v>11</v>
      </c>
    </row>
    <row r="581" spans="1:10" s="18" customFormat="1" ht="18" customHeight="1">
      <c r="A581" s="318">
        <f ca="1">IF(ROWS($1:567)&gt;COUNT(Dong5),"",OFFSET(TH!C$1,SMALL(Dong5,ROWS($1:567)),))</f>
        <v>42635</v>
      </c>
      <c r="B581" s="318" t="str">
        <f ca="1">IF(ROWS($1:567)&gt;COUNT(Dong5),"",OFFSET(TH!D$1,SMALL(Dong5,ROWS($1:567)),))</f>
        <v>GBN</v>
      </c>
      <c r="C581" s="318">
        <f ca="1">IF(ROWS($1:567)&gt;COUNT(Dong5),"",OFFSET(TH!E$1,SMALL(Dong5,ROWS($1:567)),))</f>
        <v>42635</v>
      </c>
      <c r="D581" s="383" t="str">
        <f ca="1">IF(ROWS($1:567)&gt;COUNT(Dong5),"",OFFSET(TH!F$1,SMALL(Dong5,ROWS($1:567)),))</f>
        <v>VAT Phí chuyển tiền</v>
      </c>
      <c r="E581" s="318" t="str">
        <f ca="1">IF(ROWS($1:567)&gt;COUNT(Dong5),"",IF(OFFSET(TH!N$1,SMALL(Dong5,ROWS($1:567)),)=$E$7,OFFSET(TH!O$1,SMALL(Dong5,ROWS($1:567)),),OFFSET(TH!N$1,SMALL(Dong5,ROWS($1:567)),)))</f>
        <v>1121</v>
      </c>
      <c r="F581" s="384">
        <f ca="1">IF(ROWS($1:567)&gt;COUNT(Dong5),0,IF(OFFSET(TH!N$1,SMALL(Dong5,ROWS($1:567)),)=$E$7,OFFSET(TH!M$1,SMALL(Dong5,ROWS($1:567)),),0))</f>
        <v>2500</v>
      </c>
      <c r="G581" s="382">
        <f ca="1">IF(ROWS($1:567)&gt;COUNT(Dong5),0,IF(OFFSET(TH!O$1,SMALL(Dong5,ROWS($1:567)),)=$E$7,OFFSET(TH!M$1,SMALL(Dong5,ROWS($1:567)),),0))</f>
        <v>0</v>
      </c>
      <c r="H581" s="385">
        <f ca="1">IF(D581&lt;&gt;"",MAX(H580+F581-G581-I580,0),0)</f>
        <v>426175351</v>
      </c>
      <c r="I581" s="385">
        <f ca="1">IF(D581&lt;&gt;"",MAX(I580+G581-H580-F581,0),0)</f>
        <v>0</v>
      </c>
      <c r="J581" s="18">
        <f ca="1">MONTH(A581)</f>
        <v>9</v>
      </c>
    </row>
    <row r="582" spans="1:10" s="18" customFormat="1" ht="18" customHeight="1">
      <c r="A582" s="318">
        <f ca="1">IF(ROWS($1:568)&gt;COUNT(Dong5),"",OFFSET(TH!C$1,SMALL(Dong5,ROWS($1:568)),))</f>
        <v>42635</v>
      </c>
      <c r="B582" s="318" t="str">
        <f ca="1">IF(ROWS($1:568)&gt;COUNT(Dong5),"",OFFSET(TH!D$1,SMALL(Dong5,ROWS($1:568)),))</f>
        <v>GBN</v>
      </c>
      <c r="C582" s="318">
        <f ca="1">IF(ROWS($1:568)&gt;COUNT(Dong5),"",OFFSET(TH!E$1,SMALL(Dong5,ROWS($1:568)),))</f>
        <v>42635</v>
      </c>
      <c r="D582" s="383" t="str">
        <f ca="1">IF(ROWS($1:568)&gt;COUNT(Dong5),"",OFFSET(TH!F$1,SMALL(Dong5,ROWS($1:568)),))</f>
        <v>VAT Phí chuyển tiền</v>
      </c>
      <c r="E582" s="318" t="str">
        <f ca="1">IF(ROWS($1:568)&gt;COUNT(Dong5),"",IF(OFFSET(TH!N$1,SMALL(Dong5,ROWS($1:568)),)=$E$7,OFFSET(TH!O$1,SMALL(Dong5,ROWS($1:568)),),OFFSET(TH!N$1,SMALL(Dong5,ROWS($1:568)),)))</f>
        <v>1121</v>
      </c>
      <c r="F582" s="384">
        <f ca="1">IF(ROWS($1:568)&gt;COUNT(Dong5),0,IF(OFFSET(TH!N$1,SMALL(Dong5,ROWS($1:568)),)=$E$7,OFFSET(TH!M$1,SMALL(Dong5,ROWS($1:568)),),0))</f>
        <v>2000</v>
      </c>
      <c r="G582" s="382">
        <f ca="1">IF(ROWS($1:568)&gt;COUNT(Dong5),0,IF(OFFSET(TH!O$1,SMALL(Dong5,ROWS($1:568)),)=$E$7,OFFSET(TH!M$1,SMALL(Dong5,ROWS($1:568)),),0))</f>
        <v>0</v>
      </c>
      <c r="H582" s="385">
        <f ca="1">IF(D582&lt;&gt;"",MAX(H581+F582-G582-I581,0),0)</f>
        <v>426177351</v>
      </c>
      <c r="I582" s="385">
        <f ca="1">IF(D582&lt;&gt;"",MAX(I581+G582-H581-F582,0),0)</f>
        <v>0</v>
      </c>
      <c r="J582" s="18">
        <f ca="1">MONTH(A582)</f>
        <v>9</v>
      </c>
    </row>
    <row r="583" spans="1:10" s="18" customFormat="1" ht="18" customHeight="1">
      <c r="A583" s="318">
        <f ca="1">IF(ROWS($1:569)&gt;COUNT(Dong5),"",OFFSET(TH!C$1,SMALL(Dong5,ROWS($1:569)),))</f>
        <v>42638</v>
      </c>
      <c r="B583" s="318" t="str">
        <f ca="1">IF(ROWS($1:569)&gt;COUNT(Dong5),"",OFFSET(TH!D$1,SMALL(Dong5,ROWS($1:569)),))</f>
        <v>C25</v>
      </c>
      <c r="C583" s="318">
        <f ca="1">IF(ROWS($1:569)&gt;COUNT(Dong5),"",OFFSET(TH!E$1,SMALL(Dong5,ROWS($1:569)),))</f>
        <v>42638</v>
      </c>
      <c r="D583" s="383" t="str">
        <f ca="1">IF(ROWS($1:569)&gt;COUNT(Dong5),"",OFFSET(TH!F$1,SMALL(Dong5,ROWS($1:569)),))</f>
        <v>VAT Xăng, dầu DO</v>
      </c>
      <c r="E583" s="318" t="str">
        <f ca="1">IF(ROWS($1:569)&gt;COUNT(Dong5),"",IF(OFFSET(TH!N$1,SMALL(Dong5,ROWS($1:569)),)=$E$7,OFFSET(TH!O$1,SMALL(Dong5,ROWS($1:569)),),OFFSET(TH!N$1,SMALL(Dong5,ROWS($1:569)),)))</f>
        <v>1111</v>
      </c>
      <c r="F583" s="384">
        <f ca="1">IF(ROWS($1:569)&gt;COUNT(Dong5),0,IF(OFFSET(TH!N$1,SMALL(Dong5,ROWS($1:569)),)=$E$7,OFFSET(TH!M$1,SMALL(Dong5,ROWS($1:569)),),0))</f>
        <v>169349</v>
      </c>
      <c r="G583" s="382">
        <f ca="1">IF(ROWS($1:569)&gt;COUNT(Dong5),0,IF(OFFSET(TH!O$1,SMALL(Dong5,ROWS($1:569)),)=$E$7,OFFSET(TH!M$1,SMALL(Dong5,ROWS($1:569)),),0))</f>
        <v>0</v>
      </c>
      <c r="H583" s="385">
        <f ca="1">IF(D583&lt;&gt;"",MAX(H582+F583-G583-I582,0),0)</f>
        <v>426346700</v>
      </c>
      <c r="I583" s="385">
        <f ca="1">IF(D583&lt;&gt;"",MAX(I582+G583-H582-F583,0),0)</f>
        <v>0</v>
      </c>
      <c r="J583" s="18">
        <f ca="1">MONTH(A583)</f>
        <v>9</v>
      </c>
    </row>
    <row r="584" spans="1:10" s="18" customFormat="1" ht="18" customHeight="1">
      <c r="A584" s="318">
        <f ca="1">IF(ROWS($1:570)&gt;COUNT(Dong5),"",OFFSET(TH!C$1,SMALL(Dong5,ROWS($1:570)),))</f>
        <v>42639</v>
      </c>
      <c r="B584" s="318" t="str">
        <f ca="1">IF(ROWS($1:570)&gt;COUNT(Dong5),"",OFFSET(TH!D$1,SMALL(Dong5,ROWS($1:570)),))</f>
        <v>GBN</v>
      </c>
      <c r="C584" s="318">
        <f ca="1">IF(ROWS($1:570)&gt;COUNT(Dong5),"",OFFSET(TH!E$1,SMALL(Dong5,ROWS($1:570)),))</f>
        <v>42639</v>
      </c>
      <c r="D584" s="383" t="str">
        <f ca="1">IF(ROWS($1:570)&gt;COUNT(Dong5),"",OFFSET(TH!F$1,SMALL(Dong5,ROWS($1:570)),))</f>
        <v>VAT Phí dịch vụ thông báo số dư tự động</v>
      </c>
      <c r="E584" s="318" t="str">
        <f ca="1">IF(ROWS($1:570)&gt;COUNT(Dong5),"",IF(OFFSET(TH!N$1,SMALL(Dong5,ROWS($1:570)),)=$E$7,OFFSET(TH!O$1,SMALL(Dong5,ROWS($1:570)),),OFFSET(TH!N$1,SMALL(Dong5,ROWS($1:570)),)))</f>
        <v>1121</v>
      </c>
      <c r="F584" s="384">
        <f ca="1">IF(ROWS($1:570)&gt;COUNT(Dong5),0,IF(OFFSET(TH!N$1,SMALL(Dong5,ROWS($1:570)),)=$E$7,OFFSET(TH!M$1,SMALL(Dong5,ROWS($1:570)),),0))</f>
        <v>5000</v>
      </c>
      <c r="G584" s="382">
        <f ca="1">IF(ROWS($1:570)&gt;COUNT(Dong5),0,IF(OFFSET(TH!O$1,SMALL(Dong5,ROWS($1:570)),)=$E$7,OFFSET(TH!M$1,SMALL(Dong5,ROWS($1:570)),),0))</f>
        <v>0</v>
      </c>
      <c r="H584" s="385">
        <f ca="1">IF(D584&lt;&gt;"",MAX(H583+F584-G584-I583,0),0)</f>
        <v>426351700</v>
      </c>
      <c r="I584" s="385">
        <f ca="1">IF(D584&lt;&gt;"",MAX(I583+G584-H583-F584,0),0)</f>
        <v>0</v>
      </c>
      <c r="J584" s="18">
        <f ca="1">MONTH(A584)</f>
        <v>9</v>
      </c>
    </row>
    <row r="585" spans="1:10" s="18" customFormat="1" ht="18" customHeight="1">
      <c r="A585" s="318">
        <f ca="1">IF(ROWS($1:571)&gt;COUNT(Dong5),"",OFFSET(TH!C$1,SMALL(Dong5,ROWS($1:571)),))</f>
        <v>42639</v>
      </c>
      <c r="B585" s="318" t="str">
        <f ca="1">IF(ROWS($1:571)&gt;COUNT(Dong5),"",OFFSET(TH!D$1,SMALL(Dong5,ROWS($1:571)),))</f>
        <v>GBN</v>
      </c>
      <c r="C585" s="318">
        <f ca="1">IF(ROWS($1:571)&gt;COUNT(Dong5),"",OFFSET(TH!E$1,SMALL(Dong5,ROWS($1:571)),))</f>
        <v>42639</v>
      </c>
      <c r="D585" s="383" t="str">
        <f ca="1">IF(ROWS($1:571)&gt;COUNT(Dong5),"",OFFSET(TH!F$1,SMALL(Dong5,ROWS($1:571)),))</f>
        <v>VAT Phí dịch vụ thông báo số dư tự động</v>
      </c>
      <c r="E585" s="318" t="str">
        <f ca="1">IF(ROWS($1:571)&gt;COUNT(Dong5),"",IF(OFFSET(TH!N$1,SMALL(Dong5,ROWS($1:571)),)=$E$7,OFFSET(TH!O$1,SMALL(Dong5,ROWS($1:571)),),OFFSET(TH!N$1,SMALL(Dong5,ROWS($1:571)),)))</f>
        <v>1121</v>
      </c>
      <c r="F585" s="384">
        <f ca="1">IF(ROWS($1:571)&gt;COUNT(Dong5),0,IF(OFFSET(TH!N$1,SMALL(Dong5,ROWS($1:571)),)=$E$7,OFFSET(TH!M$1,SMALL(Dong5,ROWS($1:571)),),0))</f>
        <v>5000</v>
      </c>
      <c r="G585" s="382">
        <f ca="1">IF(ROWS($1:571)&gt;COUNT(Dong5),0,IF(OFFSET(TH!O$1,SMALL(Dong5,ROWS($1:571)),)=$E$7,OFFSET(TH!M$1,SMALL(Dong5,ROWS($1:571)),),0))</f>
        <v>0</v>
      </c>
      <c r="H585" s="385">
        <f ca="1">IF(D585&lt;&gt;"",MAX(H584+F585-G585-I584,0),0)</f>
        <v>426356700</v>
      </c>
      <c r="I585" s="385">
        <f ca="1">IF(D585&lt;&gt;"",MAX(I584+G585-H584-F585,0),0)</f>
        <v>0</v>
      </c>
      <c r="J585" s="18">
        <f ca="1">MONTH(A585)</f>
        <v>9</v>
      </c>
    </row>
    <row r="586" spans="1:10" s="18" customFormat="1" ht="18" customHeight="1">
      <c r="A586" s="318">
        <f ca="1">IF(ROWS($1:572)&gt;COUNT(Dong5),"",OFFSET(TH!C$1,SMALL(Dong5,ROWS($1:572)),))</f>
        <v>42639</v>
      </c>
      <c r="B586" s="318" t="str">
        <f ca="1">IF(ROWS($1:572)&gt;COUNT(Dong5),"",OFFSET(TH!D$1,SMALL(Dong5,ROWS($1:572)),))</f>
        <v>GBN</v>
      </c>
      <c r="C586" s="318">
        <f ca="1">IF(ROWS($1:572)&gt;COUNT(Dong5),"",OFFSET(TH!E$1,SMALL(Dong5,ROWS($1:572)),))</f>
        <v>42639</v>
      </c>
      <c r="D586" s="383" t="str">
        <f ca="1">IF(ROWS($1:572)&gt;COUNT(Dong5),"",OFFSET(TH!F$1,SMALL(Dong5,ROWS($1:572)),))</f>
        <v>VAT Phí dịch vụ thông báo số dư tự động</v>
      </c>
      <c r="E586" s="318" t="str">
        <f ca="1">IF(ROWS($1:572)&gt;COUNT(Dong5),"",IF(OFFSET(TH!N$1,SMALL(Dong5,ROWS($1:572)),)=$E$7,OFFSET(TH!O$1,SMALL(Dong5,ROWS($1:572)),),OFFSET(TH!N$1,SMALL(Dong5,ROWS($1:572)),)))</f>
        <v>1121</v>
      </c>
      <c r="F586" s="384">
        <f ca="1">IF(ROWS($1:572)&gt;COUNT(Dong5),0,IF(OFFSET(TH!N$1,SMALL(Dong5,ROWS($1:572)),)=$E$7,OFFSET(TH!M$1,SMALL(Dong5,ROWS($1:572)),),0))</f>
        <v>5000</v>
      </c>
      <c r="G586" s="382">
        <f ca="1">IF(ROWS($1:572)&gt;COUNT(Dong5),0,IF(OFFSET(TH!O$1,SMALL(Dong5,ROWS($1:572)),)=$E$7,OFFSET(TH!M$1,SMALL(Dong5,ROWS($1:572)),),0))</f>
        <v>0</v>
      </c>
      <c r="H586" s="385">
        <f ca="1">IF(D586&lt;&gt;"",MAX(H585+F586-G586-I585,0),0)</f>
        <v>426361700</v>
      </c>
      <c r="I586" s="385">
        <f ca="1">IF(D586&lt;&gt;"",MAX(I585+G586-H585-F586,0),0)</f>
        <v>0</v>
      </c>
      <c r="J586" s="18">
        <f ca="1">MONTH(A586)</f>
        <v>9</v>
      </c>
    </row>
    <row r="587" spans="1:10" s="18" customFormat="1" ht="18" customHeight="1">
      <c r="A587" s="318">
        <f ca="1">IF(ROWS($1:573)&gt;COUNT(Dong5),"",OFFSET(TH!C$1,SMALL(Dong5,ROWS($1:573)),))</f>
        <v>42639</v>
      </c>
      <c r="B587" s="318" t="str">
        <f ca="1">IF(ROWS($1:573)&gt;COUNT(Dong5),"",OFFSET(TH!D$1,SMALL(Dong5,ROWS($1:573)),))</f>
        <v>GBN</v>
      </c>
      <c r="C587" s="318">
        <f ca="1">IF(ROWS($1:573)&gt;COUNT(Dong5),"",OFFSET(TH!E$1,SMALL(Dong5,ROWS($1:573)),))</f>
        <v>42639</v>
      </c>
      <c r="D587" s="383" t="str">
        <f ca="1">IF(ROWS($1:573)&gt;COUNT(Dong5),"",OFFSET(TH!F$1,SMALL(Dong5,ROWS($1:573)),))</f>
        <v>VAT Phí dịch vụ thông báo số dư tự động</v>
      </c>
      <c r="E587" s="318" t="str">
        <f ca="1">IF(ROWS($1:573)&gt;COUNT(Dong5),"",IF(OFFSET(TH!N$1,SMALL(Dong5,ROWS($1:573)),)=$E$7,OFFSET(TH!O$1,SMALL(Dong5,ROWS($1:573)),),OFFSET(TH!N$1,SMALL(Dong5,ROWS($1:573)),)))</f>
        <v>1121</v>
      </c>
      <c r="F587" s="384">
        <f ca="1">IF(ROWS($1:573)&gt;COUNT(Dong5),0,IF(OFFSET(TH!N$1,SMALL(Dong5,ROWS($1:573)),)=$E$7,OFFSET(TH!M$1,SMALL(Dong5,ROWS($1:573)),),0))</f>
        <v>5000</v>
      </c>
      <c r="G587" s="382">
        <f ca="1">IF(ROWS($1:573)&gt;COUNT(Dong5),0,IF(OFFSET(TH!O$1,SMALL(Dong5,ROWS($1:573)),)=$E$7,OFFSET(TH!M$1,SMALL(Dong5,ROWS($1:573)),),0))</f>
        <v>0</v>
      </c>
      <c r="H587" s="385">
        <f ca="1">IF(D587&lt;&gt;"",MAX(H586+F587-G587-I586,0),0)</f>
        <v>426366700</v>
      </c>
      <c r="I587" s="385">
        <f ca="1">IF(D587&lt;&gt;"",MAX(I586+G587-H586-F587,0),0)</f>
        <v>0</v>
      </c>
      <c r="J587" s="18">
        <f ca="1">MONTH(A587)</f>
        <v>9</v>
      </c>
    </row>
    <row r="588" spans="1:10" s="18" customFormat="1" ht="18" customHeight="1">
      <c r="A588" s="318">
        <f ca="1">IF(ROWS($1:574)&gt;COUNT(Dong5),"",OFFSET(TH!C$1,SMALL(Dong5,ROWS($1:574)),))</f>
        <v>42640</v>
      </c>
      <c r="B588" s="318" t="str">
        <f ca="1">IF(ROWS($1:574)&gt;COUNT(Dong5),"",OFFSET(TH!D$1,SMALL(Dong5,ROWS($1:574)),))</f>
        <v>C28</v>
      </c>
      <c r="C588" s="318">
        <f ca="1">IF(ROWS($1:574)&gt;COUNT(Dong5),"",OFFSET(TH!E$1,SMALL(Dong5,ROWS($1:574)),))</f>
        <v>42640</v>
      </c>
      <c r="D588" s="383" t="str">
        <f ca="1">IF(ROWS($1:574)&gt;COUNT(Dong5),"",OFFSET(TH!F$1,SMALL(Dong5,ROWS($1:574)),))</f>
        <v>VAT Phí dịch vụ bảo vệ T9/2016</v>
      </c>
      <c r="E588" s="318" t="str">
        <f ca="1">IF(ROWS($1:574)&gt;COUNT(Dong5),"",IF(OFFSET(TH!N$1,SMALL(Dong5,ROWS($1:574)),)=$E$7,OFFSET(TH!O$1,SMALL(Dong5,ROWS($1:574)),),OFFSET(TH!N$1,SMALL(Dong5,ROWS($1:574)),)))</f>
        <v>1111</v>
      </c>
      <c r="F588" s="384">
        <f ca="1">IF(ROWS($1:574)&gt;COUNT(Dong5),0,IF(OFFSET(TH!N$1,SMALL(Dong5,ROWS($1:574)),)=$E$7,OFFSET(TH!M$1,SMALL(Dong5,ROWS($1:574)),),0))</f>
        <v>1605000</v>
      </c>
      <c r="G588" s="382">
        <f ca="1">IF(ROWS($1:574)&gt;COUNT(Dong5),0,IF(OFFSET(TH!O$1,SMALL(Dong5,ROWS($1:574)),)=$E$7,OFFSET(TH!M$1,SMALL(Dong5,ROWS($1:574)),),0))</f>
        <v>0</v>
      </c>
      <c r="H588" s="385">
        <f ca="1">IF(D588&lt;&gt;"",MAX(H587+F588-G588-I587,0),0)</f>
        <v>427971700</v>
      </c>
      <c r="I588" s="385">
        <f ca="1">IF(D588&lt;&gt;"",MAX(I587+G588-H587-F588,0),0)</f>
        <v>0</v>
      </c>
      <c r="J588" s="18">
        <f ca="1">MONTH(A588)</f>
        <v>9</v>
      </c>
    </row>
    <row r="589" spans="1:10" s="18" customFormat="1" ht="18" customHeight="1">
      <c r="A589" s="318">
        <f ca="1">IF(ROWS($1:575)&gt;COUNT(Dong5),"",OFFSET(TH!C$1,SMALL(Dong5,ROWS($1:575)),))</f>
        <v>42640</v>
      </c>
      <c r="B589" s="318" t="str">
        <f ca="1">IF(ROWS($1:575)&gt;COUNT(Dong5),"",OFFSET(TH!D$1,SMALL(Dong5,ROWS($1:575)),))</f>
        <v>C29</v>
      </c>
      <c r="C589" s="318">
        <f ca="1">IF(ROWS($1:575)&gt;COUNT(Dong5),"",OFFSET(TH!E$1,SMALL(Dong5,ROWS($1:575)),))</f>
        <v>42640</v>
      </c>
      <c r="D589" s="383" t="str">
        <f ca="1">IF(ROWS($1:575)&gt;COUNT(Dong5),"",OFFSET(TH!F$1,SMALL(Dong5,ROWS($1:575)),))</f>
        <v>VAT Phí xét nghiệm mẫu</v>
      </c>
      <c r="E589" s="318" t="str">
        <f ca="1">IF(ROWS($1:575)&gt;COUNT(Dong5),"",IF(OFFSET(TH!N$1,SMALL(Dong5,ROWS($1:575)),)=$E$7,OFFSET(TH!O$1,SMALL(Dong5,ROWS($1:575)),),OFFSET(TH!N$1,SMALL(Dong5,ROWS($1:575)),)))</f>
        <v>1111</v>
      </c>
      <c r="F589" s="384">
        <f ca="1">IF(ROWS($1:575)&gt;COUNT(Dong5),0,IF(OFFSET(TH!N$1,SMALL(Dong5,ROWS($1:575)),)=$E$7,OFFSET(TH!M$1,SMALL(Dong5,ROWS($1:575)),),0))</f>
        <v>99818</v>
      </c>
      <c r="G589" s="382">
        <f ca="1">IF(ROWS($1:575)&gt;COUNT(Dong5),0,IF(OFFSET(TH!O$1,SMALL(Dong5,ROWS($1:575)),)=$E$7,OFFSET(TH!M$1,SMALL(Dong5,ROWS($1:575)),),0))</f>
        <v>0</v>
      </c>
      <c r="H589" s="385">
        <f ca="1">IF(D589&lt;&gt;"",MAX(H588+F589-G589-I588,0),0)</f>
        <v>428071518</v>
      </c>
      <c r="I589" s="385">
        <f ca="1">IF(D589&lt;&gt;"",MAX(I588+G589-H588-F589,0),0)</f>
        <v>0</v>
      </c>
      <c r="J589" s="18">
        <f ca="1">MONTH(A589)</f>
        <v>9</v>
      </c>
    </row>
    <row r="590" spans="1:10" s="18" customFormat="1" ht="18" customHeight="1">
      <c r="A590" s="318">
        <f ca="1">IF(ROWS($1:576)&gt;COUNT(Dong5),"",OFFSET(TH!C$1,SMALL(Dong5,ROWS($1:576)),))</f>
        <v>42642</v>
      </c>
      <c r="B590" s="318" t="str">
        <f ca="1">IF(ROWS($1:576)&gt;COUNT(Dong5),"",OFFSET(TH!D$1,SMALL(Dong5,ROWS($1:576)),))</f>
        <v>GBN</v>
      </c>
      <c r="C590" s="318">
        <f ca="1">IF(ROWS($1:576)&gt;COUNT(Dong5),"",OFFSET(TH!E$1,SMALL(Dong5,ROWS($1:576)),))</f>
        <v>42642</v>
      </c>
      <c r="D590" s="383" t="str">
        <f ca="1">IF(ROWS($1:576)&gt;COUNT(Dong5),"",OFFSET(TH!F$1,SMALL(Dong5,ROWS($1:576)),))</f>
        <v>VAT Phí dịch vụ</v>
      </c>
      <c r="E590" s="318" t="str">
        <f ca="1">IF(ROWS($1:576)&gt;COUNT(Dong5),"",IF(OFFSET(TH!N$1,SMALL(Dong5,ROWS($1:576)),)=$E$7,OFFSET(TH!O$1,SMALL(Dong5,ROWS($1:576)),),OFFSET(TH!N$1,SMALL(Dong5,ROWS($1:576)),)))</f>
        <v>1121</v>
      </c>
      <c r="F590" s="384">
        <f ca="1">IF(ROWS($1:576)&gt;COUNT(Dong5),0,IF(OFFSET(TH!N$1,SMALL(Dong5,ROWS($1:576)),)=$E$7,OFFSET(TH!M$1,SMALL(Dong5,ROWS($1:576)),),0))</f>
        <v>3600</v>
      </c>
      <c r="G590" s="382">
        <f ca="1">IF(ROWS($1:576)&gt;COUNT(Dong5),0,IF(OFFSET(TH!O$1,SMALL(Dong5,ROWS($1:576)),)=$E$7,OFFSET(TH!M$1,SMALL(Dong5,ROWS($1:576)),),0))</f>
        <v>0</v>
      </c>
      <c r="H590" s="385">
        <f ca="1">IF(D590&lt;&gt;"",MAX(H589+F590-G590-I589,0),0)</f>
        <v>428075118</v>
      </c>
      <c r="I590" s="385">
        <f ca="1">IF(D590&lt;&gt;"",MAX(I589+G590-H589-F590,0),0)</f>
        <v>0</v>
      </c>
      <c r="J590" s="18">
        <f ca="1">MONTH(A590)</f>
        <v>9</v>
      </c>
    </row>
    <row r="591" spans="1:10" s="18" customFormat="1" ht="18" customHeight="1">
      <c r="A591" s="318">
        <f ca="1">IF(ROWS($1:577)&gt;COUNT(Dong5),"",OFFSET(TH!C$1,SMALL(Dong5,ROWS($1:577)),))</f>
        <v>42643</v>
      </c>
      <c r="B591" s="318" t="str">
        <f ca="1">IF(ROWS($1:577)&gt;COUNT(Dong5),"",OFFSET(TH!D$1,SMALL(Dong5,ROWS($1:577)),))</f>
        <v>C31</v>
      </c>
      <c r="C591" s="318">
        <f ca="1">IF(ROWS($1:577)&gt;COUNT(Dong5),"",OFFSET(TH!E$1,SMALL(Dong5,ROWS($1:577)),))</f>
        <v>42643</v>
      </c>
      <c r="D591" s="383" t="str">
        <f ca="1">IF(ROWS($1:577)&gt;COUNT(Dong5),"",OFFSET(TH!F$1,SMALL(Dong5,ROWS($1:577)),))</f>
        <v>VAT Phí giao thông</v>
      </c>
      <c r="E591" s="318" t="str">
        <f ca="1">IF(ROWS($1:577)&gt;COUNT(Dong5),"",IF(OFFSET(TH!N$1,SMALL(Dong5,ROWS($1:577)),)=$E$7,OFFSET(TH!O$1,SMALL(Dong5,ROWS($1:577)),),OFFSET(TH!N$1,SMALL(Dong5,ROWS($1:577)),)))</f>
        <v>1111</v>
      </c>
      <c r="F591" s="384">
        <f ca="1">IF(ROWS($1:577)&gt;COUNT(Dong5),0,IF(OFFSET(TH!N$1,SMALL(Dong5,ROWS($1:577)),)=$E$7,OFFSET(TH!M$1,SMALL(Dong5,ROWS($1:577)),),0))</f>
        <v>238182</v>
      </c>
      <c r="G591" s="382">
        <f ca="1">IF(ROWS($1:577)&gt;COUNT(Dong5),0,IF(OFFSET(TH!O$1,SMALL(Dong5,ROWS($1:577)),)=$E$7,OFFSET(TH!M$1,SMALL(Dong5,ROWS($1:577)),),0))</f>
        <v>0</v>
      </c>
      <c r="H591" s="385">
        <f ca="1">IF(D591&lt;&gt;"",MAX(H590+F591-G591-I590,0),0)</f>
        <v>428313300</v>
      </c>
      <c r="I591" s="385">
        <f ca="1">IF(D591&lt;&gt;"",MAX(I590+G591-H590-F591,0),0)</f>
        <v>0</v>
      </c>
      <c r="J591" s="18">
        <f ca="1">MONTH(A591)</f>
        <v>9</v>
      </c>
    </row>
    <row r="592" spans="1:10" s="18" customFormat="1" ht="18" customHeight="1">
      <c r="A592" s="318">
        <f ca="1">IF(ROWS($1:578)&gt;COUNT(Dong5),"",OFFSET(TH!C$1,SMALL(Dong5,ROWS($1:578)),))</f>
        <v>42646</v>
      </c>
      <c r="B592" s="318" t="str">
        <f ca="1">IF(ROWS($1:578)&gt;COUNT(Dong5),"",OFFSET(TH!D$1,SMALL(Dong5,ROWS($1:578)),))</f>
        <v>C03</v>
      </c>
      <c r="C592" s="318">
        <f ca="1">IF(ROWS($1:578)&gt;COUNT(Dong5),"",OFFSET(TH!E$1,SMALL(Dong5,ROWS($1:578)),))</f>
        <v>42646</v>
      </c>
      <c r="D592" s="383" t="str">
        <f ca="1">IF(ROWS($1:578)&gt;COUNT(Dong5),"",OFFSET(TH!F$1,SMALL(Dong5,ROWS($1:578)),))</f>
        <v>VAT Form C/O</v>
      </c>
      <c r="E592" s="318" t="str">
        <f ca="1">IF(ROWS($1:578)&gt;COUNT(Dong5),"",IF(OFFSET(TH!N$1,SMALL(Dong5,ROWS($1:578)),)=$E$7,OFFSET(TH!O$1,SMALL(Dong5,ROWS($1:578)),),OFFSET(TH!N$1,SMALL(Dong5,ROWS($1:578)),)))</f>
        <v>1111</v>
      </c>
      <c r="F592" s="384">
        <f ca="1">IF(ROWS($1:578)&gt;COUNT(Dong5),0,IF(OFFSET(TH!N$1,SMALL(Dong5,ROWS($1:578)),)=$E$7,OFFSET(TH!M$1,SMALL(Dong5,ROWS($1:578)),),0))</f>
        <v>9091</v>
      </c>
      <c r="G592" s="382">
        <f ca="1">IF(ROWS($1:578)&gt;COUNT(Dong5),0,IF(OFFSET(TH!O$1,SMALL(Dong5,ROWS($1:578)),)=$E$7,OFFSET(TH!M$1,SMALL(Dong5,ROWS($1:578)),),0))</f>
        <v>0</v>
      </c>
      <c r="H592" s="385">
        <f ca="1">IF(D592&lt;&gt;"",MAX(H591+F592-G592-I591,0),0)</f>
        <v>428322391</v>
      </c>
      <c r="I592" s="385">
        <f ca="1">IF(D592&lt;&gt;"",MAX(I591+G592-H591-F592,0),0)</f>
        <v>0</v>
      </c>
      <c r="J592" s="18">
        <f ca="1">MONTH(A592)</f>
        <v>10</v>
      </c>
    </row>
    <row r="593" spans="1:10" s="18" customFormat="1" ht="18" customHeight="1">
      <c r="A593" s="318">
        <f ca="1">IF(ROWS($1:579)&gt;COUNT(Dong5),"",OFFSET(TH!C$1,SMALL(Dong5,ROWS($1:579)),))</f>
        <v>42646</v>
      </c>
      <c r="B593" s="318" t="str">
        <f ca="1">IF(ROWS($1:579)&gt;COUNT(Dong5),"",OFFSET(TH!D$1,SMALL(Dong5,ROWS($1:579)),))</f>
        <v>C04</v>
      </c>
      <c r="C593" s="318">
        <f ca="1">IF(ROWS($1:579)&gt;COUNT(Dong5),"",OFFSET(TH!E$1,SMALL(Dong5,ROWS($1:579)),))</f>
        <v>42646</v>
      </c>
      <c r="D593" s="383" t="str">
        <f ca="1">IF(ROWS($1:579)&gt;COUNT(Dong5),"",OFFSET(TH!F$1,SMALL(Dong5,ROWS($1:579)),))</f>
        <v>VAT Dầu DO</v>
      </c>
      <c r="E593" s="318" t="str">
        <f ca="1">IF(ROWS($1:579)&gt;COUNT(Dong5),"",IF(OFFSET(TH!N$1,SMALL(Dong5,ROWS($1:579)),)=$E$7,OFFSET(TH!O$1,SMALL(Dong5,ROWS($1:579)),),OFFSET(TH!N$1,SMALL(Dong5,ROWS($1:579)),)))</f>
        <v>1111</v>
      </c>
      <c r="F593" s="384">
        <f ca="1">IF(ROWS($1:579)&gt;COUNT(Dong5),0,IF(OFFSET(TH!N$1,SMALL(Dong5,ROWS($1:579)),)=$E$7,OFFSET(TH!M$1,SMALL(Dong5,ROWS($1:579)),),0))</f>
        <v>55682</v>
      </c>
      <c r="G593" s="382">
        <f ca="1">IF(ROWS($1:579)&gt;COUNT(Dong5),0,IF(OFFSET(TH!O$1,SMALL(Dong5,ROWS($1:579)),)=$E$7,OFFSET(TH!M$1,SMALL(Dong5,ROWS($1:579)),),0))</f>
        <v>0</v>
      </c>
      <c r="H593" s="385">
        <f ca="1">IF(D593&lt;&gt;"",MAX(H592+F593-G593-I592,0),0)</f>
        <v>428378073</v>
      </c>
      <c r="I593" s="385">
        <f ca="1">IF(D593&lt;&gt;"",MAX(I592+G593-H592-F593,0),0)</f>
        <v>0</v>
      </c>
      <c r="J593" s="18">
        <f ca="1">MONTH(A593)</f>
        <v>10</v>
      </c>
    </row>
    <row r="594" spans="1:10" s="18" customFormat="1" ht="18" customHeight="1">
      <c r="A594" s="318">
        <f ca="1">IF(ROWS($1:580)&gt;COUNT(Dong5),"",OFFSET(TH!C$1,SMALL(Dong5,ROWS($1:580)),))</f>
        <v>42734</v>
      </c>
      <c r="B594" s="318" t="str">
        <f ca="1">IF(ROWS($1:580)&gt;COUNT(Dong5),"",OFFSET(TH!D$1,SMALL(Dong5,ROWS($1:580)),))</f>
        <v>CTGS</v>
      </c>
      <c r="C594" s="318">
        <f ca="1">IF(ROWS($1:580)&gt;COUNT(Dong5),"",OFFSET(TH!E$1,SMALL(Dong5,ROWS($1:580)),))</f>
        <v>42734</v>
      </c>
      <c r="D594" s="383" t="str">
        <f ca="1">IF(ROWS($1:580)&gt;COUNT(Dong5),"",OFFSET(TH!F$1,SMALL(Dong5,ROWS($1:580)),))</f>
        <v>VAT Phí xử lý cá khô</v>
      </c>
      <c r="E594" s="318" t="str">
        <f ca="1">IF(ROWS($1:580)&gt;COUNT(Dong5),"",IF(OFFSET(TH!N$1,SMALL(Dong5,ROWS($1:580)),)=$E$7,OFFSET(TH!O$1,SMALL(Dong5,ROWS($1:580)),),OFFSET(TH!N$1,SMALL(Dong5,ROWS($1:580)),)))</f>
        <v>331</v>
      </c>
      <c r="F594" s="384">
        <f ca="1">IF(ROWS($1:580)&gt;COUNT(Dong5),0,IF(OFFSET(TH!N$1,SMALL(Dong5,ROWS($1:580)),)=$E$7,OFFSET(TH!M$1,SMALL(Dong5,ROWS($1:580)),),0))</f>
        <v>200000</v>
      </c>
      <c r="G594" s="382">
        <f ca="1">IF(ROWS($1:580)&gt;COUNT(Dong5),0,IF(OFFSET(TH!O$1,SMALL(Dong5,ROWS($1:580)),)=$E$7,OFFSET(TH!M$1,SMALL(Dong5,ROWS($1:580)),),0))</f>
        <v>0</v>
      </c>
      <c r="H594" s="385">
        <f ca="1">IF(D594&lt;&gt;"",MAX(H593+F594-G594-I593,0),0)</f>
        <v>428578073</v>
      </c>
      <c r="I594" s="385">
        <f ca="1">IF(D594&lt;&gt;"",MAX(I593+G594-H593-F594,0),0)</f>
        <v>0</v>
      </c>
      <c r="J594" s="18">
        <f ca="1">MONTH(A594)</f>
        <v>12</v>
      </c>
    </row>
    <row r="595" spans="1:10" s="18" customFormat="1" ht="18" customHeight="1">
      <c r="A595" s="318">
        <f ca="1">IF(ROWS($1:581)&gt;COUNT(Dong5),"",OFFSET(TH!C$1,SMALL(Dong5,ROWS($1:581)),))</f>
        <v>42646</v>
      </c>
      <c r="B595" s="318" t="str">
        <f ca="1">IF(ROWS($1:581)&gt;COUNT(Dong5),"",OFFSET(TH!D$1,SMALL(Dong5,ROWS($1:581)),))</f>
        <v>GBN</v>
      </c>
      <c r="C595" s="318">
        <f ca="1">IF(ROWS($1:581)&gt;COUNT(Dong5),"",OFFSET(TH!E$1,SMALL(Dong5,ROWS($1:581)),))</f>
        <v>42646</v>
      </c>
      <c r="D595" s="383" t="str">
        <f ca="1">IF(ROWS($1:581)&gt;COUNT(Dong5),"",OFFSET(TH!F$1,SMALL(Dong5,ROWS($1:581)),))</f>
        <v>VAT Phí dịch vụ</v>
      </c>
      <c r="E595" s="318" t="str">
        <f ca="1">IF(ROWS($1:581)&gt;COUNT(Dong5),"",IF(OFFSET(TH!N$1,SMALL(Dong5,ROWS($1:581)),)=$E$7,OFFSET(TH!O$1,SMALL(Dong5,ROWS($1:581)),),OFFSET(TH!N$1,SMALL(Dong5,ROWS($1:581)),)))</f>
        <v>1121</v>
      </c>
      <c r="F595" s="384">
        <f ca="1">IF(ROWS($1:581)&gt;COUNT(Dong5),0,IF(OFFSET(TH!N$1,SMALL(Dong5,ROWS($1:581)),)=$E$7,OFFSET(TH!M$1,SMALL(Dong5,ROWS($1:581)),),0))</f>
        <v>5000</v>
      </c>
      <c r="G595" s="382">
        <f ca="1">IF(ROWS($1:581)&gt;COUNT(Dong5),0,IF(OFFSET(TH!O$1,SMALL(Dong5,ROWS($1:581)),)=$E$7,OFFSET(TH!M$1,SMALL(Dong5,ROWS($1:581)),),0))</f>
        <v>0</v>
      </c>
      <c r="H595" s="385">
        <f ca="1">IF(D595&lt;&gt;"",MAX(H594+F595-G595-I594,0),0)</f>
        <v>428583073</v>
      </c>
      <c r="I595" s="385">
        <f ca="1">IF(D595&lt;&gt;"",MAX(I594+G595-H594-F595,0),0)</f>
        <v>0</v>
      </c>
      <c r="J595" s="18">
        <f ca="1">MONTH(A595)</f>
        <v>10</v>
      </c>
    </row>
    <row r="596" spans="1:10" s="18" customFormat="1" ht="18" customHeight="1">
      <c r="A596" s="318">
        <f ca="1">IF(ROWS($1:582)&gt;COUNT(Dong5),"",OFFSET(TH!C$1,SMALL(Dong5,ROWS($1:582)),))</f>
        <v>42646</v>
      </c>
      <c r="B596" s="318" t="str">
        <f ca="1">IF(ROWS($1:582)&gt;COUNT(Dong5),"",OFFSET(TH!D$1,SMALL(Dong5,ROWS($1:582)),))</f>
        <v>GBN</v>
      </c>
      <c r="C596" s="318">
        <f ca="1">IF(ROWS($1:582)&gt;COUNT(Dong5),"",OFFSET(TH!E$1,SMALL(Dong5,ROWS($1:582)),))</f>
        <v>42646</v>
      </c>
      <c r="D596" s="383" t="str">
        <f ca="1">IF(ROWS($1:582)&gt;COUNT(Dong5),"",OFFSET(TH!F$1,SMALL(Dong5,ROWS($1:582)),))</f>
        <v>VAT Phí dịch vụ</v>
      </c>
      <c r="E596" s="318" t="str">
        <f ca="1">IF(ROWS($1:582)&gt;COUNT(Dong5),"",IF(OFFSET(TH!N$1,SMALL(Dong5,ROWS($1:582)),)=$E$7,OFFSET(TH!O$1,SMALL(Dong5,ROWS($1:582)),),OFFSET(TH!N$1,SMALL(Dong5,ROWS($1:582)),)))</f>
        <v>1121</v>
      </c>
      <c r="F596" s="384">
        <f ca="1">IF(ROWS($1:582)&gt;COUNT(Dong5),0,IF(OFFSET(TH!N$1,SMALL(Dong5,ROWS($1:582)),)=$E$7,OFFSET(TH!M$1,SMALL(Dong5,ROWS($1:582)),),0))</f>
        <v>1000</v>
      </c>
      <c r="G596" s="382">
        <f ca="1">IF(ROWS($1:582)&gt;COUNT(Dong5),0,IF(OFFSET(TH!O$1,SMALL(Dong5,ROWS($1:582)),)=$E$7,OFFSET(TH!M$1,SMALL(Dong5,ROWS($1:582)),),0))</f>
        <v>0</v>
      </c>
      <c r="H596" s="385">
        <f ca="1">IF(D596&lt;&gt;"",MAX(H595+F596-G596-I595,0),0)</f>
        <v>428584073</v>
      </c>
      <c r="I596" s="385">
        <f ca="1">IF(D596&lt;&gt;"",MAX(I595+G596-H595-F596,0),0)</f>
        <v>0</v>
      </c>
      <c r="J596" s="18">
        <f ca="1">MONTH(A596)</f>
        <v>10</v>
      </c>
    </row>
    <row r="597" spans="1:10" s="18" customFormat="1" ht="18" customHeight="1">
      <c r="A597" s="318">
        <f ca="1">IF(ROWS($1:583)&gt;COUNT(Dong5),"",OFFSET(TH!C$1,SMALL(Dong5,ROWS($1:583)),))</f>
        <v>42647</v>
      </c>
      <c r="B597" s="318" t="str">
        <f ca="1">IF(ROWS($1:583)&gt;COUNT(Dong5),"",OFFSET(TH!D$1,SMALL(Dong5,ROWS($1:583)),))</f>
        <v>C06</v>
      </c>
      <c r="C597" s="318">
        <f ca="1">IF(ROWS($1:583)&gt;COUNT(Dong5),"",OFFSET(TH!E$1,SMALL(Dong5,ROWS($1:583)),))</f>
        <v>42647</v>
      </c>
      <c r="D597" s="383" t="str">
        <f ca="1">IF(ROWS($1:583)&gt;COUNT(Dong5),"",OFFSET(TH!F$1,SMALL(Dong5,ROWS($1:583)),))</f>
        <v>VAT Form C/O</v>
      </c>
      <c r="E597" s="318" t="str">
        <f ca="1">IF(ROWS($1:583)&gt;COUNT(Dong5),"",IF(OFFSET(TH!N$1,SMALL(Dong5,ROWS($1:583)),)=$E$7,OFFSET(TH!O$1,SMALL(Dong5,ROWS($1:583)),),OFFSET(TH!N$1,SMALL(Dong5,ROWS($1:583)),)))</f>
        <v>1111</v>
      </c>
      <c r="F597" s="384">
        <f ca="1">IF(ROWS($1:583)&gt;COUNT(Dong5),0,IF(OFFSET(TH!N$1,SMALL(Dong5,ROWS($1:583)),)=$E$7,OFFSET(TH!M$1,SMALL(Dong5,ROWS($1:583)),),0))</f>
        <v>18182</v>
      </c>
      <c r="G597" s="382">
        <f ca="1">IF(ROWS($1:583)&gt;COUNT(Dong5),0,IF(OFFSET(TH!O$1,SMALL(Dong5,ROWS($1:583)),)=$E$7,OFFSET(TH!M$1,SMALL(Dong5,ROWS($1:583)),),0))</f>
        <v>0</v>
      </c>
      <c r="H597" s="385">
        <f ca="1">IF(D597&lt;&gt;"",MAX(H596+F597-G597-I596,0),0)</f>
        <v>428602255</v>
      </c>
      <c r="I597" s="385">
        <f ca="1">IF(D597&lt;&gt;"",MAX(I596+G597-H596-F597,0),0)</f>
        <v>0</v>
      </c>
      <c r="J597" s="18">
        <f ca="1">MONTH(A597)</f>
        <v>10</v>
      </c>
    </row>
    <row r="598" spans="1:10" s="18" customFormat="1" ht="18" customHeight="1">
      <c r="A598" s="318">
        <f ca="1">IF(ROWS($1:584)&gt;COUNT(Dong5),"",OFFSET(TH!C$1,SMALL(Dong5,ROWS($1:584)),))</f>
        <v>42647</v>
      </c>
      <c r="B598" s="318" t="str">
        <f ca="1">IF(ROWS($1:584)&gt;COUNT(Dong5),"",OFFSET(TH!D$1,SMALL(Dong5,ROWS($1:584)),))</f>
        <v>GBN</v>
      </c>
      <c r="C598" s="318">
        <f ca="1">IF(ROWS($1:584)&gt;COUNT(Dong5),"",OFFSET(TH!E$1,SMALL(Dong5,ROWS($1:584)),))</f>
        <v>42647</v>
      </c>
      <c r="D598" s="383" t="str">
        <f ca="1">IF(ROWS($1:584)&gt;COUNT(Dong5),"",OFFSET(TH!F$1,SMALL(Dong5,ROWS($1:584)),))</f>
        <v>VAT Phí thông báo tu chỉnh LC</v>
      </c>
      <c r="E598" s="318" t="str">
        <f ca="1">IF(ROWS($1:584)&gt;COUNT(Dong5),"",IF(OFFSET(TH!N$1,SMALL(Dong5,ROWS($1:584)),)=$E$7,OFFSET(TH!O$1,SMALL(Dong5,ROWS($1:584)),),OFFSET(TH!N$1,SMALL(Dong5,ROWS($1:584)),)))</f>
        <v>1122</v>
      </c>
      <c r="F598" s="384">
        <f ca="1">IF(ROWS($1:584)&gt;COUNT(Dong5),0,IF(OFFSET(TH!N$1,SMALL(Dong5,ROWS($1:584)),)=$E$7,OFFSET(TH!M$1,SMALL(Dong5,ROWS($1:584)),),0))</f>
        <v>11138</v>
      </c>
      <c r="G598" s="382">
        <f ca="1">IF(ROWS($1:584)&gt;COUNT(Dong5),0,IF(OFFSET(TH!O$1,SMALL(Dong5,ROWS($1:584)),)=$E$7,OFFSET(TH!M$1,SMALL(Dong5,ROWS($1:584)),),0))</f>
        <v>0</v>
      </c>
      <c r="H598" s="385">
        <f ca="1">IF(D598&lt;&gt;"",MAX(H597+F598-G598-I597,0),0)</f>
        <v>428613393</v>
      </c>
      <c r="I598" s="385">
        <f ca="1">IF(D598&lt;&gt;"",MAX(I597+G598-H597-F598,0),0)</f>
        <v>0</v>
      </c>
      <c r="J598" s="18">
        <f ca="1">MONTH(A598)</f>
        <v>10</v>
      </c>
    </row>
    <row r="599" spans="1:10" s="18" customFormat="1" ht="18" customHeight="1">
      <c r="A599" s="318">
        <f ca="1">IF(ROWS($1:585)&gt;COUNT(Dong5),"",OFFSET(TH!C$1,SMALL(Dong5,ROWS($1:585)),))</f>
        <v>42647</v>
      </c>
      <c r="B599" s="318" t="str">
        <f ca="1">IF(ROWS($1:585)&gt;COUNT(Dong5),"",OFFSET(TH!D$1,SMALL(Dong5,ROWS($1:585)),))</f>
        <v>GBN</v>
      </c>
      <c r="C599" s="318">
        <f ca="1">IF(ROWS($1:585)&gt;COUNT(Dong5),"",OFFSET(TH!E$1,SMALL(Dong5,ROWS($1:585)),))</f>
        <v>42647</v>
      </c>
      <c r="D599" s="383" t="str">
        <f ca="1">IF(ROWS($1:585)&gt;COUNT(Dong5),"",OFFSET(TH!F$1,SMALL(Dong5,ROWS($1:585)),))</f>
        <v>VAT Phí chuyển tiền</v>
      </c>
      <c r="E599" s="318" t="str">
        <f ca="1">IF(ROWS($1:585)&gt;COUNT(Dong5),"",IF(OFFSET(TH!N$1,SMALL(Dong5,ROWS($1:585)),)=$E$7,OFFSET(TH!O$1,SMALL(Dong5,ROWS($1:585)),),OFFSET(TH!N$1,SMALL(Dong5,ROWS($1:585)),)))</f>
        <v>1121</v>
      </c>
      <c r="F599" s="384">
        <f ca="1">IF(ROWS($1:585)&gt;COUNT(Dong5),0,IF(OFFSET(TH!N$1,SMALL(Dong5,ROWS($1:585)),)=$E$7,OFFSET(TH!M$1,SMALL(Dong5,ROWS($1:585)),),0))</f>
        <v>4500</v>
      </c>
      <c r="G599" s="382">
        <f ca="1">IF(ROWS($1:585)&gt;COUNT(Dong5),0,IF(OFFSET(TH!O$1,SMALL(Dong5,ROWS($1:585)),)=$E$7,OFFSET(TH!M$1,SMALL(Dong5,ROWS($1:585)),),0))</f>
        <v>0</v>
      </c>
      <c r="H599" s="385">
        <f ca="1">IF(D599&lt;&gt;"",MAX(H598+F599-G599-I598,0),0)</f>
        <v>428617893</v>
      </c>
      <c r="I599" s="385">
        <f ca="1">IF(D599&lt;&gt;"",MAX(I598+G599-H598-F599,0),0)</f>
        <v>0</v>
      </c>
      <c r="J599" s="18">
        <f ca="1">MONTH(A599)</f>
        <v>10</v>
      </c>
    </row>
    <row r="600" spans="1:10" s="18" customFormat="1" ht="18" customHeight="1">
      <c r="A600" s="318">
        <f ca="1">IF(ROWS($1:586)&gt;COUNT(Dong5),"",OFFSET(TH!C$1,SMALL(Dong5,ROWS($1:586)),))</f>
        <v>42648</v>
      </c>
      <c r="B600" s="318" t="str">
        <f ca="1">IF(ROWS($1:586)&gt;COUNT(Dong5),"",OFFSET(TH!D$1,SMALL(Dong5,ROWS($1:586)),))</f>
        <v>C10</v>
      </c>
      <c r="C600" s="318">
        <f ca="1">IF(ROWS($1:586)&gt;COUNT(Dong5),"",OFFSET(TH!E$1,SMALL(Dong5,ROWS($1:586)),))</f>
        <v>42648</v>
      </c>
      <c r="D600" s="383" t="str">
        <f ca="1">IF(ROWS($1:586)&gt;COUNT(Dong5),"",OFFSET(TH!F$1,SMALL(Dong5,ROWS($1:586)),))</f>
        <v>VAT Cước VT - CNTT T9/2016</v>
      </c>
      <c r="E600" s="318" t="str">
        <f ca="1">IF(ROWS($1:586)&gt;COUNT(Dong5),"",IF(OFFSET(TH!N$1,SMALL(Dong5,ROWS($1:586)),)=$E$7,OFFSET(TH!O$1,SMALL(Dong5,ROWS($1:586)),),OFFSET(TH!N$1,SMALL(Dong5,ROWS($1:586)),)))</f>
        <v>1111</v>
      </c>
      <c r="F600" s="384">
        <f ca="1">IF(ROWS($1:586)&gt;COUNT(Dong5),0,IF(OFFSET(TH!N$1,SMALL(Dong5,ROWS($1:586)),)=$E$7,OFFSET(TH!M$1,SMALL(Dong5,ROWS($1:586)),),0))</f>
        <v>194537</v>
      </c>
      <c r="G600" s="382">
        <f ca="1">IF(ROWS($1:586)&gt;COUNT(Dong5),0,IF(OFFSET(TH!O$1,SMALL(Dong5,ROWS($1:586)),)=$E$7,OFFSET(TH!M$1,SMALL(Dong5,ROWS($1:586)),),0))</f>
        <v>0</v>
      </c>
      <c r="H600" s="385">
        <f ca="1">IF(D600&lt;&gt;"",MAX(H599+F600-G600-I599,0),0)</f>
        <v>428812430</v>
      </c>
      <c r="I600" s="385">
        <f ca="1">IF(D600&lt;&gt;"",MAX(I599+G600-H599-F600,0),0)</f>
        <v>0</v>
      </c>
      <c r="J600" s="18">
        <f ca="1">MONTH(A600)</f>
        <v>10</v>
      </c>
    </row>
    <row r="601" spans="1:10" s="18" customFormat="1" ht="18" customHeight="1">
      <c r="A601" s="318">
        <f ca="1">IF(ROWS($1:587)&gt;COUNT(Dong5),"",OFFSET(TH!C$1,SMALL(Dong5,ROWS($1:587)),))</f>
        <v>42648</v>
      </c>
      <c r="B601" s="318" t="str">
        <f ca="1">IF(ROWS($1:587)&gt;COUNT(Dong5),"",OFFSET(TH!D$1,SMALL(Dong5,ROWS($1:587)),))</f>
        <v>GBN</v>
      </c>
      <c r="C601" s="318">
        <f ca="1">IF(ROWS($1:587)&gt;COUNT(Dong5),"",OFFSET(TH!E$1,SMALL(Dong5,ROWS($1:587)),))</f>
        <v>42648</v>
      </c>
      <c r="D601" s="383" t="str">
        <f ca="1">IF(ROWS($1:587)&gt;COUNT(Dong5),"",OFFSET(TH!F$1,SMALL(Dong5,ROWS($1:587)),))</f>
        <v>VAT Phí thanh toán</v>
      </c>
      <c r="E601" s="318" t="str">
        <f ca="1">IF(ROWS($1:587)&gt;COUNT(Dong5),"",IF(OFFSET(TH!N$1,SMALL(Dong5,ROWS($1:587)),)=$E$7,OFFSET(TH!O$1,SMALL(Dong5,ROWS($1:587)),),OFFSET(TH!N$1,SMALL(Dong5,ROWS($1:587)),)))</f>
        <v>1121</v>
      </c>
      <c r="F601" s="384">
        <f ca="1">IF(ROWS($1:587)&gt;COUNT(Dong5),0,IF(OFFSET(TH!N$1,SMALL(Dong5,ROWS($1:587)),)=$E$7,OFFSET(TH!M$1,SMALL(Dong5,ROWS($1:587)),),0))</f>
        <v>1000</v>
      </c>
      <c r="G601" s="382">
        <f ca="1">IF(ROWS($1:587)&gt;COUNT(Dong5),0,IF(OFFSET(TH!O$1,SMALL(Dong5,ROWS($1:587)),)=$E$7,OFFSET(TH!M$1,SMALL(Dong5,ROWS($1:587)),),0))</f>
        <v>0</v>
      </c>
      <c r="H601" s="385">
        <f ca="1">IF(D601&lt;&gt;"",MAX(H600+F601-G601-I600,0),0)</f>
        <v>428813430</v>
      </c>
      <c r="I601" s="385">
        <f ca="1">IF(D601&lt;&gt;"",MAX(I600+G601-H600-F601,0),0)</f>
        <v>0</v>
      </c>
      <c r="J601" s="18">
        <f ca="1">MONTH(A601)</f>
        <v>10</v>
      </c>
    </row>
    <row r="602" spans="1:10" s="18" customFormat="1" ht="18" customHeight="1">
      <c r="A602" s="318">
        <f ca="1">IF(ROWS($1:588)&gt;COUNT(Dong5),"",OFFSET(TH!C$1,SMALL(Dong5,ROWS($1:588)),))</f>
        <v>42649</v>
      </c>
      <c r="B602" s="318" t="str">
        <f ca="1">IF(ROWS($1:588)&gt;COUNT(Dong5),"",OFFSET(TH!D$1,SMALL(Dong5,ROWS($1:588)),))</f>
        <v>C12</v>
      </c>
      <c r="C602" s="318">
        <f ca="1">IF(ROWS($1:588)&gt;COUNT(Dong5),"",OFFSET(TH!E$1,SMALL(Dong5,ROWS($1:588)),))</f>
        <v>42649</v>
      </c>
      <c r="D602" s="383" t="str">
        <f ca="1">IF(ROWS($1:588)&gt;COUNT(Dong5),"",OFFSET(TH!F$1,SMALL(Dong5,ROWS($1:588)),))</f>
        <v>VAT Phí chuyển phát nhanh</v>
      </c>
      <c r="E602" s="318" t="str">
        <f ca="1">IF(ROWS($1:588)&gt;COUNT(Dong5),"",IF(OFFSET(TH!N$1,SMALL(Dong5,ROWS($1:588)),)=$E$7,OFFSET(TH!O$1,SMALL(Dong5,ROWS($1:588)),),OFFSET(TH!N$1,SMALL(Dong5,ROWS($1:588)),)))</f>
        <v>1111</v>
      </c>
      <c r="F602" s="384">
        <f ca="1">IF(ROWS($1:588)&gt;COUNT(Dong5),0,IF(OFFSET(TH!N$1,SMALL(Dong5,ROWS($1:588)),)=$E$7,OFFSET(TH!M$1,SMALL(Dong5,ROWS($1:588)),),0))</f>
        <v>35453</v>
      </c>
      <c r="G602" s="382">
        <f ca="1">IF(ROWS($1:588)&gt;COUNT(Dong5),0,IF(OFFSET(TH!O$1,SMALL(Dong5,ROWS($1:588)),)=$E$7,OFFSET(TH!M$1,SMALL(Dong5,ROWS($1:588)),),0))</f>
        <v>0</v>
      </c>
      <c r="H602" s="385">
        <f ca="1">IF(D602&lt;&gt;"",MAX(H601+F602-G602-I601,0),0)</f>
        <v>428848883</v>
      </c>
      <c r="I602" s="385">
        <f ca="1">IF(D602&lt;&gt;"",MAX(I601+G602-H601-F602,0),0)</f>
        <v>0</v>
      </c>
      <c r="J602" s="18">
        <f ca="1">MONTH(A602)</f>
        <v>10</v>
      </c>
    </row>
    <row r="603" spans="1:10" s="18" customFormat="1" ht="18" customHeight="1">
      <c r="A603" s="318">
        <f ca="1">IF(ROWS($1:589)&gt;COUNT(Dong5),"",OFFSET(TH!C$1,SMALL(Dong5,ROWS($1:589)),))</f>
        <v>42650</v>
      </c>
      <c r="B603" s="318" t="str">
        <f ca="1">IF(ROWS($1:589)&gt;COUNT(Dong5),"",OFFSET(TH!D$1,SMALL(Dong5,ROWS($1:589)),))</f>
        <v>C15</v>
      </c>
      <c r="C603" s="318">
        <f ca="1">IF(ROWS($1:589)&gt;COUNT(Dong5),"",OFFSET(TH!E$1,SMALL(Dong5,ROWS($1:589)),))</f>
        <v>42650</v>
      </c>
      <c r="D603" s="383" t="str">
        <f ca="1">IF(ROWS($1:589)&gt;COUNT(Dong5),"",OFFSET(TH!F$1,SMALL(Dong5,ROWS($1:589)),))</f>
        <v>VAT Phí chuyển phát nhanh</v>
      </c>
      <c r="E603" s="318" t="str">
        <f ca="1">IF(ROWS($1:589)&gt;COUNT(Dong5),"",IF(OFFSET(TH!N$1,SMALL(Dong5,ROWS($1:589)),)=$E$7,OFFSET(TH!O$1,SMALL(Dong5,ROWS($1:589)),),OFFSET(TH!N$1,SMALL(Dong5,ROWS($1:589)),)))</f>
        <v>1111</v>
      </c>
      <c r="F603" s="384">
        <f ca="1">IF(ROWS($1:589)&gt;COUNT(Dong5),0,IF(OFFSET(TH!N$1,SMALL(Dong5,ROWS($1:589)),)=$E$7,OFFSET(TH!M$1,SMALL(Dong5,ROWS($1:589)),),0))</f>
        <v>115000</v>
      </c>
      <c r="G603" s="382">
        <f ca="1">IF(ROWS($1:589)&gt;COUNT(Dong5),0,IF(OFFSET(TH!O$1,SMALL(Dong5,ROWS($1:589)),)=$E$7,OFFSET(TH!M$1,SMALL(Dong5,ROWS($1:589)),),0))</f>
        <v>0</v>
      </c>
      <c r="H603" s="385">
        <f ca="1">IF(D603&lt;&gt;"",MAX(H602+F603-G603-I602,0),0)</f>
        <v>428963883</v>
      </c>
      <c r="I603" s="385">
        <f ca="1">IF(D603&lt;&gt;"",MAX(I602+G603-H602-F603,0),0)</f>
        <v>0</v>
      </c>
      <c r="J603" s="18">
        <f ca="1">MONTH(A603)</f>
        <v>10</v>
      </c>
    </row>
    <row r="604" spans="1:10" s="18" customFormat="1" ht="18" customHeight="1">
      <c r="A604" s="318">
        <f ca="1">IF(ROWS($1:590)&gt;COUNT(Dong5),"",OFFSET(TH!C$1,SMALL(Dong5,ROWS($1:590)),))</f>
        <v>42650</v>
      </c>
      <c r="B604" s="318" t="str">
        <f ca="1">IF(ROWS($1:590)&gt;COUNT(Dong5),"",OFFSET(TH!D$1,SMALL(Dong5,ROWS($1:590)),))</f>
        <v>C16</v>
      </c>
      <c r="C604" s="318">
        <f ca="1">IF(ROWS($1:590)&gt;COUNT(Dong5),"",OFFSET(TH!E$1,SMALL(Dong5,ROWS($1:590)),))</f>
        <v>42650</v>
      </c>
      <c r="D604" s="383" t="str">
        <f ca="1">IF(ROWS($1:590)&gt;COUNT(Dong5),"",OFFSET(TH!F$1,SMALL(Dong5,ROWS($1:590)),))</f>
        <v>VAT Phí vận đơn, niêm chì, xếp dỡ, chỉnh sửa chứng từ</v>
      </c>
      <c r="E604" s="318" t="str">
        <f ca="1">IF(ROWS($1:590)&gt;COUNT(Dong5),"",IF(OFFSET(TH!N$1,SMALL(Dong5,ROWS($1:590)),)=$E$7,OFFSET(TH!O$1,SMALL(Dong5,ROWS($1:590)),),OFFSET(TH!N$1,SMALL(Dong5,ROWS($1:590)),)))</f>
        <v>1111</v>
      </c>
      <c r="F604" s="384">
        <f ca="1">IF(ROWS($1:590)&gt;COUNT(Dong5),0,IF(OFFSET(TH!N$1,SMALL(Dong5,ROWS($1:590)),)=$E$7,OFFSET(TH!M$1,SMALL(Dong5,ROWS($1:590)),),0))</f>
        <v>252730</v>
      </c>
      <c r="G604" s="382">
        <f ca="1">IF(ROWS($1:590)&gt;COUNT(Dong5),0,IF(OFFSET(TH!O$1,SMALL(Dong5,ROWS($1:590)),)=$E$7,OFFSET(TH!M$1,SMALL(Dong5,ROWS($1:590)),),0))</f>
        <v>0</v>
      </c>
      <c r="H604" s="385">
        <f ca="1">IF(D604&lt;&gt;"",MAX(H603+F604-G604-I603,0),0)</f>
        <v>429216613</v>
      </c>
      <c r="I604" s="385">
        <f ca="1">IF(D604&lt;&gt;"",MAX(I603+G604-H603-F604,0),0)</f>
        <v>0</v>
      </c>
      <c r="J604" s="18">
        <f ca="1">MONTH(A604)</f>
        <v>10</v>
      </c>
    </row>
    <row r="605" spans="1:10" s="18" customFormat="1" ht="18" customHeight="1">
      <c r="A605" s="318">
        <f ca="1">IF(ROWS($1:591)&gt;COUNT(Dong5),"",OFFSET(TH!C$1,SMALL(Dong5,ROWS($1:591)),))</f>
        <v>42650</v>
      </c>
      <c r="B605" s="318" t="str">
        <f ca="1">IF(ROWS($1:591)&gt;COUNT(Dong5),"",OFFSET(TH!D$1,SMALL(Dong5,ROWS($1:591)),))</f>
        <v>C17</v>
      </c>
      <c r="C605" s="318">
        <f ca="1">IF(ROWS($1:591)&gt;COUNT(Dong5),"",OFFSET(TH!E$1,SMALL(Dong5,ROWS($1:591)),))</f>
        <v>42650</v>
      </c>
      <c r="D605" s="383" t="str">
        <f ca="1">IF(ROWS($1:591)&gt;COUNT(Dong5),"",OFFSET(TH!F$1,SMALL(Dong5,ROWS($1:591)),))</f>
        <v>VAT Phí vận đơn, niêm chì, xếp dỡ</v>
      </c>
      <c r="E605" s="318" t="str">
        <f ca="1">IF(ROWS($1:591)&gt;COUNT(Dong5),"",IF(OFFSET(TH!N$1,SMALL(Dong5,ROWS($1:591)),)=$E$7,OFFSET(TH!O$1,SMALL(Dong5,ROWS($1:591)),),OFFSET(TH!N$1,SMALL(Dong5,ROWS($1:591)),)))</f>
        <v>1111</v>
      </c>
      <c r="F605" s="384">
        <f ca="1">IF(ROWS($1:591)&gt;COUNT(Dong5),0,IF(OFFSET(TH!N$1,SMALL(Dong5,ROWS($1:591)),)=$E$7,OFFSET(TH!M$1,SMALL(Dong5,ROWS($1:591)),),0))</f>
        <v>252730</v>
      </c>
      <c r="G605" s="382">
        <f ca="1">IF(ROWS($1:591)&gt;COUNT(Dong5),0,IF(OFFSET(TH!O$1,SMALL(Dong5,ROWS($1:591)),)=$E$7,OFFSET(TH!M$1,SMALL(Dong5,ROWS($1:591)),),0))</f>
        <v>0</v>
      </c>
      <c r="H605" s="385">
        <f ca="1">IF(D605&lt;&gt;"",MAX(H604+F605-G605-I604,0),0)</f>
        <v>429469343</v>
      </c>
      <c r="I605" s="385">
        <f ca="1">IF(D605&lt;&gt;"",MAX(I604+G605-H604-F605,0),0)</f>
        <v>0</v>
      </c>
      <c r="J605" s="18">
        <f ca="1">MONTH(A605)</f>
        <v>10</v>
      </c>
    </row>
    <row r="606" spans="1:10" s="18" customFormat="1" ht="18" customHeight="1">
      <c r="A606" s="318">
        <f ca="1">IF(ROWS($1:592)&gt;COUNT(Dong5),"",OFFSET(TH!C$1,SMALL(Dong5,ROWS($1:592)),))</f>
        <v>42650</v>
      </c>
      <c r="B606" s="318" t="str">
        <f ca="1">IF(ROWS($1:592)&gt;COUNT(Dong5),"",OFFSET(TH!D$1,SMALL(Dong5,ROWS($1:592)),))</f>
        <v>GBN</v>
      </c>
      <c r="C606" s="318">
        <f ca="1">IF(ROWS($1:592)&gt;COUNT(Dong5),"",OFFSET(TH!E$1,SMALL(Dong5,ROWS($1:592)),))</f>
        <v>42650</v>
      </c>
      <c r="D606" s="383" t="str">
        <f ca="1">IF(ROWS($1:592)&gt;COUNT(Dong5),"",OFFSET(TH!F$1,SMALL(Dong5,ROWS($1:592)),))</f>
        <v>VAT Phí chuyển NT</v>
      </c>
      <c r="E606" s="318" t="str">
        <f ca="1">IF(ROWS($1:592)&gt;COUNT(Dong5),"",IF(OFFSET(TH!N$1,SMALL(Dong5,ROWS($1:592)),)=$E$7,OFFSET(TH!O$1,SMALL(Dong5,ROWS($1:592)),),OFFSET(TH!N$1,SMALL(Dong5,ROWS($1:592)),)))</f>
        <v>1122</v>
      </c>
      <c r="F606" s="384">
        <f ca="1">IF(ROWS($1:592)&gt;COUNT(Dong5),0,IF(OFFSET(TH!N$1,SMALL(Dong5,ROWS($1:592)),)=$E$7,OFFSET(TH!M$1,SMALL(Dong5,ROWS($1:592)),),0))</f>
        <v>6687</v>
      </c>
      <c r="G606" s="382">
        <f ca="1">IF(ROWS($1:592)&gt;COUNT(Dong5),0,IF(OFFSET(TH!O$1,SMALL(Dong5,ROWS($1:592)),)=$E$7,OFFSET(TH!M$1,SMALL(Dong5,ROWS($1:592)),),0))</f>
        <v>0</v>
      </c>
      <c r="H606" s="385">
        <f ca="1">IF(D606&lt;&gt;"",MAX(H605+F606-G606-I605,0),0)</f>
        <v>429476030</v>
      </c>
      <c r="I606" s="385">
        <f ca="1">IF(D606&lt;&gt;"",MAX(I605+G606-H605-F606,0),0)</f>
        <v>0</v>
      </c>
      <c r="J606" s="18">
        <f ca="1">MONTH(A606)</f>
        <v>10</v>
      </c>
    </row>
    <row r="607" spans="1:10" s="18" customFormat="1" ht="18" customHeight="1">
      <c r="A607" s="318">
        <f ca="1">IF(ROWS($1:593)&gt;COUNT(Dong5),"",OFFSET(TH!C$1,SMALL(Dong5,ROWS($1:593)),))</f>
        <v>42650</v>
      </c>
      <c r="B607" s="318" t="str">
        <f ca="1">IF(ROWS($1:593)&gt;COUNT(Dong5),"",OFFSET(TH!D$1,SMALL(Dong5,ROWS($1:593)),))</f>
        <v>GBN</v>
      </c>
      <c r="C607" s="318">
        <f ca="1">IF(ROWS($1:593)&gt;COUNT(Dong5),"",OFFSET(TH!E$1,SMALL(Dong5,ROWS($1:593)),))</f>
        <v>42650</v>
      </c>
      <c r="D607" s="383" t="str">
        <f ca="1">IF(ROWS($1:593)&gt;COUNT(Dong5),"",OFFSET(TH!F$1,SMALL(Dong5,ROWS($1:593)),))</f>
        <v>VAT Phí báo có tiền về</v>
      </c>
      <c r="E607" s="318" t="str">
        <f ca="1">IF(ROWS($1:593)&gt;COUNT(Dong5),"",IF(OFFSET(TH!N$1,SMALL(Dong5,ROWS($1:593)),)=$E$7,OFFSET(TH!O$1,SMALL(Dong5,ROWS($1:593)),),OFFSET(TH!N$1,SMALL(Dong5,ROWS($1:593)),)))</f>
        <v>1121</v>
      </c>
      <c r="F607" s="384">
        <f ca="1">IF(ROWS($1:593)&gt;COUNT(Dong5),0,IF(OFFSET(TH!N$1,SMALL(Dong5,ROWS($1:593)),)=$E$7,OFFSET(TH!M$1,SMALL(Dong5,ROWS($1:593)),),0))</f>
        <v>217391</v>
      </c>
      <c r="G607" s="382">
        <f ca="1">IF(ROWS($1:593)&gt;COUNT(Dong5),0,IF(OFFSET(TH!O$1,SMALL(Dong5,ROWS($1:593)),)=$E$7,OFFSET(TH!M$1,SMALL(Dong5,ROWS($1:593)),),0))</f>
        <v>0</v>
      </c>
      <c r="H607" s="385">
        <f ca="1">IF(D607&lt;&gt;"",MAX(H606+F607-G607-I606,0),0)</f>
        <v>429693421</v>
      </c>
      <c r="I607" s="385">
        <f ca="1">IF(D607&lt;&gt;"",MAX(I606+G607-H606-F607,0),0)</f>
        <v>0</v>
      </c>
      <c r="J607" s="18">
        <f ca="1">MONTH(A607)</f>
        <v>10</v>
      </c>
    </row>
    <row r="608" spans="1:10" s="18" customFormat="1" ht="18" customHeight="1">
      <c r="A608" s="318">
        <f ca="1">IF(ROWS($1:594)&gt;COUNT(Dong5),"",OFFSET(TH!C$1,SMALL(Dong5,ROWS($1:594)),))</f>
        <v>42650</v>
      </c>
      <c r="B608" s="318" t="str">
        <f ca="1">IF(ROWS($1:594)&gt;COUNT(Dong5),"",OFFSET(TH!D$1,SMALL(Dong5,ROWS($1:594)),))</f>
        <v>GBN</v>
      </c>
      <c r="C608" s="318">
        <f ca="1">IF(ROWS($1:594)&gt;COUNT(Dong5),"",OFFSET(TH!E$1,SMALL(Dong5,ROWS($1:594)),))</f>
        <v>42650</v>
      </c>
      <c r="D608" s="383" t="str">
        <f ca="1">IF(ROWS($1:594)&gt;COUNT(Dong5),"",OFFSET(TH!F$1,SMALL(Dong5,ROWS($1:594)),))</f>
        <v>VAT Phí thanh toán</v>
      </c>
      <c r="E608" s="318" t="str">
        <f ca="1">IF(ROWS($1:594)&gt;COUNT(Dong5),"",IF(OFFSET(TH!N$1,SMALL(Dong5,ROWS($1:594)),)=$E$7,OFFSET(TH!O$1,SMALL(Dong5,ROWS($1:594)),),OFFSET(TH!N$1,SMALL(Dong5,ROWS($1:594)),)))</f>
        <v>1121</v>
      </c>
      <c r="F608" s="384">
        <f ca="1">IF(ROWS($1:594)&gt;COUNT(Dong5),0,IF(OFFSET(TH!N$1,SMALL(Dong5,ROWS($1:594)),)=$E$7,OFFSET(TH!M$1,SMALL(Dong5,ROWS($1:594)),),0))</f>
        <v>1000</v>
      </c>
      <c r="G608" s="382">
        <f ca="1">IF(ROWS($1:594)&gt;COUNT(Dong5),0,IF(OFFSET(TH!O$1,SMALL(Dong5,ROWS($1:594)),)=$E$7,OFFSET(TH!M$1,SMALL(Dong5,ROWS($1:594)),),0))</f>
        <v>0</v>
      </c>
      <c r="H608" s="385">
        <f ca="1">IF(D608&lt;&gt;"",MAX(H607+F608-G608-I607,0),0)</f>
        <v>429694421</v>
      </c>
      <c r="I608" s="385">
        <f ca="1">IF(D608&lt;&gt;"",MAX(I607+G608-H607-F608,0),0)</f>
        <v>0</v>
      </c>
      <c r="J608" s="18">
        <f ca="1">MONTH(A608)</f>
        <v>10</v>
      </c>
    </row>
    <row r="609" spans="1:10" s="18" customFormat="1" ht="18" customHeight="1">
      <c r="A609" s="318">
        <f ca="1">IF(ROWS($1:595)&gt;COUNT(Dong5),"",OFFSET(TH!C$1,SMALL(Dong5,ROWS($1:595)),))</f>
        <v>42674</v>
      </c>
      <c r="B609" s="318" t="str">
        <f ca="1">IF(ROWS($1:595)&gt;COUNT(Dong5),"",OFFSET(TH!D$1,SMALL(Dong5,ROWS($1:595)),))</f>
        <v>CTGS</v>
      </c>
      <c r="C609" s="318">
        <f ca="1">IF(ROWS($1:595)&gt;COUNT(Dong5),"",OFFSET(TH!E$1,SMALL(Dong5,ROWS($1:595)),))</f>
        <v>42674</v>
      </c>
      <c r="D609" s="383" t="str">
        <f ca="1">IF(ROWS($1:595)&gt;COUNT(Dong5),"",OFFSET(TH!F$1,SMALL(Dong5,ROWS($1:595)),))</f>
        <v>VAT Hoa hồng uỷ thác xuất khẩu</v>
      </c>
      <c r="E609" s="318" t="str">
        <f ca="1">IF(ROWS($1:595)&gt;COUNT(Dong5),"",IF(OFFSET(TH!N$1,SMALL(Dong5,ROWS($1:595)),)=$E$7,OFFSET(TH!O$1,SMALL(Dong5,ROWS($1:595)),),OFFSET(TH!N$1,SMALL(Dong5,ROWS($1:595)),)))</f>
        <v>331</v>
      </c>
      <c r="F609" s="384">
        <f ca="1">IF(ROWS($1:595)&gt;COUNT(Dong5),0,IF(OFFSET(TH!N$1,SMALL(Dong5,ROWS($1:595)),)=$E$7,OFFSET(TH!M$1,SMALL(Dong5,ROWS($1:595)),),0))</f>
        <v>4680000</v>
      </c>
      <c r="G609" s="382">
        <f ca="1">IF(ROWS($1:595)&gt;COUNT(Dong5),0,IF(OFFSET(TH!O$1,SMALL(Dong5,ROWS($1:595)),)=$E$7,OFFSET(TH!M$1,SMALL(Dong5,ROWS($1:595)),),0))</f>
        <v>0</v>
      </c>
      <c r="H609" s="385">
        <f ca="1">IF(D609&lt;&gt;"",MAX(H608+F609-G609-I608,0),0)</f>
        <v>434374421</v>
      </c>
      <c r="I609" s="385">
        <f ca="1">IF(D609&lt;&gt;"",MAX(I608+G609-H608-F609,0),0)</f>
        <v>0</v>
      </c>
      <c r="J609" s="18">
        <f ca="1">MONTH(A609)</f>
        <v>10</v>
      </c>
    </row>
    <row r="610" spans="1:10" s="18" customFormat="1" ht="18" customHeight="1">
      <c r="A610" s="318">
        <f ca="1">IF(ROWS($1:596)&gt;COUNT(Dong5),"",OFFSET(TH!C$1,SMALL(Dong5,ROWS($1:596)),))</f>
        <v>42650</v>
      </c>
      <c r="B610" s="318" t="str">
        <f ca="1">IF(ROWS($1:596)&gt;COUNT(Dong5),"",OFFSET(TH!D$1,SMALL(Dong5,ROWS($1:596)),))</f>
        <v>GBN</v>
      </c>
      <c r="C610" s="318">
        <f ca="1">IF(ROWS($1:596)&gt;COUNT(Dong5),"",OFFSET(TH!E$1,SMALL(Dong5,ROWS($1:596)),))</f>
        <v>42650</v>
      </c>
      <c r="D610" s="383" t="str">
        <f ca="1">IF(ROWS($1:596)&gt;COUNT(Dong5),"",OFFSET(TH!F$1,SMALL(Dong5,ROWS($1:596)),))</f>
        <v>VAT Phí thanh toán</v>
      </c>
      <c r="E610" s="318" t="str">
        <f ca="1">IF(ROWS($1:596)&gt;COUNT(Dong5),"",IF(OFFSET(TH!N$1,SMALL(Dong5,ROWS($1:596)),)=$E$7,OFFSET(TH!O$1,SMALL(Dong5,ROWS($1:596)),),OFFSET(TH!N$1,SMALL(Dong5,ROWS($1:596)),)))</f>
        <v>1121</v>
      </c>
      <c r="F610" s="384">
        <f ca="1">IF(ROWS($1:596)&gt;COUNT(Dong5),0,IF(OFFSET(TH!N$1,SMALL(Dong5,ROWS($1:596)),)=$E$7,OFFSET(TH!M$1,SMALL(Dong5,ROWS($1:596)),),0))</f>
        <v>1000</v>
      </c>
      <c r="G610" s="382">
        <f ca="1">IF(ROWS($1:596)&gt;COUNT(Dong5),0,IF(OFFSET(TH!O$1,SMALL(Dong5,ROWS($1:596)),)=$E$7,OFFSET(TH!M$1,SMALL(Dong5,ROWS($1:596)),),0))</f>
        <v>0</v>
      </c>
      <c r="H610" s="385">
        <f ca="1">IF(D610&lt;&gt;"",MAX(H609+F610-G610-I609,0),0)</f>
        <v>434375421</v>
      </c>
      <c r="I610" s="385">
        <f ca="1">IF(D610&lt;&gt;"",MAX(I609+G610-H609-F610,0),0)</f>
        <v>0</v>
      </c>
      <c r="J610" s="18">
        <f ca="1">MONTH(A610)</f>
        <v>10</v>
      </c>
    </row>
    <row r="611" spans="1:10" s="18" customFormat="1" ht="18" customHeight="1">
      <c r="A611" s="318">
        <f ca="1">IF(ROWS($1:597)&gt;COUNT(Dong5),"",OFFSET(TH!C$1,SMALL(Dong5,ROWS($1:597)),))</f>
        <v>42650</v>
      </c>
      <c r="B611" s="318" t="str">
        <f ca="1">IF(ROWS($1:597)&gt;COUNT(Dong5),"",OFFSET(TH!D$1,SMALL(Dong5,ROWS($1:597)),))</f>
        <v>GBN</v>
      </c>
      <c r="C611" s="318">
        <f ca="1">IF(ROWS($1:597)&gt;COUNT(Dong5),"",OFFSET(TH!E$1,SMALL(Dong5,ROWS($1:597)),))</f>
        <v>42650</v>
      </c>
      <c r="D611" s="383" t="str">
        <f ca="1">IF(ROWS($1:597)&gt;COUNT(Dong5),"",OFFSET(TH!F$1,SMALL(Dong5,ROWS($1:597)),))</f>
        <v>VAT Phí thanh toán</v>
      </c>
      <c r="E611" s="318" t="str">
        <f ca="1">IF(ROWS($1:597)&gt;COUNT(Dong5),"",IF(OFFSET(TH!N$1,SMALL(Dong5,ROWS($1:597)),)=$E$7,OFFSET(TH!O$1,SMALL(Dong5,ROWS($1:597)),),OFFSET(TH!N$1,SMALL(Dong5,ROWS($1:597)),)))</f>
        <v>1121</v>
      </c>
      <c r="F611" s="384">
        <f ca="1">IF(ROWS($1:597)&gt;COUNT(Dong5),0,IF(OFFSET(TH!N$1,SMALL(Dong5,ROWS($1:597)),)=$E$7,OFFSET(TH!M$1,SMALL(Dong5,ROWS($1:597)),),0))</f>
        <v>1000</v>
      </c>
      <c r="G611" s="382">
        <f ca="1">IF(ROWS($1:597)&gt;COUNT(Dong5),0,IF(OFFSET(TH!O$1,SMALL(Dong5,ROWS($1:597)),)=$E$7,OFFSET(TH!M$1,SMALL(Dong5,ROWS($1:597)),),0))</f>
        <v>0</v>
      </c>
      <c r="H611" s="385">
        <f ca="1">IF(D611&lt;&gt;"",MAX(H610+F611-G611-I610,0),0)</f>
        <v>434376421</v>
      </c>
      <c r="I611" s="385">
        <f ca="1">IF(D611&lt;&gt;"",MAX(I610+G611-H610-F611,0),0)</f>
        <v>0</v>
      </c>
      <c r="J611" s="18">
        <f ca="1">MONTH(A611)</f>
        <v>10</v>
      </c>
    </row>
    <row r="612" spans="1:10" s="18" customFormat="1" ht="18" customHeight="1">
      <c r="A612" s="318">
        <f ca="1">IF(ROWS($1:598)&gt;COUNT(Dong5),"",OFFSET(TH!C$1,SMALL(Dong5,ROWS($1:598)),))</f>
        <v>42650</v>
      </c>
      <c r="B612" s="318" t="str">
        <f ca="1">IF(ROWS($1:598)&gt;COUNT(Dong5),"",OFFSET(TH!D$1,SMALL(Dong5,ROWS($1:598)),))</f>
        <v>GBN</v>
      </c>
      <c r="C612" s="318">
        <f ca="1">IF(ROWS($1:598)&gt;COUNT(Dong5),"",OFFSET(TH!E$1,SMALL(Dong5,ROWS($1:598)),))</f>
        <v>42650</v>
      </c>
      <c r="D612" s="383" t="str">
        <f ca="1">IF(ROWS($1:598)&gt;COUNT(Dong5),"",OFFSET(TH!F$1,SMALL(Dong5,ROWS($1:598)),))</f>
        <v>VAT Phí thanh toán</v>
      </c>
      <c r="E612" s="318" t="str">
        <f ca="1">IF(ROWS($1:598)&gt;COUNT(Dong5),"",IF(OFFSET(TH!N$1,SMALL(Dong5,ROWS($1:598)),)=$E$7,OFFSET(TH!O$1,SMALL(Dong5,ROWS($1:598)),),OFFSET(TH!N$1,SMALL(Dong5,ROWS($1:598)),)))</f>
        <v>1121</v>
      </c>
      <c r="F612" s="384">
        <f ca="1">IF(ROWS($1:598)&gt;COUNT(Dong5),0,IF(OFFSET(TH!N$1,SMALL(Dong5,ROWS($1:598)),)=$E$7,OFFSET(TH!M$1,SMALL(Dong5,ROWS($1:598)),),0))</f>
        <v>1000</v>
      </c>
      <c r="G612" s="382">
        <f ca="1">IF(ROWS($1:598)&gt;COUNT(Dong5),0,IF(OFFSET(TH!O$1,SMALL(Dong5,ROWS($1:598)),)=$E$7,OFFSET(TH!M$1,SMALL(Dong5,ROWS($1:598)),),0))</f>
        <v>0</v>
      </c>
      <c r="H612" s="385">
        <f ca="1">IF(D612&lt;&gt;"",MAX(H611+F612-G612-I611,0),0)</f>
        <v>434377421</v>
      </c>
      <c r="I612" s="385">
        <f ca="1">IF(D612&lt;&gt;"",MAX(I611+G612-H611-F612,0),0)</f>
        <v>0</v>
      </c>
      <c r="J612" s="18">
        <f ca="1">MONTH(A612)</f>
        <v>10</v>
      </c>
    </row>
    <row r="613" spans="1:10" s="18" customFormat="1" ht="18" customHeight="1">
      <c r="A613" s="318">
        <f ca="1">IF(ROWS($1:599)&gt;COUNT(Dong5),"",OFFSET(TH!C$1,SMALL(Dong5,ROWS($1:599)),))</f>
        <v>42653</v>
      </c>
      <c r="B613" s="318" t="str">
        <f ca="1">IF(ROWS($1:599)&gt;COUNT(Dong5),"",OFFSET(TH!D$1,SMALL(Dong5,ROWS($1:599)),))</f>
        <v>CTGS</v>
      </c>
      <c r="C613" s="318">
        <f ca="1">IF(ROWS($1:599)&gt;COUNT(Dong5),"",OFFSET(TH!E$1,SMALL(Dong5,ROWS($1:599)),))</f>
        <v>42653</v>
      </c>
      <c r="D613" s="383" t="str">
        <f ca="1">IF(ROWS($1:599)&gt;COUNT(Dong5),"",OFFSET(TH!F$1,SMALL(Dong5,ROWS($1:599)),))</f>
        <v>VAT Phí thanh toán bộ chứng từ</v>
      </c>
      <c r="E613" s="318" t="str">
        <f ca="1">IF(ROWS($1:599)&gt;COUNT(Dong5),"",IF(OFFSET(TH!N$1,SMALL(Dong5,ROWS($1:599)),)=$E$7,OFFSET(TH!O$1,SMALL(Dong5,ROWS($1:599)),),OFFSET(TH!N$1,SMALL(Dong5,ROWS($1:599)),)))</f>
        <v>131</v>
      </c>
      <c r="F613" s="384">
        <f ca="1">IF(ROWS($1:599)&gt;COUNT(Dong5),0,IF(OFFSET(TH!N$1,SMALL(Dong5,ROWS($1:599)),)=$E$7,OFFSET(TH!M$1,SMALL(Dong5,ROWS($1:599)),),0))</f>
        <v>164835</v>
      </c>
      <c r="G613" s="382">
        <f ca="1">IF(ROWS($1:599)&gt;COUNT(Dong5),0,IF(OFFSET(TH!O$1,SMALL(Dong5,ROWS($1:599)),)=$E$7,OFFSET(TH!M$1,SMALL(Dong5,ROWS($1:599)),),0))</f>
        <v>0</v>
      </c>
      <c r="H613" s="385">
        <f ca="1">IF(D613&lt;&gt;"",MAX(H612+F613-G613-I612,0),0)</f>
        <v>434542256</v>
      </c>
      <c r="I613" s="385">
        <f ca="1">IF(D613&lt;&gt;"",MAX(I612+G613-H612-F613,0),0)</f>
        <v>0</v>
      </c>
      <c r="J613" s="18">
        <f ca="1">MONTH(A613)</f>
        <v>10</v>
      </c>
    </row>
    <row r="614" spans="1:10" s="18" customFormat="1" ht="18" customHeight="1">
      <c r="A614" s="318">
        <f ca="1">IF(ROWS($1:600)&gt;COUNT(Dong5),"",OFFSET(TH!C$1,SMALL(Dong5,ROWS($1:600)),))</f>
        <v>42653</v>
      </c>
      <c r="B614" s="318" t="str">
        <f ca="1">IF(ROWS($1:600)&gt;COUNT(Dong5),"",OFFSET(TH!D$1,SMALL(Dong5,ROWS($1:600)),))</f>
        <v>CTGS</v>
      </c>
      <c r="C614" s="318">
        <f ca="1">IF(ROWS($1:600)&gt;COUNT(Dong5),"",OFFSET(TH!E$1,SMALL(Dong5,ROWS($1:600)),))</f>
        <v>42653</v>
      </c>
      <c r="D614" s="383" t="str">
        <f ca="1">IF(ROWS($1:600)&gt;COUNT(Dong5),"",OFFSET(TH!F$1,SMALL(Dong5,ROWS($1:600)),))</f>
        <v>VAT Phí xử lý bộ chứng từ</v>
      </c>
      <c r="E614" s="318" t="str">
        <f ca="1">IF(ROWS($1:600)&gt;COUNT(Dong5),"",IF(OFFSET(TH!N$1,SMALL(Dong5,ROWS($1:600)),)=$E$7,OFFSET(TH!O$1,SMALL(Dong5,ROWS($1:600)),),OFFSET(TH!N$1,SMALL(Dong5,ROWS($1:600)),)))</f>
        <v>131</v>
      </c>
      <c r="F614" s="384">
        <f ca="1">IF(ROWS($1:600)&gt;COUNT(Dong5),0,IF(OFFSET(TH!N$1,SMALL(Dong5,ROWS($1:600)),)=$E$7,OFFSET(TH!M$1,SMALL(Dong5,ROWS($1:600)),),0))</f>
        <v>22275</v>
      </c>
      <c r="G614" s="382">
        <f ca="1">IF(ROWS($1:600)&gt;COUNT(Dong5),0,IF(OFFSET(TH!O$1,SMALL(Dong5,ROWS($1:600)),)=$E$7,OFFSET(TH!M$1,SMALL(Dong5,ROWS($1:600)),),0))</f>
        <v>0</v>
      </c>
      <c r="H614" s="385">
        <f ca="1">IF(D614&lt;&gt;"",MAX(H613+F614-G614-I613,0),0)</f>
        <v>434564531</v>
      </c>
      <c r="I614" s="385">
        <f ca="1">IF(D614&lt;&gt;"",MAX(I613+G614-H613-F614,0),0)</f>
        <v>0</v>
      </c>
      <c r="J614" s="18">
        <f ca="1">MONTH(A614)</f>
        <v>10</v>
      </c>
    </row>
    <row r="615" spans="1:10" s="18" customFormat="1" ht="18" customHeight="1">
      <c r="A615" s="318">
        <f ca="1">IF(ROWS($1:601)&gt;COUNT(Dong5),"",OFFSET(TH!C$1,SMALL(Dong5,ROWS($1:601)),))</f>
        <v>42653</v>
      </c>
      <c r="B615" s="318" t="str">
        <f ca="1">IF(ROWS($1:601)&gt;COUNT(Dong5),"",OFFSET(TH!D$1,SMALL(Dong5,ROWS($1:601)),))</f>
        <v>CTGS</v>
      </c>
      <c r="C615" s="318">
        <f ca="1">IF(ROWS($1:601)&gt;COUNT(Dong5),"",OFFSET(TH!E$1,SMALL(Dong5,ROWS($1:601)),))</f>
        <v>42653</v>
      </c>
      <c r="D615" s="383" t="str">
        <f ca="1">IF(ROWS($1:601)&gt;COUNT(Dong5),"",OFFSET(TH!F$1,SMALL(Dong5,ROWS($1:601)),))</f>
        <v>VAT Bưu phí</v>
      </c>
      <c r="E615" s="318" t="str">
        <f ca="1">IF(ROWS($1:601)&gt;COUNT(Dong5),"",IF(OFFSET(TH!N$1,SMALL(Dong5,ROWS($1:601)),)=$E$7,OFFSET(TH!O$1,SMALL(Dong5,ROWS($1:601)),),OFFSET(TH!N$1,SMALL(Dong5,ROWS($1:601)),)))</f>
        <v>131</v>
      </c>
      <c r="F615" s="384">
        <f ca="1">IF(ROWS($1:601)&gt;COUNT(Dong5),0,IF(OFFSET(TH!N$1,SMALL(Dong5,ROWS($1:601)),)=$E$7,OFFSET(TH!M$1,SMALL(Dong5,ROWS($1:601)),),0))</f>
        <v>115830</v>
      </c>
      <c r="G615" s="382">
        <f ca="1">IF(ROWS($1:601)&gt;COUNT(Dong5),0,IF(OFFSET(TH!O$1,SMALL(Dong5,ROWS($1:601)),)=$E$7,OFFSET(TH!M$1,SMALL(Dong5,ROWS($1:601)),),0))</f>
        <v>0</v>
      </c>
      <c r="H615" s="385">
        <f ca="1">IF(D615&lt;&gt;"",MAX(H614+F615-G615-I614,0),0)</f>
        <v>434680361</v>
      </c>
      <c r="I615" s="385">
        <f ca="1">IF(D615&lt;&gt;"",MAX(I614+G615-H614-F615,0),0)</f>
        <v>0</v>
      </c>
      <c r="J615" s="18">
        <f ca="1">MONTH(A615)</f>
        <v>10</v>
      </c>
    </row>
    <row r="616" spans="1:10" s="18" customFormat="1" ht="18" customHeight="1">
      <c r="A616" s="318">
        <f ca="1">IF(ROWS($1:602)&gt;COUNT(Dong5),"",OFFSET(TH!C$1,SMALL(Dong5,ROWS($1:602)),))</f>
        <v>42653</v>
      </c>
      <c r="B616" s="318" t="str">
        <f ca="1">IF(ROWS($1:602)&gt;COUNT(Dong5),"",OFFSET(TH!D$1,SMALL(Dong5,ROWS($1:602)),))</f>
        <v>GBN</v>
      </c>
      <c r="C616" s="318">
        <f ca="1">IF(ROWS($1:602)&gt;COUNT(Dong5),"",OFFSET(TH!E$1,SMALL(Dong5,ROWS($1:602)),))</f>
        <v>42653</v>
      </c>
      <c r="D616" s="383" t="str">
        <f ca="1">IF(ROWS($1:602)&gt;COUNT(Dong5),"",OFFSET(TH!F$1,SMALL(Dong5,ROWS($1:602)),))</f>
        <v>VAT Phí thanh toán</v>
      </c>
      <c r="E616" s="318" t="str">
        <f ca="1">IF(ROWS($1:602)&gt;COUNT(Dong5),"",IF(OFFSET(TH!N$1,SMALL(Dong5,ROWS($1:602)),)=$E$7,OFFSET(TH!O$1,SMALL(Dong5,ROWS($1:602)),),OFFSET(TH!N$1,SMALL(Dong5,ROWS($1:602)),)))</f>
        <v>1121</v>
      </c>
      <c r="F616" s="384">
        <f ca="1">IF(ROWS($1:602)&gt;COUNT(Dong5),0,IF(OFFSET(TH!N$1,SMALL(Dong5,ROWS($1:602)),)=$E$7,OFFSET(TH!M$1,SMALL(Dong5,ROWS($1:602)),),0))</f>
        <v>1000</v>
      </c>
      <c r="G616" s="382">
        <f ca="1">IF(ROWS($1:602)&gt;COUNT(Dong5),0,IF(OFFSET(TH!O$1,SMALL(Dong5,ROWS($1:602)),)=$E$7,OFFSET(TH!M$1,SMALL(Dong5,ROWS($1:602)),),0))</f>
        <v>0</v>
      </c>
      <c r="H616" s="385">
        <f ca="1">IF(D616&lt;&gt;"",MAX(H615+F616-G616-I615,0),0)</f>
        <v>434681361</v>
      </c>
      <c r="I616" s="385">
        <f ca="1">IF(D616&lt;&gt;"",MAX(I615+G616-H615-F616,0),0)</f>
        <v>0</v>
      </c>
      <c r="J616" s="18">
        <f ca="1">MONTH(A616)</f>
        <v>10</v>
      </c>
    </row>
    <row r="617" spans="1:10" s="18" customFormat="1" ht="18" customHeight="1">
      <c r="A617" s="318">
        <f ca="1">IF(ROWS($1:603)&gt;COUNT(Dong5),"",OFFSET(TH!C$1,SMALL(Dong5,ROWS($1:603)),))</f>
        <v>42656</v>
      </c>
      <c r="B617" s="318" t="str">
        <f ca="1">IF(ROWS($1:603)&gt;COUNT(Dong5),"",OFFSET(TH!D$1,SMALL(Dong5,ROWS($1:603)),))</f>
        <v>C23</v>
      </c>
      <c r="C617" s="318">
        <f ca="1">IF(ROWS($1:603)&gt;COUNT(Dong5),"",OFFSET(TH!E$1,SMALL(Dong5,ROWS($1:603)),))</f>
        <v>42656</v>
      </c>
      <c r="D617" s="383" t="str">
        <f ca="1">IF(ROWS($1:603)&gt;COUNT(Dong5),"",OFFSET(TH!F$1,SMALL(Dong5,ROWS($1:603)),))</f>
        <v>VAT Xăng 92</v>
      </c>
      <c r="E617" s="318" t="str">
        <f ca="1">IF(ROWS($1:603)&gt;COUNT(Dong5),"",IF(OFFSET(TH!N$1,SMALL(Dong5,ROWS($1:603)),)=$E$7,OFFSET(TH!O$1,SMALL(Dong5,ROWS($1:603)),),OFFSET(TH!N$1,SMALL(Dong5,ROWS($1:603)),)))</f>
        <v>1111</v>
      </c>
      <c r="F617" s="384">
        <f ca="1">IF(ROWS($1:603)&gt;COUNT(Dong5),0,IF(OFFSET(TH!N$1,SMALL(Dong5,ROWS($1:603)),)=$E$7,OFFSET(TH!M$1,SMALL(Dong5,ROWS($1:603)),),0))</f>
        <v>119273</v>
      </c>
      <c r="G617" s="382">
        <f ca="1">IF(ROWS($1:603)&gt;COUNT(Dong5),0,IF(OFFSET(TH!O$1,SMALL(Dong5,ROWS($1:603)),)=$E$7,OFFSET(TH!M$1,SMALL(Dong5,ROWS($1:603)),),0))</f>
        <v>0</v>
      </c>
      <c r="H617" s="385">
        <f ca="1">IF(D617&lt;&gt;"",MAX(H616+F617-G617-I616,0),0)</f>
        <v>434800634</v>
      </c>
      <c r="I617" s="385">
        <f ca="1">IF(D617&lt;&gt;"",MAX(I616+G617-H616-F617,0),0)</f>
        <v>0</v>
      </c>
      <c r="J617" s="18">
        <f ca="1">MONTH(A617)</f>
        <v>10</v>
      </c>
    </row>
    <row r="618" spans="1:10" s="18" customFormat="1" ht="18" customHeight="1">
      <c r="A618" s="318">
        <f ca="1">IF(ROWS($1:604)&gt;COUNT(Dong5),"",OFFSET(TH!C$1,SMALL(Dong5,ROWS($1:604)),))</f>
        <v>42656</v>
      </c>
      <c r="B618" s="318" t="str">
        <f ca="1">IF(ROWS($1:604)&gt;COUNT(Dong5),"",OFFSET(TH!D$1,SMALL(Dong5,ROWS($1:604)),))</f>
        <v>C24</v>
      </c>
      <c r="C618" s="318">
        <f ca="1">IF(ROWS($1:604)&gt;COUNT(Dong5),"",OFFSET(TH!E$1,SMALL(Dong5,ROWS($1:604)),))</f>
        <v>42656</v>
      </c>
      <c r="D618" s="383" t="str">
        <f ca="1">IF(ROWS($1:604)&gt;COUNT(Dong5),"",OFFSET(TH!F$1,SMALL(Dong5,ROWS($1:604)),))</f>
        <v>VAT Gas</v>
      </c>
      <c r="E618" s="318" t="str">
        <f ca="1">IF(ROWS($1:604)&gt;COUNT(Dong5),"",IF(OFFSET(TH!N$1,SMALL(Dong5,ROWS($1:604)),)=$E$7,OFFSET(TH!O$1,SMALL(Dong5,ROWS($1:604)),),OFFSET(TH!N$1,SMALL(Dong5,ROWS($1:604)),)))</f>
        <v>1111</v>
      </c>
      <c r="F618" s="384">
        <f ca="1">IF(ROWS($1:604)&gt;COUNT(Dong5),0,IF(OFFSET(TH!N$1,SMALL(Dong5,ROWS($1:604)),)=$E$7,OFFSET(TH!M$1,SMALL(Dong5,ROWS($1:604)),),0))</f>
        <v>884091</v>
      </c>
      <c r="G618" s="382">
        <f ca="1">IF(ROWS($1:604)&gt;COUNT(Dong5),0,IF(OFFSET(TH!O$1,SMALL(Dong5,ROWS($1:604)),)=$E$7,OFFSET(TH!M$1,SMALL(Dong5,ROWS($1:604)),),0))</f>
        <v>0</v>
      </c>
      <c r="H618" s="385">
        <f ca="1">IF(D618&lt;&gt;"",MAX(H617+F618-G618-I617,0),0)</f>
        <v>435684725</v>
      </c>
      <c r="I618" s="385">
        <f ca="1">IF(D618&lt;&gt;"",MAX(I617+G618-H617-F618,0),0)</f>
        <v>0</v>
      </c>
      <c r="J618" s="18">
        <f ca="1">MONTH(A618)</f>
        <v>10</v>
      </c>
    </row>
    <row r="619" spans="1:10" s="18" customFormat="1" ht="18" customHeight="1">
      <c r="A619" s="318">
        <f ca="1">IF(ROWS($1:605)&gt;COUNT(Dong5),"",OFFSET(TH!C$1,SMALL(Dong5,ROWS($1:605)),))</f>
        <v>42659</v>
      </c>
      <c r="B619" s="318" t="str">
        <f ca="1">IF(ROWS($1:605)&gt;COUNT(Dong5),"",OFFSET(TH!D$1,SMALL(Dong5,ROWS($1:605)),))</f>
        <v>C26</v>
      </c>
      <c r="C619" s="318">
        <f ca="1">IF(ROWS($1:605)&gt;COUNT(Dong5),"",OFFSET(TH!E$1,SMALL(Dong5,ROWS($1:605)),))</f>
        <v>42659</v>
      </c>
      <c r="D619" s="383" t="str">
        <f ca="1">IF(ROWS($1:605)&gt;COUNT(Dong5),"",OFFSET(TH!F$1,SMALL(Dong5,ROWS($1:605)),))</f>
        <v>VAT Xăng, dầu DO</v>
      </c>
      <c r="E619" s="318" t="str">
        <f ca="1">IF(ROWS($1:605)&gt;COUNT(Dong5),"",IF(OFFSET(TH!N$1,SMALL(Dong5,ROWS($1:605)),)=$E$7,OFFSET(TH!O$1,SMALL(Dong5,ROWS($1:605)),),OFFSET(TH!N$1,SMALL(Dong5,ROWS($1:605)),)))</f>
        <v>1111</v>
      </c>
      <c r="F619" s="384">
        <f ca="1">IF(ROWS($1:605)&gt;COUNT(Dong5),0,IF(OFFSET(TH!N$1,SMALL(Dong5,ROWS($1:605)),)=$E$7,OFFSET(TH!M$1,SMALL(Dong5,ROWS($1:605)),),0))</f>
        <v>300125</v>
      </c>
      <c r="G619" s="382">
        <f ca="1">IF(ROWS($1:605)&gt;COUNT(Dong5),0,IF(OFFSET(TH!O$1,SMALL(Dong5,ROWS($1:605)),)=$E$7,OFFSET(TH!M$1,SMALL(Dong5,ROWS($1:605)),),0))</f>
        <v>0</v>
      </c>
      <c r="H619" s="385">
        <f ca="1">IF(D619&lt;&gt;"",MAX(H618+F619-G619-I618,0),0)</f>
        <v>435984850</v>
      </c>
      <c r="I619" s="385">
        <f ca="1">IF(D619&lt;&gt;"",MAX(I618+G619-H618-F619,0),0)</f>
        <v>0</v>
      </c>
      <c r="J619" s="18">
        <f ca="1">MONTH(A619)</f>
        <v>10</v>
      </c>
    </row>
    <row r="620" spans="1:10" s="18" customFormat="1" ht="18" customHeight="1">
      <c r="A620" s="318">
        <f ca="1">IF(ROWS($1:606)&gt;COUNT(Dong5),"",OFFSET(TH!C$1,SMALL(Dong5,ROWS($1:606)),))</f>
        <v>42661</v>
      </c>
      <c r="B620" s="318" t="str">
        <f ca="1">IF(ROWS($1:606)&gt;COUNT(Dong5),"",OFFSET(TH!D$1,SMALL(Dong5,ROWS($1:606)),))</f>
        <v>C29</v>
      </c>
      <c r="C620" s="318">
        <f ca="1">IF(ROWS($1:606)&gt;COUNT(Dong5),"",OFFSET(TH!E$1,SMALL(Dong5,ROWS($1:606)),))</f>
        <v>42661</v>
      </c>
      <c r="D620" s="383" t="str">
        <f ca="1">IF(ROWS($1:606)&gt;COUNT(Dong5),"",OFFSET(TH!F$1,SMALL(Dong5,ROWS($1:606)),))</f>
        <v>VAT Xăng</v>
      </c>
      <c r="E620" s="318" t="str">
        <f ca="1">IF(ROWS($1:606)&gt;COUNT(Dong5),"",IF(OFFSET(TH!N$1,SMALL(Dong5,ROWS($1:606)),)=$E$7,OFFSET(TH!O$1,SMALL(Dong5,ROWS($1:606)),),OFFSET(TH!N$1,SMALL(Dong5,ROWS($1:606)),)))</f>
        <v>1111</v>
      </c>
      <c r="F620" s="384">
        <f ca="1">IF(ROWS($1:606)&gt;COUNT(Dong5),0,IF(OFFSET(TH!N$1,SMALL(Dong5,ROWS($1:606)),)=$E$7,OFFSET(TH!M$1,SMALL(Dong5,ROWS($1:606)),),0))</f>
        <v>93273</v>
      </c>
      <c r="G620" s="382">
        <f ca="1">IF(ROWS($1:606)&gt;COUNT(Dong5),0,IF(OFFSET(TH!O$1,SMALL(Dong5,ROWS($1:606)),)=$E$7,OFFSET(TH!M$1,SMALL(Dong5,ROWS($1:606)),),0))</f>
        <v>0</v>
      </c>
      <c r="H620" s="385">
        <f ca="1">IF(D620&lt;&gt;"",MAX(H619+F620-G620-I619,0),0)</f>
        <v>436078123</v>
      </c>
      <c r="I620" s="385">
        <f ca="1">IF(D620&lt;&gt;"",MAX(I619+G620-H619-F620,0),0)</f>
        <v>0</v>
      </c>
      <c r="J620" s="18">
        <f ca="1">MONTH(A620)</f>
        <v>10</v>
      </c>
    </row>
    <row r="621" spans="1:10" s="18" customFormat="1" ht="18" customHeight="1">
      <c r="A621" s="318">
        <f ca="1">IF(ROWS($1:607)&gt;COUNT(Dong5),"",OFFSET(TH!C$1,SMALL(Dong5,ROWS($1:607)),))</f>
        <v>42662</v>
      </c>
      <c r="B621" s="318" t="str">
        <f ca="1">IF(ROWS($1:607)&gt;COUNT(Dong5),"",OFFSET(TH!D$1,SMALL(Dong5,ROWS($1:607)),))</f>
        <v>C32</v>
      </c>
      <c r="C621" s="318">
        <f ca="1">IF(ROWS($1:607)&gt;COUNT(Dong5),"",OFFSET(TH!E$1,SMALL(Dong5,ROWS($1:607)),))</f>
        <v>42662</v>
      </c>
      <c r="D621" s="383" t="str">
        <f ca="1">IF(ROWS($1:607)&gt;COUNT(Dong5),"",OFFSET(TH!F$1,SMALL(Dong5,ROWS($1:607)),))</f>
        <v>VAT Sửa chữa xe 51F - 080.56</v>
      </c>
      <c r="E621" s="318" t="str">
        <f ca="1">IF(ROWS($1:607)&gt;COUNT(Dong5),"",IF(OFFSET(TH!N$1,SMALL(Dong5,ROWS($1:607)),)=$E$7,OFFSET(TH!O$1,SMALL(Dong5,ROWS($1:607)),),OFFSET(TH!N$1,SMALL(Dong5,ROWS($1:607)),)))</f>
        <v>1111</v>
      </c>
      <c r="F621" s="384">
        <f ca="1">IF(ROWS($1:607)&gt;COUNT(Dong5),0,IF(OFFSET(TH!N$1,SMALL(Dong5,ROWS($1:607)),)=$E$7,OFFSET(TH!M$1,SMALL(Dong5,ROWS($1:607)),),0))</f>
        <v>315714</v>
      </c>
      <c r="G621" s="382">
        <f ca="1">IF(ROWS($1:607)&gt;COUNT(Dong5),0,IF(OFFSET(TH!O$1,SMALL(Dong5,ROWS($1:607)),)=$E$7,OFFSET(TH!M$1,SMALL(Dong5,ROWS($1:607)),),0))</f>
        <v>0</v>
      </c>
      <c r="H621" s="385">
        <f ca="1">IF(D621&lt;&gt;"",MAX(H620+F621-G621-I620,0),0)</f>
        <v>436393837</v>
      </c>
      <c r="I621" s="385">
        <f ca="1">IF(D621&lt;&gt;"",MAX(I620+G621-H620-F621,0),0)</f>
        <v>0</v>
      </c>
      <c r="J621" s="18">
        <f ca="1">MONTH(A621)</f>
        <v>10</v>
      </c>
    </row>
    <row r="622" spans="1:10" s="18" customFormat="1" ht="18" customHeight="1">
      <c r="A622" s="318">
        <f ca="1">IF(ROWS($1:608)&gt;COUNT(Dong5),"",OFFSET(TH!C$1,SMALL(Dong5,ROWS($1:608)),))</f>
        <v>42662</v>
      </c>
      <c r="B622" s="318" t="str">
        <f ca="1">IF(ROWS($1:608)&gt;COUNT(Dong5),"",OFFSET(TH!D$1,SMALL(Dong5,ROWS($1:608)),))</f>
        <v>C33</v>
      </c>
      <c r="C622" s="318">
        <f ca="1">IF(ROWS($1:608)&gt;COUNT(Dong5),"",OFFSET(TH!E$1,SMALL(Dong5,ROWS($1:608)),))</f>
        <v>42662</v>
      </c>
      <c r="D622" s="383" t="str">
        <f ca="1">IF(ROWS($1:608)&gt;COUNT(Dong5),"",OFFSET(TH!F$1,SMALL(Dong5,ROWS($1:608)),))</f>
        <v>VAT Xăng, dầu DO</v>
      </c>
      <c r="E622" s="318" t="str">
        <f ca="1">IF(ROWS($1:608)&gt;COUNT(Dong5),"",IF(OFFSET(TH!N$1,SMALL(Dong5,ROWS($1:608)),)=$E$7,OFFSET(TH!O$1,SMALL(Dong5,ROWS($1:608)),),OFFSET(TH!N$1,SMALL(Dong5,ROWS($1:608)),)))</f>
        <v>1111</v>
      </c>
      <c r="F622" s="384">
        <f ca="1">IF(ROWS($1:608)&gt;COUNT(Dong5),0,IF(OFFSET(TH!N$1,SMALL(Dong5,ROWS($1:608)),)=$E$7,OFFSET(TH!M$1,SMALL(Dong5,ROWS($1:608)),),0))</f>
        <v>153245</v>
      </c>
      <c r="G622" s="382">
        <f ca="1">IF(ROWS($1:608)&gt;COUNT(Dong5),0,IF(OFFSET(TH!O$1,SMALL(Dong5,ROWS($1:608)),)=$E$7,OFFSET(TH!M$1,SMALL(Dong5,ROWS($1:608)),),0))</f>
        <v>0</v>
      </c>
      <c r="H622" s="385">
        <f ca="1">IF(D622&lt;&gt;"",MAX(H621+F622-G622-I621,0),0)</f>
        <v>436547082</v>
      </c>
      <c r="I622" s="385">
        <f ca="1">IF(D622&lt;&gt;"",MAX(I621+G622-H621-F622,0),0)</f>
        <v>0</v>
      </c>
      <c r="J622" s="18">
        <f ca="1">MONTH(A622)</f>
        <v>10</v>
      </c>
    </row>
    <row r="623" spans="1:10" s="18" customFormat="1" ht="18" customHeight="1">
      <c r="A623" s="318">
        <f ca="1">IF(ROWS($1:609)&gt;COUNT(Dong5),"",OFFSET(TH!C$1,SMALL(Dong5,ROWS($1:609)),))</f>
        <v>42705</v>
      </c>
      <c r="B623" s="318" t="str">
        <f ca="1">IF(ROWS($1:609)&gt;COUNT(Dong5),"",OFFSET(TH!D$1,SMALL(Dong5,ROWS($1:609)),))</f>
        <v>CTGS</v>
      </c>
      <c r="C623" s="318">
        <f ca="1">IF(ROWS($1:609)&gt;COUNT(Dong5),"",OFFSET(TH!E$1,SMALL(Dong5,ROWS($1:609)),))</f>
        <v>42704</v>
      </c>
      <c r="D623" s="383" t="str">
        <f ca="1">IF(ROWS($1:609)&gt;COUNT(Dong5),"",OFFSET(TH!F$1,SMALL(Dong5,ROWS($1:609)),))</f>
        <v>VAT Nước sinh hoạt, phí cơ sở hạ tầng</v>
      </c>
      <c r="E623" s="318" t="str">
        <f ca="1">IF(ROWS($1:609)&gt;COUNT(Dong5),"",IF(OFFSET(TH!N$1,SMALL(Dong5,ROWS($1:609)),)=$E$7,OFFSET(TH!O$1,SMALL(Dong5,ROWS($1:609)),),OFFSET(TH!N$1,SMALL(Dong5,ROWS($1:609)),)))</f>
        <v>331</v>
      </c>
      <c r="F623" s="384">
        <f ca="1">IF(ROWS($1:609)&gt;COUNT(Dong5),0,IF(OFFSET(TH!N$1,SMALL(Dong5,ROWS($1:609)),)=$E$7,OFFSET(TH!M$1,SMALL(Dong5,ROWS($1:609)),),0))</f>
        <v>500427</v>
      </c>
      <c r="G623" s="382">
        <f ca="1">IF(ROWS($1:609)&gt;COUNT(Dong5),0,IF(OFFSET(TH!O$1,SMALL(Dong5,ROWS($1:609)),)=$E$7,OFFSET(TH!M$1,SMALL(Dong5,ROWS($1:609)),),0))</f>
        <v>0</v>
      </c>
      <c r="H623" s="385">
        <f ca="1">IF(D623&lt;&gt;"",MAX(H622+F623-G623-I622,0),0)</f>
        <v>437047509</v>
      </c>
      <c r="I623" s="385">
        <f ca="1">IF(D623&lt;&gt;"",MAX(I622+G623-H622-F623,0),0)</f>
        <v>0</v>
      </c>
      <c r="J623" s="18">
        <f ca="1">MONTH(A623)</f>
        <v>12</v>
      </c>
    </row>
    <row r="624" spans="1:10" s="18" customFormat="1" ht="18" customHeight="1">
      <c r="A624" s="318">
        <f ca="1">IF(ROWS($1:610)&gt;COUNT(Dong5),"",OFFSET(TH!C$1,SMALL(Dong5,ROWS($1:610)),))</f>
        <v>42662</v>
      </c>
      <c r="B624" s="318" t="str">
        <f ca="1">IF(ROWS($1:610)&gt;COUNT(Dong5),"",OFFSET(TH!D$1,SMALL(Dong5,ROWS($1:610)),))</f>
        <v>GBN</v>
      </c>
      <c r="C624" s="318">
        <f ca="1">IF(ROWS($1:610)&gt;COUNT(Dong5),"",OFFSET(TH!E$1,SMALL(Dong5,ROWS($1:610)),))</f>
        <v>42662</v>
      </c>
      <c r="D624" s="383" t="str">
        <f ca="1">IF(ROWS($1:610)&gt;COUNT(Dong5),"",OFFSET(TH!F$1,SMALL(Dong5,ROWS($1:610)),))</f>
        <v>VAT Phí thanh toán</v>
      </c>
      <c r="E624" s="318" t="str">
        <f ca="1">IF(ROWS($1:610)&gt;COUNT(Dong5),"",IF(OFFSET(TH!N$1,SMALL(Dong5,ROWS($1:610)),)=$E$7,OFFSET(TH!O$1,SMALL(Dong5,ROWS($1:610)),),OFFSET(TH!N$1,SMALL(Dong5,ROWS($1:610)),)))</f>
        <v>1121</v>
      </c>
      <c r="F624" s="384">
        <f ca="1">IF(ROWS($1:610)&gt;COUNT(Dong5),0,IF(OFFSET(TH!N$1,SMALL(Dong5,ROWS($1:610)),)=$E$7,OFFSET(TH!M$1,SMALL(Dong5,ROWS($1:610)),),0))</f>
        <v>2000</v>
      </c>
      <c r="G624" s="382">
        <f ca="1">IF(ROWS($1:610)&gt;COUNT(Dong5),0,IF(OFFSET(TH!O$1,SMALL(Dong5,ROWS($1:610)),)=$E$7,OFFSET(TH!M$1,SMALL(Dong5,ROWS($1:610)),),0))</f>
        <v>0</v>
      </c>
      <c r="H624" s="385">
        <f ca="1">IF(D624&lt;&gt;"",MAX(H623+F624-G624-I623,0),0)</f>
        <v>437049509</v>
      </c>
      <c r="I624" s="385">
        <f ca="1">IF(D624&lt;&gt;"",MAX(I623+G624-H623-F624,0),0)</f>
        <v>0</v>
      </c>
      <c r="J624" s="18">
        <f ca="1">MONTH(A624)</f>
        <v>10</v>
      </c>
    </row>
    <row r="625" spans="1:10" s="18" customFormat="1" ht="18" customHeight="1">
      <c r="A625" s="318">
        <f ca="1">IF(ROWS($1:611)&gt;COUNT(Dong5),"",OFFSET(TH!C$1,SMALL(Dong5,ROWS($1:611)),))</f>
        <v>42662</v>
      </c>
      <c r="B625" s="318" t="str">
        <f ca="1">IF(ROWS($1:611)&gt;COUNT(Dong5),"",OFFSET(TH!D$1,SMALL(Dong5,ROWS($1:611)),))</f>
        <v>GBN</v>
      </c>
      <c r="C625" s="318">
        <f ca="1">IF(ROWS($1:611)&gt;COUNT(Dong5),"",OFFSET(TH!E$1,SMALL(Dong5,ROWS($1:611)),))</f>
        <v>42662</v>
      </c>
      <c r="D625" s="383" t="str">
        <f ca="1">IF(ROWS($1:611)&gt;COUNT(Dong5),"",OFFSET(TH!F$1,SMALL(Dong5,ROWS($1:611)),))</f>
        <v>VAT Phí thanh toán</v>
      </c>
      <c r="E625" s="318" t="str">
        <f ca="1">IF(ROWS($1:611)&gt;COUNT(Dong5),"",IF(OFFSET(TH!N$1,SMALL(Dong5,ROWS($1:611)),)=$E$7,OFFSET(TH!O$1,SMALL(Dong5,ROWS($1:611)),),OFFSET(TH!N$1,SMALL(Dong5,ROWS($1:611)),)))</f>
        <v>1121</v>
      </c>
      <c r="F625" s="384">
        <f ca="1">IF(ROWS($1:611)&gt;COUNT(Dong5),0,IF(OFFSET(TH!N$1,SMALL(Dong5,ROWS($1:611)),)=$E$7,OFFSET(TH!M$1,SMALL(Dong5,ROWS($1:611)),),0))</f>
        <v>2288</v>
      </c>
      <c r="G625" s="382">
        <f ca="1">IF(ROWS($1:611)&gt;COUNT(Dong5),0,IF(OFFSET(TH!O$1,SMALL(Dong5,ROWS($1:611)),)=$E$7,OFFSET(TH!M$1,SMALL(Dong5,ROWS($1:611)),),0))</f>
        <v>0</v>
      </c>
      <c r="H625" s="385">
        <f ca="1">IF(D625&lt;&gt;"",MAX(H624+F625-G625-I624,0),0)</f>
        <v>437051797</v>
      </c>
      <c r="I625" s="385">
        <f ca="1">IF(D625&lt;&gt;"",MAX(I624+G625-H624-F625,0),0)</f>
        <v>0</v>
      </c>
      <c r="J625" s="18">
        <f ca="1">MONTH(A625)</f>
        <v>10</v>
      </c>
    </row>
    <row r="626" spans="1:10" s="18" customFormat="1" ht="18" customHeight="1">
      <c r="A626" s="318">
        <f ca="1">IF(ROWS($1:612)&gt;COUNT(Dong5),"",OFFSET(TH!C$1,SMALL(Dong5,ROWS($1:612)),))</f>
        <v>42710</v>
      </c>
      <c r="B626" s="318" t="str">
        <f ca="1">IF(ROWS($1:612)&gt;COUNT(Dong5),"",OFFSET(TH!D$1,SMALL(Dong5,ROWS($1:612)),))</f>
        <v>CTGS</v>
      </c>
      <c r="C626" s="318">
        <f ca="1">IF(ROWS($1:612)&gt;COUNT(Dong5),"",OFFSET(TH!E$1,SMALL(Dong5,ROWS($1:612)),))</f>
        <v>42710</v>
      </c>
      <c r="D626" s="383" t="str">
        <f ca="1">IF(ROWS($1:612)&gt;COUNT(Dong5),"",OFFSET(TH!F$1,SMALL(Dong5,ROWS($1:612)),))</f>
        <v>VAT Tiền điện kỳ 1 T12/2016</v>
      </c>
      <c r="E626" s="318" t="str">
        <f ca="1">IF(ROWS($1:612)&gt;COUNT(Dong5),"",IF(OFFSET(TH!N$1,SMALL(Dong5,ROWS($1:612)),)=$E$7,OFFSET(TH!O$1,SMALL(Dong5,ROWS($1:612)),),OFFSET(TH!N$1,SMALL(Dong5,ROWS($1:612)),)))</f>
        <v>331</v>
      </c>
      <c r="F626" s="384">
        <f ca="1">IF(ROWS($1:612)&gt;COUNT(Dong5),0,IF(OFFSET(TH!N$1,SMALL(Dong5,ROWS($1:612)),)=$E$7,OFFSET(TH!M$1,SMALL(Dong5,ROWS($1:612)),),0))</f>
        <v>2970900</v>
      </c>
      <c r="G626" s="382">
        <f ca="1">IF(ROWS($1:612)&gt;COUNT(Dong5),0,IF(OFFSET(TH!O$1,SMALL(Dong5,ROWS($1:612)),)=$E$7,OFFSET(TH!M$1,SMALL(Dong5,ROWS($1:612)),),0))</f>
        <v>0</v>
      </c>
      <c r="H626" s="385">
        <f ca="1">IF(D626&lt;&gt;"",MAX(H625+F626-G626-I625,0),0)</f>
        <v>440022697</v>
      </c>
      <c r="I626" s="385">
        <f ca="1">IF(D626&lt;&gt;"",MAX(I625+G626-H625-F626,0),0)</f>
        <v>0</v>
      </c>
      <c r="J626" s="18">
        <f ca="1">MONTH(A626)</f>
        <v>12</v>
      </c>
    </row>
    <row r="627" spans="1:10" s="18" customFormat="1" ht="18" customHeight="1">
      <c r="A627" s="318">
        <f ca="1">IF(ROWS($1:613)&gt;COUNT(Dong5),"",OFFSET(TH!C$1,SMALL(Dong5,ROWS($1:613)),))</f>
        <v>42662</v>
      </c>
      <c r="B627" s="318" t="str">
        <f ca="1">IF(ROWS($1:613)&gt;COUNT(Dong5),"",OFFSET(TH!D$1,SMALL(Dong5,ROWS($1:613)),))</f>
        <v>GBN</v>
      </c>
      <c r="C627" s="318">
        <f ca="1">IF(ROWS($1:613)&gt;COUNT(Dong5),"",OFFSET(TH!E$1,SMALL(Dong5,ROWS($1:613)),))</f>
        <v>42662</v>
      </c>
      <c r="D627" s="383" t="str">
        <f ca="1">IF(ROWS($1:613)&gt;COUNT(Dong5),"",OFFSET(TH!F$1,SMALL(Dong5,ROWS($1:613)),))</f>
        <v>VAT Phí thanh toán</v>
      </c>
      <c r="E627" s="318" t="str">
        <f ca="1">IF(ROWS($1:613)&gt;COUNT(Dong5),"",IF(OFFSET(TH!N$1,SMALL(Dong5,ROWS($1:613)),)=$E$7,OFFSET(TH!O$1,SMALL(Dong5,ROWS($1:613)),),OFFSET(TH!N$1,SMALL(Dong5,ROWS($1:613)),)))</f>
        <v>1121</v>
      </c>
      <c r="F627" s="384">
        <f ca="1">IF(ROWS($1:613)&gt;COUNT(Dong5),0,IF(OFFSET(TH!N$1,SMALL(Dong5,ROWS($1:613)),)=$E$7,OFFSET(TH!M$1,SMALL(Dong5,ROWS($1:613)),),0))</f>
        <v>2000</v>
      </c>
      <c r="G627" s="382">
        <f ca="1">IF(ROWS($1:613)&gt;COUNT(Dong5),0,IF(OFFSET(TH!O$1,SMALL(Dong5,ROWS($1:613)),)=$E$7,OFFSET(TH!M$1,SMALL(Dong5,ROWS($1:613)),),0))</f>
        <v>0</v>
      </c>
      <c r="H627" s="385">
        <f ca="1">IF(D627&lt;&gt;"",MAX(H626+F627-G627-I626,0),0)</f>
        <v>440024697</v>
      </c>
      <c r="I627" s="385">
        <f ca="1">IF(D627&lt;&gt;"",MAX(I626+G627-H626-F627,0),0)</f>
        <v>0</v>
      </c>
      <c r="J627" s="18">
        <f ca="1">MONTH(A627)</f>
        <v>10</v>
      </c>
    </row>
    <row r="628" spans="1:10" s="18" customFormat="1" ht="18" customHeight="1">
      <c r="A628" s="318">
        <f ca="1">IF(ROWS($1:614)&gt;COUNT(Dong5),"",OFFSET(TH!C$1,SMALL(Dong5,ROWS($1:614)),))</f>
        <v>42662</v>
      </c>
      <c r="B628" s="318" t="str">
        <f ca="1">IF(ROWS($1:614)&gt;COUNT(Dong5),"",OFFSET(TH!D$1,SMALL(Dong5,ROWS($1:614)),))</f>
        <v>GBN</v>
      </c>
      <c r="C628" s="318">
        <f ca="1">IF(ROWS($1:614)&gt;COUNT(Dong5),"",OFFSET(TH!E$1,SMALL(Dong5,ROWS($1:614)),))</f>
        <v>42662</v>
      </c>
      <c r="D628" s="383" t="str">
        <f ca="1">IF(ROWS($1:614)&gt;COUNT(Dong5),"",OFFSET(TH!F$1,SMALL(Dong5,ROWS($1:614)),))</f>
        <v>VAT Phí thanh toán</v>
      </c>
      <c r="E628" s="318" t="str">
        <f ca="1">IF(ROWS($1:614)&gt;COUNT(Dong5),"",IF(OFFSET(TH!N$1,SMALL(Dong5,ROWS($1:614)),)=$E$7,OFFSET(TH!O$1,SMALL(Dong5,ROWS($1:614)),),OFFSET(TH!N$1,SMALL(Dong5,ROWS($1:614)),)))</f>
        <v>1121</v>
      </c>
      <c r="F628" s="384">
        <f ca="1">IF(ROWS($1:614)&gt;COUNT(Dong5),0,IF(OFFSET(TH!N$1,SMALL(Dong5,ROWS($1:614)),)=$E$7,OFFSET(TH!M$1,SMALL(Dong5,ROWS($1:614)),),0))</f>
        <v>4000</v>
      </c>
      <c r="G628" s="382">
        <f ca="1">IF(ROWS($1:614)&gt;COUNT(Dong5),0,IF(OFFSET(TH!O$1,SMALL(Dong5,ROWS($1:614)),)=$E$7,OFFSET(TH!M$1,SMALL(Dong5,ROWS($1:614)),),0))</f>
        <v>0</v>
      </c>
      <c r="H628" s="385">
        <f ca="1">IF(D628&lt;&gt;"",MAX(H627+F628-G628-I627,0),0)</f>
        <v>440028697</v>
      </c>
      <c r="I628" s="385">
        <f ca="1">IF(D628&lt;&gt;"",MAX(I627+G628-H627-F628,0),0)</f>
        <v>0</v>
      </c>
      <c r="J628" s="18">
        <f ca="1">MONTH(A628)</f>
        <v>10</v>
      </c>
    </row>
    <row r="629" spans="1:10" s="18" customFormat="1" ht="18" customHeight="1">
      <c r="A629" s="318">
        <f ca="1">IF(ROWS($1:615)&gt;COUNT(Dong5),"",OFFSET(TH!C$1,SMALL(Dong5,ROWS($1:615)),))</f>
        <v>42706</v>
      </c>
      <c r="B629" s="318" t="str">
        <f ca="1">IF(ROWS($1:615)&gt;COUNT(Dong5),"",OFFSET(TH!D$1,SMALL(Dong5,ROWS($1:615)),))</f>
        <v>CTGS</v>
      </c>
      <c r="C629" s="318">
        <f ca="1">IF(ROWS($1:615)&gt;COUNT(Dong5),"",OFFSET(TH!E$1,SMALL(Dong5,ROWS($1:615)),))</f>
        <v>42706</v>
      </c>
      <c r="D629" s="383" t="str">
        <f ca="1">IF(ROWS($1:615)&gt;COUNT(Dong5),"",OFFSET(TH!F$1,SMALL(Dong5,ROWS($1:615)),))</f>
        <v>VAT Phí xếp dỡ, niêm chì, phí chứng từ</v>
      </c>
      <c r="E629" s="318" t="str">
        <f ca="1">IF(ROWS($1:615)&gt;COUNT(Dong5),"",IF(OFFSET(TH!N$1,SMALL(Dong5,ROWS($1:615)),)=$E$7,OFFSET(TH!O$1,SMALL(Dong5,ROWS($1:615)),),OFFSET(TH!N$1,SMALL(Dong5,ROWS($1:615)),)))</f>
        <v>331</v>
      </c>
      <c r="F629" s="384">
        <f ca="1">IF(ROWS($1:615)&gt;COUNT(Dong5),0,IF(OFFSET(TH!N$1,SMALL(Dong5,ROWS($1:615)),)=$E$7,OFFSET(TH!M$1,SMALL(Dong5,ROWS($1:615)),),0))</f>
        <v>383467</v>
      </c>
      <c r="G629" s="382">
        <f ca="1">IF(ROWS($1:615)&gt;COUNT(Dong5),0,IF(OFFSET(TH!O$1,SMALL(Dong5,ROWS($1:615)),)=$E$7,OFFSET(TH!M$1,SMALL(Dong5,ROWS($1:615)),),0))</f>
        <v>0</v>
      </c>
      <c r="H629" s="385">
        <f ca="1">IF(D629&lt;&gt;"",MAX(H628+F629-G629-I628,0),0)</f>
        <v>440412164</v>
      </c>
      <c r="I629" s="385">
        <f ca="1">IF(D629&lt;&gt;"",MAX(I628+G629-H628-F629,0),0)</f>
        <v>0</v>
      </c>
      <c r="J629" s="18">
        <f ca="1">MONTH(A629)</f>
        <v>12</v>
      </c>
    </row>
    <row r="630" spans="1:10" s="18" customFormat="1" ht="18" customHeight="1">
      <c r="A630" s="318">
        <f ca="1">IF(ROWS($1:616)&gt;COUNT(Dong5),"",OFFSET(TH!C$1,SMALL(Dong5,ROWS($1:616)),))</f>
        <v>42667</v>
      </c>
      <c r="B630" s="318" t="str">
        <f ca="1">IF(ROWS($1:616)&gt;COUNT(Dong5),"",OFFSET(TH!D$1,SMALL(Dong5,ROWS($1:616)),))</f>
        <v>GBN</v>
      </c>
      <c r="C630" s="318">
        <f ca="1">IF(ROWS($1:616)&gt;COUNT(Dong5),"",OFFSET(TH!E$1,SMALL(Dong5,ROWS($1:616)),))</f>
        <v>42667</v>
      </c>
      <c r="D630" s="383" t="str">
        <f ca="1">IF(ROWS($1:616)&gt;COUNT(Dong5),"",OFFSET(TH!F$1,SMALL(Dong5,ROWS($1:616)),))</f>
        <v>VAT Phí dịch vụ</v>
      </c>
      <c r="E630" s="318" t="str">
        <f ca="1">IF(ROWS($1:616)&gt;COUNT(Dong5),"",IF(OFFSET(TH!N$1,SMALL(Dong5,ROWS($1:616)),)=$E$7,OFFSET(TH!O$1,SMALL(Dong5,ROWS($1:616)),),OFFSET(TH!N$1,SMALL(Dong5,ROWS($1:616)),)))</f>
        <v>1121</v>
      </c>
      <c r="F630" s="384">
        <f ca="1">IF(ROWS($1:616)&gt;COUNT(Dong5),0,IF(OFFSET(TH!N$1,SMALL(Dong5,ROWS($1:616)),)=$E$7,OFFSET(TH!M$1,SMALL(Dong5,ROWS($1:616)),),0))</f>
        <v>2000</v>
      </c>
      <c r="G630" s="382">
        <f ca="1">IF(ROWS($1:616)&gt;COUNT(Dong5),0,IF(OFFSET(TH!O$1,SMALL(Dong5,ROWS($1:616)),)=$E$7,OFFSET(TH!M$1,SMALL(Dong5,ROWS($1:616)),),0))</f>
        <v>0</v>
      </c>
      <c r="H630" s="385">
        <f ca="1">IF(D630&lt;&gt;"",MAX(H629+F630-G630-I629,0),0)</f>
        <v>440414164</v>
      </c>
      <c r="I630" s="385">
        <f ca="1">IF(D630&lt;&gt;"",MAX(I629+G630-H629-F630,0),0)</f>
        <v>0</v>
      </c>
      <c r="J630" s="18">
        <f ca="1">MONTH(A630)</f>
        <v>10</v>
      </c>
    </row>
    <row r="631" spans="1:10" s="18" customFormat="1" ht="18" customHeight="1">
      <c r="A631" s="318">
        <f ca="1">IF(ROWS($1:617)&gt;COUNT(Dong5),"",OFFSET(TH!C$1,SMALL(Dong5,ROWS($1:617)),))</f>
        <v>42667</v>
      </c>
      <c r="B631" s="318" t="str">
        <f ca="1">IF(ROWS($1:617)&gt;COUNT(Dong5),"",OFFSET(TH!D$1,SMALL(Dong5,ROWS($1:617)),))</f>
        <v>GBN</v>
      </c>
      <c r="C631" s="318">
        <f ca="1">IF(ROWS($1:617)&gt;COUNT(Dong5),"",OFFSET(TH!E$1,SMALL(Dong5,ROWS($1:617)),))</f>
        <v>42667</v>
      </c>
      <c r="D631" s="383" t="str">
        <f ca="1">IF(ROWS($1:617)&gt;COUNT(Dong5),"",OFFSET(TH!F$1,SMALL(Dong5,ROWS($1:617)),))</f>
        <v>VAT Phí dịch vụ</v>
      </c>
      <c r="E631" s="318" t="str">
        <f ca="1">IF(ROWS($1:617)&gt;COUNT(Dong5),"",IF(OFFSET(TH!N$1,SMALL(Dong5,ROWS($1:617)),)=$E$7,OFFSET(TH!O$1,SMALL(Dong5,ROWS($1:617)),),OFFSET(TH!N$1,SMALL(Dong5,ROWS($1:617)),)))</f>
        <v>1121</v>
      </c>
      <c r="F631" s="384">
        <f ca="1">IF(ROWS($1:617)&gt;COUNT(Dong5),0,IF(OFFSET(TH!N$1,SMALL(Dong5,ROWS($1:617)),)=$E$7,OFFSET(TH!M$1,SMALL(Dong5,ROWS($1:617)),),0))</f>
        <v>2000</v>
      </c>
      <c r="G631" s="382">
        <f ca="1">IF(ROWS($1:617)&gt;COUNT(Dong5),0,IF(OFFSET(TH!O$1,SMALL(Dong5,ROWS($1:617)),)=$E$7,OFFSET(TH!M$1,SMALL(Dong5,ROWS($1:617)),),0))</f>
        <v>0</v>
      </c>
      <c r="H631" s="385">
        <f ca="1">IF(D631&lt;&gt;"",MAX(H630+F631-G631-I630,0),0)</f>
        <v>440416164</v>
      </c>
      <c r="I631" s="385">
        <f ca="1">IF(D631&lt;&gt;"",MAX(I630+G631-H630-F631,0),0)</f>
        <v>0</v>
      </c>
      <c r="J631" s="18">
        <f ca="1">MONTH(A631)</f>
        <v>10</v>
      </c>
    </row>
    <row r="632" spans="1:10" s="18" customFormat="1" ht="18" customHeight="1">
      <c r="A632" s="318">
        <f ca="1">IF(ROWS($1:618)&gt;COUNT(Dong5),"",OFFSET(TH!C$1,SMALL(Dong5,ROWS($1:618)),))</f>
        <v>42670</v>
      </c>
      <c r="B632" s="318" t="str">
        <f ca="1">IF(ROWS($1:618)&gt;COUNT(Dong5),"",OFFSET(TH!D$1,SMALL(Dong5,ROWS($1:618)),))</f>
        <v>C39</v>
      </c>
      <c r="C632" s="318">
        <f ca="1">IF(ROWS($1:618)&gt;COUNT(Dong5),"",OFFSET(TH!E$1,SMALL(Dong5,ROWS($1:618)),))</f>
        <v>42670</v>
      </c>
      <c r="D632" s="383" t="str">
        <f ca="1">IF(ROWS($1:618)&gt;COUNT(Dong5),"",OFFSET(TH!F$1,SMALL(Dong5,ROWS($1:618)),))</f>
        <v>VAT Phí dịch vụ bảo vệ T10/2016</v>
      </c>
      <c r="E632" s="318" t="str">
        <f ca="1">IF(ROWS($1:618)&gt;COUNT(Dong5),"",IF(OFFSET(TH!N$1,SMALL(Dong5,ROWS($1:618)),)=$E$7,OFFSET(TH!O$1,SMALL(Dong5,ROWS($1:618)),),OFFSET(TH!N$1,SMALL(Dong5,ROWS($1:618)),)))</f>
        <v>1111</v>
      </c>
      <c r="F632" s="384">
        <f ca="1">IF(ROWS($1:618)&gt;COUNT(Dong5),0,IF(OFFSET(TH!N$1,SMALL(Dong5,ROWS($1:618)),)=$E$7,OFFSET(TH!M$1,SMALL(Dong5,ROWS($1:618)),),0))</f>
        <v>1605000</v>
      </c>
      <c r="G632" s="382">
        <f ca="1">IF(ROWS($1:618)&gt;COUNT(Dong5),0,IF(OFFSET(TH!O$1,SMALL(Dong5,ROWS($1:618)),)=$E$7,OFFSET(TH!M$1,SMALL(Dong5,ROWS($1:618)),),0))</f>
        <v>0</v>
      </c>
      <c r="H632" s="385">
        <f ca="1">IF(D632&lt;&gt;"",MAX(H631+F632-G632-I631,0),0)</f>
        <v>442021164</v>
      </c>
      <c r="I632" s="385">
        <f ca="1">IF(D632&lt;&gt;"",MAX(I631+G632-H631-F632,0),0)</f>
        <v>0</v>
      </c>
      <c r="J632" s="18">
        <f ca="1">MONTH(A632)</f>
        <v>10</v>
      </c>
    </row>
    <row r="633" spans="1:10" s="18" customFormat="1" ht="18" customHeight="1">
      <c r="A633" s="318">
        <f ca="1">IF(ROWS($1:619)&gt;COUNT(Dong5),"",OFFSET(TH!C$1,SMALL(Dong5,ROWS($1:619)),))</f>
        <v>42673</v>
      </c>
      <c r="B633" s="318" t="str">
        <f ca="1">IF(ROWS($1:619)&gt;COUNT(Dong5),"",OFFSET(TH!D$1,SMALL(Dong5,ROWS($1:619)),))</f>
        <v>C43</v>
      </c>
      <c r="C633" s="318">
        <f ca="1">IF(ROWS($1:619)&gt;COUNT(Dong5),"",OFFSET(TH!E$1,SMALL(Dong5,ROWS($1:619)),))</f>
        <v>42673</v>
      </c>
      <c r="D633" s="383" t="str">
        <f ca="1">IF(ROWS($1:619)&gt;COUNT(Dong5),"",OFFSET(TH!F$1,SMALL(Dong5,ROWS($1:619)),))</f>
        <v>VAT Xăng, dầu DO</v>
      </c>
      <c r="E633" s="318" t="str">
        <f ca="1">IF(ROWS($1:619)&gt;COUNT(Dong5),"",IF(OFFSET(TH!N$1,SMALL(Dong5,ROWS($1:619)),)=$E$7,OFFSET(TH!O$1,SMALL(Dong5,ROWS($1:619)),),OFFSET(TH!N$1,SMALL(Dong5,ROWS($1:619)),)))</f>
        <v>1111</v>
      </c>
      <c r="F633" s="384">
        <f ca="1">IF(ROWS($1:619)&gt;COUNT(Dong5),0,IF(OFFSET(TH!N$1,SMALL(Dong5,ROWS($1:619)),)=$E$7,OFFSET(TH!M$1,SMALL(Dong5,ROWS($1:619)),),0))</f>
        <v>367444</v>
      </c>
      <c r="G633" s="382">
        <f ca="1">IF(ROWS($1:619)&gt;COUNT(Dong5),0,IF(OFFSET(TH!O$1,SMALL(Dong5,ROWS($1:619)),)=$E$7,OFFSET(TH!M$1,SMALL(Dong5,ROWS($1:619)),),0))</f>
        <v>0</v>
      </c>
      <c r="H633" s="385">
        <f ca="1">IF(D633&lt;&gt;"",MAX(H632+F633-G633-I632,0),0)</f>
        <v>442388608</v>
      </c>
      <c r="I633" s="385">
        <f ca="1">IF(D633&lt;&gt;"",MAX(I632+G633-H632-F633,0),0)</f>
        <v>0</v>
      </c>
      <c r="J633" s="18">
        <f ca="1">MONTH(A633)</f>
        <v>10</v>
      </c>
    </row>
    <row r="634" spans="1:10" s="18" customFormat="1" ht="18" customHeight="1">
      <c r="A634" s="318">
        <f ca="1">IF(ROWS($1:620)&gt;COUNT(Dong5),"",OFFSET(TH!C$1,SMALL(Dong5,ROWS($1:620)),))</f>
        <v>42674</v>
      </c>
      <c r="B634" s="318" t="str">
        <f ca="1">IF(ROWS($1:620)&gt;COUNT(Dong5),"",OFFSET(TH!D$1,SMALL(Dong5,ROWS($1:620)),))</f>
        <v>C44</v>
      </c>
      <c r="C634" s="318">
        <f ca="1">IF(ROWS($1:620)&gt;COUNT(Dong5),"",OFFSET(TH!E$1,SMALL(Dong5,ROWS($1:620)),))</f>
        <v>42668</v>
      </c>
      <c r="D634" s="383" t="str">
        <f ca="1">IF(ROWS($1:620)&gt;COUNT(Dong5),"",OFFSET(TH!F$1,SMALL(Dong5,ROWS($1:620)),))</f>
        <v>VAT Phí lưu kho, bốc xếp T9 + T10</v>
      </c>
      <c r="E634" s="318" t="str">
        <f ca="1">IF(ROWS($1:620)&gt;COUNT(Dong5),"",IF(OFFSET(TH!N$1,SMALL(Dong5,ROWS($1:620)),)=$E$7,OFFSET(TH!O$1,SMALL(Dong5,ROWS($1:620)),),OFFSET(TH!N$1,SMALL(Dong5,ROWS($1:620)),)))</f>
        <v>1111</v>
      </c>
      <c r="F634" s="384">
        <f ca="1">IF(ROWS($1:620)&gt;COUNT(Dong5),0,IF(OFFSET(TH!N$1,SMALL(Dong5,ROWS($1:620)),)=$E$7,OFFSET(TH!M$1,SMALL(Dong5,ROWS($1:620)),),0))</f>
        <v>29865</v>
      </c>
      <c r="G634" s="382">
        <f ca="1">IF(ROWS($1:620)&gt;COUNT(Dong5),0,IF(OFFSET(TH!O$1,SMALL(Dong5,ROWS($1:620)),)=$E$7,OFFSET(TH!M$1,SMALL(Dong5,ROWS($1:620)),),0))</f>
        <v>0</v>
      </c>
      <c r="H634" s="385">
        <f ca="1">IF(D634&lt;&gt;"",MAX(H633+F634-G634-I633,0),0)</f>
        <v>442418473</v>
      </c>
      <c r="I634" s="385">
        <f ca="1">IF(D634&lt;&gt;"",MAX(I633+G634-H633-F634,0),0)</f>
        <v>0</v>
      </c>
      <c r="J634" s="18">
        <f ca="1">MONTH(A634)</f>
        <v>10</v>
      </c>
    </row>
    <row r="635" spans="1:10" s="18" customFormat="1" ht="18" customHeight="1">
      <c r="A635" s="318">
        <f ca="1">IF(ROWS($1:621)&gt;COUNT(Dong5),"",OFFSET(TH!C$1,SMALL(Dong5,ROWS($1:621)),))</f>
        <v>42674</v>
      </c>
      <c r="B635" s="318" t="str">
        <f ca="1">IF(ROWS($1:621)&gt;COUNT(Dong5),"",OFFSET(TH!D$1,SMALL(Dong5,ROWS($1:621)),))</f>
        <v>C45</v>
      </c>
      <c r="C635" s="318">
        <f ca="1">IF(ROWS($1:621)&gt;COUNT(Dong5),"",OFFSET(TH!E$1,SMALL(Dong5,ROWS($1:621)),))</f>
        <v>42674</v>
      </c>
      <c r="D635" s="383" t="str">
        <f ca="1">IF(ROWS($1:621)&gt;COUNT(Dong5),"",OFFSET(TH!F$1,SMALL(Dong5,ROWS($1:621)),))</f>
        <v>VAT Phí giao thông</v>
      </c>
      <c r="E635" s="318" t="str">
        <f ca="1">IF(ROWS($1:621)&gt;COUNT(Dong5),"",IF(OFFSET(TH!N$1,SMALL(Dong5,ROWS($1:621)),)=$E$7,OFFSET(TH!O$1,SMALL(Dong5,ROWS($1:621)),),OFFSET(TH!N$1,SMALL(Dong5,ROWS($1:621)),)))</f>
        <v>1111</v>
      </c>
      <c r="F635" s="384">
        <f ca="1">IF(ROWS($1:621)&gt;COUNT(Dong5),0,IF(OFFSET(TH!N$1,SMALL(Dong5,ROWS($1:621)),)=$E$7,OFFSET(TH!M$1,SMALL(Dong5,ROWS($1:621)),),0))</f>
        <v>218636</v>
      </c>
      <c r="G635" s="382">
        <f ca="1">IF(ROWS($1:621)&gt;COUNT(Dong5),0,IF(OFFSET(TH!O$1,SMALL(Dong5,ROWS($1:621)),)=$E$7,OFFSET(TH!M$1,SMALL(Dong5,ROWS($1:621)),),0))</f>
        <v>0</v>
      </c>
      <c r="H635" s="385">
        <f ca="1">IF(D635&lt;&gt;"",MAX(H634+F635-G635-I634,0),0)</f>
        <v>442637109</v>
      </c>
      <c r="I635" s="385">
        <f ca="1">IF(D635&lt;&gt;"",MAX(I634+G635-H634-F635,0),0)</f>
        <v>0</v>
      </c>
      <c r="J635" s="18">
        <f ca="1">MONTH(A635)</f>
        <v>10</v>
      </c>
    </row>
    <row r="636" spans="1:10" s="18" customFormat="1" ht="18" customHeight="1">
      <c r="A636" s="318">
        <f ca="1">IF(ROWS($1:622)&gt;COUNT(Dong5),"",OFFSET(TH!C$1,SMALL(Dong5,ROWS($1:622)),))</f>
        <v>42674</v>
      </c>
      <c r="B636" s="318" t="str">
        <f ca="1">IF(ROWS($1:622)&gt;COUNT(Dong5),"",OFFSET(TH!D$1,SMALL(Dong5,ROWS($1:622)),))</f>
        <v>C48</v>
      </c>
      <c r="C636" s="318">
        <f ca="1">IF(ROWS($1:622)&gt;COUNT(Dong5),"",OFFSET(TH!E$1,SMALL(Dong5,ROWS($1:622)),))</f>
        <v>42643</v>
      </c>
      <c r="D636" s="383" t="str">
        <f ca="1">IF(ROWS($1:622)&gt;COUNT(Dong5),"",OFFSET(TH!F$1,SMALL(Dong5,ROWS($1:622)),))</f>
        <v>VAT Cước vận chuyển</v>
      </c>
      <c r="E636" s="318" t="str">
        <f ca="1">IF(ROWS($1:622)&gt;COUNT(Dong5),"",IF(OFFSET(TH!N$1,SMALL(Dong5,ROWS($1:622)),)=$E$7,OFFSET(TH!O$1,SMALL(Dong5,ROWS($1:622)),),OFFSET(TH!N$1,SMALL(Dong5,ROWS($1:622)),)))</f>
        <v>1111</v>
      </c>
      <c r="F636" s="384">
        <f ca="1">IF(ROWS($1:622)&gt;COUNT(Dong5),0,IF(OFFSET(TH!N$1,SMALL(Dong5,ROWS($1:622)),)=$E$7,OFFSET(TH!M$1,SMALL(Dong5,ROWS($1:622)),),0))</f>
        <v>400000</v>
      </c>
      <c r="G636" s="382">
        <f ca="1">IF(ROWS($1:622)&gt;COUNT(Dong5),0,IF(OFFSET(TH!O$1,SMALL(Dong5,ROWS($1:622)),)=$E$7,OFFSET(TH!M$1,SMALL(Dong5,ROWS($1:622)),),0))</f>
        <v>0</v>
      </c>
      <c r="H636" s="385">
        <f ca="1">IF(D636&lt;&gt;"",MAX(H635+F636-G636-I635,0),0)</f>
        <v>443037109</v>
      </c>
      <c r="I636" s="385">
        <f ca="1">IF(D636&lt;&gt;"",MAX(I635+G636-H635-F636,0),0)</f>
        <v>0</v>
      </c>
      <c r="J636" s="18">
        <f ca="1">MONTH(A636)</f>
        <v>10</v>
      </c>
    </row>
    <row r="637" spans="1:10" s="18" customFormat="1" ht="18" customHeight="1">
      <c r="A637" s="318">
        <f ca="1">IF(ROWS($1:623)&gt;COUNT(Dong5),"",OFFSET(TH!C$1,SMALL(Dong5,ROWS($1:623)),))</f>
        <v>42674</v>
      </c>
      <c r="B637" s="318" t="str">
        <f ca="1">IF(ROWS($1:623)&gt;COUNT(Dong5),"",OFFSET(TH!D$1,SMALL(Dong5,ROWS($1:623)),))</f>
        <v>C48</v>
      </c>
      <c r="C637" s="318">
        <f ca="1">IF(ROWS($1:623)&gt;COUNT(Dong5),"",OFFSET(TH!E$1,SMALL(Dong5,ROWS($1:623)),))</f>
        <v>42674</v>
      </c>
      <c r="D637" s="383" t="str">
        <f ca="1">IF(ROWS($1:623)&gt;COUNT(Dong5),"",OFFSET(TH!F$1,SMALL(Dong5,ROWS($1:623)),))</f>
        <v>VAT Cước vận chuyển</v>
      </c>
      <c r="E637" s="318" t="str">
        <f ca="1">IF(ROWS($1:623)&gt;COUNT(Dong5),"",IF(OFFSET(TH!N$1,SMALL(Dong5,ROWS($1:623)),)=$E$7,OFFSET(TH!O$1,SMALL(Dong5,ROWS($1:623)),),OFFSET(TH!N$1,SMALL(Dong5,ROWS($1:623)),)))</f>
        <v>1111</v>
      </c>
      <c r="F637" s="384">
        <f ca="1">IF(ROWS($1:623)&gt;COUNT(Dong5),0,IF(OFFSET(TH!N$1,SMALL(Dong5,ROWS($1:623)),)=$E$7,OFFSET(TH!M$1,SMALL(Dong5,ROWS($1:623)),),0))</f>
        <v>400000</v>
      </c>
      <c r="G637" s="382">
        <f ca="1">IF(ROWS($1:623)&gt;COUNT(Dong5),0,IF(OFFSET(TH!O$1,SMALL(Dong5,ROWS($1:623)),)=$E$7,OFFSET(TH!M$1,SMALL(Dong5,ROWS($1:623)),),0))</f>
        <v>0</v>
      </c>
      <c r="H637" s="385">
        <f ca="1">IF(D637&lt;&gt;"",MAX(H636+F637-G637-I636,0),0)</f>
        <v>443437109</v>
      </c>
      <c r="I637" s="385">
        <f ca="1">IF(D637&lt;&gt;"",MAX(I636+G637-H636-F637,0),0)</f>
        <v>0</v>
      </c>
      <c r="J637" s="18">
        <f ca="1">MONTH(A637)</f>
        <v>10</v>
      </c>
    </row>
    <row r="638" spans="1:10" s="18" customFormat="1" ht="18" customHeight="1">
      <c r="A638" s="318">
        <f ca="1">IF(ROWS($1:624)&gt;COUNT(Dong5),"",OFFSET(TH!C$1,SMALL(Dong5,ROWS($1:624)),))</f>
        <v>42674</v>
      </c>
      <c r="B638" s="318" t="str">
        <f ca="1">IF(ROWS($1:624)&gt;COUNT(Dong5),"",OFFSET(TH!D$1,SMALL(Dong5,ROWS($1:624)),))</f>
        <v>C48</v>
      </c>
      <c r="C638" s="318">
        <f ca="1">IF(ROWS($1:624)&gt;COUNT(Dong5),"",OFFSET(TH!E$1,SMALL(Dong5,ROWS($1:624)),))</f>
        <v>42674</v>
      </c>
      <c r="D638" s="383" t="str">
        <f ca="1">IF(ROWS($1:624)&gt;COUNT(Dong5),"",OFFSET(TH!F$1,SMALL(Dong5,ROWS($1:624)),))</f>
        <v>VAT Cước vận chuyển</v>
      </c>
      <c r="E638" s="318" t="str">
        <f ca="1">IF(ROWS($1:624)&gt;COUNT(Dong5),"",IF(OFFSET(TH!N$1,SMALL(Dong5,ROWS($1:624)),)=$E$7,OFFSET(TH!O$1,SMALL(Dong5,ROWS($1:624)),),OFFSET(TH!N$1,SMALL(Dong5,ROWS($1:624)),)))</f>
        <v>1111</v>
      </c>
      <c r="F638" s="384">
        <f ca="1">IF(ROWS($1:624)&gt;COUNT(Dong5),0,IF(OFFSET(TH!N$1,SMALL(Dong5,ROWS($1:624)),)=$E$7,OFFSET(TH!M$1,SMALL(Dong5,ROWS($1:624)),),0))</f>
        <v>400000</v>
      </c>
      <c r="G638" s="382">
        <f ca="1">IF(ROWS($1:624)&gt;COUNT(Dong5),0,IF(OFFSET(TH!O$1,SMALL(Dong5,ROWS($1:624)),)=$E$7,OFFSET(TH!M$1,SMALL(Dong5,ROWS($1:624)),),0))</f>
        <v>0</v>
      </c>
      <c r="H638" s="385">
        <f ca="1">IF(D638&lt;&gt;"",MAX(H637+F638-G638-I637,0),0)</f>
        <v>443837109</v>
      </c>
      <c r="I638" s="385">
        <f ca="1">IF(D638&lt;&gt;"",MAX(I637+G638-H637-F638,0),0)</f>
        <v>0</v>
      </c>
      <c r="J638" s="18">
        <f ca="1">MONTH(A638)</f>
        <v>10</v>
      </c>
    </row>
    <row r="639" spans="1:10" s="18" customFormat="1" ht="18" customHeight="1">
      <c r="A639" s="318">
        <f ca="1">IF(ROWS($1:625)&gt;COUNT(Dong5),"",OFFSET(TH!C$1,SMALL(Dong5,ROWS($1:625)),))</f>
        <v>42674</v>
      </c>
      <c r="B639" s="318" t="str">
        <f ca="1">IF(ROWS($1:625)&gt;COUNT(Dong5),"",OFFSET(TH!D$1,SMALL(Dong5,ROWS($1:625)),))</f>
        <v>GBN</v>
      </c>
      <c r="C639" s="318">
        <f ca="1">IF(ROWS($1:625)&gt;COUNT(Dong5),"",OFFSET(TH!E$1,SMALL(Dong5,ROWS($1:625)),))</f>
        <v>42674</v>
      </c>
      <c r="D639" s="383" t="str">
        <f ca="1">IF(ROWS($1:625)&gt;COUNT(Dong5),"",OFFSET(TH!F$1,SMALL(Dong5,ROWS($1:625)),))</f>
        <v>Vat Phí LC Trả chậm</v>
      </c>
      <c r="E639" s="318" t="str">
        <f ca="1">IF(ROWS($1:625)&gt;COUNT(Dong5),"",IF(OFFSET(TH!N$1,SMALL(Dong5,ROWS($1:625)),)=$E$7,OFFSET(TH!O$1,SMALL(Dong5,ROWS($1:625)),),OFFSET(TH!N$1,SMALL(Dong5,ROWS($1:625)),)))</f>
        <v>1122</v>
      </c>
      <c r="F639" s="384">
        <f ca="1">IF(ROWS($1:625)&gt;COUNT(Dong5),0,IF(OFFSET(TH!N$1,SMALL(Dong5,ROWS($1:625)),)=$E$7,OFFSET(TH!M$1,SMALL(Dong5,ROWS($1:625)),),0))</f>
        <v>122595</v>
      </c>
      <c r="G639" s="382">
        <f ca="1">IF(ROWS($1:625)&gt;COUNT(Dong5),0,IF(OFFSET(TH!O$1,SMALL(Dong5,ROWS($1:625)),)=$E$7,OFFSET(TH!M$1,SMALL(Dong5,ROWS($1:625)),),0))</f>
        <v>0</v>
      </c>
      <c r="H639" s="385">
        <f ca="1">IF(D639&lt;&gt;"",MAX(H638+F639-G639-I638,0),0)</f>
        <v>443959704</v>
      </c>
      <c r="I639" s="385">
        <f ca="1">IF(D639&lt;&gt;"",MAX(I638+G639-H638-F639,0),0)</f>
        <v>0</v>
      </c>
      <c r="J639" s="18">
        <f ca="1">MONTH(A639)</f>
        <v>10</v>
      </c>
    </row>
    <row r="640" spans="1:10" s="18" customFormat="1" ht="18" customHeight="1">
      <c r="A640" s="318">
        <f ca="1">IF(ROWS($1:626)&gt;COUNT(Dong5),"",OFFSET(TH!C$1,SMALL(Dong5,ROWS($1:626)),))</f>
        <v>42675</v>
      </c>
      <c r="B640" s="318" t="str">
        <f ca="1">IF(ROWS($1:626)&gt;COUNT(Dong5),"",OFFSET(TH!D$1,SMALL(Dong5,ROWS($1:626)),))</f>
        <v>C01</v>
      </c>
      <c r="C640" s="318">
        <f ca="1">IF(ROWS($1:626)&gt;COUNT(Dong5),"",OFFSET(TH!E$1,SMALL(Dong5,ROWS($1:626)),))</f>
        <v>42675</v>
      </c>
      <c r="D640" s="383" t="str">
        <f ca="1">IF(ROWS($1:626)&gt;COUNT(Dong5),"",OFFSET(TH!F$1,SMALL(Dong5,ROWS($1:626)),))</f>
        <v>VAT Bảo dưỡng xe ô tô</v>
      </c>
      <c r="E640" s="318" t="str">
        <f ca="1">IF(ROWS($1:626)&gt;COUNT(Dong5),"",IF(OFFSET(TH!N$1,SMALL(Dong5,ROWS($1:626)),)=$E$7,OFFSET(TH!O$1,SMALL(Dong5,ROWS($1:626)),),OFFSET(TH!N$1,SMALL(Dong5,ROWS($1:626)),)))</f>
        <v>1111</v>
      </c>
      <c r="F640" s="384">
        <f ca="1">IF(ROWS($1:626)&gt;COUNT(Dong5),0,IF(OFFSET(TH!N$1,SMALL(Dong5,ROWS($1:626)),)=$E$7,OFFSET(TH!M$1,SMALL(Dong5,ROWS($1:626)),),0))</f>
        <v>180300</v>
      </c>
      <c r="G640" s="382">
        <f ca="1">IF(ROWS($1:626)&gt;COUNT(Dong5),0,IF(OFFSET(TH!O$1,SMALL(Dong5,ROWS($1:626)),)=$E$7,OFFSET(TH!M$1,SMALL(Dong5,ROWS($1:626)),),0))</f>
        <v>0</v>
      </c>
      <c r="H640" s="385">
        <f ca="1">IF(D640&lt;&gt;"",MAX(H639+F640-G640-I639,0),0)</f>
        <v>444140004</v>
      </c>
      <c r="I640" s="385">
        <f ca="1">IF(D640&lt;&gt;"",MAX(I639+G640-H639-F640,0),0)</f>
        <v>0</v>
      </c>
      <c r="J640" s="18">
        <f ca="1">MONTH(A640)</f>
        <v>11</v>
      </c>
    </row>
    <row r="641" spans="1:10" s="18" customFormat="1" ht="18" customHeight="1">
      <c r="A641" s="318">
        <f ca="1">IF(ROWS($1:627)&gt;COUNT(Dong5),"",OFFSET(TH!C$1,SMALL(Dong5,ROWS($1:627)),))</f>
        <v>42675</v>
      </c>
      <c r="B641" s="318" t="str">
        <f ca="1">IF(ROWS($1:627)&gt;COUNT(Dong5),"",OFFSET(TH!D$1,SMALL(Dong5,ROWS($1:627)),))</f>
        <v>C02</v>
      </c>
      <c r="C641" s="318">
        <f ca="1">IF(ROWS($1:627)&gt;COUNT(Dong5),"",OFFSET(TH!E$1,SMALL(Dong5,ROWS($1:627)),))</f>
        <v>42665</v>
      </c>
      <c r="D641" s="383" t="str">
        <f ca="1">IF(ROWS($1:627)&gt;COUNT(Dong5),"",OFFSET(TH!F$1,SMALL(Dong5,ROWS($1:627)),))</f>
        <v>VAT Phí phân tích thí nghiệm</v>
      </c>
      <c r="E641" s="318" t="str">
        <f ca="1">IF(ROWS($1:627)&gt;COUNT(Dong5),"",IF(OFFSET(TH!N$1,SMALL(Dong5,ROWS($1:627)),)=$E$7,OFFSET(TH!O$1,SMALL(Dong5,ROWS($1:627)),),OFFSET(TH!N$1,SMALL(Dong5,ROWS($1:627)),)))</f>
        <v>1111</v>
      </c>
      <c r="F641" s="384">
        <f ca="1">IF(ROWS($1:627)&gt;COUNT(Dong5),0,IF(OFFSET(TH!N$1,SMALL(Dong5,ROWS($1:627)),)=$E$7,OFFSET(TH!M$1,SMALL(Dong5,ROWS($1:627)),),0))</f>
        <v>15000</v>
      </c>
      <c r="G641" s="382">
        <f ca="1">IF(ROWS($1:627)&gt;COUNT(Dong5),0,IF(OFFSET(TH!O$1,SMALL(Dong5,ROWS($1:627)),)=$E$7,OFFSET(TH!M$1,SMALL(Dong5,ROWS($1:627)),),0))</f>
        <v>0</v>
      </c>
      <c r="H641" s="385">
        <f ca="1">IF(D641&lt;&gt;"",MAX(H640+F641-G641-I640,0),0)</f>
        <v>444155004</v>
      </c>
      <c r="I641" s="385">
        <f ca="1">IF(D641&lt;&gt;"",MAX(I640+G641-H640-F641,0),0)</f>
        <v>0</v>
      </c>
      <c r="J641" s="18">
        <f ca="1">MONTH(A641)</f>
        <v>11</v>
      </c>
    </row>
    <row r="642" spans="1:10" s="18" customFormat="1" ht="18" customHeight="1">
      <c r="A642" s="318">
        <f ca="1">IF(ROWS($1:628)&gt;COUNT(Dong5),"",OFFSET(TH!C$1,SMALL(Dong5,ROWS($1:628)),))</f>
        <v>42675</v>
      </c>
      <c r="B642" s="318" t="str">
        <f ca="1">IF(ROWS($1:628)&gt;COUNT(Dong5),"",OFFSET(TH!D$1,SMALL(Dong5,ROWS($1:628)),))</f>
        <v>C03</v>
      </c>
      <c r="C642" s="318">
        <f ca="1">IF(ROWS($1:628)&gt;COUNT(Dong5),"",OFFSET(TH!E$1,SMALL(Dong5,ROWS($1:628)),))</f>
        <v>42675</v>
      </c>
      <c r="D642" s="383" t="str">
        <f ca="1">IF(ROWS($1:628)&gt;COUNT(Dong5),"",OFFSET(TH!F$1,SMALL(Dong5,ROWS($1:628)),))</f>
        <v>VAT Cước CPN T10/2016</v>
      </c>
      <c r="E642" s="318" t="str">
        <f ca="1">IF(ROWS($1:628)&gt;COUNT(Dong5),"",IF(OFFSET(TH!N$1,SMALL(Dong5,ROWS($1:628)),)=$E$7,OFFSET(TH!O$1,SMALL(Dong5,ROWS($1:628)),),OFFSET(TH!N$1,SMALL(Dong5,ROWS($1:628)),)))</f>
        <v>1111</v>
      </c>
      <c r="F642" s="384">
        <f ca="1">IF(ROWS($1:628)&gt;COUNT(Dong5),0,IF(OFFSET(TH!N$1,SMALL(Dong5,ROWS($1:628)),)=$E$7,OFFSET(TH!M$1,SMALL(Dong5,ROWS($1:628)),),0))</f>
        <v>13283</v>
      </c>
      <c r="G642" s="382">
        <f ca="1">IF(ROWS($1:628)&gt;COUNT(Dong5),0,IF(OFFSET(TH!O$1,SMALL(Dong5,ROWS($1:628)),)=$E$7,OFFSET(TH!M$1,SMALL(Dong5,ROWS($1:628)),),0))</f>
        <v>0</v>
      </c>
      <c r="H642" s="385">
        <f ca="1">IF(D642&lt;&gt;"",MAX(H641+F642-G642-I641,0),0)</f>
        <v>444168287</v>
      </c>
      <c r="I642" s="385">
        <f ca="1">IF(D642&lt;&gt;"",MAX(I641+G642-H641-F642,0),0)</f>
        <v>0</v>
      </c>
      <c r="J642" s="18">
        <f ca="1">MONTH(A642)</f>
        <v>11</v>
      </c>
    </row>
    <row r="643" spans="1:10" s="18" customFormat="1" ht="18" customHeight="1">
      <c r="A643" s="318">
        <f ca="1">IF(ROWS($1:629)&gt;COUNT(Dong5),"",OFFSET(TH!C$1,SMALL(Dong5,ROWS($1:629)),))</f>
        <v>42675</v>
      </c>
      <c r="B643" s="318" t="str">
        <f ca="1">IF(ROWS($1:629)&gt;COUNT(Dong5),"",OFFSET(TH!D$1,SMALL(Dong5,ROWS($1:629)),))</f>
        <v>C04</v>
      </c>
      <c r="C643" s="318">
        <f ca="1">IF(ROWS($1:629)&gt;COUNT(Dong5),"",OFFSET(TH!E$1,SMALL(Dong5,ROWS($1:629)),))</f>
        <v>42675</v>
      </c>
      <c r="D643" s="383" t="str">
        <f ca="1">IF(ROWS($1:629)&gt;COUNT(Dong5),"",OFFSET(TH!F$1,SMALL(Dong5,ROWS($1:629)),))</f>
        <v xml:space="preserve">VAT Xăng </v>
      </c>
      <c r="E643" s="318" t="str">
        <f ca="1">IF(ROWS($1:629)&gt;COUNT(Dong5),"",IF(OFFSET(TH!N$1,SMALL(Dong5,ROWS($1:629)),)=$E$7,OFFSET(TH!O$1,SMALL(Dong5,ROWS($1:629)),),OFFSET(TH!N$1,SMALL(Dong5,ROWS($1:629)),)))</f>
        <v>1111</v>
      </c>
      <c r="F643" s="384">
        <f ca="1">IF(ROWS($1:629)&gt;COUNT(Dong5),0,IF(OFFSET(TH!N$1,SMALL(Dong5,ROWS($1:629)),)=$E$7,OFFSET(TH!M$1,SMALL(Dong5,ROWS($1:629)),),0))</f>
        <v>188156</v>
      </c>
      <c r="G643" s="382">
        <f ca="1">IF(ROWS($1:629)&gt;COUNT(Dong5),0,IF(OFFSET(TH!O$1,SMALL(Dong5,ROWS($1:629)),)=$E$7,OFFSET(TH!M$1,SMALL(Dong5,ROWS($1:629)),),0))</f>
        <v>0</v>
      </c>
      <c r="H643" s="385">
        <f ca="1">IF(D643&lt;&gt;"",MAX(H642+F643-G643-I642,0),0)</f>
        <v>444356443</v>
      </c>
      <c r="I643" s="385">
        <f ca="1">IF(D643&lt;&gt;"",MAX(I642+G643-H642-F643,0),0)</f>
        <v>0</v>
      </c>
      <c r="J643" s="18">
        <f ca="1">MONTH(A643)</f>
        <v>11</v>
      </c>
    </row>
    <row r="644" spans="1:10" s="18" customFormat="1" ht="18" customHeight="1">
      <c r="A644" s="318">
        <f ca="1">IF(ROWS($1:630)&gt;COUNT(Dong5),"",OFFSET(TH!C$1,SMALL(Dong5,ROWS($1:630)),))</f>
        <v>42675</v>
      </c>
      <c r="B644" s="318" t="str">
        <f ca="1">IF(ROWS($1:630)&gt;COUNT(Dong5),"",OFFSET(TH!D$1,SMALL(Dong5,ROWS($1:630)),))</f>
        <v>C05</v>
      </c>
      <c r="C644" s="318">
        <f ca="1">IF(ROWS($1:630)&gt;COUNT(Dong5),"",OFFSET(TH!E$1,SMALL(Dong5,ROWS($1:630)),))</f>
        <v>42675</v>
      </c>
      <c r="D644" s="383" t="str">
        <f ca="1">IF(ROWS($1:630)&gt;COUNT(Dong5),"",OFFSET(TH!F$1,SMALL(Dong5,ROWS($1:630)),))</f>
        <v xml:space="preserve">VAT Gas </v>
      </c>
      <c r="E644" s="318" t="str">
        <f ca="1">IF(ROWS($1:630)&gt;COUNT(Dong5),"",IF(OFFSET(TH!N$1,SMALL(Dong5,ROWS($1:630)),)=$E$7,OFFSET(TH!O$1,SMALL(Dong5,ROWS($1:630)),),OFFSET(TH!N$1,SMALL(Dong5,ROWS($1:630)),)))</f>
        <v>1111</v>
      </c>
      <c r="F644" s="384">
        <f ca="1">IF(ROWS($1:630)&gt;COUNT(Dong5),0,IF(OFFSET(TH!N$1,SMALL(Dong5,ROWS($1:630)),)=$E$7,OFFSET(TH!M$1,SMALL(Dong5,ROWS($1:630)),),0))</f>
        <v>948636</v>
      </c>
      <c r="G644" s="382">
        <f ca="1">IF(ROWS($1:630)&gt;COUNT(Dong5),0,IF(OFFSET(TH!O$1,SMALL(Dong5,ROWS($1:630)),)=$E$7,OFFSET(TH!M$1,SMALL(Dong5,ROWS($1:630)),),0))</f>
        <v>0</v>
      </c>
      <c r="H644" s="385">
        <f ca="1">IF(D644&lt;&gt;"",MAX(H643+F644-G644-I643,0),0)</f>
        <v>445305079</v>
      </c>
      <c r="I644" s="385">
        <f ca="1">IF(D644&lt;&gt;"",MAX(I643+G644-H643-F644,0),0)</f>
        <v>0</v>
      </c>
      <c r="J644" s="18">
        <f ca="1">MONTH(A644)</f>
        <v>11</v>
      </c>
    </row>
    <row r="645" spans="1:10" s="18" customFormat="1" ht="18" customHeight="1">
      <c r="A645" s="318">
        <f ca="1">IF(ROWS($1:631)&gt;COUNT(Dong5),"",OFFSET(TH!C$1,SMALL(Dong5,ROWS($1:631)),))</f>
        <v>42675</v>
      </c>
      <c r="B645" s="318" t="str">
        <f ca="1">IF(ROWS($1:631)&gt;COUNT(Dong5),"",OFFSET(TH!D$1,SMALL(Dong5,ROWS($1:631)),))</f>
        <v>GBN</v>
      </c>
      <c r="C645" s="318">
        <f ca="1">IF(ROWS($1:631)&gt;COUNT(Dong5),"",OFFSET(TH!E$1,SMALL(Dong5,ROWS($1:631)),))</f>
        <v>42675</v>
      </c>
      <c r="D645" s="383" t="str">
        <f ca="1">IF(ROWS($1:631)&gt;COUNT(Dong5),"",OFFSET(TH!F$1,SMALL(Dong5,ROWS($1:631)),))</f>
        <v>VAT phí thanh toán</v>
      </c>
      <c r="E645" s="318" t="str">
        <f ca="1">IF(ROWS($1:631)&gt;COUNT(Dong5),"",IF(OFFSET(TH!N$1,SMALL(Dong5,ROWS($1:631)),)=$E$7,OFFSET(TH!O$1,SMALL(Dong5,ROWS($1:631)),),OFFSET(TH!N$1,SMALL(Dong5,ROWS($1:631)),)))</f>
        <v>1121</v>
      </c>
      <c r="F645" s="384">
        <f ca="1">IF(ROWS($1:631)&gt;COUNT(Dong5),0,IF(OFFSET(TH!N$1,SMALL(Dong5,ROWS($1:631)),)=$E$7,OFFSET(TH!M$1,SMALL(Dong5,ROWS($1:631)),),0))</f>
        <v>1000</v>
      </c>
      <c r="G645" s="382">
        <f ca="1">IF(ROWS($1:631)&gt;COUNT(Dong5),0,IF(OFFSET(TH!O$1,SMALL(Dong5,ROWS($1:631)),)=$E$7,OFFSET(TH!M$1,SMALL(Dong5,ROWS($1:631)),),0))</f>
        <v>0</v>
      </c>
      <c r="H645" s="385">
        <f ca="1">IF(D645&lt;&gt;"",MAX(H644+F645-G645-I644,0),0)</f>
        <v>445306079</v>
      </c>
      <c r="I645" s="385">
        <f ca="1">IF(D645&lt;&gt;"",MAX(I644+G645-H644-F645,0),0)</f>
        <v>0</v>
      </c>
      <c r="J645" s="18">
        <f ca="1">MONTH(A645)</f>
        <v>11</v>
      </c>
    </row>
    <row r="646" spans="1:10" s="18" customFormat="1" ht="18" customHeight="1">
      <c r="A646" s="318">
        <f ca="1">IF(ROWS($1:632)&gt;COUNT(Dong5),"",OFFSET(TH!C$1,SMALL(Dong5,ROWS($1:632)),))</f>
        <v>42675</v>
      </c>
      <c r="B646" s="318" t="str">
        <f ca="1">IF(ROWS($1:632)&gt;COUNT(Dong5),"",OFFSET(TH!D$1,SMALL(Dong5,ROWS($1:632)),))</f>
        <v>GBN</v>
      </c>
      <c r="C646" s="318">
        <f ca="1">IF(ROWS($1:632)&gt;COUNT(Dong5),"",OFFSET(TH!E$1,SMALL(Dong5,ROWS($1:632)),))</f>
        <v>42675</v>
      </c>
      <c r="D646" s="383" t="str">
        <f ca="1">IF(ROWS($1:632)&gt;COUNT(Dong5),"",OFFSET(TH!F$1,SMALL(Dong5,ROWS($1:632)),))</f>
        <v>VAT Phí chuyển NT</v>
      </c>
      <c r="E646" s="318" t="str">
        <f ca="1">IF(ROWS($1:632)&gt;COUNT(Dong5),"",IF(OFFSET(TH!N$1,SMALL(Dong5,ROWS($1:632)),)=$E$7,OFFSET(TH!O$1,SMALL(Dong5,ROWS($1:632)),),OFFSET(TH!N$1,SMALL(Dong5,ROWS($1:632)),)))</f>
        <v>1122</v>
      </c>
      <c r="F646" s="384">
        <f ca="1">IF(ROWS($1:632)&gt;COUNT(Dong5),0,IF(OFFSET(TH!N$1,SMALL(Dong5,ROWS($1:632)),)=$E$7,OFFSET(TH!M$1,SMALL(Dong5,ROWS($1:632)),),0))</f>
        <v>6681</v>
      </c>
      <c r="G646" s="382">
        <f ca="1">IF(ROWS($1:632)&gt;COUNT(Dong5),0,IF(OFFSET(TH!O$1,SMALL(Dong5,ROWS($1:632)),)=$E$7,OFFSET(TH!M$1,SMALL(Dong5,ROWS($1:632)),),0))</f>
        <v>0</v>
      </c>
      <c r="H646" s="385">
        <f ca="1">IF(D646&lt;&gt;"",MAX(H645+F646-G646-I645,0),0)</f>
        <v>445312760</v>
      </c>
      <c r="I646" s="385">
        <f ca="1">IF(D646&lt;&gt;"",MAX(I645+G646-H645-F646,0),0)</f>
        <v>0</v>
      </c>
      <c r="J646" s="18">
        <f ca="1">MONTH(A646)</f>
        <v>11</v>
      </c>
    </row>
    <row r="647" spans="1:10" s="18" customFormat="1" ht="18" customHeight="1">
      <c r="A647" s="318">
        <f ca="1">IF(ROWS($1:633)&gt;COUNT(Dong5),"",OFFSET(TH!C$1,SMALL(Dong5,ROWS($1:633)),))</f>
        <v>42676</v>
      </c>
      <c r="B647" s="318" t="str">
        <f ca="1">IF(ROWS($1:633)&gt;COUNT(Dong5),"",OFFSET(TH!D$1,SMALL(Dong5,ROWS($1:633)),))</f>
        <v>GBN</v>
      </c>
      <c r="C647" s="318">
        <f ca="1">IF(ROWS($1:633)&gt;COUNT(Dong5),"",OFFSET(TH!E$1,SMALL(Dong5,ROWS($1:633)),))</f>
        <v>42676</v>
      </c>
      <c r="D647" s="383" t="str">
        <f ca="1">IF(ROWS($1:633)&gt;COUNT(Dong5),"",OFFSET(TH!F$1,SMALL(Dong5,ROWS($1:633)),))</f>
        <v>VAT Phí thông báo LC</v>
      </c>
      <c r="E647" s="318" t="str">
        <f ca="1">IF(ROWS($1:633)&gt;COUNT(Dong5),"",IF(OFFSET(TH!N$1,SMALL(Dong5,ROWS($1:633)),)=$E$7,OFFSET(TH!O$1,SMALL(Dong5,ROWS($1:633)),),OFFSET(TH!N$1,SMALL(Dong5,ROWS($1:633)),)))</f>
        <v>1122</v>
      </c>
      <c r="F647" s="384">
        <f ca="1">IF(ROWS($1:633)&gt;COUNT(Dong5),0,IF(OFFSET(TH!N$1,SMALL(Dong5,ROWS($1:633)),)=$E$7,OFFSET(TH!M$1,SMALL(Dong5,ROWS($1:633)),),0))</f>
        <v>11150</v>
      </c>
      <c r="G647" s="382">
        <f ca="1">IF(ROWS($1:633)&gt;COUNT(Dong5),0,IF(OFFSET(TH!O$1,SMALL(Dong5,ROWS($1:633)),)=$E$7,OFFSET(TH!M$1,SMALL(Dong5,ROWS($1:633)),),0))</f>
        <v>0</v>
      </c>
      <c r="H647" s="385">
        <f ca="1">IF(D647&lt;&gt;"",MAX(H646+F647-G647-I646,0),0)</f>
        <v>445323910</v>
      </c>
      <c r="I647" s="385">
        <f ca="1">IF(D647&lt;&gt;"",MAX(I646+G647-H646-F647,0),0)</f>
        <v>0</v>
      </c>
      <c r="J647" s="18">
        <f ca="1">MONTH(A647)</f>
        <v>11</v>
      </c>
    </row>
    <row r="648" spans="1:10" s="18" customFormat="1" ht="18" customHeight="1">
      <c r="A648" s="318">
        <f ca="1">IF(ROWS($1:634)&gt;COUNT(Dong5),"",OFFSET(TH!C$1,SMALL(Dong5,ROWS($1:634)),))</f>
        <v>42676</v>
      </c>
      <c r="B648" s="318" t="str">
        <f ca="1">IF(ROWS($1:634)&gt;COUNT(Dong5),"",OFFSET(TH!D$1,SMALL(Dong5,ROWS($1:634)),))</f>
        <v>GBN</v>
      </c>
      <c r="C648" s="318">
        <f ca="1">IF(ROWS($1:634)&gt;COUNT(Dong5),"",OFFSET(TH!E$1,SMALL(Dong5,ROWS($1:634)),))</f>
        <v>42676</v>
      </c>
      <c r="D648" s="383" t="str">
        <f ca="1">IF(ROWS($1:634)&gt;COUNT(Dong5),"",OFFSET(TH!F$1,SMALL(Dong5,ROWS($1:634)),))</f>
        <v>VAT Điện phí</v>
      </c>
      <c r="E648" s="318" t="str">
        <f ca="1">IF(ROWS($1:634)&gt;COUNT(Dong5),"",IF(OFFSET(TH!N$1,SMALL(Dong5,ROWS($1:634)),)=$E$7,OFFSET(TH!O$1,SMALL(Dong5,ROWS($1:634)),),OFFSET(TH!N$1,SMALL(Dong5,ROWS($1:634)),)))</f>
        <v>1122</v>
      </c>
      <c r="F648" s="384">
        <f ca="1">IF(ROWS($1:634)&gt;COUNT(Dong5),0,IF(OFFSET(TH!N$1,SMALL(Dong5,ROWS($1:634)),)=$E$7,OFFSET(TH!M$1,SMALL(Dong5,ROWS($1:634)),),0))</f>
        <v>11150</v>
      </c>
      <c r="G648" s="382">
        <f ca="1">IF(ROWS($1:634)&gt;COUNT(Dong5),0,IF(OFFSET(TH!O$1,SMALL(Dong5,ROWS($1:634)),)=$E$7,OFFSET(TH!M$1,SMALL(Dong5,ROWS($1:634)),),0))</f>
        <v>0</v>
      </c>
      <c r="H648" s="385">
        <f ca="1">IF(D648&lt;&gt;"",MAX(H647+F648-G648-I647,0),0)</f>
        <v>445335060</v>
      </c>
      <c r="I648" s="385">
        <f ca="1">IF(D648&lt;&gt;"",MAX(I647+G648-H647-F648,0),0)</f>
        <v>0</v>
      </c>
      <c r="J648" s="18">
        <f ca="1">MONTH(A648)</f>
        <v>11</v>
      </c>
    </row>
    <row r="649" spans="1:10" s="18" customFormat="1" ht="18" customHeight="1">
      <c r="A649" s="318">
        <f ca="1">IF(ROWS($1:635)&gt;COUNT(Dong5),"",OFFSET(TH!C$1,SMALL(Dong5,ROWS($1:635)),))</f>
        <v>42728</v>
      </c>
      <c r="B649" s="318" t="str">
        <f ca="1">IF(ROWS($1:635)&gt;COUNT(Dong5),"",OFFSET(TH!D$1,SMALL(Dong5,ROWS($1:635)),))</f>
        <v>VL/N44</v>
      </c>
      <c r="C649" s="318">
        <f ca="1">IF(ROWS($1:635)&gt;COUNT(Dong5),"",OFFSET(TH!E$1,SMALL(Dong5,ROWS($1:635)),))</f>
        <v>42728</v>
      </c>
      <c r="D649" s="383" t="str">
        <f ca="1">IF(ROWS($1:635)&gt;COUNT(Dong5),"",OFFSET(TH!F$1,SMALL(Dong5,ROWS($1:635)),))</f>
        <v>VAT Thùng carton</v>
      </c>
      <c r="E649" s="318" t="str">
        <f ca="1">IF(ROWS($1:635)&gt;COUNT(Dong5),"",IF(OFFSET(TH!N$1,SMALL(Dong5,ROWS($1:635)),)=$E$7,OFFSET(TH!O$1,SMALL(Dong5,ROWS($1:635)),),OFFSET(TH!N$1,SMALL(Dong5,ROWS($1:635)),)))</f>
        <v>331</v>
      </c>
      <c r="F649" s="384">
        <f ca="1">IF(ROWS($1:635)&gt;COUNT(Dong5),0,IF(OFFSET(TH!N$1,SMALL(Dong5,ROWS($1:635)),)=$E$7,OFFSET(TH!M$1,SMALL(Dong5,ROWS($1:635)),),0))</f>
        <v>1404000</v>
      </c>
      <c r="G649" s="382">
        <f ca="1">IF(ROWS($1:635)&gt;COUNT(Dong5),0,IF(OFFSET(TH!O$1,SMALL(Dong5,ROWS($1:635)),)=$E$7,OFFSET(TH!M$1,SMALL(Dong5,ROWS($1:635)),),0))</f>
        <v>0</v>
      </c>
      <c r="H649" s="385">
        <f ca="1">IF(D649&lt;&gt;"",MAX(H648+F649-G649-I648,0),0)</f>
        <v>446739060</v>
      </c>
      <c r="I649" s="385">
        <f ca="1">IF(D649&lt;&gt;"",MAX(I648+G649-H648-F649,0),0)</f>
        <v>0</v>
      </c>
      <c r="J649" s="18">
        <f ca="1">MONTH(A649)</f>
        <v>12</v>
      </c>
    </row>
    <row r="650" spans="1:10" s="18" customFormat="1" ht="18" customHeight="1">
      <c r="A650" s="318">
        <f ca="1">IF(ROWS($1:636)&gt;COUNT(Dong5),"",OFFSET(TH!C$1,SMALL(Dong5,ROWS($1:636)),))</f>
        <v>42676</v>
      </c>
      <c r="B650" s="318" t="str">
        <f ca="1">IF(ROWS($1:636)&gt;COUNT(Dong5),"",OFFSET(TH!D$1,SMALL(Dong5,ROWS($1:636)),))</f>
        <v>GBN</v>
      </c>
      <c r="C650" s="318">
        <f ca="1">IF(ROWS($1:636)&gt;COUNT(Dong5),"",OFFSET(TH!E$1,SMALL(Dong5,ROWS($1:636)),))</f>
        <v>42676</v>
      </c>
      <c r="D650" s="383" t="str">
        <f ca="1">IF(ROWS($1:636)&gt;COUNT(Dong5),"",OFFSET(TH!F$1,SMALL(Dong5,ROWS($1:636)),))</f>
        <v>VAT Phí thanh toán</v>
      </c>
      <c r="E650" s="318" t="str">
        <f ca="1">IF(ROWS($1:636)&gt;COUNT(Dong5),"",IF(OFFSET(TH!N$1,SMALL(Dong5,ROWS($1:636)),)=$E$7,OFFSET(TH!O$1,SMALL(Dong5,ROWS($1:636)),),OFFSET(TH!N$1,SMALL(Dong5,ROWS($1:636)),)))</f>
        <v>1121</v>
      </c>
      <c r="F650" s="384">
        <f ca="1">IF(ROWS($1:636)&gt;COUNT(Dong5),0,IF(OFFSET(TH!N$1,SMALL(Dong5,ROWS($1:636)),)=$E$7,OFFSET(TH!M$1,SMALL(Dong5,ROWS($1:636)),),0))</f>
        <v>3000</v>
      </c>
      <c r="G650" s="382">
        <f ca="1">IF(ROWS($1:636)&gt;COUNT(Dong5),0,IF(OFFSET(TH!O$1,SMALL(Dong5,ROWS($1:636)),)=$E$7,OFFSET(TH!M$1,SMALL(Dong5,ROWS($1:636)),),0))</f>
        <v>0</v>
      </c>
      <c r="H650" s="385">
        <f ca="1">IF(D650&lt;&gt;"",MAX(H649+F650-G650-I649,0),0)</f>
        <v>446742060</v>
      </c>
      <c r="I650" s="385">
        <f ca="1">IF(D650&lt;&gt;"",MAX(I649+G650-H649-F650,0),0)</f>
        <v>0</v>
      </c>
      <c r="J650" s="18">
        <f ca="1">MONTH(A650)</f>
        <v>11</v>
      </c>
    </row>
    <row r="651" spans="1:10" s="18" customFormat="1" ht="18" customHeight="1">
      <c r="A651" s="318">
        <f ca="1">IF(ROWS($1:637)&gt;COUNT(Dong5),"",OFFSET(TH!C$1,SMALL(Dong5,ROWS($1:637)),))</f>
        <v>42735</v>
      </c>
      <c r="B651" s="318" t="str">
        <f ca="1">IF(ROWS($1:637)&gt;COUNT(Dong5),"",OFFSET(TH!D$1,SMALL(Dong5,ROWS($1:637)),))</f>
        <v>CTGS</v>
      </c>
      <c r="C651" s="318">
        <f ca="1">IF(ROWS($1:637)&gt;COUNT(Dong5),"",OFFSET(TH!E$1,SMALL(Dong5,ROWS($1:637)),))</f>
        <v>42735</v>
      </c>
      <c r="D651" s="383" t="str">
        <f ca="1">IF(ROWS($1:637)&gt;COUNT(Dong5),"",OFFSET(TH!F$1,SMALL(Dong5,ROWS($1:637)),))</f>
        <v>VAT Phí xử lý cá khô</v>
      </c>
      <c r="E651" s="318" t="str">
        <f ca="1">IF(ROWS($1:637)&gt;COUNT(Dong5),"",IF(OFFSET(TH!N$1,SMALL(Dong5,ROWS($1:637)),)=$E$7,OFFSET(TH!O$1,SMALL(Dong5,ROWS($1:637)),),OFFSET(TH!N$1,SMALL(Dong5,ROWS($1:637)),)))</f>
        <v>331</v>
      </c>
      <c r="F651" s="384">
        <f ca="1">IF(ROWS($1:637)&gt;COUNT(Dong5),0,IF(OFFSET(TH!N$1,SMALL(Dong5,ROWS($1:637)),)=$E$7,OFFSET(TH!M$1,SMALL(Dong5,ROWS($1:637)),),0))</f>
        <v>200000</v>
      </c>
      <c r="G651" s="382">
        <f ca="1">IF(ROWS($1:637)&gt;COUNT(Dong5),0,IF(OFFSET(TH!O$1,SMALL(Dong5,ROWS($1:637)),)=$E$7,OFFSET(TH!M$1,SMALL(Dong5,ROWS($1:637)),),0))</f>
        <v>0</v>
      </c>
      <c r="H651" s="385">
        <f ca="1">IF(D651&lt;&gt;"",MAX(H650+F651-G651-I650,0),0)</f>
        <v>446942060</v>
      </c>
      <c r="I651" s="385">
        <f ca="1">IF(D651&lt;&gt;"",MAX(I650+G651-H650-F651,0),0)</f>
        <v>0</v>
      </c>
      <c r="J651" s="18">
        <f ca="1">MONTH(A651)</f>
        <v>12</v>
      </c>
    </row>
    <row r="652" spans="1:10" s="18" customFormat="1" ht="18" customHeight="1">
      <c r="A652" s="318">
        <f ca="1">IF(ROWS($1:638)&gt;COUNT(Dong5),"",OFFSET(TH!C$1,SMALL(Dong5,ROWS($1:638)),))</f>
        <v>42676</v>
      </c>
      <c r="B652" s="318" t="str">
        <f ca="1">IF(ROWS($1:638)&gt;COUNT(Dong5),"",OFFSET(TH!D$1,SMALL(Dong5,ROWS($1:638)),))</f>
        <v>GBN</v>
      </c>
      <c r="C652" s="318">
        <f ca="1">IF(ROWS($1:638)&gt;COUNT(Dong5),"",OFFSET(TH!E$1,SMALL(Dong5,ROWS($1:638)),))</f>
        <v>42676</v>
      </c>
      <c r="D652" s="383" t="str">
        <f ca="1">IF(ROWS($1:638)&gt;COUNT(Dong5),"",OFFSET(TH!F$1,SMALL(Dong5,ROWS($1:638)),))</f>
        <v>VAT Phí thanh toán</v>
      </c>
      <c r="E652" s="318" t="str">
        <f ca="1">IF(ROWS($1:638)&gt;COUNT(Dong5),"",IF(OFFSET(TH!N$1,SMALL(Dong5,ROWS($1:638)),)=$E$7,OFFSET(TH!O$1,SMALL(Dong5,ROWS($1:638)),),OFFSET(TH!N$1,SMALL(Dong5,ROWS($1:638)),)))</f>
        <v>1121</v>
      </c>
      <c r="F652" s="384">
        <f ca="1">IF(ROWS($1:638)&gt;COUNT(Dong5),0,IF(OFFSET(TH!N$1,SMALL(Dong5,ROWS($1:638)),)=$E$7,OFFSET(TH!M$1,SMALL(Dong5,ROWS($1:638)),),0))</f>
        <v>5000</v>
      </c>
      <c r="G652" s="382">
        <f ca="1">IF(ROWS($1:638)&gt;COUNT(Dong5),0,IF(OFFSET(TH!O$1,SMALL(Dong5,ROWS($1:638)),)=$E$7,OFFSET(TH!M$1,SMALL(Dong5,ROWS($1:638)),),0))</f>
        <v>0</v>
      </c>
      <c r="H652" s="385">
        <f ca="1">IF(D652&lt;&gt;"",MAX(H651+F652-G652-I651,0),0)</f>
        <v>446947060</v>
      </c>
      <c r="I652" s="385">
        <f ca="1">IF(D652&lt;&gt;"",MAX(I651+G652-H651-F652,0),0)</f>
        <v>0</v>
      </c>
      <c r="J652" s="18">
        <f ca="1">MONTH(A652)</f>
        <v>11</v>
      </c>
    </row>
    <row r="653" spans="1:10" s="18" customFormat="1" ht="18" customHeight="1">
      <c r="A653" s="318">
        <f ca="1">IF(ROWS($1:639)&gt;COUNT(Dong5),"",OFFSET(TH!C$1,SMALL(Dong5,ROWS($1:639)),))</f>
        <v>42676</v>
      </c>
      <c r="B653" s="318" t="str">
        <f ca="1">IF(ROWS($1:639)&gt;COUNT(Dong5),"",OFFSET(TH!D$1,SMALL(Dong5,ROWS($1:639)),))</f>
        <v>GBN</v>
      </c>
      <c r="C653" s="318">
        <f ca="1">IF(ROWS($1:639)&gt;COUNT(Dong5),"",OFFSET(TH!E$1,SMALL(Dong5,ROWS($1:639)),))</f>
        <v>42676</v>
      </c>
      <c r="D653" s="383" t="str">
        <f ca="1">IF(ROWS($1:639)&gt;COUNT(Dong5),"",OFFSET(TH!F$1,SMALL(Dong5,ROWS($1:639)),))</f>
        <v>VAT Phí thanh toán</v>
      </c>
      <c r="E653" s="318" t="str">
        <f ca="1">IF(ROWS($1:639)&gt;COUNT(Dong5),"",IF(OFFSET(TH!N$1,SMALL(Dong5,ROWS($1:639)),)=$E$7,OFFSET(TH!O$1,SMALL(Dong5,ROWS($1:639)),),OFFSET(TH!N$1,SMALL(Dong5,ROWS($1:639)),)))</f>
        <v>1121</v>
      </c>
      <c r="F653" s="384">
        <f ca="1">IF(ROWS($1:639)&gt;COUNT(Dong5),0,IF(OFFSET(TH!N$1,SMALL(Dong5,ROWS($1:639)),)=$E$7,OFFSET(TH!M$1,SMALL(Dong5,ROWS($1:639)),),0))</f>
        <v>2000</v>
      </c>
      <c r="G653" s="382">
        <f ca="1">IF(ROWS($1:639)&gt;COUNT(Dong5),0,IF(OFFSET(TH!O$1,SMALL(Dong5,ROWS($1:639)),)=$E$7,OFFSET(TH!M$1,SMALL(Dong5,ROWS($1:639)),),0))</f>
        <v>0</v>
      </c>
      <c r="H653" s="385">
        <f ca="1">IF(D653&lt;&gt;"",MAX(H652+F653-G653-I652,0),0)</f>
        <v>446949060</v>
      </c>
      <c r="I653" s="385">
        <f ca="1">IF(D653&lt;&gt;"",MAX(I652+G653-H652-F653,0),0)</f>
        <v>0</v>
      </c>
      <c r="J653" s="18">
        <f ca="1">MONTH(A653)</f>
        <v>11</v>
      </c>
    </row>
    <row r="654" spans="1:10" s="18" customFormat="1" ht="18" customHeight="1">
      <c r="A654" s="318">
        <f ca="1">IF(ROWS($1:640)&gt;COUNT(Dong5),"",OFFSET(TH!C$1,SMALL(Dong5,ROWS($1:640)),))</f>
        <v>42676</v>
      </c>
      <c r="B654" s="318" t="str">
        <f ca="1">IF(ROWS($1:640)&gt;COUNT(Dong5),"",OFFSET(TH!D$1,SMALL(Dong5,ROWS($1:640)),))</f>
        <v>GBN</v>
      </c>
      <c r="C654" s="318">
        <f ca="1">IF(ROWS($1:640)&gt;COUNT(Dong5),"",OFFSET(TH!E$1,SMALL(Dong5,ROWS($1:640)),))</f>
        <v>42676</v>
      </c>
      <c r="D654" s="383" t="str">
        <f ca="1">IF(ROWS($1:640)&gt;COUNT(Dong5),"",OFFSET(TH!F$1,SMALL(Dong5,ROWS($1:640)),))</f>
        <v>VAT Phí thanh toán</v>
      </c>
      <c r="E654" s="318" t="str">
        <f ca="1">IF(ROWS($1:640)&gt;COUNT(Dong5),"",IF(OFFSET(TH!N$1,SMALL(Dong5,ROWS($1:640)),)=$E$7,OFFSET(TH!O$1,SMALL(Dong5,ROWS($1:640)),),OFFSET(TH!N$1,SMALL(Dong5,ROWS($1:640)),)))</f>
        <v>1121</v>
      </c>
      <c r="F654" s="384">
        <f ca="1">IF(ROWS($1:640)&gt;COUNT(Dong5),0,IF(OFFSET(TH!N$1,SMALL(Dong5,ROWS($1:640)),)=$E$7,OFFSET(TH!M$1,SMALL(Dong5,ROWS($1:640)),),0))</f>
        <v>3089</v>
      </c>
      <c r="G654" s="382">
        <f ca="1">IF(ROWS($1:640)&gt;COUNT(Dong5),0,IF(OFFSET(TH!O$1,SMALL(Dong5,ROWS($1:640)),)=$E$7,OFFSET(TH!M$1,SMALL(Dong5,ROWS($1:640)),),0))</f>
        <v>0</v>
      </c>
      <c r="H654" s="385">
        <f ca="1">IF(D654&lt;&gt;"",MAX(H653+F654-G654-I653,0),0)</f>
        <v>446952149</v>
      </c>
      <c r="I654" s="385">
        <f ca="1">IF(D654&lt;&gt;"",MAX(I653+G654-H653-F654,0),0)</f>
        <v>0</v>
      </c>
      <c r="J654" s="18">
        <f ca="1">MONTH(A654)</f>
        <v>11</v>
      </c>
    </row>
    <row r="655" spans="1:10" s="18" customFormat="1" ht="18" customHeight="1">
      <c r="A655" s="318">
        <f ca="1">IF(ROWS($1:641)&gt;COUNT(Dong5),"",OFFSET(TH!C$1,SMALL(Dong5,ROWS($1:641)),))</f>
        <v>42677</v>
      </c>
      <c r="B655" s="318" t="str">
        <f ca="1">IF(ROWS($1:641)&gt;COUNT(Dong5),"",OFFSET(TH!D$1,SMALL(Dong5,ROWS($1:641)),))</f>
        <v>C10</v>
      </c>
      <c r="C655" s="318">
        <f ca="1">IF(ROWS($1:641)&gt;COUNT(Dong5),"",OFFSET(TH!E$1,SMALL(Dong5,ROWS($1:641)),))</f>
        <v>42677</v>
      </c>
      <c r="D655" s="383" t="str">
        <f ca="1">IF(ROWS($1:641)&gt;COUNT(Dong5),"",OFFSET(TH!F$1,SMALL(Dong5,ROWS($1:641)),))</f>
        <v>VAT Phí vận đơn, niêm chì, xếp dỡ</v>
      </c>
      <c r="E655" s="318" t="str">
        <f ca="1">IF(ROWS($1:641)&gt;COUNT(Dong5),"",IF(OFFSET(TH!N$1,SMALL(Dong5,ROWS($1:641)),)=$E$7,OFFSET(TH!O$1,SMALL(Dong5,ROWS($1:641)),),OFFSET(TH!N$1,SMALL(Dong5,ROWS($1:641)),)))</f>
        <v>1111</v>
      </c>
      <c r="F655" s="384">
        <f ca="1">IF(ROWS($1:641)&gt;COUNT(Dong5),0,IF(OFFSET(TH!N$1,SMALL(Dong5,ROWS($1:641)),)=$E$7,OFFSET(TH!M$1,SMALL(Dong5,ROWS($1:641)),),0))</f>
        <v>505744</v>
      </c>
      <c r="G655" s="382">
        <f ca="1">IF(ROWS($1:641)&gt;COUNT(Dong5),0,IF(OFFSET(TH!O$1,SMALL(Dong5,ROWS($1:641)),)=$E$7,OFFSET(TH!M$1,SMALL(Dong5,ROWS($1:641)),),0))</f>
        <v>0</v>
      </c>
      <c r="H655" s="385">
        <f ca="1">IF(D655&lt;&gt;"",MAX(H654+F655-G655-I654,0),0)</f>
        <v>447457893</v>
      </c>
      <c r="I655" s="385">
        <f ca="1">IF(D655&lt;&gt;"",MAX(I654+G655-H654-F655,0),0)</f>
        <v>0</v>
      </c>
      <c r="J655" s="18">
        <f ca="1">MONTH(A655)</f>
        <v>11</v>
      </c>
    </row>
    <row r="656" spans="1:10" s="18" customFormat="1" ht="18" customHeight="1">
      <c r="A656" s="318">
        <f ca="1">IF(ROWS($1:642)&gt;COUNT(Dong5),"",OFFSET(TH!C$1,SMALL(Dong5,ROWS($1:642)),))</f>
        <v>42677</v>
      </c>
      <c r="B656" s="318" t="str">
        <f ca="1">IF(ROWS($1:642)&gt;COUNT(Dong5),"",OFFSET(TH!D$1,SMALL(Dong5,ROWS($1:642)),))</f>
        <v>C11</v>
      </c>
      <c r="C656" s="318">
        <f ca="1">IF(ROWS($1:642)&gt;COUNT(Dong5),"",OFFSET(TH!E$1,SMALL(Dong5,ROWS($1:642)),))</f>
        <v>42677</v>
      </c>
      <c r="D656" s="383" t="str">
        <f ca="1">IF(ROWS($1:642)&gt;COUNT(Dong5),"",OFFSET(TH!F$1,SMALL(Dong5,ROWS($1:642)),))</f>
        <v>VAT Cước CPN</v>
      </c>
      <c r="E656" s="318" t="str">
        <f ca="1">IF(ROWS($1:642)&gt;COUNT(Dong5),"",IF(OFFSET(TH!N$1,SMALL(Dong5,ROWS($1:642)),)=$E$7,OFFSET(TH!O$1,SMALL(Dong5,ROWS($1:642)),),OFFSET(TH!N$1,SMALL(Dong5,ROWS($1:642)),)))</f>
        <v>1111</v>
      </c>
      <c r="F656" s="384">
        <f ca="1">IF(ROWS($1:642)&gt;COUNT(Dong5),0,IF(OFFSET(TH!N$1,SMALL(Dong5,ROWS($1:642)),)=$E$7,OFFSET(TH!M$1,SMALL(Dong5,ROWS($1:642)),),0))</f>
        <v>115000</v>
      </c>
      <c r="G656" s="382">
        <f ca="1">IF(ROWS($1:642)&gt;COUNT(Dong5),0,IF(OFFSET(TH!O$1,SMALL(Dong5,ROWS($1:642)),)=$E$7,OFFSET(TH!M$1,SMALL(Dong5,ROWS($1:642)),),0))</f>
        <v>0</v>
      </c>
      <c r="H656" s="385">
        <f ca="1">IF(D656&lt;&gt;"",MAX(H655+F656-G656-I655,0),0)</f>
        <v>447572893</v>
      </c>
      <c r="I656" s="385">
        <f ca="1">IF(D656&lt;&gt;"",MAX(I655+G656-H655-F656,0),0)</f>
        <v>0</v>
      </c>
      <c r="J656" s="18">
        <f ca="1">MONTH(A656)</f>
        <v>11</v>
      </c>
    </row>
    <row r="657" spans="1:10" s="18" customFormat="1" ht="18" customHeight="1">
      <c r="A657" s="318">
        <f ca="1">IF(ROWS($1:643)&gt;COUNT(Dong5),"",OFFSET(TH!C$1,SMALL(Dong5,ROWS($1:643)),))</f>
        <v>42678</v>
      </c>
      <c r="B657" s="318" t="str">
        <f ca="1">IF(ROWS($1:643)&gt;COUNT(Dong5),"",OFFSET(TH!D$1,SMALL(Dong5,ROWS($1:643)),))</f>
        <v>C12</v>
      </c>
      <c r="C657" s="318">
        <f ca="1">IF(ROWS($1:643)&gt;COUNT(Dong5),"",OFFSET(TH!E$1,SMALL(Dong5,ROWS($1:643)),))</f>
        <v>42678</v>
      </c>
      <c r="D657" s="383" t="str">
        <f ca="1">IF(ROWS($1:643)&gt;COUNT(Dong5),"",OFFSET(TH!F$1,SMALL(Dong5,ROWS($1:643)),))</f>
        <v xml:space="preserve">VAT Xăng </v>
      </c>
      <c r="E657" s="318" t="str">
        <f ca="1">IF(ROWS($1:643)&gt;COUNT(Dong5),"",IF(OFFSET(TH!N$1,SMALL(Dong5,ROWS($1:643)),)=$E$7,OFFSET(TH!O$1,SMALL(Dong5,ROWS($1:643)),),OFFSET(TH!N$1,SMALL(Dong5,ROWS($1:643)),)))</f>
        <v>1111</v>
      </c>
      <c r="F657" s="384">
        <f ca="1">IF(ROWS($1:643)&gt;COUNT(Dong5),0,IF(OFFSET(TH!N$1,SMALL(Dong5,ROWS($1:643)),)=$E$7,OFFSET(TH!M$1,SMALL(Dong5,ROWS($1:643)),),0))</f>
        <v>79727</v>
      </c>
      <c r="G657" s="382">
        <f ca="1">IF(ROWS($1:643)&gt;COUNT(Dong5),0,IF(OFFSET(TH!O$1,SMALL(Dong5,ROWS($1:643)),)=$E$7,OFFSET(TH!M$1,SMALL(Dong5,ROWS($1:643)),),0))</f>
        <v>0</v>
      </c>
      <c r="H657" s="385">
        <f ca="1">IF(D657&lt;&gt;"",MAX(H656+F657-G657-I656,0),0)</f>
        <v>447652620</v>
      </c>
      <c r="I657" s="385">
        <f ca="1">IF(D657&lt;&gt;"",MAX(I656+G657-H656-F657,0),0)</f>
        <v>0</v>
      </c>
      <c r="J657" s="18">
        <f ca="1">MONTH(A657)</f>
        <v>11</v>
      </c>
    </row>
    <row r="658" spans="1:10" s="18" customFormat="1" ht="18" customHeight="1">
      <c r="A658" s="318">
        <f ca="1">IF(ROWS($1:644)&gt;COUNT(Dong5),"",OFFSET(TH!C$1,SMALL(Dong5,ROWS($1:644)),))</f>
        <v>42679</v>
      </c>
      <c r="B658" s="318" t="str">
        <f ca="1">IF(ROWS($1:644)&gt;COUNT(Dong5),"",OFFSET(TH!D$1,SMALL(Dong5,ROWS($1:644)),))</f>
        <v>VL/N02</v>
      </c>
      <c r="C658" s="318">
        <f ca="1">IF(ROWS($1:644)&gt;COUNT(Dong5),"",OFFSET(TH!E$1,SMALL(Dong5,ROWS($1:644)),))</f>
        <v>42679</v>
      </c>
      <c r="D658" s="383" t="str">
        <f ca="1">IF(ROWS($1:644)&gt;COUNT(Dong5),"",OFFSET(TH!F$1,SMALL(Dong5,ROWS($1:644)),))</f>
        <v>VAT Đường</v>
      </c>
      <c r="E658" s="318" t="str">
        <f ca="1">IF(ROWS($1:644)&gt;COUNT(Dong5),"",IF(OFFSET(TH!N$1,SMALL(Dong5,ROWS($1:644)),)=$E$7,OFFSET(TH!O$1,SMALL(Dong5,ROWS($1:644)),),OFFSET(TH!N$1,SMALL(Dong5,ROWS($1:644)),)))</f>
        <v>331</v>
      </c>
      <c r="F658" s="384">
        <f ca="1">IF(ROWS($1:644)&gt;COUNT(Dong5),0,IF(OFFSET(TH!N$1,SMALL(Dong5,ROWS($1:644)),)=$E$7,OFFSET(TH!M$1,SMALL(Dong5,ROWS($1:644)),),0))</f>
        <v>761905</v>
      </c>
      <c r="G658" s="382">
        <f ca="1">IF(ROWS($1:644)&gt;COUNT(Dong5),0,IF(OFFSET(TH!O$1,SMALL(Dong5,ROWS($1:644)),)=$E$7,OFFSET(TH!M$1,SMALL(Dong5,ROWS($1:644)),),0))</f>
        <v>0</v>
      </c>
      <c r="H658" s="385">
        <f ca="1">IF(D658&lt;&gt;"",MAX(H657+F658-G658-I657,0),0)</f>
        <v>448414525</v>
      </c>
      <c r="I658" s="385">
        <f ca="1">IF(D658&lt;&gt;"",MAX(I657+G658-H657-F658,0),0)</f>
        <v>0</v>
      </c>
      <c r="J658" s="18">
        <f ca="1">MONTH(A658)</f>
        <v>11</v>
      </c>
    </row>
    <row r="659" spans="1:10" s="18" customFormat="1" ht="18" customHeight="1">
      <c r="A659" s="318">
        <f ca="1">IF(ROWS($1:645)&gt;COUNT(Dong5),"",OFFSET(TH!C$1,SMALL(Dong5,ROWS($1:645)),))</f>
        <v>42680</v>
      </c>
      <c r="B659" s="318" t="str">
        <f ca="1">IF(ROWS($1:645)&gt;COUNT(Dong5),"",OFFSET(TH!D$1,SMALL(Dong5,ROWS($1:645)),))</f>
        <v>C18</v>
      </c>
      <c r="C659" s="318">
        <f ca="1">IF(ROWS($1:645)&gt;COUNT(Dong5),"",OFFSET(TH!E$1,SMALL(Dong5,ROWS($1:645)),))</f>
        <v>42680</v>
      </c>
      <c r="D659" s="383" t="str">
        <f ca="1">IF(ROWS($1:645)&gt;COUNT(Dong5),"",OFFSET(TH!F$1,SMALL(Dong5,ROWS($1:645)),))</f>
        <v xml:space="preserve">VAT Xăng </v>
      </c>
      <c r="E659" s="318" t="str">
        <f ca="1">IF(ROWS($1:645)&gt;COUNT(Dong5),"",IF(OFFSET(TH!N$1,SMALL(Dong5,ROWS($1:645)),)=$E$7,OFFSET(TH!O$1,SMALL(Dong5,ROWS($1:645)),),OFFSET(TH!N$1,SMALL(Dong5,ROWS($1:645)),)))</f>
        <v>1111</v>
      </c>
      <c r="F659" s="384">
        <f ca="1">IF(ROWS($1:645)&gt;COUNT(Dong5),0,IF(OFFSET(TH!N$1,SMALL(Dong5,ROWS($1:645)),)=$E$7,OFFSET(TH!M$1,SMALL(Dong5,ROWS($1:645)),),0))</f>
        <v>81554</v>
      </c>
      <c r="G659" s="382">
        <f ca="1">IF(ROWS($1:645)&gt;COUNT(Dong5),0,IF(OFFSET(TH!O$1,SMALL(Dong5,ROWS($1:645)),)=$E$7,OFFSET(TH!M$1,SMALL(Dong5,ROWS($1:645)),),0))</f>
        <v>0</v>
      </c>
      <c r="H659" s="385">
        <f ca="1">IF(D659&lt;&gt;"",MAX(H658+F659-G659-I658,0),0)</f>
        <v>448496079</v>
      </c>
      <c r="I659" s="385">
        <f ca="1">IF(D659&lt;&gt;"",MAX(I658+G659-H658-F659,0),0)</f>
        <v>0</v>
      </c>
      <c r="J659" s="18">
        <f ca="1">MONTH(A659)</f>
        <v>11</v>
      </c>
    </row>
    <row r="660" spans="1:10" s="18" customFormat="1" ht="18" customHeight="1">
      <c r="A660" s="318">
        <f ca="1">IF(ROWS($1:646)&gt;COUNT(Dong5),"",OFFSET(TH!C$1,SMALL(Dong5,ROWS($1:646)),))</f>
        <v>42680</v>
      </c>
      <c r="B660" s="318" t="str">
        <f ca="1">IF(ROWS($1:646)&gt;COUNT(Dong5),"",OFFSET(TH!D$1,SMALL(Dong5,ROWS($1:646)),))</f>
        <v>C19</v>
      </c>
      <c r="C660" s="318">
        <f ca="1">IF(ROWS($1:646)&gt;COUNT(Dong5),"",OFFSET(TH!E$1,SMALL(Dong5,ROWS($1:646)),))</f>
        <v>42680</v>
      </c>
      <c r="D660" s="383" t="str">
        <f ca="1">IF(ROWS($1:646)&gt;COUNT(Dong5),"",OFFSET(TH!F$1,SMALL(Dong5,ROWS($1:646)),))</f>
        <v>VAT Cước VT - CNTT T10/2016</v>
      </c>
      <c r="E660" s="318" t="str">
        <f ca="1">IF(ROWS($1:646)&gt;COUNT(Dong5),"",IF(OFFSET(TH!N$1,SMALL(Dong5,ROWS($1:646)),)=$E$7,OFFSET(TH!O$1,SMALL(Dong5,ROWS($1:646)),),OFFSET(TH!N$1,SMALL(Dong5,ROWS($1:646)),)))</f>
        <v>1111</v>
      </c>
      <c r="F660" s="384">
        <f ca="1">IF(ROWS($1:646)&gt;COUNT(Dong5),0,IF(OFFSET(TH!N$1,SMALL(Dong5,ROWS($1:646)),)=$E$7,OFFSET(TH!M$1,SMALL(Dong5,ROWS($1:646)),),0))</f>
        <v>200204</v>
      </c>
      <c r="G660" s="382">
        <f ca="1">IF(ROWS($1:646)&gt;COUNT(Dong5),0,IF(OFFSET(TH!O$1,SMALL(Dong5,ROWS($1:646)),)=$E$7,OFFSET(TH!M$1,SMALL(Dong5,ROWS($1:646)),),0))</f>
        <v>0</v>
      </c>
      <c r="H660" s="385">
        <f ca="1">IF(D660&lt;&gt;"",MAX(H659+F660-G660-I659,0),0)</f>
        <v>448696283</v>
      </c>
      <c r="I660" s="385">
        <f ca="1">IF(D660&lt;&gt;"",MAX(I659+G660-H659-F660,0),0)</f>
        <v>0</v>
      </c>
      <c r="J660" s="18">
        <f ca="1">MONTH(A660)</f>
        <v>11</v>
      </c>
    </row>
    <row r="661" spans="1:10" s="18" customFormat="1" ht="18" customHeight="1">
      <c r="A661" s="318">
        <f ca="1">IF(ROWS($1:647)&gt;COUNT(Dong5),"",OFFSET(TH!C$1,SMALL(Dong5,ROWS($1:647)),))</f>
        <v>42681</v>
      </c>
      <c r="B661" s="318" t="str">
        <f ca="1">IF(ROWS($1:647)&gt;COUNT(Dong5),"",OFFSET(TH!D$1,SMALL(Dong5,ROWS($1:647)),))</f>
        <v>C20</v>
      </c>
      <c r="C661" s="318">
        <f ca="1">IF(ROWS($1:647)&gt;COUNT(Dong5),"",OFFSET(TH!E$1,SMALL(Dong5,ROWS($1:647)),))</f>
        <v>42681</v>
      </c>
      <c r="D661" s="383" t="str">
        <f ca="1">IF(ROWS($1:647)&gt;COUNT(Dong5),"",OFFSET(TH!F$1,SMALL(Dong5,ROWS($1:647)),)&amp;" - "&amp;OFFSET(TH!H$1,SMALL(Dong5,ROWS($1:647)),))</f>
        <v>VAT Gas  - Cty Xăng Dầu Trà Vinh</v>
      </c>
      <c r="E661" s="318" t="str">
        <f ca="1">IF(ROWS($1:647)&gt;COUNT(Dong5),"",IF(OFFSET(TH!N$1,SMALL(Dong5,ROWS($1:647)),)=$E$7,OFFSET(TH!O$1,SMALL(Dong5,ROWS($1:647)),),OFFSET(TH!N$1,SMALL(Dong5,ROWS($1:647)),)))</f>
        <v>1111</v>
      </c>
      <c r="F661" s="384">
        <f ca="1">IF(ROWS($1:647)&gt;COUNT(Dong5),0,IF(OFFSET(TH!N$1,SMALL(Dong5,ROWS($1:647)),)=$E$7,OFFSET(TH!M$1,SMALL(Dong5,ROWS($1:647)),),0))</f>
        <v>795610</v>
      </c>
      <c r="G661" s="382">
        <f ca="1">IF(ROWS($1:647)&gt;COUNT(Dong5),0,IF(OFFSET(TH!O$1,SMALL(Dong5,ROWS($1:647)),)=$E$7,OFFSET(TH!M$1,SMALL(Dong5,ROWS($1:647)),),0))</f>
        <v>0</v>
      </c>
      <c r="H661" s="385">
        <f ca="1">IF(D661&lt;&gt;"",MAX(H660+F661-G661-I660,0),0)</f>
        <v>449491893</v>
      </c>
      <c r="I661" s="385">
        <f ca="1">IF(D661&lt;&gt;"",MAX(I660+G661-H660-F661,0),0)</f>
        <v>0</v>
      </c>
      <c r="J661" s="18">
        <f ca="1">MONTH(A661)</f>
        <v>11</v>
      </c>
    </row>
    <row r="662" spans="1:10" s="18" customFormat="1" ht="18" customHeight="1">
      <c r="A662" s="318">
        <f ca="1">IF(ROWS($1:648)&gt;COUNT(Dong5),"",OFFSET(TH!C$1,SMALL(Dong5,ROWS($1:648)),))</f>
        <v>42684</v>
      </c>
      <c r="B662" s="318" t="str">
        <f ca="1">IF(ROWS($1:648)&gt;COUNT(Dong5),"",OFFSET(TH!D$1,SMALL(Dong5,ROWS($1:648)),))</f>
        <v>C23</v>
      </c>
      <c r="C662" s="318">
        <f ca="1">IF(ROWS($1:648)&gt;COUNT(Dong5),"",OFFSET(TH!E$1,SMALL(Dong5,ROWS($1:648)),))</f>
        <v>42684</v>
      </c>
      <c r="D662" s="383" t="str">
        <f ca="1">IF(ROWS($1:648)&gt;COUNT(Dong5),"",OFFSET(TH!F$1,SMALL(Dong5,ROWS($1:648)),))</f>
        <v xml:space="preserve">VAT Gas </v>
      </c>
      <c r="E662" s="318" t="str">
        <f ca="1">IF(ROWS($1:648)&gt;COUNT(Dong5),"",IF(OFFSET(TH!N$1,SMALL(Dong5,ROWS($1:648)),)=$E$7,OFFSET(TH!O$1,SMALL(Dong5,ROWS($1:648)),),OFFSET(TH!N$1,SMALL(Dong5,ROWS($1:648)),)))</f>
        <v>1111</v>
      </c>
      <c r="F662" s="384">
        <f ca="1">IF(ROWS($1:648)&gt;COUNT(Dong5),0,IF(OFFSET(TH!N$1,SMALL(Dong5,ROWS($1:648)),)=$E$7,OFFSET(TH!M$1,SMALL(Dong5,ROWS($1:648)),),0))</f>
        <v>948636</v>
      </c>
      <c r="G662" s="382">
        <f ca="1">IF(ROWS($1:648)&gt;COUNT(Dong5),0,IF(OFFSET(TH!O$1,SMALL(Dong5,ROWS($1:648)),)=$E$7,OFFSET(TH!M$1,SMALL(Dong5,ROWS($1:648)),),0))</f>
        <v>0</v>
      </c>
      <c r="H662" s="385">
        <f ca="1">IF(D662&lt;&gt;"",MAX(H661+F662-G662-I661,0),0)</f>
        <v>450440529</v>
      </c>
      <c r="I662" s="385">
        <f ca="1">IF(D662&lt;&gt;"",MAX(I661+G662-H661-F662,0),0)</f>
        <v>0</v>
      </c>
      <c r="J662" s="18">
        <f ca="1">MONTH(A662)</f>
        <v>11</v>
      </c>
    </row>
    <row r="663" spans="1:10" s="18" customFormat="1" ht="18" customHeight="1">
      <c r="A663" s="318">
        <f ca="1">IF(ROWS($1:649)&gt;COUNT(Dong5),"",OFFSET(TH!C$1,SMALL(Dong5,ROWS($1:649)),))</f>
        <v>42724</v>
      </c>
      <c r="B663" s="318" t="str">
        <f ca="1">IF(ROWS($1:649)&gt;COUNT(Dong5),"",OFFSET(TH!D$1,SMALL(Dong5,ROWS($1:649)),))</f>
        <v>VL/N32</v>
      </c>
      <c r="C663" s="318">
        <f ca="1">IF(ROWS($1:649)&gt;COUNT(Dong5),"",OFFSET(TH!E$1,SMALL(Dong5,ROWS($1:649)),))</f>
        <v>42724</v>
      </c>
      <c r="D663" s="383" t="str">
        <f ca="1">IF(ROWS($1:649)&gt;COUNT(Dong5),"",OFFSET(TH!F$1,SMALL(Dong5,ROWS($1:649)),)&amp;" - "&amp;OFFSET(TH!H$1,SMALL(Dong5,ROWS($1:649)),))</f>
        <v>VAT Thùng carton - Cty TNHH Bao Bì Giấy Kim Dung Phát</v>
      </c>
      <c r="E663" s="318" t="str">
        <f ca="1">IF(ROWS($1:649)&gt;COUNT(Dong5),"",IF(OFFSET(TH!N$1,SMALL(Dong5,ROWS($1:649)),)=$E$7,OFFSET(TH!O$1,SMALL(Dong5,ROWS($1:649)),),OFFSET(TH!N$1,SMALL(Dong5,ROWS($1:649)),)))</f>
        <v>331</v>
      </c>
      <c r="F663" s="384">
        <f ca="1">IF(ROWS($1:649)&gt;COUNT(Dong5),0,IF(OFFSET(TH!N$1,SMALL(Dong5,ROWS($1:649)),)=$E$7,OFFSET(TH!M$1,SMALL(Dong5,ROWS($1:649)),),0))</f>
        <v>1800000</v>
      </c>
      <c r="G663" s="382">
        <f ca="1">IF(ROWS($1:649)&gt;COUNT(Dong5),0,IF(OFFSET(TH!O$1,SMALL(Dong5,ROWS($1:649)),)=$E$7,OFFSET(TH!M$1,SMALL(Dong5,ROWS($1:649)),),0))</f>
        <v>0</v>
      </c>
      <c r="H663" s="385">
        <f ca="1">IF(D663&lt;&gt;"",MAX(H662+F663-G663-I662,0),0)</f>
        <v>452240529</v>
      </c>
      <c r="I663" s="385">
        <f ca="1">IF(D663&lt;&gt;"",MAX(I662+G663-H662-F663,0),0)</f>
        <v>0</v>
      </c>
      <c r="J663" s="18">
        <f ca="1">MONTH(A663)</f>
        <v>12</v>
      </c>
    </row>
    <row r="664" spans="1:10" s="18" customFormat="1" ht="18" customHeight="1">
      <c r="A664" s="318">
        <f ca="1">IF(ROWS($1:650)&gt;COUNT(Dong5),"",OFFSET(TH!C$1,SMALL(Dong5,ROWS($1:650)),))</f>
        <v>42684</v>
      </c>
      <c r="B664" s="318" t="str">
        <f ca="1">IF(ROWS($1:650)&gt;COUNT(Dong5),"",OFFSET(TH!D$1,SMALL(Dong5,ROWS($1:650)),))</f>
        <v>GBN</v>
      </c>
      <c r="C664" s="318">
        <f ca="1">IF(ROWS($1:650)&gt;COUNT(Dong5),"",OFFSET(TH!E$1,SMALL(Dong5,ROWS($1:650)),))</f>
        <v>42684</v>
      </c>
      <c r="D664" s="383" t="str">
        <f ca="1">IF(ROWS($1:650)&gt;COUNT(Dong5),"",OFFSET(TH!F$1,SMALL(Dong5,ROWS($1:650)),))</f>
        <v>VAT Phí NH: 1021316000998</v>
      </c>
      <c r="E664" s="318" t="str">
        <f ca="1">IF(ROWS($1:650)&gt;COUNT(Dong5),"",IF(OFFSET(TH!N$1,SMALL(Dong5,ROWS($1:650)),)=$E$7,OFFSET(TH!O$1,SMALL(Dong5,ROWS($1:650)),),OFFSET(TH!N$1,SMALL(Dong5,ROWS($1:650)),)))</f>
        <v>1121</v>
      </c>
      <c r="F664" s="384">
        <f ca="1">IF(ROWS($1:650)&gt;COUNT(Dong5),0,IF(OFFSET(TH!N$1,SMALL(Dong5,ROWS($1:650)),)=$E$7,OFFSET(TH!M$1,SMALL(Dong5,ROWS($1:650)),),0))</f>
        <v>162831</v>
      </c>
      <c r="G664" s="382">
        <f ca="1">IF(ROWS($1:650)&gt;COUNT(Dong5),0,IF(OFFSET(TH!O$1,SMALL(Dong5,ROWS($1:650)),)=$E$7,OFFSET(TH!M$1,SMALL(Dong5,ROWS($1:650)),),0))</f>
        <v>0</v>
      </c>
      <c r="H664" s="385">
        <f ca="1">IF(D664&lt;&gt;"",MAX(H663+F664-G664-I663,0),0)</f>
        <v>452403360</v>
      </c>
      <c r="I664" s="385">
        <f ca="1">IF(D664&lt;&gt;"",MAX(I663+G664-H663-F664,0),0)</f>
        <v>0</v>
      </c>
      <c r="J664" s="18">
        <f ca="1">MONTH(A664)</f>
        <v>11</v>
      </c>
    </row>
    <row r="665" spans="1:10" s="18" customFormat="1" ht="18" customHeight="1">
      <c r="A665" s="318">
        <f ca="1">IF(ROWS($1:651)&gt;COUNT(Dong5),"",OFFSET(TH!C$1,SMALL(Dong5,ROWS($1:651)),))</f>
        <v>42685</v>
      </c>
      <c r="B665" s="318" t="str">
        <f ca="1">IF(ROWS($1:651)&gt;COUNT(Dong5),"",OFFSET(TH!D$1,SMALL(Dong5,ROWS($1:651)),))</f>
        <v>GBN</v>
      </c>
      <c r="C665" s="318">
        <f ca="1">IF(ROWS($1:651)&gt;COUNT(Dong5),"",OFFSET(TH!E$1,SMALL(Dong5,ROWS($1:651)),))</f>
        <v>42685</v>
      </c>
      <c r="D665" s="383" t="str">
        <f ca="1">IF(ROWS($1:651)&gt;COUNT(Dong5),"",OFFSET(TH!F$1,SMALL(Dong5,ROWS($1:651)),))</f>
        <v>VAT Phí thông báo bộ chứng từ nhờ thu</v>
      </c>
      <c r="E665" s="318" t="str">
        <f ca="1">IF(ROWS($1:651)&gt;COUNT(Dong5),"",IF(OFFSET(TH!N$1,SMALL(Dong5,ROWS($1:651)),)=$E$7,OFFSET(TH!O$1,SMALL(Dong5,ROWS($1:651)),),OFFSET(TH!N$1,SMALL(Dong5,ROWS($1:651)),)))</f>
        <v>1121</v>
      </c>
      <c r="F665" s="384">
        <f ca="1">IF(ROWS($1:651)&gt;COUNT(Dong5),0,IF(OFFSET(TH!N$1,SMALL(Dong5,ROWS($1:651)),)=$E$7,OFFSET(TH!M$1,SMALL(Dong5,ROWS($1:651)),),0))</f>
        <v>11180</v>
      </c>
      <c r="G665" s="382">
        <f ca="1">IF(ROWS($1:651)&gt;COUNT(Dong5),0,IF(OFFSET(TH!O$1,SMALL(Dong5,ROWS($1:651)),)=$E$7,OFFSET(TH!M$1,SMALL(Dong5,ROWS($1:651)),),0))</f>
        <v>0</v>
      </c>
      <c r="H665" s="385">
        <f ca="1">IF(D665&lt;&gt;"",MAX(H664+F665-G665-I664,0),0)</f>
        <v>452414540</v>
      </c>
      <c r="I665" s="385">
        <f ca="1">IF(D665&lt;&gt;"",MAX(I664+G665-H664-F665,0),0)</f>
        <v>0</v>
      </c>
      <c r="J665" s="18">
        <f ca="1">MONTH(A665)</f>
        <v>11</v>
      </c>
    </row>
    <row r="666" spans="1:10" s="18" customFormat="1" ht="18" customHeight="1">
      <c r="A666" s="318">
        <f ca="1">IF(ROWS($1:652)&gt;COUNT(Dong5),"",OFFSET(TH!C$1,SMALL(Dong5,ROWS($1:652)),))</f>
        <v>42686</v>
      </c>
      <c r="B666" s="318" t="str">
        <f ca="1">IF(ROWS($1:652)&gt;COUNT(Dong5),"",OFFSET(TH!D$1,SMALL(Dong5,ROWS($1:652)),))</f>
        <v>C28</v>
      </c>
      <c r="C666" s="318">
        <f ca="1">IF(ROWS($1:652)&gt;COUNT(Dong5),"",OFFSET(TH!E$1,SMALL(Dong5,ROWS($1:652)),))</f>
        <v>42686</v>
      </c>
      <c r="D666" s="383" t="str">
        <f ca="1">IF(ROWS($1:652)&gt;COUNT(Dong5),"",OFFSET(TH!F$1,SMALL(Dong5,ROWS($1:652)),))</f>
        <v xml:space="preserve">VAT Gas </v>
      </c>
      <c r="E666" s="318" t="str">
        <f ca="1">IF(ROWS($1:652)&gt;COUNT(Dong5),"",IF(OFFSET(TH!N$1,SMALL(Dong5,ROWS($1:652)),)=$E$7,OFFSET(TH!O$1,SMALL(Dong5,ROWS($1:652)),),OFFSET(TH!N$1,SMALL(Dong5,ROWS($1:652)),)))</f>
        <v>1111</v>
      </c>
      <c r="F666" s="384">
        <f ca="1">IF(ROWS($1:652)&gt;COUNT(Dong5),0,IF(OFFSET(TH!N$1,SMALL(Dong5,ROWS($1:652)),)=$E$7,OFFSET(TH!M$1,SMALL(Dong5,ROWS($1:652)),),0))</f>
        <v>795610</v>
      </c>
      <c r="G666" s="382">
        <f ca="1">IF(ROWS($1:652)&gt;COUNT(Dong5),0,IF(OFFSET(TH!O$1,SMALL(Dong5,ROWS($1:652)),)=$E$7,OFFSET(TH!M$1,SMALL(Dong5,ROWS($1:652)),),0))</f>
        <v>0</v>
      </c>
      <c r="H666" s="385">
        <f ca="1">IF(D666&lt;&gt;"",MAX(H665+F666-G666-I665,0),0)</f>
        <v>453210150</v>
      </c>
      <c r="I666" s="385">
        <f ca="1">IF(D666&lt;&gt;"",MAX(I665+G666-H665-F666,0),0)</f>
        <v>0</v>
      </c>
      <c r="J666" s="18">
        <f ca="1">MONTH(A666)</f>
        <v>11</v>
      </c>
    </row>
    <row r="667" spans="1:10" s="18" customFormat="1" ht="18" customHeight="1">
      <c r="A667" s="318">
        <f ca="1">IF(ROWS($1:653)&gt;COUNT(Dong5),"",OFFSET(TH!C$1,SMALL(Dong5,ROWS($1:653)),))</f>
        <v>42689</v>
      </c>
      <c r="B667" s="318" t="str">
        <f ca="1">IF(ROWS($1:653)&gt;COUNT(Dong5),"",OFFSET(TH!D$1,SMALL(Dong5,ROWS($1:653)),))</f>
        <v>C32</v>
      </c>
      <c r="C667" s="318">
        <f ca="1">IF(ROWS($1:653)&gt;COUNT(Dong5),"",OFFSET(TH!E$1,SMALL(Dong5,ROWS($1:653)),))</f>
        <v>42689</v>
      </c>
      <c r="D667" s="383" t="str">
        <f ca="1">IF(ROWS($1:653)&gt;COUNT(Dong5),"",OFFSET(TH!F$1,SMALL(Dong5,ROWS($1:653)),))</f>
        <v>VAT Phí phân tích thí nghiệm</v>
      </c>
      <c r="E667" s="318" t="str">
        <f ca="1">IF(ROWS($1:653)&gt;COUNT(Dong5),"",IF(OFFSET(TH!N$1,SMALL(Dong5,ROWS($1:653)),)=$E$7,OFFSET(TH!O$1,SMALL(Dong5,ROWS($1:653)),),OFFSET(TH!N$1,SMALL(Dong5,ROWS($1:653)),)))</f>
        <v>1111</v>
      </c>
      <c r="F667" s="384">
        <f ca="1">IF(ROWS($1:653)&gt;COUNT(Dong5),0,IF(OFFSET(TH!N$1,SMALL(Dong5,ROWS($1:653)),)=$E$7,OFFSET(TH!M$1,SMALL(Dong5,ROWS($1:653)),),0))</f>
        <v>80000</v>
      </c>
      <c r="G667" s="382">
        <f ca="1">IF(ROWS($1:653)&gt;COUNT(Dong5),0,IF(OFFSET(TH!O$1,SMALL(Dong5,ROWS($1:653)),)=$E$7,OFFSET(TH!M$1,SMALL(Dong5,ROWS($1:653)),),0))</f>
        <v>0</v>
      </c>
      <c r="H667" s="385">
        <f ca="1">IF(D667&lt;&gt;"",MAX(H666+F667-G667-I666,0),0)</f>
        <v>453290150</v>
      </c>
      <c r="I667" s="385">
        <f ca="1">IF(D667&lt;&gt;"",MAX(I666+G667-H666-F667,0),0)</f>
        <v>0</v>
      </c>
      <c r="J667" s="18">
        <f ca="1">MONTH(A667)</f>
        <v>11</v>
      </c>
    </row>
    <row r="668" spans="1:10" s="18" customFormat="1" ht="18" customHeight="1">
      <c r="A668" s="318">
        <f ca="1">IF(ROWS($1:654)&gt;COUNT(Dong5),"",OFFSET(TH!C$1,SMALL(Dong5,ROWS($1:654)),))</f>
        <v>42689</v>
      </c>
      <c r="B668" s="318" t="str">
        <f ca="1">IF(ROWS($1:654)&gt;COUNT(Dong5),"",OFFSET(TH!D$1,SMALL(Dong5,ROWS($1:654)),))</f>
        <v>C33</v>
      </c>
      <c r="C668" s="318">
        <f ca="1">IF(ROWS($1:654)&gt;COUNT(Dong5),"",OFFSET(TH!E$1,SMALL(Dong5,ROWS($1:654)),))</f>
        <v>42689</v>
      </c>
      <c r="D668" s="383" t="str">
        <f ca="1">IF(ROWS($1:654)&gt;COUNT(Dong5),"",OFFSET(TH!F$1,SMALL(Dong5,ROWS($1:654)),))</f>
        <v>VAT Phí chứng từ, bốc xếp, xếp dỡ, phụ trội, giao nhận</v>
      </c>
      <c r="E668" s="318" t="str">
        <f ca="1">IF(ROWS($1:654)&gt;COUNT(Dong5),"",IF(OFFSET(TH!N$1,SMALL(Dong5,ROWS($1:654)),)=$E$7,OFFSET(TH!O$1,SMALL(Dong5,ROWS($1:654)),),OFFSET(TH!N$1,SMALL(Dong5,ROWS($1:654)),)))</f>
        <v>1111</v>
      </c>
      <c r="F668" s="384">
        <f ca="1">IF(ROWS($1:654)&gt;COUNT(Dong5),0,IF(OFFSET(TH!N$1,SMALL(Dong5,ROWS($1:654)),)=$E$7,OFFSET(TH!M$1,SMALL(Dong5,ROWS($1:654)),),0))</f>
        <v>385507</v>
      </c>
      <c r="G668" s="382">
        <f ca="1">IF(ROWS($1:654)&gt;COUNT(Dong5),0,IF(OFFSET(TH!O$1,SMALL(Dong5,ROWS($1:654)),)=$E$7,OFFSET(TH!M$1,SMALL(Dong5,ROWS($1:654)),),0))</f>
        <v>0</v>
      </c>
      <c r="H668" s="385">
        <f ca="1">IF(D668&lt;&gt;"",MAX(H667+F668-G668-I667,0),0)</f>
        <v>453675657</v>
      </c>
      <c r="I668" s="385">
        <f ca="1">IF(D668&lt;&gt;"",MAX(I667+G668-H667-F668,0),0)</f>
        <v>0</v>
      </c>
      <c r="J668" s="18">
        <f ca="1">MONTH(A668)</f>
        <v>11</v>
      </c>
    </row>
    <row r="669" spans="1:10" s="18" customFormat="1" ht="18" customHeight="1">
      <c r="A669" s="318">
        <f ca="1">IF(ROWS($1:655)&gt;COUNT(Dong5),"",OFFSET(TH!C$1,SMALL(Dong5,ROWS($1:655)),))</f>
        <v>42689</v>
      </c>
      <c r="B669" s="318" t="str">
        <f ca="1">IF(ROWS($1:655)&gt;COUNT(Dong5),"",OFFSET(TH!D$1,SMALL(Dong5,ROWS($1:655)),))</f>
        <v>C34</v>
      </c>
      <c r="C669" s="318">
        <f ca="1">IF(ROWS($1:655)&gt;COUNT(Dong5),"",OFFSET(TH!E$1,SMALL(Dong5,ROWS($1:655)),))</f>
        <v>42689</v>
      </c>
      <c r="D669" s="383" t="str">
        <f ca="1">IF(ROWS($1:655)&gt;COUNT(Dong5),"",OFFSET(TH!F$1,SMALL(Dong5,ROWS($1:655)),))</f>
        <v>VAT Xăng , dầu DO</v>
      </c>
      <c r="E669" s="318" t="str">
        <f ca="1">IF(ROWS($1:655)&gt;COUNT(Dong5),"",IF(OFFSET(TH!N$1,SMALL(Dong5,ROWS($1:655)),)=$E$7,OFFSET(TH!O$1,SMALL(Dong5,ROWS($1:655)),),OFFSET(TH!N$1,SMALL(Dong5,ROWS($1:655)),)))</f>
        <v>1111</v>
      </c>
      <c r="F669" s="384">
        <f ca="1">IF(ROWS($1:655)&gt;COUNT(Dong5),0,IF(OFFSET(TH!N$1,SMALL(Dong5,ROWS($1:655)),)=$E$7,OFFSET(TH!M$1,SMALL(Dong5,ROWS($1:655)),),0))</f>
        <v>316627</v>
      </c>
      <c r="G669" s="382">
        <f ca="1">IF(ROWS($1:655)&gt;COUNT(Dong5),0,IF(OFFSET(TH!O$1,SMALL(Dong5,ROWS($1:655)),)=$E$7,OFFSET(TH!M$1,SMALL(Dong5,ROWS($1:655)),),0))</f>
        <v>0</v>
      </c>
      <c r="H669" s="385">
        <f ca="1">IF(D669&lt;&gt;"",MAX(H668+F669-G669-I668,0),0)</f>
        <v>453992284</v>
      </c>
      <c r="I669" s="385">
        <f ca="1">IF(D669&lt;&gt;"",MAX(I668+G669-H668-F669,0),0)</f>
        <v>0</v>
      </c>
      <c r="J669" s="18">
        <f ca="1">MONTH(A669)</f>
        <v>11</v>
      </c>
    </row>
    <row r="670" spans="1:10" s="18" customFormat="1" ht="18" customHeight="1">
      <c r="A670" s="318">
        <f ca="1">IF(ROWS($1:656)&gt;COUNT(Dong5),"",OFFSET(TH!C$1,SMALL(Dong5,ROWS($1:656)),))</f>
        <v>42689</v>
      </c>
      <c r="B670" s="318" t="str">
        <f ca="1">IF(ROWS($1:656)&gt;COUNT(Dong5),"",OFFSET(TH!D$1,SMALL(Dong5,ROWS($1:656)),))</f>
        <v>CTGS</v>
      </c>
      <c r="C670" s="318">
        <f ca="1">IF(ROWS($1:656)&gt;COUNT(Dong5),"",OFFSET(TH!E$1,SMALL(Dong5,ROWS($1:656)),))</f>
        <v>42689</v>
      </c>
      <c r="D670" s="383" t="str">
        <f ca="1">IF(ROWS($1:656)&gt;COUNT(Dong5),"",OFFSET(TH!F$1,SMALL(Dong5,ROWS($1:656)),))</f>
        <v>Thuế GTGT hàng nhập khẩu TK 101126615660</v>
      </c>
      <c r="E670" s="318" t="str">
        <f ca="1">IF(ROWS($1:656)&gt;COUNT(Dong5),"",IF(OFFSET(TH!N$1,SMALL(Dong5,ROWS($1:656)),)=$E$7,OFFSET(TH!O$1,SMALL(Dong5,ROWS($1:656)),),OFFSET(TH!N$1,SMALL(Dong5,ROWS($1:656)),)))</f>
        <v>33312</v>
      </c>
      <c r="F670" s="384">
        <f ca="1">IF(ROWS($1:656)&gt;COUNT(Dong5),0,IF(OFFSET(TH!N$1,SMALL(Dong5,ROWS($1:656)),)=$E$7,OFFSET(TH!M$1,SMALL(Dong5,ROWS($1:656)),),0))</f>
        <v>9805400</v>
      </c>
      <c r="G670" s="382">
        <f ca="1">IF(ROWS($1:656)&gt;COUNT(Dong5),0,IF(OFFSET(TH!O$1,SMALL(Dong5,ROWS($1:656)),)=$E$7,OFFSET(TH!M$1,SMALL(Dong5,ROWS($1:656)),),0))</f>
        <v>0</v>
      </c>
      <c r="H670" s="385">
        <f ca="1">IF(D670&lt;&gt;"",MAX(H669+F670-G670-I669,0),0)</f>
        <v>463797684</v>
      </c>
      <c r="I670" s="385">
        <f ca="1">IF(D670&lt;&gt;"",MAX(I669+G670-H669-F670,0),0)</f>
        <v>0</v>
      </c>
      <c r="J670" s="18">
        <f ca="1">MONTH(A670)</f>
        <v>11</v>
      </c>
    </row>
    <row r="671" spans="1:10" s="18" customFormat="1" ht="18" customHeight="1">
      <c r="A671" s="318">
        <f ca="1">IF(ROWS($1:657)&gt;COUNT(Dong5),"",OFFSET(TH!C$1,SMALL(Dong5,ROWS($1:657)),))</f>
        <v>42689</v>
      </c>
      <c r="B671" s="318" t="str">
        <f ca="1">IF(ROWS($1:657)&gt;COUNT(Dong5),"",OFFSET(TH!D$1,SMALL(Dong5,ROWS($1:657)),))</f>
        <v>GBN</v>
      </c>
      <c r="C671" s="318">
        <f ca="1">IF(ROWS($1:657)&gt;COUNT(Dong5),"",OFFSET(TH!E$1,SMALL(Dong5,ROWS($1:657)),))</f>
        <v>42689</v>
      </c>
      <c r="D671" s="383" t="str">
        <f ca="1">IF(ROWS($1:657)&gt;COUNT(Dong5),"",OFFSET(TH!F$1,SMALL(Dong5,ROWS($1:657)),))</f>
        <v>VAT phí thanh toán</v>
      </c>
      <c r="E671" s="318" t="str">
        <f ca="1">IF(ROWS($1:657)&gt;COUNT(Dong5),"",IF(OFFSET(TH!N$1,SMALL(Dong5,ROWS($1:657)),)=$E$7,OFFSET(TH!O$1,SMALL(Dong5,ROWS($1:657)),),OFFSET(TH!N$1,SMALL(Dong5,ROWS($1:657)),)))</f>
        <v>1121</v>
      </c>
      <c r="F671" s="384">
        <f ca="1">IF(ROWS($1:657)&gt;COUNT(Dong5),0,IF(OFFSET(TH!N$1,SMALL(Dong5,ROWS($1:657)),)=$E$7,OFFSET(TH!M$1,SMALL(Dong5,ROWS($1:657)),),0))</f>
        <v>2500</v>
      </c>
      <c r="G671" s="382">
        <f ca="1">IF(ROWS($1:657)&gt;COUNT(Dong5),0,IF(OFFSET(TH!O$1,SMALL(Dong5,ROWS($1:657)),)=$E$7,OFFSET(TH!M$1,SMALL(Dong5,ROWS($1:657)),),0))</f>
        <v>0</v>
      </c>
      <c r="H671" s="385">
        <f ca="1">IF(D671&lt;&gt;"",MAX(H670+F671-G671-I670,0),0)</f>
        <v>463800184</v>
      </c>
      <c r="I671" s="385">
        <f ca="1">IF(D671&lt;&gt;"",MAX(I670+G671-H670-F671,0),0)</f>
        <v>0</v>
      </c>
      <c r="J671" s="18">
        <f ca="1">MONTH(A671)</f>
        <v>11</v>
      </c>
    </row>
    <row r="672" spans="1:10" s="18" customFormat="1" ht="18" customHeight="1">
      <c r="A672" s="318">
        <f ca="1">IF(ROWS($1:658)&gt;COUNT(Dong5),"",OFFSET(TH!C$1,SMALL(Dong5,ROWS($1:658)),))</f>
        <v>42689</v>
      </c>
      <c r="B672" s="318" t="str">
        <f ca="1">IF(ROWS($1:658)&gt;COUNT(Dong5),"",OFFSET(TH!D$1,SMALL(Dong5,ROWS($1:658)),))</f>
        <v>GBN</v>
      </c>
      <c r="C672" s="318">
        <f ca="1">IF(ROWS($1:658)&gt;COUNT(Dong5),"",OFFSET(TH!E$1,SMALL(Dong5,ROWS($1:658)),))</f>
        <v>42689</v>
      </c>
      <c r="D672" s="383" t="str">
        <f ca="1">IF(ROWS($1:658)&gt;COUNT(Dong5),"",OFFSET(TH!F$1,SMALL(Dong5,ROWS($1:658)),))</f>
        <v>VAT Phí NH: 1021316001018</v>
      </c>
      <c r="E672" s="318" t="str">
        <f ca="1">IF(ROWS($1:658)&gt;COUNT(Dong5),"",IF(OFFSET(TH!N$1,SMALL(Dong5,ROWS($1:658)),)=$E$7,OFFSET(TH!O$1,SMALL(Dong5,ROWS($1:658)),),OFFSET(TH!N$1,SMALL(Dong5,ROWS($1:658)),)))</f>
        <v>1121</v>
      </c>
      <c r="F672" s="384">
        <f ca="1">IF(ROWS($1:658)&gt;COUNT(Dong5),0,IF(OFFSET(TH!N$1,SMALL(Dong5,ROWS($1:658)),)=$E$7,OFFSET(TH!M$1,SMALL(Dong5,ROWS($1:658)),),0))</f>
        <v>162831</v>
      </c>
      <c r="G672" s="382">
        <f ca="1">IF(ROWS($1:658)&gt;COUNT(Dong5),0,IF(OFFSET(TH!O$1,SMALL(Dong5,ROWS($1:658)),)=$E$7,OFFSET(TH!M$1,SMALL(Dong5,ROWS($1:658)),),0))</f>
        <v>0</v>
      </c>
      <c r="H672" s="385">
        <f ca="1">IF(D672&lt;&gt;"",MAX(H671+F672-G672-I671,0),0)</f>
        <v>463963015</v>
      </c>
      <c r="I672" s="385">
        <f ca="1">IF(D672&lt;&gt;"",MAX(I671+G672-H671-F672,0),0)</f>
        <v>0</v>
      </c>
      <c r="J672" s="18">
        <f ca="1">MONTH(A672)</f>
        <v>11</v>
      </c>
    </row>
    <row r="673" spans="1:10" s="18" customFormat="1" ht="18" customHeight="1">
      <c r="A673" s="318">
        <f ca="1">IF(ROWS($1:659)&gt;COUNT(Dong5),"",OFFSET(TH!C$1,SMALL(Dong5,ROWS($1:659)),))</f>
        <v>42689</v>
      </c>
      <c r="B673" s="318" t="str">
        <f ca="1">IF(ROWS($1:659)&gt;COUNT(Dong5),"",OFFSET(TH!D$1,SMALL(Dong5,ROWS($1:659)),))</f>
        <v>GBN</v>
      </c>
      <c r="C673" s="318">
        <f ca="1">IF(ROWS($1:659)&gt;COUNT(Dong5),"",OFFSET(TH!E$1,SMALL(Dong5,ROWS($1:659)),))</f>
        <v>42689</v>
      </c>
      <c r="D673" s="383" t="str">
        <f ca="1">IF(ROWS($1:659)&gt;COUNT(Dong5),"",OFFSET(TH!F$1,SMALL(Dong5,ROWS($1:659)),))</f>
        <v>VAT Phí chuyển NT</v>
      </c>
      <c r="E673" s="318" t="str">
        <f ca="1">IF(ROWS($1:659)&gt;COUNT(Dong5),"",IF(OFFSET(TH!N$1,SMALL(Dong5,ROWS($1:659)),)=$E$7,OFFSET(TH!O$1,SMALL(Dong5,ROWS($1:659)),),OFFSET(TH!N$1,SMALL(Dong5,ROWS($1:659)),)))</f>
        <v>1122</v>
      </c>
      <c r="F673" s="384">
        <f ca="1">IF(ROWS($1:659)&gt;COUNT(Dong5),0,IF(OFFSET(TH!N$1,SMALL(Dong5,ROWS($1:659)),)=$E$7,OFFSET(TH!M$1,SMALL(Dong5,ROWS($1:659)),),0))</f>
        <v>6689</v>
      </c>
      <c r="G673" s="382">
        <f ca="1">IF(ROWS($1:659)&gt;COUNT(Dong5),0,IF(OFFSET(TH!O$1,SMALL(Dong5,ROWS($1:659)),)=$E$7,OFFSET(TH!M$1,SMALL(Dong5,ROWS($1:659)),),0))</f>
        <v>0</v>
      </c>
      <c r="H673" s="385">
        <f ca="1">IF(D673&lt;&gt;"",MAX(H672+F673-G673-I672,0),0)</f>
        <v>463969704</v>
      </c>
      <c r="I673" s="385">
        <f ca="1">IF(D673&lt;&gt;"",MAX(I672+G673-H672-F673,0),0)</f>
        <v>0</v>
      </c>
      <c r="J673" s="18">
        <f ca="1">MONTH(A673)</f>
        <v>11</v>
      </c>
    </row>
    <row r="674" spans="1:10" s="18" customFormat="1" ht="18" customHeight="1">
      <c r="A674" s="318">
        <f ca="1">IF(ROWS($1:660)&gt;COUNT(Dong5),"",OFFSET(TH!C$1,SMALL(Dong5,ROWS($1:660)),))</f>
        <v>42690</v>
      </c>
      <c r="B674" s="318" t="str">
        <f ca="1">IF(ROWS($1:660)&gt;COUNT(Dong5),"",OFFSET(TH!D$1,SMALL(Dong5,ROWS($1:660)),))</f>
        <v>GBN</v>
      </c>
      <c r="C674" s="318">
        <f ca="1">IF(ROWS($1:660)&gt;COUNT(Dong5),"",OFFSET(TH!E$1,SMALL(Dong5,ROWS($1:660)),))</f>
        <v>42690</v>
      </c>
      <c r="D674" s="383" t="str">
        <f ca="1">IF(ROWS($1:660)&gt;COUNT(Dong5),"",OFFSET(TH!F$1,SMALL(Dong5,ROWS($1:660)),))</f>
        <v>VAT Phí thông báo số sư tự động</v>
      </c>
      <c r="E674" s="318" t="str">
        <f ca="1">IF(ROWS($1:660)&gt;COUNT(Dong5),"",IF(OFFSET(TH!N$1,SMALL(Dong5,ROWS($1:660)),)=$E$7,OFFSET(TH!O$1,SMALL(Dong5,ROWS($1:660)),),OFFSET(TH!N$1,SMALL(Dong5,ROWS($1:660)),)))</f>
        <v>1121</v>
      </c>
      <c r="F674" s="384">
        <f ca="1">IF(ROWS($1:660)&gt;COUNT(Dong5),0,IF(OFFSET(TH!N$1,SMALL(Dong5,ROWS($1:660)),)=$E$7,OFFSET(TH!M$1,SMALL(Dong5,ROWS($1:660)),),0))</f>
        <v>5000</v>
      </c>
      <c r="G674" s="382">
        <f ca="1">IF(ROWS($1:660)&gt;COUNT(Dong5),0,IF(OFFSET(TH!O$1,SMALL(Dong5,ROWS($1:660)),)=$E$7,OFFSET(TH!M$1,SMALL(Dong5,ROWS($1:660)),),0))</f>
        <v>0</v>
      </c>
      <c r="H674" s="385">
        <f ca="1">IF(D674&lt;&gt;"",MAX(H673+F674-G674-I673,0),0)</f>
        <v>463974704</v>
      </c>
      <c r="I674" s="385">
        <f ca="1">IF(D674&lt;&gt;"",MAX(I673+G674-H673-F674,0),0)</f>
        <v>0</v>
      </c>
      <c r="J674" s="18">
        <f ca="1">MONTH(A674)</f>
        <v>11</v>
      </c>
    </row>
    <row r="675" spans="1:10" s="18" customFormat="1" ht="18" customHeight="1">
      <c r="A675" s="318">
        <f ca="1">IF(ROWS($1:661)&gt;COUNT(Dong5),"",OFFSET(TH!C$1,SMALL(Dong5,ROWS($1:661)),))</f>
        <v>42690</v>
      </c>
      <c r="B675" s="318" t="str">
        <f ca="1">IF(ROWS($1:661)&gt;COUNT(Dong5),"",OFFSET(TH!D$1,SMALL(Dong5,ROWS($1:661)),))</f>
        <v>GBN</v>
      </c>
      <c r="C675" s="318">
        <f ca="1">IF(ROWS($1:661)&gt;COUNT(Dong5),"",OFFSET(TH!E$1,SMALL(Dong5,ROWS($1:661)),))</f>
        <v>42690</v>
      </c>
      <c r="D675" s="383" t="str">
        <f ca="1">IF(ROWS($1:661)&gt;COUNT(Dong5),"",OFFSET(TH!F$1,SMALL(Dong5,ROWS($1:661)),))</f>
        <v>VAT Phí thông báo số sư tự động</v>
      </c>
      <c r="E675" s="318" t="str">
        <f ca="1">IF(ROWS($1:661)&gt;COUNT(Dong5),"",IF(OFFSET(TH!N$1,SMALL(Dong5,ROWS($1:661)),)=$E$7,OFFSET(TH!O$1,SMALL(Dong5,ROWS($1:661)),),OFFSET(TH!N$1,SMALL(Dong5,ROWS($1:661)),)))</f>
        <v>1121</v>
      </c>
      <c r="F675" s="384">
        <f ca="1">IF(ROWS($1:661)&gt;COUNT(Dong5),0,IF(OFFSET(TH!N$1,SMALL(Dong5,ROWS($1:661)),)=$E$7,OFFSET(TH!M$1,SMALL(Dong5,ROWS($1:661)),),0))</f>
        <v>5000</v>
      </c>
      <c r="G675" s="382">
        <f ca="1">IF(ROWS($1:661)&gt;COUNT(Dong5),0,IF(OFFSET(TH!O$1,SMALL(Dong5,ROWS($1:661)),)=$E$7,OFFSET(TH!M$1,SMALL(Dong5,ROWS($1:661)),),0))</f>
        <v>0</v>
      </c>
      <c r="H675" s="385">
        <f ca="1">IF(D675&lt;&gt;"",MAX(H674+F675-G675-I674,0),0)</f>
        <v>463979704</v>
      </c>
      <c r="I675" s="385">
        <f ca="1">IF(D675&lt;&gt;"",MAX(I674+G675-H674-F675,0),0)</f>
        <v>0</v>
      </c>
      <c r="J675" s="18">
        <f ca="1">MONTH(A675)</f>
        <v>11</v>
      </c>
    </row>
    <row r="676" spans="1:10" s="18" customFormat="1" ht="18" customHeight="1">
      <c r="A676" s="318">
        <f ca="1">IF(ROWS($1:662)&gt;COUNT(Dong5),"",OFFSET(TH!C$1,SMALL(Dong5,ROWS($1:662)),))</f>
        <v>42690</v>
      </c>
      <c r="B676" s="318" t="str">
        <f ca="1">IF(ROWS($1:662)&gt;COUNT(Dong5),"",OFFSET(TH!D$1,SMALL(Dong5,ROWS($1:662)),))</f>
        <v>GBN</v>
      </c>
      <c r="C676" s="318">
        <f ca="1">IF(ROWS($1:662)&gt;COUNT(Dong5),"",OFFSET(TH!E$1,SMALL(Dong5,ROWS($1:662)),))</f>
        <v>42690</v>
      </c>
      <c r="D676" s="383" t="str">
        <f ca="1">IF(ROWS($1:662)&gt;COUNT(Dong5),"",OFFSET(TH!F$1,SMALL(Dong5,ROWS($1:662)),))</f>
        <v>VAT Phí LC Trả chậm: 1027416000302</v>
      </c>
      <c r="E676" s="318" t="str">
        <f ca="1">IF(ROWS($1:662)&gt;COUNT(Dong5),"",IF(OFFSET(TH!N$1,SMALL(Dong5,ROWS($1:662)),)=$E$7,OFFSET(TH!O$1,SMALL(Dong5,ROWS($1:662)),),OFFSET(TH!N$1,SMALL(Dong5,ROWS($1:662)),)))</f>
        <v>1121</v>
      </c>
      <c r="F676" s="384">
        <f ca="1">IF(ROWS($1:662)&gt;COUNT(Dong5),0,IF(OFFSET(TH!N$1,SMALL(Dong5,ROWS($1:662)),)=$E$7,OFFSET(TH!M$1,SMALL(Dong5,ROWS($1:662)),),0))</f>
        <v>188076</v>
      </c>
      <c r="G676" s="382">
        <f ca="1">IF(ROWS($1:662)&gt;COUNT(Dong5),0,IF(OFFSET(TH!O$1,SMALL(Dong5,ROWS($1:662)),)=$E$7,OFFSET(TH!M$1,SMALL(Dong5,ROWS($1:662)),),0))</f>
        <v>0</v>
      </c>
      <c r="H676" s="385">
        <f ca="1">IF(D676&lt;&gt;"",MAX(H675+F676-G676-I675,0),0)</f>
        <v>464167780</v>
      </c>
      <c r="I676" s="385">
        <f ca="1">IF(D676&lt;&gt;"",MAX(I675+G676-H675-F676,0),0)</f>
        <v>0</v>
      </c>
      <c r="J676" s="18">
        <f ca="1">MONTH(A676)</f>
        <v>11</v>
      </c>
    </row>
    <row r="677" spans="1:10" s="18" customFormat="1" ht="18" customHeight="1">
      <c r="A677" s="318">
        <f ca="1">IF(ROWS($1:663)&gt;COUNT(Dong5),"",OFFSET(TH!C$1,SMALL(Dong5,ROWS($1:663)),))</f>
        <v>42690</v>
      </c>
      <c r="B677" s="318" t="str">
        <f ca="1">IF(ROWS($1:663)&gt;COUNT(Dong5),"",OFFSET(TH!D$1,SMALL(Dong5,ROWS($1:663)),))</f>
        <v>GBN</v>
      </c>
      <c r="C677" s="318">
        <f ca="1">IF(ROWS($1:663)&gt;COUNT(Dong5),"",OFFSET(TH!E$1,SMALL(Dong5,ROWS($1:663)),))</f>
        <v>42690</v>
      </c>
      <c r="D677" s="383" t="str">
        <f ca="1">IF(ROWS($1:663)&gt;COUNT(Dong5),"",OFFSET(TH!F$1,SMALL(Dong5,ROWS($1:663)),))</f>
        <v>VAT Phí LC Trả chậm: 1027416000302</v>
      </c>
      <c r="E677" s="318" t="str">
        <f ca="1">IF(ROWS($1:663)&gt;COUNT(Dong5),"",IF(OFFSET(TH!N$1,SMALL(Dong5,ROWS($1:663)),)=$E$7,OFFSET(TH!O$1,SMALL(Dong5,ROWS($1:663)),),OFFSET(TH!N$1,SMALL(Dong5,ROWS($1:663)),)))</f>
        <v>1121</v>
      </c>
      <c r="F677" s="384">
        <f ca="1">IF(ROWS($1:663)&gt;COUNT(Dong5),0,IF(OFFSET(TH!N$1,SMALL(Dong5,ROWS($1:663)),)=$E$7,OFFSET(TH!M$1,SMALL(Dong5,ROWS($1:663)),),0))</f>
        <v>11195</v>
      </c>
      <c r="G677" s="382">
        <f ca="1">IF(ROWS($1:663)&gt;COUNT(Dong5),0,IF(OFFSET(TH!O$1,SMALL(Dong5,ROWS($1:663)),)=$E$7,OFFSET(TH!M$1,SMALL(Dong5,ROWS($1:663)),),0))</f>
        <v>0</v>
      </c>
      <c r="H677" s="385">
        <f ca="1">IF(D677&lt;&gt;"",MAX(H676+F677-G677-I676,0),0)</f>
        <v>464178975</v>
      </c>
      <c r="I677" s="385">
        <f ca="1">IF(D677&lt;&gt;"",MAX(I676+G677-H676-F677,0),0)</f>
        <v>0</v>
      </c>
      <c r="J677" s="18">
        <f ca="1">MONTH(A677)</f>
        <v>11</v>
      </c>
    </row>
    <row r="678" spans="1:10" s="18" customFormat="1" ht="18" customHeight="1">
      <c r="A678" s="318">
        <f ca="1">IF(ROWS($1:664)&gt;COUNT(Dong5),"",OFFSET(TH!C$1,SMALL(Dong5,ROWS($1:664)),))</f>
        <v>42692</v>
      </c>
      <c r="B678" s="318" t="str">
        <f ca="1">IF(ROWS($1:664)&gt;COUNT(Dong5),"",OFFSET(TH!D$1,SMALL(Dong5,ROWS($1:664)),))</f>
        <v>C42</v>
      </c>
      <c r="C678" s="318">
        <f ca="1">IF(ROWS($1:664)&gt;COUNT(Dong5),"",OFFSET(TH!E$1,SMALL(Dong5,ROWS($1:664)),))</f>
        <v>42692</v>
      </c>
      <c r="D678" s="383" t="str">
        <f ca="1">IF(ROWS($1:664)&gt;COUNT(Dong5),"",OFFSET(TH!F$1,SMALL(Dong5,ROWS($1:664)),))</f>
        <v>VAT Phí kiểm tra tinh bột</v>
      </c>
      <c r="E678" s="318" t="str">
        <f ca="1">IF(ROWS($1:664)&gt;COUNT(Dong5),"",IF(OFFSET(TH!N$1,SMALL(Dong5,ROWS($1:664)),)=$E$7,OFFSET(TH!O$1,SMALL(Dong5,ROWS($1:664)),),OFFSET(TH!N$1,SMALL(Dong5,ROWS($1:664)),)))</f>
        <v>1111</v>
      </c>
      <c r="F678" s="384">
        <f ca="1">IF(ROWS($1:664)&gt;COUNT(Dong5),0,IF(OFFSET(TH!N$1,SMALL(Dong5,ROWS($1:664)),)=$E$7,OFFSET(TH!M$1,SMALL(Dong5,ROWS($1:664)),),0))</f>
        <v>90909</v>
      </c>
      <c r="G678" s="382">
        <f ca="1">IF(ROWS($1:664)&gt;COUNT(Dong5),0,IF(OFFSET(TH!O$1,SMALL(Dong5,ROWS($1:664)),)=$E$7,OFFSET(TH!M$1,SMALL(Dong5,ROWS($1:664)),),0))</f>
        <v>0</v>
      </c>
      <c r="H678" s="385">
        <f ca="1">IF(D678&lt;&gt;"",MAX(H677+F678-G678-I677,0),0)</f>
        <v>464269884</v>
      </c>
      <c r="I678" s="385">
        <f ca="1">IF(D678&lt;&gt;"",MAX(I677+G678-H677-F678,0),0)</f>
        <v>0</v>
      </c>
      <c r="J678" s="18">
        <f ca="1">MONTH(A678)</f>
        <v>11</v>
      </c>
    </row>
    <row r="679" spans="1:10" s="18" customFormat="1" ht="18" customHeight="1">
      <c r="A679" s="318">
        <f ca="1">IF(ROWS($1:665)&gt;COUNT(Dong5),"",OFFSET(TH!C$1,SMALL(Dong5,ROWS($1:665)),))</f>
        <v>42693</v>
      </c>
      <c r="B679" s="318" t="str">
        <f ca="1">IF(ROWS($1:665)&gt;COUNT(Dong5),"",OFFSET(TH!D$1,SMALL(Dong5,ROWS($1:665)),))</f>
        <v>C44</v>
      </c>
      <c r="C679" s="318">
        <f ca="1">IF(ROWS($1:665)&gt;COUNT(Dong5),"",OFFSET(TH!E$1,SMALL(Dong5,ROWS($1:665)),))</f>
        <v>42693</v>
      </c>
      <c r="D679" s="383" t="str">
        <f ca="1">IF(ROWS($1:665)&gt;COUNT(Dong5),"",OFFSET(TH!F$1,SMALL(Dong5,ROWS($1:665)),))</f>
        <v xml:space="preserve">VAT Xăng </v>
      </c>
      <c r="E679" s="318" t="str">
        <f ca="1">IF(ROWS($1:665)&gt;COUNT(Dong5),"",IF(OFFSET(TH!N$1,SMALL(Dong5,ROWS($1:665)),)=$E$7,OFFSET(TH!O$1,SMALL(Dong5,ROWS($1:665)),),OFFSET(TH!N$1,SMALL(Dong5,ROWS($1:665)),)))</f>
        <v>1111</v>
      </c>
      <c r="F679" s="384">
        <f ca="1">IF(ROWS($1:665)&gt;COUNT(Dong5),0,IF(OFFSET(TH!N$1,SMALL(Dong5,ROWS($1:665)),)=$E$7,OFFSET(TH!M$1,SMALL(Dong5,ROWS($1:665)),),0))</f>
        <v>92747</v>
      </c>
      <c r="G679" s="382">
        <f ca="1">IF(ROWS($1:665)&gt;COUNT(Dong5),0,IF(OFFSET(TH!O$1,SMALL(Dong5,ROWS($1:665)),)=$E$7,OFFSET(TH!M$1,SMALL(Dong5,ROWS($1:665)),),0))</f>
        <v>0</v>
      </c>
      <c r="H679" s="385">
        <f ca="1">IF(D679&lt;&gt;"",MAX(H678+F679-G679-I678,0),0)</f>
        <v>464362631</v>
      </c>
      <c r="I679" s="385">
        <f ca="1">IF(D679&lt;&gt;"",MAX(I678+G679-H678-F679,0),0)</f>
        <v>0</v>
      </c>
      <c r="J679" s="18">
        <f ca="1">MONTH(A679)</f>
        <v>11</v>
      </c>
    </row>
    <row r="680" spans="1:10" s="18" customFormat="1" ht="18" customHeight="1">
      <c r="A680" s="318">
        <f ca="1">IF(ROWS($1:666)&gt;COUNT(Dong5),"",OFFSET(TH!C$1,SMALL(Dong5,ROWS($1:666)),))</f>
        <v>42696</v>
      </c>
      <c r="B680" s="318" t="str">
        <f ca="1">IF(ROWS($1:666)&gt;COUNT(Dong5),"",OFFSET(TH!D$1,SMALL(Dong5,ROWS($1:666)),))</f>
        <v>GBN</v>
      </c>
      <c r="C680" s="318">
        <f ca="1">IF(ROWS($1:666)&gt;COUNT(Dong5),"",OFFSET(TH!E$1,SMALL(Dong5,ROWS($1:666)),))</f>
        <v>42696</v>
      </c>
      <c r="D680" s="383" t="str">
        <f ca="1">IF(ROWS($1:666)&gt;COUNT(Dong5),"",OFFSET(TH!F$1,SMALL(Dong5,ROWS($1:666)),))</f>
        <v>VAT Phí NH: 10213160014057</v>
      </c>
      <c r="E680" s="318" t="str">
        <f ca="1">IF(ROWS($1:666)&gt;COUNT(Dong5),"",IF(OFFSET(TH!N$1,SMALL(Dong5,ROWS($1:666)),)=$E$7,OFFSET(TH!O$1,SMALL(Dong5,ROWS($1:666)),),OFFSET(TH!N$1,SMALL(Dong5,ROWS($1:666)),)))</f>
        <v>1122</v>
      </c>
      <c r="F680" s="384">
        <f ca="1">IF(ROWS($1:666)&gt;COUNT(Dong5),0,IF(OFFSET(TH!N$1,SMALL(Dong5,ROWS($1:666)),)=$E$7,OFFSET(TH!M$1,SMALL(Dong5,ROWS($1:666)),),0))</f>
        <v>226000</v>
      </c>
      <c r="G680" s="382">
        <f ca="1">IF(ROWS($1:666)&gt;COUNT(Dong5),0,IF(OFFSET(TH!O$1,SMALL(Dong5,ROWS($1:666)),)=$E$7,OFFSET(TH!M$1,SMALL(Dong5,ROWS($1:666)),),0))</f>
        <v>0</v>
      </c>
      <c r="H680" s="385">
        <f ca="1">IF(D680&lt;&gt;"",MAX(H679+F680-G680-I679,0),0)</f>
        <v>464588631</v>
      </c>
      <c r="I680" s="385">
        <f ca="1">IF(D680&lt;&gt;"",MAX(I679+G680-H679-F680,0),0)</f>
        <v>0</v>
      </c>
      <c r="J680" s="18">
        <f ca="1">MONTH(A680)</f>
        <v>11</v>
      </c>
    </row>
    <row r="681" spans="1:10" s="18" customFormat="1" ht="18" customHeight="1">
      <c r="A681" s="318">
        <f ca="1">IF(ROWS($1:667)&gt;COUNT(Dong5),"",OFFSET(TH!C$1,SMALL(Dong5,ROWS($1:667)),))</f>
        <v>42697</v>
      </c>
      <c r="B681" s="318" t="str">
        <f ca="1">IF(ROWS($1:667)&gt;COUNT(Dong5),"",OFFSET(TH!D$1,SMALL(Dong5,ROWS($1:667)),))</f>
        <v>C48</v>
      </c>
      <c r="C681" s="318">
        <f ca="1">IF(ROWS($1:667)&gt;COUNT(Dong5),"",OFFSET(TH!E$1,SMALL(Dong5,ROWS($1:667)),))</f>
        <v>42697</v>
      </c>
      <c r="D681" s="383" t="str">
        <f ca="1">IF(ROWS($1:667)&gt;COUNT(Dong5),"",OFFSET(TH!F$1,SMALL(Dong5,ROWS($1:667)),))</f>
        <v>VAT Phí bốc xếp, lưu kho</v>
      </c>
      <c r="E681" s="318" t="str">
        <f ca="1">IF(ROWS($1:667)&gt;COUNT(Dong5),"",IF(OFFSET(TH!N$1,SMALL(Dong5,ROWS($1:667)),)=$E$7,OFFSET(TH!O$1,SMALL(Dong5,ROWS($1:667)),),OFFSET(TH!N$1,SMALL(Dong5,ROWS($1:667)),)))</f>
        <v>1111</v>
      </c>
      <c r="F681" s="384">
        <f ca="1">IF(ROWS($1:667)&gt;COUNT(Dong5),0,IF(OFFSET(TH!N$1,SMALL(Dong5,ROWS($1:667)),)=$E$7,OFFSET(TH!M$1,SMALL(Dong5,ROWS($1:667)),),0))</f>
        <v>5924</v>
      </c>
      <c r="G681" s="382">
        <f ca="1">IF(ROWS($1:667)&gt;COUNT(Dong5),0,IF(OFFSET(TH!O$1,SMALL(Dong5,ROWS($1:667)),)=$E$7,OFFSET(TH!M$1,SMALL(Dong5,ROWS($1:667)),),0))</f>
        <v>0</v>
      </c>
      <c r="H681" s="385">
        <f ca="1">IF(D681&lt;&gt;"",MAX(H680+F681-G681-I680,0),0)</f>
        <v>464594555</v>
      </c>
      <c r="I681" s="385">
        <f ca="1">IF(D681&lt;&gt;"",MAX(I680+G681-H680-F681,0),0)</f>
        <v>0</v>
      </c>
      <c r="J681" s="18">
        <f ca="1">MONTH(A681)</f>
        <v>11</v>
      </c>
    </row>
    <row r="682" spans="1:10" s="18" customFormat="1" ht="18" customHeight="1">
      <c r="A682" s="318">
        <f ca="1">IF(ROWS($1:668)&gt;COUNT(Dong5),"",OFFSET(TH!C$1,SMALL(Dong5,ROWS($1:668)),))</f>
        <v>42697</v>
      </c>
      <c r="B682" s="318" t="str">
        <f ca="1">IF(ROWS($1:668)&gt;COUNT(Dong5),"",OFFSET(TH!D$1,SMALL(Dong5,ROWS($1:668)),))</f>
        <v>C49</v>
      </c>
      <c r="C682" s="318">
        <f ca="1">IF(ROWS($1:668)&gt;COUNT(Dong5),"",OFFSET(TH!E$1,SMALL(Dong5,ROWS($1:668)),))</f>
        <v>42697</v>
      </c>
      <c r="D682" s="383" t="str">
        <f ca="1">IF(ROWS($1:668)&gt;COUNT(Dong5),"",OFFSET(TH!F$1,SMALL(Dong5,ROWS($1:668)),))</f>
        <v>VAT Cước vận chuyển hàng</v>
      </c>
      <c r="E682" s="318" t="str">
        <f ca="1">IF(ROWS($1:668)&gt;COUNT(Dong5),"",IF(OFFSET(TH!N$1,SMALL(Dong5,ROWS($1:668)),)=$E$7,OFFSET(TH!O$1,SMALL(Dong5,ROWS($1:668)),),OFFSET(TH!N$1,SMALL(Dong5,ROWS($1:668)),)))</f>
        <v>1111</v>
      </c>
      <c r="F682" s="384">
        <f ca="1">IF(ROWS($1:668)&gt;COUNT(Dong5),0,IF(OFFSET(TH!N$1,SMALL(Dong5,ROWS($1:668)),)=$E$7,OFFSET(TH!M$1,SMALL(Dong5,ROWS($1:668)),),0))</f>
        <v>80000</v>
      </c>
      <c r="G682" s="382">
        <f ca="1">IF(ROWS($1:668)&gt;COUNT(Dong5),0,IF(OFFSET(TH!O$1,SMALL(Dong5,ROWS($1:668)),)=$E$7,OFFSET(TH!M$1,SMALL(Dong5,ROWS($1:668)),),0))</f>
        <v>0</v>
      </c>
      <c r="H682" s="385">
        <f ca="1">IF(D682&lt;&gt;"",MAX(H681+F682-G682-I681,0),0)</f>
        <v>464674555</v>
      </c>
      <c r="I682" s="385">
        <f ca="1">IF(D682&lt;&gt;"",MAX(I681+G682-H681-F682,0),0)</f>
        <v>0</v>
      </c>
      <c r="J682" s="18">
        <f ca="1">MONTH(A682)</f>
        <v>11</v>
      </c>
    </row>
    <row r="683" spans="1:10" s="18" customFormat="1" ht="18" customHeight="1">
      <c r="A683" s="318">
        <f ca="1">IF(ROWS($1:669)&gt;COUNT(Dong5),"",OFFSET(TH!C$1,SMALL(Dong5,ROWS($1:669)),))</f>
        <v>42697</v>
      </c>
      <c r="B683" s="318" t="str">
        <f ca="1">IF(ROWS($1:669)&gt;COUNT(Dong5),"",OFFSET(TH!D$1,SMALL(Dong5,ROWS($1:669)),))</f>
        <v>CTGS</v>
      </c>
      <c r="C683" s="318">
        <f ca="1">IF(ROWS($1:669)&gt;COUNT(Dong5),"",OFFSET(TH!E$1,SMALL(Dong5,ROWS($1:669)),))</f>
        <v>42697</v>
      </c>
      <c r="D683" s="383" t="str">
        <f ca="1">IF(ROWS($1:669)&gt;COUNT(Dong5),"",OFFSET(TH!F$1,SMALL(Dong5,ROWS($1:669)),))</f>
        <v>VAT Phí thanh toán bộ chứng từ</v>
      </c>
      <c r="E683" s="318" t="str">
        <f ca="1">IF(ROWS($1:669)&gt;COUNT(Dong5),"",IF(OFFSET(TH!N$1,SMALL(Dong5,ROWS($1:669)),)=$E$7,OFFSET(TH!O$1,SMALL(Dong5,ROWS($1:669)),),OFFSET(TH!N$1,SMALL(Dong5,ROWS($1:669)),)))</f>
        <v>131</v>
      </c>
      <c r="F683" s="384">
        <f ca="1">IF(ROWS($1:669)&gt;COUNT(Dong5),0,IF(OFFSET(TH!N$1,SMALL(Dong5,ROWS($1:669)),)=$E$7,OFFSET(TH!M$1,SMALL(Dong5,ROWS($1:669)),),0))</f>
        <v>288278</v>
      </c>
      <c r="G683" s="382">
        <f ca="1">IF(ROWS($1:669)&gt;COUNT(Dong5),0,IF(OFFSET(TH!O$1,SMALL(Dong5,ROWS($1:669)),)=$E$7,OFFSET(TH!M$1,SMALL(Dong5,ROWS($1:669)),),0))</f>
        <v>0</v>
      </c>
      <c r="H683" s="385">
        <f ca="1">IF(D683&lt;&gt;"",MAX(H682+F683-G683-I682,0),0)</f>
        <v>464962833</v>
      </c>
      <c r="I683" s="385">
        <f ca="1">IF(D683&lt;&gt;"",MAX(I682+G683-H682-F683,0),0)</f>
        <v>0</v>
      </c>
      <c r="J683" s="18">
        <f ca="1">MONTH(A683)</f>
        <v>11</v>
      </c>
    </row>
    <row r="684" spans="1:10" s="18" customFormat="1" ht="18" customHeight="1">
      <c r="A684" s="318">
        <f ca="1">IF(ROWS($1:670)&gt;COUNT(Dong5),"",OFFSET(TH!C$1,SMALL(Dong5,ROWS($1:670)),))</f>
        <v>42697</v>
      </c>
      <c r="B684" s="318" t="str">
        <f ca="1">IF(ROWS($1:670)&gt;COUNT(Dong5),"",OFFSET(TH!D$1,SMALL(Dong5,ROWS($1:670)),))</f>
        <v>CTGS</v>
      </c>
      <c r="C684" s="318">
        <f ca="1">IF(ROWS($1:670)&gt;COUNT(Dong5),"",OFFSET(TH!E$1,SMALL(Dong5,ROWS($1:670)),))</f>
        <v>42697</v>
      </c>
      <c r="D684" s="383" t="str">
        <f ca="1">IF(ROWS($1:670)&gt;COUNT(Dong5),"",OFFSET(TH!F$1,SMALL(Dong5,ROWS($1:670)),))</f>
        <v>VAT Phí xử lý bộ chứng từ</v>
      </c>
      <c r="E684" s="318" t="str">
        <f ca="1">IF(ROWS($1:670)&gt;COUNT(Dong5),"",IF(OFFSET(TH!N$1,SMALL(Dong5,ROWS($1:670)),)=$E$7,OFFSET(TH!O$1,SMALL(Dong5,ROWS($1:670)),),OFFSET(TH!N$1,SMALL(Dong5,ROWS($1:670)),)))</f>
        <v>131</v>
      </c>
      <c r="F684" s="384">
        <f ca="1">IF(ROWS($1:670)&gt;COUNT(Dong5),0,IF(OFFSET(TH!N$1,SMALL(Dong5,ROWS($1:670)),)=$E$7,OFFSET(TH!M$1,SMALL(Dong5,ROWS($1:670)),),0))</f>
        <v>22610</v>
      </c>
      <c r="G684" s="382">
        <f ca="1">IF(ROWS($1:670)&gt;COUNT(Dong5),0,IF(OFFSET(TH!O$1,SMALL(Dong5,ROWS($1:670)),)=$E$7,OFFSET(TH!M$1,SMALL(Dong5,ROWS($1:670)),),0))</f>
        <v>0</v>
      </c>
      <c r="H684" s="385">
        <f ca="1">IF(D684&lt;&gt;"",MAX(H683+F684-G684-I683,0),0)</f>
        <v>464985443</v>
      </c>
      <c r="I684" s="385">
        <f ca="1">IF(D684&lt;&gt;"",MAX(I683+G684-H683-F684,0),0)</f>
        <v>0</v>
      </c>
      <c r="J684" s="18">
        <f ca="1">MONTH(A684)</f>
        <v>11</v>
      </c>
    </row>
    <row r="685" spans="1:10" s="18" customFormat="1" ht="18" customHeight="1">
      <c r="A685" s="318">
        <f ca="1">IF(ROWS($1:671)&gt;COUNT(Dong5),"",OFFSET(TH!C$1,SMALL(Dong5,ROWS($1:671)),))</f>
        <v>42697</v>
      </c>
      <c r="B685" s="318" t="str">
        <f ca="1">IF(ROWS($1:671)&gt;COUNT(Dong5),"",OFFSET(TH!D$1,SMALL(Dong5,ROWS($1:671)),))</f>
        <v>CTGS</v>
      </c>
      <c r="C685" s="318">
        <f ca="1">IF(ROWS($1:671)&gt;COUNT(Dong5),"",OFFSET(TH!E$1,SMALL(Dong5,ROWS($1:671)),))</f>
        <v>42697</v>
      </c>
      <c r="D685" s="383" t="str">
        <f ca="1">IF(ROWS($1:671)&gt;COUNT(Dong5),"",OFFSET(TH!F$1,SMALL(Dong5,ROWS($1:671)),))</f>
        <v>VAT Bưu phí</v>
      </c>
      <c r="E685" s="318" t="str">
        <f ca="1">IF(ROWS($1:671)&gt;COUNT(Dong5),"",IF(OFFSET(TH!N$1,SMALL(Dong5,ROWS($1:671)),)=$E$7,OFFSET(TH!O$1,SMALL(Dong5,ROWS($1:671)),),OFFSET(TH!N$1,SMALL(Dong5,ROWS($1:671)),)))</f>
        <v>131</v>
      </c>
      <c r="F685" s="384">
        <f ca="1">IF(ROWS($1:671)&gt;COUNT(Dong5),0,IF(OFFSET(TH!N$1,SMALL(Dong5,ROWS($1:671)),)=$E$7,OFFSET(TH!M$1,SMALL(Dong5,ROWS($1:671)),),0))</f>
        <v>66021</v>
      </c>
      <c r="G685" s="382">
        <f ca="1">IF(ROWS($1:671)&gt;COUNT(Dong5),0,IF(OFFSET(TH!O$1,SMALL(Dong5,ROWS($1:671)),)=$E$7,OFFSET(TH!M$1,SMALL(Dong5,ROWS($1:671)),),0))</f>
        <v>0</v>
      </c>
      <c r="H685" s="385">
        <f ca="1">IF(D685&lt;&gt;"",MAX(H684+F685-G685-I684,0),0)</f>
        <v>465051464</v>
      </c>
      <c r="I685" s="385">
        <f ca="1">IF(D685&lt;&gt;"",MAX(I684+G685-H684-F685,0),0)</f>
        <v>0</v>
      </c>
      <c r="J685" s="18">
        <f ca="1">MONTH(A685)</f>
        <v>11</v>
      </c>
    </row>
    <row r="686" spans="1:10" s="18" customFormat="1" ht="18" customHeight="1">
      <c r="A686" s="318">
        <f ca="1">IF(ROWS($1:672)&gt;COUNT(Dong5),"",OFFSET(TH!C$1,SMALL(Dong5,ROWS($1:672)),))</f>
        <v>42697</v>
      </c>
      <c r="B686" s="318" t="str">
        <f ca="1">IF(ROWS($1:672)&gt;COUNT(Dong5),"",OFFSET(TH!D$1,SMALL(Dong5,ROWS($1:672)),))</f>
        <v>GBN</v>
      </c>
      <c r="C686" s="318">
        <f ca="1">IF(ROWS($1:672)&gt;COUNT(Dong5),"",OFFSET(TH!E$1,SMALL(Dong5,ROWS($1:672)),))</f>
        <v>42697</v>
      </c>
      <c r="D686" s="383" t="str">
        <f ca="1">IF(ROWS($1:672)&gt;COUNT(Dong5),"",OFFSET(TH!F$1,SMALL(Dong5,ROWS($1:672)),))</f>
        <v>VAT Phí dịch vụ</v>
      </c>
      <c r="E686" s="318" t="str">
        <f ca="1">IF(ROWS($1:672)&gt;COUNT(Dong5),"",IF(OFFSET(TH!N$1,SMALL(Dong5,ROWS($1:672)),)=$E$7,OFFSET(TH!O$1,SMALL(Dong5,ROWS($1:672)),),OFFSET(TH!N$1,SMALL(Dong5,ROWS($1:672)),)))</f>
        <v>1121</v>
      </c>
      <c r="F686" s="384">
        <f ca="1">IF(ROWS($1:672)&gt;COUNT(Dong5),0,IF(OFFSET(TH!N$1,SMALL(Dong5,ROWS($1:672)),)=$E$7,OFFSET(TH!M$1,SMALL(Dong5,ROWS($1:672)),),0))</f>
        <v>67500</v>
      </c>
      <c r="G686" s="382">
        <f ca="1">IF(ROWS($1:672)&gt;COUNT(Dong5),0,IF(OFFSET(TH!O$1,SMALL(Dong5,ROWS($1:672)),)=$E$7,OFFSET(TH!M$1,SMALL(Dong5,ROWS($1:672)),),0))</f>
        <v>0</v>
      </c>
      <c r="H686" s="385">
        <f ca="1">IF(D686&lt;&gt;"",MAX(H685+F686-G686-I685,0),0)</f>
        <v>465118964</v>
      </c>
      <c r="I686" s="385">
        <f ca="1">IF(D686&lt;&gt;"",MAX(I685+G686-H685-F686,0),0)</f>
        <v>0</v>
      </c>
      <c r="J686" s="18">
        <f ca="1">MONTH(A686)</f>
        <v>11</v>
      </c>
    </row>
    <row r="687" spans="1:10" s="18" customFormat="1" ht="18" customHeight="1">
      <c r="A687" s="318">
        <f ca="1">IF(ROWS($1:673)&gt;COUNT(Dong5),"",OFFSET(TH!C$1,SMALL(Dong5,ROWS($1:673)),))</f>
        <v>42697</v>
      </c>
      <c r="B687" s="318" t="str">
        <f ca="1">IF(ROWS($1:673)&gt;COUNT(Dong5),"",OFFSET(TH!D$1,SMALL(Dong5,ROWS($1:673)),))</f>
        <v>GBN</v>
      </c>
      <c r="C687" s="318">
        <f ca="1">IF(ROWS($1:673)&gt;COUNT(Dong5),"",OFFSET(TH!E$1,SMALL(Dong5,ROWS($1:673)),))</f>
        <v>42697</v>
      </c>
      <c r="D687" s="383" t="str">
        <f ca="1">IF(ROWS($1:673)&gt;COUNT(Dong5),"",OFFSET(TH!F$1,SMALL(Dong5,ROWS($1:673)),))</f>
        <v>VAT Phí dịch vụ</v>
      </c>
      <c r="E687" s="318" t="str">
        <f ca="1">IF(ROWS($1:673)&gt;COUNT(Dong5),"",IF(OFFSET(TH!N$1,SMALL(Dong5,ROWS($1:673)),)=$E$7,OFFSET(TH!O$1,SMALL(Dong5,ROWS($1:673)),),OFFSET(TH!N$1,SMALL(Dong5,ROWS($1:673)),)))</f>
        <v>1121</v>
      </c>
      <c r="F687" s="384">
        <f ca="1">IF(ROWS($1:673)&gt;COUNT(Dong5),0,IF(OFFSET(TH!N$1,SMALL(Dong5,ROWS($1:673)),)=$E$7,OFFSET(TH!M$1,SMALL(Dong5,ROWS($1:673)),),0))</f>
        <v>100000</v>
      </c>
      <c r="G687" s="382">
        <f ca="1">IF(ROWS($1:673)&gt;COUNT(Dong5),0,IF(OFFSET(TH!O$1,SMALL(Dong5,ROWS($1:673)),)=$E$7,OFFSET(TH!M$1,SMALL(Dong5,ROWS($1:673)),),0))</f>
        <v>0</v>
      </c>
      <c r="H687" s="385">
        <f ca="1">IF(D687&lt;&gt;"",MAX(H686+F687-G687-I686,0),0)</f>
        <v>465218964</v>
      </c>
      <c r="I687" s="385">
        <f ca="1">IF(D687&lt;&gt;"",MAX(I686+G687-H686-F687,0),0)</f>
        <v>0</v>
      </c>
      <c r="J687" s="18">
        <f ca="1">MONTH(A687)</f>
        <v>11</v>
      </c>
    </row>
    <row r="688" spans="1:10" s="18" customFormat="1" ht="18" customHeight="1">
      <c r="A688" s="318">
        <f ca="1">IF(ROWS($1:674)&gt;COUNT(Dong5),"",OFFSET(TH!C$1,SMALL(Dong5,ROWS($1:674)),))</f>
        <v>42720</v>
      </c>
      <c r="B688" s="318" t="str">
        <f ca="1">IF(ROWS($1:674)&gt;COUNT(Dong5),"",OFFSET(TH!D$1,SMALL(Dong5,ROWS($1:674)),))</f>
        <v>CTGS</v>
      </c>
      <c r="C688" s="318">
        <f ca="1">IF(ROWS($1:674)&gt;COUNT(Dong5),"",OFFSET(TH!E$1,SMALL(Dong5,ROWS($1:674)),))</f>
        <v>42720</v>
      </c>
      <c r="D688" s="383" t="str">
        <f ca="1">IF(ROWS($1:674)&gt;COUNT(Dong5),"",OFFSET(TH!F$1,SMALL(Dong5,ROWS($1:674)),))</f>
        <v>VAT Tiền điện kỳ 2 T12/2016</v>
      </c>
      <c r="E688" s="318" t="str">
        <f ca="1">IF(ROWS($1:674)&gt;COUNT(Dong5),"",IF(OFFSET(TH!N$1,SMALL(Dong5,ROWS($1:674)),)=$E$7,OFFSET(TH!O$1,SMALL(Dong5,ROWS($1:674)),),OFFSET(TH!N$1,SMALL(Dong5,ROWS($1:674)),)))</f>
        <v>331</v>
      </c>
      <c r="F688" s="384">
        <f ca="1">IF(ROWS($1:674)&gt;COUNT(Dong5),0,IF(OFFSET(TH!N$1,SMALL(Dong5,ROWS($1:674)),)=$E$7,OFFSET(TH!M$1,SMALL(Dong5,ROWS($1:674)),),0))</f>
        <v>2814850</v>
      </c>
      <c r="G688" s="382">
        <f ca="1">IF(ROWS($1:674)&gt;COUNT(Dong5),0,IF(OFFSET(TH!O$1,SMALL(Dong5,ROWS($1:674)),)=$E$7,OFFSET(TH!M$1,SMALL(Dong5,ROWS($1:674)),),0))</f>
        <v>0</v>
      </c>
      <c r="H688" s="385">
        <f ca="1">IF(D688&lt;&gt;"",MAX(H687+F688-G688-I687,0),0)</f>
        <v>468033814</v>
      </c>
      <c r="I688" s="385">
        <f ca="1">IF(D688&lt;&gt;"",MAX(I687+G688-H687-F688,0),0)</f>
        <v>0</v>
      </c>
      <c r="J688" s="18">
        <f ca="1">MONTH(A688)</f>
        <v>12</v>
      </c>
    </row>
    <row r="689" spans="1:10" s="18" customFormat="1" ht="18" customHeight="1">
      <c r="A689" s="318">
        <f ca="1">IF(ROWS($1:675)&gt;COUNT(Dong5),"",OFFSET(TH!C$1,SMALL(Dong5,ROWS($1:675)),))</f>
        <v>42697</v>
      </c>
      <c r="B689" s="318" t="str">
        <f ca="1">IF(ROWS($1:675)&gt;COUNT(Dong5),"",OFFSET(TH!D$1,SMALL(Dong5,ROWS($1:675)),))</f>
        <v>GBN</v>
      </c>
      <c r="C689" s="318">
        <f ca="1">IF(ROWS($1:675)&gt;COUNT(Dong5),"",OFFSET(TH!E$1,SMALL(Dong5,ROWS($1:675)),))</f>
        <v>42697</v>
      </c>
      <c r="D689" s="383" t="str">
        <f ca="1">IF(ROWS($1:675)&gt;COUNT(Dong5),"",OFFSET(TH!F$1,SMALL(Dong5,ROWS($1:675)),))</f>
        <v>VAT Phí dịch vụ</v>
      </c>
      <c r="E689" s="318" t="str">
        <f ca="1">IF(ROWS($1:675)&gt;COUNT(Dong5),"",IF(OFFSET(TH!N$1,SMALL(Dong5,ROWS($1:675)),)=$E$7,OFFSET(TH!O$1,SMALL(Dong5,ROWS($1:675)),),OFFSET(TH!N$1,SMALL(Dong5,ROWS($1:675)),)))</f>
        <v>1121</v>
      </c>
      <c r="F689" s="384">
        <f ca="1">IF(ROWS($1:675)&gt;COUNT(Dong5),0,IF(OFFSET(TH!N$1,SMALL(Dong5,ROWS($1:675)),)=$E$7,OFFSET(TH!M$1,SMALL(Dong5,ROWS($1:675)),),0))</f>
        <v>1000</v>
      </c>
      <c r="G689" s="382">
        <f ca="1">IF(ROWS($1:675)&gt;COUNT(Dong5),0,IF(OFFSET(TH!O$1,SMALL(Dong5,ROWS($1:675)),)=$E$7,OFFSET(TH!M$1,SMALL(Dong5,ROWS($1:675)),),0))</f>
        <v>0</v>
      </c>
      <c r="H689" s="385">
        <f ca="1">IF(D689&lt;&gt;"",MAX(H688+F689-G689-I688,0),0)</f>
        <v>468034814</v>
      </c>
      <c r="I689" s="385">
        <f ca="1">IF(D689&lt;&gt;"",MAX(I688+G689-H688-F689,0),0)</f>
        <v>0</v>
      </c>
      <c r="J689" s="18">
        <f ca="1">MONTH(A689)</f>
        <v>11</v>
      </c>
    </row>
    <row r="690" spans="1:10" s="18" customFormat="1" ht="18" customHeight="1">
      <c r="A690" s="318">
        <f ca="1">IF(ROWS($1:676)&gt;COUNT(Dong5),"",OFFSET(TH!C$1,SMALL(Dong5,ROWS($1:676)),))</f>
        <v>42698</v>
      </c>
      <c r="B690" s="318" t="str">
        <f ca="1">IF(ROWS($1:676)&gt;COUNT(Dong5),"",OFFSET(TH!D$1,SMALL(Dong5,ROWS($1:676)),))</f>
        <v>C52</v>
      </c>
      <c r="C690" s="318">
        <f ca="1">IF(ROWS($1:676)&gt;COUNT(Dong5),"",OFFSET(TH!E$1,SMALL(Dong5,ROWS($1:676)),))</f>
        <v>42698</v>
      </c>
      <c r="D690" s="383" t="str">
        <f ca="1">IF(ROWS($1:676)&gt;COUNT(Dong5),"",OFFSET(TH!F$1,SMALL(Dong5,ROWS($1:676)),))</f>
        <v>VAT Giấy VS</v>
      </c>
      <c r="E690" s="318" t="str">
        <f ca="1">IF(ROWS($1:676)&gt;COUNT(Dong5),"",IF(OFFSET(TH!N$1,SMALL(Dong5,ROWS($1:676)),)=$E$7,OFFSET(TH!O$1,SMALL(Dong5,ROWS($1:676)),),OFFSET(TH!N$1,SMALL(Dong5,ROWS($1:676)),)))</f>
        <v>1111</v>
      </c>
      <c r="F690" s="384">
        <f ca="1">IF(ROWS($1:676)&gt;COUNT(Dong5),0,IF(OFFSET(TH!N$1,SMALL(Dong5,ROWS($1:676)),)=$E$7,OFFSET(TH!M$1,SMALL(Dong5,ROWS($1:676)),),0))</f>
        <v>576000</v>
      </c>
      <c r="G690" s="382">
        <f ca="1">IF(ROWS($1:676)&gt;COUNT(Dong5),0,IF(OFFSET(TH!O$1,SMALL(Dong5,ROWS($1:676)),)=$E$7,OFFSET(TH!M$1,SMALL(Dong5,ROWS($1:676)),),0))</f>
        <v>0</v>
      </c>
      <c r="H690" s="385">
        <f ca="1">IF(D690&lt;&gt;"",MAX(H689+F690-G690-I689,0),0)</f>
        <v>468610814</v>
      </c>
      <c r="I690" s="385">
        <f ca="1">IF(D690&lt;&gt;"",MAX(I689+G690-H689-F690,0),0)</f>
        <v>0</v>
      </c>
      <c r="J690" s="18">
        <f ca="1">MONTH(A690)</f>
        <v>11</v>
      </c>
    </row>
    <row r="691" spans="1:10" s="18" customFormat="1" ht="18" customHeight="1">
      <c r="A691" s="318">
        <f ca="1">IF(ROWS($1:677)&gt;COUNT(Dong5),"",OFFSET(TH!C$1,SMALL(Dong5,ROWS($1:677)),))</f>
        <v>42698</v>
      </c>
      <c r="B691" s="318" t="str">
        <f ca="1">IF(ROWS($1:677)&gt;COUNT(Dong5),"",OFFSET(TH!D$1,SMALL(Dong5,ROWS($1:677)),))</f>
        <v>GBN</v>
      </c>
      <c r="C691" s="318">
        <f ca="1">IF(ROWS($1:677)&gt;COUNT(Dong5),"",OFFSET(TH!E$1,SMALL(Dong5,ROWS($1:677)),))</f>
        <v>42698</v>
      </c>
      <c r="D691" s="383" t="str">
        <f ca="1">IF(ROWS($1:677)&gt;COUNT(Dong5),"",OFFSET(TH!F$1,SMALL(Dong5,ROWS($1:677)),))</f>
        <v>VAT Phí dịch vụ</v>
      </c>
      <c r="E691" s="318" t="str">
        <f ca="1">IF(ROWS($1:677)&gt;COUNT(Dong5),"",IF(OFFSET(TH!N$1,SMALL(Dong5,ROWS($1:677)),)=$E$7,OFFSET(TH!O$1,SMALL(Dong5,ROWS($1:677)),),OFFSET(TH!N$1,SMALL(Dong5,ROWS($1:677)),)))</f>
        <v>1121</v>
      </c>
      <c r="F691" s="384">
        <f ca="1">IF(ROWS($1:677)&gt;COUNT(Dong5),0,IF(OFFSET(TH!N$1,SMALL(Dong5,ROWS($1:677)),)=$E$7,OFFSET(TH!M$1,SMALL(Dong5,ROWS($1:677)),),0))</f>
        <v>4000</v>
      </c>
      <c r="G691" s="382">
        <f ca="1">IF(ROWS($1:677)&gt;COUNT(Dong5),0,IF(OFFSET(TH!O$1,SMALL(Dong5,ROWS($1:677)),)=$E$7,OFFSET(TH!M$1,SMALL(Dong5,ROWS($1:677)),),0))</f>
        <v>0</v>
      </c>
      <c r="H691" s="385">
        <f ca="1">IF(D691&lt;&gt;"",MAX(H690+F691-G691-I690,0),0)</f>
        <v>468614814</v>
      </c>
      <c r="I691" s="385">
        <f ca="1">IF(D691&lt;&gt;"",MAX(I690+G691-H690-F691,0),0)</f>
        <v>0</v>
      </c>
      <c r="J691" s="18">
        <f ca="1">MONTH(A691)</f>
        <v>11</v>
      </c>
    </row>
    <row r="692" spans="1:10" s="18" customFormat="1" ht="18" customHeight="1">
      <c r="A692" s="318">
        <f ca="1">IF(ROWS($1:678)&gt;COUNT(Dong5),"",OFFSET(TH!C$1,SMALL(Dong5,ROWS($1:678)),))</f>
        <v>42698</v>
      </c>
      <c r="B692" s="318" t="str">
        <f ca="1">IF(ROWS($1:678)&gt;COUNT(Dong5),"",OFFSET(TH!D$1,SMALL(Dong5,ROWS($1:678)),))</f>
        <v>GBN</v>
      </c>
      <c r="C692" s="318">
        <f ca="1">IF(ROWS($1:678)&gt;COUNT(Dong5),"",OFFSET(TH!E$1,SMALL(Dong5,ROWS($1:678)),))</f>
        <v>42698</v>
      </c>
      <c r="D692" s="383" t="str">
        <f ca="1">IF(ROWS($1:678)&gt;COUNT(Dong5),"",OFFSET(TH!F$1,SMALL(Dong5,ROWS($1:678)),))</f>
        <v>VAT phí thanh toán</v>
      </c>
      <c r="E692" s="318" t="str">
        <f ca="1">IF(ROWS($1:678)&gt;COUNT(Dong5),"",IF(OFFSET(TH!N$1,SMALL(Dong5,ROWS($1:678)),)=$E$7,OFFSET(TH!O$1,SMALL(Dong5,ROWS($1:678)),),OFFSET(TH!N$1,SMALL(Dong5,ROWS($1:678)),)))</f>
        <v>1121</v>
      </c>
      <c r="F692" s="384">
        <f ca="1">IF(ROWS($1:678)&gt;COUNT(Dong5),0,IF(OFFSET(TH!N$1,SMALL(Dong5,ROWS($1:678)),)=$E$7,OFFSET(TH!M$1,SMALL(Dong5,ROWS($1:678)),),0))</f>
        <v>2000</v>
      </c>
      <c r="G692" s="382">
        <f ca="1">IF(ROWS($1:678)&gt;COUNT(Dong5),0,IF(OFFSET(TH!O$1,SMALL(Dong5,ROWS($1:678)),)=$E$7,OFFSET(TH!M$1,SMALL(Dong5,ROWS($1:678)),),0))</f>
        <v>0</v>
      </c>
      <c r="H692" s="385">
        <f ca="1">IF(D692&lt;&gt;"",MAX(H691+F692-G692-I691,0),0)</f>
        <v>468616814</v>
      </c>
      <c r="I692" s="385">
        <f ca="1">IF(D692&lt;&gt;"",MAX(I691+G692-H691-F692,0),0)</f>
        <v>0</v>
      </c>
      <c r="J692" s="18">
        <f ca="1">MONTH(A692)</f>
        <v>11</v>
      </c>
    </row>
    <row r="693" spans="1:10" s="18" customFormat="1" ht="18" customHeight="1">
      <c r="A693" s="318">
        <f ca="1">IF(ROWS($1:679)&gt;COUNT(Dong5),"",OFFSET(TH!C$1,SMALL(Dong5,ROWS($1:679)),))</f>
        <v>42698</v>
      </c>
      <c r="B693" s="318" t="str">
        <f ca="1">IF(ROWS($1:679)&gt;COUNT(Dong5),"",OFFSET(TH!D$1,SMALL(Dong5,ROWS($1:679)),))</f>
        <v>GBN</v>
      </c>
      <c r="C693" s="318">
        <f ca="1">IF(ROWS($1:679)&gt;COUNT(Dong5),"",OFFSET(TH!E$1,SMALL(Dong5,ROWS($1:679)),))</f>
        <v>42698</v>
      </c>
      <c r="D693" s="383" t="str">
        <f ca="1">IF(ROWS($1:679)&gt;COUNT(Dong5),"",OFFSET(TH!F$1,SMALL(Dong5,ROWS($1:679)),))</f>
        <v>VAT phí thanh toán</v>
      </c>
      <c r="E693" s="318" t="str">
        <f ca="1">IF(ROWS($1:679)&gt;COUNT(Dong5),"",IF(OFFSET(TH!N$1,SMALL(Dong5,ROWS($1:679)),)=$E$7,OFFSET(TH!O$1,SMALL(Dong5,ROWS($1:679)),),OFFSET(TH!N$1,SMALL(Dong5,ROWS($1:679)),)))</f>
        <v>1121</v>
      </c>
      <c r="F693" s="384">
        <f ca="1">IF(ROWS($1:679)&gt;COUNT(Dong5),0,IF(OFFSET(TH!N$1,SMALL(Dong5,ROWS($1:679)),)=$E$7,OFFSET(TH!M$1,SMALL(Dong5,ROWS($1:679)),),0))</f>
        <v>2000</v>
      </c>
      <c r="G693" s="382">
        <f ca="1">IF(ROWS($1:679)&gt;COUNT(Dong5),0,IF(OFFSET(TH!O$1,SMALL(Dong5,ROWS($1:679)),)=$E$7,OFFSET(TH!M$1,SMALL(Dong5,ROWS($1:679)),),0))</f>
        <v>0</v>
      </c>
      <c r="H693" s="385">
        <f ca="1">IF(D693&lt;&gt;"",MAX(H692+F693-G693-I692,0),0)</f>
        <v>468618814</v>
      </c>
      <c r="I693" s="385">
        <f ca="1">IF(D693&lt;&gt;"",MAX(I692+G693-H692-F693,0),0)</f>
        <v>0</v>
      </c>
      <c r="J693" s="18">
        <f ca="1">MONTH(A693)</f>
        <v>11</v>
      </c>
    </row>
    <row r="694" spans="1:10" s="18" customFormat="1" ht="18" customHeight="1">
      <c r="A694" s="318">
        <f ca="1">IF(ROWS($1:680)&gt;COUNT(Dong5),"",OFFSET(TH!C$1,SMALL(Dong5,ROWS($1:680)),))</f>
        <v>42699</v>
      </c>
      <c r="B694" s="318" t="str">
        <f ca="1">IF(ROWS($1:680)&gt;COUNT(Dong5),"",OFFSET(TH!D$1,SMALL(Dong5,ROWS($1:680)),))</f>
        <v>C53</v>
      </c>
      <c r="C694" s="318">
        <f ca="1">IF(ROWS($1:680)&gt;COUNT(Dong5),"",OFFSET(TH!E$1,SMALL(Dong5,ROWS($1:680)),))</f>
        <v>42699</v>
      </c>
      <c r="D694" s="383" t="str">
        <f ca="1">IF(ROWS($1:680)&gt;COUNT(Dong5),"",OFFSET(TH!F$1,SMALL(Dong5,ROWS($1:680)),))</f>
        <v>VAT Phí lưu kho, bốc xếp T10 + T11</v>
      </c>
      <c r="E694" s="318" t="str">
        <f ca="1">IF(ROWS($1:680)&gt;COUNT(Dong5),"",IF(OFFSET(TH!N$1,SMALL(Dong5,ROWS($1:680)),)=$E$7,OFFSET(TH!O$1,SMALL(Dong5,ROWS($1:680)),),OFFSET(TH!N$1,SMALL(Dong5,ROWS($1:680)),)))</f>
        <v>1111</v>
      </c>
      <c r="F694" s="384">
        <f ca="1">IF(ROWS($1:680)&gt;COUNT(Dong5),0,IF(OFFSET(TH!N$1,SMALL(Dong5,ROWS($1:680)),)=$E$7,OFFSET(TH!M$1,SMALL(Dong5,ROWS($1:680)),),0))</f>
        <v>10050</v>
      </c>
      <c r="G694" s="382">
        <f ca="1">IF(ROWS($1:680)&gt;COUNT(Dong5),0,IF(OFFSET(TH!O$1,SMALL(Dong5,ROWS($1:680)),)=$E$7,OFFSET(TH!M$1,SMALL(Dong5,ROWS($1:680)),),0))</f>
        <v>0</v>
      </c>
      <c r="H694" s="385">
        <f ca="1">IF(D694&lt;&gt;"",MAX(H693+F694-G694-I693,0),0)</f>
        <v>468628864</v>
      </c>
      <c r="I694" s="385">
        <f ca="1">IF(D694&lt;&gt;"",MAX(I693+G694-H693-F694,0),0)</f>
        <v>0</v>
      </c>
      <c r="J694" s="18">
        <f ca="1">MONTH(A694)</f>
        <v>11</v>
      </c>
    </row>
    <row r="695" spans="1:10" s="18" customFormat="1" ht="18" customHeight="1">
      <c r="A695" s="318">
        <f ca="1">IF(ROWS($1:681)&gt;COUNT(Dong5),"",OFFSET(TH!C$1,SMALL(Dong5,ROWS($1:681)),))</f>
        <v>42699</v>
      </c>
      <c r="B695" s="318" t="str">
        <f ca="1">IF(ROWS($1:681)&gt;COUNT(Dong5),"",OFFSET(TH!D$1,SMALL(Dong5,ROWS($1:681)),))</f>
        <v>GBN</v>
      </c>
      <c r="C695" s="318">
        <f ca="1">IF(ROWS($1:681)&gt;COUNT(Dong5),"",OFFSET(TH!E$1,SMALL(Dong5,ROWS($1:681)),))</f>
        <v>42699</v>
      </c>
      <c r="D695" s="383" t="str">
        <f ca="1">IF(ROWS($1:681)&gt;COUNT(Dong5),"",OFFSET(TH!F$1,SMALL(Dong5,ROWS($1:681)),))</f>
        <v>VAT Phí dịch vụ</v>
      </c>
      <c r="E695" s="318" t="str">
        <f ca="1">IF(ROWS($1:681)&gt;COUNT(Dong5),"",IF(OFFSET(TH!N$1,SMALL(Dong5,ROWS($1:681)),)=$E$7,OFFSET(TH!O$1,SMALL(Dong5,ROWS($1:681)),),OFFSET(TH!N$1,SMALL(Dong5,ROWS($1:681)),)))</f>
        <v>1121</v>
      </c>
      <c r="F695" s="384">
        <f ca="1">IF(ROWS($1:681)&gt;COUNT(Dong5),0,IF(OFFSET(TH!N$1,SMALL(Dong5,ROWS($1:681)),)=$E$7,OFFSET(TH!M$1,SMALL(Dong5,ROWS($1:681)),),0))</f>
        <v>39570</v>
      </c>
      <c r="G695" s="382">
        <f ca="1">IF(ROWS($1:681)&gt;COUNT(Dong5),0,IF(OFFSET(TH!O$1,SMALL(Dong5,ROWS($1:681)),)=$E$7,OFFSET(TH!M$1,SMALL(Dong5,ROWS($1:681)),),0))</f>
        <v>0</v>
      </c>
      <c r="H695" s="385">
        <f ca="1">IF(D695&lt;&gt;"",MAX(H694+F695-G695-I694,0),0)</f>
        <v>468668434</v>
      </c>
      <c r="I695" s="385">
        <f ca="1">IF(D695&lt;&gt;"",MAX(I694+G695-H694-F695,0),0)</f>
        <v>0</v>
      </c>
      <c r="J695" s="18">
        <f ca="1">MONTH(A695)</f>
        <v>11</v>
      </c>
    </row>
    <row r="696" spans="1:10" s="18" customFormat="1" ht="18" customHeight="1">
      <c r="A696" s="318">
        <f ca="1">IF(ROWS($1:682)&gt;COUNT(Dong5),"",OFFSET(TH!C$1,SMALL(Dong5,ROWS($1:682)),))</f>
        <v>42699</v>
      </c>
      <c r="B696" s="318" t="str">
        <f ca="1">IF(ROWS($1:682)&gt;COUNT(Dong5),"",OFFSET(TH!D$1,SMALL(Dong5,ROWS($1:682)),))</f>
        <v>GBN</v>
      </c>
      <c r="C696" s="318">
        <f ca="1">IF(ROWS($1:682)&gt;COUNT(Dong5),"",OFFSET(TH!E$1,SMALL(Dong5,ROWS($1:682)),))</f>
        <v>42699</v>
      </c>
      <c r="D696" s="383" t="str">
        <f ca="1">IF(ROWS($1:682)&gt;COUNT(Dong5),"",OFFSET(TH!F$1,SMALL(Dong5,ROWS($1:682)),))</f>
        <v>VAT Phí dịch vụ</v>
      </c>
      <c r="E696" s="318" t="str">
        <f ca="1">IF(ROWS($1:682)&gt;COUNT(Dong5),"",IF(OFFSET(TH!N$1,SMALL(Dong5,ROWS($1:682)),)=$E$7,OFFSET(TH!O$1,SMALL(Dong5,ROWS($1:682)),),OFFSET(TH!N$1,SMALL(Dong5,ROWS($1:682)),)))</f>
        <v>1121</v>
      </c>
      <c r="F696" s="384">
        <f ca="1">IF(ROWS($1:682)&gt;COUNT(Dong5),0,IF(OFFSET(TH!N$1,SMALL(Dong5,ROWS($1:682)),)=$E$7,OFFSET(TH!M$1,SMALL(Dong5,ROWS($1:682)),),0))</f>
        <v>43235</v>
      </c>
      <c r="G696" s="382">
        <f ca="1">IF(ROWS($1:682)&gt;COUNT(Dong5),0,IF(OFFSET(TH!O$1,SMALL(Dong5,ROWS($1:682)),)=$E$7,OFFSET(TH!M$1,SMALL(Dong5,ROWS($1:682)),),0))</f>
        <v>0</v>
      </c>
      <c r="H696" s="385">
        <f ca="1">IF(D696&lt;&gt;"",MAX(H695+F696-G696-I695,0),0)</f>
        <v>468711669</v>
      </c>
      <c r="I696" s="385">
        <f ca="1">IF(D696&lt;&gt;"",MAX(I695+G696-H695-F696,0),0)</f>
        <v>0</v>
      </c>
      <c r="J696" s="18">
        <f ca="1">MONTH(A696)</f>
        <v>11</v>
      </c>
    </row>
    <row r="697" spans="1:10" s="18" customFormat="1" ht="18" customHeight="1">
      <c r="A697" s="318">
        <f ca="1">IF(ROWS($1:683)&gt;COUNT(Dong5),"",OFFSET(TH!C$1,SMALL(Dong5,ROWS($1:683)),))</f>
        <v>42699</v>
      </c>
      <c r="B697" s="318" t="str">
        <f ca="1">IF(ROWS($1:683)&gt;COUNT(Dong5),"",OFFSET(TH!D$1,SMALL(Dong5,ROWS($1:683)),))</f>
        <v>GBN</v>
      </c>
      <c r="C697" s="318">
        <f ca="1">IF(ROWS($1:683)&gt;COUNT(Dong5),"",OFFSET(TH!E$1,SMALL(Dong5,ROWS($1:683)),))</f>
        <v>42699</v>
      </c>
      <c r="D697" s="383" t="str">
        <f ca="1">IF(ROWS($1:683)&gt;COUNT(Dong5),"",OFFSET(TH!F$1,SMALL(Dong5,ROWS($1:683)),))</f>
        <v>VAT Phí dịch vụ</v>
      </c>
      <c r="E697" s="318" t="str">
        <f ca="1">IF(ROWS($1:683)&gt;COUNT(Dong5),"",IF(OFFSET(TH!N$1,SMALL(Dong5,ROWS($1:683)),)=$E$7,OFFSET(TH!O$1,SMALL(Dong5,ROWS($1:683)),),OFFSET(TH!N$1,SMALL(Dong5,ROWS($1:683)),)))</f>
        <v>1121</v>
      </c>
      <c r="F697" s="384">
        <f ca="1">IF(ROWS($1:683)&gt;COUNT(Dong5),0,IF(OFFSET(TH!N$1,SMALL(Dong5,ROWS($1:683)),)=$E$7,OFFSET(TH!M$1,SMALL(Dong5,ROWS($1:683)),),0))</f>
        <v>16244</v>
      </c>
      <c r="G697" s="382">
        <f ca="1">IF(ROWS($1:683)&gt;COUNT(Dong5),0,IF(OFFSET(TH!O$1,SMALL(Dong5,ROWS($1:683)),)=$E$7,OFFSET(TH!M$1,SMALL(Dong5,ROWS($1:683)),),0))</f>
        <v>0</v>
      </c>
      <c r="H697" s="385">
        <f ca="1">IF(D697&lt;&gt;"",MAX(H696+F697-G697-I696,0),0)</f>
        <v>468727913</v>
      </c>
      <c r="I697" s="385">
        <f ca="1">IF(D697&lt;&gt;"",MAX(I696+G697-H696-F697,0),0)</f>
        <v>0</v>
      </c>
      <c r="J697" s="18">
        <f ca="1">MONTH(A697)</f>
        <v>11</v>
      </c>
    </row>
    <row r="698" spans="1:10" s="18" customFormat="1" ht="18" customHeight="1">
      <c r="A698" s="318">
        <f ca="1">IF(ROWS($1:684)&gt;COUNT(Dong5),"",OFFSET(TH!C$1,SMALL(Dong5,ROWS($1:684)),))</f>
        <v>42702</v>
      </c>
      <c r="B698" s="318" t="str">
        <f ca="1">IF(ROWS($1:684)&gt;COUNT(Dong5),"",OFFSET(TH!D$1,SMALL(Dong5,ROWS($1:684)),))</f>
        <v>C56</v>
      </c>
      <c r="C698" s="318">
        <f ca="1">IF(ROWS($1:684)&gt;COUNT(Dong5),"",OFFSET(TH!E$1,SMALL(Dong5,ROWS($1:684)),))</f>
        <v>42702</v>
      </c>
      <c r="D698" s="383" t="str">
        <f ca="1">IF(ROWS($1:684)&gt;COUNT(Dong5),"",OFFSET(TH!F$1,SMALL(Dong5,ROWS($1:684)),))</f>
        <v>VAT Phí dịch vụ bảo vệ T11/2016</v>
      </c>
      <c r="E698" s="318" t="str">
        <f ca="1">IF(ROWS($1:684)&gt;COUNT(Dong5),"",IF(OFFSET(TH!N$1,SMALL(Dong5,ROWS($1:684)),)=$E$7,OFFSET(TH!O$1,SMALL(Dong5,ROWS($1:684)),),OFFSET(TH!N$1,SMALL(Dong5,ROWS($1:684)),)))</f>
        <v>1111</v>
      </c>
      <c r="F698" s="384">
        <f ca="1">IF(ROWS($1:684)&gt;COUNT(Dong5),0,IF(OFFSET(TH!N$1,SMALL(Dong5,ROWS($1:684)),)=$E$7,OFFSET(TH!M$1,SMALL(Dong5,ROWS($1:684)),),0))</f>
        <v>1605000</v>
      </c>
      <c r="G698" s="382">
        <f ca="1">IF(ROWS($1:684)&gt;COUNT(Dong5),0,IF(OFFSET(TH!O$1,SMALL(Dong5,ROWS($1:684)),)=$E$7,OFFSET(TH!M$1,SMALL(Dong5,ROWS($1:684)),),0))</f>
        <v>0</v>
      </c>
      <c r="H698" s="385">
        <f ca="1">IF(D698&lt;&gt;"",MAX(H697+F698-G698-I697,0),0)</f>
        <v>470332913</v>
      </c>
      <c r="I698" s="385">
        <f ca="1">IF(D698&lt;&gt;"",MAX(I697+G698-H697-F698,0),0)</f>
        <v>0</v>
      </c>
      <c r="J698" s="18">
        <f ca="1">MONTH(A698)</f>
        <v>11</v>
      </c>
    </row>
    <row r="699" spans="1:10" s="18" customFormat="1" ht="18" customHeight="1">
      <c r="A699" s="318">
        <f ca="1">IF(ROWS($1:685)&gt;COUNT(Dong5),"",OFFSET(TH!C$1,SMALL(Dong5,ROWS($1:685)),))</f>
        <v>42721</v>
      </c>
      <c r="B699" s="318" t="str">
        <f ca="1">IF(ROWS($1:685)&gt;COUNT(Dong5),"",OFFSET(TH!D$1,SMALL(Dong5,ROWS($1:685)),))</f>
        <v>VL/N27</v>
      </c>
      <c r="C699" s="318">
        <f ca="1">IF(ROWS($1:685)&gt;COUNT(Dong5),"",OFFSET(TH!E$1,SMALL(Dong5,ROWS($1:685)),))</f>
        <v>42721</v>
      </c>
      <c r="D699" s="383" t="str">
        <f ca="1">IF(ROWS($1:685)&gt;COUNT(Dong5),"",OFFSET(TH!F$1,SMALL(Dong5,ROWS($1:685)),))</f>
        <v>VAT Thùng carton</v>
      </c>
      <c r="E699" s="318" t="str">
        <f ca="1">IF(ROWS($1:685)&gt;COUNT(Dong5),"",IF(OFFSET(TH!N$1,SMALL(Dong5,ROWS($1:685)),)=$E$7,OFFSET(TH!O$1,SMALL(Dong5,ROWS($1:685)),),OFFSET(TH!N$1,SMALL(Dong5,ROWS($1:685)),)))</f>
        <v>331</v>
      </c>
      <c r="F699" s="384">
        <f ca="1">IF(ROWS($1:685)&gt;COUNT(Dong5),0,IF(OFFSET(TH!N$1,SMALL(Dong5,ROWS($1:685)),)=$E$7,OFFSET(TH!M$1,SMALL(Dong5,ROWS($1:685)),),0))</f>
        <v>135000</v>
      </c>
      <c r="G699" s="382">
        <f ca="1">IF(ROWS($1:685)&gt;COUNT(Dong5),0,IF(OFFSET(TH!O$1,SMALL(Dong5,ROWS($1:685)),)=$E$7,OFFSET(TH!M$1,SMALL(Dong5,ROWS($1:685)),),0))</f>
        <v>0</v>
      </c>
      <c r="H699" s="385">
        <f ca="1">IF(D699&lt;&gt;"",MAX(H698+F699-G699-I698,0),0)</f>
        <v>470467913</v>
      </c>
      <c r="I699" s="385">
        <f ca="1">IF(D699&lt;&gt;"",MAX(I698+G699-H698-F699,0),0)</f>
        <v>0</v>
      </c>
      <c r="J699" s="18">
        <f ca="1">MONTH(A699)</f>
        <v>12</v>
      </c>
    </row>
    <row r="700" spans="1:10" s="18" customFormat="1" ht="18" customHeight="1">
      <c r="A700" s="318">
        <f ca="1">IF(ROWS($1:686)&gt;COUNT(Dong5),"",OFFSET(TH!C$1,SMALL(Dong5,ROWS($1:686)),))</f>
        <v>42702</v>
      </c>
      <c r="B700" s="318" t="str">
        <f ca="1">IF(ROWS($1:686)&gt;COUNT(Dong5),"",OFFSET(TH!D$1,SMALL(Dong5,ROWS($1:686)),))</f>
        <v>GBN</v>
      </c>
      <c r="C700" s="318">
        <f ca="1">IF(ROWS($1:686)&gt;COUNT(Dong5),"",OFFSET(TH!E$1,SMALL(Dong5,ROWS($1:686)),))</f>
        <v>42702</v>
      </c>
      <c r="D700" s="383" t="str">
        <f ca="1">IF(ROWS($1:686)&gt;COUNT(Dong5),"",OFFSET(TH!F$1,SMALL(Dong5,ROWS($1:686)),))</f>
        <v>VAT Phí NH: 1021316001079</v>
      </c>
      <c r="E700" s="318" t="str">
        <f ca="1">IF(ROWS($1:686)&gt;COUNT(Dong5),"",IF(OFFSET(TH!N$1,SMALL(Dong5,ROWS($1:686)),)=$E$7,OFFSET(TH!O$1,SMALL(Dong5,ROWS($1:686)),),OFFSET(TH!N$1,SMALL(Dong5,ROWS($1:686)),)))</f>
        <v>1121</v>
      </c>
      <c r="F700" s="384">
        <f ca="1">IF(ROWS($1:686)&gt;COUNT(Dong5),0,IF(OFFSET(TH!N$1,SMALL(Dong5,ROWS($1:686)),)=$E$7,OFFSET(TH!M$1,SMALL(Dong5,ROWS($1:686)),),0))</f>
        <v>165961</v>
      </c>
      <c r="G700" s="382">
        <f ca="1">IF(ROWS($1:686)&gt;COUNT(Dong5),0,IF(OFFSET(TH!O$1,SMALL(Dong5,ROWS($1:686)),)=$E$7,OFFSET(TH!M$1,SMALL(Dong5,ROWS($1:686)),),0))</f>
        <v>0</v>
      </c>
      <c r="H700" s="385">
        <f ca="1">IF(D700&lt;&gt;"",MAX(H699+F700-G700-I699,0),0)</f>
        <v>470633874</v>
      </c>
      <c r="I700" s="385">
        <f ca="1">IF(D700&lt;&gt;"",MAX(I699+G700-H699-F700,0),0)</f>
        <v>0</v>
      </c>
      <c r="J700" s="18">
        <f ca="1">MONTH(A700)</f>
        <v>11</v>
      </c>
    </row>
    <row r="701" spans="1:10" s="18" customFormat="1" ht="18" customHeight="1">
      <c r="A701" s="318">
        <f ca="1">IF(ROWS($1:687)&gt;COUNT(Dong5),"",OFFSET(TH!C$1,SMALL(Dong5,ROWS($1:687)),))</f>
        <v>42703</v>
      </c>
      <c r="B701" s="318" t="str">
        <f ca="1">IF(ROWS($1:687)&gt;COUNT(Dong5),"",OFFSET(TH!D$1,SMALL(Dong5,ROWS($1:687)),))</f>
        <v>GBN</v>
      </c>
      <c r="C701" s="318">
        <f ca="1">IF(ROWS($1:687)&gt;COUNT(Dong5),"",OFFSET(TH!E$1,SMALL(Dong5,ROWS($1:687)),))</f>
        <v>42703</v>
      </c>
      <c r="D701" s="383" t="str">
        <f ca="1">IF(ROWS($1:687)&gt;COUNT(Dong5),"",OFFSET(TH!F$1,SMALL(Dong5,ROWS($1:687)),))</f>
        <v>VAT Phí dịch vụ</v>
      </c>
      <c r="E701" s="318" t="str">
        <f ca="1">IF(ROWS($1:687)&gt;COUNT(Dong5),"",IF(OFFSET(TH!N$1,SMALL(Dong5,ROWS($1:687)),)=$E$7,OFFSET(TH!O$1,SMALL(Dong5,ROWS($1:687)),),OFFSET(TH!N$1,SMALL(Dong5,ROWS($1:687)),)))</f>
        <v>1121</v>
      </c>
      <c r="F701" s="384">
        <f ca="1">IF(ROWS($1:687)&gt;COUNT(Dong5),0,IF(OFFSET(TH!N$1,SMALL(Dong5,ROWS($1:687)),)=$E$7,OFFSET(TH!M$1,SMALL(Dong5,ROWS($1:687)),),0))</f>
        <v>1000</v>
      </c>
      <c r="G701" s="382">
        <f ca="1">IF(ROWS($1:687)&gt;COUNT(Dong5),0,IF(OFFSET(TH!O$1,SMALL(Dong5,ROWS($1:687)),)=$E$7,OFFSET(TH!M$1,SMALL(Dong5,ROWS($1:687)),),0))</f>
        <v>0</v>
      </c>
      <c r="H701" s="385">
        <f ca="1">IF(D701&lt;&gt;"",MAX(H700+F701-G701-I700,0),0)</f>
        <v>470634874</v>
      </c>
      <c r="I701" s="385">
        <f ca="1">IF(D701&lt;&gt;"",MAX(I700+G701-H700-F701,0),0)</f>
        <v>0</v>
      </c>
      <c r="J701" s="18">
        <f ca="1">MONTH(A701)</f>
        <v>11</v>
      </c>
    </row>
    <row r="702" spans="1:10" s="18" customFormat="1" ht="18" customHeight="1">
      <c r="A702" s="318">
        <f ca="1">IF(ROWS($1:688)&gt;COUNT(Dong5),"",OFFSET(TH!C$1,SMALL(Dong5,ROWS($1:688)),))</f>
        <v>42703</v>
      </c>
      <c r="B702" s="318" t="str">
        <f ca="1">IF(ROWS($1:688)&gt;COUNT(Dong5),"",OFFSET(TH!D$1,SMALL(Dong5,ROWS($1:688)),))</f>
        <v>GBN</v>
      </c>
      <c r="C702" s="318">
        <f ca="1">IF(ROWS($1:688)&gt;COUNT(Dong5),"",OFFSET(TH!E$1,SMALL(Dong5,ROWS($1:688)),))</f>
        <v>42703</v>
      </c>
      <c r="D702" s="383" t="str">
        <f ca="1">IF(ROWS($1:688)&gt;COUNT(Dong5),"",OFFSET(TH!F$1,SMALL(Dong5,ROWS($1:688)),))</f>
        <v>VAT Phí dịch vụ</v>
      </c>
      <c r="E702" s="318" t="str">
        <f ca="1">IF(ROWS($1:688)&gt;COUNT(Dong5),"",IF(OFFSET(TH!N$1,SMALL(Dong5,ROWS($1:688)),)=$E$7,OFFSET(TH!O$1,SMALL(Dong5,ROWS($1:688)),),OFFSET(TH!N$1,SMALL(Dong5,ROWS($1:688)),)))</f>
        <v>1121</v>
      </c>
      <c r="F702" s="384">
        <f ca="1">IF(ROWS($1:688)&gt;COUNT(Dong5),0,IF(OFFSET(TH!N$1,SMALL(Dong5,ROWS($1:688)),)=$E$7,OFFSET(TH!M$1,SMALL(Dong5,ROWS($1:688)),),0))</f>
        <v>1000</v>
      </c>
      <c r="G702" s="382">
        <f ca="1">IF(ROWS($1:688)&gt;COUNT(Dong5),0,IF(OFFSET(TH!O$1,SMALL(Dong5,ROWS($1:688)),)=$E$7,OFFSET(TH!M$1,SMALL(Dong5,ROWS($1:688)),),0))</f>
        <v>0</v>
      </c>
      <c r="H702" s="385">
        <f ca="1">IF(D702&lt;&gt;"",MAX(H701+F702-G702-I701,0),0)</f>
        <v>470635874</v>
      </c>
      <c r="I702" s="385">
        <f ca="1">IF(D702&lt;&gt;"",MAX(I701+G702-H701-F702,0),0)</f>
        <v>0</v>
      </c>
      <c r="J702" s="18">
        <f ca="1">MONTH(A702)</f>
        <v>11</v>
      </c>
    </row>
    <row r="703" spans="1:10" s="18" customFormat="1" ht="18" customHeight="1">
      <c r="A703" s="318">
        <f ca="1">IF(ROWS($1:689)&gt;COUNT(Dong5),"",OFFSET(TH!C$1,SMALL(Dong5,ROWS($1:689)),))</f>
        <v>42703</v>
      </c>
      <c r="B703" s="318" t="str">
        <f ca="1">IF(ROWS($1:689)&gt;COUNT(Dong5),"",OFFSET(TH!D$1,SMALL(Dong5,ROWS($1:689)),))</f>
        <v>GBN</v>
      </c>
      <c r="C703" s="318">
        <f ca="1">IF(ROWS($1:689)&gt;COUNT(Dong5),"",OFFSET(TH!E$1,SMALL(Dong5,ROWS($1:689)),))</f>
        <v>42703</v>
      </c>
      <c r="D703" s="383" t="str">
        <f ca="1">IF(ROWS($1:689)&gt;COUNT(Dong5),"",OFFSET(TH!F$1,SMALL(Dong5,ROWS($1:689)),))</f>
        <v>VAT Phí dịch vụ</v>
      </c>
      <c r="E703" s="318" t="str">
        <f ca="1">IF(ROWS($1:689)&gt;COUNT(Dong5),"",IF(OFFSET(TH!N$1,SMALL(Dong5,ROWS($1:689)),)=$E$7,OFFSET(TH!O$1,SMALL(Dong5,ROWS($1:689)),),OFFSET(TH!N$1,SMALL(Dong5,ROWS($1:689)),)))</f>
        <v>1121</v>
      </c>
      <c r="F703" s="384">
        <f ca="1">IF(ROWS($1:689)&gt;COUNT(Dong5),0,IF(OFFSET(TH!N$1,SMALL(Dong5,ROWS($1:689)),)=$E$7,OFFSET(TH!M$1,SMALL(Dong5,ROWS($1:689)),),0))</f>
        <v>50223</v>
      </c>
      <c r="G703" s="382">
        <f ca="1">IF(ROWS($1:689)&gt;COUNT(Dong5),0,IF(OFFSET(TH!O$1,SMALL(Dong5,ROWS($1:689)),)=$E$7,OFFSET(TH!M$1,SMALL(Dong5,ROWS($1:689)),),0))</f>
        <v>0</v>
      </c>
      <c r="H703" s="385">
        <f ca="1">IF(D703&lt;&gt;"",MAX(H702+F703-G703-I702,0),0)</f>
        <v>470686097</v>
      </c>
      <c r="I703" s="385">
        <f ca="1">IF(D703&lt;&gt;"",MAX(I702+G703-H702-F703,0),0)</f>
        <v>0</v>
      </c>
      <c r="J703" s="18">
        <f ca="1">MONTH(A703)</f>
        <v>11</v>
      </c>
    </row>
    <row r="704" spans="1:10" s="18" customFormat="1" ht="18" customHeight="1">
      <c r="A704" s="318">
        <f ca="1">IF(ROWS($1:690)&gt;COUNT(Dong5),"",OFFSET(TH!C$1,SMALL(Dong5,ROWS($1:690)),))</f>
        <v>42703</v>
      </c>
      <c r="B704" s="318" t="str">
        <f ca="1">IF(ROWS($1:690)&gt;COUNT(Dong5),"",OFFSET(TH!D$1,SMALL(Dong5,ROWS($1:690)),))</f>
        <v>GBN</v>
      </c>
      <c r="C704" s="318">
        <f ca="1">IF(ROWS($1:690)&gt;COUNT(Dong5),"",OFFSET(TH!E$1,SMALL(Dong5,ROWS($1:690)),))</f>
        <v>42703</v>
      </c>
      <c r="D704" s="383" t="str">
        <f ca="1">IF(ROWS($1:690)&gt;COUNT(Dong5),"",OFFSET(TH!F$1,SMALL(Dong5,ROWS($1:690)),))</f>
        <v>VAT Phí dịch vụ</v>
      </c>
      <c r="E704" s="318" t="str">
        <f ca="1">IF(ROWS($1:690)&gt;COUNT(Dong5),"",IF(OFFSET(TH!N$1,SMALL(Dong5,ROWS($1:690)),)=$E$7,OFFSET(TH!O$1,SMALL(Dong5,ROWS($1:690)),),OFFSET(TH!N$1,SMALL(Dong5,ROWS($1:690)),)))</f>
        <v>1121</v>
      </c>
      <c r="F704" s="384">
        <f ca="1">IF(ROWS($1:690)&gt;COUNT(Dong5),0,IF(OFFSET(TH!N$1,SMALL(Dong5,ROWS($1:690)),)=$E$7,OFFSET(TH!M$1,SMALL(Dong5,ROWS($1:690)),),0))</f>
        <v>45240</v>
      </c>
      <c r="G704" s="382">
        <f ca="1">IF(ROWS($1:690)&gt;COUNT(Dong5),0,IF(OFFSET(TH!O$1,SMALL(Dong5,ROWS($1:690)),)=$E$7,OFFSET(TH!M$1,SMALL(Dong5,ROWS($1:690)),),0))</f>
        <v>0</v>
      </c>
      <c r="H704" s="385">
        <f ca="1">IF(D704&lt;&gt;"",MAX(H703+F704-G704-I703,0),0)</f>
        <v>470731337</v>
      </c>
      <c r="I704" s="385">
        <f ca="1">IF(D704&lt;&gt;"",MAX(I703+G704-H703-F704,0),0)</f>
        <v>0</v>
      </c>
      <c r="J704" s="18">
        <f ca="1">MONTH(A704)</f>
        <v>11</v>
      </c>
    </row>
    <row r="705" spans="1:10" s="18" customFormat="1" ht="18" customHeight="1">
      <c r="A705" s="318">
        <f ca="1">IF(ROWS($1:691)&gt;COUNT(Dong5),"",OFFSET(TH!C$1,SMALL(Dong5,ROWS($1:691)),))</f>
        <v>42703</v>
      </c>
      <c r="B705" s="318" t="str">
        <f ca="1">IF(ROWS($1:691)&gt;COUNT(Dong5),"",OFFSET(TH!D$1,SMALL(Dong5,ROWS($1:691)),))</f>
        <v>GBN</v>
      </c>
      <c r="C705" s="318">
        <f ca="1">IF(ROWS($1:691)&gt;COUNT(Dong5),"",OFFSET(TH!E$1,SMALL(Dong5,ROWS($1:691)),))</f>
        <v>42703</v>
      </c>
      <c r="D705" s="383" t="str">
        <f ca="1">IF(ROWS($1:691)&gt;COUNT(Dong5),"",OFFSET(TH!F$1,SMALL(Dong5,ROWS($1:691)),))</f>
        <v>VAT Phí dịch vụ</v>
      </c>
      <c r="E705" s="318" t="str">
        <f ca="1">IF(ROWS($1:691)&gt;COUNT(Dong5),"",IF(OFFSET(TH!N$1,SMALL(Dong5,ROWS($1:691)),)=$E$7,OFFSET(TH!O$1,SMALL(Dong5,ROWS($1:691)),),OFFSET(TH!N$1,SMALL(Dong5,ROWS($1:691)),)))</f>
        <v>1121</v>
      </c>
      <c r="F705" s="384">
        <f ca="1">IF(ROWS($1:691)&gt;COUNT(Dong5),0,IF(OFFSET(TH!N$1,SMALL(Dong5,ROWS($1:691)),)=$E$7,OFFSET(TH!M$1,SMALL(Dong5,ROWS($1:691)),),0))</f>
        <v>1000</v>
      </c>
      <c r="G705" s="382">
        <f ca="1">IF(ROWS($1:691)&gt;COUNT(Dong5),0,IF(OFFSET(TH!O$1,SMALL(Dong5,ROWS($1:691)),)=$E$7,OFFSET(TH!M$1,SMALL(Dong5,ROWS($1:691)),),0))</f>
        <v>0</v>
      </c>
      <c r="H705" s="385">
        <f ca="1">IF(D705&lt;&gt;"",MAX(H704+F705-G705-I704,0),0)</f>
        <v>470732337</v>
      </c>
      <c r="I705" s="385">
        <f ca="1">IF(D705&lt;&gt;"",MAX(I704+G705-H704-F705,0),0)</f>
        <v>0</v>
      </c>
      <c r="J705" s="18">
        <f ca="1">MONTH(A705)</f>
        <v>11</v>
      </c>
    </row>
    <row r="706" spans="1:10" s="18" customFormat="1" ht="18" customHeight="1">
      <c r="A706" s="318">
        <f ca="1">IF(ROWS($1:692)&gt;COUNT(Dong5),"",OFFSET(TH!C$1,SMALL(Dong5,ROWS($1:692)),))</f>
        <v>42704</v>
      </c>
      <c r="B706" s="318" t="str">
        <f ca="1">IF(ROWS($1:692)&gt;COUNT(Dong5),"",OFFSET(TH!D$1,SMALL(Dong5,ROWS($1:692)),))</f>
        <v>C61</v>
      </c>
      <c r="C706" s="318">
        <f ca="1">IF(ROWS($1:692)&gt;COUNT(Dong5),"",OFFSET(TH!E$1,SMALL(Dong5,ROWS($1:692)),))</f>
        <v>42704</v>
      </c>
      <c r="D706" s="383" t="str">
        <f ca="1">IF(ROWS($1:692)&gt;COUNT(Dong5),"",OFFSET(TH!F$1,SMALL(Dong5,ROWS($1:692)),))</f>
        <v>VAT Xăng , dầu DO</v>
      </c>
      <c r="E706" s="318" t="str">
        <f ca="1">IF(ROWS($1:692)&gt;COUNT(Dong5),"",IF(OFFSET(TH!N$1,SMALL(Dong5,ROWS($1:692)),)=$E$7,OFFSET(TH!O$1,SMALL(Dong5,ROWS($1:692)),),OFFSET(TH!N$1,SMALL(Dong5,ROWS($1:692)),)))</f>
        <v>1111</v>
      </c>
      <c r="F706" s="384">
        <f ca="1">IF(ROWS($1:692)&gt;COUNT(Dong5),0,IF(OFFSET(TH!N$1,SMALL(Dong5,ROWS($1:692)),)=$E$7,OFFSET(TH!M$1,SMALL(Dong5,ROWS($1:692)),),0))</f>
        <v>294319</v>
      </c>
      <c r="G706" s="382">
        <f ca="1">IF(ROWS($1:692)&gt;COUNT(Dong5),0,IF(OFFSET(TH!O$1,SMALL(Dong5,ROWS($1:692)),)=$E$7,OFFSET(TH!M$1,SMALL(Dong5,ROWS($1:692)),),0))</f>
        <v>0</v>
      </c>
      <c r="H706" s="385">
        <f ca="1">IF(D706&lt;&gt;"",MAX(H705+F706-G706-I705,0),0)</f>
        <v>471026656</v>
      </c>
      <c r="I706" s="385">
        <f ca="1">IF(D706&lt;&gt;"",MAX(I705+G706-H705-F706,0),0)</f>
        <v>0</v>
      </c>
      <c r="J706" s="18">
        <f ca="1">MONTH(A706)</f>
        <v>11</v>
      </c>
    </row>
    <row r="707" spans="1:10" s="18" customFormat="1" ht="18" customHeight="1">
      <c r="A707" s="318">
        <f ca="1">IF(ROWS($1:693)&gt;COUNT(Dong5),"",OFFSET(TH!C$1,SMALL(Dong5,ROWS($1:693)),))</f>
        <v>42704</v>
      </c>
      <c r="B707" s="318" t="str">
        <f ca="1">IF(ROWS($1:693)&gt;COUNT(Dong5),"",OFFSET(TH!D$1,SMALL(Dong5,ROWS($1:693)),))</f>
        <v>C62</v>
      </c>
      <c r="C707" s="318">
        <f ca="1">IF(ROWS($1:693)&gt;COUNT(Dong5),"",OFFSET(TH!E$1,SMALL(Dong5,ROWS($1:693)),))</f>
        <v>42704</v>
      </c>
      <c r="D707" s="383" t="str">
        <f ca="1">IF(ROWS($1:693)&gt;COUNT(Dong5),"",OFFSET(TH!F$1,SMALL(Dong5,ROWS($1:693)),))</f>
        <v>VAT Phí giao thông</v>
      </c>
      <c r="E707" s="318" t="str">
        <f ca="1">IF(ROWS($1:693)&gt;COUNT(Dong5),"",IF(OFFSET(TH!N$1,SMALL(Dong5,ROWS($1:693)),)=$E$7,OFFSET(TH!O$1,SMALL(Dong5,ROWS($1:693)),),OFFSET(TH!N$1,SMALL(Dong5,ROWS($1:693)),)))</f>
        <v>1111</v>
      </c>
      <c r="F707" s="384">
        <f ca="1">IF(ROWS($1:693)&gt;COUNT(Dong5),0,IF(OFFSET(TH!N$1,SMALL(Dong5,ROWS($1:693)),)=$E$7,OFFSET(TH!M$1,SMALL(Dong5,ROWS($1:693)),),0))</f>
        <v>194545</v>
      </c>
      <c r="G707" s="382">
        <f ca="1">IF(ROWS($1:693)&gt;COUNT(Dong5),0,IF(OFFSET(TH!O$1,SMALL(Dong5,ROWS($1:693)),)=$E$7,OFFSET(TH!M$1,SMALL(Dong5,ROWS($1:693)),),0))</f>
        <v>0</v>
      </c>
      <c r="H707" s="385">
        <f ca="1">IF(D707&lt;&gt;"",MAX(H706+F707-G707-I706,0),0)</f>
        <v>471221201</v>
      </c>
      <c r="I707" s="385">
        <f ca="1">IF(D707&lt;&gt;"",MAX(I706+G707-H706-F707,0),0)</f>
        <v>0</v>
      </c>
      <c r="J707" s="18">
        <f ca="1">MONTH(A707)</f>
        <v>11</v>
      </c>
    </row>
    <row r="708" spans="1:10" s="18" customFormat="1" ht="18" customHeight="1">
      <c r="A708" s="318">
        <f ca="1">IF(ROWS($1:694)&gt;COUNT(Dong5),"",OFFSET(TH!C$1,SMALL(Dong5,ROWS($1:694)),))</f>
        <v>42704</v>
      </c>
      <c r="B708" s="318" t="str">
        <f ca="1">IF(ROWS($1:694)&gt;COUNT(Dong5),"",OFFSET(TH!D$1,SMALL(Dong5,ROWS($1:694)),))</f>
        <v>GBN</v>
      </c>
      <c r="C708" s="318">
        <f ca="1">IF(ROWS($1:694)&gt;COUNT(Dong5),"",OFFSET(TH!E$1,SMALL(Dong5,ROWS($1:694)),))</f>
        <v>42704</v>
      </c>
      <c r="D708" s="383" t="str">
        <f ca="1">IF(ROWS($1:694)&gt;COUNT(Dong5),"",OFFSET(TH!F$1,SMALL(Dong5,ROWS($1:694)),))</f>
        <v>VAT phí thanh toán</v>
      </c>
      <c r="E708" s="318" t="str">
        <f ca="1">IF(ROWS($1:694)&gt;COUNT(Dong5),"",IF(OFFSET(TH!N$1,SMALL(Dong5,ROWS($1:694)),)=$E$7,OFFSET(TH!O$1,SMALL(Dong5,ROWS($1:694)),),OFFSET(TH!N$1,SMALL(Dong5,ROWS($1:694)),)))</f>
        <v>1121</v>
      </c>
      <c r="F708" s="384">
        <f ca="1">IF(ROWS($1:694)&gt;COUNT(Dong5),0,IF(OFFSET(TH!N$1,SMALL(Dong5,ROWS($1:694)),)=$E$7,OFFSET(TH!M$1,SMALL(Dong5,ROWS($1:694)),),0))</f>
        <v>2500</v>
      </c>
      <c r="G708" s="382">
        <f ca="1">IF(ROWS($1:694)&gt;COUNT(Dong5),0,IF(OFFSET(TH!O$1,SMALL(Dong5,ROWS($1:694)),)=$E$7,OFFSET(TH!M$1,SMALL(Dong5,ROWS($1:694)),),0))</f>
        <v>0</v>
      </c>
      <c r="H708" s="385">
        <f ca="1">IF(D708&lt;&gt;"",MAX(H707+F708-G708-I707,0),0)</f>
        <v>471223701</v>
      </c>
      <c r="I708" s="385">
        <f ca="1">IF(D708&lt;&gt;"",MAX(I707+G708-H707-F708,0),0)</f>
        <v>0</v>
      </c>
      <c r="J708" s="18">
        <f ca="1">MONTH(A708)</f>
        <v>11</v>
      </c>
    </row>
    <row r="709" spans="1:10" s="18" customFormat="1" ht="18" customHeight="1">
      <c r="A709" s="318">
        <f ca="1">IF(ROWS($1:695)&gt;COUNT(Dong5),"",OFFSET(TH!C$1,SMALL(Dong5,ROWS($1:695)),))</f>
        <v>42725</v>
      </c>
      <c r="B709" s="318" t="str">
        <f ca="1">IF(ROWS($1:695)&gt;COUNT(Dong5),"",OFFSET(TH!D$1,SMALL(Dong5,ROWS($1:695)),))</f>
        <v>VL/N34</v>
      </c>
      <c r="C709" s="318">
        <f ca="1">IF(ROWS($1:695)&gt;COUNT(Dong5),"",OFFSET(TH!E$1,SMALL(Dong5,ROWS($1:695)),))</f>
        <v>42725</v>
      </c>
      <c r="D709" s="383" t="str">
        <f ca="1">IF(ROWS($1:695)&gt;COUNT(Dong5),"",OFFSET(TH!F$1,SMALL(Dong5,ROWS($1:695)),))</f>
        <v>VAT Thùng carton</v>
      </c>
      <c r="E709" s="318" t="str">
        <f ca="1">IF(ROWS($1:695)&gt;COUNT(Dong5),"",IF(OFFSET(TH!N$1,SMALL(Dong5,ROWS($1:695)),)=$E$7,OFFSET(TH!O$1,SMALL(Dong5,ROWS($1:695)),),OFFSET(TH!N$1,SMALL(Dong5,ROWS($1:695)),)))</f>
        <v>331</v>
      </c>
      <c r="F709" s="384">
        <f ca="1">IF(ROWS($1:695)&gt;COUNT(Dong5),0,IF(OFFSET(TH!N$1,SMALL(Dong5,ROWS($1:695)),)=$E$7,OFFSET(TH!M$1,SMALL(Dong5,ROWS($1:695)),),0))</f>
        <v>1800000</v>
      </c>
      <c r="G709" s="382">
        <f ca="1">IF(ROWS($1:695)&gt;COUNT(Dong5),0,IF(OFFSET(TH!O$1,SMALL(Dong5,ROWS($1:695)),)=$E$7,OFFSET(TH!M$1,SMALL(Dong5,ROWS($1:695)),),0))</f>
        <v>0</v>
      </c>
      <c r="H709" s="385">
        <f ca="1">IF(D709&lt;&gt;"",MAX(H708+F709-G709-I708,0),0)</f>
        <v>473023701</v>
      </c>
      <c r="I709" s="385">
        <f ca="1">IF(D709&lt;&gt;"",MAX(I708+G709-H708-F709,0),0)</f>
        <v>0</v>
      </c>
      <c r="J709" s="18">
        <f ca="1">MONTH(A709)</f>
        <v>12</v>
      </c>
    </row>
    <row r="710" spans="1:10" s="18" customFormat="1" ht="18" customHeight="1">
      <c r="A710" s="318">
        <f ca="1">IF(ROWS($1:696)&gt;COUNT(Dong5),"",OFFSET(TH!C$1,SMALL(Dong5,ROWS($1:696)),))</f>
        <v>42705</v>
      </c>
      <c r="B710" s="318" t="str">
        <f ca="1">IF(ROWS($1:696)&gt;COUNT(Dong5),"",OFFSET(TH!D$1,SMALL(Dong5,ROWS($1:696)),))</f>
        <v>C02</v>
      </c>
      <c r="C710" s="318">
        <f ca="1">IF(ROWS($1:696)&gt;COUNT(Dong5),"",OFFSET(TH!E$1,SMALL(Dong5,ROWS($1:696)),))</f>
        <v>42705</v>
      </c>
      <c r="D710" s="383" t="str">
        <f ca="1">IF(ROWS($1:696)&gt;COUNT(Dong5),"",OFFSET(TH!F$1,SMALL(Dong5,ROWS($1:696)),))</f>
        <v>VAT Phí nâng hạ</v>
      </c>
      <c r="E710" s="318" t="str">
        <f ca="1">IF(ROWS($1:696)&gt;COUNT(Dong5),"",IF(OFFSET(TH!N$1,SMALL(Dong5,ROWS($1:696)),)=$E$7,OFFSET(TH!O$1,SMALL(Dong5,ROWS($1:696)),),OFFSET(TH!N$1,SMALL(Dong5,ROWS($1:696)),)))</f>
        <v>1111</v>
      </c>
      <c r="F710" s="384">
        <f ca="1">IF(ROWS($1:696)&gt;COUNT(Dong5),0,IF(OFFSET(TH!N$1,SMALL(Dong5,ROWS($1:696)),)=$E$7,OFFSET(TH!M$1,SMALL(Dong5,ROWS($1:696)),),0))</f>
        <v>37273</v>
      </c>
      <c r="G710" s="382">
        <f ca="1">IF(ROWS($1:696)&gt;COUNT(Dong5),0,IF(OFFSET(TH!O$1,SMALL(Dong5,ROWS($1:696)),)=$E$7,OFFSET(TH!M$1,SMALL(Dong5,ROWS($1:696)),),0))</f>
        <v>0</v>
      </c>
      <c r="H710" s="385">
        <f ca="1">IF(D710&lt;&gt;"",MAX(H709+F710-G710-I709,0),0)</f>
        <v>473060974</v>
      </c>
      <c r="I710" s="385">
        <f ca="1">IF(D710&lt;&gt;"",MAX(I709+G710-H709-F710,0),0)</f>
        <v>0</v>
      </c>
      <c r="J710" s="18">
        <f ca="1">MONTH(A710)</f>
        <v>12</v>
      </c>
    </row>
    <row r="711" spans="1:10" s="18" customFormat="1" ht="18" customHeight="1">
      <c r="A711" s="318">
        <f ca="1">IF(ROWS($1:697)&gt;COUNT(Dong5),"",OFFSET(TH!C$1,SMALL(Dong5,ROWS($1:697)),))</f>
        <v>42705</v>
      </c>
      <c r="B711" s="318" t="str">
        <f ca="1">IF(ROWS($1:697)&gt;COUNT(Dong5),"",OFFSET(TH!D$1,SMALL(Dong5,ROWS($1:697)),))</f>
        <v>C03</v>
      </c>
      <c r="C711" s="318">
        <f ca="1">IF(ROWS($1:697)&gt;COUNT(Dong5),"",OFFSET(TH!E$1,SMALL(Dong5,ROWS($1:697)),))</f>
        <v>42705</v>
      </c>
      <c r="D711" s="383" t="str">
        <f ca="1">IF(ROWS($1:697)&gt;COUNT(Dong5),"",OFFSET(TH!F$1,SMALL(Dong5,ROWS($1:697)),))</f>
        <v>VAT Phí hạ bãi</v>
      </c>
      <c r="E711" s="318" t="str">
        <f ca="1">IF(ROWS($1:697)&gt;COUNT(Dong5),"",IF(OFFSET(TH!N$1,SMALL(Dong5,ROWS($1:697)),)=$E$7,OFFSET(TH!O$1,SMALL(Dong5,ROWS($1:697)),),OFFSET(TH!N$1,SMALL(Dong5,ROWS($1:697)),)))</f>
        <v>1111</v>
      </c>
      <c r="F711" s="384">
        <f ca="1">IF(ROWS($1:697)&gt;COUNT(Dong5),0,IF(OFFSET(TH!N$1,SMALL(Dong5,ROWS($1:697)),)=$E$7,OFFSET(TH!M$1,SMALL(Dong5,ROWS($1:697)),),0))</f>
        <v>46364</v>
      </c>
      <c r="G711" s="382">
        <f ca="1">IF(ROWS($1:697)&gt;COUNT(Dong5),0,IF(OFFSET(TH!O$1,SMALL(Dong5,ROWS($1:697)),)=$E$7,OFFSET(TH!M$1,SMALL(Dong5,ROWS($1:697)),),0))</f>
        <v>0</v>
      </c>
      <c r="H711" s="385">
        <f ca="1">IF(D711&lt;&gt;"",MAX(H710+F711-G711-I710,0),0)</f>
        <v>473107338</v>
      </c>
      <c r="I711" s="385">
        <f ca="1">IF(D711&lt;&gt;"",MAX(I710+G711-H710-F711,0),0)</f>
        <v>0</v>
      </c>
      <c r="J711" s="18">
        <f ca="1">MONTH(A711)</f>
        <v>12</v>
      </c>
    </row>
    <row r="712" spans="1:10" s="18" customFormat="1" ht="18" customHeight="1">
      <c r="A712" s="318">
        <f ca="1">IF(ROWS($1:698)&gt;COUNT(Dong5),"",OFFSET(TH!C$1,SMALL(Dong5,ROWS($1:698)),))</f>
        <v>42705</v>
      </c>
      <c r="B712" s="318" t="str">
        <f ca="1">IF(ROWS($1:698)&gt;COUNT(Dong5),"",OFFSET(TH!D$1,SMALL(Dong5,ROWS($1:698)),))</f>
        <v>C04</v>
      </c>
      <c r="C712" s="318">
        <f ca="1">IF(ROWS($1:698)&gt;COUNT(Dong5),"",OFFSET(TH!E$1,SMALL(Dong5,ROWS($1:698)),))</f>
        <v>42705</v>
      </c>
      <c r="D712" s="383" t="str">
        <f ca="1">IF(ROWS($1:698)&gt;COUNT(Dong5),"",OFFSET(TH!F$1,SMALL(Dong5,ROWS($1:698)),))</f>
        <v>VAT Phí hạ bãi</v>
      </c>
      <c r="E712" s="318" t="str">
        <f ca="1">IF(ROWS($1:698)&gt;COUNT(Dong5),"",IF(OFFSET(TH!N$1,SMALL(Dong5,ROWS($1:698)),)=$E$7,OFFSET(TH!O$1,SMALL(Dong5,ROWS($1:698)),),OFFSET(TH!N$1,SMALL(Dong5,ROWS($1:698)),)))</f>
        <v>1111</v>
      </c>
      <c r="F712" s="384">
        <f ca="1">IF(ROWS($1:698)&gt;COUNT(Dong5),0,IF(OFFSET(TH!N$1,SMALL(Dong5,ROWS($1:698)),)=$E$7,OFFSET(TH!M$1,SMALL(Dong5,ROWS($1:698)),),0))</f>
        <v>1163636</v>
      </c>
      <c r="G712" s="382">
        <f ca="1">IF(ROWS($1:698)&gt;COUNT(Dong5),0,IF(OFFSET(TH!O$1,SMALL(Dong5,ROWS($1:698)),)=$E$7,OFFSET(TH!M$1,SMALL(Dong5,ROWS($1:698)),),0))</f>
        <v>0</v>
      </c>
      <c r="H712" s="385">
        <f ca="1">IF(D712&lt;&gt;"",MAX(H711+F712-G712-I711,0),0)</f>
        <v>474270974</v>
      </c>
      <c r="I712" s="385">
        <f ca="1">IF(D712&lt;&gt;"",MAX(I711+G712-H711-F712,0),0)</f>
        <v>0</v>
      </c>
      <c r="J712" s="18">
        <f ca="1">MONTH(A712)</f>
        <v>12</v>
      </c>
    </row>
    <row r="713" spans="1:10" s="18" customFormat="1" ht="18" customHeight="1">
      <c r="A713" s="318">
        <f ca="1">IF(ROWS($1:699)&gt;COUNT(Dong5),"",OFFSET(TH!C$1,SMALL(Dong5,ROWS($1:699)),))</f>
        <v>42706</v>
      </c>
      <c r="B713" s="318" t="str">
        <f ca="1">IF(ROWS($1:699)&gt;COUNT(Dong5),"",OFFSET(TH!D$1,SMALL(Dong5,ROWS($1:699)),))</f>
        <v>C06</v>
      </c>
      <c r="C713" s="318">
        <f ca="1">IF(ROWS($1:699)&gt;COUNT(Dong5),"",OFFSET(TH!E$1,SMALL(Dong5,ROWS($1:699)),))</f>
        <v>42706</v>
      </c>
      <c r="D713" s="383" t="str">
        <f ca="1">IF(ROWS($1:699)&gt;COUNT(Dong5),"",OFFSET(TH!F$1,SMALL(Dong5,ROWS($1:699)),))</f>
        <v>VAT Gas</v>
      </c>
      <c r="E713" s="318" t="str">
        <f ca="1">IF(ROWS($1:699)&gt;COUNT(Dong5),"",IF(OFFSET(TH!N$1,SMALL(Dong5,ROWS($1:699)),)=$E$7,OFFSET(TH!O$1,SMALL(Dong5,ROWS($1:699)),),OFFSET(TH!N$1,SMALL(Dong5,ROWS($1:699)),)))</f>
        <v>1111</v>
      </c>
      <c r="F713" s="384">
        <f ca="1">IF(ROWS($1:699)&gt;COUNT(Dong5),0,IF(OFFSET(TH!N$1,SMALL(Dong5,ROWS($1:699)),)=$E$7,OFFSET(TH!M$1,SMALL(Dong5,ROWS($1:699)),),0))</f>
        <v>940455</v>
      </c>
      <c r="G713" s="382">
        <f ca="1">IF(ROWS($1:699)&gt;COUNT(Dong5),0,IF(OFFSET(TH!O$1,SMALL(Dong5,ROWS($1:699)),)=$E$7,OFFSET(TH!M$1,SMALL(Dong5,ROWS($1:699)),),0))</f>
        <v>0</v>
      </c>
      <c r="H713" s="385">
        <f ca="1">IF(D713&lt;&gt;"",MAX(H712+F713-G713-I712,0),0)</f>
        <v>475211429</v>
      </c>
      <c r="I713" s="385">
        <f ca="1">IF(D713&lt;&gt;"",MAX(I712+G713-H712-F713,0),0)</f>
        <v>0</v>
      </c>
      <c r="J713" s="18">
        <f ca="1">MONTH(A713)</f>
        <v>12</v>
      </c>
    </row>
    <row r="714" spans="1:10" s="18" customFormat="1" ht="18" customHeight="1">
      <c r="A714" s="318">
        <f ca="1">IF(ROWS($1:700)&gt;COUNT(Dong5),"",OFFSET(TH!C$1,SMALL(Dong5,ROWS($1:700)),))</f>
        <v>42706</v>
      </c>
      <c r="B714" s="318" t="str">
        <f ca="1">IF(ROWS($1:700)&gt;COUNT(Dong5),"",OFFSET(TH!D$1,SMALL(Dong5,ROWS($1:700)),))</f>
        <v>C08</v>
      </c>
      <c r="C714" s="318">
        <f ca="1">IF(ROWS($1:700)&gt;COUNT(Dong5),"",OFFSET(TH!E$1,SMALL(Dong5,ROWS($1:700)),))</f>
        <v>42706</v>
      </c>
      <c r="D714" s="383" t="str">
        <f ca="1">IF(ROWS($1:700)&gt;COUNT(Dong5),"",OFFSET(TH!F$1,SMALL(Dong5,ROWS($1:700)),))</f>
        <v>VAT Phí niêm chì</v>
      </c>
      <c r="E714" s="318" t="str">
        <f ca="1">IF(ROWS($1:700)&gt;COUNT(Dong5),"",IF(OFFSET(TH!N$1,SMALL(Dong5,ROWS($1:700)),)=$E$7,OFFSET(TH!O$1,SMALL(Dong5,ROWS($1:700)),),OFFSET(TH!N$1,SMALL(Dong5,ROWS($1:700)),)))</f>
        <v>1111</v>
      </c>
      <c r="F714" s="384">
        <f ca="1">IF(ROWS($1:700)&gt;COUNT(Dong5),0,IF(OFFSET(TH!N$1,SMALL(Dong5,ROWS($1:700)),)=$E$7,OFFSET(TH!M$1,SMALL(Dong5,ROWS($1:700)),),0))</f>
        <v>8947</v>
      </c>
      <c r="G714" s="382">
        <f ca="1">IF(ROWS($1:700)&gt;COUNT(Dong5),0,IF(OFFSET(TH!O$1,SMALL(Dong5,ROWS($1:700)),)=$E$7,OFFSET(TH!M$1,SMALL(Dong5,ROWS($1:700)),),0))</f>
        <v>0</v>
      </c>
      <c r="H714" s="385">
        <f ca="1">IF(D714&lt;&gt;"",MAX(H713+F714-G714-I713,0),0)</f>
        <v>475220376</v>
      </c>
      <c r="I714" s="385">
        <f ca="1">IF(D714&lt;&gt;"",MAX(I713+G714-H713-F714,0),0)</f>
        <v>0</v>
      </c>
      <c r="J714" s="18">
        <f ca="1">MONTH(A714)</f>
        <v>12</v>
      </c>
    </row>
    <row r="715" spans="1:10" s="18" customFormat="1" ht="18" customHeight="1">
      <c r="A715" s="318">
        <f ca="1">IF(ROWS($1:701)&gt;COUNT(Dong5),"",OFFSET(TH!C$1,SMALL(Dong5,ROWS($1:701)),))</f>
        <v>42706</v>
      </c>
      <c r="B715" s="318" t="str">
        <f ca="1">IF(ROWS($1:701)&gt;COUNT(Dong5),"",OFFSET(TH!D$1,SMALL(Dong5,ROWS($1:701)),))</f>
        <v>C09</v>
      </c>
      <c r="C715" s="318">
        <f ca="1">IF(ROWS($1:701)&gt;COUNT(Dong5),"",OFFSET(TH!E$1,SMALL(Dong5,ROWS($1:701)),))</f>
        <v>42706</v>
      </c>
      <c r="D715" s="383" t="str">
        <f ca="1">IF(ROWS($1:701)&gt;COUNT(Dong5),"",OFFSET(TH!F$1,SMALL(Dong5,ROWS($1:701)),))</f>
        <v>VAT Phí hạ bãi</v>
      </c>
      <c r="E715" s="318" t="str">
        <f ca="1">IF(ROWS($1:701)&gt;COUNT(Dong5),"",IF(OFFSET(TH!N$1,SMALL(Dong5,ROWS($1:701)),)=$E$7,OFFSET(TH!O$1,SMALL(Dong5,ROWS($1:701)),),OFFSET(TH!N$1,SMALL(Dong5,ROWS($1:701)),)))</f>
        <v>1111</v>
      </c>
      <c r="F715" s="384">
        <f ca="1">IF(ROWS($1:701)&gt;COUNT(Dong5),0,IF(OFFSET(TH!N$1,SMALL(Dong5,ROWS($1:701)),)=$E$7,OFFSET(TH!M$1,SMALL(Dong5,ROWS($1:701)),),0))</f>
        <v>875455</v>
      </c>
      <c r="G715" s="382">
        <f ca="1">IF(ROWS($1:701)&gt;COUNT(Dong5),0,IF(OFFSET(TH!O$1,SMALL(Dong5,ROWS($1:701)),)=$E$7,OFFSET(TH!M$1,SMALL(Dong5,ROWS($1:701)),),0))</f>
        <v>0</v>
      </c>
      <c r="H715" s="385">
        <f ca="1">IF(D715&lt;&gt;"",MAX(H714+F715-G715-I714,0),0)</f>
        <v>476095831</v>
      </c>
      <c r="I715" s="385">
        <f ca="1">IF(D715&lt;&gt;"",MAX(I714+G715-H714-F715,0),0)</f>
        <v>0</v>
      </c>
      <c r="J715" s="18">
        <f ca="1">MONTH(A715)</f>
        <v>12</v>
      </c>
    </row>
    <row r="716" spans="1:10" s="18" customFormat="1" ht="18" customHeight="1">
      <c r="A716" s="318">
        <f ca="1">IF(ROWS($1:702)&gt;COUNT(Dong5),"",OFFSET(TH!C$1,SMALL(Dong5,ROWS($1:702)),))</f>
        <v>42709</v>
      </c>
      <c r="B716" s="318" t="str">
        <f ca="1">IF(ROWS($1:702)&gt;COUNT(Dong5),"",OFFSET(TH!D$1,SMALL(Dong5,ROWS($1:702)),))</f>
        <v>C11</v>
      </c>
      <c r="C716" s="318">
        <f ca="1">IF(ROWS($1:702)&gt;COUNT(Dong5),"",OFFSET(TH!E$1,SMALL(Dong5,ROWS($1:702)),))</f>
        <v>42709</v>
      </c>
      <c r="D716" s="383" t="str">
        <f ca="1">IF(ROWS($1:702)&gt;COUNT(Dong5),"",OFFSET(TH!F$1,SMALL(Dong5,ROWS($1:702)),))</f>
        <v>VAT Xăng, dầu DO</v>
      </c>
      <c r="E716" s="318" t="str">
        <f ca="1">IF(ROWS($1:702)&gt;COUNT(Dong5),"",IF(OFFSET(TH!N$1,SMALL(Dong5,ROWS($1:702)),)=$E$7,OFFSET(TH!O$1,SMALL(Dong5,ROWS($1:702)),),OFFSET(TH!N$1,SMALL(Dong5,ROWS($1:702)),)))</f>
        <v>1111</v>
      </c>
      <c r="F716" s="384">
        <f ca="1">IF(ROWS($1:702)&gt;COUNT(Dong5),0,IF(OFFSET(TH!N$1,SMALL(Dong5,ROWS($1:702)),)=$E$7,OFFSET(TH!M$1,SMALL(Dong5,ROWS($1:702)),),0))</f>
        <v>119954</v>
      </c>
      <c r="G716" s="382">
        <f ca="1">IF(ROWS($1:702)&gt;COUNT(Dong5),0,IF(OFFSET(TH!O$1,SMALL(Dong5,ROWS($1:702)),)=$E$7,OFFSET(TH!M$1,SMALL(Dong5,ROWS($1:702)),),0))</f>
        <v>0</v>
      </c>
      <c r="H716" s="385">
        <f ca="1">IF(D716&lt;&gt;"",MAX(H715+F716-G716-I715,0),0)</f>
        <v>476215785</v>
      </c>
      <c r="I716" s="385">
        <f ca="1">IF(D716&lt;&gt;"",MAX(I715+G716-H715-F716,0),0)</f>
        <v>0</v>
      </c>
      <c r="J716" s="18">
        <f ca="1">MONTH(A716)</f>
        <v>12</v>
      </c>
    </row>
    <row r="717" spans="1:10" s="18" customFormat="1" ht="18" customHeight="1">
      <c r="A717" s="318">
        <f ca="1">IF(ROWS($1:703)&gt;COUNT(Dong5),"",OFFSET(TH!C$1,SMALL(Dong5,ROWS($1:703)),))</f>
        <v>42726</v>
      </c>
      <c r="B717" s="318" t="str">
        <f ca="1">IF(ROWS($1:703)&gt;COUNT(Dong5),"",OFFSET(TH!D$1,SMALL(Dong5,ROWS($1:703)),))</f>
        <v>VL/N38</v>
      </c>
      <c r="C717" s="318">
        <f ca="1">IF(ROWS($1:703)&gt;COUNT(Dong5),"",OFFSET(TH!E$1,SMALL(Dong5,ROWS($1:703)),))</f>
        <v>42726</v>
      </c>
      <c r="D717" s="383" t="str">
        <f ca="1">IF(ROWS($1:703)&gt;COUNT(Dong5),"",OFFSET(TH!F$1,SMALL(Dong5,ROWS($1:703)),))</f>
        <v>VAT Thùng carton</v>
      </c>
      <c r="E717" s="318" t="str">
        <f ca="1">IF(ROWS($1:703)&gt;COUNT(Dong5),"",IF(OFFSET(TH!N$1,SMALL(Dong5,ROWS($1:703)),)=$E$7,OFFSET(TH!O$1,SMALL(Dong5,ROWS($1:703)),),OFFSET(TH!N$1,SMALL(Dong5,ROWS($1:703)),)))</f>
        <v>331</v>
      </c>
      <c r="F717" s="384">
        <f ca="1">IF(ROWS($1:703)&gt;COUNT(Dong5),0,IF(OFFSET(TH!N$1,SMALL(Dong5,ROWS($1:703)),)=$E$7,OFFSET(TH!M$1,SMALL(Dong5,ROWS($1:703)),),0))</f>
        <v>412500</v>
      </c>
      <c r="G717" s="382">
        <f ca="1">IF(ROWS($1:703)&gt;COUNT(Dong5),0,IF(OFFSET(TH!O$1,SMALL(Dong5,ROWS($1:703)),)=$E$7,OFFSET(TH!M$1,SMALL(Dong5,ROWS($1:703)),),0))</f>
        <v>0</v>
      </c>
      <c r="H717" s="385">
        <f ca="1">IF(D717&lt;&gt;"",MAX(H716+F717-G717-I716,0),0)</f>
        <v>476628285</v>
      </c>
      <c r="I717" s="385">
        <f ca="1">IF(D717&lt;&gt;"",MAX(I716+G717-H716-F717,0),0)</f>
        <v>0</v>
      </c>
      <c r="J717" s="18">
        <f ca="1">MONTH(A717)</f>
        <v>12</v>
      </c>
    </row>
    <row r="718" spans="1:10" s="18" customFormat="1" ht="18" customHeight="1">
      <c r="A718" s="318">
        <f ca="1">IF(ROWS($1:704)&gt;COUNT(Dong5),"",OFFSET(TH!C$1,SMALL(Dong5,ROWS($1:704)),))</f>
        <v>42709</v>
      </c>
      <c r="B718" s="318" t="str">
        <f ca="1">IF(ROWS($1:704)&gt;COUNT(Dong5),"",OFFSET(TH!D$1,SMALL(Dong5,ROWS($1:704)),))</f>
        <v>C15</v>
      </c>
      <c r="C718" s="318">
        <f ca="1">IF(ROWS($1:704)&gt;COUNT(Dong5),"",OFFSET(TH!E$1,SMALL(Dong5,ROWS($1:704)),))</f>
        <v>42709</v>
      </c>
      <c r="D718" s="383" t="str">
        <f ca="1">IF(ROWS($1:704)&gt;COUNT(Dong5),"",OFFSET(TH!F$1,SMALL(Dong5,ROWS($1:704)),))</f>
        <v>VAT Cước VT - CNTT T11/2016</v>
      </c>
      <c r="E718" s="318" t="str">
        <f ca="1">IF(ROWS($1:704)&gt;COUNT(Dong5),"",IF(OFFSET(TH!N$1,SMALL(Dong5,ROWS($1:704)),)=$E$7,OFFSET(TH!O$1,SMALL(Dong5,ROWS($1:704)),),OFFSET(TH!N$1,SMALL(Dong5,ROWS($1:704)),)))</f>
        <v>1111</v>
      </c>
      <c r="F718" s="384">
        <f ca="1">IF(ROWS($1:704)&gt;COUNT(Dong5),0,IF(OFFSET(TH!N$1,SMALL(Dong5,ROWS($1:704)),)=$E$7,OFFSET(TH!M$1,SMALL(Dong5,ROWS($1:704)),),0))</f>
        <v>212601</v>
      </c>
      <c r="G718" s="382">
        <f ca="1">IF(ROWS($1:704)&gt;COUNT(Dong5),0,IF(OFFSET(TH!O$1,SMALL(Dong5,ROWS($1:704)),)=$E$7,OFFSET(TH!M$1,SMALL(Dong5,ROWS($1:704)),),0))</f>
        <v>0</v>
      </c>
      <c r="H718" s="385">
        <f ca="1">IF(D718&lt;&gt;"",MAX(H717+F718-G718-I717,0),0)</f>
        <v>476840886</v>
      </c>
      <c r="I718" s="385">
        <f ca="1">IF(D718&lt;&gt;"",MAX(I717+G718-H717-F718,0),0)</f>
        <v>0</v>
      </c>
      <c r="J718" s="18">
        <f ca="1">MONTH(A718)</f>
        <v>12</v>
      </c>
    </row>
    <row r="719" spans="1:10" s="18" customFormat="1" ht="18" customHeight="1">
      <c r="A719" s="318">
        <f ca="1">IF(ROWS($1:705)&gt;COUNT(Dong5),"",OFFSET(TH!C$1,SMALL(Dong5,ROWS($1:705)),))</f>
        <v>42709</v>
      </c>
      <c r="B719" s="318" t="str">
        <f ca="1">IF(ROWS($1:705)&gt;COUNT(Dong5),"",OFFSET(TH!D$1,SMALL(Dong5,ROWS($1:705)),))</f>
        <v>GBN</v>
      </c>
      <c r="C719" s="318">
        <f ca="1">IF(ROWS($1:705)&gt;COUNT(Dong5),"",OFFSET(TH!E$1,SMALL(Dong5,ROWS($1:705)),))</f>
        <v>42709</v>
      </c>
      <c r="D719" s="383" t="str">
        <f ca="1">IF(ROWS($1:705)&gt;COUNT(Dong5),"",OFFSET(TH!F$1,SMALL(Dong5,ROWS($1:705)),))</f>
        <v>VAT Phí NH 1021316001105</v>
      </c>
      <c r="E719" s="318" t="str">
        <f ca="1">IF(ROWS($1:705)&gt;COUNT(Dong5),"",IF(OFFSET(TH!N$1,SMALL(Dong5,ROWS($1:705)),)=$E$7,OFFSET(TH!O$1,SMALL(Dong5,ROWS($1:705)),),OFFSET(TH!N$1,SMALL(Dong5,ROWS($1:705)),)))</f>
        <v>1122</v>
      </c>
      <c r="F719" s="384">
        <f ca="1">IF(ROWS($1:705)&gt;COUNT(Dong5),0,IF(OFFSET(TH!N$1,SMALL(Dong5,ROWS($1:705)),)=$E$7,OFFSET(TH!M$1,SMALL(Dong5,ROWS($1:705)),),0))</f>
        <v>227200</v>
      </c>
      <c r="G719" s="382">
        <f ca="1">IF(ROWS($1:705)&gt;COUNT(Dong5),0,IF(OFFSET(TH!O$1,SMALL(Dong5,ROWS($1:705)),)=$E$7,OFFSET(TH!M$1,SMALL(Dong5,ROWS($1:705)),),0))</f>
        <v>0</v>
      </c>
      <c r="H719" s="385">
        <f ca="1">IF(D719&lt;&gt;"",MAX(H718+F719-G719-I718,0),0)</f>
        <v>477068086</v>
      </c>
      <c r="I719" s="385">
        <f ca="1">IF(D719&lt;&gt;"",MAX(I718+G719-H718-F719,0),0)</f>
        <v>0</v>
      </c>
      <c r="J719" s="18">
        <f ca="1">MONTH(A719)</f>
        <v>12</v>
      </c>
    </row>
    <row r="720" spans="1:10" s="18" customFormat="1" ht="18" customHeight="1">
      <c r="A720" s="318">
        <f ca="1">IF(ROWS($1:706)&gt;COUNT(Dong5),"",OFFSET(TH!C$1,SMALL(Dong5,ROWS($1:706)),))</f>
        <v>42709</v>
      </c>
      <c r="B720" s="318" t="str">
        <f ca="1">IF(ROWS($1:706)&gt;COUNT(Dong5),"",OFFSET(TH!D$1,SMALL(Dong5,ROWS($1:706)),))</f>
        <v>GBN</v>
      </c>
      <c r="C720" s="318">
        <f ca="1">IF(ROWS($1:706)&gt;COUNT(Dong5),"",OFFSET(TH!E$1,SMALL(Dong5,ROWS($1:706)),))</f>
        <v>42709</v>
      </c>
      <c r="D720" s="383" t="str">
        <f ca="1">IF(ROWS($1:706)&gt;COUNT(Dong5),"",OFFSET(TH!F$1,SMALL(Dong5,ROWS($1:706)),))</f>
        <v>VAT Phí NH</v>
      </c>
      <c r="E720" s="318" t="str">
        <f ca="1">IF(ROWS($1:706)&gt;COUNT(Dong5),"",IF(OFFSET(TH!N$1,SMALL(Dong5,ROWS($1:706)),)=$E$7,OFFSET(TH!O$1,SMALL(Dong5,ROWS($1:706)),),OFFSET(TH!N$1,SMALL(Dong5,ROWS($1:706)),)))</f>
        <v>1122</v>
      </c>
      <c r="F720" s="384">
        <f ca="1">IF(ROWS($1:706)&gt;COUNT(Dong5),0,IF(OFFSET(TH!N$1,SMALL(Dong5,ROWS($1:706)),)=$E$7,OFFSET(TH!M$1,SMALL(Dong5,ROWS($1:706)),),0))</f>
        <v>6816</v>
      </c>
      <c r="G720" s="382">
        <f ca="1">IF(ROWS($1:706)&gt;COUNT(Dong5),0,IF(OFFSET(TH!O$1,SMALL(Dong5,ROWS($1:706)),)=$E$7,OFFSET(TH!M$1,SMALL(Dong5,ROWS($1:706)),),0))</f>
        <v>0</v>
      </c>
      <c r="H720" s="385">
        <f ca="1">IF(D720&lt;&gt;"",MAX(H719+F720-G720-I719,0),0)</f>
        <v>477074902</v>
      </c>
      <c r="I720" s="385">
        <f ca="1">IF(D720&lt;&gt;"",MAX(I719+G720-H719-F720,0),0)</f>
        <v>0</v>
      </c>
      <c r="J720" s="18">
        <f ca="1">MONTH(A720)</f>
        <v>12</v>
      </c>
    </row>
    <row r="721" spans="1:10" s="18" customFormat="1" ht="18" customHeight="1">
      <c r="A721" s="318">
        <f ca="1">IF(ROWS($1:707)&gt;COUNT(Dong5),"",OFFSET(TH!C$1,SMALL(Dong5,ROWS($1:707)),))</f>
        <v>42724</v>
      </c>
      <c r="B721" s="318" t="str">
        <f ca="1">IF(ROWS($1:707)&gt;COUNT(Dong5),"",OFFSET(TH!D$1,SMALL(Dong5,ROWS($1:707)),))</f>
        <v>VL/N33</v>
      </c>
      <c r="C721" s="318">
        <f ca="1">IF(ROWS($1:707)&gt;COUNT(Dong5),"",OFFSET(TH!E$1,SMALL(Dong5,ROWS($1:707)),))</f>
        <v>42724</v>
      </c>
      <c r="D721" s="383" t="str">
        <f ca="1">IF(ROWS($1:707)&gt;COUNT(Dong5),"",OFFSET(TH!F$1,SMALL(Dong5,ROWS($1:707)),))</f>
        <v>VAT Thùng carton</v>
      </c>
      <c r="E721" s="318" t="str">
        <f ca="1">IF(ROWS($1:707)&gt;COUNT(Dong5),"",IF(OFFSET(TH!N$1,SMALL(Dong5,ROWS($1:707)),)=$E$7,OFFSET(TH!O$1,SMALL(Dong5,ROWS($1:707)),),OFFSET(TH!N$1,SMALL(Dong5,ROWS($1:707)),)))</f>
        <v>331</v>
      </c>
      <c r="F721" s="384">
        <f ca="1">IF(ROWS($1:707)&gt;COUNT(Dong5),0,IF(OFFSET(TH!N$1,SMALL(Dong5,ROWS($1:707)),)=$E$7,OFFSET(TH!M$1,SMALL(Dong5,ROWS($1:707)),),0))</f>
        <v>1800000</v>
      </c>
      <c r="G721" s="382">
        <f ca="1">IF(ROWS($1:707)&gt;COUNT(Dong5),0,IF(OFFSET(TH!O$1,SMALL(Dong5,ROWS($1:707)),)=$E$7,OFFSET(TH!M$1,SMALL(Dong5,ROWS($1:707)),),0))</f>
        <v>0</v>
      </c>
      <c r="H721" s="385">
        <f ca="1">IF(D721&lt;&gt;"",MAX(H720+F721-G721-I720,0),0)</f>
        <v>478874902</v>
      </c>
      <c r="I721" s="385">
        <f ca="1">IF(D721&lt;&gt;"",MAX(I720+G721-H720-F721,0),0)</f>
        <v>0</v>
      </c>
      <c r="J721" s="18">
        <f ca="1">MONTH(A721)</f>
        <v>12</v>
      </c>
    </row>
    <row r="722" spans="1:10" s="18" customFormat="1" ht="18" customHeight="1">
      <c r="A722" s="318">
        <f ca="1">IF(ROWS($1:708)&gt;COUNT(Dong5),"",OFFSET(TH!C$1,SMALL(Dong5,ROWS($1:708)),))</f>
        <v>42711</v>
      </c>
      <c r="B722" s="318" t="str">
        <f ca="1">IF(ROWS($1:708)&gt;COUNT(Dong5),"",OFFSET(TH!D$1,SMALL(Dong5,ROWS($1:708)),))</f>
        <v>C24</v>
      </c>
      <c r="C722" s="318">
        <f ca="1">IF(ROWS($1:708)&gt;COUNT(Dong5),"",OFFSET(TH!E$1,SMALL(Dong5,ROWS($1:708)),))</f>
        <v>42711</v>
      </c>
      <c r="D722" s="383" t="str">
        <f ca="1">IF(ROWS($1:708)&gt;COUNT(Dong5),"",OFFSET(TH!F$1,SMALL(Dong5,ROWS($1:708)),))</f>
        <v>VAT Cước CPN</v>
      </c>
      <c r="E722" s="318" t="str">
        <f ca="1">IF(ROWS($1:708)&gt;COUNT(Dong5),"",IF(OFFSET(TH!N$1,SMALL(Dong5,ROWS($1:708)),)=$E$7,OFFSET(TH!O$1,SMALL(Dong5,ROWS($1:708)),),OFFSET(TH!N$1,SMALL(Dong5,ROWS($1:708)),)))</f>
        <v>1111</v>
      </c>
      <c r="F722" s="384">
        <f ca="1">IF(ROWS($1:708)&gt;COUNT(Dong5),0,IF(OFFSET(TH!N$1,SMALL(Dong5,ROWS($1:708)),)=$E$7,OFFSET(TH!M$1,SMALL(Dong5,ROWS($1:708)),),0))</f>
        <v>90000</v>
      </c>
      <c r="G722" s="382">
        <f ca="1">IF(ROWS($1:708)&gt;COUNT(Dong5),0,IF(OFFSET(TH!O$1,SMALL(Dong5,ROWS($1:708)),)=$E$7,OFFSET(TH!M$1,SMALL(Dong5,ROWS($1:708)),),0))</f>
        <v>0</v>
      </c>
      <c r="H722" s="385">
        <f ca="1">IF(D722&lt;&gt;"",MAX(H721+F722-G722-I721,0),0)</f>
        <v>478964902</v>
      </c>
      <c r="I722" s="385">
        <f ca="1">IF(D722&lt;&gt;"",MAX(I721+G722-H721-F722,0),0)</f>
        <v>0</v>
      </c>
      <c r="J722" s="18">
        <f ca="1">MONTH(A722)</f>
        <v>12</v>
      </c>
    </row>
    <row r="723" spans="1:10" s="18" customFormat="1" ht="18" customHeight="1">
      <c r="A723" s="318">
        <f ca="1">IF(ROWS($1:709)&gt;COUNT(Dong5),"",OFFSET(TH!C$1,SMALL(Dong5,ROWS($1:709)),))</f>
        <v>42711</v>
      </c>
      <c r="B723" s="318" t="str">
        <f ca="1">IF(ROWS($1:709)&gt;COUNT(Dong5),"",OFFSET(TH!D$1,SMALL(Dong5,ROWS($1:709)),))</f>
        <v>C25</v>
      </c>
      <c r="C723" s="318">
        <f ca="1">IF(ROWS($1:709)&gt;COUNT(Dong5),"",OFFSET(TH!E$1,SMALL(Dong5,ROWS($1:709)),))</f>
        <v>42711</v>
      </c>
      <c r="D723" s="383" t="str">
        <f ca="1">IF(ROWS($1:709)&gt;COUNT(Dong5),"",OFFSET(TH!F$1,SMALL(Dong5,ROWS($1:709)),))</f>
        <v>VAT Thuốc thử Clorine</v>
      </c>
      <c r="E723" s="318" t="str">
        <f ca="1">IF(ROWS($1:709)&gt;COUNT(Dong5),"",IF(OFFSET(TH!N$1,SMALL(Dong5,ROWS($1:709)),)=$E$7,OFFSET(TH!O$1,SMALL(Dong5,ROWS($1:709)),),OFFSET(TH!N$1,SMALL(Dong5,ROWS($1:709)),)))</f>
        <v>1111</v>
      </c>
      <c r="F723" s="384">
        <f ca="1">IF(ROWS($1:709)&gt;COUNT(Dong5),0,IF(OFFSET(TH!N$1,SMALL(Dong5,ROWS($1:709)),)=$E$7,OFFSET(TH!M$1,SMALL(Dong5,ROWS($1:709)),),0))</f>
        <v>26182</v>
      </c>
      <c r="G723" s="382">
        <f ca="1">IF(ROWS($1:709)&gt;COUNT(Dong5),0,IF(OFFSET(TH!O$1,SMALL(Dong5,ROWS($1:709)),)=$E$7,OFFSET(TH!M$1,SMALL(Dong5,ROWS($1:709)),),0))</f>
        <v>0</v>
      </c>
      <c r="H723" s="385">
        <f ca="1">IF(D723&lt;&gt;"",MAX(H722+F723-G723-I722,0),0)</f>
        <v>478991084</v>
      </c>
      <c r="I723" s="385">
        <f ca="1">IF(D723&lt;&gt;"",MAX(I722+G723-H722-F723,0),0)</f>
        <v>0</v>
      </c>
      <c r="J723" s="18">
        <f ca="1">MONTH(A723)</f>
        <v>12</v>
      </c>
    </row>
    <row r="724" spans="1:10" s="18" customFormat="1" ht="18" customHeight="1">
      <c r="A724" s="318">
        <f ca="1">IF(ROWS($1:710)&gt;COUNT(Dong5),"",OFFSET(TH!C$1,SMALL(Dong5,ROWS($1:710)),))</f>
        <v>42711</v>
      </c>
      <c r="B724" s="318" t="str">
        <f ca="1">IF(ROWS($1:710)&gt;COUNT(Dong5),"",OFFSET(TH!D$1,SMALL(Dong5,ROWS($1:710)),))</f>
        <v>GBN</v>
      </c>
      <c r="C724" s="318">
        <f ca="1">IF(ROWS($1:710)&gt;COUNT(Dong5),"",OFFSET(TH!E$1,SMALL(Dong5,ROWS($1:710)),))</f>
        <v>42711</v>
      </c>
      <c r="D724" s="383" t="str">
        <f ca="1">IF(ROWS($1:710)&gt;COUNT(Dong5),"",OFFSET(TH!F$1,SMALL(Dong5,ROWS($1:710)),))</f>
        <v>VAT Phí thanh toán</v>
      </c>
      <c r="E724" s="318" t="str">
        <f ca="1">IF(ROWS($1:710)&gt;COUNT(Dong5),"",IF(OFFSET(TH!N$1,SMALL(Dong5,ROWS($1:710)),)=$E$7,OFFSET(TH!O$1,SMALL(Dong5,ROWS($1:710)),),OFFSET(TH!N$1,SMALL(Dong5,ROWS($1:710)),)))</f>
        <v>1121</v>
      </c>
      <c r="F724" s="384">
        <f ca="1">IF(ROWS($1:710)&gt;COUNT(Dong5),0,IF(OFFSET(TH!N$1,SMALL(Dong5,ROWS($1:710)),)=$E$7,OFFSET(TH!M$1,SMALL(Dong5,ROWS($1:710)),),0))</f>
        <v>16580</v>
      </c>
      <c r="G724" s="382">
        <f ca="1">IF(ROWS($1:710)&gt;COUNT(Dong5),0,IF(OFFSET(TH!O$1,SMALL(Dong5,ROWS($1:710)),)=$E$7,OFFSET(TH!M$1,SMALL(Dong5,ROWS($1:710)),),0))</f>
        <v>0</v>
      </c>
      <c r="H724" s="385">
        <f ca="1">IF(D724&lt;&gt;"",MAX(H723+F724-G724-I723,0),0)</f>
        <v>479007664</v>
      </c>
      <c r="I724" s="385">
        <f ca="1">IF(D724&lt;&gt;"",MAX(I723+G724-H723-F724,0),0)</f>
        <v>0</v>
      </c>
      <c r="J724" s="18">
        <f ca="1">MONTH(A724)</f>
        <v>12</v>
      </c>
    </row>
    <row r="725" spans="1:10" s="18" customFormat="1" ht="18" customHeight="1">
      <c r="A725" s="318">
        <f ca="1">IF(ROWS($1:711)&gt;COUNT(Dong5),"",OFFSET(TH!C$1,SMALL(Dong5,ROWS($1:711)),))</f>
        <v>42711</v>
      </c>
      <c r="B725" s="318" t="str">
        <f ca="1">IF(ROWS($1:711)&gt;COUNT(Dong5),"",OFFSET(TH!D$1,SMALL(Dong5,ROWS($1:711)),))</f>
        <v>GBN</v>
      </c>
      <c r="C725" s="318">
        <f ca="1">IF(ROWS($1:711)&gt;COUNT(Dong5),"",OFFSET(TH!E$1,SMALL(Dong5,ROWS($1:711)),))</f>
        <v>42711</v>
      </c>
      <c r="D725" s="383" t="str">
        <f ca="1">IF(ROWS($1:711)&gt;COUNT(Dong5),"",OFFSET(TH!F$1,SMALL(Dong5,ROWS($1:711)),))</f>
        <v>VAT Phí thanh toán</v>
      </c>
      <c r="E725" s="318" t="str">
        <f ca="1">IF(ROWS($1:711)&gt;COUNT(Dong5),"",IF(OFFSET(TH!N$1,SMALL(Dong5,ROWS($1:711)),)=$E$7,OFFSET(TH!O$1,SMALL(Dong5,ROWS($1:711)),),OFFSET(TH!N$1,SMALL(Dong5,ROWS($1:711)),)))</f>
        <v>1121</v>
      </c>
      <c r="F725" s="384">
        <f ca="1">IF(ROWS($1:711)&gt;COUNT(Dong5),0,IF(OFFSET(TH!N$1,SMALL(Dong5,ROWS($1:711)),)=$E$7,OFFSET(TH!M$1,SMALL(Dong5,ROWS($1:711)),),0))</f>
        <v>54748</v>
      </c>
      <c r="G725" s="382">
        <f ca="1">IF(ROWS($1:711)&gt;COUNT(Dong5),0,IF(OFFSET(TH!O$1,SMALL(Dong5,ROWS($1:711)),)=$E$7,OFFSET(TH!M$1,SMALL(Dong5,ROWS($1:711)),),0))</f>
        <v>0</v>
      </c>
      <c r="H725" s="385">
        <f ca="1">IF(D725&lt;&gt;"",MAX(H724+F725-G725-I724,0),0)</f>
        <v>479062412</v>
      </c>
      <c r="I725" s="385">
        <f ca="1">IF(D725&lt;&gt;"",MAX(I724+G725-H724-F725,0),0)</f>
        <v>0</v>
      </c>
      <c r="J725" s="18">
        <f ca="1">MONTH(A725)</f>
        <v>12</v>
      </c>
    </row>
    <row r="726" spans="1:10" s="18" customFormat="1" ht="18" customHeight="1">
      <c r="A726" s="318">
        <f ca="1">IF(ROWS($1:712)&gt;COUNT(Dong5),"",OFFSET(TH!C$1,SMALL(Dong5,ROWS($1:712)),))</f>
        <v>42711</v>
      </c>
      <c r="B726" s="318" t="str">
        <f ca="1">IF(ROWS($1:712)&gt;COUNT(Dong5),"",OFFSET(TH!D$1,SMALL(Dong5,ROWS($1:712)),))</f>
        <v>GBN</v>
      </c>
      <c r="C726" s="318">
        <f ca="1">IF(ROWS($1:712)&gt;COUNT(Dong5),"",OFFSET(TH!E$1,SMALL(Dong5,ROWS($1:712)),))</f>
        <v>42711</v>
      </c>
      <c r="D726" s="383" t="str">
        <f ca="1">IF(ROWS($1:712)&gt;COUNT(Dong5),"",OFFSET(TH!F$1,SMALL(Dong5,ROWS($1:712)),))</f>
        <v>VAT Phí thanh toán</v>
      </c>
      <c r="E726" s="318" t="str">
        <f ca="1">IF(ROWS($1:712)&gt;COUNT(Dong5),"",IF(OFFSET(TH!N$1,SMALL(Dong5,ROWS($1:712)),)=$E$7,OFFSET(TH!O$1,SMALL(Dong5,ROWS($1:712)),),OFFSET(TH!N$1,SMALL(Dong5,ROWS($1:712)),)))</f>
        <v>1121</v>
      </c>
      <c r="F726" s="384">
        <f ca="1">IF(ROWS($1:712)&gt;COUNT(Dong5),0,IF(OFFSET(TH!N$1,SMALL(Dong5,ROWS($1:712)),)=$E$7,OFFSET(TH!M$1,SMALL(Dong5,ROWS($1:712)),),0))</f>
        <v>87563</v>
      </c>
      <c r="G726" s="382">
        <f ca="1">IF(ROWS($1:712)&gt;COUNT(Dong5),0,IF(OFFSET(TH!O$1,SMALL(Dong5,ROWS($1:712)),)=$E$7,OFFSET(TH!M$1,SMALL(Dong5,ROWS($1:712)),),0))</f>
        <v>0</v>
      </c>
      <c r="H726" s="385">
        <f ca="1">IF(D726&lt;&gt;"",MAX(H725+F726-G726-I725,0),0)</f>
        <v>479149975</v>
      </c>
      <c r="I726" s="385">
        <f ca="1">IF(D726&lt;&gt;"",MAX(I725+G726-H725-F726,0),0)</f>
        <v>0</v>
      </c>
      <c r="J726" s="18">
        <f ca="1">MONTH(A726)</f>
        <v>12</v>
      </c>
    </row>
    <row r="727" spans="1:10" s="18" customFormat="1" ht="18" customHeight="1">
      <c r="A727" s="318">
        <f ca="1">IF(ROWS($1:713)&gt;COUNT(Dong5),"",OFFSET(TH!C$1,SMALL(Dong5,ROWS($1:713)),))</f>
        <v>42712</v>
      </c>
      <c r="B727" s="318" t="str">
        <f ca="1">IF(ROWS($1:713)&gt;COUNT(Dong5),"",OFFSET(TH!D$1,SMALL(Dong5,ROWS($1:713)),))</f>
        <v>C27</v>
      </c>
      <c r="C727" s="318">
        <f ca="1">IF(ROWS($1:713)&gt;COUNT(Dong5),"",OFFSET(TH!E$1,SMALL(Dong5,ROWS($1:713)),))</f>
        <v>42712</v>
      </c>
      <c r="D727" s="383" t="str">
        <f ca="1">IF(ROWS($1:713)&gt;COUNT(Dong5),"",OFFSET(TH!F$1,SMALL(Dong5,ROWS($1:713)),))</f>
        <v>VAT Phí cấp cont</v>
      </c>
      <c r="E727" s="318" t="str">
        <f ca="1">IF(ROWS($1:713)&gt;COUNT(Dong5),"",IF(OFFSET(TH!N$1,SMALL(Dong5,ROWS($1:713)),)=$E$7,OFFSET(TH!O$1,SMALL(Dong5,ROWS($1:713)),),OFFSET(TH!N$1,SMALL(Dong5,ROWS($1:713)),)))</f>
        <v>1111</v>
      </c>
      <c r="F727" s="384">
        <f ca="1">IF(ROWS($1:713)&gt;COUNT(Dong5),0,IF(OFFSET(TH!N$1,SMALL(Dong5,ROWS($1:713)),)=$E$7,OFFSET(TH!M$1,SMALL(Dong5,ROWS($1:713)),),0))</f>
        <v>167727</v>
      </c>
      <c r="G727" s="382">
        <f ca="1">IF(ROWS($1:713)&gt;COUNT(Dong5),0,IF(OFFSET(TH!O$1,SMALL(Dong5,ROWS($1:713)),)=$E$7,OFFSET(TH!M$1,SMALL(Dong5,ROWS($1:713)),),0))</f>
        <v>0</v>
      </c>
      <c r="H727" s="385">
        <f ca="1">IF(D727&lt;&gt;"",MAX(H726+F727-G727-I726,0),0)</f>
        <v>479317702</v>
      </c>
      <c r="I727" s="385">
        <f ca="1">IF(D727&lt;&gt;"",MAX(I726+G727-H726-F727,0),0)</f>
        <v>0</v>
      </c>
      <c r="J727" s="18">
        <f ca="1">MONTH(A727)</f>
        <v>12</v>
      </c>
    </row>
    <row r="728" spans="1:10" s="18" customFormat="1" ht="18" customHeight="1">
      <c r="A728" s="318">
        <f ca="1">IF(ROWS($1:714)&gt;COUNT(Dong5),"",OFFSET(TH!C$1,SMALL(Dong5,ROWS($1:714)),))</f>
        <v>42712</v>
      </c>
      <c r="B728" s="318" t="str">
        <f ca="1">IF(ROWS($1:714)&gt;COUNT(Dong5),"",OFFSET(TH!D$1,SMALL(Dong5,ROWS($1:714)),))</f>
        <v>C28</v>
      </c>
      <c r="C728" s="318">
        <f ca="1">IF(ROWS($1:714)&gt;COUNT(Dong5),"",OFFSET(TH!E$1,SMALL(Dong5,ROWS($1:714)),))</f>
        <v>42712</v>
      </c>
      <c r="D728" s="383" t="str">
        <f ca="1">IF(ROWS($1:714)&gt;COUNT(Dong5),"",OFFSET(TH!F$1,SMALL(Dong5,ROWS($1:714)),))</f>
        <v>VAT Phí nâng rỗng cont lạnh</v>
      </c>
      <c r="E728" s="318" t="str">
        <f ca="1">IF(ROWS($1:714)&gt;COUNT(Dong5),"",IF(OFFSET(TH!N$1,SMALL(Dong5,ROWS($1:714)),)=$E$7,OFFSET(TH!O$1,SMALL(Dong5,ROWS($1:714)),),OFFSET(TH!N$1,SMALL(Dong5,ROWS($1:714)),)))</f>
        <v>1111</v>
      </c>
      <c r="F728" s="384">
        <f ca="1">IF(ROWS($1:714)&gt;COUNT(Dong5),0,IF(OFFSET(TH!N$1,SMALL(Dong5,ROWS($1:714)),)=$E$7,OFFSET(TH!M$1,SMALL(Dong5,ROWS($1:714)),),0))</f>
        <v>490909</v>
      </c>
      <c r="G728" s="382">
        <f ca="1">IF(ROWS($1:714)&gt;COUNT(Dong5),0,IF(OFFSET(TH!O$1,SMALL(Dong5,ROWS($1:714)),)=$E$7,OFFSET(TH!M$1,SMALL(Dong5,ROWS($1:714)),),0))</f>
        <v>0</v>
      </c>
      <c r="H728" s="385">
        <f ca="1">IF(D728&lt;&gt;"",MAX(H727+F728-G728-I727,0),0)</f>
        <v>479808611</v>
      </c>
      <c r="I728" s="385">
        <f ca="1">IF(D728&lt;&gt;"",MAX(I727+G728-H727-F728,0),0)</f>
        <v>0</v>
      </c>
      <c r="J728" s="18">
        <f ca="1">MONTH(A728)</f>
        <v>12</v>
      </c>
    </row>
    <row r="729" spans="1:10" s="18" customFormat="1" ht="18" customHeight="1">
      <c r="A729" s="318">
        <f ca="1">IF(ROWS($1:715)&gt;COUNT(Dong5),"",OFFSET(TH!C$1,SMALL(Dong5,ROWS($1:715)),))</f>
        <v>42713</v>
      </c>
      <c r="B729" s="318" t="str">
        <f ca="1">IF(ROWS($1:715)&gt;COUNT(Dong5),"",OFFSET(TH!D$1,SMALL(Dong5,ROWS($1:715)),))</f>
        <v>GBN</v>
      </c>
      <c r="C729" s="318">
        <f ca="1">IF(ROWS($1:715)&gt;COUNT(Dong5),"",OFFSET(TH!E$1,SMALL(Dong5,ROWS($1:715)),))</f>
        <v>42713</v>
      </c>
      <c r="D729" s="383" t="str">
        <f ca="1">IF(ROWS($1:715)&gt;COUNT(Dong5),"",OFFSET(TH!F$1,SMALL(Dong5,ROWS($1:715)),))</f>
        <v>VAT Phí thanh toán</v>
      </c>
      <c r="E729" s="318" t="str">
        <f ca="1">IF(ROWS($1:715)&gt;COUNT(Dong5),"",IF(OFFSET(TH!N$1,SMALL(Dong5,ROWS($1:715)),)=$E$7,OFFSET(TH!O$1,SMALL(Dong5,ROWS($1:715)),),OFFSET(TH!N$1,SMALL(Dong5,ROWS($1:715)),)))</f>
        <v>1121</v>
      </c>
      <c r="F729" s="384">
        <f ca="1">IF(ROWS($1:715)&gt;COUNT(Dong5),0,IF(OFFSET(TH!N$1,SMALL(Dong5,ROWS($1:715)),)=$E$7,OFFSET(TH!M$1,SMALL(Dong5,ROWS($1:715)),),0))</f>
        <v>2500</v>
      </c>
      <c r="G729" s="382">
        <f ca="1">IF(ROWS($1:715)&gt;COUNT(Dong5),0,IF(OFFSET(TH!O$1,SMALL(Dong5,ROWS($1:715)),)=$E$7,OFFSET(TH!M$1,SMALL(Dong5,ROWS($1:715)),),0))</f>
        <v>0</v>
      </c>
      <c r="H729" s="385">
        <f ca="1">IF(D729&lt;&gt;"",MAX(H728+F729-G729-I728,0),0)</f>
        <v>479811111</v>
      </c>
      <c r="I729" s="385">
        <f ca="1">IF(D729&lt;&gt;"",MAX(I728+G729-H728-F729,0),0)</f>
        <v>0</v>
      </c>
      <c r="J729" s="18">
        <f ca="1">MONTH(A729)</f>
        <v>12</v>
      </c>
    </row>
    <row r="730" spans="1:10" s="18" customFormat="1" ht="18" customHeight="1">
      <c r="A730" s="318">
        <f ca="1">IF(ROWS($1:716)&gt;COUNT(Dong5),"",OFFSET(TH!C$1,SMALL(Dong5,ROWS($1:716)),))</f>
        <v>42735</v>
      </c>
      <c r="B730" s="318" t="str">
        <f ca="1">IF(ROWS($1:716)&gt;COUNT(Dong5),"",OFFSET(TH!D$1,SMALL(Dong5,ROWS($1:716)),))</f>
        <v>CTGS</v>
      </c>
      <c r="C730" s="318">
        <f ca="1">IF(ROWS($1:716)&gt;COUNT(Dong5),"",OFFSET(TH!E$1,SMALL(Dong5,ROWS($1:716)),))</f>
        <v>42735</v>
      </c>
      <c r="D730" s="383" t="str">
        <f ca="1">IF(ROWS($1:716)&gt;COUNT(Dong5),"",OFFSET(TH!F$1,SMALL(Dong5,ROWS($1:716)),))</f>
        <v>VAT Phí vận đơn, niêm chì, xếp dỡ, nâng hạ, điện giao hàng, phí điện</v>
      </c>
      <c r="E730" s="318" t="str">
        <f ca="1">IF(ROWS($1:716)&gt;COUNT(Dong5),"",IF(OFFSET(TH!N$1,SMALL(Dong5,ROWS($1:716)),)=$E$7,OFFSET(TH!O$1,SMALL(Dong5,ROWS($1:716)),),OFFSET(TH!N$1,SMALL(Dong5,ROWS($1:716)),)))</f>
        <v>331</v>
      </c>
      <c r="F730" s="384">
        <f ca="1">IF(ROWS($1:716)&gt;COUNT(Dong5),0,IF(OFFSET(TH!N$1,SMALL(Dong5,ROWS($1:716)),)=$E$7,OFFSET(TH!M$1,SMALL(Dong5,ROWS($1:716)),),0))</f>
        <v>5617735</v>
      </c>
      <c r="G730" s="382">
        <f ca="1">IF(ROWS($1:716)&gt;COUNT(Dong5),0,IF(OFFSET(TH!O$1,SMALL(Dong5,ROWS($1:716)),)=$E$7,OFFSET(TH!M$1,SMALL(Dong5,ROWS($1:716)),),0))</f>
        <v>0</v>
      </c>
      <c r="H730" s="385">
        <f ca="1">IF(D730&lt;&gt;"",MAX(H729+F730-G730-I729,0),0)</f>
        <v>485428846</v>
      </c>
      <c r="I730" s="385">
        <f ca="1">IF(D730&lt;&gt;"",MAX(I729+G730-H729-F730,0),0)</f>
        <v>0</v>
      </c>
      <c r="J730" s="18">
        <f ca="1">MONTH(A730)</f>
        <v>12</v>
      </c>
    </row>
    <row r="731" spans="1:10" s="18" customFormat="1" ht="18" customHeight="1">
      <c r="A731" s="318">
        <f ca="1">IF(ROWS($1:717)&gt;COUNT(Dong5),"",OFFSET(TH!C$1,SMALL(Dong5,ROWS($1:717)),))</f>
        <v>42713</v>
      </c>
      <c r="B731" s="318" t="str">
        <f ca="1">IF(ROWS($1:717)&gt;COUNT(Dong5),"",OFFSET(TH!D$1,SMALL(Dong5,ROWS($1:717)),))</f>
        <v>GBN</v>
      </c>
      <c r="C731" s="318">
        <f ca="1">IF(ROWS($1:717)&gt;COUNT(Dong5),"",OFFSET(TH!E$1,SMALL(Dong5,ROWS($1:717)),))</f>
        <v>42713</v>
      </c>
      <c r="D731" s="383" t="str">
        <f ca="1">IF(ROWS($1:717)&gt;COUNT(Dong5),"",OFFSET(TH!F$1,SMALL(Dong5,ROWS($1:717)),))</f>
        <v>VAT Phí thanh toán</v>
      </c>
      <c r="E731" s="318" t="str">
        <f ca="1">IF(ROWS($1:717)&gt;COUNT(Dong5),"",IF(OFFSET(TH!N$1,SMALL(Dong5,ROWS($1:717)),)=$E$7,OFFSET(TH!O$1,SMALL(Dong5,ROWS($1:717)),),OFFSET(TH!N$1,SMALL(Dong5,ROWS($1:717)),)))</f>
        <v>1121</v>
      </c>
      <c r="F731" s="384">
        <f ca="1">IF(ROWS($1:717)&gt;COUNT(Dong5),0,IF(OFFSET(TH!N$1,SMALL(Dong5,ROWS($1:717)),)=$E$7,OFFSET(TH!M$1,SMALL(Dong5,ROWS($1:717)),),0))</f>
        <v>6000</v>
      </c>
      <c r="G731" s="382">
        <f ca="1">IF(ROWS($1:717)&gt;COUNT(Dong5),0,IF(OFFSET(TH!O$1,SMALL(Dong5,ROWS($1:717)),)=$E$7,OFFSET(TH!M$1,SMALL(Dong5,ROWS($1:717)),),0))</f>
        <v>0</v>
      </c>
      <c r="H731" s="385">
        <f ca="1">IF(D731&lt;&gt;"",MAX(H730+F731-G731-I730,0),0)</f>
        <v>485434846</v>
      </c>
      <c r="I731" s="385">
        <f ca="1">IF(D731&lt;&gt;"",MAX(I730+G731-H730-F731,0),0)</f>
        <v>0</v>
      </c>
      <c r="J731" s="18">
        <f ca="1">MONTH(A731)</f>
        <v>12</v>
      </c>
    </row>
    <row r="732" spans="1:10" s="18" customFormat="1" ht="18" customHeight="1">
      <c r="A732" s="318">
        <f ca="1">IF(ROWS($1:718)&gt;COUNT(Dong5),"",OFFSET(TH!C$1,SMALL(Dong5,ROWS($1:718)),))</f>
        <v>42727</v>
      </c>
      <c r="B732" s="318" t="str">
        <f ca="1">IF(ROWS($1:718)&gt;COUNT(Dong5),"",OFFSET(TH!D$1,SMALL(Dong5,ROWS($1:718)),))</f>
        <v>CTGS</v>
      </c>
      <c r="C732" s="318">
        <f ca="1">IF(ROWS($1:718)&gt;COUNT(Dong5),"",OFFSET(TH!E$1,SMALL(Dong5,ROWS($1:718)),))</f>
        <v>42727</v>
      </c>
      <c r="D732" s="383" t="str">
        <f ca="1">IF(ROWS($1:718)&gt;COUNT(Dong5),"",OFFSET(TH!F$1,SMALL(Dong5,ROWS($1:718)),))</f>
        <v>VAT oxy già</v>
      </c>
      <c r="E732" s="318" t="str">
        <f ca="1">IF(ROWS($1:718)&gt;COUNT(Dong5),"",IF(OFFSET(TH!N$1,SMALL(Dong5,ROWS($1:718)),)=$E$7,OFFSET(TH!O$1,SMALL(Dong5,ROWS($1:718)),),OFFSET(TH!N$1,SMALL(Dong5,ROWS($1:718)),)))</f>
        <v>331</v>
      </c>
      <c r="F732" s="384">
        <f ca="1">IF(ROWS($1:718)&gt;COUNT(Dong5),0,IF(OFFSET(TH!N$1,SMALL(Dong5,ROWS($1:718)),)=$E$7,OFFSET(TH!M$1,SMALL(Dong5,ROWS($1:718)),),0))</f>
        <v>350000</v>
      </c>
      <c r="G732" s="382">
        <f ca="1">IF(ROWS($1:718)&gt;COUNT(Dong5),0,IF(OFFSET(TH!O$1,SMALL(Dong5,ROWS($1:718)),)=$E$7,OFFSET(TH!M$1,SMALL(Dong5,ROWS($1:718)),),0))</f>
        <v>0</v>
      </c>
      <c r="H732" s="385">
        <f ca="1">IF(D732&lt;&gt;"",MAX(H731+F732-G732-I731,0),0)</f>
        <v>485784846</v>
      </c>
      <c r="I732" s="385">
        <f ca="1">IF(D732&lt;&gt;"",MAX(I731+G732-H731-F732,0),0)</f>
        <v>0</v>
      </c>
      <c r="J732" s="18">
        <f ca="1">MONTH(A732)</f>
        <v>12</v>
      </c>
    </row>
    <row r="733" spans="1:10" s="18" customFormat="1" ht="18" customHeight="1">
      <c r="A733" s="318">
        <f ca="1">IF(ROWS($1:719)&gt;COUNT(Dong5),"",OFFSET(TH!C$1,SMALL(Dong5,ROWS($1:719)),))</f>
        <v>42713</v>
      </c>
      <c r="B733" s="318" t="str">
        <f ca="1">IF(ROWS($1:719)&gt;COUNT(Dong5),"",OFFSET(TH!D$1,SMALL(Dong5,ROWS($1:719)),))</f>
        <v>GBN</v>
      </c>
      <c r="C733" s="318">
        <f ca="1">IF(ROWS($1:719)&gt;COUNT(Dong5),"",OFFSET(TH!E$1,SMALL(Dong5,ROWS($1:719)),))</f>
        <v>42713</v>
      </c>
      <c r="D733" s="383" t="str">
        <f ca="1">IF(ROWS($1:719)&gt;COUNT(Dong5),"",OFFSET(TH!F$1,SMALL(Dong5,ROWS($1:719)),))</f>
        <v>VAT Phí thanh toán</v>
      </c>
      <c r="E733" s="318" t="str">
        <f ca="1">IF(ROWS($1:719)&gt;COUNT(Dong5),"",IF(OFFSET(TH!N$1,SMALL(Dong5,ROWS($1:719)),)=$E$7,OFFSET(TH!O$1,SMALL(Dong5,ROWS($1:719)),),OFFSET(TH!N$1,SMALL(Dong5,ROWS($1:719)),)))</f>
        <v>1121</v>
      </c>
      <c r="F733" s="384">
        <f ca="1">IF(ROWS($1:719)&gt;COUNT(Dong5),0,IF(OFFSET(TH!N$1,SMALL(Dong5,ROWS($1:719)),)=$E$7,OFFSET(TH!M$1,SMALL(Dong5,ROWS($1:719)),),0))</f>
        <v>2000</v>
      </c>
      <c r="G733" s="382">
        <f ca="1">IF(ROWS($1:719)&gt;COUNT(Dong5),0,IF(OFFSET(TH!O$1,SMALL(Dong5,ROWS($1:719)),)=$E$7,OFFSET(TH!M$1,SMALL(Dong5,ROWS($1:719)),),0))</f>
        <v>0</v>
      </c>
      <c r="H733" s="385">
        <f ca="1">IF(D733&lt;&gt;"",MAX(H732+F733-G733-I732,0),0)</f>
        <v>485786846</v>
      </c>
      <c r="I733" s="385">
        <f ca="1">IF(D733&lt;&gt;"",MAX(I732+G733-H732-F733,0),0)</f>
        <v>0</v>
      </c>
      <c r="J733" s="18">
        <f ca="1">MONTH(A733)</f>
        <v>12</v>
      </c>
    </row>
    <row r="734" spans="1:10" s="18" customFormat="1" ht="18" customHeight="1">
      <c r="A734" s="318">
        <f ca="1">IF(ROWS($1:720)&gt;COUNT(Dong5),"",OFFSET(TH!C$1,SMALL(Dong5,ROWS($1:720)),))</f>
        <v>42727</v>
      </c>
      <c r="B734" s="318" t="str">
        <f ca="1">IF(ROWS($1:720)&gt;COUNT(Dong5),"",OFFSET(TH!D$1,SMALL(Dong5,ROWS($1:720)),))</f>
        <v>VL/N40</v>
      </c>
      <c r="C734" s="318">
        <f ca="1">IF(ROWS($1:720)&gt;COUNT(Dong5),"",OFFSET(TH!E$1,SMALL(Dong5,ROWS($1:720)),))</f>
        <v>42727</v>
      </c>
      <c r="D734" s="383" t="str">
        <f ca="1">IF(ROWS($1:720)&gt;COUNT(Dong5),"",OFFSET(TH!F$1,SMALL(Dong5,ROWS($1:720)),))</f>
        <v>VAT Thùng carton</v>
      </c>
      <c r="E734" s="318" t="str">
        <f ca="1">IF(ROWS($1:720)&gt;COUNT(Dong5),"",IF(OFFSET(TH!N$1,SMALL(Dong5,ROWS($1:720)),)=$E$7,OFFSET(TH!O$1,SMALL(Dong5,ROWS($1:720)),),OFFSET(TH!N$1,SMALL(Dong5,ROWS($1:720)),)))</f>
        <v>331</v>
      </c>
      <c r="F734" s="384">
        <f ca="1">IF(ROWS($1:720)&gt;COUNT(Dong5),0,IF(OFFSET(TH!N$1,SMALL(Dong5,ROWS($1:720)),)=$E$7,OFFSET(TH!M$1,SMALL(Dong5,ROWS($1:720)),),0))</f>
        <v>1800000</v>
      </c>
      <c r="G734" s="382">
        <f ca="1">IF(ROWS($1:720)&gt;COUNT(Dong5),0,IF(OFFSET(TH!O$1,SMALL(Dong5,ROWS($1:720)),)=$E$7,OFFSET(TH!M$1,SMALL(Dong5,ROWS($1:720)),),0))</f>
        <v>0</v>
      </c>
      <c r="H734" s="385">
        <f ca="1">IF(D734&lt;&gt;"",MAX(H733+F734-G734-I733,0),0)</f>
        <v>487586846</v>
      </c>
      <c r="I734" s="385">
        <f ca="1">IF(D734&lt;&gt;"",MAX(I733+G734-H733-F734,0),0)</f>
        <v>0</v>
      </c>
      <c r="J734" s="18">
        <f ca="1">MONTH(A734)</f>
        <v>12</v>
      </c>
    </row>
    <row r="735" spans="1:10" s="18" customFormat="1" ht="18" customHeight="1">
      <c r="A735" s="318">
        <f ca="1">IF(ROWS($1:721)&gt;COUNT(Dong5),"",OFFSET(TH!C$1,SMALL(Dong5,ROWS($1:721)),))</f>
        <v>42715</v>
      </c>
      <c r="B735" s="318" t="str">
        <f ca="1">IF(ROWS($1:721)&gt;COUNT(Dong5),"",OFFSET(TH!D$1,SMALL(Dong5,ROWS($1:721)),))</f>
        <v>C35</v>
      </c>
      <c r="C735" s="318">
        <f ca="1">IF(ROWS($1:721)&gt;COUNT(Dong5),"",OFFSET(TH!E$1,SMALL(Dong5,ROWS($1:721)),))</f>
        <v>42715</v>
      </c>
      <c r="D735" s="383" t="str">
        <f ca="1">IF(ROWS($1:721)&gt;COUNT(Dong5),"",OFFSET(TH!F$1,SMALL(Dong5,ROWS($1:721)),))</f>
        <v>VAT Xăng, dầu DO</v>
      </c>
      <c r="E735" s="318" t="str">
        <f ca="1">IF(ROWS($1:721)&gt;COUNT(Dong5),"",IF(OFFSET(TH!N$1,SMALL(Dong5,ROWS($1:721)),)=$E$7,OFFSET(TH!O$1,SMALL(Dong5,ROWS($1:721)),),OFFSET(TH!N$1,SMALL(Dong5,ROWS($1:721)),)))</f>
        <v>1111</v>
      </c>
      <c r="F735" s="384">
        <f ca="1">IF(ROWS($1:721)&gt;COUNT(Dong5),0,IF(OFFSET(TH!N$1,SMALL(Dong5,ROWS($1:721)),)=$E$7,OFFSET(TH!M$1,SMALL(Dong5,ROWS($1:721)),),0))</f>
        <v>250742</v>
      </c>
      <c r="G735" s="382">
        <f ca="1">IF(ROWS($1:721)&gt;COUNT(Dong5),0,IF(OFFSET(TH!O$1,SMALL(Dong5,ROWS($1:721)),)=$E$7,OFFSET(TH!M$1,SMALL(Dong5,ROWS($1:721)),),0))</f>
        <v>0</v>
      </c>
      <c r="H735" s="385">
        <f ca="1">IF(D735&lt;&gt;"",MAX(H734+F735-G735-I734,0),0)</f>
        <v>487837588</v>
      </c>
      <c r="I735" s="385">
        <f ca="1">IF(D735&lt;&gt;"",MAX(I734+G735-H734-F735,0),0)</f>
        <v>0</v>
      </c>
      <c r="J735" s="18">
        <f ca="1">MONTH(A735)</f>
        <v>12</v>
      </c>
    </row>
    <row r="736" spans="1:10" s="18" customFormat="1" ht="18" customHeight="1">
      <c r="A736" s="318">
        <f ca="1">IF(ROWS($1:722)&gt;COUNT(Dong5),"",OFFSET(TH!C$1,SMALL(Dong5,ROWS($1:722)),))</f>
        <v>42725</v>
      </c>
      <c r="B736" s="318" t="str">
        <f ca="1">IF(ROWS($1:722)&gt;COUNT(Dong5),"",OFFSET(TH!D$1,SMALL(Dong5,ROWS($1:722)),))</f>
        <v>VL/N35</v>
      </c>
      <c r="C736" s="318">
        <f ca="1">IF(ROWS($1:722)&gt;COUNT(Dong5),"",OFFSET(TH!E$1,SMALL(Dong5,ROWS($1:722)),))</f>
        <v>42725</v>
      </c>
      <c r="D736" s="383" t="str">
        <f ca="1">IF(ROWS($1:722)&gt;COUNT(Dong5),"",OFFSET(TH!F$1,SMALL(Dong5,ROWS($1:722)),))</f>
        <v>VAT Thùng carton</v>
      </c>
      <c r="E736" s="318" t="str">
        <f ca="1">IF(ROWS($1:722)&gt;COUNT(Dong5),"",IF(OFFSET(TH!N$1,SMALL(Dong5,ROWS($1:722)),)=$E$7,OFFSET(TH!O$1,SMALL(Dong5,ROWS($1:722)),),OFFSET(TH!N$1,SMALL(Dong5,ROWS($1:722)),)))</f>
        <v>331</v>
      </c>
      <c r="F736" s="384">
        <f ca="1">IF(ROWS($1:722)&gt;COUNT(Dong5),0,IF(OFFSET(TH!N$1,SMALL(Dong5,ROWS($1:722)),)=$E$7,OFFSET(TH!M$1,SMALL(Dong5,ROWS($1:722)),),0))</f>
        <v>1800000</v>
      </c>
      <c r="G736" s="382">
        <f ca="1">IF(ROWS($1:722)&gt;COUNT(Dong5),0,IF(OFFSET(TH!O$1,SMALL(Dong5,ROWS($1:722)),)=$E$7,OFFSET(TH!M$1,SMALL(Dong5,ROWS($1:722)),),0))</f>
        <v>0</v>
      </c>
      <c r="H736" s="385">
        <f ca="1">IF(D736&lt;&gt;"",MAX(H735+F736-G736-I735,0),0)</f>
        <v>489637588</v>
      </c>
      <c r="I736" s="385">
        <f ca="1">IF(D736&lt;&gt;"",MAX(I735+G736-H735-F736,0),0)</f>
        <v>0</v>
      </c>
      <c r="J736" s="18">
        <f ca="1">MONTH(A736)</f>
        <v>12</v>
      </c>
    </row>
    <row r="737" spans="1:10" s="18" customFormat="1" ht="18" customHeight="1">
      <c r="A737" s="318">
        <f ca="1">IF(ROWS($1:723)&gt;COUNT(Dong5),"",OFFSET(TH!C$1,SMALL(Dong5,ROWS($1:723)),))</f>
        <v>42717</v>
      </c>
      <c r="B737" s="318" t="str">
        <f ca="1">IF(ROWS($1:723)&gt;COUNT(Dong5),"",OFFSET(TH!D$1,SMALL(Dong5,ROWS($1:723)),))</f>
        <v>C39</v>
      </c>
      <c r="C737" s="318">
        <f ca="1">IF(ROWS($1:723)&gt;COUNT(Dong5),"",OFFSET(TH!E$1,SMALL(Dong5,ROWS($1:723)),))</f>
        <v>42717</v>
      </c>
      <c r="D737" s="383" t="str">
        <f ca="1">IF(ROWS($1:723)&gt;COUNT(Dong5),"",OFFSET(TH!F$1,SMALL(Dong5,ROWS($1:723)),))</f>
        <v>VAT Băng tải, phí</v>
      </c>
      <c r="E737" s="318" t="str">
        <f ca="1">IF(ROWS($1:723)&gt;COUNT(Dong5),"",IF(OFFSET(TH!N$1,SMALL(Dong5,ROWS($1:723)),)=$E$7,OFFSET(TH!O$1,SMALL(Dong5,ROWS($1:723)),),OFFSET(TH!N$1,SMALL(Dong5,ROWS($1:723)),)))</f>
        <v>1111</v>
      </c>
      <c r="F737" s="384">
        <f ca="1">IF(ROWS($1:723)&gt;COUNT(Dong5),0,IF(OFFSET(TH!N$1,SMALL(Dong5,ROWS($1:723)),)=$E$7,OFFSET(TH!M$1,SMALL(Dong5,ROWS($1:723)),),0))</f>
        <v>1560000</v>
      </c>
      <c r="G737" s="382">
        <f ca="1">IF(ROWS($1:723)&gt;COUNT(Dong5),0,IF(OFFSET(TH!O$1,SMALL(Dong5,ROWS($1:723)),)=$E$7,OFFSET(TH!M$1,SMALL(Dong5,ROWS($1:723)),),0))</f>
        <v>0</v>
      </c>
      <c r="H737" s="385">
        <f ca="1">IF(D737&lt;&gt;"",MAX(H736+F737-G737-I736,0),0)</f>
        <v>491197588</v>
      </c>
      <c r="I737" s="385">
        <f ca="1">IF(D737&lt;&gt;"",MAX(I736+G737-H736-F737,0),0)</f>
        <v>0</v>
      </c>
      <c r="J737" s="18">
        <f ca="1">MONTH(A737)</f>
        <v>12</v>
      </c>
    </row>
    <row r="738" spans="1:10" s="18" customFormat="1" ht="18" customHeight="1">
      <c r="A738" s="318">
        <f ca="1">IF(ROWS($1:724)&gt;COUNT(Dong5),"",OFFSET(TH!C$1,SMALL(Dong5,ROWS($1:724)),))</f>
        <v>42717</v>
      </c>
      <c r="B738" s="318" t="str">
        <f ca="1">IF(ROWS($1:724)&gt;COUNT(Dong5),"",OFFSET(TH!D$1,SMALL(Dong5,ROWS($1:724)),))</f>
        <v>GBN</v>
      </c>
      <c r="C738" s="318">
        <f ca="1">IF(ROWS($1:724)&gt;COUNT(Dong5),"",OFFSET(TH!E$1,SMALL(Dong5,ROWS($1:724)),))</f>
        <v>42717</v>
      </c>
      <c r="D738" s="383" t="str">
        <f ca="1">IF(ROWS($1:724)&gt;COUNT(Dong5),"",OFFSET(TH!F$1,SMALL(Dong5,ROWS($1:724)),))</f>
        <v>VAT Phí NH: 1021316001152</v>
      </c>
      <c r="E738" s="318" t="str">
        <f ca="1">IF(ROWS($1:724)&gt;COUNT(Dong5),"",IF(OFFSET(TH!N$1,SMALL(Dong5,ROWS($1:724)),)=$E$7,OFFSET(TH!O$1,SMALL(Dong5,ROWS($1:724)),),OFFSET(TH!N$1,SMALL(Dong5,ROWS($1:724)),)))</f>
        <v>1121</v>
      </c>
      <c r="F738" s="384">
        <f ca="1">IF(ROWS($1:724)&gt;COUNT(Dong5),0,IF(OFFSET(TH!N$1,SMALL(Dong5,ROWS($1:724)),)=$E$7,OFFSET(TH!M$1,SMALL(Dong5,ROWS($1:724)),),0))</f>
        <v>226500</v>
      </c>
      <c r="G738" s="382">
        <f ca="1">IF(ROWS($1:724)&gt;COUNT(Dong5),0,IF(OFFSET(TH!O$1,SMALL(Dong5,ROWS($1:724)),)=$E$7,OFFSET(TH!M$1,SMALL(Dong5,ROWS($1:724)),),0))</f>
        <v>0</v>
      </c>
      <c r="H738" s="385">
        <f ca="1">IF(D738&lt;&gt;"",MAX(H737+F738-G738-I737,0),0)</f>
        <v>491424088</v>
      </c>
      <c r="I738" s="385">
        <f ca="1">IF(D738&lt;&gt;"",MAX(I737+G738-H737-F738,0),0)</f>
        <v>0</v>
      </c>
      <c r="J738" s="18">
        <f ca="1">MONTH(A738)</f>
        <v>12</v>
      </c>
    </row>
    <row r="739" spans="1:10" s="18" customFormat="1" ht="18" customHeight="1">
      <c r="A739" s="318">
        <f ca="1">IF(ROWS($1:725)&gt;COUNT(Dong5),"",OFFSET(TH!C$1,SMALL(Dong5,ROWS($1:725)),))</f>
        <v>42717</v>
      </c>
      <c r="B739" s="318" t="str">
        <f ca="1">IF(ROWS($1:725)&gt;COUNT(Dong5),"",OFFSET(TH!D$1,SMALL(Dong5,ROWS($1:725)),))</f>
        <v>GBN</v>
      </c>
      <c r="C739" s="318">
        <f ca="1">IF(ROWS($1:725)&gt;COUNT(Dong5),"",OFFSET(TH!E$1,SMALL(Dong5,ROWS($1:725)),))</f>
        <v>42717</v>
      </c>
      <c r="D739" s="383" t="str">
        <f ca="1">IF(ROWS($1:725)&gt;COUNT(Dong5),"",OFFSET(TH!F$1,SMALL(Dong5,ROWS($1:725)),))</f>
        <v>VAT Phí NH</v>
      </c>
      <c r="E739" s="318" t="str">
        <f ca="1">IF(ROWS($1:725)&gt;COUNT(Dong5),"",IF(OFFSET(TH!N$1,SMALL(Dong5,ROWS($1:725)),)=$E$7,OFFSET(TH!O$1,SMALL(Dong5,ROWS($1:725)),),OFFSET(TH!N$1,SMALL(Dong5,ROWS($1:725)),)))</f>
        <v>1122</v>
      </c>
      <c r="F739" s="384">
        <f ca="1">IF(ROWS($1:725)&gt;COUNT(Dong5),0,IF(OFFSET(TH!N$1,SMALL(Dong5,ROWS($1:725)),)=$E$7,OFFSET(TH!M$1,SMALL(Dong5,ROWS($1:725)),),0))</f>
        <v>6816</v>
      </c>
      <c r="G739" s="382">
        <f ca="1">IF(ROWS($1:725)&gt;COUNT(Dong5),0,IF(OFFSET(TH!O$1,SMALL(Dong5,ROWS($1:725)),)=$E$7,OFFSET(TH!M$1,SMALL(Dong5,ROWS($1:725)),),0))</f>
        <v>0</v>
      </c>
      <c r="H739" s="385">
        <f ca="1">IF(D739&lt;&gt;"",MAX(H738+F739-G739-I738,0),0)</f>
        <v>491430904</v>
      </c>
      <c r="I739" s="385">
        <f ca="1">IF(D739&lt;&gt;"",MAX(I738+G739-H738-F739,0),0)</f>
        <v>0</v>
      </c>
      <c r="J739" s="18">
        <f ca="1">MONTH(A739)</f>
        <v>12</v>
      </c>
    </row>
    <row r="740" spans="1:10" s="18" customFormat="1" ht="18" customHeight="1">
      <c r="A740" s="318">
        <f ca="1">IF(ROWS($1:726)&gt;COUNT(Dong5),"",OFFSET(TH!C$1,SMALL(Dong5,ROWS($1:726)),))</f>
        <v>42718</v>
      </c>
      <c r="B740" s="318" t="str">
        <f ca="1">IF(ROWS($1:726)&gt;COUNT(Dong5),"",OFFSET(TH!D$1,SMALL(Dong5,ROWS($1:726)),))</f>
        <v>C41</v>
      </c>
      <c r="C740" s="318">
        <f ca="1">IF(ROWS($1:726)&gt;COUNT(Dong5),"",OFFSET(TH!E$1,SMALL(Dong5,ROWS($1:726)),))</f>
        <v>42718</v>
      </c>
      <c r="D740" s="383" t="str">
        <f ca="1">IF(ROWS($1:726)&gt;COUNT(Dong5),"",OFFSET(TH!F$1,SMALL(Dong5,ROWS($1:726)),))</f>
        <v>VAT Phí bảo dưỡng xe</v>
      </c>
      <c r="E740" s="318" t="str">
        <f ca="1">IF(ROWS($1:726)&gt;COUNT(Dong5),"",IF(OFFSET(TH!N$1,SMALL(Dong5,ROWS($1:726)),)=$E$7,OFFSET(TH!O$1,SMALL(Dong5,ROWS($1:726)),),OFFSET(TH!N$1,SMALL(Dong5,ROWS($1:726)),)))</f>
        <v>1111</v>
      </c>
      <c r="F740" s="384">
        <f ca="1">IF(ROWS($1:726)&gt;COUNT(Dong5),0,IF(OFFSET(TH!N$1,SMALL(Dong5,ROWS($1:726)),)=$E$7,OFFSET(TH!M$1,SMALL(Dong5,ROWS($1:726)),),0))</f>
        <v>198300</v>
      </c>
      <c r="G740" s="382">
        <f ca="1">IF(ROWS($1:726)&gt;COUNT(Dong5),0,IF(OFFSET(TH!O$1,SMALL(Dong5,ROWS($1:726)),)=$E$7,OFFSET(TH!M$1,SMALL(Dong5,ROWS($1:726)),),0))</f>
        <v>0</v>
      </c>
      <c r="H740" s="385">
        <f ca="1">IF(D740&lt;&gt;"",MAX(H739+F740-G740-I739,0),0)</f>
        <v>491629204</v>
      </c>
      <c r="I740" s="385">
        <f ca="1">IF(D740&lt;&gt;"",MAX(I739+G740-H739-F740,0),0)</f>
        <v>0</v>
      </c>
      <c r="J740" s="18">
        <f ca="1">MONTH(A740)</f>
        <v>12</v>
      </c>
    </row>
    <row r="741" spans="1:10" s="18" customFormat="1" ht="18" customHeight="1">
      <c r="A741" s="318">
        <f ca="1">IF(ROWS($1:727)&gt;COUNT(Dong5),"",OFFSET(TH!C$1,SMALL(Dong5,ROWS($1:727)),))</f>
        <v>42718</v>
      </c>
      <c r="B741" s="318" t="str">
        <f ca="1">IF(ROWS($1:727)&gt;COUNT(Dong5),"",OFFSET(TH!D$1,SMALL(Dong5,ROWS($1:727)),))</f>
        <v>GBN</v>
      </c>
      <c r="C741" s="318">
        <f ca="1">IF(ROWS($1:727)&gt;COUNT(Dong5),"",OFFSET(TH!E$1,SMALL(Dong5,ROWS($1:727)),))</f>
        <v>42718</v>
      </c>
      <c r="D741" s="383" t="str">
        <f ca="1">IF(ROWS($1:727)&gt;COUNT(Dong5),"",OFFSET(TH!F$1,SMALL(Dong5,ROWS($1:727)),))</f>
        <v>VAT Phí NH</v>
      </c>
      <c r="E741" s="318" t="str">
        <f ca="1">IF(ROWS($1:727)&gt;COUNT(Dong5),"",IF(OFFSET(TH!N$1,SMALL(Dong5,ROWS($1:727)),)=$E$7,OFFSET(TH!O$1,SMALL(Dong5,ROWS($1:727)),),OFFSET(TH!N$1,SMALL(Dong5,ROWS($1:727)),)))</f>
        <v>1121</v>
      </c>
      <c r="F741" s="384">
        <f ca="1">IF(ROWS($1:727)&gt;COUNT(Dong5),0,IF(OFFSET(TH!N$1,SMALL(Dong5,ROWS($1:727)),)=$E$7,OFFSET(TH!M$1,SMALL(Dong5,ROWS($1:727)),),0))</f>
        <v>300628</v>
      </c>
      <c r="G741" s="382">
        <f ca="1">IF(ROWS($1:727)&gt;COUNT(Dong5),0,IF(OFFSET(TH!O$1,SMALL(Dong5,ROWS($1:727)),)=$E$7,OFFSET(TH!M$1,SMALL(Dong5,ROWS($1:727)),),0))</f>
        <v>0</v>
      </c>
      <c r="H741" s="385">
        <f ca="1">IF(D741&lt;&gt;"",MAX(H740+F741-G741-I740,0),0)</f>
        <v>491929832</v>
      </c>
      <c r="I741" s="385">
        <f ca="1">IF(D741&lt;&gt;"",MAX(I740+G741-H740-F741,0),0)</f>
        <v>0</v>
      </c>
      <c r="J741" s="18">
        <f ca="1">MONTH(A741)</f>
        <v>12</v>
      </c>
    </row>
    <row r="742" spans="1:10" s="18" customFormat="1" ht="18" customHeight="1">
      <c r="A742" s="318">
        <f ca="1">IF(ROWS($1:728)&gt;COUNT(Dong5),"",OFFSET(TH!C$1,SMALL(Dong5,ROWS($1:728)),))</f>
        <v>42718</v>
      </c>
      <c r="B742" s="318" t="str">
        <f ca="1">IF(ROWS($1:728)&gt;COUNT(Dong5),"",OFFSET(TH!D$1,SMALL(Dong5,ROWS($1:728)),))</f>
        <v>GBN</v>
      </c>
      <c r="C742" s="318">
        <f ca="1">IF(ROWS($1:728)&gt;COUNT(Dong5),"",OFFSET(TH!E$1,SMALL(Dong5,ROWS($1:728)),))</f>
        <v>42718</v>
      </c>
      <c r="D742" s="383" t="str">
        <f ca="1">IF(ROWS($1:728)&gt;COUNT(Dong5),"",OFFSET(TH!F$1,SMALL(Dong5,ROWS($1:728)),))</f>
        <v>VAT Phí thanh toán</v>
      </c>
      <c r="E742" s="318" t="str">
        <f ca="1">IF(ROWS($1:728)&gt;COUNT(Dong5),"",IF(OFFSET(TH!N$1,SMALL(Dong5,ROWS($1:728)),)=$E$7,OFFSET(TH!O$1,SMALL(Dong5,ROWS($1:728)),),OFFSET(TH!N$1,SMALL(Dong5,ROWS($1:728)),)))</f>
        <v>1121</v>
      </c>
      <c r="F742" s="384">
        <f ca="1">IF(ROWS($1:728)&gt;COUNT(Dong5),0,IF(OFFSET(TH!N$1,SMALL(Dong5,ROWS($1:728)),)=$E$7,OFFSET(TH!M$1,SMALL(Dong5,ROWS($1:728)),),0))</f>
        <v>1000</v>
      </c>
      <c r="G742" s="382">
        <f ca="1">IF(ROWS($1:728)&gt;COUNT(Dong5),0,IF(OFFSET(TH!O$1,SMALL(Dong5,ROWS($1:728)),)=$E$7,OFFSET(TH!M$1,SMALL(Dong5,ROWS($1:728)),),0))</f>
        <v>0</v>
      </c>
      <c r="H742" s="385">
        <f ca="1">IF(D742&lt;&gt;"",MAX(H741+F742-G742-I741,0),0)</f>
        <v>491930832</v>
      </c>
      <c r="I742" s="385">
        <f ca="1">IF(D742&lt;&gt;"",MAX(I741+G742-H741-F742,0),0)</f>
        <v>0</v>
      </c>
      <c r="J742" s="18">
        <f ca="1">MONTH(A742)</f>
        <v>12</v>
      </c>
    </row>
    <row r="743" spans="1:10" s="18" customFormat="1" ht="18" customHeight="1">
      <c r="A743" s="318">
        <f ca="1">IF(ROWS($1:729)&gt;COUNT(Dong5),"",OFFSET(TH!C$1,SMALL(Dong5,ROWS($1:729)),))</f>
        <v>42718</v>
      </c>
      <c r="B743" s="318" t="str">
        <f ca="1">IF(ROWS($1:729)&gt;COUNT(Dong5),"",OFFSET(TH!D$1,SMALL(Dong5,ROWS($1:729)),))</f>
        <v>GBN</v>
      </c>
      <c r="C743" s="318">
        <f ca="1">IF(ROWS($1:729)&gt;COUNT(Dong5),"",OFFSET(TH!E$1,SMALL(Dong5,ROWS($1:729)),))</f>
        <v>42718</v>
      </c>
      <c r="D743" s="383" t="str">
        <f ca="1">IF(ROWS($1:729)&gt;COUNT(Dong5),"",OFFSET(TH!F$1,SMALL(Dong5,ROWS($1:729)),))</f>
        <v>VAT Phí thanh toán</v>
      </c>
      <c r="E743" s="318" t="str">
        <f ca="1">IF(ROWS($1:729)&gt;COUNT(Dong5),"",IF(OFFSET(TH!N$1,SMALL(Dong5,ROWS($1:729)),)=$E$7,OFFSET(TH!O$1,SMALL(Dong5,ROWS($1:729)),),OFFSET(TH!N$1,SMALL(Dong5,ROWS($1:729)),)))</f>
        <v>1121</v>
      </c>
      <c r="F743" s="384">
        <f ca="1">IF(ROWS($1:729)&gt;COUNT(Dong5),0,IF(OFFSET(TH!N$1,SMALL(Dong5,ROWS($1:729)),)=$E$7,OFFSET(TH!M$1,SMALL(Dong5,ROWS($1:729)),),0))</f>
        <v>43290</v>
      </c>
      <c r="G743" s="382">
        <f ca="1">IF(ROWS($1:729)&gt;COUNT(Dong5),0,IF(OFFSET(TH!O$1,SMALL(Dong5,ROWS($1:729)),)=$E$7,OFFSET(TH!M$1,SMALL(Dong5,ROWS($1:729)),),0))</f>
        <v>0</v>
      </c>
      <c r="H743" s="385">
        <f ca="1">IF(D743&lt;&gt;"",MAX(H742+F743-G743-I742,0),0)</f>
        <v>491974122</v>
      </c>
      <c r="I743" s="385">
        <f ca="1">IF(D743&lt;&gt;"",MAX(I742+G743-H742-F743,0),0)</f>
        <v>0</v>
      </c>
      <c r="J743" s="18">
        <f ca="1">MONTH(A743)</f>
        <v>12</v>
      </c>
    </row>
    <row r="744" spans="1:10" s="18" customFormat="1" ht="18" customHeight="1">
      <c r="A744" s="318">
        <f ca="1">IF(ROWS($1:730)&gt;COUNT(Dong5),"",OFFSET(TH!C$1,SMALL(Dong5,ROWS($1:730)),))</f>
        <v>42718</v>
      </c>
      <c r="B744" s="318" t="str">
        <f ca="1">IF(ROWS($1:730)&gt;COUNT(Dong5),"",OFFSET(TH!D$1,SMALL(Dong5,ROWS($1:730)),))</f>
        <v>GBN</v>
      </c>
      <c r="C744" s="318">
        <f ca="1">IF(ROWS($1:730)&gt;COUNT(Dong5),"",OFFSET(TH!E$1,SMALL(Dong5,ROWS($1:730)),))</f>
        <v>42718</v>
      </c>
      <c r="D744" s="383" t="str">
        <f ca="1">IF(ROWS($1:730)&gt;COUNT(Dong5),"",OFFSET(TH!F$1,SMALL(Dong5,ROWS($1:730)),))</f>
        <v>VAT Phí thanh toán</v>
      </c>
      <c r="E744" s="318" t="str">
        <f ca="1">IF(ROWS($1:730)&gt;COUNT(Dong5),"",IF(OFFSET(TH!N$1,SMALL(Dong5,ROWS($1:730)),)=$E$7,OFFSET(TH!O$1,SMALL(Dong5,ROWS($1:730)),),OFFSET(TH!N$1,SMALL(Dong5,ROWS($1:730)),)))</f>
        <v>1121</v>
      </c>
      <c r="F744" s="384">
        <f ca="1">IF(ROWS($1:730)&gt;COUNT(Dong5),0,IF(OFFSET(TH!N$1,SMALL(Dong5,ROWS($1:730)),)=$E$7,OFFSET(TH!M$1,SMALL(Dong5,ROWS($1:730)),),0))</f>
        <v>1000</v>
      </c>
      <c r="G744" s="382">
        <f ca="1">IF(ROWS($1:730)&gt;COUNT(Dong5),0,IF(OFFSET(TH!O$1,SMALL(Dong5,ROWS($1:730)),)=$E$7,OFFSET(TH!M$1,SMALL(Dong5,ROWS($1:730)),),0))</f>
        <v>0</v>
      </c>
      <c r="H744" s="385">
        <f ca="1">IF(D744&lt;&gt;"",MAX(H743+F744-G744-I743,0),0)</f>
        <v>491975122</v>
      </c>
      <c r="I744" s="385">
        <f ca="1">IF(D744&lt;&gt;"",MAX(I743+G744-H743-F744,0),0)</f>
        <v>0</v>
      </c>
      <c r="J744" s="18">
        <f ca="1">MONTH(A744)</f>
        <v>12</v>
      </c>
    </row>
    <row r="745" spans="1:10" s="18" customFormat="1" ht="18" customHeight="1">
      <c r="A745" s="318">
        <f ca="1">IF(ROWS($1:731)&gt;COUNT(Dong5),"",OFFSET(TH!C$1,SMALL(Dong5,ROWS($1:731)),))</f>
        <v>42718</v>
      </c>
      <c r="B745" s="318" t="str">
        <f ca="1">IF(ROWS($1:731)&gt;COUNT(Dong5),"",OFFSET(TH!D$1,SMALL(Dong5,ROWS($1:731)),))</f>
        <v>GBN</v>
      </c>
      <c r="C745" s="318">
        <f ca="1">IF(ROWS($1:731)&gt;COUNT(Dong5),"",OFFSET(TH!E$1,SMALL(Dong5,ROWS($1:731)),))</f>
        <v>42718</v>
      </c>
      <c r="D745" s="383" t="str">
        <f ca="1">IF(ROWS($1:731)&gt;COUNT(Dong5),"",OFFSET(TH!F$1,SMALL(Dong5,ROWS($1:731)),))</f>
        <v>VAT Phí thanh toán</v>
      </c>
      <c r="E745" s="318" t="str">
        <f ca="1">IF(ROWS($1:731)&gt;COUNT(Dong5),"",IF(OFFSET(TH!N$1,SMALL(Dong5,ROWS($1:731)),)=$E$7,OFFSET(TH!O$1,SMALL(Dong5,ROWS($1:731)),),OFFSET(TH!N$1,SMALL(Dong5,ROWS($1:731)),)))</f>
        <v>1121</v>
      </c>
      <c r="F745" s="384">
        <f ca="1">IF(ROWS($1:731)&gt;COUNT(Dong5),0,IF(OFFSET(TH!N$1,SMALL(Dong5,ROWS($1:731)),)=$E$7,OFFSET(TH!M$1,SMALL(Dong5,ROWS($1:731)),),0))</f>
        <v>29233</v>
      </c>
      <c r="G745" s="382">
        <f ca="1">IF(ROWS($1:731)&gt;COUNT(Dong5),0,IF(OFFSET(TH!O$1,SMALL(Dong5,ROWS($1:731)),)=$E$7,OFFSET(TH!M$1,SMALL(Dong5,ROWS($1:731)),),0))</f>
        <v>0</v>
      </c>
      <c r="H745" s="385">
        <f ca="1">IF(D745&lt;&gt;"",MAX(H744+F745-G745-I744,0),0)</f>
        <v>492004355</v>
      </c>
      <c r="I745" s="385">
        <f ca="1">IF(D745&lt;&gt;"",MAX(I744+G745-H744-F745,0),0)</f>
        <v>0</v>
      </c>
      <c r="J745" s="18">
        <f ca="1">MONTH(A745)</f>
        <v>12</v>
      </c>
    </row>
    <row r="746" spans="1:10" s="18" customFormat="1" ht="18" customHeight="1">
      <c r="A746" s="318">
        <f ca="1">IF(ROWS($1:732)&gt;COUNT(Dong5),"",OFFSET(TH!C$1,SMALL(Dong5,ROWS($1:732)),))</f>
        <v>42718</v>
      </c>
      <c r="B746" s="318" t="str">
        <f ca="1">IF(ROWS($1:732)&gt;COUNT(Dong5),"",OFFSET(TH!D$1,SMALL(Dong5,ROWS($1:732)),))</f>
        <v>GBN</v>
      </c>
      <c r="C746" s="318">
        <f ca="1">IF(ROWS($1:732)&gt;COUNT(Dong5),"",OFFSET(TH!E$1,SMALL(Dong5,ROWS($1:732)),))</f>
        <v>42718</v>
      </c>
      <c r="D746" s="383" t="str">
        <f ca="1">IF(ROWS($1:732)&gt;COUNT(Dong5),"",OFFSET(TH!F$1,SMALL(Dong5,ROWS($1:732)),))</f>
        <v>VAT Phí dịch vụ</v>
      </c>
      <c r="E746" s="318" t="str">
        <f ca="1">IF(ROWS($1:732)&gt;COUNT(Dong5),"",IF(OFFSET(TH!N$1,SMALL(Dong5,ROWS($1:732)),)=$E$7,OFFSET(TH!O$1,SMALL(Dong5,ROWS($1:732)),),OFFSET(TH!N$1,SMALL(Dong5,ROWS($1:732)),)))</f>
        <v>1121</v>
      </c>
      <c r="F746" s="384">
        <f ca="1">IF(ROWS($1:732)&gt;COUNT(Dong5),0,IF(OFFSET(TH!N$1,SMALL(Dong5,ROWS($1:732)),)=$E$7,OFFSET(TH!M$1,SMALL(Dong5,ROWS($1:732)),),0))</f>
        <v>25161</v>
      </c>
      <c r="G746" s="382">
        <f ca="1">IF(ROWS($1:732)&gt;COUNT(Dong5),0,IF(OFFSET(TH!O$1,SMALL(Dong5,ROWS($1:732)),)=$E$7,OFFSET(TH!M$1,SMALL(Dong5,ROWS($1:732)),),0))</f>
        <v>0</v>
      </c>
      <c r="H746" s="385">
        <f ca="1">IF(D746&lt;&gt;"",MAX(H745+F746-G746-I745,0),0)</f>
        <v>492029516</v>
      </c>
      <c r="I746" s="385">
        <f ca="1">IF(D746&lt;&gt;"",MAX(I745+G746-H745-F746,0),0)</f>
        <v>0</v>
      </c>
      <c r="J746" s="18">
        <f ca="1">MONTH(A746)</f>
        <v>12</v>
      </c>
    </row>
    <row r="747" spans="1:10" s="18" customFormat="1" ht="18" customHeight="1">
      <c r="A747" s="318">
        <f ca="1">IF(ROWS($1:733)&gt;COUNT(Dong5),"",OFFSET(TH!C$1,SMALL(Dong5,ROWS($1:733)),))</f>
        <v>42719</v>
      </c>
      <c r="B747" s="318" t="str">
        <f ca="1">IF(ROWS($1:733)&gt;COUNT(Dong5),"",OFFSET(TH!D$1,SMALL(Dong5,ROWS($1:733)),))</f>
        <v>C45</v>
      </c>
      <c r="C747" s="318">
        <f ca="1">IF(ROWS($1:733)&gt;COUNT(Dong5),"",OFFSET(TH!E$1,SMALL(Dong5,ROWS($1:733)),))</f>
        <v>42719</v>
      </c>
      <c r="D747" s="383" t="str">
        <f ca="1">IF(ROWS($1:733)&gt;COUNT(Dong5),"",OFFSET(TH!F$1,SMALL(Dong5,ROWS($1:733)),))</f>
        <v>VAT Băng tải, phí</v>
      </c>
      <c r="E747" s="318" t="str">
        <f ca="1">IF(ROWS($1:733)&gt;COUNT(Dong5),"",IF(OFFSET(TH!N$1,SMALL(Dong5,ROWS($1:733)),)=$E$7,OFFSET(TH!O$1,SMALL(Dong5,ROWS($1:733)),),OFFSET(TH!N$1,SMALL(Dong5,ROWS($1:733)),)))</f>
        <v>1111</v>
      </c>
      <c r="F747" s="384">
        <f ca="1">IF(ROWS($1:733)&gt;COUNT(Dong5),0,IF(OFFSET(TH!N$1,SMALL(Dong5,ROWS($1:733)),)=$E$7,OFFSET(TH!M$1,SMALL(Dong5,ROWS($1:733)),),0))</f>
        <v>1560000</v>
      </c>
      <c r="G747" s="382">
        <f ca="1">IF(ROWS($1:733)&gt;COUNT(Dong5),0,IF(OFFSET(TH!O$1,SMALL(Dong5,ROWS($1:733)),)=$E$7,OFFSET(TH!M$1,SMALL(Dong5,ROWS($1:733)),),0))</f>
        <v>0</v>
      </c>
      <c r="H747" s="385">
        <f ca="1">IF(D747&lt;&gt;"",MAX(H746+F747-G747-I746,0),0)</f>
        <v>493589516</v>
      </c>
      <c r="I747" s="385">
        <f ca="1">IF(D747&lt;&gt;"",MAX(I746+G747-H746-F747,0),0)</f>
        <v>0</v>
      </c>
      <c r="J747" s="18">
        <f ca="1">MONTH(A747)</f>
        <v>12</v>
      </c>
    </row>
    <row r="748" spans="1:10" s="18" customFormat="1" ht="18" customHeight="1">
      <c r="A748" s="318">
        <f ca="1">IF(ROWS($1:734)&gt;COUNT(Dong5),"",OFFSET(TH!C$1,SMALL(Dong5,ROWS($1:734)),))</f>
        <v>42719</v>
      </c>
      <c r="B748" s="318" t="str">
        <f ca="1">IF(ROWS($1:734)&gt;COUNT(Dong5),"",OFFSET(TH!D$1,SMALL(Dong5,ROWS($1:734)),))</f>
        <v>C46</v>
      </c>
      <c r="C748" s="318">
        <f ca="1">IF(ROWS($1:734)&gt;COUNT(Dong5),"",OFFSET(TH!E$1,SMALL(Dong5,ROWS($1:734)),))</f>
        <v>42719</v>
      </c>
      <c r="D748" s="383" t="str">
        <f ca="1">IF(ROWS($1:734)&gt;COUNT(Dong5),"",OFFSET(TH!F$1,SMALL(Dong5,ROWS($1:734)),))</f>
        <v>VAT Xăng, dầu DO</v>
      </c>
      <c r="E748" s="318" t="str">
        <f ca="1">IF(ROWS($1:734)&gt;COUNT(Dong5),"",IF(OFFSET(TH!N$1,SMALL(Dong5,ROWS($1:734)),)=$E$7,OFFSET(TH!O$1,SMALL(Dong5,ROWS($1:734)),),OFFSET(TH!N$1,SMALL(Dong5,ROWS($1:734)),)))</f>
        <v>1111</v>
      </c>
      <c r="F748" s="384">
        <f ca="1">IF(ROWS($1:734)&gt;COUNT(Dong5),0,IF(OFFSET(TH!N$1,SMALL(Dong5,ROWS($1:734)),)=$E$7,OFFSET(TH!M$1,SMALL(Dong5,ROWS($1:734)),),0))</f>
        <v>145166</v>
      </c>
      <c r="G748" s="382">
        <f ca="1">IF(ROWS($1:734)&gt;COUNT(Dong5),0,IF(OFFSET(TH!O$1,SMALL(Dong5,ROWS($1:734)),)=$E$7,OFFSET(TH!M$1,SMALL(Dong5,ROWS($1:734)),),0))</f>
        <v>0</v>
      </c>
      <c r="H748" s="385">
        <f ca="1">IF(D748&lt;&gt;"",MAX(H747+F748-G748-I747,0),0)</f>
        <v>493734682</v>
      </c>
      <c r="I748" s="385">
        <f ca="1">IF(D748&lt;&gt;"",MAX(I747+G748-H747-F748,0),0)</f>
        <v>0</v>
      </c>
      <c r="J748" s="18">
        <f ca="1">MONTH(A748)</f>
        <v>12</v>
      </c>
    </row>
    <row r="749" spans="1:10" s="18" customFormat="1" ht="18" customHeight="1">
      <c r="A749" s="318">
        <f ca="1">IF(ROWS($1:735)&gt;COUNT(Dong5),"",OFFSET(TH!C$1,SMALL(Dong5,ROWS($1:735)),))</f>
        <v>42728</v>
      </c>
      <c r="B749" s="318" t="str">
        <f ca="1">IF(ROWS($1:735)&gt;COUNT(Dong5),"",OFFSET(TH!D$1,SMALL(Dong5,ROWS($1:735)),))</f>
        <v>VL/N42</v>
      </c>
      <c r="C749" s="318">
        <f ca="1">IF(ROWS($1:735)&gt;COUNT(Dong5),"",OFFSET(TH!E$1,SMALL(Dong5,ROWS($1:735)),))</f>
        <v>42728</v>
      </c>
      <c r="D749" s="383" t="str">
        <f ca="1">IF(ROWS($1:735)&gt;COUNT(Dong5),"",OFFSET(TH!F$1,SMALL(Dong5,ROWS($1:735)),))</f>
        <v>VAT Thùng carton</v>
      </c>
      <c r="E749" s="318" t="str">
        <f ca="1">IF(ROWS($1:735)&gt;COUNT(Dong5),"",IF(OFFSET(TH!N$1,SMALL(Dong5,ROWS($1:735)),)=$E$7,OFFSET(TH!O$1,SMALL(Dong5,ROWS($1:735)),),OFFSET(TH!N$1,SMALL(Dong5,ROWS($1:735)),)))</f>
        <v>331</v>
      </c>
      <c r="F749" s="384">
        <f ca="1">IF(ROWS($1:735)&gt;COUNT(Dong5),0,IF(OFFSET(TH!N$1,SMALL(Dong5,ROWS($1:735)),)=$E$7,OFFSET(TH!M$1,SMALL(Dong5,ROWS($1:735)),),0))</f>
        <v>1800000</v>
      </c>
      <c r="G749" s="382">
        <f ca="1">IF(ROWS($1:735)&gt;COUNT(Dong5),0,IF(OFFSET(TH!O$1,SMALL(Dong5,ROWS($1:735)),)=$E$7,OFFSET(TH!M$1,SMALL(Dong5,ROWS($1:735)),),0))</f>
        <v>0</v>
      </c>
      <c r="H749" s="385">
        <f ca="1">IF(D749&lt;&gt;"",MAX(H748+F749-G749-I748,0),0)</f>
        <v>495534682</v>
      </c>
      <c r="I749" s="385">
        <f ca="1">IF(D749&lt;&gt;"",MAX(I748+G749-H748-F749,0),0)</f>
        <v>0</v>
      </c>
      <c r="J749" s="18">
        <f ca="1">MONTH(A749)</f>
        <v>12</v>
      </c>
    </row>
    <row r="750" spans="1:10" s="18" customFormat="1" ht="18" customHeight="1">
      <c r="A750" s="318">
        <f ca="1">IF(ROWS($1:736)&gt;COUNT(Dong5),"",OFFSET(TH!C$1,SMALL(Dong5,ROWS($1:736)),))</f>
        <v>42726</v>
      </c>
      <c r="B750" s="318" t="str">
        <f ca="1">IF(ROWS($1:736)&gt;COUNT(Dong5),"",OFFSET(TH!D$1,SMALL(Dong5,ROWS($1:736)),))</f>
        <v>VL/N39</v>
      </c>
      <c r="C750" s="318">
        <f ca="1">IF(ROWS($1:736)&gt;COUNT(Dong5),"",OFFSET(TH!E$1,SMALL(Dong5,ROWS($1:736)),))</f>
        <v>42726</v>
      </c>
      <c r="D750" s="383" t="str">
        <f ca="1">IF(ROWS($1:736)&gt;COUNT(Dong5),"",OFFSET(TH!F$1,SMALL(Dong5,ROWS($1:736)),))</f>
        <v>VAT Thùng carton</v>
      </c>
      <c r="E750" s="318" t="str">
        <f ca="1">IF(ROWS($1:736)&gt;COUNT(Dong5),"",IF(OFFSET(TH!N$1,SMALL(Dong5,ROWS($1:736)),)=$E$7,OFFSET(TH!O$1,SMALL(Dong5,ROWS($1:736)),),OFFSET(TH!N$1,SMALL(Dong5,ROWS($1:736)),)))</f>
        <v>331</v>
      </c>
      <c r="F750" s="384">
        <f ca="1">IF(ROWS($1:736)&gt;COUNT(Dong5),0,IF(OFFSET(TH!N$1,SMALL(Dong5,ROWS($1:736)),)=$E$7,OFFSET(TH!M$1,SMALL(Dong5,ROWS($1:736)),),0))</f>
        <v>1454250</v>
      </c>
      <c r="G750" s="382">
        <f ca="1">IF(ROWS($1:736)&gt;COUNT(Dong5),0,IF(OFFSET(TH!O$1,SMALL(Dong5,ROWS($1:736)),)=$E$7,OFFSET(TH!M$1,SMALL(Dong5,ROWS($1:736)),),0))</f>
        <v>0</v>
      </c>
      <c r="H750" s="385">
        <f ca="1">IF(D750&lt;&gt;"",MAX(H749+F750-G750-I749,0),0)</f>
        <v>496988932</v>
      </c>
      <c r="I750" s="385">
        <f ca="1">IF(D750&lt;&gt;"",MAX(I749+G750-H749-F750,0),0)</f>
        <v>0</v>
      </c>
      <c r="J750" s="18">
        <f ca="1">MONTH(A750)</f>
        <v>12</v>
      </c>
    </row>
    <row r="751" spans="1:10" s="18" customFormat="1" ht="18" customHeight="1">
      <c r="A751" s="318">
        <f ca="1">IF(ROWS($1:737)&gt;COUNT(Dong5),"",OFFSET(TH!C$1,SMALL(Dong5,ROWS($1:737)),))</f>
        <v>42720</v>
      </c>
      <c r="B751" s="318" t="str">
        <f ca="1">IF(ROWS($1:737)&gt;COUNT(Dong5),"",OFFSET(TH!D$1,SMALL(Dong5,ROWS($1:737)),))</f>
        <v>C52</v>
      </c>
      <c r="C751" s="318">
        <f ca="1">IF(ROWS($1:737)&gt;COUNT(Dong5),"",OFFSET(TH!E$1,SMALL(Dong5,ROWS($1:737)),))</f>
        <v>42720</v>
      </c>
      <c r="D751" s="383" t="str">
        <f ca="1">IF(ROWS($1:737)&gt;COUNT(Dong5),"",OFFSET(TH!F$1,SMALL(Dong5,ROWS($1:737)),))</f>
        <v>VAT Phí nâng công rỗng lạnh</v>
      </c>
      <c r="E751" s="318" t="str">
        <f ca="1">IF(ROWS($1:737)&gt;COUNT(Dong5),"",IF(OFFSET(TH!N$1,SMALL(Dong5,ROWS($1:737)),)=$E$7,OFFSET(TH!O$1,SMALL(Dong5,ROWS($1:737)),),OFFSET(TH!N$1,SMALL(Dong5,ROWS($1:737)),)))</f>
        <v>1111</v>
      </c>
      <c r="F751" s="384">
        <f ca="1">IF(ROWS($1:737)&gt;COUNT(Dong5),0,IF(OFFSET(TH!N$1,SMALL(Dong5,ROWS($1:737)),)=$E$7,OFFSET(TH!M$1,SMALL(Dong5,ROWS($1:737)),),0))</f>
        <v>1109091</v>
      </c>
      <c r="G751" s="382">
        <f ca="1">IF(ROWS($1:737)&gt;COUNT(Dong5),0,IF(OFFSET(TH!O$1,SMALL(Dong5,ROWS($1:737)),)=$E$7,OFFSET(TH!M$1,SMALL(Dong5,ROWS($1:737)),),0))</f>
        <v>0</v>
      </c>
      <c r="H751" s="385">
        <f ca="1">IF(D751&lt;&gt;"",MAX(H750+F751-G751-I750,0),0)</f>
        <v>498098023</v>
      </c>
      <c r="I751" s="385">
        <f ca="1">IF(D751&lt;&gt;"",MAX(I750+G751-H750-F751,0),0)</f>
        <v>0</v>
      </c>
      <c r="J751" s="18">
        <f ca="1">MONTH(A751)</f>
        <v>12</v>
      </c>
    </row>
    <row r="752" spans="1:10" s="18" customFormat="1" ht="18" customHeight="1">
      <c r="A752" s="318">
        <f ca="1">IF(ROWS($1:738)&gt;COUNT(Dong5),"",OFFSET(TH!C$1,SMALL(Dong5,ROWS($1:738)),))</f>
        <v>42720</v>
      </c>
      <c r="B752" s="318" t="str">
        <f ca="1">IF(ROWS($1:738)&gt;COUNT(Dong5),"",OFFSET(TH!D$1,SMALL(Dong5,ROWS($1:738)),))</f>
        <v>GBN</v>
      </c>
      <c r="C752" s="318">
        <f ca="1">IF(ROWS($1:738)&gt;COUNT(Dong5),"",OFFSET(TH!E$1,SMALL(Dong5,ROWS($1:738)),))</f>
        <v>42720</v>
      </c>
      <c r="D752" s="383" t="str">
        <f ca="1">IF(ROWS($1:738)&gt;COUNT(Dong5),"",OFFSET(TH!F$1,SMALL(Dong5,ROWS($1:738)),))</f>
        <v>VAT Phí LC, phí xử lý bộ chứng từ</v>
      </c>
      <c r="E752" s="318" t="str">
        <f ca="1">IF(ROWS($1:738)&gt;COUNT(Dong5),"",IF(OFFSET(TH!N$1,SMALL(Dong5,ROWS($1:738)),)=$E$7,OFFSET(TH!O$1,SMALL(Dong5,ROWS($1:738)),),OFFSET(TH!N$1,SMALL(Dong5,ROWS($1:738)),)))</f>
        <v>1121</v>
      </c>
      <c r="F752" s="384">
        <f ca="1">IF(ROWS($1:738)&gt;COUNT(Dong5),0,IF(OFFSET(TH!N$1,SMALL(Dong5,ROWS($1:738)),)=$E$7,OFFSET(TH!M$1,SMALL(Dong5,ROWS($1:738)),),0))</f>
        <v>125596</v>
      </c>
      <c r="G752" s="382">
        <f ca="1">IF(ROWS($1:738)&gt;COUNT(Dong5),0,IF(OFFSET(TH!O$1,SMALL(Dong5,ROWS($1:738)),)=$E$7,OFFSET(TH!M$1,SMALL(Dong5,ROWS($1:738)),),0))</f>
        <v>0</v>
      </c>
      <c r="H752" s="385">
        <f ca="1">IF(D752&lt;&gt;"",MAX(H751+F752-G752-I751,0),0)</f>
        <v>498223619</v>
      </c>
      <c r="I752" s="385">
        <f ca="1">IF(D752&lt;&gt;"",MAX(I751+G752-H751-F752,0),0)</f>
        <v>0</v>
      </c>
      <c r="J752" s="18">
        <f ca="1">MONTH(A752)</f>
        <v>12</v>
      </c>
    </row>
    <row r="753" spans="1:10" s="18" customFormat="1" ht="18" customHeight="1">
      <c r="A753" s="318">
        <f ca="1">IF(ROWS($1:739)&gt;COUNT(Dong5),"",OFFSET(TH!C$1,SMALL(Dong5,ROWS($1:739)),))</f>
        <v>42721</v>
      </c>
      <c r="B753" s="318" t="str">
        <f ca="1">IF(ROWS($1:739)&gt;COUNT(Dong5),"",OFFSET(TH!D$1,SMALL(Dong5,ROWS($1:739)),))</f>
        <v>GBN</v>
      </c>
      <c r="C753" s="318">
        <f ca="1">IF(ROWS($1:739)&gt;COUNT(Dong5),"",OFFSET(TH!E$1,SMALL(Dong5,ROWS($1:739)),))</f>
        <v>42721</v>
      </c>
      <c r="D753" s="383" t="str">
        <f ca="1">IF(ROWS($1:739)&gt;COUNT(Dong5),"",OFFSET(TH!F$1,SMALL(Dong5,ROWS($1:739)),))</f>
        <v>VAT Phí dịch vụ thông báo số dư tự động</v>
      </c>
      <c r="E753" s="318" t="str">
        <f ca="1">IF(ROWS($1:739)&gt;COUNT(Dong5),"",IF(OFFSET(TH!N$1,SMALL(Dong5,ROWS($1:739)),)=$E$7,OFFSET(TH!O$1,SMALL(Dong5,ROWS($1:739)),),OFFSET(TH!N$1,SMALL(Dong5,ROWS($1:739)),)))</f>
        <v>1121</v>
      </c>
      <c r="F753" s="384">
        <f ca="1">IF(ROWS($1:739)&gt;COUNT(Dong5),0,IF(OFFSET(TH!N$1,SMALL(Dong5,ROWS($1:739)),)=$E$7,OFFSET(TH!M$1,SMALL(Dong5,ROWS($1:739)),),0))</f>
        <v>5000</v>
      </c>
      <c r="G753" s="382">
        <f ca="1">IF(ROWS($1:739)&gt;COUNT(Dong5),0,IF(OFFSET(TH!O$1,SMALL(Dong5,ROWS($1:739)),)=$E$7,OFFSET(TH!M$1,SMALL(Dong5,ROWS($1:739)),),0))</f>
        <v>0</v>
      </c>
      <c r="H753" s="385">
        <f ca="1">IF(D753&lt;&gt;"",MAX(H752+F753-G753-I752,0),0)</f>
        <v>498228619</v>
      </c>
      <c r="I753" s="385">
        <f ca="1">IF(D753&lt;&gt;"",MAX(I752+G753-H752-F753,0),0)</f>
        <v>0</v>
      </c>
      <c r="J753" s="18">
        <f ca="1">MONTH(A753)</f>
        <v>12</v>
      </c>
    </row>
    <row r="754" spans="1:10" s="18" customFormat="1" ht="18" customHeight="1">
      <c r="A754" s="318">
        <f ca="1">IF(ROWS($1:740)&gt;COUNT(Dong5),"",OFFSET(TH!C$1,SMALL(Dong5,ROWS($1:740)),))</f>
        <v>42721</v>
      </c>
      <c r="B754" s="318" t="str">
        <f ca="1">IF(ROWS($1:740)&gt;COUNT(Dong5),"",OFFSET(TH!D$1,SMALL(Dong5,ROWS($1:740)),))</f>
        <v>GBN</v>
      </c>
      <c r="C754" s="318">
        <f ca="1">IF(ROWS($1:740)&gt;COUNT(Dong5),"",OFFSET(TH!E$1,SMALL(Dong5,ROWS($1:740)),))</f>
        <v>42721</v>
      </c>
      <c r="D754" s="383" t="str">
        <f ca="1">IF(ROWS($1:740)&gt;COUNT(Dong5),"",OFFSET(TH!F$1,SMALL(Dong5,ROWS($1:740)),))</f>
        <v>VAT Phí dịch vụ thông báo số dư tự động</v>
      </c>
      <c r="E754" s="318" t="str">
        <f ca="1">IF(ROWS($1:740)&gt;COUNT(Dong5),"",IF(OFFSET(TH!N$1,SMALL(Dong5,ROWS($1:740)),)=$E$7,OFFSET(TH!O$1,SMALL(Dong5,ROWS($1:740)),),OFFSET(TH!N$1,SMALL(Dong5,ROWS($1:740)),)))</f>
        <v>1121</v>
      </c>
      <c r="F754" s="384">
        <f ca="1">IF(ROWS($1:740)&gt;COUNT(Dong5),0,IF(OFFSET(TH!N$1,SMALL(Dong5,ROWS($1:740)),)=$E$7,OFFSET(TH!M$1,SMALL(Dong5,ROWS($1:740)),),0))</f>
        <v>5000</v>
      </c>
      <c r="G754" s="382">
        <f ca="1">IF(ROWS($1:740)&gt;COUNT(Dong5),0,IF(OFFSET(TH!O$1,SMALL(Dong5,ROWS($1:740)),)=$E$7,OFFSET(TH!M$1,SMALL(Dong5,ROWS($1:740)),),0))</f>
        <v>0</v>
      </c>
      <c r="H754" s="385">
        <f ca="1">IF(D754&lt;&gt;"",MAX(H753+F754-G754-I753,0),0)</f>
        <v>498233619</v>
      </c>
      <c r="I754" s="385">
        <f ca="1">IF(D754&lt;&gt;"",MAX(I753+G754-H753-F754,0),0)</f>
        <v>0</v>
      </c>
      <c r="J754" s="18">
        <f ca="1">MONTH(A754)</f>
        <v>12</v>
      </c>
    </row>
    <row r="755" spans="1:10" s="18" customFormat="1" ht="18" customHeight="1">
      <c r="A755" s="318">
        <f ca="1">IF(ROWS($1:741)&gt;COUNT(Dong5),"",OFFSET(TH!C$1,SMALL(Dong5,ROWS($1:741)),))</f>
        <v>42721</v>
      </c>
      <c r="B755" s="318" t="str">
        <f ca="1">IF(ROWS($1:741)&gt;COUNT(Dong5),"",OFFSET(TH!D$1,SMALL(Dong5,ROWS($1:741)),))</f>
        <v>GBN</v>
      </c>
      <c r="C755" s="318">
        <f ca="1">IF(ROWS($1:741)&gt;COUNT(Dong5),"",OFFSET(TH!E$1,SMALL(Dong5,ROWS($1:741)),))</f>
        <v>42721</v>
      </c>
      <c r="D755" s="383" t="str">
        <f ca="1">IF(ROWS($1:741)&gt;COUNT(Dong5),"",OFFSET(TH!F$1,SMALL(Dong5,ROWS($1:741)),))</f>
        <v>VAT Phí nhận tiền đến từ nước ngoài</v>
      </c>
      <c r="E755" s="318" t="str">
        <f ca="1">IF(ROWS($1:741)&gt;COUNT(Dong5),"",IF(OFFSET(TH!N$1,SMALL(Dong5,ROWS($1:741)),)=$E$7,OFFSET(TH!O$1,SMALL(Dong5,ROWS($1:741)),),OFFSET(TH!N$1,SMALL(Dong5,ROWS($1:741)),)))</f>
        <v>131</v>
      </c>
      <c r="F755" s="384">
        <f ca="1">IF(ROWS($1:741)&gt;COUNT(Dong5),0,IF(OFFSET(TH!N$1,SMALL(Dong5,ROWS($1:741)),)=$E$7,OFFSET(TH!M$1,SMALL(Dong5,ROWS($1:741)),),0))</f>
        <v>227100</v>
      </c>
      <c r="G755" s="382">
        <f ca="1">IF(ROWS($1:741)&gt;COUNT(Dong5),0,IF(OFFSET(TH!O$1,SMALL(Dong5,ROWS($1:741)),)=$E$7,OFFSET(TH!M$1,SMALL(Dong5,ROWS($1:741)),),0))</f>
        <v>0</v>
      </c>
      <c r="H755" s="385">
        <f ca="1">IF(D755&lt;&gt;"",MAX(H754+F755-G755-I754,0),0)</f>
        <v>498460719</v>
      </c>
      <c r="I755" s="385">
        <f ca="1">IF(D755&lt;&gt;"",MAX(I754+G755-H754-F755,0),0)</f>
        <v>0</v>
      </c>
      <c r="J755" s="18">
        <f ca="1">MONTH(A755)</f>
        <v>12</v>
      </c>
    </row>
    <row r="756" spans="1:10" s="18" customFormat="1" ht="18" customHeight="1">
      <c r="A756" s="318">
        <f ca="1">IF(ROWS($1:742)&gt;COUNT(Dong5),"",OFFSET(TH!C$1,SMALL(Dong5,ROWS($1:742)),))</f>
        <v>42722</v>
      </c>
      <c r="B756" s="318" t="str">
        <f ca="1">IF(ROWS($1:742)&gt;COUNT(Dong5),"",OFFSET(TH!D$1,SMALL(Dong5,ROWS($1:742)),))</f>
        <v>C57</v>
      </c>
      <c r="C756" s="318">
        <f ca="1">IF(ROWS($1:742)&gt;COUNT(Dong5),"",OFFSET(TH!E$1,SMALL(Dong5,ROWS($1:742)),))</f>
        <v>42722</v>
      </c>
      <c r="D756" s="383" t="str">
        <f ca="1">IF(ROWS($1:742)&gt;COUNT(Dong5),"",OFFSET(TH!F$1,SMALL(Dong5,ROWS($1:742)),))</f>
        <v>VAT Xăng, dầu DO</v>
      </c>
      <c r="E756" s="318" t="str">
        <f ca="1">IF(ROWS($1:742)&gt;COUNT(Dong5),"",IF(OFFSET(TH!N$1,SMALL(Dong5,ROWS($1:742)),)=$E$7,OFFSET(TH!O$1,SMALL(Dong5,ROWS($1:742)),),OFFSET(TH!N$1,SMALL(Dong5,ROWS($1:742)),)))</f>
        <v>1111</v>
      </c>
      <c r="F756" s="384">
        <f ca="1">IF(ROWS($1:742)&gt;COUNT(Dong5),0,IF(OFFSET(TH!N$1,SMALL(Dong5,ROWS($1:742)),)=$E$7,OFFSET(TH!M$1,SMALL(Dong5,ROWS($1:742)),),0))</f>
        <v>238462</v>
      </c>
      <c r="G756" s="382">
        <f ca="1">IF(ROWS($1:742)&gt;COUNT(Dong5),0,IF(OFFSET(TH!O$1,SMALL(Dong5,ROWS($1:742)),)=$E$7,OFFSET(TH!M$1,SMALL(Dong5,ROWS($1:742)),),0))</f>
        <v>0</v>
      </c>
      <c r="H756" s="385">
        <f ca="1">IF(D756&lt;&gt;"",MAX(H755+F756-G756-I755,0),0)</f>
        <v>498699181</v>
      </c>
      <c r="I756" s="385">
        <f ca="1">IF(D756&lt;&gt;"",MAX(I755+G756-H755-F756,0),0)</f>
        <v>0</v>
      </c>
      <c r="J756" s="18">
        <f ca="1">MONTH(A756)</f>
        <v>12</v>
      </c>
    </row>
    <row r="757" spans="1:10" s="18" customFormat="1" ht="18" customHeight="1">
      <c r="A757" s="318">
        <f ca="1">IF(ROWS($1:743)&gt;COUNT(Dong5),"",OFFSET(TH!C$1,SMALL(Dong5,ROWS($1:743)),))</f>
        <v>42729</v>
      </c>
      <c r="B757" s="318" t="str">
        <f ca="1">IF(ROWS($1:743)&gt;COUNT(Dong5),"",OFFSET(TH!D$1,SMALL(Dong5,ROWS($1:743)),))</f>
        <v>VL/N45</v>
      </c>
      <c r="C757" s="318">
        <f ca="1">IF(ROWS($1:743)&gt;COUNT(Dong5),"",OFFSET(TH!E$1,SMALL(Dong5,ROWS($1:743)),))</f>
        <v>42729</v>
      </c>
      <c r="D757" s="383" t="str">
        <f ca="1">IF(ROWS($1:743)&gt;COUNT(Dong5),"",OFFSET(TH!F$1,SMALL(Dong5,ROWS($1:743)),))</f>
        <v>VAT Thùng carton</v>
      </c>
      <c r="E757" s="318" t="str">
        <f ca="1">IF(ROWS($1:743)&gt;COUNT(Dong5),"",IF(OFFSET(TH!N$1,SMALL(Dong5,ROWS($1:743)),)=$E$7,OFFSET(TH!O$1,SMALL(Dong5,ROWS($1:743)),),OFFSET(TH!N$1,SMALL(Dong5,ROWS($1:743)),)))</f>
        <v>331</v>
      </c>
      <c r="F757" s="384">
        <f ca="1">IF(ROWS($1:743)&gt;COUNT(Dong5),0,IF(OFFSET(TH!N$1,SMALL(Dong5,ROWS($1:743)),)=$E$7,OFFSET(TH!M$1,SMALL(Dong5,ROWS($1:743)),),0))</f>
        <v>1800000</v>
      </c>
      <c r="G757" s="382">
        <f ca="1">IF(ROWS($1:743)&gt;COUNT(Dong5),0,IF(OFFSET(TH!O$1,SMALL(Dong5,ROWS($1:743)),)=$E$7,OFFSET(TH!M$1,SMALL(Dong5,ROWS($1:743)),),0))</f>
        <v>0</v>
      </c>
      <c r="H757" s="385">
        <f ca="1">IF(D757&lt;&gt;"",MAX(H756+F757-G757-I756,0),0)</f>
        <v>500499181</v>
      </c>
      <c r="I757" s="385">
        <f ca="1">IF(D757&lt;&gt;"",MAX(I756+G757-H756-F757,0),0)</f>
        <v>0</v>
      </c>
      <c r="J757" s="18">
        <f ca="1">MONTH(A757)</f>
        <v>12</v>
      </c>
    </row>
    <row r="758" spans="1:10" s="18" customFormat="1" ht="18" customHeight="1">
      <c r="A758" s="318">
        <f ca="1">IF(ROWS($1:744)&gt;COUNT(Dong5),"",OFFSET(TH!C$1,SMALL(Dong5,ROWS($1:744)),))</f>
        <v>42723</v>
      </c>
      <c r="B758" s="318" t="str">
        <f ca="1">IF(ROWS($1:744)&gt;COUNT(Dong5),"",OFFSET(TH!D$1,SMALL(Dong5,ROWS($1:744)),))</f>
        <v>C60</v>
      </c>
      <c r="C758" s="318">
        <f ca="1">IF(ROWS($1:744)&gt;COUNT(Dong5),"",OFFSET(TH!E$1,SMALL(Dong5,ROWS($1:744)),))</f>
        <v>42723</v>
      </c>
      <c r="D758" s="383" t="str">
        <f ca="1">IF(ROWS($1:744)&gt;COUNT(Dong5),"",OFFSET(TH!F$1,SMALL(Dong5,ROWS($1:744)),))</f>
        <v>VAT Xăng, dầu DO</v>
      </c>
      <c r="E758" s="318" t="str">
        <f ca="1">IF(ROWS($1:744)&gt;COUNT(Dong5),"",IF(OFFSET(TH!N$1,SMALL(Dong5,ROWS($1:744)),)=$E$7,OFFSET(TH!O$1,SMALL(Dong5,ROWS($1:744)),),OFFSET(TH!N$1,SMALL(Dong5,ROWS($1:744)),)))</f>
        <v>1111</v>
      </c>
      <c r="F758" s="384">
        <f ca="1">IF(ROWS($1:744)&gt;COUNT(Dong5),0,IF(OFFSET(TH!N$1,SMALL(Dong5,ROWS($1:744)),)=$E$7,OFFSET(TH!M$1,SMALL(Dong5,ROWS($1:744)),),0))</f>
        <v>55287</v>
      </c>
      <c r="G758" s="382">
        <f ca="1">IF(ROWS($1:744)&gt;COUNT(Dong5),0,IF(OFFSET(TH!O$1,SMALL(Dong5,ROWS($1:744)),)=$E$7,OFFSET(TH!M$1,SMALL(Dong5,ROWS($1:744)),),0))</f>
        <v>0</v>
      </c>
      <c r="H758" s="385">
        <f ca="1">IF(D758&lt;&gt;"",MAX(H757+F758-G758-I757,0),0)</f>
        <v>500554468</v>
      </c>
      <c r="I758" s="385">
        <f ca="1">IF(D758&lt;&gt;"",MAX(I757+G758-H757-F758,0),0)</f>
        <v>0</v>
      </c>
      <c r="J758" s="18">
        <f ca="1">MONTH(A758)</f>
        <v>12</v>
      </c>
    </row>
    <row r="759" spans="1:10" s="18" customFormat="1" ht="18" customHeight="1">
      <c r="A759" s="318">
        <f ca="1">IF(ROWS($1:745)&gt;COUNT(Dong5),"",OFFSET(TH!C$1,SMALL(Dong5,ROWS($1:745)),))</f>
        <v>42723</v>
      </c>
      <c r="B759" s="318" t="str">
        <f ca="1">IF(ROWS($1:745)&gt;COUNT(Dong5),"",OFFSET(TH!D$1,SMALL(Dong5,ROWS($1:745)),))</f>
        <v>GBN</v>
      </c>
      <c r="C759" s="318">
        <f ca="1">IF(ROWS($1:745)&gt;COUNT(Dong5),"",OFFSET(TH!E$1,SMALL(Dong5,ROWS($1:745)),))</f>
        <v>42723</v>
      </c>
      <c r="D759" s="383" t="str">
        <f ca="1">IF(ROWS($1:745)&gt;COUNT(Dong5),"",OFFSET(TH!F$1,SMALL(Dong5,ROWS($1:745)),))</f>
        <v>VAT Phí thanh toán</v>
      </c>
      <c r="E759" s="318" t="str">
        <f ca="1">IF(ROWS($1:745)&gt;COUNT(Dong5),"",IF(OFFSET(TH!N$1,SMALL(Dong5,ROWS($1:745)),)=$E$7,OFFSET(TH!O$1,SMALL(Dong5,ROWS($1:745)),),OFFSET(TH!N$1,SMALL(Dong5,ROWS($1:745)),)))</f>
        <v>1121</v>
      </c>
      <c r="F759" s="384">
        <f ca="1">IF(ROWS($1:745)&gt;COUNT(Dong5),0,IF(OFFSET(TH!N$1,SMALL(Dong5,ROWS($1:745)),)=$E$7,OFFSET(TH!M$1,SMALL(Dong5,ROWS($1:745)),),0))</f>
        <v>52525</v>
      </c>
      <c r="G759" s="382">
        <f ca="1">IF(ROWS($1:745)&gt;COUNT(Dong5),0,IF(OFFSET(TH!O$1,SMALL(Dong5,ROWS($1:745)),)=$E$7,OFFSET(TH!M$1,SMALL(Dong5,ROWS($1:745)),),0))</f>
        <v>0</v>
      </c>
      <c r="H759" s="385">
        <f ca="1">IF(D759&lt;&gt;"",MAX(H758+F759-G759-I758,0),0)</f>
        <v>500606993</v>
      </c>
      <c r="I759" s="385">
        <f ca="1">IF(D759&lt;&gt;"",MAX(I758+G759-H758-F759,0),0)</f>
        <v>0</v>
      </c>
      <c r="J759" s="18">
        <f ca="1">MONTH(A759)</f>
        <v>12</v>
      </c>
    </row>
    <row r="760" spans="1:10" s="18" customFormat="1" ht="18" customHeight="1">
      <c r="A760" s="318">
        <f ca="1">IF(ROWS($1:746)&gt;COUNT(Dong5),"",OFFSET(TH!C$1,SMALL(Dong5,ROWS($1:746)),))</f>
        <v>42723</v>
      </c>
      <c r="B760" s="318" t="str">
        <f ca="1">IF(ROWS($1:746)&gt;COUNT(Dong5),"",OFFSET(TH!D$1,SMALL(Dong5,ROWS($1:746)),))</f>
        <v>GBN</v>
      </c>
      <c r="C760" s="318">
        <f ca="1">IF(ROWS($1:746)&gt;COUNT(Dong5),"",OFFSET(TH!E$1,SMALL(Dong5,ROWS($1:746)),))</f>
        <v>42723</v>
      </c>
      <c r="D760" s="383" t="str">
        <f ca="1">IF(ROWS($1:746)&gt;COUNT(Dong5),"",OFFSET(TH!F$1,SMALL(Dong5,ROWS($1:746)),))</f>
        <v>VAT Phí thanh toán</v>
      </c>
      <c r="E760" s="318" t="str">
        <f ca="1">IF(ROWS($1:746)&gt;COUNT(Dong5),"",IF(OFFSET(TH!N$1,SMALL(Dong5,ROWS($1:746)),)=$E$7,OFFSET(TH!O$1,SMALL(Dong5,ROWS($1:746)),),OFFSET(TH!N$1,SMALL(Dong5,ROWS($1:746)),)))</f>
        <v>1121</v>
      </c>
      <c r="F760" s="384">
        <f ca="1">IF(ROWS($1:746)&gt;COUNT(Dong5),0,IF(OFFSET(TH!N$1,SMALL(Dong5,ROWS($1:746)),)=$E$7,OFFSET(TH!M$1,SMALL(Dong5,ROWS($1:746)),),0))</f>
        <v>4000</v>
      </c>
      <c r="G760" s="382">
        <f ca="1">IF(ROWS($1:746)&gt;COUNT(Dong5),0,IF(OFFSET(TH!O$1,SMALL(Dong5,ROWS($1:746)),)=$E$7,OFFSET(TH!M$1,SMALL(Dong5,ROWS($1:746)),),0))</f>
        <v>0</v>
      </c>
      <c r="H760" s="385">
        <f ca="1">IF(D760&lt;&gt;"",MAX(H759+F760-G760-I759,0),0)</f>
        <v>500610993</v>
      </c>
      <c r="I760" s="385">
        <f ca="1">IF(D760&lt;&gt;"",MAX(I759+G760-H759-F760,0),0)</f>
        <v>0</v>
      </c>
      <c r="J760" s="18">
        <f ca="1">MONTH(A760)</f>
        <v>12</v>
      </c>
    </row>
    <row r="761" spans="1:10" s="18" customFormat="1" ht="18" customHeight="1">
      <c r="A761" s="318">
        <f ca="1">IF(ROWS($1:747)&gt;COUNT(Dong5),"",OFFSET(TH!C$1,SMALL(Dong5,ROWS($1:747)),))</f>
        <v>42723</v>
      </c>
      <c r="B761" s="318" t="str">
        <f ca="1">IF(ROWS($1:747)&gt;COUNT(Dong5),"",OFFSET(TH!D$1,SMALL(Dong5,ROWS($1:747)),))</f>
        <v>GBN</v>
      </c>
      <c r="C761" s="318">
        <f ca="1">IF(ROWS($1:747)&gt;COUNT(Dong5),"",OFFSET(TH!E$1,SMALL(Dong5,ROWS($1:747)),))</f>
        <v>42723</v>
      </c>
      <c r="D761" s="383" t="str">
        <f ca="1">IF(ROWS($1:747)&gt;COUNT(Dong5),"",OFFSET(TH!F$1,SMALL(Dong5,ROWS($1:747)),))</f>
        <v>VAT Phí nhận tiền đến từ nước ngoài</v>
      </c>
      <c r="E761" s="318" t="str">
        <f ca="1">IF(ROWS($1:747)&gt;COUNT(Dong5),"",IF(OFFSET(TH!N$1,SMALL(Dong5,ROWS($1:747)),)=$E$7,OFFSET(TH!O$1,SMALL(Dong5,ROWS($1:747)),),OFFSET(TH!N$1,SMALL(Dong5,ROWS($1:747)),)))</f>
        <v>131</v>
      </c>
      <c r="F761" s="384">
        <f ca="1">IF(ROWS($1:747)&gt;COUNT(Dong5),0,IF(OFFSET(TH!N$1,SMALL(Dong5,ROWS($1:747)),)=$E$7,OFFSET(TH!M$1,SMALL(Dong5,ROWS($1:747)),),0))</f>
        <v>227200</v>
      </c>
      <c r="G761" s="382">
        <f ca="1">IF(ROWS($1:747)&gt;COUNT(Dong5),0,IF(OFFSET(TH!O$1,SMALL(Dong5,ROWS($1:747)),)=$E$7,OFFSET(TH!M$1,SMALL(Dong5,ROWS($1:747)),),0))</f>
        <v>0</v>
      </c>
      <c r="H761" s="385">
        <f ca="1">IF(D761&lt;&gt;"",MAX(H760+F761-G761-I760,0),0)</f>
        <v>500838193</v>
      </c>
      <c r="I761" s="385">
        <f ca="1">IF(D761&lt;&gt;"",MAX(I760+G761-H760-F761,0),0)</f>
        <v>0</v>
      </c>
      <c r="J761" s="18">
        <f ca="1">MONTH(A761)</f>
        <v>12</v>
      </c>
    </row>
    <row r="762" spans="1:10" s="18" customFormat="1" ht="18" customHeight="1">
      <c r="A762" s="318">
        <f ca="1">IF(ROWS($1:748)&gt;COUNT(Dong5),"",OFFSET(TH!C$1,SMALL(Dong5,ROWS($1:748)),))</f>
        <v>42724</v>
      </c>
      <c r="B762" s="318" t="str">
        <f ca="1">IF(ROWS($1:748)&gt;COUNT(Dong5),"",OFFSET(TH!D$1,SMALL(Dong5,ROWS($1:748)),))</f>
        <v>C64</v>
      </c>
      <c r="C762" s="318">
        <f ca="1">IF(ROWS($1:748)&gt;COUNT(Dong5),"",OFFSET(TH!E$1,SMALL(Dong5,ROWS($1:748)),))</f>
        <v>42724</v>
      </c>
      <c r="D762" s="383" t="str">
        <f ca="1">IF(ROWS($1:748)&gt;COUNT(Dong5),"",OFFSET(TH!F$1,SMALL(Dong5,ROWS($1:748)),))</f>
        <v>Vat Gas</v>
      </c>
      <c r="E762" s="318" t="str">
        <f ca="1">IF(ROWS($1:748)&gt;COUNT(Dong5),"",IF(OFFSET(TH!N$1,SMALL(Dong5,ROWS($1:748)),)=$E$7,OFFSET(TH!O$1,SMALL(Dong5,ROWS($1:748)),),OFFSET(TH!N$1,SMALL(Dong5,ROWS($1:748)),)))</f>
        <v>1111</v>
      </c>
      <c r="F762" s="384">
        <f ca="1">IF(ROWS($1:748)&gt;COUNT(Dong5),0,IF(OFFSET(TH!N$1,SMALL(Dong5,ROWS($1:748)),)=$E$7,OFFSET(TH!M$1,SMALL(Dong5,ROWS($1:748)),),0))</f>
        <v>788352</v>
      </c>
      <c r="G762" s="382">
        <f ca="1">IF(ROWS($1:748)&gt;COUNT(Dong5),0,IF(OFFSET(TH!O$1,SMALL(Dong5,ROWS($1:748)),)=$E$7,OFFSET(TH!M$1,SMALL(Dong5,ROWS($1:748)),),0))</f>
        <v>0</v>
      </c>
      <c r="H762" s="385">
        <f ca="1">IF(D762&lt;&gt;"",MAX(H761+F762-G762-I761,0),0)</f>
        <v>501626545</v>
      </c>
      <c r="I762" s="385">
        <f ca="1">IF(D762&lt;&gt;"",MAX(I761+G762-H761-F762,0),0)</f>
        <v>0</v>
      </c>
      <c r="J762" s="18">
        <f ca="1">MONTH(A762)</f>
        <v>12</v>
      </c>
    </row>
    <row r="763" spans="1:10" s="18" customFormat="1" ht="18" customHeight="1">
      <c r="A763" s="318">
        <f ca="1">IF(ROWS($1:749)&gt;COUNT(Dong5),"",OFFSET(TH!C$1,SMALL(Dong5,ROWS($1:749)),))</f>
        <v>42724</v>
      </c>
      <c r="B763" s="318" t="str">
        <f ca="1">IF(ROWS($1:749)&gt;COUNT(Dong5),"",OFFSET(TH!D$1,SMALL(Dong5,ROWS($1:749)),))</f>
        <v>C67</v>
      </c>
      <c r="C763" s="318">
        <f ca="1">IF(ROWS($1:749)&gt;COUNT(Dong5),"",OFFSET(TH!E$1,SMALL(Dong5,ROWS($1:749)),))</f>
        <v>42724</v>
      </c>
      <c r="D763" s="383" t="str">
        <f ca="1">IF(ROWS($1:749)&gt;COUNT(Dong5),"",OFFSET(TH!F$1,SMALL(Dong5,ROWS($1:749)),))</f>
        <v>VAT Gas</v>
      </c>
      <c r="E763" s="318" t="str">
        <f ca="1">IF(ROWS($1:749)&gt;COUNT(Dong5),"",IF(OFFSET(TH!N$1,SMALL(Dong5,ROWS($1:749)),)=$E$7,OFFSET(TH!O$1,SMALL(Dong5,ROWS($1:749)),),OFFSET(TH!N$1,SMALL(Dong5,ROWS($1:749)),)))</f>
        <v>1111</v>
      </c>
      <c r="F763" s="384">
        <f ca="1">IF(ROWS($1:749)&gt;COUNT(Dong5),0,IF(OFFSET(TH!N$1,SMALL(Dong5,ROWS($1:749)),)=$E$7,OFFSET(TH!M$1,SMALL(Dong5,ROWS($1:749)),),0))</f>
        <v>940455</v>
      </c>
      <c r="G763" s="382">
        <f ca="1">IF(ROWS($1:749)&gt;COUNT(Dong5),0,IF(OFFSET(TH!O$1,SMALL(Dong5,ROWS($1:749)),)=$E$7,OFFSET(TH!M$1,SMALL(Dong5,ROWS($1:749)),),0))</f>
        <v>0</v>
      </c>
      <c r="H763" s="385">
        <f ca="1">IF(D763&lt;&gt;"",MAX(H762+F763-G763-I762,0),0)</f>
        <v>502567000</v>
      </c>
      <c r="I763" s="385">
        <f ca="1">IF(D763&lt;&gt;"",MAX(I762+G763-H762-F763,0),0)</f>
        <v>0</v>
      </c>
      <c r="J763" s="18">
        <f ca="1">MONTH(A763)</f>
        <v>12</v>
      </c>
    </row>
    <row r="764" spans="1:10" s="18" customFormat="1" ht="18" customHeight="1">
      <c r="A764" s="318">
        <f ca="1">IF(ROWS($1:750)&gt;COUNT(Dong5),"",OFFSET(TH!C$1,SMALL(Dong5,ROWS($1:750)),))</f>
        <v>42728</v>
      </c>
      <c r="B764" s="318" t="str">
        <f ca="1">IF(ROWS($1:750)&gt;COUNT(Dong5),"",OFFSET(TH!D$1,SMALL(Dong5,ROWS($1:750)),))</f>
        <v>VL/N43</v>
      </c>
      <c r="C764" s="318">
        <f ca="1">IF(ROWS($1:750)&gt;COUNT(Dong5),"",OFFSET(TH!E$1,SMALL(Dong5,ROWS($1:750)),))</f>
        <v>42728</v>
      </c>
      <c r="D764" s="383" t="str">
        <f ca="1">IF(ROWS($1:750)&gt;COUNT(Dong5),"",OFFSET(TH!F$1,SMALL(Dong5,ROWS($1:750)),))</f>
        <v>VAT Thùng carton</v>
      </c>
      <c r="E764" s="318" t="str">
        <f ca="1">IF(ROWS($1:750)&gt;COUNT(Dong5),"",IF(OFFSET(TH!N$1,SMALL(Dong5,ROWS($1:750)),)=$E$7,OFFSET(TH!O$1,SMALL(Dong5,ROWS($1:750)),),OFFSET(TH!N$1,SMALL(Dong5,ROWS($1:750)),)))</f>
        <v>331</v>
      </c>
      <c r="F764" s="384">
        <f ca="1">IF(ROWS($1:750)&gt;COUNT(Dong5),0,IF(OFFSET(TH!N$1,SMALL(Dong5,ROWS($1:750)),)=$E$7,OFFSET(TH!M$1,SMALL(Dong5,ROWS($1:750)),),0))</f>
        <v>1800000</v>
      </c>
      <c r="G764" s="382">
        <f ca="1">IF(ROWS($1:750)&gt;COUNT(Dong5),0,IF(OFFSET(TH!O$1,SMALL(Dong5,ROWS($1:750)),)=$E$7,OFFSET(TH!M$1,SMALL(Dong5,ROWS($1:750)),),0))</f>
        <v>0</v>
      </c>
      <c r="H764" s="385">
        <f ca="1">IF(D764&lt;&gt;"",MAX(H763+F764-G764-I763,0),0)</f>
        <v>504367000</v>
      </c>
      <c r="I764" s="385">
        <f ca="1">IF(D764&lt;&gt;"",MAX(I763+G764-H763-F764,0),0)</f>
        <v>0</v>
      </c>
      <c r="J764" s="18">
        <f ca="1">MONTH(A764)</f>
        <v>12</v>
      </c>
    </row>
    <row r="765" spans="1:10" s="18" customFormat="1" ht="18" customHeight="1">
      <c r="A765" s="318">
        <f ca="1">IF(ROWS($1:751)&gt;COUNT(Dong5),"",OFFSET(TH!C$1,SMALL(Dong5,ROWS($1:751)),))</f>
        <v>42730</v>
      </c>
      <c r="B765" s="318" t="str">
        <f ca="1">IF(ROWS($1:751)&gt;COUNT(Dong5),"",OFFSET(TH!D$1,SMALL(Dong5,ROWS($1:751)),))</f>
        <v>CTGS</v>
      </c>
      <c r="C765" s="318">
        <f ca="1">IF(ROWS($1:751)&gt;COUNT(Dong5),"",OFFSET(TH!E$1,SMALL(Dong5,ROWS($1:751)),))</f>
        <v>42730</v>
      </c>
      <c r="D765" s="383" t="str">
        <f ca="1">IF(ROWS($1:751)&gt;COUNT(Dong5),"",OFFSET(TH!F$1,SMALL(Dong5,ROWS($1:751)),))</f>
        <v>VAT Tiền điện kỳ 3 T12/2016</v>
      </c>
      <c r="E765" s="318" t="str">
        <f ca="1">IF(ROWS($1:751)&gt;COUNT(Dong5),"",IF(OFFSET(TH!N$1,SMALL(Dong5,ROWS($1:751)),)=$E$7,OFFSET(TH!O$1,SMALL(Dong5,ROWS($1:751)),),OFFSET(TH!N$1,SMALL(Dong5,ROWS($1:751)),)))</f>
        <v>331</v>
      </c>
      <c r="F765" s="384">
        <f ca="1">IF(ROWS($1:751)&gt;COUNT(Dong5),0,IF(OFFSET(TH!N$1,SMALL(Dong5,ROWS($1:751)),)=$E$7,OFFSET(TH!M$1,SMALL(Dong5,ROWS($1:751)),),0))</f>
        <v>2841960</v>
      </c>
      <c r="G765" s="382">
        <f ca="1">IF(ROWS($1:751)&gt;COUNT(Dong5),0,IF(OFFSET(TH!O$1,SMALL(Dong5,ROWS($1:751)),)=$E$7,OFFSET(TH!M$1,SMALL(Dong5,ROWS($1:751)),),0))</f>
        <v>0</v>
      </c>
      <c r="H765" s="385">
        <f ca="1">IF(D765&lt;&gt;"",MAX(H764+F765-G765-I764,0),0)</f>
        <v>507208960</v>
      </c>
      <c r="I765" s="385">
        <f ca="1">IF(D765&lt;&gt;"",MAX(I764+G765-H764-F765,0),0)</f>
        <v>0</v>
      </c>
      <c r="J765" s="18">
        <f ca="1">MONTH(A765)</f>
        <v>12</v>
      </c>
    </row>
    <row r="766" spans="1:10" s="18" customFormat="1" ht="18" customHeight="1">
      <c r="A766" s="318">
        <f ca="1">IF(ROWS($1:752)&gt;COUNT(Dong5),"",OFFSET(TH!C$1,SMALL(Dong5,ROWS($1:752)),))</f>
        <v>42724</v>
      </c>
      <c r="B766" s="318" t="str">
        <f ca="1">IF(ROWS($1:752)&gt;COUNT(Dong5),"",OFFSET(TH!D$1,SMALL(Dong5,ROWS($1:752)),))</f>
        <v>GBN</v>
      </c>
      <c r="C766" s="318">
        <f ca="1">IF(ROWS($1:752)&gt;COUNT(Dong5),"",OFFSET(TH!E$1,SMALL(Dong5,ROWS($1:752)),))</f>
        <v>42724</v>
      </c>
      <c r="D766" s="383" t="str">
        <f ca="1">IF(ROWS($1:752)&gt;COUNT(Dong5),"",OFFSET(TH!F$1,SMALL(Dong5,ROWS($1:752)),))</f>
        <v>VAT Phí thanh toán</v>
      </c>
      <c r="E766" s="318" t="str">
        <f ca="1">IF(ROWS($1:752)&gt;COUNT(Dong5),"",IF(OFFSET(TH!N$1,SMALL(Dong5,ROWS($1:752)),)=$E$7,OFFSET(TH!O$1,SMALL(Dong5,ROWS($1:752)),),OFFSET(TH!N$1,SMALL(Dong5,ROWS($1:752)),)))</f>
        <v>1121</v>
      </c>
      <c r="F766" s="384">
        <f ca="1">IF(ROWS($1:752)&gt;COUNT(Dong5),0,IF(OFFSET(TH!N$1,SMALL(Dong5,ROWS($1:752)),)=$E$7,OFFSET(TH!M$1,SMALL(Dong5,ROWS($1:752)),),0))</f>
        <v>4500</v>
      </c>
      <c r="G766" s="382">
        <f ca="1">IF(ROWS($1:752)&gt;COUNT(Dong5),0,IF(OFFSET(TH!O$1,SMALL(Dong5,ROWS($1:752)),)=$E$7,OFFSET(TH!M$1,SMALL(Dong5,ROWS($1:752)),),0))</f>
        <v>0</v>
      </c>
      <c r="H766" s="385">
        <f ca="1">IF(D766&lt;&gt;"",MAX(H765+F766-G766-I765,0),0)</f>
        <v>507213460</v>
      </c>
      <c r="I766" s="385">
        <f ca="1">IF(D766&lt;&gt;"",MAX(I765+G766-H765-F766,0),0)</f>
        <v>0</v>
      </c>
      <c r="J766" s="18">
        <f ca="1">MONTH(A766)</f>
        <v>12</v>
      </c>
    </row>
    <row r="767" spans="1:10" s="18" customFormat="1" ht="18" customHeight="1">
      <c r="A767" s="318">
        <f ca="1">IF(ROWS($1:753)&gt;COUNT(Dong5),"",OFFSET(TH!C$1,SMALL(Dong5,ROWS($1:753)),))</f>
        <v>42726</v>
      </c>
      <c r="B767" s="318" t="str">
        <f ca="1">IF(ROWS($1:753)&gt;COUNT(Dong5),"",OFFSET(TH!D$1,SMALL(Dong5,ROWS($1:753)),))</f>
        <v>VL/N37</v>
      </c>
      <c r="C767" s="318">
        <f ca="1">IF(ROWS($1:753)&gt;COUNT(Dong5),"",OFFSET(TH!E$1,SMALL(Dong5,ROWS($1:753)),))</f>
        <v>42726</v>
      </c>
      <c r="D767" s="383" t="str">
        <f ca="1">IF(ROWS($1:753)&gt;COUNT(Dong5),"",OFFSET(TH!F$1,SMALL(Dong5,ROWS($1:753)),))</f>
        <v xml:space="preserve">VAT Nhãn </v>
      </c>
      <c r="E767" s="318" t="str">
        <f ca="1">IF(ROWS($1:753)&gt;COUNT(Dong5),"",IF(OFFSET(TH!N$1,SMALL(Dong5,ROWS($1:753)),)=$E$7,OFFSET(TH!O$1,SMALL(Dong5,ROWS($1:753)),),OFFSET(TH!N$1,SMALL(Dong5,ROWS($1:753)),)))</f>
        <v>331</v>
      </c>
      <c r="F767" s="384">
        <f ca="1">IF(ROWS($1:753)&gt;COUNT(Dong5),0,IF(OFFSET(TH!N$1,SMALL(Dong5,ROWS($1:753)),)=$E$7,OFFSET(TH!M$1,SMALL(Dong5,ROWS($1:753)),),0))</f>
        <v>1200000</v>
      </c>
      <c r="G767" s="382">
        <f ca="1">IF(ROWS($1:753)&gt;COUNT(Dong5),0,IF(OFFSET(TH!O$1,SMALL(Dong5,ROWS($1:753)),)=$E$7,OFFSET(TH!M$1,SMALL(Dong5,ROWS($1:753)),),0))</f>
        <v>0</v>
      </c>
      <c r="H767" s="385">
        <f ca="1">IF(D767&lt;&gt;"",MAX(H766+F767-G767-I766,0),0)</f>
        <v>508413460</v>
      </c>
      <c r="I767" s="385">
        <f ca="1">IF(D767&lt;&gt;"",MAX(I766+G767-H766-F767,0),0)</f>
        <v>0</v>
      </c>
      <c r="J767" s="18">
        <f ca="1">MONTH(A767)</f>
        <v>12</v>
      </c>
    </row>
    <row r="768" spans="1:10" s="18" customFormat="1" ht="18" customHeight="1">
      <c r="A768" s="318">
        <f ca="1">IF(ROWS($1:754)&gt;COUNT(Dong5),"",OFFSET(TH!C$1,SMALL(Dong5,ROWS($1:754)),))</f>
        <v>42730</v>
      </c>
      <c r="B768" s="318" t="str">
        <f ca="1">IF(ROWS($1:754)&gt;COUNT(Dong5),"",OFFSET(TH!D$1,SMALL(Dong5,ROWS($1:754)),))</f>
        <v>VL/N46</v>
      </c>
      <c r="C768" s="318">
        <f ca="1">IF(ROWS($1:754)&gt;COUNT(Dong5),"",OFFSET(TH!E$1,SMALL(Dong5,ROWS($1:754)),))</f>
        <v>42730</v>
      </c>
      <c r="D768" s="383" t="str">
        <f ca="1">IF(ROWS($1:754)&gt;COUNT(Dong5),"",OFFSET(TH!F$1,SMALL(Dong5,ROWS($1:754)),))</f>
        <v>VAT Thùng carton</v>
      </c>
      <c r="E768" s="318" t="str">
        <f ca="1">IF(ROWS($1:754)&gt;COUNT(Dong5),"",IF(OFFSET(TH!N$1,SMALL(Dong5,ROWS($1:754)),)=$E$7,OFFSET(TH!O$1,SMALL(Dong5,ROWS($1:754)),),OFFSET(TH!N$1,SMALL(Dong5,ROWS($1:754)),)))</f>
        <v>331</v>
      </c>
      <c r="F768" s="384">
        <f ca="1">IF(ROWS($1:754)&gt;COUNT(Dong5),0,IF(OFFSET(TH!N$1,SMALL(Dong5,ROWS($1:754)),)=$E$7,OFFSET(TH!M$1,SMALL(Dong5,ROWS($1:754)),),0))</f>
        <v>900000</v>
      </c>
      <c r="G768" s="382">
        <f ca="1">IF(ROWS($1:754)&gt;COUNT(Dong5),0,IF(OFFSET(TH!O$1,SMALL(Dong5,ROWS($1:754)),)=$E$7,OFFSET(TH!M$1,SMALL(Dong5,ROWS($1:754)),),0))</f>
        <v>0</v>
      </c>
      <c r="H768" s="385">
        <f ca="1">IF(D768&lt;&gt;"",MAX(H767+F768-G768-I767,0),0)</f>
        <v>509313460</v>
      </c>
      <c r="I768" s="385">
        <f ca="1">IF(D768&lt;&gt;"",MAX(I767+G768-H767-F768,0),0)</f>
        <v>0</v>
      </c>
      <c r="J768" s="18">
        <f ca="1">MONTH(A768)</f>
        <v>12</v>
      </c>
    </row>
    <row r="769" spans="1:10" s="18" customFormat="1" ht="18" customHeight="1">
      <c r="A769" s="318">
        <f ca="1">IF(ROWS($1:755)&gt;COUNT(Dong5),"",OFFSET(TH!C$1,SMALL(Dong5,ROWS($1:755)),))</f>
        <v>42725</v>
      </c>
      <c r="B769" s="318" t="str">
        <f ca="1">IF(ROWS($1:755)&gt;COUNT(Dong5),"",OFFSET(TH!D$1,SMALL(Dong5,ROWS($1:755)),))</f>
        <v>C73</v>
      </c>
      <c r="C769" s="318">
        <f ca="1">IF(ROWS($1:755)&gt;COUNT(Dong5),"",OFFSET(TH!E$1,SMALL(Dong5,ROWS($1:755)),))</f>
        <v>42725</v>
      </c>
      <c r="D769" s="383" t="str">
        <f ca="1">IF(ROWS($1:755)&gt;COUNT(Dong5),"",OFFSET(TH!F$1,SMALL(Dong5,ROWS($1:755)),))</f>
        <v>VAT Quạt máy</v>
      </c>
      <c r="E769" s="318" t="str">
        <f ca="1">IF(ROWS($1:755)&gt;COUNT(Dong5),"",IF(OFFSET(TH!N$1,SMALL(Dong5,ROWS($1:755)),)=$E$7,OFFSET(TH!O$1,SMALL(Dong5,ROWS($1:755)),),OFFSET(TH!N$1,SMALL(Dong5,ROWS($1:755)),)))</f>
        <v>1111</v>
      </c>
      <c r="F769" s="384">
        <f ca="1">IF(ROWS($1:755)&gt;COUNT(Dong5),0,IF(OFFSET(TH!N$1,SMALL(Dong5,ROWS($1:755)),)=$E$7,OFFSET(TH!M$1,SMALL(Dong5,ROWS($1:755)),),0))</f>
        <v>396000</v>
      </c>
      <c r="G769" s="382">
        <f ca="1">IF(ROWS($1:755)&gt;COUNT(Dong5),0,IF(OFFSET(TH!O$1,SMALL(Dong5,ROWS($1:755)),)=$E$7,OFFSET(TH!M$1,SMALL(Dong5,ROWS($1:755)),),0))</f>
        <v>0</v>
      </c>
      <c r="H769" s="385">
        <f ca="1">IF(D769&lt;&gt;"",MAX(H768+F769-G769-I768,0),0)</f>
        <v>509709460</v>
      </c>
      <c r="I769" s="385">
        <f ca="1">IF(D769&lt;&gt;"",MAX(I768+G769-H768-F769,0),0)</f>
        <v>0</v>
      </c>
      <c r="J769" s="18">
        <f ca="1">MONTH(A769)</f>
        <v>12</v>
      </c>
    </row>
    <row r="770" spans="1:10" s="18" customFormat="1" ht="18" customHeight="1">
      <c r="A770" s="318">
        <f ca="1">IF(ROWS($1:756)&gt;COUNT(Dong5),"",OFFSET(TH!C$1,SMALL(Dong5,ROWS($1:756)),))</f>
        <v>42725</v>
      </c>
      <c r="B770" s="318" t="str">
        <f ca="1">IF(ROWS($1:756)&gt;COUNT(Dong5),"",OFFSET(TH!D$1,SMALL(Dong5,ROWS($1:756)),))</f>
        <v>GBN</v>
      </c>
      <c r="C770" s="318">
        <f ca="1">IF(ROWS($1:756)&gt;COUNT(Dong5),"",OFFSET(TH!E$1,SMALL(Dong5,ROWS($1:756)),))</f>
        <v>42725</v>
      </c>
      <c r="D770" s="383" t="str">
        <f ca="1">IF(ROWS($1:756)&gt;COUNT(Dong5),"",OFFSET(TH!F$1,SMALL(Dong5,ROWS($1:756)),))</f>
        <v>VAT Phí thanh toán, điện phí</v>
      </c>
      <c r="E770" s="318" t="str">
        <f ca="1">IF(ROWS($1:756)&gt;COUNT(Dong5),"",IF(OFFSET(TH!N$1,SMALL(Dong5,ROWS($1:756)),)=$E$7,OFFSET(TH!O$1,SMALL(Dong5,ROWS($1:756)),),OFFSET(TH!N$1,SMALL(Dong5,ROWS($1:756)),)))</f>
        <v>1122</v>
      </c>
      <c r="F770" s="384">
        <f ca="1">IF(ROWS($1:756)&gt;COUNT(Dong5),0,IF(OFFSET(TH!N$1,SMALL(Dong5,ROWS($1:756)),)=$E$7,OFFSET(TH!M$1,SMALL(Dong5,ROWS($1:756)),),0))</f>
        <v>34110</v>
      </c>
      <c r="G770" s="382">
        <f ca="1">IF(ROWS($1:756)&gt;COUNT(Dong5),0,IF(OFFSET(TH!O$1,SMALL(Dong5,ROWS($1:756)),)=$E$7,OFFSET(TH!M$1,SMALL(Dong5,ROWS($1:756)),),0))</f>
        <v>0</v>
      </c>
      <c r="H770" s="385">
        <f ca="1">IF(D770&lt;&gt;"",MAX(H769+F770-G770-I769,0),0)</f>
        <v>509743570</v>
      </c>
      <c r="I770" s="385">
        <f ca="1">IF(D770&lt;&gt;"",MAX(I769+G770-H769-F770,0),0)</f>
        <v>0</v>
      </c>
      <c r="J770" s="18">
        <f ca="1">MONTH(A770)</f>
        <v>12</v>
      </c>
    </row>
    <row r="771" spans="1:10" s="18" customFormat="1" ht="18" customHeight="1">
      <c r="A771" s="318">
        <f ca="1">IF(ROWS($1:757)&gt;COUNT(Dong5),"",OFFSET(TH!C$1,SMALL(Dong5,ROWS($1:757)),))</f>
        <v>42726</v>
      </c>
      <c r="B771" s="318" t="str">
        <f ca="1">IF(ROWS($1:757)&gt;COUNT(Dong5),"",OFFSET(TH!D$1,SMALL(Dong5,ROWS($1:757)),))</f>
        <v>GBN</v>
      </c>
      <c r="C771" s="318">
        <f ca="1">IF(ROWS($1:757)&gt;COUNT(Dong5),"",OFFSET(TH!E$1,SMALL(Dong5,ROWS($1:757)),))</f>
        <v>42726</v>
      </c>
      <c r="D771" s="383" t="str">
        <f ca="1">IF(ROWS($1:757)&gt;COUNT(Dong5),"",OFFSET(TH!F$1,SMALL(Dong5,ROWS($1:757)),))</f>
        <v>VAT Phí thanh toán</v>
      </c>
      <c r="E771" s="318" t="str">
        <f ca="1">IF(ROWS($1:757)&gt;COUNT(Dong5),"",IF(OFFSET(TH!N$1,SMALL(Dong5,ROWS($1:757)),)=$E$7,OFFSET(TH!O$1,SMALL(Dong5,ROWS($1:757)),),OFFSET(TH!N$1,SMALL(Dong5,ROWS($1:757)),)))</f>
        <v>1121</v>
      </c>
      <c r="F771" s="384">
        <f ca="1">IF(ROWS($1:757)&gt;COUNT(Dong5),0,IF(OFFSET(TH!N$1,SMALL(Dong5,ROWS($1:757)),)=$E$7,OFFSET(TH!M$1,SMALL(Dong5,ROWS($1:757)),),0))</f>
        <v>43850</v>
      </c>
      <c r="G771" s="382">
        <f ca="1">IF(ROWS($1:757)&gt;COUNT(Dong5),0,IF(OFFSET(TH!O$1,SMALL(Dong5,ROWS($1:757)),)=$E$7,OFFSET(TH!M$1,SMALL(Dong5,ROWS($1:757)),),0))</f>
        <v>0</v>
      </c>
      <c r="H771" s="385">
        <f ca="1">IF(D771&lt;&gt;"",MAX(H770+F771-G771-I770,0),0)</f>
        <v>509787420</v>
      </c>
      <c r="I771" s="385">
        <f ca="1">IF(D771&lt;&gt;"",MAX(I770+G771-H770-F771,0),0)</f>
        <v>0</v>
      </c>
      <c r="J771" s="18">
        <f ca="1">MONTH(A771)</f>
        <v>12</v>
      </c>
    </row>
    <row r="772" spans="1:10" s="18" customFormat="1" ht="18" customHeight="1">
      <c r="A772" s="318">
        <f ca="1">IF(ROWS($1:758)&gt;COUNT(Dong5),"",OFFSET(TH!C$1,SMALL(Dong5,ROWS($1:758)),))</f>
        <v>42726</v>
      </c>
      <c r="B772" s="318" t="str">
        <f ca="1">IF(ROWS($1:758)&gt;COUNT(Dong5),"",OFFSET(TH!D$1,SMALL(Dong5,ROWS($1:758)),))</f>
        <v>GBN</v>
      </c>
      <c r="C772" s="318">
        <f ca="1">IF(ROWS($1:758)&gt;COUNT(Dong5),"",OFFSET(TH!E$1,SMALL(Dong5,ROWS($1:758)),))</f>
        <v>42726</v>
      </c>
      <c r="D772" s="383" t="str">
        <f ca="1">IF(ROWS($1:758)&gt;COUNT(Dong5),"",OFFSET(TH!F$1,SMALL(Dong5,ROWS($1:758)),))</f>
        <v>VAT Phí thanh toán</v>
      </c>
      <c r="E772" s="318" t="str">
        <f ca="1">IF(ROWS($1:758)&gt;COUNT(Dong5),"",IF(OFFSET(TH!N$1,SMALL(Dong5,ROWS($1:758)),)=$E$7,OFFSET(TH!O$1,SMALL(Dong5,ROWS($1:758)),),OFFSET(TH!N$1,SMALL(Dong5,ROWS($1:758)),)))</f>
        <v>1121</v>
      </c>
      <c r="F772" s="384">
        <f ca="1">IF(ROWS($1:758)&gt;COUNT(Dong5),0,IF(OFFSET(TH!N$1,SMALL(Dong5,ROWS($1:758)),)=$E$7,OFFSET(TH!M$1,SMALL(Dong5,ROWS($1:758)),),0))</f>
        <v>73892</v>
      </c>
      <c r="G772" s="382">
        <f ca="1">IF(ROWS($1:758)&gt;COUNT(Dong5),0,IF(OFFSET(TH!O$1,SMALL(Dong5,ROWS($1:758)),)=$E$7,OFFSET(TH!M$1,SMALL(Dong5,ROWS($1:758)),),0))</f>
        <v>0</v>
      </c>
      <c r="H772" s="385">
        <f ca="1">IF(D772&lt;&gt;"",MAX(H771+F772-G772-I771,0),0)</f>
        <v>509861312</v>
      </c>
      <c r="I772" s="385">
        <f ca="1">IF(D772&lt;&gt;"",MAX(I771+G772-H771-F772,0),0)</f>
        <v>0</v>
      </c>
      <c r="J772" s="18">
        <f ca="1">MONTH(A772)</f>
        <v>12</v>
      </c>
    </row>
    <row r="773" spans="1:10" s="18" customFormat="1" ht="18" customHeight="1">
      <c r="A773" s="318">
        <f ca="1">IF(ROWS($1:759)&gt;COUNT(Dong5),"",OFFSET(TH!C$1,SMALL(Dong5,ROWS($1:759)),))</f>
        <v>42726</v>
      </c>
      <c r="B773" s="318" t="str">
        <f ca="1">IF(ROWS($1:759)&gt;COUNT(Dong5),"",OFFSET(TH!D$1,SMALL(Dong5,ROWS($1:759)),))</f>
        <v>GBN</v>
      </c>
      <c r="C773" s="318">
        <f ca="1">IF(ROWS($1:759)&gt;COUNT(Dong5),"",OFFSET(TH!E$1,SMALL(Dong5,ROWS($1:759)),))</f>
        <v>42726</v>
      </c>
      <c r="D773" s="383" t="str">
        <f ca="1">IF(ROWS($1:759)&gt;COUNT(Dong5),"",OFFSET(TH!F$1,SMALL(Dong5,ROWS($1:759)),))</f>
        <v>VAT Phí chuyển khoản và rút tiền mặt trong ngày</v>
      </c>
      <c r="E773" s="318" t="str">
        <f ca="1">IF(ROWS($1:759)&gt;COUNT(Dong5),"",IF(OFFSET(TH!N$1,SMALL(Dong5,ROWS($1:759)),)=$E$7,OFFSET(TH!O$1,SMALL(Dong5,ROWS($1:759)),),OFFSET(TH!N$1,SMALL(Dong5,ROWS($1:759)),)))</f>
        <v>1121</v>
      </c>
      <c r="F773" s="384">
        <f ca="1">IF(ROWS($1:759)&gt;COUNT(Dong5),0,IF(OFFSET(TH!N$1,SMALL(Dong5,ROWS($1:759)),)=$E$7,OFFSET(TH!M$1,SMALL(Dong5,ROWS($1:759)),),0))</f>
        <v>2879</v>
      </c>
      <c r="G773" s="382">
        <f ca="1">IF(ROWS($1:759)&gt;COUNT(Dong5),0,IF(OFFSET(TH!O$1,SMALL(Dong5,ROWS($1:759)),)=$E$7,OFFSET(TH!M$1,SMALL(Dong5,ROWS($1:759)),),0))</f>
        <v>0</v>
      </c>
      <c r="H773" s="385">
        <f ca="1">IF(D773&lt;&gt;"",MAX(H772+F773-G773-I772,0),0)</f>
        <v>509864191</v>
      </c>
      <c r="I773" s="385">
        <f ca="1">IF(D773&lt;&gt;"",MAX(I772+G773-H772-F773,0),0)</f>
        <v>0</v>
      </c>
      <c r="J773" s="18">
        <f ca="1">MONTH(A773)</f>
        <v>12</v>
      </c>
    </row>
    <row r="774" spans="1:10" s="18" customFormat="1" ht="18" customHeight="1">
      <c r="A774" s="318">
        <f ca="1">IF(ROWS($1:760)&gt;COUNT(Dong5),"",OFFSET(TH!C$1,SMALL(Dong5,ROWS($1:760)),))</f>
        <v>42728</v>
      </c>
      <c r="B774" s="318" t="str">
        <f ca="1">IF(ROWS($1:760)&gt;COUNT(Dong5),"",OFFSET(TH!D$1,SMALL(Dong5,ROWS($1:760)),))</f>
        <v>C83</v>
      </c>
      <c r="C774" s="318">
        <f ca="1">IF(ROWS($1:760)&gt;COUNT(Dong5),"",OFFSET(TH!E$1,SMALL(Dong5,ROWS($1:760)),))</f>
        <v>42728</v>
      </c>
      <c r="D774" s="383" t="str">
        <f ca="1">IF(ROWS($1:760)&gt;COUNT(Dong5),"",OFFSET(TH!F$1,SMALL(Dong5,ROWS($1:760)),))</f>
        <v>VAT Hũ ly</v>
      </c>
      <c r="E774" s="318" t="str">
        <f ca="1">IF(ROWS($1:760)&gt;COUNT(Dong5),"",IF(OFFSET(TH!N$1,SMALL(Dong5,ROWS($1:760)),)=$E$7,OFFSET(TH!O$1,SMALL(Dong5,ROWS($1:760)),),OFFSET(TH!N$1,SMALL(Dong5,ROWS($1:760)),)))</f>
        <v>1111</v>
      </c>
      <c r="F774" s="384">
        <f ca="1">IF(ROWS($1:760)&gt;COUNT(Dong5),0,IF(OFFSET(TH!N$1,SMALL(Dong5,ROWS($1:760)),)=$E$7,OFFSET(TH!M$1,SMALL(Dong5,ROWS($1:760)),),0))</f>
        <v>712950</v>
      </c>
      <c r="G774" s="382">
        <f ca="1">IF(ROWS($1:760)&gt;COUNT(Dong5),0,IF(OFFSET(TH!O$1,SMALL(Dong5,ROWS($1:760)),)=$E$7,OFFSET(TH!M$1,SMALL(Dong5,ROWS($1:760)),),0))</f>
        <v>0</v>
      </c>
      <c r="H774" s="385">
        <f ca="1">IF(D774&lt;&gt;"",MAX(H773+F774-G774-I773,0),0)</f>
        <v>510577141</v>
      </c>
      <c r="I774" s="385">
        <f ca="1">IF(D774&lt;&gt;"",MAX(I773+G774-H773-F774,0),0)</f>
        <v>0</v>
      </c>
      <c r="J774" s="18">
        <f ca="1">MONTH(A774)</f>
        <v>12</v>
      </c>
    </row>
    <row r="775" spans="1:10" s="18" customFormat="1" ht="18" customHeight="1">
      <c r="A775" s="318">
        <f ca="1">IF(ROWS($1:761)&gt;COUNT(Dong5),"",OFFSET(TH!C$1,SMALL(Dong5,ROWS($1:761)),))</f>
        <v>42731</v>
      </c>
      <c r="B775" s="318" t="str">
        <f ca="1">IF(ROWS($1:761)&gt;COUNT(Dong5),"",OFFSET(TH!D$1,SMALL(Dong5,ROWS($1:761)),))</f>
        <v>VL/N47</v>
      </c>
      <c r="C775" s="318">
        <f ca="1">IF(ROWS($1:761)&gt;COUNT(Dong5),"",OFFSET(TH!E$1,SMALL(Dong5,ROWS($1:761)),))</f>
        <v>42731</v>
      </c>
      <c r="D775" s="383" t="str">
        <f ca="1">IF(ROWS($1:761)&gt;COUNT(Dong5),"",OFFSET(TH!F$1,SMALL(Dong5,ROWS($1:761)),))</f>
        <v>VAT Thùng carton</v>
      </c>
      <c r="E775" s="318" t="str">
        <f ca="1">IF(ROWS($1:761)&gt;COUNT(Dong5),"",IF(OFFSET(TH!N$1,SMALL(Dong5,ROWS($1:761)),)=$E$7,OFFSET(TH!O$1,SMALL(Dong5,ROWS($1:761)),),OFFSET(TH!N$1,SMALL(Dong5,ROWS($1:761)),)))</f>
        <v>331</v>
      </c>
      <c r="F775" s="384">
        <f ca="1">IF(ROWS($1:761)&gt;COUNT(Dong5),0,IF(OFFSET(TH!N$1,SMALL(Dong5,ROWS($1:761)),)=$E$7,OFFSET(TH!M$1,SMALL(Dong5,ROWS($1:761)),),0))</f>
        <v>1035000</v>
      </c>
      <c r="G775" s="382">
        <f ca="1">IF(ROWS($1:761)&gt;COUNT(Dong5),0,IF(OFFSET(TH!O$1,SMALL(Dong5,ROWS($1:761)),)=$E$7,OFFSET(TH!M$1,SMALL(Dong5,ROWS($1:761)),),0))</f>
        <v>0</v>
      </c>
      <c r="H775" s="385">
        <f ca="1">IF(D775&lt;&gt;"",MAX(H774+F775-G775-I774,0),0)</f>
        <v>511612141</v>
      </c>
      <c r="I775" s="385">
        <f ca="1">IF(D775&lt;&gt;"",MAX(I774+G775-H774-F775,0),0)</f>
        <v>0</v>
      </c>
      <c r="J775" s="18">
        <f ca="1">MONTH(A775)</f>
        <v>12</v>
      </c>
    </row>
    <row r="776" spans="1:10" s="18" customFormat="1" ht="18" customHeight="1">
      <c r="A776" s="318">
        <f ca="1">IF(ROWS($1:762)&gt;COUNT(Dong5),"",OFFSET(TH!C$1,SMALL(Dong5,ROWS($1:762)),))</f>
        <v>42731</v>
      </c>
      <c r="B776" s="318" t="str">
        <f ca="1">IF(ROWS($1:762)&gt;COUNT(Dong5),"",OFFSET(TH!D$1,SMALL(Dong5,ROWS($1:762)),))</f>
        <v>VL/N48</v>
      </c>
      <c r="C776" s="318">
        <f ca="1">IF(ROWS($1:762)&gt;COUNT(Dong5),"",OFFSET(TH!E$1,SMALL(Dong5,ROWS($1:762)),))</f>
        <v>42731</v>
      </c>
      <c r="D776" s="383" t="str">
        <f ca="1">IF(ROWS($1:762)&gt;COUNT(Dong5),"",OFFSET(TH!F$1,SMALL(Dong5,ROWS($1:762)),))</f>
        <v>VAT Thùng carton</v>
      </c>
      <c r="E776" s="318" t="str">
        <f ca="1">IF(ROWS($1:762)&gt;COUNT(Dong5),"",IF(OFFSET(TH!N$1,SMALL(Dong5,ROWS($1:762)),)=$E$7,OFFSET(TH!O$1,SMALL(Dong5,ROWS($1:762)),),OFFSET(TH!N$1,SMALL(Dong5,ROWS($1:762)),)))</f>
        <v>331</v>
      </c>
      <c r="F776" s="384">
        <f ca="1">IF(ROWS($1:762)&gt;COUNT(Dong5),0,IF(OFFSET(TH!N$1,SMALL(Dong5,ROWS($1:762)),)=$E$7,OFFSET(TH!M$1,SMALL(Dong5,ROWS($1:762)),),0))</f>
        <v>1522500</v>
      </c>
      <c r="G776" s="382">
        <f ca="1">IF(ROWS($1:762)&gt;COUNT(Dong5),0,IF(OFFSET(TH!O$1,SMALL(Dong5,ROWS($1:762)),)=$E$7,OFFSET(TH!M$1,SMALL(Dong5,ROWS($1:762)),),0))</f>
        <v>0</v>
      </c>
      <c r="H776" s="385">
        <f ca="1">IF(D776&lt;&gt;"",MAX(H775+F776-G776-I775,0),0)</f>
        <v>513134641</v>
      </c>
      <c r="I776" s="385">
        <f ca="1">IF(D776&lt;&gt;"",MAX(I775+G776-H775-F776,0),0)</f>
        <v>0</v>
      </c>
      <c r="J776" s="18">
        <f ca="1">MONTH(A776)</f>
        <v>12</v>
      </c>
    </row>
    <row r="777" spans="1:10" s="18" customFormat="1" ht="18" customHeight="1">
      <c r="A777" s="318">
        <f ca="1">IF(ROWS($1:763)&gt;COUNT(Dong5),"",OFFSET(TH!C$1,SMALL(Dong5,ROWS($1:763)),))</f>
        <v>42728</v>
      </c>
      <c r="B777" s="318" t="str">
        <f ca="1">IF(ROWS($1:763)&gt;COUNT(Dong5),"",OFFSET(TH!D$1,SMALL(Dong5,ROWS($1:763)),))</f>
        <v>GBN</v>
      </c>
      <c r="C777" s="318">
        <f ca="1">IF(ROWS($1:763)&gt;COUNT(Dong5),"",OFFSET(TH!E$1,SMALL(Dong5,ROWS($1:763)),))</f>
        <v>42728</v>
      </c>
      <c r="D777" s="383" t="str">
        <f ca="1">IF(ROWS($1:763)&gt;COUNT(Dong5),"",OFFSET(TH!F$1,SMALL(Dong5,ROWS($1:763)),))</f>
        <v>VAT Phí nhận tiền đến từ nước ngoài</v>
      </c>
      <c r="E777" s="318" t="str">
        <f ca="1">IF(ROWS($1:763)&gt;COUNT(Dong5),"",IF(OFFSET(TH!N$1,SMALL(Dong5,ROWS($1:763)),)=$E$7,OFFSET(TH!O$1,SMALL(Dong5,ROWS($1:763)),),OFFSET(TH!N$1,SMALL(Dong5,ROWS($1:763)),)))</f>
        <v>131</v>
      </c>
      <c r="F777" s="384">
        <f ca="1">IF(ROWS($1:763)&gt;COUNT(Dong5),0,IF(OFFSET(TH!N$1,SMALL(Dong5,ROWS($1:763)),)=$E$7,OFFSET(TH!M$1,SMALL(Dong5,ROWS($1:763)),),0))</f>
        <v>227200</v>
      </c>
      <c r="G777" s="382">
        <f ca="1">IF(ROWS($1:763)&gt;COUNT(Dong5),0,IF(OFFSET(TH!O$1,SMALL(Dong5,ROWS($1:763)),)=$E$7,OFFSET(TH!M$1,SMALL(Dong5,ROWS($1:763)),),0))</f>
        <v>0</v>
      </c>
      <c r="H777" s="385">
        <f ca="1">IF(D777&lt;&gt;"",MAX(H776+F777-G777-I776,0),0)</f>
        <v>513361841</v>
      </c>
      <c r="I777" s="385">
        <f ca="1">IF(D777&lt;&gt;"",MAX(I776+G777-H776-F777,0),0)</f>
        <v>0</v>
      </c>
      <c r="J777" s="18">
        <f ca="1">MONTH(A777)</f>
        <v>12</v>
      </c>
    </row>
    <row r="778" spans="1:10" s="18" customFormat="1" ht="18" customHeight="1">
      <c r="A778" s="318">
        <f ca="1">IF(ROWS($1:764)&gt;COUNT(Dong5),"",OFFSET(TH!C$1,SMALL(Dong5,ROWS($1:764)),))</f>
        <v>42730</v>
      </c>
      <c r="B778" s="318" t="str">
        <f ca="1">IF(ROWS($1:764)&gt;COUNT(Dong5),"",OFFSET(TH!D$1,SMALL(Dong5,ROWS($1:764)),))</f>
        <v>C90</v>
      </c>
      <c r="C778" s="318">
        <f ca="1">IF(ROWS($1:764)&gt;COUNT(Dong5),"",OFFSET(TH!E$1,SMALL(Dong5,ROWS($1:764)),))</f>
        <v>42730</v>
      </c>
      <c r="D778" s="383" t="str">
        <f ca="1">IF(ROWS($1:764)&gt;COUNT(Dong5),"",OFFSET(TH!F$1,SMALL(Dong5,ROWS($1:764)),))</f>
        <v>VAT Gas</v>
      </c>
      <c r="E778" s="318" t="str">
        <f ca="1">IF(ROWS($1:764)&gt;COUNT(Dong5),"",IF(OFFSET(TH!N$1,SMALL(Dong5,ROWS($1:764)),)=$E$7,OFFSET(TH!O$1,SMALL(Dong5,ROWS($1:764)),),OFFSET(TH!N$1,SMALL(Dong5,ROWS($1:764)),)))</f>
        <v>1111</v>
      </c>
      <c r="F778" s="384">
        <f ca="1">IF(ROWS($1:764)&gt;COUNT(Dong5),0,IF(OFFSET(TH!N$1,SMALL(Dong5,ROWS($1:764)),)=$E$7,OFFSET(TH!M$1,SMALL(Dong5,ROWS($1:764)),),0))</f>
        <v>940455</v>
      </c>
      <c r="G778" s="382">
        <f ca="1">IF(ROWS($1:764)&gt;COUNT(Dong5),0,IF(OFFSET(TH!O$1,SMALL(Dong5,ROWS($1:764)),)=$E$7,OFFSET(TH!M$1,SMALL(Dong5,ROWS($1:764)),),0))</f>
        <v>0</v>
      </c>
      <c r="H778" s="385">
        <f ca="1">IF(D778&lt;&gt;"",MAX(H777+F778-G778-I777,0),0)</f>
        <v>514302296</v>
      </c>
      <c r="I778" s="385">
        <f ca="1">IF(D778&lt;&gt;"",MAX(I777+G778-H777-F778,0),0)</f>
        <v>0</v>
      </c>
      <c r="J778" s="18">
        <f ca="1">MONTH(A778)</f>
        <v>12</v>
      </c>
    </row>
    <row r="779" spans="1:10" s="18" customFormat="1" ht="18" customHeight="1">
      <c r="A779" s="318">
        <f ca="1">IF(ROWS($1:765)&gt;COUNT(Dong5),"",OFFSET(TH!C$1,SMALL(Dong5,ROWS($1:765)),))</f>
        <v>42730</v>
      </c>
      <c r="B779" s="318" t="str">
        <f ca="1">IF(ROWS($1:765)&gt;COUNT(Dong5),"",OFFSET(TH!D$1,SMALL(Dong5,ROWS($1:765)),))</f>
        <v>C92</v>
      </c>
      <c r="C779" s="318">
        <f ca="1">IF(ROWS($1:765)&gt;COUNT(Dong5),"",OFFSET(TH!E$1,SMALL(Dong5,ROWS($1:765)),))</f>
        <v>42730</v>
      </c>
      <c r="D779" s="383" t="str">
        <f ca="1">IF(ROWS($1:765)&gt;COUNT(Dong5),"",OFFSET(TH!F$1,SMALL(Dong5,ROWS($1:765)),))</f>
        <v>VAT Xăng, dầu DO</v>
      </c>
      <c r="E779" s="318" t="str">
        <f ca="1">IF(ROWS($1:765)&gt;COUNT(Dong5),"",IF(OFFSET(TH!N$1,SMALL(Dong5,ROWS($1:765)),)=$E$7,OFFSET(TH!O$1,SMALL(Dong5,ROWS($1:765)),),OFFSET(TH!N$1,SMALL(Dong5,ROWS($1:765)),)))</f>
        <v>1111</v>
      </c>
      <c r="F779" s="384">
        <f ca="1">IF(ROWS($1:765)&gt;COUNT(Dong5),0,IF(OFFSET(TH!N$1,SMALL(Dong5,ROWS($1:765)),)=$E$7,OFFSET(TH!M$1,SMALL(Dong5,ROWS($1:765)),),0))</f>
        <v>205622</v>
      </c>
      <c r="G779" s="382">
        <f ca="1">IF(ROWS($1:765)&gt;COUNT(Dong5),0,IF(OFFSET(TH!O$1,SMALL(Dong5,ROWS($1:765)),)=$E$7,OFFSET(TH!M$1,SMALL(Dong5,ROWS($1:765)),),0))</f>
        <v>0</v>
      </c>
      <c r="H779" s="385">
        <f ca="1">IF(D779&lt;&gt;"",MAX(H778+F779-G779-I778,0),0)</f>
        <v>514507918</v>
      </c>
      <c r="I779" s="385">
        <f ca="1">IF(D779&lt;&gt;"",MAX(I778+G779-H778-F779,0),0)</f>
        <v>0</v>
      </c>
      <c r="J779" s="18">
        <f ca="1">MONTH(A779)</f>
        <v>12</v>
      </c>
    </row>
    <row r="780" spans="1:10" s="18" customFormat="1" ht="18" customHeight="1">
      <c r="A780" s="318">
        <f ca="1">IF(ROWS($1:766)&gt;COUNT(Dong5),"",OFFSET(TH!C$1,SMALL(Dong5,ROWS($1:766)),))</f>
        <v>42730</v>
      </c>
      <c r="B780" s="318" t="str">
        <f ca="1">IF(ROWS($1:766)&gt;COUNT(Dong5),"",OFFSET(TH!D$1,SMALL(Dong5,ROWS($1:766)),))</f>
        <v>GBN</v>
      </c>
      <c r="C780" s="318">
        <f ca="1">IF(ROWS($1:766)&gt;COUNT(Dong5),"",OFFSET(TH!E$1,SMALL(Dong5,ROWS($1:766)),))</f>
        <v>42730</v>
      </c>
      <c r="D780" s="383" t="str">
        <f ca="1">IF(ROWS($1:766)&gt;COUNT(Dong5),"",OFFSET(TH!F$1,SMALL(Dong5,ROWS($1:766)),))</f>
        <v>VAT Phí thanh toán</v>
      </c>
      <c r="E780" s="318" t="str">
        <f ca="1">IF(ROWS($1:766)&gt;COUNT(Dong5),"",IF(OFFSET(TH!N$1,SMALL(Dong5,ROWS($1:766)),)=$E$7,OFFSET(TH!O$1,SMALL(Dong5,ROWS($1:766)),),OFFSET(TH!N$1,SMALL(Dong5,ROWS($1:766)),)))</f>
        <v>1121</v>
      </c>
      <c r="F780" s="384">
        <f ca="1">IF(ROWS($1:766)&gt;COUNT(Dong5),0,IF(OFFSET(TH!N$1,SMALL(Dong5,ROWS($1:766)),)=$E$7,OFFSET(TH!M$1,SMALL(Dong5,ROWS($1:766)),),0))</f>
        <v>10920</v>
      </c>
      <c r="G780" s="382">
        <f ca="1">IF(ROWS($1:766)&gt;COUNT(Dong5),0,IF(OFFSET(TH!O$1,SMALL(Dong5,ROWS($1:766)),)=$E$7,OFFSET(TH!M$1,SMALL(Dong5,ROWS($1:766)),),0))</f>
        <v>0</v>
      </c>
      <c r="H780" s="385">
        <f ca="1">IF(D780&lt;&gt;"",MAX(H779+F780-G780-I779,0),0)</f>
        <v>514518838</v>
      </c>
      <c r="I780" s="385">
        <f ca="1">IF(D780&lt;&gt;"",MAX(I779+G780-H779-F780,0),0)</f>
        <v>0</v>
      </c>
      <c r="J780" s="18">
        <f ca="1">MONTH(A780)</f>
        <v>12</v>
      </c>
    </row>
    <row r="781" spans="1:10" s="18" customFormat="1" ht="18" customHeight="1">
      <c r="A781" s="318">
        <f ca="1">IF(ROWS($1:767)&gt;COUNT(Dong5),"",OFFSET(TH!C$1,SMALL(Dong5,ROWS($1:767)),))</f>
        <v>42730</v>
      </c>
      <c r="B781" s="318" t="str">
        <f ca="1">IF(ROWS($1:767)&gt;COUNT(Dong5),"",OFFSET(TH!D$1,SMALL(Dong5,ROWS($1:767)),))</f>
        <v>GBN</v>
      </c>
      <c r="C781" s="318">
        <f ca="1">IF(ROWS($1:767)&gt;COUNT(Dong5),"",OFFSET(TH!E$1,SMALL(Dong5,ROWS($1:767)),))</f>
        <v>42730</v>
      </c>
      <c r="D781" s="383" t="str">
        <f ca="1">IF(ROWS($1:767)&gt;COUNT(Dong5),"",OFFSET(TH!F$1,SMALL(Dong5,ROWS($1:767)),))</f>
        <v>VAT Phí thanh toán</v>
      </c>
      <c r="E781" s="318" t="str">
        <f ca="1">IF(ROWS($1:767)&gt;COUNT(Dong5),"",IF(OFFSET(TH!N$1,SMALL(Dong5,ROWS($1:767)),)=$E$7,OFFSET(TH!O$1,SMALL(Dong5,ROWS($1:767)),),OFFSET(TH!N$1,SMALL(Dong5,ROWS($1:767)),)))</f>
        <v>1121</v>
      </c>
      <c r="F781" s="384">
        <f ca="1">IF(ROWS($1:767)&gt;COUNT(Dong5),0,IF(OFFSET(TH!N$1,SMALL(Dong5,ROWS($1:767)),)=$E$7,OFFSET(TH!M$1,SMALL(Dong5,ROWS($1:767)),),0))</f>
        <v>3000</v>
      </c>
      <c r="G781" s="382">
        <f ca="1">IF(ROWS($1:767)&gt;COUNT(Dong5),0,IF(OFFSET(TH!O$1,SMALL(Dong5,ROWS($1:767)),)=$E$7,OFFSET(TH!M$1,SMALL(Dong5,ROWS($1:767)),),0))</f>
        <v>0</v>
      </c>
      <c r="H781" s="385">
        <f ca="1">IF(D781&lt;&gt;"",MAX(H780+F781-G781-I780,0),0)</f>
        <v>514521838</v>
      </c>
      <c r="I781" s="385">
        <f ca="1">IF(D781&lt;&gt;"",MAX(I780+G781-H780-F781,0),0)</f>
        <v>0</v>
      </c>
      <c r="J781" s="18">
        <f ca="1">MONTH(A781)</f>
        <v>12</v>
      </c>
    </row>
    <row r="782" spans="1:10" s="18" customFormat="1" ht="18" customHeight="1">
      <c r="A782" s="318">
        <f ca="1">IF(ROWS($1:768)&gt;COUNT(Dong5),"",OFFSET(TH!C$1,SMALL(Dong5,ROWS($1:768)),))</f>
        <v>42730</v>
      </c>
      <c r="B782" s="318" t="str">
        <f ca="1">IF(ROWS($1:768)&gt;COUNT(Dong5),"",OFFSET(TH!D$1,SMALL(Dong5,ROWS($1:768)),))</f>
        <v>GBN</v>
      </c>
      <c r="C782" s="318">
        <f ca="1">IF(ROWS($1:768)&gt;COUNT(Dong5),"",OFFSET(TH!E$1,SMALL(Dong5,ROWS($1:768)),))</f>
        <v>42730</v>
      </c>
      <c r="D782" s="383" t="str">
        <f ca="1">IF(ROWS($1:768)&gt;COUNT(Dong5),"",OFFSET(TH!F$1,SMALL(Dong5,ROWS($1:768)),))</f>
        <v>VAT Phí dịch vụ thông báo số dư tự động</v>
      </c>
      <c r="E782" s="318" t="str">
        <f ca="1">IF(ROWS($1:768)&gt;COUNT(Dong5),"",IF(OFFSET(TH!N$1,SMALL(Dong5,ROWS($1:768)),)=$E$7,OFFSET(TH!O$1,SMALL(Dong5,ROWS($1:768)),),OFFSET(TH!N$1,SMALL(Dong5,ROWS($1:768)),)))</f>
        <v>1121</v>
      </c>
      <c r="F782" s="384">
        <f ca="1">IF(ROWS($1:768)&gt;COUNT(Dong5),0,IF(OFFSET(TH!N$1,SMALL(Dong5,ROWS($1:768)),)=$E$7,OFFSET(TH!M$1,SMALL(Dong5,ROWS($1:768)),),0))</f>
        <v>5000</v>
      </c>
      <c r="G782" s="382">
        <f ca="1">IF(ROWS($1:768)&gt;COUNT(Dong5),0,IF(OFFSET(TH!O$1,SMALL(Dong5,ROWS($1:768)),)=$E$7,OFFSET(TH!M$1,SMALL(Dong5,ROWS($1:768)),),0))</f>
        <v>0</v>
      </c>
      <c r="H782" s="385">
        <f ca="1">IF(D782&lt;&gt;"",MAX(H781+F782-G782-I781,0),0)</f>
        <v>514526838</v>
      </c>
      <c r="I782" s="385">
        <f ca="1">IF(D782&lt;&gt;"",MAX(I781+G782-H781-F782,0),0)</f>
        <v>0</v>
      </c>
      <c r="J782" s="18">
        <f ca="1">MONTH(A782)</f>
        <v>12</v>
      </c>
    </row>
    <row r="783" spans="1:10" s="18" customFormat="1" ht="18" customHeight="1">
      <c r="A783" s="318">
        <f ca="1">IF(ROWS($1:769)&gt;COUNT(Dong5),"",OFFSET(TH!C$1,SMALL(Dong5,ROWS($1:769)),))</f>
        <v>42730</v>
      </c>
      <c r="B783" s="318" t="str">
        <f ca="1">IF(ROWS($1:769)&gt;COUNT(Dong5),"",OFFSET(TH!D$1,SMALL(Dong5,ROWS($1:769)),))</f>
        <v>GBN</v>
      </c>
      <c r="C783" s="318">
        <f ca="1">IF(ROWS($1:769)&gt;COUNT(Dong5),"",OFFSET(TH!E$1,SMALL(Dong5,ROWS($1:769)),))</f>
        <v>42730</v>
      </c>
      <c r="D783" s="383" t="str">
        <f ca="1">IF(ROWS($1:769)&gt;COUNT(Dong5),"",OFFSET(TH!F$1,SMALL(Dong5,ROWS($1:769)),))</f>
        <v>VAT Phí dịch vụ thông báo số dư tự động</v>
      </c>
      <c r="E783" s="318" t="str">
        <f ca="1">IF(ROWS($1:769)&gt;COUNT(Dong5),"",IF(OFFSET(TH!N$1,SMALL(Dong5,ROWS($1:769)),)=$E$7,OFFSET(TH!O$1,SMALL(Dong5,ROWS($1:769)),),OFFSET(TH!N$1,SMALL(Dong5,ROWS($1:769)),)))</f>
        <v>1121</v>
      </c>
      <c r="F783" s="384">
        <f ca="1">IF(ROWS($1:769)&gt;COUNT(Dong5),0,IF(OFFSET(TH!N$1,SMALL(Dong5,ROWS($1:769)),)=$E$7,OFFSET(TH!M$1,SMALL(Dong5,ROWS($1:769)),),0))</f>
        <v>5000</v>
      </c>
      <c r="G783" s="382">
        <f ca="1">IF(ROWS($1:769)&gt;COUNT(Dong5),0,IF(OFFSET(TH!O$1,SMALL(Dong5,ROWS($1:769)),)=$E$7,OFFSET(TH!M$1,SMALL(Dong5,ROWS($1:769)),),0))</f>
        <v>0</v>
      </c>
      <c r="H783" s="385">
        <f ca="1">IF(D783&lt;&gt;"",MAX(H782+F783-G783-I782,0),0)</f>
        <v>514531838</v>
      </c>
      <c r="I783" s="385">
        <f ca="1">IF(D783&lt;&gt;"",MAX(I782+G783-H782-F783,0),0)</f>
        <v>0</v>
      </c>
      <c r="J783" s="18">
        <f ca="1">MONTH(A783)</f>
        <v>12</v>
      </c>
    </row>
    <row r="784" spans="1:10" s="18" customFormat="1" ht="18" customHeight="1">
      <c r="A784" s="318">
        <f ca="1">IF(ROWS($1:770)&gt;COUNT(Dong5),"",OFFSET(TH!C$1,SMALL(Dong5,ROWS($1:770)),))</f>
        <v>42730</v>
      </c>
      <c r="B784" s="318" t="str">
        <f ca="1">IF(ROWS($1:770)&gt;COUNT(Dong5),"",OFFSET(TH!D$1,SMALL(Dong5,ROWS($1:770)),))</f>
        <v>GBN</v>
      </c>
      <c r="C784" s="318">
        <f ca="1">IF(ROWS($1:770)&gt;COUNT(Dong5),"",OFFSET(TH!E$1,SMALL(Dong5,ROWS($1:770)),))</f>
        <v>42730</v>
      </c>
      <c r="D784" s="383" t="str">
        <f ca="1">IF(ROWS($1:770)&gt;COUNT(Dong5),"",OFFSET(TH!F$1,SMALL(Dong5,ROWS($1:770)),))</f>
        <v>VAT Phí dịch vụ thông báo số dư tự động</v>
      </c>
      <c r="E784" s="318" t="str">
        <f ca="1">IF(ROWS($1:770)&gt;COUNT(Dong5),"",IF(OFFSET(TH!N$1,SMALL(Dong5,ROWS($1:770)),)=$E$7,OFFSET(TH!O$1,SMALL(Dong5,ROWS($1:770)),),OFFSET(TH!N$1,SMALL(Dong5,ROWS($1:770)),)))</f>
        <v>1121</v>
      </c>
      <c r="F784" s="384">
        <f ca="1">IF(ROWS($1:770)&gt;COUNT(Dong5),0,IF(OFFSET(TH!N$1,SMALL(Dong5,ROWS($1:770)),)=$E$7,OFFSET(TH!M$1,SMALL(Dong5,ROWS($1:770)),),0))</f>
        <v>5000</v>
      </c>
      <c r="G784" s="382">
        <f ca="1">IF(ROWS($1:770)&gt;COUNT(Dong5),0,IF(OFFSET(TH!O$1,SMALL(Dong5,ROWS($1:770)),)=$E$7,OFFSET(TH!M$1,SMALL(Dong5,ROWS($1:770)),),0))</f>
        <v>0</v>
      </c>
      <c r="H784" s="385">
        <f ca="1">IF(D784&lt;&gt;"",MAX(H783+F784-G784-I783,0),0)</f>
        <v>514536838</v>
      </c>
      <c r="I784" s="385">
        <f ca="1">IF(D784&lt;&gt;"",MAX(I783+G784-H783-F784,0),0)</f>
        <v>0</v>
      </c>
      <c r="J784" s="18">
        <f ca="1">MONTH(A784)</f>
        <v>12</v>
      </c>
    </row>
    <row r="785" spans="1:10" s="18" customFormat="1" ht="18" customHeight="1">
      <c r="A785" s="318">
        <f ca="1">IF(ROWS($1:771)&gt;COUNT(Dong5),"",OFFSET(TH!C$1,SMALL(Dong5,ROWS($1:771)),))</f>
        <v>42730</v>
      </c>
      <c r="B785" s="318" t="str">
        <f ca="1">IF(ROWS($1:771)&gt;COUNT(Dong5),"",OFFSET(TH!D$1,SMALL(Dong5,ROWS($1:771)),))</f>
        <v>GBN</v>
      </c>
      <c r="C785" s="318">
        <f ca="1">IF(ROWS($1:771)&gt;COUNT(Dong5),"",OFFSET(TH!E$1,SMALL(Dong5,ROWS($1:771)),))</f>
        <v>42730</v>
      </c>
      <c r="D785" s="383" t="str">
        <f ca="1">IF(ROWS($1:771)&gt;COUNT(Dong5),"",OFFSET(TH!F$1,SMALL(Dong5,ROWS($1:771)),))</f>
        <v>VAT Phí dịch vụ thông báo số dư tự động</v>
      </c>
      <c r="E785" s="318" t="str">
        <f ca="1">IF(ROWS($1:771)&gt;COUNT(Dong5),"",IF(OFFSET(TH!N$1,SMALL(Dong5,ROWS($1:771)),)=$E$7,OFFSET(TH!O$1,SMALL(Dong5,ROWS($1:771)),),OFFSET(TH!N$1,SMALL(Dong5,ROWS($1:771)),)))</f>
        <v>1121</v>
      </c>
      <c r="F785" s="384">
        <f ca="1">IF(ROWS($1:771)&gt;COUNT(Dong5),0,IF(OFFSET(TH!N$1,SMALL(Dong5,ROWS($1:771)),)=$E$7,OFFSET(TH!M$1,SMALL(Dong5,ROWS($1:771)),),0))</f>
        <v>5000</v>
      </c>
      <c r="G785" s="382">
        <f ca="1">IF(ROWS($1:771)&gt;COUNT(Dong5),0,IF(OFFSET(TH!O$1,SMALL(Dong5,ROWS($1:771)),)=$E$7,OFFSET(TH!M$1,SMALL(Dong5,ROWS($1:771)),),0))</f>
        <v>0</v>
      </c>
      <c r="H785" s="385">
        <f ca="1">IF(D785&lt;&gt;"",MAX(H784+F785-G785-I784,0),0)</f>
        <v>514541838</v>
      </c>
      <c r="I785" s="385">
        <f ca="1">IF(D785&lt;&gt;"",MAX(I784+G785-H784-F785,0),0)</f>
        <v>0</v>
      </c>
      <c r="J785" s="18">
        <f ca="1">MONTH(A785)</f>
        <v>12</v>
      </c>
    </row>
    <row r="786" spans="1:10" s="18" customFormat="1" ht="18" customHeight="1">
      <c r="A786" s="318">
        <f ca="1">IF(ROWS($1:772)&gt;COUNT(Dong5),"",OFFSET(TH!C$1,SMALL(Dong5,ROWS($1:772)),))</f>
        <v>42731</v>
      </c>
      <c r="B786" s="318" t="str">
        <f ca="1">IF(ROWS($1:772)&gt;COUNT(Dong5),"",OFFSET(TH!D$1,SMALL(Dong5,ROWS($1:772)),))</f>
        <v>C95</v>
      </c>
      <c r="C786" s="318">
        <f ca="1">IF(ROWS($1:772)&gt;COUNT(Dong5),"",OFFSET(TH!E$1,SMALL(Dong5,ROWS($1:772)),))</f>
        <v>42731</v>
      </c>
      <c r="D786" s="383" t="str">
        <f ca="1">IF(ROWS($1:772)&gt;COUNT(Dong5),"",OFFSET(TH!F$1,SMALL(Dong5,ROWS($1:772)),))</f>
        <v>VAT Phí dịch vụ bảo vệ T12/2016</v>
      </c>
      <c r="E786" s="318" t="str">
        <f ca="1">IF(ROWS($1:772)&gt;COUNT(Dong5),"",IF(OFFSET(TH!N$1,SMALL(Dong5,ROWS($1:772)),)=$E$7,OFFSET(TH!O$1,SMALL(Dong5,ROWS($1:772)),),OFFSET(TH!N$1,SMALL(Dong5,ROWS($1:772)),)))</f>
        <v>1111</v>
      </c>
      <c r="F786" s="384">
        <f ca="1">IF(ROWS($1:772)&gt;COUNT(Dong5),0,IF(OFFSET(TH!N$1,SMALL(Dong5,ROWS($1:772)),)=$E$7,OFFSET(TH!M$1,SMALL(Dong5,ROWS($1:772)),),0))</f>
        <v>1605000</v>
      </c>
      <c r="G786" s="382">
        <f ca="1">IF(ROWS($1:772)&gt;COUNT(Dong5),0,IF(OFFSET(TH!O$1,SMALL(Dong5,ROWS($1:772)),)=$E$7,OFFSET(TH!M$1,SMALL(Dong5,ROWS($1:772)),),0))</f>
        <v>0</v>
      </c>
      <c r="H786" s="385">
        <f ca="1">IF(D786&lt;&gt;"",MAX(H785+F786-G786-I785,0),0)</f>
        <v>516146838</v>
      </c>
      <c r="I786" s="385">
        <f ca="1">IF(D786&lt;&gt;"",MAX(I785+G786-H785-F786,0),0)</f>
        <v>0</v>
      </c>
      <c r="J786" s="18">
        <f ca="1">MONTH(A786)</f>
        <v>12</v>
      </c>
    </row>
    <row r="787" spans="1:10" s="18" customFormat="1" ht="18" customHeight="1">
      <c r="A787" s="318">
        <f ca="1">IF(ROWS($1:773)&gt;COUNT(Dong5),"",OFFSET(TH!C$1,SMALL(Dong5,ROWS($1:773)),))</f>
        <v>42732</v>
      </c>
      <c r="B787" s="318" t="str">
        <f ca="1">IF(ROWS($1:773)&gt;COUNT(Dong5),"",OFFSET(TH!D$1,SMALL(Dong5,ROWS($1:773)),))</f>
        <v>VL/N49</v>
      </c>
      <c r="C787" s="318">
        <f ca="1">IF(ROWS($1:773)&gt;COUNT(Dong5),"",OFFSET(TH!E$1,SMALL(Dong5,ROWS($1:773)),))</f>
        <v>42732</v>
      </c>
      <c r="D787" s="383" t="str">
        <f ca="1">IF(ROWS($1:773)&gt;COUNT(Dong5),"",OFFSET(TH!F$1,SMALL(Dong5,ROWS($1:773)),))</f>
        <v>VAT Thùng carton</v>
      </c>
      <c r="E787" s="318" t="str">
        <f ca="1">IF(ROWS($1:773)&gt;COUNT(Dong5),"",IF(OFFSET(TH!N$1,SMALL(Dong5,ROWS($1:773)),)=$E$7,OFFSET(TH!O$1,SMALL(Dong5,ROWS($1:773)),),OFFSET(TH!N$1,SMALL(Dong5,ROWS($1:773)),)))</f>
        <v>331</v>
      </c>
      <c r="F787" s="384">
        <f ca="1">IF(ROWS($1:773)&gt;COUNT(Dong5),0,IF(OFFSET(TH!N$1,SMALL(Dong5,ROWS($1:773)),)=$E$7,OFFSET(TH!M$1,SMALL(Dong5,ROWS($1:773)),),0))</f>
        <v>1522500</v>
      </c>
      <c r="G787" s="382">
        <f ca="1">IF(ROWS($1:773)&gt;COUNT(Dong5),0,IF(OFFSET(TH!O$1,SMALL(Dong5,ROWS($1:773)),)=$E$7,OFFSET(TH!M$1,SMALL(Dong5,ROWS($1:773)),),0))</f>
        <v>0</v>
      </c>
      <c r="H787" s="385">
        <f ca="1">IF(D787&lt;&gt;"",MAX(H786+F787-G787-I786,0),0)</f>
        <v>517669338</v>
      </c>
      <c r="I787" s="385">
        <f ca="1">IF(D787&lt;&gt;"",MAX(I786+G787-H786-F787,0),0)</f>
        <v>0</v>
      </c>
      <c r="J787" s="18">
        <f ca="1">MONTH(A787)</f>
        <v>12</v>
      </c>
    </row>
    <row r="788" spans="1:10" s="18" customFormat="1" ht="18" customHeight="1">
      <c r="A788" s="318">
        <f ca="1">IF(ROWS($1:774)&gt;COUNT(Dong5),"",OFFSET(TH!C$1,SMALL(Dong5,ROWS($1:774)),))</f>
        <v>42733</v>
      </c>
      <c r="B788" s="318" t="str">
        <f ca="1">IF(ROWS($1:774)&gt;COUNT(Dong5),"",OFFSET(TH!D$1,SMALL(Dong5,ROWS($1:774)),))</f>
        <v>GBN</v>
      </c>
      <c r="C788" s="318">
        <f ca="1">IF(ROWS($1:774)&gt;COUNT(Dong5),"",OFFSET(TH!E$1,SMALL(Dong5,ROWS($1:774)),))</f>
        <v>42733</v>
      </c>
      <c r="D788" s="383" t="str">
        <f ca="1">IF(ROWS($1:774)&gt;COUNT(Dong5),"",OFFSET(TH!F$1,SMALL(Dong5,ROWS($1:774)),))</f>
        <v>VAT Phí thanh toán</v>
      </c>
      <c r="E788" s="318" t="str">
        <f ca="1">IF(ROWS($1:774)&gt;COUNT(Dong5),"",IF(OFFSET(TH!N$1,SMALL(Dong5,ROWS($1:774)),)=$E$7,OFFSET(TH!O$1,SMALL(Dong5,ROWS($1:774)),),OFFSET(TH!N$1,SMALL(Dong5,ROWS($1:774)),)))</f>
        <v>1121</v>
      </c>
      <c r="F788" s="384">
        <f ca="1">IF(ROWS($1:774)&gt;COUNT(Dong5),0,IF(OFFSET(TH!N$1,SMALL(Dong5,ROWS($1:774)),)=$E$7,OFFSET(TH!M$1,SMALL(Dong5,ROWS($1:774)),),0))</f>
        <v>4500</v>
      </c>
      <c r="G788" s="382">
        <f ca="1">IF(ROWS($1:774)&gt;COUNT(Dong5),0,IF(OFFSET(TH!O$1,SMALL(Dong5,ROWS($1:774)),)=$E$7,OFFSET(TH!M$1,SMALL(Dong5,ROWS($1:774)),),0))</f>
        <v>0</v>
      </c>
      <c r="H788" s="385">
        <f ca="1">IF(D788&lt;&gt;"",MAX(H787+F788-G788-I787,0),0)</f>
        <v>517673838</v>
      </c>
      <c r="I788" s="385">
        <f ca="1">IF(D788&lt;&gt;"",MAX(I787+G788-H787-F788,0),0)</f>
        <v>0</v>
      </c>
      <c r="J788" s="18">
        <f ca="1">MONTH(A788)</f>
        <v>12</v>
      </c>
    </row>
    <row r="789" spans="1:10" s="18" customFormat="1" ht="18" customHeight="1">
      <c r="A789" s="318">
        <f ca="1">IF(ROWS($1:775)&gt;COUNT(Dong5),"",OFFSET(TH!C$1,SMALL(Dong5,ROWS($1:775)),))</f>
        <v>42733</v>
      </c>
      <c r="B789" s="318" t="str">
        <f ca="1">IF(ROWS($1:775)&gt;COUNT(Dong5),"",OFFSET(TH!D$1,SMALL(Dong5,ROWS($1:775)),))</f>
        <v>GBN</v>
      </c>
      <c r="C789" s="318">
        <f ca="1">IF(ROWS($1:775)&gt;COUNT(Dong5),"",OFFSET(TH!E$1,SMALL(Dong5,ROWS($1:775)),))</f>
        <v>42733</v>
      </c>
      <c r="D789" s="383" t="str">
        <f ca="1">IF(ROWS($1:775)&gt;COUNT(Dong5),"",OFFSET(TH!F$1,SMALL(Dong5,ROWS($1:775)),))</f>
        <v>VAT Phí NH 1021316001212</v>
      </c>
      <c r="E789" s="318" t="str">
        <f ca="1">IF(ROWS($1:775)&gt;COUNT(Dong5),"",IF(OFFSET(TH!N$1,SMALL(Dong5,ROWS($1:775)),)=$E$7,OFFSET(TH!O$1,SMALL(Dong5,ROWS($1:775)),),OFFSET(TH!N$1,SMALL(Dong5,ROWS($1:775)),)))</f>
        <v>1121</v>
      </c>
      <c r="F789" s="384">
        <f ca="1">IF(ROWS($1:775)&gt;COUNT(Dong5),0,IF(OFFSET(TH!N$1,SMALL(Dong5,ROWS($1:775)),)=$E$7,OFFSET(TH!M$1,SMALL(Dong5,ROWS($1:775)),),0))</f>
        <v>228000</v>
      </c>
      <c r="G789" s="382">
        <f ca="1">IF(ROWS($1:775)&gt;COUNT(Dong5),0,IF(OFFSET(TH!O$1,SMALL(Dong5,ROWS($1:775)),)=$E$7,OFFSET(TH!M$1,SMALL(Dong5,ROWS($1:775)),),0))</f>
        <v>0</v>
      </c>
      <c r="H789" s="385">
        <f ca="1">IF(D789&lt;&gt;"",MAX(H788+F789-G789-I788,0),0)</f>
        <v>517901838</v>
      </c>
      <c r="I789" s="385">
        <f ca="1">IF(D789&lt;&gt;"",MAX(I788+G789-H788-F789,0),0)</f>
        <v>0</v>
      </c>
      <c r="J789" s="18">
        <f ca="1">MONTH(A789)</f>
        <v>12</v>
      </c>
    </row>
    <row r="790" spans="1:10" s="18" customFormat="1" ht="18" customHeight="1">
      <c r="A790" s="318">
        <f ca="1">IF(ROWS($1:776)&gt;COUNT(Dong5),"",OFFSET(TH!C$1,SMALL(Dong5,ROWS($1:776)),))</f>
        <v>42734</v>
      </c>
      <c r="B790" s="318" t="str">
        <f ca="1">IF(ROWS($1:776)&gt;COUNT(Dong5),"",OFFSET(TH!D$1,SMALL(Dong5,ROWS($1:776)),))</f>
        <v>GBN</v>
      </c>
      <c r="C790" s="318">
        <f ca="1">IF(ROWS($1:776)&gt;COUNT(Dong5),"",OFFSET(TH!E$1,SMALL(Dong5,ROWS($1:776)),))</f>
        <v>42734</v>
      </c>
      <c r="D790" s="383" t="str">
        <f ca="1">IF(ROWS($1:776)&gt;COUNT(Dong5),"",OFFSET(TH!F$1,SMALL(Dong5,ROWS($1:776)),))</f>
        <v>VAT Phí thanh toán</v>
      </c>
      <c r="E790" s="318" t="str">
        <f ca="1">IF(ROWS($1:776)&gt;COUNT(Dong5),"",IF(OFFSET(TH!N$1,SMALL(Dong5,ROWS($1:776)),)=$E$7,OFFSET(TH!O$1,SMALL(Dong5,ROWS($1:776)),),OFFSET(TH!N$1,SMALL(Dong5,ROWS($1:776)),)))</f>
        <v>1121</v>
      </c>
      <c r="F790" s="384">
        <f ca="1">IF(ROWS($1:776)&gt;COUNT(Dong5),0,IF(OFFSET(TH!N$1,SMALL(Dong5,ROWS($1:776)),)=$E$7,OFFSET(TH!M$1,SMALL(Dong5,ROWS($1:776)),),0))</f>
        <v>119250</v>
      </c>
      <c r="G790" s="382">
        <f ca="1">IF(ROWS($1:776)&gt;COUNT(Dong5),0,IF(OFFSET(TH!O$1,SMALL(Dong5,ROWS($1:776)),)=$E$7,OFFSET(TH!M$1,SMALL(Dong5,ROWS($1:776)),),0))</f>
        <v>0</v>
      </c>
      <c r="H790" s="385">
        <f ca="1">IF(D790&lt;&gt;"",MAX(H789+F790-G790-I789,0),0)</f>
        <v>518021088</v>
      </c>
      <c r="I790" s="385">
        <f ca="1">IF(D790&lt;&gt;"",MAX(I789+G790-H789-F790,0),0)</f>
        <v>0</v>
      </c>
      <c r="J790" s="18">
        <f ca="1">MONTH(A790)</f>
        <v>12</v>
      </c>
    </row>
    <row r="791" spans="1:10" s="18" customFormat="1" ht="18" customHeight="1">
      <c r="A791" s="318">
        <f ca="1">IF(ROWS($1:777)&gt;COUNT(Dong5),"",OFFSET(TH!C$1,SMALL(Dong5,ROWS($1:777)),))</f>
        <v>42734</v>
      </c>
      <c r="B791" s="318" t="str">
        <f ca="1">IF(ROWS($1:777)&gt;COUNT(Dong5),"",OFFSET(TH!D$1,SMALL(Dong5,ROWS($1:777)),))</f>
        <v>GBN</v>
      </c>
      <c r="C791" s="318">
        <f ca="1">IF(ROWS($1:777)&gt;COUNT(Dong5),"",OFFSET(TH!E$1,SMALL(Dong5,ROWS($1:777)),))</f>
        <v>42734</v>
      </c>
      <c r="D791" s="383" t="str">
        <f ca="1">IF(ROWS($1:777)&gt;COUNT(Dong5),"",OFFSET(TH!F$1,SMALL(Dong5,ROWS($1:777)),))</f>
        <v>VAT Phí dịch vụ</v>
      </c>
      <c r="E791" s="318" t="str">
        <f ca="1">IF(ROWS($1:777)&gt;COUNT(Dong5),"",IF(OFFSET(TH!N$1,SMALL(Dong5,ROWS($1:777)),)=$E$7,OFFSET(TH!O$1,SMALL(Dong5,ROWS($1:777)),),OFFSET(TH!N$1,SMALL(Dong5,ROWS($1:777)),)))</f>
        <v>1121</v>
      </c>
      <c r="F791" s="384">
        <f ca="1">IF(ROWS($1:777)&gt;COUNT(Dong5),0,IF(OFFSET(TH!N$1,SMALL(Dong5,ROWS($1:777)),)=$E$7,OFFSET(TH!M$1,SMALL(Dong5,ROWS($1:777)),),0))</f>
        <v>11028</v>
      </c>
      <c r="G791" s="382">
        <f ca="1">IF(ROWS($1:777)&gt;COUNT(Dong5),0,IF(OFFSET(TH!O$1,SMALL(Dong5,ROWS($1:777)),)=$E$7,OFFSET(TH!M$1,SMALL(Dong5,ROWS($1:777)),),0))</f>
        <v>0</v>
      </c>
      <c r="H791" s="385">
        <f ca="1">IF(D791&lt;&gt;"",MAX(H790+F791-G791-I790,0),0)</f>
        <v>518032116</v>
      </c>
      <c r="I791" s="385">
        <f ca="1">IF(D791&lt;&gt;"",MAX(I790+G791-H790-F791,0),0)</f>
        <v>0</v>
      </c>
      <c r="J791" s="18">
        <f ca="1">MONTH(A791)</f>
        <v>12</v>
      </c>
    </row>
    <row r="792" spans="1:10" s="18" customFormat="1" ht="18" customHeight="1">
      <c r="A792" s="318">
        <f ca="1">IF(ROWS($1:778)&gt;COUNT(Dong5),"",OFFSET(TH!C$1,SMALL(Dong5,ROWS($1:778)),))</f>
        <v>42734</v>
      </c>
      <c r="B792" s="318" t="str">
        <f ca="1">IF(ROWS($1:778)&gt;COUNT(Dong5),"",OFFSET(TH!D$1,SMALL(Dong5,ROWS($1:778)),))</f>
        <v>GBN</v>
      </c>
      <c r="C792" s="318">
        <f ca="1">IF(ROWS($1:778)&gt;COUNT(Dong5),"",OFFSET(TH!E$1,SMALL(Dong5,ROWS($1:778)),))</f>
        <v>42734</v>
      </c>
      <c r="D792" s="383" t="str">
        <f ca="1">IF(ROWS($1:778)&gt;COUNT(Dong5),"",OFFSET(TH!F$1,SMALL(Dong5,ROWS($1:778)),))</f>
        <v>VAT Phí chuyển khoản và rút tiền mặt trong ngày</v>
      </c>
      <c r="E792" s="318" t="str">
        <f ca="1">IF(ROWS($1:778)&gt;COUNT(Dong5),"",IF(OFFSET(TH!N$1,SMALL(Dong5,ROWS($1:778)),)=$E$7,OFFSET(TH!O$1,SMALL(Dong5,ROWS($1:778)),),OFFSET(TH!N$1,SMALL(Dong5,ROWS($1:778)),)))</f>
        <v>1121</v>
      </c>
      <c r="F792" s="384">
        <f ca="1">IF(ROWS($1:778)&gt;COUNT(Dong5),0,IF(OFFSET(TH!N$1,SMALL(Dong5,ROWS($1:778)),)=$E$7,OFFSET(TH!M$1,SMALL(Dong5,ROWS($1:778)),),0))</f>
        <v>17905</v>
      </c>
      <c r="G792" s="382">
        <f ca="1">IF(ROWS($1:778)&gt;COUNT(Dong5),0,IF(OFFSET(TH!O$1,SMALL(Dong5,ROWS($1:778)),)=$E$7,OFFSET(TH!M$1,SMALL(Dong5,ROWS($1:778)),),0))</f>
        <v>0</v>
      </c>
      <c r="H792" s="385">
        <f ca="1">IF(D792&lt;&gt;"",MAX(H791+F792-G792-I791,0),0)</f>
        <v>518050021</v>
      </c>
      <c r="I792" s="385">
        <f ca="1">IF(D792&lt;&gt;"",MAX(I791+G792-H791-F792,0),0)</f>
        <v>0</v>
      </c>
      <c r="J792" s="18">
        <f ca="1">MONTH(A792)</f>
        <v>12</v>
      </c>
    </row>
    <row r="793" spans="1:10" s="18" customFormat="1" ht="18" customHeight="1">
      <c r="A793" s="318">
        <f ca="1">IF(ROWS($1:779)&gt;COUNT(Dong5),"",OFFSET(TH!C$1,SMALL(Dong5,ROWS($1:779)),))</f>
        <v>42734</v>
      </c>
      <c r="B793" s="318" t="str">
        <f ca="1">IF(ROWS($1:779)&gt;COUNT(Dong5),"",OFFSET(TH!D$1,SMALL(Dong5,ROWS($1:779)),))</f>
        <v>GBN</v>
      </c>
      <c r="C793" s="318">
        <f ca="1">IF(ROWS($1:779)&gt;COUNT(Dong5),"",OFFSET(TH!E$1,SMALL(Dong5,ROWS($1:779)),))</f>
        <v>42734</v>
      </c>
      <c r="D793" s="383" t="str">
        <f ca="1">IF(ROWS($1:779)&gt;COUNT(Dong5),"",OFFSET(TH!F$1,SMALL(Dong5,ROWS($1:779)),))</f>
        <v>VAT Phí NH</v>
      </c>
      <c r="E793" s="318" t="str">
        <f ca="1">IF(ROWS($1:779)&gt;COUNT(Dong5),"",IF(OFFSET(TH!N$1,SMALL(Dong5,ROWS($1:779)),)=$E$7,OFFSET(TH!O$1,SMALL(Dong5,ROWS($1:779)),),OFFSET(TH!N$1,SMALL(Dong5,ROWS($1:779)),)))</f>
        <v>1122</v>
      </c>
      <c r="F793" s="384">
        <f ca="1">IF(ROWS($1:779)&gt;COUNT(Dong5),0,IF(OFFSET(TH!N$1,SMALL(Dong5,ROWS($1:779)),)=$E$7,OFFSET(TH!M$1,SMALL(Dong5,ROWS($1:779)),),0))</f>
        <v>6816</v>
      </c>
      <c r="G793" s="382">
        <f ca="1">IF(ROWS($1:779)&gt;COUNT(Dong5),0,IF(OFFSET(TH!O$1,SMALL(Dong5,ROWS($1:779)),)=$E$7,OFFSET(TH!M$1,SMALL(Dong5,ROWS($1:779)),),0))</f>
        <v>0</v>
      </c>
      <c r="H793" s="385">
        <f ca="1">IF(D793&lt;&gt;"",MAX(H792+F793-G793-I792,0),0)</f>
        <v>518056837</v>
      </c>
      <c r="I793" s="385">
        <f ca="1">IF(D793&lt;&gt;"",MAX(I792+G793-H792-F793,0),0)</f>
        <v>0</v>
      </c>
      <c r="J793" s="18">
        <f ca="1">MONTH(A793)</f>
        <v>12</v>
      </c>
    </row>
    <row r="794" spans="1:10" s="18" customFormat="1" ht="18" customHeight="1">
      <c r="A794" s="318">
        <f ca="1">IF(ROWS($1:780)&gt;COUNT(Dong5),"",OFFSET(TH!C$1,SMALL(Dong5,ROWS($1:780)),))</f>
        <v>42735</v>
      </c>
      <c r="B794" s="318" t="str">
        <f ca="1">IF(ROWS($1:780)&gt;COUNT(Dong5),"",OFFSET(TH!D$1,SMALL(Dong5,ROWS($1:780)),))</f>
        <v>C103</v>
      </c>
      <c r="C794" s="318">
        <f ca="1">IF(ROWS($1:780)&gt;COUNT(Dong5),"",OFFSET(TH!E$1,SMALL(Dong5,ROWS($1:780)),))</f>
        <v>42735</v>
      </c>
      <c r="D794" s="383" t="str">
        <f ca="1">IF(ROWS($1:780)&gt;COUNT(Dong5),"",OFFSET(TH!F$1,SMALL(Dong5,ROWS($1:780)),))</f>
        <v>VAT Xăng, dầu DO</v>
      </c>
      <c r="E794" s="318" t="str">
        <f ca="1">IF(ROWS($1:780)&gt;COUNT(Dong5),"",IF(OFFSET(TH!N$1,SMALL(Dong5,ROWS($1:780)),)=$E$7,OFFSET(TH!O$1,SMALL(Dong5,ROWS($1:780)),),OFFSET(TH!N$1,SMALL(Dong5,ROWS($1:780)),)))</f>
        <v>1111</v>
      </c>
      <c r="F794" s="384">
        <f ca="1">IF(ROWS($1:780)&gt;COUNT(Dong5),0,IF(OFFSET(TH!N$1,SMALL(Dong5,ROWS($1:780)),)=$E$7,OFFSET(TH!M$1,SMALL(Dong5,ROWS($1:780)),),0))</f>
        <v>162833</v>
      </c>
      <c r="G794" s="382">
        <f ca="1">IF(ROWS($1:780)&gt;COUNT(Dong5),0,IF(OFFSET(TH!O$1,SMALL(Dong5,ROWS($1:780)),)=$E$7,OFFSET(TH!M$1,SMALL(Dong5,ROWS($1:780)),),0))</f>
        <v>0</v>
      </c>
      <c r="H794" s="385">
        <f ca="1">IF(D794&lt;&gt;"",MAX(H793+F794-G794-I793,0),0)</f>
        <v>518219670</v>
      </c>
      <c r="I794" s="385">
        <f ca="1">IF(D794&lt;&gt;"",MAX(I793+G794-H793-F794,0),0)</f>
        <v>0</v>
      </c>
      <c r="J794" s="18">
        <f ca="1">MONTH(A794)</f>
        <v>12</v>
      </c>
    </row>
    <row r="795" spans="1:10" s="18" customFormat="1" ht="18" customHeight="1">
      <c r="A795" s="318">
        <f ca="1">IF(ROWS($1:781)&gt;COUNT(Dong5),"",OFFSET(TH!C$1,SMALL(Dong5,ROWS($1:781)),))</f>
        <v>42735</v>
      </c>
      <c r="B795" s="318" t="str">
        <f ca="1">IF(ROWS($1:781)&gt;COUNT(Dong5),"",OFFSET(TH!D$1,SMALL(Dong5,ROWS($1:781)),))</f>
        <v>C104</v>
      </c>
      <c r="C795" s="318">
        <f ca="1">IF(ROWS($1:781)&gt;COUNT(Dong5),"",OFFSET(TH!E$1,SMALL(Dong5,ROWS($1:781)),))</f>
        <v>42735</v>
      </c>
      <c r="D795" s="383" t="str">
        <f ca="1">IF(ROWS($1:781)&gt;COUNT(Dong5),"",OFFSET(TH!F$1,SMALL(Dong5,ROWS($1:781)),))</f>
        <v>VAT Phí giao thông</v>
      </c>
      <c r="E795" s="318" t="str">
        <f ca="1">IF(ROWS($1:781)&gt;COUNT(Dong5),"",IF(OFFSET(TH!N$1,SMALL(Dong5,ROWS($1:781)),)=$E$7,OFFSET(TH!O$1,SMALL(Dong5,ROWS($1:781)),),OFFSET(TH!N$1,SMALL(Dong5,ROWS($1:781)),)))</f>
        <v>1111</v>
      </c>
      <c r="F795" s="384">
        <f ca="1">IF(ROWS($1:781)&gt;COUNT(Dong5),0,IF(OFFSET(TH!N$1,SMALL(Dong5,ROWS($1:781)),)=$E$7,OFFSET(TH!M$1,SMALL(Dong5,ROWS($1:781)),),0))</f>
        <v>225909</v>
      </c>
      <c r="G795" s="382">
        <f ca="1">IF(ROWS($1:781)&gt;COUNT(Dong5),0,IF(OFFSET(TH!O$1,SMALL(Dong5,ROWS($1:781)),)=$E$7,OFFSET(TH!M$1,SMALL(Dong5,ROWS($1:781)),),0))</f>
        <v>0</v>
      </c>
      <c r="H795" s="385">
        <f ca="1">IF(D795&lt;&gt;"",MAX(H794+F795-G795-I794,0),0)</f>
        <v>518445579</v>
      </c>
      <c r="I795" s="385">
        <f ca="1">IF(D795&lt;&gt;"",MAX(I794+G795-H794-F795,0),0)</f>
        <v>0</v>
      </c>
      <c r="J795" s="18">
        <f ca="1">MONTH(A795)</f>
        <v>12</v>
      </c>
    </row>
    <row r="796" spans="1:10" s="18" customFormat="1" ht="18" customHeight="1">
      <c r="A796" s="318">
        <f ca="1">IF(ROWS($1:782)&gt;COUNT(Dong5),"",OFFSET(TH!C$1,SMALL(Dong5,ROWS($1:782)),))</f>
        <v>42735</v>
      </c>
      <c r="B796" s="318" t="str">
        <f ca="1">IF(ROWS($1:782)&gt;COUNT(Dong5),"",OFFSET(TH!D$1,SMALL(Dong5,ROWS($1:782)),))</f>
        <v>C105</v>
      </c>
      <c r="C796" s="318">
        <f ca="1">IF(ROWS($1:782)&gt;COUNT(Dong5),"",OFFSET(TH!E$1,SMALL(Dong5,ROWS($1:782)),))</f>
        <v>42735</v>
      </c>
      <c r="D796" s="383" t="str">
        <f ca="1">IF(ROWS($1:782)&gt;COUNT(Dong5),"",OFFSET(TH!F$1,SMALL(Dong5,ROWS($1:782)),))</f>
        <v>VAT Cước CPN T12/2016</v>
      </c>
      <c r="E796" s="318" t="str">
        <f ca="1">IF(ROWS($1:782)&gt;COUNT(Dong5),"",IF(OFFSET(TH!N$1,SMALL(Dong5,ROWS($1:782)),)=$E$7,OFFSET(TH!O$1,SMALL(Dong5,ROWS($1:782)),),OFFSET(TH!N$1,SMALL(Dong5,ROWS($1:782)),)))</f>
        <v>1111</v>
      </c>
      <c r="F796" s="384">
        <f ca="1">IF(ROWS($1:782)&gt;COUNT(Dong5),0,IF(OFFSET(TH!N$1,SMALL(Dong5,ROWS($1:782)),)=$E$7,OFFSET(TH!M$1,SMALL(Dong5,ROWS($1:782)),),0))</f>
        <v>25412</v>
      </c>
      <c r="G796" s="382">
        <f ca="1">IF(ROWS($1:782)&gt;COUNT(Dong5),0,IF(OFFSET(TH!O$1,SMALL(Dong5,ROWS($1:782)),)=$E$7,OFFSET(TH!M$1,SMALL(Dong5,ROWS($1:782)),),0))</f>
        <v>0</v>
      </c>
      <c r="H796" s="385">
        <f ca="1">IF(D796&lt;&gt;"",MAX(H795+F796-G796-I795,0),0)</f>
        <v>518470991</v>
      </c>
      <c r="I796" s="385">
        <f ca="1">IF(D796&lt;&gt;"",MAX(I795+G796-H795-F796,0),0)</f>
        <v>0</v>
      </c>
      <c r="J796" s="18">
        <f ca="1">MONTH(A796)</f>
        <v>12</v>
      </c>
    </row>
    <row r="797" spans="1:10" s="18" customFormat="1" ht="18" customHeight="1">
      <c r="A797" s="318" t="str">
        <f ca="1">IF(ROWS($1:783)&gt;COUNT(Dong5),"",OFFSET(TH!C$1,SMALL(Dong5,ROWS($1:783)),))</f>
        <v/>
      </c>
      <c r="B797" s="318" t="str">
        <f ca="1">IF(ROWS($1:783)&gt;COUNT(Dong5),"",OFFSET(TH!D$1,SMALL(Dong5,ROWS($1:783)),))</f>
        <v/>
      </c>
      <c r="C797" s="318" t="str">
        <f ca="1">IF(ROWS($1:783)&gt;COUNT(Dong5),"",OFFSET(TH!E$1,SMALL(Dong5,ROWS($1:783)),))</f>
        <v/>
      </c>
      <c r="D797" s="383" t="str">
        <f ca="1">IF(ROWS($1:783)&gt;COUNT(Dong5),"",OFFSET(TH!F$1,SMALL(Dong5,ROWS($1:783)),))</f>
        <v/>
      </c>
      <c r="E797" s="318" t="str">
        <f ca="1">IF(ROWS($1:783)&gt;COUNT(Dong5),"",IF(OFFSET(TH!N$1,SMALL(Dong5,ROWS($1:783)),)=$E$7,OFFSET(TH!O$1,SMALL(Dong5,ROWS($1:783)),),OFFSET(TH!N$1,SMALL(Dong5,ROWS($1:783)),)))</f>
        <v/>
      </c>
      <c r="F797" s="384">
        <f ca="1">IF(ROWS($1:783)&gt;COUNT(Dong5),0,IF(OFFSET(TH!N$1,SMALL(Dong5,ROWS($1:783)),)=$E$7,OFFSET(TH!M$1,SMALL(Dong5,ROWS($1:783)),),0))</f>
        <v>0</v>
      </c>
      <c r="G797" s="382">
        <f ca="1">IF(ROWS($1:783)&gt;COUNT(Dong5),0,IF(OFFSET(TH!O$1,SMALL(Dong5,ROWS($1:783)),)=$E$7,OFFSET(TH!M$1,SMALL(Dong5,ROWS($1:783)),),0))</f>
        <v>0</v>
      </c>
      <c r="H797" s="385">
        <f t="shared" ref="H795:H805" ca="1" si="0">IF(D797&lt;&gt;"",MAX(H796+F797-G797-I796,0),0)</f>
        <v>0</v>
      </c>
      <c r="I797" s="385">
        <f t="shared" ref="I795:I805" ca="1" si="1">IF(D797&lt;&gt;"",MAX(I796+G797-H796-F797,0),0)</f>
        <v>0</v>
      </c>
    </row>
    <row r="798" spans="1:10" s="18" customFormat="1" ht="18" customHeight="1">
      <c r="A798" s="318" t="str">
        <f ca="1">IF(ROWS($1:784)&gt;COUNT(Dong5),"",OFFSET(TH!C$1,SMALL(Dong5,ROWS($1:784)),))</f>
        <v/>
      </c>
      <c r="B798" s="318" t="str">
        <f ca="1">IF(ROWS($1:784)&gt;COUNT(Dong5),"",OFFSET(TH!D$1,SMALL(Dong5,ROWS($1:784)),))</f>
        <v/>
      </c>
      <c r="C798" s="318" t="str">
        <f ca="1">IF(ROWS($1:784)&gt;COUNT(Dong5),"",OFFSET(TH!E$1,SMALL(Dong5,ROWS($1:784)),))</f>
        <v/>
      </c>
      <c r="D798" s="383" t="str">
        <f ca="1">IF(ROWS($1:784)&gt;COUNT(Dong5),"",OFFSET(TH!F$1,SMALL(Dong5,ROWS($1:784)),))</f>
        <v/>
      </c>
      <c r="E798" s="318" t="str">
        <f ca="1">IF(ROWS($1:784)&gt;COUNT(Dong5),"",IF(OFFSET(TH!N$1,SMALL(Dong5,ROWS($1:784)),)=$E$7,OFFSET(TH!O$1,SMALL(Dong5,ROWS($1:784)),),OFFSET(TH!N$1,SMALL(Dong5,ROWS($1:784)),)))</f>
        <v/>
      </c>
      <c r="F798" s="384">
        <f ca="1">IF(ROWS($1:784)&gt;COUNT(Dong5),0,IF(OFFSET(TH!N$1,SMALL(Dong5,ROWS($1:784)),)=$E$7,OFFSET(TH!M$1,SMALL(Dong5,ROWS($1:784)),),0))</f>
        <v>0</v>
      </c>
      <c r="G798" s="382">
        <f ca="1">IF(ROWS($1:784)&gt;COUNT(Dong5),0,IF(OFFSET(TH!O$1,SMALL(Dong5,ROWS($1:784)),)=$E$7,OFFSET(TH!M$1,SMALL(Dong5,ROWS($1:784)),),0))</f>
        <v>0</v>
      </c>
      <c r="H798" s="385">
        <f t="shared" ca="1" si="0"/>
        <v>0</v>
      </c>
      <c r="I798" s="385">
        <f t="shared" ca="1" si="1"/>
        <v>0</v>
      </c>
    </row>
    <row r="799" spans="1:10" s="18" customFormat="1" ht="18" customHeight="1">
      <c r="A799" s="318" t="str">
        <f ca="1">IF(ROWS($1:785)&gt;COUNT(Dong5),"",OFFSET(TH!C$1,SMALL(Dong5,ROWS($1:785)),))</f>
        <v/>
      </c>
      <c r="B799" s="318" t="str">
        <f ca="1">IF(ROWS($1:785)&gt;COUNT(Dong5),"",OFFSET(TH!D$1,SMALL(Dong5,ROWS($1:785)),))</f>
        <v/>
      </c>
      <c r="C799" s="318" t="str">
        <f ca="1">IF(ROWS($1:785)&gt;COUNT(Dong5),"",OFFSET(TH!E$1,SMALL(Dong5,ROWS($1:785)),))</f>
        <v/>
      </c>
      <c r="D799" s="383" t="str">
        <f ca="1">IF(ROWS($1:785)&gt;COUNT(Dong5),"",OFFSET(TH!F$1,SMALL(Dong5,ROWS($1:785)),))</f>
        <v/>
      </c>
      <c r="E799" s="318" t="str">
        <f ca="1">IF(ROWS($1:785)&gt;COUNT(Dong5),"",IF(OFFSET(TH!N$1,SMALL(Dong5,ROWS($1:785)),)=$E$7,OFFSET(TH!O$1,SMALL(Dong5,ROWS($1:785)),),OFFSET(TH!N$1,SMALL(Dong5,ROWS($1:785)),)))</f>
        <v/>
      </c>
      <c r="F799" s="384">
        <f ca="1">IF(ROWS($1:785)&gt;COUNT(Dong5),0,IF(OFFSET(TH!N$1,SMALL(Dong5,ROWS($1:785)),)=$E$7,OFFSET(TH!M$1,SMALL(Dong5,ROWS($1:785)),),0))</f>
        <v>0</v>
      </c>
      <c r="G799" s="382">
        <f ca="1">IF(ROWS($1:785)&gt;COUNT(Dong5),0,IF(OFFSET(TH!O$1,SMALL(Dong5,ROWS($1:785)),)=$E$7,OFFSET(TH!M$1,SMALL(Dong5,ROWS($1:785)),),0))</f>
        <v>0</v>
      </c>
      <c r="H799" s="385">
        <f t="shared" ca="1" si="0"/>
        <v>0</v>
      </c>
      <c r="I799" s="385">
        <f t="shared" ca="1" si="1"/>
        <v>0</v>
      </c>
    </row>
    <row r="800" spans="1:10" s="18" customFormat="1" ht="18" customHeight="1">
      <c r="A800" s="318" t="str">
        <f ca="1">IF(ROWS($1:786)&gt;COUNT(Dong5),"",OFFSET(TH!C$1,SMALL(Dong5,ROWS($1:786)),))</f>
        <v/>
      </c>
      <c r="B800" s="318" t="str">
        <f ca="1">IF(ROWS($1:786)&gt;COUNT(Dong5),"",OFFSET(TH!D$1,SMALL(Dong5,ROWS($1:786)),))</f>
        <v/>
      </c>
      <c r="C800" s="318" t="str">
        <f ca="1">IF(ROWS($1:786)&gt;COUNT(Dong5),"",OFFSET(TH!E$1,SMALL(Dong5,ROWS($1:786)),))</f>
        <v/>
      </c>
      <c r="D800" s="383" t="str">
        <f ca="1">IF(ROWS($1:786)&gt;COUNT(Dong5),"",OFFSET(TH!F$1,SMALL(Dong5,ROWS($1:786)),))</f>
        <v/>
      </c>
      <c r="E800" s="318" t="str">
        <f ca="1">IF(ROWS($1:786)&gt;COUNT(Dong5),"",IF(OFFSET(TH!N$1,SMALL(Dong5,ROWS($1:786)),)=$E$7,OFFSET(TH!O$1,SMALL(Dong5,ROWS($1:786)),),OFFSET(TH!N$1,SMALL(Dong5,ROWS($1:786)),)))</f>
        <v/>
      </c>
      <c r="F800" s="384">
        <f ca="1">IF(ROWS($1:786)&gt;COUNT(Dong5),0,IF(OFFSET(TH!N$1,SMALL(Dong5,ROWS($1:786)),)=$E$7,OFFSET(TH!M$1,SMALL(Dong5,ROWS($1:786)),),0))</f>
        <v>0</v>
      </c>
      <c r="G800" s="382">
        <f ca="1">IF(ROWS($1:786)&gt;COUNT(Dong5),0,IF(OFFSET(TH!O$1,SMALL(Dong5,ROWS($1:786)),)=$E$7,OFFSET(TH!M$1,SMALL(Dong5,ROWS($1:786)),),0))</f>
        <v>0</v>
      </c>
      <c r="H800" s="385">
        <f t="shared" ca="1" si="0"/>
        <v>0</v>
      </c>
      <c r="I800" s="385">
        <f t="shared" ca="1" si="1"/>
        <v>0</v>
      </c>
    </row>
    <row r="801" spans="1:9" s="18" customFormat="1" ht="18" customHeight="1">
      <c r="A801" s="318" t="str">
        <f ca="1">IF(ROWS($1:787)&gt;COUNT(Dong5),"",OFFSET(TH!C$1,SMALL(Dong5,ROWS($1:787)),))</f>
        <v/>
      </c>
      <c r="B801" s="318" t="str">
        <f ca="1">IF(ROWS($1:787)&gt;COUNT(Dong5),"",OFFSET(TH!D$1,SMALL(Dong5,ROWS($1:787)),))</f>
        <v/>
      </c>
      <c r="C801" s="318" t="str">
        <f ca="1">IF(ROWS($1:787)&gt;COUNT(Dong5),"",OFFSET(TH!E$1,SMALL(Dong5,ROWS($1:787)),))</f>
        <v/>
      </c>
      <c r="D801" s="383" t="str">
        <f ca="1">IF(ROWS($1:787)&gt;COUNT(Dong5),"",OFFSET(TH!F$1,SMALL(Dong5,ROWS($1:787)),))</f>
        <v/>
      </c>
      <c r="E801" s="318" t="str">
        <f ca="1">IF(ROWS($1:787)&gt;COUNT(Dong5),"",IF(OFFSET(TH!N$1,SMALL(Dong5,ROWS($1:787)),)=$E$7,OFFSET(TH!O$1,SMALL(Dong5,ROWS($1:787)),),OFFSET(TH!N$1,SMALL(Dong5,ROWS($1:787)),)))</f>
        <v/>
      </c>
      <c r="F801" s="384">
        <f ca="1">IF(ROWS($1:787)&gt;COUNT(Dong5),0,IF(OFFSET(TH!N$1,SMALL(Dong5,ROWS($1:787)),)=$E$7,OFFSET(TH!M$1,SMALL(Dong5,ROWS($1:787)),),0))</f>
        <v>0</v>
      </c>
      <c r="G801" s="382">
        <f ca="1">IF(ROWS($1:787)&gt;COUNT(Dong5),0,IF(OFFSET(TH!O$1,SMALL(Dong5,ROWS($1:787)),)=$E$7,OFFSET(TH!M$1,SMALL(Dong5,ROWS($1:787)),),0))</f>
        <v>0</v>
      </c>
      <c r="H801" s="385">
        <f t="shared" ca="1" si="0"/>
        <v>0</v>
      </c>
      <c r="I801" s="385">
        <f t="shared" ca="1" si="1"/>
        <v>0</v>
      </c>
    </row>
    <row r="802" spans="1:9" s="18" customFormat="1" ht="18" customHeight="1">
      <c r="A802" s="318" t="str">
        <f ca="1">IF(ROWS($1:788)&gt;COUNT(Dong5),"",OFFSET(TH!C$1,SMALL(Dong5,ROWS($1:788)),))</f>
        <v/>
      </c>
      <c r="B802" s="318" t="str">
        <f ca="1">IF(ROWS($1:788)&gt;COUNT(Dong5),"",OFFSET(TH!D$1,SMALL(Dong5,ROWS($1:788)),))</f>
        <v/>
      </c>
      <c r="C802" s="318" t="str">
        <f ca="1">IF(ROWS($1:788)&gt;COUNT(Dong5),"",OFFSET(TH!E$1,SMALL(Dong5,ROWS($1:788)),))</f>
        <v/>
      </c>
      <c r="D802" s="383" t="str">
        <f ca="1">IF(ROWS($1:788)&gt;COUNT(Dong5),"",OFFSET(TH!F$1,SMALL(Dong5,ROWS($1:788)),))</f>
        <v/>
      </c>
      <c r="E802" s="318" t="str">
        <f ca="1">IF(ROWS($1:788)&gt;COUNT(Dong5),"",IF(OFFSET(TH!N$1,SMALL(Dong5,ROWS($1:788)),)=$E$7,OFFSET(TH!O$1,SMALL(Dong5,ROWS($1:788)),),OFFSET(TH!N$1,SMALL(Dong5,ROWS($1:788)),)))</f>
        <v/>
      </c>
      <c r="F802" s="384">
        <f ca="1">IF(ROWS($1:788)&gt;COUNT(Dong5),0,IF(OFFSET(TH!N$1,SMALL(Dong5,ROWS($1:788)),)=$E$7,OFFSET(TH!M$1,SMALL(Dong5,ROWS($1:788)),),0))</f>
        <v>0</v>
      </c>
      <c r="G802" s="382">
        <f ca="1">IF(ROWS($1:788)&gt;COUNT(Dong5),0,IF(OFFSET(TH!O$1,SMALL(Dong5,ROWS($1:788)),)=$E$7,OFFSET(TH!M$1,SMALL(Dong5,ROWS($1:788)),),0))</f>
        <v>0</v>
      </c>
      <c r="H802" s="385">
        <f t="shared" ca="1" si="0"/>
        <v>0</v>
      </c>
      <c r="I802" s="385">
        <f t="shared" ca="1" si="1"/>
        <v>0</v>
      </c>
    </row>
    <row r="803" spans="1:9" s="18" customFormat="1" ht="18" customHeight="1">
      <c r="A803" s="318" t="str">
        <f ca="1">IF(ROWS($1:789)&gt;COUNT(Dong5),"",OFFSET(TH!C$1,SMALL(Dong5,ROWS($1:789)),))</f>
        <v/>
      </c>
      <c r="B803" s="318" t="str">
        <f ca="1">IF(ROWS($1:789)&gt;COUNT(Dong5),"",OFFSET(TH!D$1,SMALL(Dong5,ROWS($1:789)),))</f>
        <v/>
      </c>
      <c r="C803" s="318" t="str">
        <f ca="1">IF(ROWS($1:789)&gt;COUNT(Dong5),"",OFFSET(TH!E$1,SMALL(Dong5,ROWS($1:789)),))</f>
        <v/>
      </c>
      <c r="D803" s="383" t="str">
        <f ca="1">IF(ROWS($1:789)&gt;COUNT(Dong5),"",OFFSET(TH!F$1,SMALL(Dong5,ROWS($1:789)),))</f>
        <v/>
      </c>
      <c r="E803" s="318" t="str">
        <f ca="1">IF(ROWS($1:789)&gt;COUNT(Dong5),"",IF(OFFSET(TH!N$1,SMALL(Dong5,ROWS($1:789)),)=$E$7,OFFSET(TH!O$1,SMALL(Dong5,ROWS($1:789)),),OFFSET(TH!N$1,SMALL(Dong5,ROWS($1:789)),)))</f>
        <v/>
      </c>
      <c r="F803" s="384">
        <f ca="1">IF(ROWS($1:789)&gt;COUNT(Dong5),0,IF(OFFSET(TH!N$1,SMALL(Dong5,ROWS($1:789)),)=$E$7,OFFSET(TH!M$1,SMALL(Dong5,ROWS($1:789)),),0))</f>
        <v>0</v>
      </c>
      <c r="G803" s="382">
        <f ca="1">IF(ROWS($1:789)&gt;COUNT(Dong5),0,IF(OFFSET(TH!O$1,SMALL(Dong5,ROWS($1:789)),)=$E$7,OFFSET(TH!M$1,SMALL(Dong5,ROWS($1:789)),),0))</f>
        <v>0</v>
      </c>
      <c r="H803" s="385">
        <f t="shared" ca="1" si="0"/>
        <v>0</v>
      </c>
      <c r="I803" s="385">
        <f t="shared" ca="1" si="1"/>
        <v>0</v>
      </c>
    </row>
    <row r="804" spans="1:9" s="18" customFormat="1" ht="18" customHeight="1">
      <c r="A804" s="318" t="str">
        <f ca="1">IF(ROWS($1:790)&gt;COUNT(Dong5),"",OFFSET(TH!C$1,SMALL(Dong5,ROWS($1:790)),))</f>
        <v/>
      </c>
      <c r="B804" s="318" t="str">
        <f ca="1">IF(ROWS($1:790)&gt;COUNT(Dong5),"",OFFSET(TH!D$1,SMALL(Dong5,ROWS($1:790)),))</f>
        <v/>
      </c>
      <c r="C804" s="318" t="str">
        <f ca="1">IF(ROWS($1:790)&gt;COUNT(Dong5),"",OFFSET(TH!E$1,SMALL(Dong5,ROWS($1:790)),))</f>
        <v/>
      </c>
      <c r="D804" s="383" t="str">
        <f ca="1">IF(ROWS($1:790)&gt;COUNT(Dong5),"",OFFSET(TH!F$1,SMALL(Dong5,ROWS($1:790)),))</f>
        <v/>
      </c>
      <c r="E804" s="318" t="str">
        <f ca="1">IF(ROWS($1:790)&gt;COUNT(Dong5),"",IF(OFFSET(TH!N$1,SMALL(Dong5,ROWS($1:790)),)=$E$7,OFFSET(TH!O$1,SMALL(Dong5,ROWS($1:790)),),OFFSET(TH!N$1,SMALL(Dong5,ROWS($1:790)),)))</f>
        <v/>
      </c>
      <c r="F804" s="384">
        <f ca="1">IF(ROWS($1:790)&gt;COUNT(Dong5),0,IF(OFFSET(TH!N$1,SMALL(Dong5,ROWS($1:790)),)=$E$7,OFFSET(TH!M$1,SMALL(Dong5,ROWS($1:790)),),0))</f>
        <v>0</v>
      </c>
      <c r="G804" s="382">
        <f ca="1">IF(ROWS($1:790)&gt;COUNT(Dong5),0,IF(OFFSET(TH!O$1,SMALL(Dong5,ROWS($1:790)),)=$E$7,OFFSET(TH!M$1,SMALL(Dong5,ROWS($1:790)),),0))</f>
        <v>0</v>
      </c>
      <c r="H804" s="385">
        <f t="shared" ca="1" si="0"/>
        <v>0</v>
      </c>
      <c r="I804" s="385">
        <f t="shared" ca="1" si="1"/>
        <v>0</v>
      </c>
    </row>
    <row r="805" spans="1:9" s="18" customFormat="1" ht="18" customHeight="1">
      <c r="A805" s="318" t="str">
        <f ca="1">IF(ROWS($1:791)&gt;COUNT(Dong5),"",OFFSET(TH!C$1,SMALL(Dong5,ROWS($1:791)),))</f>
        <v/>
      </c>
      <c r="B805" s="318" t="str">
        <f ca="1">IF(ROWS($1:791)&gt;COUNT(Dong5),"",OFFSET(TH!D$1,SMALL(Dong5,ROWS($1:791)),))</f>
        <v/>
      </c>
      <c r="C805" s="318" t="str">
        <f ca="1">IF(ROWS($1:791)&gt;COUNT(Dong5),"",OFFSET(TH!E$1,SMALL(Dong5,ROWS($1:791)),))</f>
        <v/>
      </c>
      <c r="D805" s="383" t="str">
        <f ca="1">IF(ROWS($1:791)&gt;COUNT(Dong5),"",OFFSET(TH!F$1,SMALL(Dong5,ROWS($1:791)),))</f>
        <v/>
      </c>
      <c r="E805" s="318" t="str">
        <f ca="1">IF(ROWS($1:791)&gt;COUNT(Dong5),"",IF(OFFSET(TH!N$1,SMALL(Dong5,ROWS($1:791)),)=$E$7,OFFSET(TH!O$1,SMALL(Dong5,ROWS($1:791)),),OFFSET(TH!N$1,SMALL(Dong5,ROWS($1:791)),)))</f>
        <v/>
      </c>
      <c r="F805" s="384">
        <f ca="1">IF(ROWS($1:791)&gt;COUNT(Dong5),0,IF(OFFSET(TH!N$1,SMALL(Dong5,ROWS($1:791)),)=$E$7,OFFSET(TH!M$1,SMALL(Dong5,ROWS($1:791)),),0))</f>
        <v>0</v>
      </c>
      <c r="G805" s="382">
        <f ca="1">IF(ROWS($1:791)&gt;COUNT(Dong5),0,IF(OFFSET(TH!O$1,SMALL(Dong5,ROWS($1:791)),)=$E$7,OFFSET(TH!M$1,SMALL(Dong5,ROWS($1:791)),),0))</f>
        <v>0</v>
      </c>
      <c r="H805" s="385">
        <f t="shared" ca="1" si="0"/>
        <v>0</v>
      </c>
      <c r="I805" s="385">
        <f t="shared" ca="1" si="1"/>
        <v>0</v>
      </c>
    </row>
    <row r="806" spans="1:9" s="18" customFormat="1" ht="18" customHeight="1">
      <c r="A806" s="318"/>
      <c r="B806" s="319"/>
      <c r="C806" s="318"/>
      <c r="D806" s="370" t="s">
        <v>155</v>
      </c>
      <c r="E806" s="319" t="s">
        <v>20</v>
      </c>
      <c r="F806" s="386">
        <f ca="1">SUM(F15:F207)</f>
        <v>537097345</v>
      </c>
      <c r="G806" s="386">
        <f ca="1">SUM(G15:G207)</f>
        <v>198258535</v>
      </c>
      <c r="H806" s="386" t="s">
        <v>20</v>
      </c>
      <c r="I806" s="386" t="s">
        <v>20</v>
      </c>
    </row>
    <row r="807" spans="1:9" s="18" customFormat="1" ht="18" customHeight="1">
      <c r="A807" s="387"/>
      <c r="B807" s="375"/>
      <c r="C807" s="387"/>
      <c r="D807" s="374" t="s">
        <v>10</v>
      </c>
      <c r="E807" s="375" t="s">
        <v>20</v>
      </c>
      <c r="F807" s="388" t="s">
        <v>20</v>
      </c>
      <c r="G807" s="388" t="s">
        <v>20</v>
      </c>
      <c r="H807" s="389">
        <f ca="1">MAX(H14+F806-G806-I14,0)</f>
        <v>501259746</v>
      </c>
      <c r="I807" s="389">
        <f ca="1">MAX(I14+G806-F806-H14,0)</f>
        <v>0</v>
      </c>
    </row>
    <row r="808" spans="1:9" s="18" customFormat="1" ht="9.75" customHeight="1">
      <c r="A808" s="337"/>
      <c r="B808" s="337"/>
      <c r="C808" s="337"/>
      <c r="E808" s="337"/>
    </row>
    <row r="809" spans="1:9" s="18" customFormat="1" ht="12.75">
      <c r="A809" s="337"/>
      <c r="B809" s="337"/>
      <c r="C809" s="390" t="s">
        <v>246</v>
      </c>
      <c r="E809" s="337"/>
    </row>
    <row r="810" spans="1:9" s="18" customFormat="1" ht="12.75">
      <c r="A810" s="337"/>
      <c r="B810" s="337"/>
      <c r="C810" s="28" t="s">
        <v>3003</v>
      </c>
      <c r="E810" s="337"/>
    </row>
    <row r="811" spans="1:9" s="18" customFormat="1" ht="13.5" customHeight="1">
      <c r="A811" s="337"/>
      <c r="B811" s="337"/>
      <c r="C811" s="337"/>
      <c r="E811" s="1384" t="s">
        <v>3002</v>
      </c>
      <c r="F811" s="1384"/>
      <c r="G811" s="1384"/>
      <c r="H811" s="1384"/>
      <c r="I811" s="1384"/>
    </row>
    <row r="812" spans="1:9" s="18" customFormat="1" ht="12.75">
      <c r="A812" s="1384" t="s">
        <v>11</v>
      </c>
      <c r="B812" s="1384"/>
      <c r="C812" s="1384"/>
      <c r="D812" s="1384"/>
      <c r="E812" s="1384" t="s">
        <v>12</v>
      </c>
      <c r="F812" s="1384"/>
      <c r="G812" s="1384"/>
      <c r="H812" s="1384"/>
      <c r="I812" s="1384"/>
    </row>
    <row r="813" spans="1:9" s="18" customFormat="1" ht="12.75">
      <c r="A813" s="1384" t="s">
        <v>13</v>
      </c>
      <c r="B813" s="1384"/>
      <c r="C813" s="1384"/>
      <c r="D813" s="1384"/>
      <c r="E813" s="1384" t="s">
        <v>13</v>
      </c>
      <c r="F813" s="1384"/>
      <c r="G813" s="1384"/>
      <c r="H813" s="1384"/>
      <c r="I813" s="1384"/>
    </row>
    <row r="814" spans="1:9" s="18" customFormat="1" ht="12.75">
      <c r="A814" s="337"/>
      <c r="B814" s="337"/>
      <c r="C814" s="337"/>
      <c r="E814" s="337"/>
    </row>
    <row r="815" spans="1:9">
      <c r="D815" s="237"/>
      <c r="F815" s="238"/>
    </row>
    <row r="820" spans="1:4">
      <c r="A820" s="1397" t="s">
        <v>223</v>
      </c>
      <c r="B820" s="1397"/>
      <c r="C820" s="1397"/>
      <c r="D820" s="1397"/>
    </row>
  </sheetData>
  <autoFilter ref="A14:J807"/>
  <sortState ref="A15:J796">
    <sortCondition ref="J15:J796"/>
  </sortState>
  <mergeCells count="18">
    <mergeCell ref="A812:D812"/>
    <mergeCell ref="E812:I812"/>
    <mergeCell ref="A813:D813"/>
    <mergeCell ref="E813:I813"/>
    <mergeCell ref="A820:D820"/>
    <mergeCell ref="E811:I811"/>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W4" sqref="W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177</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312</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123</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42"/>
      <c r="R3" s="311"/>
      <c r="S3" s="312" t="s">
        <v>456</v>
      </c>
      <c r="T3" s="311"/>
      <c r="U3" s="312" t="s">
        <v>124</v>
      </c>
      <c r="V3" s="109"/>
      <c r="W3" s="110" t="s">
        <v>124</v>
      </c>
    </row>
    <row r="4" spans="1:23" ht="22.5" thickBot="1">
      <c r="B4" s="106"/>
      <c r="C4" s="96"/>
      <c r="D4" s="96"/>
      <c r="E4" s="96"/>
      <c r="G4" s="113"/>
      <c r="H4" s="114" t="str">
        <f>IF(LEFT($U$4,1)="T","PHIẾU THU","PHIẾU CHI")</f>
        <v>PHIẾU CHI</v>
      </c>
      <c r="J4" s="113"/>
      <c r="K4" s="115"/>
      <c r="M4" s="115"/>
      <c r="N4" s="115"/>
      <c r="O4" s="115"/>
      <c r="P4" s="116"/>
      <c r="Q4" s="943"/>
      <c r="R4" s="117"/>
      <c r="S4" s="212">
        <v>10</v>
      </c>
      <c r="T4" s="117"/>
      <c r="U4" s="944" t="s">
        <v>4</v>
      </c>
      <c r="V4" s="143"/>
      <c r="W4" s="945">
        <v>48</v>
      </c>
    </row>
    <row r="5" spans="1:23">
      <c r="B5" s="106"/>
      <c r="C5" s="96"/>
      <c r="D5" s="96"/>
      <c r="E5" s="96"/>
      <c r="G5" s="113"/>
      <c r="H5" s="118" t="str">
        <f>IF(ISNA(VLOOKUP($M$7,TM,3,0)),"","Ngày  "&amp;DAY(VLOOKUP($M$7,TM,3,0))&amp;"  tháng  "&amp;MONTH(VLOOKUP($M$7,TM,3,0))&amp;"  năm  "&amp;YEAR(VLOOKUP($M$7,TM,3,0)))</f>
        <v>Ngày  19  tháng  10  năm  2016</v>
      </c>
      <c r="J5" s="113"/>
      <c r="K5" s="115"/>
      <c r="M5" s="115"/>
      <c r="N5" s="115"/>
      <c r="O5" s="115"/>
      <c r="P5" s="116"/>
      <c r="Q5" s="942"/>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125</v>
      </c>
      <c r="M8" s="130" t="str">
        <f>IF($U$4="T","1111",IF($U$4="C",IF(ISNA(VLOOKUP($M$7,TM,15,0)),"",VLOOKUP($M$7,TM,14,0)),""))</f>
        <v>1388</v>
      </c>
      <c r="N8" s="124"/>
      <c r="O8" s="124"/>
      <c r="P8" s="131"/>
      <c r="Q8" s="121"/>
      <c r="R8" s="121"/>
      <c r="S8" s="121"/>
      <c r="T8" s="121"/>
      <c r="U8" s="121"/>
      <c r="V8" s="121"/>
      <c r="W8" s="121"/>
    </row>
    <row r="9" spans="1:23" ht="13.5">
      <c r="A9" s="121"/>
      <c r="B9" s="121"/>
      <c r="C9" s="121"/>
      <c r="D9" s="121"/>
      <c r="E9" s="119"/>
      <c r="F9" s="119"/>
      <c r="G9" s="119"/>
      <c r="H9" s="119"/>
      <c r="I9" s="119"/>
      <c r="J9" s="121"/>
      <c r="K9" s="129"/>
      <c r="L9" s="127" t="s">
        <v>126</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Hải Sản An Lạc Trà Vinh</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Ứng vốn Trà Vinh</v>
      </c>
      <c r="E12" s="132"/>
      <c r="F12" s="132"/>
      <c r="G12" s="132"/>
      <c r="H12" s="132"/>
      <c r="I12" s="132"/>
      <c r="J12" s="132"/>
      <c r="K12" s="132"/>
      <c r="L12" s="132"/>
      <c r="M12" s="132"/>
      <c r="N12" s="132"/>
      <c r="O12" s="132"/>
    </row>
    <row r="13" spans="1:23">
      <c r="C13" s="97" t="s">
        <v>139</v>
      </c>
      <c r="D13" s="134">
        <f ca="1">SUMIF(TM,$M$7,TH)</f>
        <v>63774427</v>
      </c>
      <c r="E13" s="97" t="s">
        <v>127</v>
      </c>
      <c r="F13" s="134"/>
      <c r="G13" s="134"/>
      <c r="P13" s="97"/>
    </row>
    <row r="14" spans="1:23">
      <c r="C14" s="97" t="str">
        <f ca="1">"Viết bằng chữ: " &amp;[3]!VND('IN-TC'!D13, TRUE)</f>
        <v>Viết bằng chữ: Sáu mươi ba triệu, bảy trăm bảy mươi bốn ngàn, bốn trăm hai mươi bảy đồng</v>
      </c>
      <c r="P14" s="112"/>
    </row>
    <row r="15" spans="1:23">
      <c r="C15" s="132" t="str">
        <f>"Kèm theo :     " &amp;IF(OR(ISNA(VLOOKUP($M$7,TM,7,0)),VLOOKUP($M$7,TM,7,0)=""),"                           ",IF(VLOOKUP($M$7,TM,7,0)&lt;&gt;"","    HĐ  "&amp;(VLOOKUP($M$7,TM,7,0)))) &amp; "     chứng từ gốc. "</f>
        <v xml:space="preserve">Kèm theo :         HĐ  PV     chứng từ gốc. </v>
      </c>
      <c r="D15" s="132"/>
      <c r="F15" s="132"/>
      <c r="G15" s="132"/>
      <c r="H15" s="132"/>
      <c r="I15" s="132"/>
      <c r="J15" s="132"/>
      <c r="K15" s="132"/>
      <c r="L15" s="132"/>
      <c r="M15" s="132"/>
      <c r="N15" s="132"/>
      <c r="O15" s="132"/>
      <c r="P15" s="135"/>
    </row>
    <row r="16" spans="1:23">
      <c r="K16" s="136"/>
      <c r="L16" s="136"/>
      <c r="M16" s="148" t="str">
        <f>H5</f>
        <v>Ngày  19  tháng  10  năm  2016</v>
      </c>
      <c r="N16" s="136"/>
      <c r="O16" s="136"/>
      <c r="P16" s="97"/>
    </row>
    <row r="17" spans="1:23">
      <c r="C17" s="137" t="s">
        <v>128</v>
      </c>
      <c r="D17" s="138"/>
      <c r="E17" s="137" t="s">
        <v>12</v>
      </c>
      <c r="F17" s="138"/>
      <c r="G17" s="138"/>
      <c r="H17" s="137" t="str">
        <f>IF($U$4="C","Thủ quỹ","Người nộp tiền")</f>
        <v>Thủ quỹ</v>
      </c>
      <c r="J17" s="137" t="s">
        <v>129</v>
      </c>
      <c r="K17" s="138"/>
      <c r="M17" s="139" t="str">
        <f>IF($U$4="T","Thủ quỹ","Người nhận tiền")</f>
        <v>Người nhận tiền</v>
      </c>
      <c r="N17" s="140"/>
      <c r="O17" s="140"/>
      <c r="P17" s="97"/>
    </row>
    <row r="18" spans="1:23">
      <c r="A18" s="138"/>
      <c r="B18" s="138"/>
      <c r="C18" s="141" t="s">
        <v>130</v>
      </c>
      <c r="E18" s="141" t="s">
        <v>131</v>
      </c>
      <c r="H18" s="141" t="s">
        <v>131</v>
      </c>
      <c r="I18" s="138"/>
      <c r="J18" s="141" t="s">
        <v>131</v>
      </c>
      <c r="L18" s="138"/>
      <c r="M18" s="141" t="s">
        <v>131</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34" t="s">
        <v>122</v>
      </c>
      <c r="H24" s="334" t="str">
        <f>IF($U$4="T","","Phạm Thị Đông")</f>
        <v>Phạm Thị Đông</v>
      </c>
      <c r="J24" s="334" t="s">
        <v>223</v>
      </c>
      <c r="M24" s="334" t="str">
        <f>IF($U$4="C","","Phạm Thị Đông")</f>
        <v/>
      </c>
      <c r="P24" s="97"/>
    </row>
    <row r="25" spans="1:23">
      <c r="B25" s="97" t="s">
        <v>132</v>
      </c>
      <c r="P25" s="97"/>
    </row>
    <row r="26" spans="1:23">
      <c r="B26" s="132"/>
      <c r="C26" s="132" t="s">
        <v>133</v>
      </c>
      <c r="D26" s="132"/>
      <c r="E26" s="132"/>
      <c r="F26" s="132"/>
      <c r="G26" s="132"/>
      <c r="H26" s="132"/>
      <c r="I26" s="132"/>
      <c r="J26" s="132"/>
      <c r="K26" s="132"/>
      <c r="L26" s="132"/>
      <c r="M26" s="132"/>
      <c r="N26" s="132"/>
      <c r="O26" s="132"/>
      <c r="P26" s="97"/>
    </row>
    <row r="27" spans="1:23">
      <c r="B27" s="132"/>
      <c r="C27" s="132" t="s">
        <v>134</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00FF"/>
  </sheetPr>
  <dimension ref="A1:L195"/>
  <sheetViews>
    <sheetView topLeftCell="A31" zoomScale="90" workbookViewId="0">
      <selection activeCell="A16" sqref="A16"/>
    </sheetView>
  </sheetViews>
  <sheetFormatPr defaultRowHeight="15"/>
  <cols>
    <col min="1" max="2" width="8.7109375" style="151" customWidth="1"/>
    <col min="3" max="4" width="6.5703125" style="151" customWidth="1"/>
    <col min="5" max="5" width="34.85546875" style="151" customWidth="1"/>
    <col min="6" max="6" width="6.28515625" style="151" customWidth="1"/>
    <col min="7" max="7" width="15.7109375" style="151" customWidth="1"/>
    <col min="8" max="8" width="15.8554687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4" t="s">
        <v>177</v>
      </c>
      <c r="B1" s="2"/>
      <c r="C1" s="2"/>
      <c r="D1" s="2"/>
      <c r="E1" s="2"/>
      <c r="G1" s="1387" t="s">
        <v>140</v>
      </c>
      <c r="H1" s="1387"/>
      <c r="I1" s="1387"/>
      <c r="J1" s="1387"/>
    </row>
    <row r="2" spans="1:12" s="3" customFormat="1" ht="16.5" customHeight="1">
      <c r="A2" s="132" t="s">
        <v>3030</v>
      </c>
      <c r="B2" s="16"/>
      <c r="C2" s="16"/>
      <c r="D2" s="16"/>
      <c r="E2" s="16"/>
      <c r="G2" s="1388" t="s">
        <v>141</v>
      </c>
      <c r="H2" s="1388"/>
      <c r="I2" s="1388"/>
      <c r="J2" s="1388"/>
    </row>
    <row r="3" spans="1:12" s="3" customFormat="1" ht="16.5" customHeight="1">
      <c r="A3" s="4"/>
      <c r="B3" s="16"/>
      <c r="C3" s="149"/>
      <c r="D3" s="149"/>
      <c r="E3" s="16"/>
      <c r="G3" s="1388"/>
      <c r="H3" s="1388"/>
      <c r="I3" s="1388"/>
      <c r="J3" s="1388"/>
    </row>
    <row r="4" spans="1:12" s="3" customFormat="1" ht="6.75" customHeight="1">
      <c r="A4" s="16"/>
      <c r="B4" s="16"/>
      <c r="C4" s="16"/>
      <c r="D4" s="16"/>
      <c r="E4" s="16"/>
      <c r="G4" s="150"/>
      <c r="H4" s="150"/>
      <c r="I4" s="150"/>
      <c r="J4" s="150"/>
    </row>
    <row r="5" spans="1:12" ht="24.75" customHeight="1">
      <c r="A5" s="1401" t="s">
        <v>142</v>
      </c>
      <c r="B5" s="1401"/>
      <c r="C5" s="1401"/>
      <c r="D5" s="1401"/>
      <c r="E5" s="1401"/>
      <c r="F5" s="1401"/>
      <c r="G5" s="1401"/>
      <c r="H5" s="1401"/>
      <c r="I5" s="1401"/>
      <c r="J5" s="1401"/>
    </row>
    <row r="6" spans="1:12" ht="14.25" customHeight="1">
      <c r="A6" s="1403" t="str">
        <f>$L$11&amp;" / 2016"</f>
        <v>12 / 2016</v>
      </c>
      <c r="B6" s="1403"/>
      <c r="C6" s="1403"/>
      <c r="D6" s="1403"/>
      <c r="E6" s="1403"/>
      <c r="F6" s="1403"/>
      <c r="G6" s="1403"/>
      <c r="H6" s="1403"/>
      <c r="I6" s="1403"/>
      <c r="J6" s="1403"/>
    </row>
    <row r="7" spans="1:12">
      <c r="A7" s="1402" t="s">
        <v>143</v>
      </c>
      <c r="B7" s="1402"/>
      <c r="C7" s="1402"/>
      <c r="D7" s="1402"/>
      <c r="E7" s="1402"/>
      <c r="F7" s="1402"/>
      <c r="G7" s="1402"/>
      <c r="H7" s="1402"/>
      <c r="I7" s="1402"/>
      <c r="J7" s="1402"/>
    </row>
    <row r="8" spans="1:12">
      <c r="A8" s="1402" t="s">
        <v>144</v>
      </c>
      <c r="B8" s="1402"/>
      <c r="C8" s="1402"/>
      <c r="D8" s="1402"/>
      <c r="E8" s="1402"/>
      <c r="F8" s="1402"/>
      <c r="G8" s="1402"/>
      <c r="H8" s="1402"/>
      <c r="I8" s="1402"/>
      <c r="J8" s="1402"/>
    </row>
    <row r="9" spans="1:12">
      <c r="A9" s="152"/>
      <c r="I9" s="152" t="s">
        <v>145</v>
      </c>
    </row>
    <row r="10" spans="1:12" ht="33" customHeight="1" thickBot="1">
      <c r="A10" s="1399" t="s">
        <v>21</v>
      </c>
      <c r="B10" s="1399" t="s">
        <v>146</v>
      </c>
      <c r="C10" s="1398" t="s">
        <v>147</v>
      </c>
      <c r="D10" s="1398"/>
      <c r="E10" s="1398" t="s">
        <v>0</v>
      </c>
      <c r="F10" s="1399" t="s">
        <v>15</v>
      </c>
      <c r="G10" s="1398" t="s">
        <v>22</v>
      </c>
      <c r="H10" s="1398"/>
      <c r="I10" s="1398" t="s">
        <v>148</v>
      </c>
      <c r="J10" s="1398" t="s">
        <v>149</v>
      </c>
      <c r="L10" s="175"/>
    </row>
    <row r="11" spans="1:12" ht="28.5" customHeight="1" thickBot="1">
      <c r="A11" s="1400"/>
      <c r="B11" s="1400"/>
      <c r="C11" s="153" t="s">
        <v>150</v>
      </c>
      <c r="D11" s="153" t="s">
        <v>151</v>
      </c>
      <c r="E11" s="1398"/>
      <c r="F11" s="1400"/>
      <c r="G11" s="153" t="s">
        <v>23</v>
      </c>
      <c r="H11" s="153" t="s">
        <v>24</v>
      </c>
      <c r="I11" s="1398"/>
      <c r="J11" s="1398"/>
      <c r="L11" s="212">
        <v>12</v>
      </c>
    </row>
    <row r="12" spans="1:12" s="154" customFormat="1" ht="11.25" customHeight="1">
      <c r="A12" s="155" t="s">
        <v>2</v>
      </c>
      <c r="B12" s="155" t="s">
        <v>3</v>
      </c>
      <c r="C12" s="155" t="s">
        <v>4</v>
      </c>
      <c r="D12" s="155" t="s">
        <v>5</v>
      </c>
      <c r="E12" s="155" t="s">
        <v>6</v>
      </c>
      <c r="F12" s="155" t="s">
        <v>152</v>
      </c>
      <c r="G12" s="155">
        <v>1</v>
      </c>
      <c r="H12" s="155">
        <v>2</v>
      </c>
      <c r="I12" s="155">
        <v>3</v>
      </c>
      <c r="J12" s="155" t="s">
        <v>153</v>
      </c>
    </row>
    <row r="13" spans="1:12" s="156" customFormat="1" ht="21.75" customHeight="1">
      <c r="A13" s="157"/>
      <c r="B13" s="157"/>
      <c r="C13" s="157"/>
      <c r="D13" s="157"/>
      <c r="E13" s="157" t="s">
        <v>154</v>
      </c>
      <c r="F13" s="158"/>
      <c r="G13" s="159"/>
      <c r="H13" s="157"/>
      <c r="I13" s="176">
        <f>IF($L$11="All",CĐPS!$C$10,CĐPS!$C$10+SUMIF(_N111,"x",TH)-SUMIF(_C111,"x",TH))</f>
        <v>267588533</v>
      </c>
      <c r="J13" s="157"/>
    </row>
    <row r="14" spans="1:12" ht="23.25" customHeight="1">
      <c r="A14" s="160">
        <f ca="1">IF(ROWS($1:1)&gt;COUNT(Dong1),"",OFFSET(TH!C$1,SMALL(Dong1,ROWS($1:1)),))</f>
        <v>42706</v>
      </c>
      <c r="B14" s="160">
        <f ca="1">IF(ROWS($1:1)&gt;COUNT(Dong1),"",OFFSET(TH!E$1,SMALL(Dong1,ROWS($1:1)),))</f>
        <v>42706</v>
      </c>
      <c r="C14" s="161" t="str">
        <f ca="1">IF(ROWS($1:1)&gt;COUNT(Dong1),"",IF(OFFSET(TH!N$1,SMALL(Dong1,ROWS($1:1)),)="1111",OFFSET(TH!D$1,SMALL(Dong1,ROWS($1:1)),),""))</f>
        <v>T01</v>
      </c>
      <c r="D14" s="162" t="str">
        <f ca="1">IF(ROWS($1:1)&gt;COUNT(Dong1),"",IF(OFFSET(TH!O$1,SMALL(Dong1,ROWS($1:1)),)="1111",OFFSET(TH!D$1,SMALL(Dong1,ROWS($1:1)),),""))</f>
        <v/>
      </c>
      <c r="E14" s="349" t="str">
        <f ca="1">IF(ROWS($1:1)&gt;COUNT(Dong1),"",OFFSET(TH!F$1,SMALL(Dong1,ROWS($1:1)),))</f>
        <v>Thu tiền hàng</v>
      </c>
      <c r="F14" s="164" t="str">
        <f ca="1">IF(ROWS($1:1)&gt;COUNT(Dong1),"",IF(OFFSET(TH!O$1,SMALL(Dong1,ROWS($1:1)),)="1111",OFFSET(TH!N$1,SMALL(Dong1,ROWS($1:1)),),OFFSET(TH!O$1,SMALL(Dong1,ROWS($1:1)),)))</f>
        <v>131</v>
      </c>
      <c r="G14" s="165">
        <f ca="1">IF(ROWS($1:1)&gt;COUNT(Dong1),"",IF(OFFSET(TH!N$1,SMALL(Dong1,ROWS($1:1)),)="1111",OFFSET(TH!M$1,SMALL(Dong1,ROWS($1:1)),),0))</f>
        <v>19050900</v>
      </c>
      <c r="H14" s="163">
        <f ca="1">IF(ROWS($1:1)&gt;COUNT(Dong1),"",IF(OFFSET(TH!O$1,SMALL(Dong1,ROWS($1:1)),)="1111",OFFSET(TH!M$1,SMALL(Dong1,ROWS($1:1)),),0))</f>
        <v>0</v>
      </c>
      <c r="I14" s="161">
        <f t="shared" ref="I14:I44" ca="1" si="0">IF(E14&lt;&gt;"",I13+G14-H14,0)</f>
        <v>286639433</v>
      </c>
      <c r="J14" s="166"/>
    </row>
    <row r="15" spans="1:12" ht="23.25" customHeight="1">
      <c r="A15" s="160">
        <f ca="1">IF(ROWS($1:2)&gt;COUNT(Dong1),"",OFFSET(TH!C$1,SMALL(Dong1,ROWS($1:2)),))</f>
        <v>42707</v>
      </c>
      <c r="B15" s="160">
        <f ca="1">IF(ROWS($1:2)&gt;COUNT(Dong1),"",OFFSET(TH!E$1,SMALL(Dong1,ROWS($1:2)),))</f>
        <v>42707</v>
      </c>
      <c r="C15" s="161" t="str">
        <f ca="1">IF(ROWS($1:2)&gt;COUNT(Dong1),"",IF(OFFSET(TH!N$1,SMALL(Dong1,ROWS($1:2)),)="1111",OFFSET(TH!D$1,SMALL(Dong1,ROWS($1:2)),),""))</f>
        <v>T03</v>
      </c>
      <c r="D15" s="162" t="str">
        <f ca="1">IF(ROWS($1:2)&gt;COUNT(Dong1),"",IF(OFFSET(TH!O$1,SMALL(Dong1,ROWS($1:2)),)="1111",OFFSET(TH!D$1,SMALL(Dong1,ROWS($1:2)),),""))</f>
        <v/>
      </c>
      <c r="E15" s="349" t="str">
        <f ca="1">IF(ROWS($1:2)&gt;COUNT(Dong1),"",OFFSET(TH!F$1,SMALL(Dong1,ROWS($1:2)),))</f>
        <v>Thu tiền hàng</v>
      </c>
      <c r="F15" s="164" t="str">
        <f ca="1">IF(ROWS($1:2)&gt;COUNT(Dong1),"",IF(OFFSET(TH!O$1,SMALL(Dong1,ROWS($1:2)),)="1111",OFFSET(TH!N$1,SMALL(Dong1,ROWS($1:2)),),OFFSET(TH!O$1,SMALL(Dong1,ROWS($1:2)),)))</f>
        <v>131</v>
      </c>
      <c r="G15" s="165">
        <f ca="1">IF(ROWS($1:2)&gt;COUNT(Dong1),"",IF(OFFSET(TH!N$1,SMALL(Dong1,ROWS($1:2)),)="1111",OFFSET(TH!M$1,SMALL(Dong1,ROWS($1:2)),),0))</f>
        <v>19050900</v>
      </c>
      <c r="H15" s="163">
        <f ca="1">IF(ROWS($1:2)&gt;COUNT(Dong1),"",IF(OFFSET(TH!O$1,SMALL(Dong1,ROWS($1:2)),)="1111",OFFSET(TH!M$1,SMALL(Dong1,ROWS($1:2)),),0))</f>
        <v>0</v>
      </c>
      <c r="I15" s="161">
        <f t="shared" ca="1" si="0"/>
        <v>305690333</v>
      </c>
      <c r="J15" s="166"/>
    </row>
    <row r="16" spans="1:12" ht="23.25" customHeight="1">
      <c r="A16" s="160">
        <f ca="1">IF(ROWS($1:3)&gt;COUNT(Dong1),"",OFFSET(TH!C$1,SMALL(Dong1,ROWS($1:3)),))</f>
        <v>42709</v>
      </c>
      <c r="B16" s="160">
        <f ca="1">IF(ROWS($1:3)&gt;COUNT(Dong1),"",OFFSET(TH!E$1,SMALL(Dong1,ROWS($1:3)),))</f>
        <v>42709</v>
      </c>
      <c r="C16" s="161" t="str">
        <f ca="1">IF(ROWS($1:3)&gt;COUNT(Dong1),"",IF(OFFSET(TH!N$1,SMALL(Dong1,ROWS($1:3)),)="1111",OFFSET(TH!D$1,SMALL(Dong1,ROWS($1:3)),),""))</f>
        <v>T04</v>
      </c>
      <c r="D16" s="162" t="str">
        <f ca="1">IF(ROWS($1:3)&gt;COUNT(Dong1),"",IF(OFFSET(TH!O$1,SMALL(Dong1,ROWS($1:3)),)="1111",OFFSET(TH!D$1,SMALL(Dong1,ROWS($1:3)),),""))</f>
        <v/>
      </c>
      <c r="E16" s="349" t="str">
        <f ca="1">IF(ROWS($1:3)&gt;COUNT(Dong1),"",OFFSET(TH!F$1,SMALL(Dong1,ROWS($1:3)),))</f>
        <v>Thu tiền hàng</v>
      </c>
      <c r="F16" s="164" t="str">
        <f ca="1">IF(ROWS($1:3)&gt;COUNT(Dong1),"",IF(OFFSET(TH!O$1,SMALL(Dong1,ROWS($1:3)),)="1111",OFFSET(TH!N$1,SMALL(Dong1,ROWS($1:3)),),OFFSET(TH!O$1,SMALL(Dong1,ROWS($1:3)),)))</f>
        <v>131</v>
      </c>
      <c r="G16" s="165">
        <f ca="1">IF(ROWS($1:3)&gt;COUNT(Dong1),"",IF(OFFSET(TH!N$1,SMALL(Dong1,ROWS($1:3)),)="1111",OFFSET(TH!M$1,SMALL(Dong1,ROWS($1:3)),),0))</f>
        <v>19089400</v>
      </c>
      <c r="H16" s="163">
        <f ca="1">IF(ROWS($1:3)&gt;COUNT(Dong1),"",IF(OFFSET(TH!O$1,SMALL(Dong1,ROWS($1:3)),)="1111",OFFSET(TH!M$1,SMALL(Dong1,ROWS($1:3)),),0))</f>
        <v>0</v>
      </c>
      <c r="I16" s="161">
        <f t="shared" ca="1" si="0"/>
        <v>324779733</v>
      </c>
      <c r="J16" s="166"/>
    </row>
    <row r="17" spans="1:10" ht="23.25" customHeight="1">
      <c r="A17" s="160">
        <f ca="1">IF(ROWS($1:4)&gt;COUNT(Dong1),"",OFFSET(TH!C$1,SMALL(Dong1,ROWS($1:4)),))</f>
        <v>42710</v>
      </c>
      <c r="B17" s="160">
        <f ca="1">IF(ROWS($1:4)&gt;COUNT(Dong1),"",OFFSET(TH!E$1,SMALL(Dong1,ROWS($1:4)),))</f>
        <v>42710</v>
      </c>
      <c r="C17" s="161" t="str">
        <f ca="1">IF(ROWS($1:4)&gt;COUNT(Dong1),"",IF(OFFSET(TH!N$1,SMALL(Dong1,ROWS($1:4)),)="1111",OFFSET(TH!D$1,SMALL(Dong1,ROWS($1:4)),),""))</f>
        <v>T06</v>
      </c>
      <c r="D17" s="162" t="str">
        <f ca="1">IF(ROWS($1:4)&gt;COUNT(Dong1),"",IF(OFFSET(TH!O$1,SMALL(Dong1,ROWS($1:4)),)="1111",OFFSET(TH!D$1,SMALL(Dong1,ROWS($1:4)),),""))</f>
        <v/>
      </c>
      <c r="E17" s="349" t="str">
        <f ca="1">IF(ROWS($1:4)&gt;COUNT(Dong1),"",OFFSET(TH!F$1,SMALL(Dong1,ROWS($1:4)),))</f>
        <v>Thu tiền hàng</v>
      </c>
      <c r="F17" s="164" t="str">
        <f ca="1">IF(ROWS($1:4)&gt;COUNT(Dong1),"",IF(OFFSET(TH!O$1,SMALL(Dong1,ROWS($1:4)),)="1111",OFFSET(TH!N$1,SMALL(Dong1,ROWS($1:4)),),OFFSET(TH!O$1,SMALL(Dong1,ROWS($1:4)),)))</f>
        <v>131</v>
      </c>
      <c r="G17" s="165">
        <f ca="1">IF(ROWS($1:4)&gt;COUNT(Dong1),"",IF(OFFSET(TH!N$1,SMALL(Dong1,ROWS($1:4)),)="1111",OFFSET(TH!M$1,SMALL(Dong1,ROWS($1:4)),),0))</f>
        <v>18654900</v>
      </c>
      <c r="H17" s="163">
        <f ca="1">IF(ROWS($1:4)&gt;COUNT(Dong1),"",IF(OFFSET(TH!O$1,SMALL(Dong1,ROWS($1:4)),)="1111",OFFSET(TH!M$1,SMALL(Dong1,ROWS($1:4)),),0))</f>
        <v>0</v>
      </c>
      <c r="I17" s="161">
        <f t="shared" ca="1" si="0"/>
        <v>343434633</v>
      </c>
      <c r="J17" s="166"/>
    </row>
    <row r="18" spans="1:10" ht="23.25" customHeight="1">
      <c r="A18" s="160">
        <f ca="1">IF(ROWS($1:5)&gt;COUNT(Dong1),"",OFFSET(TH!C$1,SMALL(Dong1,ROWS($1:5)),))</f>
        <v>42711</v>
      </c>
      <c r="B18" s="160">
        <f ca="1">IF(ROWS($1:5)&gt;COUNT(Dong1),"",OFFSET(TH!E$1,SMALL(Dong1,ROWS($1:5)),))</f>
        <v>42711</v>
      </c>
      <c r="C18" s="161" t="str">
        <f ca="1">IF(ROWS($1:5)&gt;COUNT(Dong1),"",IF(OFFSET(TH!N$1,SMALL(Dong1,ROWS($1:5)),)="1111",OFFSET(TH!D$1,SMALL(Dong1,ROWS($1:5)),),""))</f>
        <v>T07</v>
      </c>
      <c r="D18" s="162" t="str">
        <f ca="1">IF(ROWS($1:5)&gt;COUNT(Dong1),"",IF(OFFSET(TH!O$1,SMALL(Dong1,ROWS($1:5)),)="1111",OFFSET(TH!D$1,SMALL(Dong1,ROWS($1:5)),),""))</f>
        <v/>
      </c>
      <c r="E18" s="349" t="str">
        <f ca="1">IF(ROWS($1:5)&gt;COUNT(Dong1),"",OFFSET(TH!F$1,SMALL(Dong1,ROWS($1:5)),))</f>
        <v>Thu tiền hàng</v>
      </c>
      <c r="F18" s="164" t="str">
        <f ca="1">IF(ROWS($1:5)&gt;COUNT(Dong1),"",IF(OFFSET(TH!O$1,SMALL(Dong1,ROWS($1:5)),)="1111",OFFSET(TH!N$1,SMALL(Dong1,ROWS($1:5)),),OFFSET(TH!O$1,SMALL(Dong1,ROWS($1:5)),)))</f>
        <v>131</v>
      </c>
      <c r="G18" s="165">
        <f ca="1">IF(ROWS($1:5)&gt;COUNT(Dong1),"",IF(OFFSET(TH!N$1,SMALL(Dong1,ROWS($1:5)),)="1111",OFFSET(TH!M$1,SMALL(Dong1,ROWS($1:5)),),0))</f>
        <v>19098200</v>
      </c>
      <c r="H18" s="163">
        <f ca="1">IF(ROWS($1:5)&gt;COUNT(Dong1),"",IF(OFFSET(TH!O$1,SMALL(Dong1,ROWS($1:5)),)="1111",OFFSET(TH!M$1,SMALL(Dong1,ROWS($1:5)),),0))</f>
        <v>0</v>
      </c>
      <c r="I18" s="161">
        <f t="shared" ca="1" si="0"/>
        <v>362532833</v>
      </c>
      <c r="J18" s="166"/>
    </row>
    <row r="19" spans="1:10" ht="23.25" customHeight="1">
      <c r="A19" s="160">
        <f ca="1">IF(ROWS($1:6)&gt;COUNT(Dong1),"",OFFSET(TH!C$1,SMALL(Dong1,ROWS($1:6)),))</f>
        <v>42712</v>
      </c>
      <c r="B19" s="160">
        <f ca="1">IF(ROWS($1:6)&gt;COUNT(Dong1),"",OFFSET(TH!E$1,SMALL(Dong1,ROWS($1:6)),))</f>
        <v>42712</v>
      </c>
      <c r="C19" s="161" t="str">
        <f ca="1">IF(ROWS($1:6)&gt;COUNT(Dong1),"",IF(OFFSET(TH!N$1,SMALL(Dong1,ROWS($1:6)),)="1111",OFFSET(TH!D$1,SMALL(Dong1,ROWS($1:6)),),""))</f>
        <v>T08</v>
      </c>
      <c r="D19" s="162" t="str">
        <f ca="1">IF(ROWS($1:6)&gt;COUNT(Dong1),"",IF(OFFSET(TH!O$1,SMALL(Dong1,ROWS($1:6)),)="1111",OFFSET(TH!D$1,SMALL(Dong1,ROWS($1:6)),),""))</f>
        <v/>
      </c>
      <c r="E19" s="349" t="str">
        <f ca="1">IF(ROWS($1:6)&gt;COUNT(Dong1),"",OFFSET(TH!F$1,SMALL(Dong1,ROWS($1:6)),))</f>
        <v>Thu tiền hàng</v>
      </c>
      <c r="F19" s="164" t="str">
        <f ca="1">IF(ROWS($1:6)&gt;COUNT(Dong1),"",IF(OFFSET(TH!O$1,SMALL(Dong1,ROWS($1:6)),)="1111",OFFSET(TH!N$1,SMALL(Dong1,ROWS($1:6)),),OFFSET(TH!O$1,SMALL(Dong1,ROWS($1:6)),)))</f>
        <v>131</v>
      </c>
      <c r="G19" s="165">
        <f ca="1">IF(ROWS($1:6)&gt;COUNT(Dong1),"",IF(OFFSET(TH!N$1,SMALL(Dong1,ROWS($1:6)),)="1111",OFFSET(TH!M$1,SMALL(Dong1,ROWS($1:6)),),0))</f>
        <v>19221400</v>
      </c>
      <c r="H19" s="163">
        <f ca="1">IF(ROWS($1:6)&gt;COUNT(Dong1),"",IF(OFFSET(TH!O$1,SMALL(Dong1,ROWS($1:6)),)="1111",OFFSET(TH!M$1,SMALL(Dong1,ROWS($1:6)),),0))</f>
        <v>0</v>
      </c>
      <c r="I19" s="161">
        <f t="shared" ca="1" si="0"/>
        <v>381754233</v>
      </c>
      <c r="J19" s="166"/>
    </row>
    <row r="20" spans="1:10" ht="23.25" customHeight="1">
      <c r="A20" s="160">
        <f ca="1">IF(ROWS($1:7)&gt;COUNT(Dong1),"",OFFSET(TH!C$1,SMALL(Dong1,ROWS($1:7)),))</f>
        <v>42705</v>
      </c>
      <c r="B20" s="160">
        <f ca="1">IF(ROWS($1:7)&gt;COUNT(Dong1),"",OFFSET(TH!E$1,SMALL(Dong1,ROWS($1:7)),))</f>
        <v>42705</v>
      </c>
      <c r="C20" s="161" t="str">
        <f ca="1">IF(ROWS($1:7)&gt;COUNT(Dong1),"",IF(OFFSET(TH!N$1,SMALL(Dong1,ROWS($1:7)),)="1111",OFFSET(TH!D$1,SMALL(Dong1,ROWS($1:7)),),""))</f>
        <v/>
      </c>
      <c r="D20" s="162" t="str">
        <f ca="1">IF(ROWS($1:7)&gt;COUNT(Dong1),"",IF(OFFSET(TH!O$1,SMALL(Dong1,ROWS($1:7)),)="1111",OFFSET(TH!D$1,SMALL(Dong1,ROWS($1:7)),),""))</f>
        <v>C01</v>
      </c>
      <c r="E20" s="349" t="str">
        <f ca="1">IF(ROWS($1:7)&gt;COUNT(Dong1),"",OFFSET(TH!F$1,SMALL(Dong1,ROWS($1:7)),))</f>
        <v>Thanh toán tiền thùng carton</v>
      </c>
      <c r="F20" s="164" t="str">
        <f ca="1">IF(ROWS($1:7)&gt;COUNT(Dong1),"",IF(OFFSET(TH!O$1,SMALL(Dong1,ROWS($1:7)),)="1111",OFFSET(TH!N$1,SMALL(Dong1,ROWS($1:7)),),OFFSET(TH!O$1,SMALL(Dong1,ROWS($1:7)),)))</f>
        <v>331</v>
      </c>
      <c r="G20" s="165">
        <f ca="1">IF(ROWS($1:7)&gt;COUNT(Dong1),"",IF(OFFSET(TH!N$1,SMALL(Dong1,ROWS($1:7)),)="1111",OFFSET(TH!M$1,SMALL(Dong1,ROWS($1:7)),),0))</f>
        <v>0</v>
      </c>
      <c r="H20" s="163">
        <f ca="1">IF(ROWS($1:7)&gt;COUNT(Dong1),"",IF(OFFSET(TH!O$1,SMALL(Dong1,ROWS($1:7)),)="1111",OFFSET(TH!M$1,SMALL(Dong1,ROWS($1:7)),),0))</f>
        <v>19800000</v>
      </c>
      <c r="I20" s="161">
        <f t="shared" ca="1" si="0"/>
        <v>361954233</v>
      </c>
      <c r="J20" s="166"/>
    </row>
    <row r="21" spans="1:10" ht="23.25" customHeight="1">
      <c r="A21" s="160">
        <f ca="1">IF(ROWS($1:8)&gt;COUNT(Dong1),"",OFFSET(TH!C$1,SMALL(Dong1,ROWS($1:8)),))</f>
        <v>42706</v>
      </c>
      <c r="B21" s="160">
        <f ca="1">IF(ROWS($1:8)&gt;COUNT(Dong1),"",OFFSET(TH!E$1,SMALL(Dong1,ROWS($1:8)),))</f>
        <v>42706</v>
      </c>
      <c r="C21" s="161" t="str">
        <f ca="1">IF(ROWS($1:8)&gt;COUNT(Dong1),"",IF(OFFSET(TH!N$1,SMALL(Dong1,ROWS($1:8)),)="1111",OFFSET(TH!D$1,SMALL(Dong1,ROWS($1:8)),),""))</f>
        <v/>
      </c>
      <c r="D21" s="162" t="str">
        <f ca="1">IF(ROWS($1:8)&gt;COUNT(Dong1),"",IF(OFFSET(TH!O$1,SMALL(Dong1,ROWS($1:8)),)="1111",OFFSET(TH!D$1,SMALL(Dong1,ROWS($1:8)),),""))</f>
        <v>C07</v>
      </c>
      <c r="E21" s="349" t="str">
        <f ca="1">IF(ROWS($1:8)&gt;COUNT(Dong1),"",OFFSET(TH!F$1,SMALL(Dong1,ROWS($1:8)),))</f>
        <v>Thanh toán tiền thùng carton</v>
      </c>
      <c r="F21" s="164" t="str">
        <f ca="1">IF(ROWS($1:8)&gt;COUNT(Dong1),"",IF(OFFSET(TH!O$1,SMALL(Dong1,ROWS($1:8)),)="1111",OFFSET(TH!N$1,SMALL(Dong1,ROWS($1:8)),),OFFSET(TH!O$1,SMALL(Dong1,ROWS($1:8)),)))</f>
        <v>331</v>
      </c>
      <c r="G21" s="165">
        <f ca="1">IF(ROWS($1:8)&gt;COUNT(Dong1),"",IF(OFFSET(TH!N$1,SMALL(Dong1,ROWS($1:8)),)="1111",OFFSET(TH!M$1,SMALL(Dong1,ROWS($1:8)),),0))</f>
        <v>0</v>
      </c>
      <c r="H21" s="163">
        <f ca="1">IF(ROWS($1:8)&gt;COUNT(Dong1),"",IF(OFFSET(TH!O$1,SMALL(Dong1,ROWS($1:8)),)="1111",OFFSET(TH!M$1,SMALL(Dong1,ROWS($1:8)),),0))</f>
        <v>13200000</v>
      </c>
      <c r="I21" s="161">
        <f t="shared" ca="1" si="0"/>
        <v>348754233</v>
      </c>
      <c r="J21" s="166"/>
    </row>
    <row r="22" spans="1:10" ht="23.25" customHeight="1">
      <c r="A22" s="160">
        <f ca="1">IF(ROWS($1:9)&gt;COUNT(Dong1),"",OFFSET(TH!C$1,SMALL(Dong1,ROWS($1:9)),))</f>
        <v>42707</v>
      </c>
      <c r="B22" s="160">
        <f ca="1">IF(ROWS($1:9)&gt;COUNT(Dong1),"",OFFSET(TH!E$1,SMALL(Dong1,ROWS($1:9)),))</f>
        <v>42707</v>
      </c>
      <c r="C22" s="161" t="str">
        <f ca="1">IF(ROWS($1:9)&gt;COUNT(Dong1),"",IF(OFFSET(TH!N$1,SMALL(Dong1,ROWS($1:9)),)="1111",OFFSET(TH!D$1,SMALL(Dong1,ROWS($1:9)),),""))</f>
        <v/>
      </c>
      <c r="D22" s="162" t="str">
        <f ca="1">IF(ROWS($1:9)&gt;COUNT(Dong1),"",IF(OFFSET(TH!O$1,SMALL(Dong1,ROWS($1:9)),)="1111",OFFSET(TH!D$1,SMALL(Dong1,ROWS($1:9)),),""))</f>
        <v>C10</v>
      </c>
      <c r="E22" s="349" t="str">
        <f ca="1">IF(ROWS($1:9)&gt;COUNT(Dong1),"",OFFSET(TH!F$1,SMALL(Dong1,ROWS($1:9)),))</f>
        <v>Thanh toán tiền thùng carton</v>
      </c>
      <c r="F22" s="164" t="str">
        <f ca="1">IF(ROWS($1:9)&gt;COUNT(Dong1),"",IF(OFFSET(TH!O$1,SMALL(Dong1,ROWS($1:9)),)="1111",OFFSET(TH!N$1,SMALL(Dong1,ROWS($1:9)),),OFFSET(TH!O$1,SMALL(Dong1,ROWS($1:9)),)))</f>
        <v>331</v>
      </c>
      <c r="G22" s="165">
        <f ca="1">IF(ROWS($1:9)&gt;COUNT(Dong1),"",IF(OFFSET(TH!N$1,SMALL(Dong1,ROWS($1:9)),)="1111",OFFSET(TH!M$1,SMALL(Dong1,ROWS($1:9)),),0))</f>
        <v>0</v>
      </c>
      <c r="H22" s="163">
        <f ca="1">IF(ROWS($1:9)&gt;COUNT(Dong1),"",IF(OFFSET(TH!O$1,SMALL(Dong1,ROWS($1:9)),)="1111",OFFSET(TH!M$1,SMALL(Dong1,ROWS($1:9)),),0))</f>
        <v>19800000</v>
      </c>
      <c r="I22" s="161">
        <f t="shared" ca="1" si="0"/>
        <v>328954233</v>
      </c>
      <c r="J22" s="166"/>
    </row>
    <row r="23" spans="1:10" ht="23.25" customHeight="1">
      <c r="A23" s="160">
        <f ca="1">IF(ROWS($1:10)&gt;COUNT(Dong1),"",OFFSET(TH!C$1,SMALL(Dong1,ROWS($1:10)),))</f>
        <v>42705</v>
      </c>
      <c r="B23" s="160">
        <f ca="1">IF(ROWS($1:10)&gt;COUNT(Dong1),"",OFFSET(TH!E$1,SMALL(Dong1,ROWS($1:10)),))</f>
        <v>42705</v>
      </c>
      <c r="C23" s="161" t="str">
        <f ca="1">IF(ROWS($1:10)&gt;COUNT(Dong1),"",IF(OFFSET(TH!N$1,SMALL(Dong1,ROWS($1:10)),)="1111",OFFSET(TH!D$1,SMALL(Dong1,ROWS($1:10)),),""))</f>
        <v/>
      </c>
      <c r="D23" s="162" t="str">
        <f ca="1">IF(ROWS($1:10)&gt;COUNT(Dong1),"",IF(OFFSET(TH!O$1,SMALL(Dong1,ROWS($1:10)),)="1111",OFFSET(TH!D$1,SMALL(Dong1,ROWS($1:10)),),""))</f>
        <v>C05</v>
      </c>
      <c r="E23" s="349" t="str">
        <f ca="1">IF(ROWS($1:10)&gt;COUNT(Dong1),"",OFFSET(TH!F$1,SMALL(Dong1,ROWS($1:10)),))</f>
        <v>Thanh toán tiền thùng carton</v>
      </c>
      <c r="F23" s="164" t="str">
        <f ca="1">IF(ROWS($1:10)&gt;COUNT(Dong1),"",IF(OFFSET(TH!O$1,SMALL(Dong1,ROWS($1:10)),)="1111",OFFSET(TH!N$1,SMALL(Dong1,ROWS($1:10)),),OFFSET(TH!O$1,SMALL(Dong1,ROWS($1:10)),)))</f>
        <v>331</v>
      </c>
      <c r="G23" s="165">
        <f ca="1">IF(ROWS($1:10)&gt;COUNT(Dong1),"",IF(OFFSET(TH!N$1,SMALL(Dong1,ROWS($1:10)),)="1111",OFFSET(TH!M$1,SMALL(Dong1,ROWS($1:10)),),0))</f>
        <v>0</v>
      </c>
      <c r="H23" s="163">
        <f ca="1">IF(ROWS($1:10)&gt;COUNT(Dong1),"",IF(OFFSET(TH!O$1,SMALL(Dong1,ROWS($1:10)),)="1111",OFFSET(TH!M$1,SMALL(Dong1,ROWS($1:10)),),0))</f>
        <v>19800000</v>
      </c>
      <c r="I23" s="161">
        <f t="shared" ca="1" si="0"/>
        <v>309154233</v>
      </c>
      <c r="J23" s="166"/>
    </row>
    <row r="24" spans="1:10" ht="23.25" customHeight="1">
      <c r="A24" s="160">
        <f ca="1">IF(ROWS($1:11)&gt;COUNT(Dong1),"",OFFSET(TH!C$1,SMALL(Dong1,ROWS($1:11)),))</f>
        <v>42709</v>
      </c>
      <c r="B24" s="160">
        <f ca="1">IF(ROWS($1:11)&gt;COUNT(Dong1),"",OFFSET(TH!E$1,SMALL(Dong1,ROWS($1:11)),))</f>
        <v>42709</v>
      </c>
      <c r="C24" s="161" t="str">
        <f ca="1">IF(ROWS($1:11)&gt;COUNT(Dong1),"",IF(OFFSET(TH!N$1,SMALL(Dong1,ROWS($1:11)),)="1111",OFFSET(TH!D$1,SMALL(Dong1,ROWS($1:11)),),""))</f>
        <v/>
      </c>
      <c r="D24" s="162" t="str">
        <f ca="1">IF(ROWS($1:11)&gt;COUNT(Dong1),"",IF(OFFSET(TH!O$1,SMALL(Dong1,ROWS($1:11)),)="1111",OFFSET(TH!D$1,SMALL(Dong1,ROWS($1:11)),),""))</f>
        <v>C14</v>
      </c>
      <c r="E24" s="349" t="str">
        <f ca="1">IF(ROWS($1:11)&gt;COUNT(Dong1),"",OFFSET(TH!F$1,SMALL(Dong1,ROWS($1:11)),))</f>
        <v>Thanh toán tiền thùng carton</v>
      </c>
      <c r="F24" s="164" t="str">
        <f ca="1">IF(ROWS($1:11)&gt;COUNT(Dong1),"",IF(OFFSET(TH!O$1,SMALL(Dong1,ROWS($1:11)),)="1111",OFFSET(TH!N$1,SMALL(Dong1,ROWS($1:11)),),OFFSET(TH!O$1,SMALL(Dong1,ROWS($1:11)),)))</f>
        <v>331</v>
      </c>
      <c r="G24" s="165">
        <f ca="1">IF(ROWS($1:11)&gt;COUNT(Dong1),"",IF(OFFSET(TH!N$1,SMALL(Dong1,ROWS($1:11)),)="1111",OFFSET(TH!M$1,SMALL(Dong1,ROWS($1:11)),),0))</f>
        <v>0</v>
      </c>
      <c r="H24" s="163">
        <f ca="1">IF(ROWS($1:11)&gt;COUNT(Dong1),"",IF(OFFSET(TH!O$1,SMALL(Dong1,ROWS($1:11)),)="1111",OFFSET(TH!M$1,SMALL(Dong1,ROWS($1:11)),),0))</f>
        <v>19800000</v>
      </c>
      <c r="I24" s="161">
        <f t="shared" ca="1" si="0"/>
        <v>289354233</v>
      </c>
      <c r="J24" s="166"/>
    </row>
    <row r="25" spans="1:10" ht="23.25" customHeight="1">
      <c r="A25" s="160">
        <f ca="1">IF(ROWS($1:12)&gt;COUNT(Dong1),"",OFFSET(TH!C$1,SMALL(Dong1,ROWS($1:12)),))</f>
        <v>42710</v>
      </c>
      <c r="B25" s="160">
        <f ca="1">IF(ROWS($1:12)&gt;COUNT(Dong1),"",OFFSET(TH!E$1,SMALL(Dong1,ROWS($1:12)),))</f>
        <v>42710</v>
      </c>
      <c r="C25" s="161" t="str">
        <f ca="1">IF(ROWS($1:12)&gt;COUNT(Dong1),"",IF(OFFSET(TH!N$1,SMALL(Dong1,ROWS($1:12)),)="1111",OFFSET(TH!D$1,SMALL(Dong1,ROWS($1:12)),),""))</f>
        <v/>
      </c>
      <c r="D25" s="162" t="str">
        <f ca="1">IF(ROWS($1:12)&gt;COUNT(Dong1),"",IF(OFFSET(TH!O$1,SMALL(Dong1,ROWS($1:12)),)="1111",OFFSET(TH!D$1,SMALL(Dong1,ROWS($1:12)),),""))</f>
        <v>C20</v>
      </c>
      <c r="E25" s="349" t="str">
        <f ca="1">IF(ROWS($1:12)&gt;COUNT(Dong1),"",OFFSET(TH!F$1,SMALL(Dong1,ROWS($1:12)),))</f>
        <v>Thanh toán tiền thùng carton</v>
      </c>
      <c r="F25" s="164" t="str">
        <f ca="1">IF(ROWS($1:12)&gt;COUNT(Dong1),"",IF(OFFSET(TH!O$1,SMALL(Dong1,ROWS($1:12)),)="1111",OFFSET(TH!N$1,SMALL(Dong1,ROWS($1:12)),),OFFSET(TH!O$1,SMALL(Dong1,ROWS($1:12)),)))</f>
        <v>331</v>
      </c>
      <c r="G25" s="165">
        <f ca="1">IF(ROWS($1:12)&gt;COUNT(Dong1),"",IF(OFFSET(TH!N$1,SMALL(Dong1,ROWS($1:12)),)="1111",OFFSET(TH!M$1,SMALL(Dong1,ROWS($1:12)),),0))</f>
        <v>0</v>
      </c>
      <c r="H25" s="163">
        <f ca="1">IF(ROWS($1:12)&gt;COUNT(Dong1),"",IF(OFFSET(TH!O$1,SMALL(Dong1,ROWS($1:12)),)="1111",OFFSET(TH!M$1,SMALL(Dong1,ROWS($1:12)),),0))</f>
        <v>19800000</v>
      </c>
      <c r="I25" s="161">
        <f t="shared" ca="1" si="0"/>
        <v>269554233</v>
      </c>
      <c r="J25" s="166"/>
    </row>
    <row r="26" spans="1:10" ht="23.25" customHeight="1">
      <c r="A26" s="160">
        <f ca="1">IF(ROWS($1:13)&gt;COUNT(Dong1),"",OFFSET(TH!C$1,SMALL(Dong1,ROWS($1:13)),))</f>
        <v>42711</v>
      </c>
      <c r="B26" s="160">
        <f ca="1">IF(ROWS($1:13)&gt;COUNT(Dong1),"",OFFSET(TH!E$1,SMALL(Dong1,ROWS($1:13)),))</f>
        <v>42711</v>
      </c>
      <c r="C26" s="161" t="str">
        <f ca="1">IF(ROWS($1:13)&gt;COUNT(Dong1),"",IF(OFFSET(TH!N$1,SMALL(Dong1,ROWS($1:13)),)="1111",OFFSET(TH!D$1,SMALL(Dong1,ROWS($1:13)),),""))</f>
        <v/>
      </c>
      <c r="D26" s="162" t="str">
        <f ca="1">IF(ROWS($1:13)&gt;COUNT(Dong1),"",IF(OFFSET(TH!O$1,SMALL(Dong1,ROWS($1:13)),)="1111",OFFSET(TH!D$1,SMALL(Dong1,ROWS($1:13)),),""))</f>
        <v>C22</v>
      </c>
      <c r="E26" s="349" t="str">
        <f ca="1">IF(ROWS($1:13)&gt;COUNT(Dong1),"",OFFSET(TH!F$1,SMALL(Dong1,ROWS($1:13)),))</f>
        <v>Thanh toán tiền thùng carton</v>
      </c>
      <c r="F26" s="164" t="str">
        <f ca="1">IF(ROWS($1:13)&gt;COUNT(Dong1),"",IF(OFFSET(TH!O$1,SMALL(Dong1,ROWS($1:13)),)="1111",OFFSET(TH!N$1,SMALL(Dong1,ROWS($1:13)),),OFFSET(TH!O$1,SMALL(Dong1,ROWS($1:13)),)))</f>
        <v>331</v>
      </c>
      <c r="G26" s="165">
        <f ca="1">IF(ROWS($1:13)&gt;COUNT(Dong1),"",IF(OFFSET(TH!N$1,SMALL(Dong1,ROWS($1:13)),)="1111",OFFSET(TH!M$1,SMALL(Dong1,ROWS($1:13)),),0))</f>
        <v>0</v>
      </c>
      <c r="H26" s="163">
        <f ca="1">IF(ROWS($1:13)&gt;COUNT(Dong1),"",IF(OFFSET(TH!O$1,SMALL(Dong1,ROWS($1:13)),)="1111",OFFSET(TH!M$1,SMALL(Dong1,ROWS($1:13)),),0))</f>
        <v>19800000</v>
      </c>
      <c r="I26" s="161">
        <f t="shared" ca="1" si="0"/>
        <v>249754233</v>
      </c>
      <c r="J26" s="166"/>
    </row>
    <row r="27" spans="1:10" ht="23.25" customHeight="1">
      <c r="A27" s="160">
        <f ca="1">IF(ROWS($1:14)&gt;COUNT(Dong1),"",OFFSET(TH!C$1,SMALL(Dong1,ROWS($1:14)),))</f>
        <v>42710</v>
      </c>
      <c r="B27" s="160">
        <f ca="1">IF(ROWS($1:14)&gt;COUNT(Dong1),"",OFFSET(TH!E$1,SMALL(Dong1,ROWS($1:14)),))</f>
        <v>42710</v>
      </c>
      <c r="C27" s="161" t="str">
        <f ca="1">IF(ROWS($1:14)&gt;COUNT(Dong1),"",IF(OFFSET(TH!N$1,SMALL(Dong1,ROWS($1:14)),)="1111",OFFSET(TH!D$1,SMALL(Dong1,ROWS($1:14)),),""))</f>
        <v/>
      </c>
      <c r="D27" s="162" t="str">
        <f ca="1">IF(ROWS($1:14)&gt;COUNT(Dong1),"",IF(OFFSET(TH!O$1,SMALL(Dong1,ROWS($1:14)),)="1111",OFFSET(TH!D$1,SMALL(Dong1,ROWS($1:14)),),""))</f>
        <v>C18</v>
      </c>
      <c r="E27" s="349" t="str">
        <f ca="1">IF(ROWS($1:14)&gt;COUNT(Dong1),"",OFFSET(TH!F$1,SMALL(Dong1,ROWS($1:14)),))</f>
        <v>Thanh toán tiền thùng carton</v>
      </c>
      <c r="F27" s="164" t="str">
        <f ca="1">IF(ROWS($1:14)&gt;COUNT(Dong1),"",IF(OFFSET(TH!O$1,SMALL(Dong1,ROWS($1:14)),)="1111",OFFSET(TH!N$1,SMALL(Dong1,ROWS($1:14)),),OFFSET(TH!O$1,SMALL(Dong1,ROWS($1:14)),)))</f>
        <v>331</v>
      </c>
      <c r="G27" s="165">
        <f ca="1">IF(ROWS($1:14)&gt;COUNT(Dong1),"",IF(OFFSET(TH!N$1,SMALL(Dong1,ROWS($1:14)),)="1111",OFFSET(TH!M$1,SMALL(Dong1,ROWS($1:14)),),0))</f>
        <v>0</v>
      </c>
      <c r="H27" s="163">
        <f ca="1">IF(ROWS($1:14)&gt;COUNT(Dong1),"",IF(OFFSET(TH!O$1,SMALL(Dong1,ROWS($1:14)),)="1111",OFFSET(TH!M$1,SMALL(Dong1,ROWS($1:14)),),0))</f>
        <v>19800000</v>
      </c>
      <c r="I27" s="161">
        <f t="shared" ca="1" si="0"/>
        <v>229954233</v>
      </c>
      <c r="J27" s="166"/>
    </row>
    <row r="28" spans="1:10" ht="23.25" customHeight="1">
      <c r="A28" s="160">
        <f ca="1">IF(ROWS($1:15)&gt;COUNT(Dong1),"",OFFSET(TH!C$1,SMALL(Dong1,ROWS($1:15)),))</f>
        <v>42714</v>
      </c>
      <c r="B28" s="160">
        <f ca="1">IF(ROWS($1:15)&gt;COUNT(Dong1),"",OFFSET(TH!E$1,SMALL(Dong1,ROWS($1:15)),))</f>
        <v>42714</v>
      </c>
      <c r="C28" s="161" t="str">
        <f ca="1">IF(ROWS($1:15)&gt;COUNT(Dong1),"",IF(OFFSET(TH!N$1,SMALL(Dong1,ROWS($1:15)),)="1111",OFFSET(TH!D$1,SMALL(Dong1,ROWS($1:15)),),""))</f>
        <v/>
      </c>
      <c r="D28" s="162" t="str">
        <f ca="1">IF(ROWS($1:15)&gt;COUNT(Dong1),"",IF(OFFSET(TH!O$1,SMALL(Dong1,ROWS($1:15)),)="1111",OFFSET(TH!D$1,SMALL(Dong1,ROWS($1:15)),),""))</f>
        <v>C32</v>
      </c>
      <c r="E28" s="349" t="str">
        <f ca="1">IF(ROWS($1:15)&gt;COUNT(Dong1),"",OFFSET(TH!F$1,SMALL(Dong1,ROWS($1:15)),))</f>
        <v>Thanh toán tiền thùng carton</v>
      </c>
      <c r="F28" s="164" t="str">
        <f ca="1">IF(ROWS($1:15)&gt;COUNT(Dong1),"",IF(OFFSET(TH!O$1,SMALL(Dong1,ROWS($1:15)),)="1111",OFFSET(TH!N$1,SMALL(Dong1,ROWS($1:15)),),OFFSET(TH!O$1,SMALL(Dong1,ROWS($1:15)),)))</f>
        <v>331</v>
      </c>
      <c r="G28" s="165">
        <f ca="1">IF(ROWS($1:15)&gt;COUNT(Dong1),"",IF(OFFSET(TH!N$1,SMALL(Dong1,ROWS($1:15)),)="1111",OFFSET(TH!M$1,SMALL(Dong1,ROWS($1:15)),),0))</f>
        <v>0</v>
      </c>
      <c r="H28" s="163">
        <f ca="1">IF(ROWS($1:15)&gt;COUNT(Dong1),"",IF(OFFSET(TH!O$1,SMALL(Dong1,ROWS($1:15)),)="1111",OFFSET(TH!M$1,SMALL(Dong1,ROWS($1:15)),),0))</f>
        <v>6600000</v>
      </c>
      <c r="I28" s="161">
        <f t="shared" ca="1" si="0"/>
        <v>223354233</v>
      </c>
      <c r="J28" s="166"/>
    </row>
    <row r="29" spans="1:10" ht="23.25" customHeight="1">
      <c r="A29" s="160">
        <f ca="1">IF(ROWS($1:16)&gt;COUNT(Dong1),"",OFFSET(TH!C$1,SMALL(Dong1,ROWS($1:16)),))</f>
        <v>42713</v>
      </c>
      <c r="B29" s="160">
        <f ca="1">IF(ROWS($1:16)&gt;COUNT(Dong1),"",OFFSET(TH!E$1,SMALL(Dong1,ROWS($1:16)),))</f>
        <v>42713</v>
      </c>
      <c r="C29" s="161" t="str">
        <f ca="1">IF(ROWS($1:16)&gt;COUNT(Dong1),"",IF(OFFSET(TH!N$1,SMALL(Dong1,ROWS($1:16)),)="1111",OFFSET(TH!D$1,SMALL(Dong1,ROWS($1:16)),),""))</f>
        <v/>
      </c>
      <c r="D29" s="162" t="str">
        <f ca="1">IF(ROWS($1:16)&gt;COUNT(Dong1),"",IF(OFFSET(TH!O$1,SMALL(Dong1,ROWS($1:16)),)="1111",OFFSET(TH!D$1,SMALL(Dong1,ROWS($1:16)),),""))</f>
        <v>C29</v>
      </c>
      <c r="E29" s="349" t="str">
        <f ca="1">IF(ROWS($1:16)&gt;COUNT(Dong1),"",OFFSET(TH!F$1,SMALL(Dong1,ROWS($1:16)),))</f>
        <v>Thanh toán tiền thùng carton</v>
      </c>
      <c r="F29" s="164" t="str">
        <f ca="1">IF(ROWS($1:16)&gt;COUNT(Dong1),"",IF(OFFSET(TH!O$1,SMALL(Dong1,ROWS($1:16)),)="1111",OFFSET(TH!N$1,SMALL(Dong1,ROWS($1:16)),),OFFSET(TH!O$1,SMALL(Dong1,ROWS($1:16)),)))</f>
        <v>331</v>
      </c>
      <c r="G29" s="165">
        <f ca="1">IF(ROWS($1:16)&gt;COUNT(Dong1),"",IF(OFFSET(TH!N$1,SMALL(Dong1,ROWS($1:16)),)="1111",OFFSET(TH!M$1,SMALL(Dong1,ROWS($1:16)),),0))</f>
        <v>0</v>
      </c>
      <c r="H29" s="163">
        <f ca="1">IF(ROWS($1:16)&gt;COUNT(Dong1),"",IF(OFFSET(TH!O$1,SMALL(Dong1,ROWS($1:16)),)="1111",OFFSET(TH!M$1,SMALL(Dong1,ROWS($1:16)),),0))</f>
        <v>19800000</v>
      </c>
      <c r="I29" s="161">
        <f t="shared" ca="1" si="0"/>
        <v>203554233</v>
      </c>
      <c r="J29" s="166"/>
    </row>
    <row r="30" spans="1:10" ht="23.25" customHeight="1">
      <c r="A30" s="160">
        <f ca="1">IF(ROWS($1:17)&gt;COUNT(Dong1),"",OFFSET(TH!C$1,SMALL(Dong1,ROWS($1:17)),))</f>
        <v>42716</v>
      </c>
      <c r="B30" s="160">
        <f ca="1">IF(ROWS($1:17)&gt;COUNT(Dong1),"",OFFSET(TH!E$1,SMALL(Dong1,ROWS($1:17)),))</f>
        <v>42716</v>
      </c>
      <c r="C30" s="161" t="str">
        <f ca="1">IF(ROWS($1:17)&gt;COUNT(Dong1),"",IF(OFFSET(TH!N$1,SMALL(Dong1,ROWS($1:17)),)="1111",OFFSET(TH!D$1,SMALL(Dong1,ROWS($1:17)),),""))</f>
        <v/>
      </c>
      <c r="D30" s="162" t="str">
        <f ca="1">IF(ROWS($1:17)&gt;COUNT(Dong1),"",IF(OFFSET(TH!O$1,SMALL(Dong1,ROWS($1:17)),)="1111",OFFSET(TH!D$1,SMALL(Dong1,ROWS($1:17)),),""))</f>
        <v>C37</v>
      </c>
      <c r="E30" s="349" t="str">
        <f ca="1">IF(ROWS($1:17)&gt;COUNT(Dong1),"",OFFSET(TH!F$1,SMALL(Dong1,ROWS($1:17)),))</f>
        <v>Thanh toán tiền thùng carton</v>
      </c>
      <c r="F30" s="164" t="str">
        <f ca="1">IF(ROWS($1:17)&gt;COUNT(Dong1),"",IF(OFFSET(TH!O$1,SMALL(Dong1,ROWS($1:17)),)="1111",OFFSET(TH!N$1,SMALL(Dong1,ROWS($1:17)),),OFFSET(TH!O$1,SMALL(Dong1,ROWS($1:17)),)))</f>
        <v>331</v>
      </c>
      <c r="G30" s="165">
        <f ca="1">IF(ROWS($1:17)&gt;COUNT(Dong1),"",IF(OFFSET(TH!N$1,SMALL(Dong1,ROWS($1:17)),)="1111",OFFSET(TH!M$1,SMALL(Dong1,ROWS($1:17)),),0))</f>
        <v>0</v>
      </c>
      <c r="H30" s="163">
        <f ca="1">IF(ROWS($1:17)&gt;COUNT(Dong1),"",IF(OFFSET(TH!O$1,SMALL(Dong1,ROWS($1:17)),)="1111",OFFSET(TH!M$1,SMALL(Dong1,ROWS($1:17)),),0))</f>
        <v>19800000</v>
      </c>
      <c r="I30" s="161">
        <f t="shared" ca="1" si="0"/>
        <v>183754233</v>
      </c>
      <c r="J30" s="166"/>
    </row>
    <row r="31" spans="1:10" ht="23.25" customHeight="1">
      <c r="A31" s="160">
        <f ca="1">IF(ROWS($1:18)&gt;COUNT(Dong1),"",OFFSET(TH!C$1,SMALL(Dong1,ROWS($1:18)),))</f>
        <v>42714</v>
      </c>
      <c r="B31" s="160">
        <f ca="1">IF(ROWS($1:18)&gt;COUNT(Dong1),"",OFFSET(TH!E$1,SMALL(Dong1,ROWS($1:18)),))</f>
        <v>42714</v>
      </c>
      <c r="C31" s="161" t="str">
        <f ca="1">IF(ROWS($1:18)&gt;COUNT(Dong1),"",IF(OFFSET(TH!N$1,SMALL(Dong1,ROWS($1:18)),)="1111",OFFSET(TH!D$1,SMALL(Dong1,ROWS($1:18)),),""))</f>
        <v/>
      </c>
      <c r="D31" s="162" t="str">
        <f ca="1">IF(ROWS($1:18)&gt;COUNT(Dong1),"",IF(OFFSET(TH!O$1,SMALL(Dong1,ROWS($1:18)),)="1111",OFFSET(TH!D$1,SMALL(Dong1,ROWS($1:18)),),""))</f>
        <v>C31</v>
      </c>
      <c r="E31" s="349" t="str">
        <f ca="1">IF(ROWS($1:18)&gt;COUNT(Dong1),"",OFFSET(TH!F$1,SMALL(Dong1,ROWS($1:18)),))</f>
        <v>Thanh toán tiền thùng carton</v>
      </c>
      <c r="F31" s="164" t="str">
        <f ca="1">IF(ROWS($1:18)&gt;COUNT(Dong1),"",IF(OFFSET(TH!O$1,SMALL(Dong1,ROWS($1:18)),)="1111",OFFSET(TH!N$1,SMALL(Dong1,ROWS($1:18)),),OFFSET(TH!O$1,SMALL(Dong1,ROWS($1:18)),)))</f>
        <v>331</v>
      </c>
      <c r="G31" s="165">
        <f ca="1">IF(ROWS($1:18)&gt;COUNT(Dong1),"",IF(OFFSET(TH!N$1,SMALL(Dong1,ROWS($1:18)),)="1111",OFFSET(TH!M$1,SMALL(Dong1,ROWS($1:18)),),0))</f>
        <v>0</v>
      </c>
      <c r="H31" s="163">
        <f ca="1">IF(ROWS($1:18)&gt;COUNT(Dong1),"",IF(OFFSET(TH!O$1,SMALL(Dong1,ROWS($1:18)),)="1111",OFFSET(TH!M$1,SMALL(Dong1,ROWS($1:18)),),0))</f>
        <v>19800000</v>
      </c>
      <c r="I31" s="161">
        <f t="shared" ca="1" si="0"/>
        <v>163954233</v>
      </c>
      <c r="J31" s="166"/>
    </row>
    <row r="32" spans="1:10" ht="23.25" customHeight="1">
      <c r="A32" s="160">
        <f ca="1">IF(ROWS($1:19)&gt;COUNT(Dong1),"",OFFSET(TH!C$1,SMALL(Dong1,ROWS($1:19)),))</f>
        <v>42715</v>
      </c>
      <c r="B32" s="160">
        <f ca="1">IF(ROWS($1:19)&gt;COUNT(Dong1),"",OFFSET(TH!E$1,SMALL(Dong1,ROWS($1:19)),))</f>
        <v>42715</v>
      </c>
      <c r="C32" s="161" t="str">
        <f ca="1">IF(ROWS($1:19)&gt;COUNT(Dong1),"",IF(OFFSET(TH!N$1,SMALL(Dong1,ROWS($1:19)),)="1111",OFFSET(TH!D$1,SMALL(Dong1,ROWS($1:19)),),""))</f>
        <v/>
      </c>
      <c r="D32" s="162" t="str">
        <f ca="1">IF(ROWS($1:19)&gt;COUNT(Dong1),"",IF(OFFSET(TH!O$1,SMALL(Dong1,ROWS($1:19)),)="1111",OFFSET(TH!D$1,SMALL(Dong1,ROWS($1:19)),),""))</f>
        <v>C34</v>
      </c>
      <c r="E32" s="349" t="str">
        <f ca="1">IF(ROWS($1:19)&gt;COUNT(Dong1),"",OFFSET(TH!F$1,SMALL(Dong1,ROWS($1:19)),))</f>
        <v>Thanh toán tiền thùng carton</v>
      </c>
      <c r="F32" s="164" t="str">
        <f ca="1">IF(ROWS($1:19)&gt;COUNT(Dong1),"",IF(OFFSET(TH!O$1,SMALL(Dong1,ROWS($1:19)),)="1111",OFFSET(TH!N$1,SMALL(Dong1,ROWS($1:19)),),OFFSET(TH!O$1,SMALL(Dong1,ROWS($1:19)),)))</f>
        <v>331</v>
      </c>
      <c r="G32" s="165">
        <f ca="1">IF(ROWS($1:19)&gt;COUNT(Dong1),"",IF(OFFSET(TH!N$1,SMALL(Dong1,ROWS($1:19)),)="1111",OFFSET(TH!M$1,SMALL(Dong1,ROWS($1:19)),),0))</f>
        <v>0</v>
      </c>
      <c r="H32" s="163">
        <f ca="1">IF(ROWS($1:19)&gt;COUNT(Dong1),"",IF(OFFSET(TH!O$1,SMALL(Dong1,ROWS($1:19)),)="1111",OFFSET(TH!M$1,SMALL(Dong1,ROWS($1:19)),),0))</f>
        <v>19800000</v>
      </c>
      <c r="I32" s="161">
        <f t="shared" ca="1" si="0"/>
        <v>144154233</v>
      </c>
      <c r="J32" s="166"/>
    </row>
    <row r="33" spans="1:10" ht="23.25" customHeight="1">
      <c r="A33" s="160">
        <f ca="1">IF(ROWS($1:20)&gt;COUNT(Dong1),"",OFFSET(TH!C$1,SMALL(Dong1,ROWS($1:20)),))</f>
        <v>42717</v>
      </c>
      <c r="B33" s="160">
        <f ca="1">IF(ROWS($1:20)&gt;COUNT(Dong1),"",OFFSET(TH!E$1,SMALL(Dong1,ROWS($1:20)),))</f>
        <v>42717</v>
      </c>
      <c r="C33" s="161" t="str">
        <f ca="1">IF(ROWS($1:20)&gt;COUNT(Dong1),"",IF(OFFSET(TH!N$1,SMALL(Dong1,ROWS($1:20)),)="1111",OFFSET(TH!D$1,SMALL(Dong1,ROWS($1:20)),),""))</f>
        <v/>
      </c>
      <c r="D33" s="162" t="str">
        <f ca="1">IF(ROWS($1:20)&gt;COUNT(Dong1),"",IF(OFFSET(TH!O$1,SMALL(Dong1,ROWS($1:20)),)="1111",OFFSET(TH!D$1,SMALL(Dong1,ROWS($1:20)),),""))</f>
        <v>C38</v>
      </c>
      <c r="E33" s="349" t="str">
        <f ca="1">IF(ROWS($1:20)&gt;COUNT(Dong1),"",OFFSET(TH!F$1,SMALL(Dong1,ROWS($1:20)),))</f>
        <v>Thanh toán tiền thùng carton</v>
      </c>
      <c r="F33" s="164" t="str">
        <f ca="1">IF(ROWS($1:20)&gt;COUNT(Dong1),"",IF(OFFSET(TH!O$1,SMALL(Dong1,ROWS($1:20)),)="1111",OFFSET(TH!N$1,SMALL(Dong1,ROWS($1:20)),),OFFSET(TH!O$1,SMALL(Dong1,ROWS($1:20)),)))</f>
        <v>331</v>
      </c>
      <c r="G33" s="165">
        <f ca="1">IF(ROWS($1:20)&gt;COUNT(Dong1),"",IF(OFFSET(TH!N$1,SMALL(Dong1,ROWS($1:20)),)="1111",OFFSET(TH!M$1,SMALL(Dong1,ROWS($1:20)),),0))</f>
        <v>0</v>
      </c>
      <c r="H33" s="163">
        <f ca="1">IF(ROWS($1:20)&gt;COUNT(Dong1),"",IF(OFFSET(TH!O$1,SMALL(Dong1,ROWS($1:20)),)="1111",OFFSET(TH!M$1,SMALL(Dong1,ROWS($1:20)),),0))</f>
        <v>19800000</v>
      </c>
      <c r="I33" s="161">
        <f t="shared" ca="1" si="0"/>
        <v>124354233</v>
      </c>
      <c r="J33" s="166"/>
    </row>
    <row r="34" spans="1:10" ht="23.25" customHeight="1">
      <c r="A34" s="160">
        <f ca="1">IF(ROWS($1:21)&gt;COUNT(Dong1),"",OFFSET(TH!C$1,SMALL(Dong1,ROWS($1:21)),))</f>
        <v>42716</v>
      </c>
      <c r="B34" s="160">
        <f ca="1">IF(ROWS($1:21)&gt;COUNT(Dong1),"",OFFSET(TH!E$1,SMALL(Dong1,ROWS($1:21)),))</f>
        <v>42716</v>
      </c>
      <c r="C34" s="161" t="str">
        <f ca="1">IF(ROWS($1:21)&gt;COUNT(Dong1),"",IF(OFFSET(TH!N$1,SMALL(Dong1,ROWS($1:21)),)="1111",OFFSET(TH!D$1,SMALL(Dong1,ROWS($1:21)),),""))</f>
        <v/>
      </c>
      <c r="D34" s="162" t="str">
        <f ca="1">IF(ROWS($1:21)&gt;COUNT(Dong1),"",IF(OFFSET(TH!O$1,SMALL(Dong1,ROWS($1:21)),)="1111",OFFSET(TH!D$1,SMALL(Dong1,ROWS($1:21)),),""))</f>
        <v>C36</v>
      </c>
      <c r="E34" s="349" t="str">
        <f ca="1">IF(ROWS($1:21)&gt;COUNT(Dong1),"",OFFSET(TH!F$1,SMALL(Dong1,ROWS($1:21)),))</f>
        <v>Thanh toán tiền thùng carton</v>
      </c>
      <c r="F34" s="164" t="str">
        <f ca="1">IF(ROWS($1:21)&gt;COUNT(Dong1),"",IF(OFFSET(TH!O$1,SMALL(Dong1,ROWS($1:21)),)="1111",OFFSET(TH!N$1,SMALL(Dong1,ROWS($1:21)),),OFFSET(TH!O$1,SMALL(Dong1,ROWS($1:21)),)))</f>
        <v>331</v>
      </c>
      <c r="G34" s="165">
        <f ca="1">IF(ROWS($1:21)&gt;COUNT(Dong1),"",IF(OFFSET(TH!N$1,SMALL(Dong1,ROWS($1:21)),)="1111",OFFSET(TH!M$1,SMALL(Dong1,ROWS($1:21)),),0))</f>
        <v>0</v>
      </c>
      <c r="H34" s="163">
        <f ca="1">IF(ROWS($1:21)&gt;COUNT(Dong1),"",IF(OFFSET(TH!O$1,SMALL(Dong1,ROWS($1:21)),)="1111",OFFSET(TH!M$1,SMALL(Dong1,ROWS($1:21)),),0))</f>
        <v>19800000</v>
      </c>
      <c r="I34" s="161">
        <f t="shared" ca="1" si="0"/>
        <v>104554233</v>
      </c>
      <c r="J34" s="166"/>
    </row>
    <row r="35" spans="1:10" ht="23.25" customHeight="1">
      <c r="A35" s="160">
        <f ca="1">IF(ROWS($1:22)&gt;COUNT(Dong1),"",OFFSET(TH!C$1,SMALL(Dong1,ROWS($1:22)),))</f>
        <v>42724</v>
      </c>
      <c r="B35" s="160">
        <f ca="1">IF(ROWS($1:22)&gt;COUNT(Dong1),"",OFFSET(TH!E$1,SMALL(Dong1,ROWS($1:22)),))</f>
        <v>42724</v>
      </c>
      <c r="C35" s="161" t="str">
        <f ca="1">IF(ROWS($1:22)&gt;COUNT(Dong1),"",IF(OFFSET(TH!N$1,SMALL(Dong1,ROWS($1:22)),)="1111",OFFSET(TH!D$1,SMALL(Dong1,ROWS($1:22)),),""))</f>
        <v/>
      </c>
      <c r="D35" s="162" t="str">
        <f ca="1">IF(ROWS($1:22)&gt;COUNT(Dong1),"",IF(OFFSET(TH!O$1,SMALL(Dong1,ROWS($1:22)),)="1111",OFFSET(TH!D$1,SMALL(Dong1,ROWS($1:22)),),""))</f>
        <v>C65</v>
      </c>
      <c r="E35" s="349" t="str">
        <f ca="1">IF(ROWS($1:22)&gt;COUNT(Dong1),"",OFFSET(TH!F$1,SMALL(Dong1,ROWS($1:22)),))</f>
        <v>Thanh toán tiền nhãn giấy</v>
      </c>
      <c r="F35" s="164" t="str">
        <f ca="1">IF(ROWS($1:22)&gt;COUNT(Dong1),"",IF(OFFSET(TH!O$1,SMALL(Dong1,ROWS($1:22)),)="1111",OFFSET(TH!N$1,SMALL(Dong1,ROWS($1:22)),),OFFSET(TH!O$1,SMALL(Dong1,ROWS($1:22)),)))</f>
        <v>331</v>
      </c>
      <c r="G35" s="165">
        <f ca="1">IF(ROWS($1:22)&gt;COUNT(Dong1),"",IF(OFFSET(TH!N$1,SMALL(Dong1,ROWS($1:22)),)="1111",OFFSET(TH!M$1,SMALL(Dong1,ROWS($1:22)),),0))</f>
        <v>0</v>
      </c>
      <c r="H35" s="163">
        <f ca="1">IF(ROWS($1:22)&gt;COUNT(Dong1),"",IF(OFFSET(TH!O$1,SMALL(Dong1,ROWS($1:22)),)="1111",OFFSET(TH!M$1,SMALL(Dong1,ROWS($1:22)),),0))</f>
        <v>1320000</v>
      </c>
      <c r="I35" s="161">
        <f t="shared" ca="1" si="0"/>
        <v>103234233</v>
      </c>
      <c r="J35" s="166"/>
    </row>
    <row r="36" spans="1:10" ht="23.25" customHeight="1">
      <c r="A36" s="160">
        <f ca="1">IF(ROWS($1:23)&gt;COUNT(Dong1),"",OFFSET(TH!C$1,SMALL(Dong1,ROWS($1:23)),))</f>
        <v>42725</v>
      </c>
      <c r="B36" s="160">
        <f ca="1">IF(ROWS($1:23)&gt;COUNT(Dong1),"",OFFSET(TH!E$1,SMALL(Dong1,ROWS($1:23)),))</f>
        <v>42725</v>
      </c>
      <c r="C36" s="161" t="str">
        <f ca="1">IF(ROWS($1:23)&gt;COUNT(Dong1),"",IF(OFFSET(TH!N$1,SMALL(Dong1,ROWS($1:23)),)="1111",OFFSET(TH!D$1,SMALL(Dong1,ROWS($1:23)),),""))</f>
        <v/>
      </c>
      <c r="D36" s="162" t="str">
        <f ca="1">IF(ROWS($1:23)&gt;COUNT(Dong1),"",IF(OFFSET(TH!O$1,SMALL(Dong1,ROWS($1:23)),)="1111",OFFSET(TH!D$1,SMALL(Dong1,ROWS($1:23)),),""))</f>
        <v>C70</v>
      </c>
      <c r="E36" s="349" t="str">
        <f ca="1">IF(ROWS($1:23)&gt;COUNT(Dong1),"",OFFSET(TH!F$1,SMALL(Dong1,ROWS($1:23)),))</f>
        <v>Thanh toán tiền nhãn giấy</v>
      </c>
      <c r="F36" s="164" t="str">
        <f ca="1">IF(ROWS($1:23)&gt;COUNT(Dong1),"",IF(OFFSET(TH!O$1,SMALL(Dong1,ROWS($1:23)),)="1111",OFFSET(TH!N$1,SMALL(Dong1,ROWS($1:23)),),OFFSET(TH!O$1,SMALL(Dong1,ROWS($1:23)),)))</f>
        <v>331</v>
      </c>
      <c r="G36" s="165">
        <f ca="1">IF(ROWS($1:23)&gt;COUNT(Dong1),"",IF(OFFSET(TH!N$1,SMALL(Dong1,ROWS($1:23)),)="1111",OFFSET(TH!M$1,SMALL(Dong1,ROWS($1:23)),),0))</f>
        <v>0</v>
      </c>
      <c r="H36" s="163">
        <f ca="1">IF(ROWS($1:23)&gt;COUNT(Dong1),"",IF(OFFSET(TH!O$1,SMALL(Dong1,ROWS($1:23)),)="1111",OFFSET(TH!M$1,SMALL(Dong1,ROWS($1:23)),),0))</f>
        <v>13200000</v>
      </c>
      <c r="I36" s="161">
        <f t="shared" ca="1" si="0"/>
        <v>90034233</v>
      </c>
      <c r="J36" s="166"/>
    </row>
    <row r="37" spans="1:10" ht="23.25" customHeight="1">
      <c r="A37" s="160">
        <f ca="1">IF(ROWS($1:24)&gt;COUNT(Dong1),"",OFFSET(TH!C$1,SMALL(Dong1,ROWS($1:24)),))</f>
        <v>42719</v>
      </c>
      <c r="B37" s="160">
        <f ca="1">IF(ROWS($1:24)&gt;COUNT(Dong1),"",OFFSET(TH!E$1,SMALL(Dong1,ROWS($1:24)),))</f>
        <v>42719</v>
      </c>
      <c r="C37" s="161" t="str">
        <f ca="1">IF(ROWS($1:24)&gt;COUNT(Dong1),"",IF(OFFSET(TH!N$1,SMALL(Dong1,ROWS($1:24)),)="1111",OFFSET(TH!D$1,SMALL(Dong1,ROWS($1:24)),),""))</f>
        <v/>
      </c>
      <c r="D37" s="162" t="str">
        <f ca="1">IF(ROWS($1:24)&gt;COUNT(Dong1),"",IF(OFFSET(TH!O$1,SMALL(Dong1,ROWS($1:24)),)="1111",OFFSET(TH!D$1,SMALL(Dong1,ROWS($1:24)),),""))</f>
        <v>C47</v>
      </c>
      <c r="E37" s="349" t="str">
        <f ca="1">IF(ROWS($1:24)&gt;COUNT(Dong1),"",OFFSET(TH!F$1,SMALL(Dong1,ROWS($1:24)),))</f>
        <v>Thanh toán tiền thùng carton</v>
      </c>
      <c r="F37" s="164" t="str">
        <f ca="1">IF(ROWS($1:24)&gt;COUNT(Dong1),"",IF(OFFSET(TH!O$1,SMALL(Dong1,ROWS($1:24)),)="1111",OFFSET(TH!N$1,SMALL(Dong1,ROWS($1:24)),),OFFSET(TH!O$1,SMALL(Dong1,ROWS($1:24)),)))</f>
        <v>331</v>
      </c>
      <c r="G37" s="165">
        <f ca="1">IF(ROWS($1:24)&gt;COUNT(Dong1),"",IF(OFFSET(TH!N$1,SMALL(Dong1,ROWS($1:24)),)="1111",OFFSET(TH!M$1,SMALL(Dong1,ROWS($1:24)),),0))</f>
        <v>0</v>
      </c>
      <c r="H37" s="163">
        <f ca="1">IF(ROWS($1:24)&gt;COUNT(Dong1),"",IF(OFFSET(TH!O$1,SMALL(Dong1,ROWS($1:24)),)="1111",OFFSET(TH!M$1,SMALL(Dong1,ROWS($1:24)),),0))</f>
        <v>19800000</v>
      </c>
      <c r="I37" s="161">
        <f t="shared" ca="1" si="0"/>
        <v>70234233</v>
      </c>
      <c r="J37" s="166"/>
    </row>
    <row r="38" spans="1:10" ht="23.25" customHeight="1">
      <c r="A38" s="160">
        <f ca="1">IF(ROWS($1:25)&gt;COUNT(Dong1),"",OFFSET(TH!C$1,SMALL(Dong1,ROWS($1:25)),))</f>
        <v>42718</v>
      </c>
      <c r="B38" s="160">
        <f ca="1">IF(ROWS($1:25)&gt;COUNT(Dong1),"",OFFSET(TH!E$1,SMALL(Dong1,ROWS($1:25)),))</f>
        <v>42718</v>
      </c>
      <c r="C38" s="161" t="str">
        <f ca="1">IF(ROWS($1:25)&gt;COUNT(Dong1),"",IF(OFFSET(TH!N$1,SMALL(Dong1,ROWS($1:25)),)="1111",OFFSET(TH!D$1,SMALL(Dong1,ROWS($1:25)),),""))</f>
        <v/>
      </c>
      <c r="D38" s="162" t="str">
        <f ca="1">IF(ROWS($1:25)&gt;COUNT(Dong1),"",IF(OFFSET(TH!O$1,SMALL(Dong1,ROWS($1:25)),)="1111",OFFSET(TH!D$1,SMALL(Dong1,ROWS($1:25)),),""))</f>
        <v>C43</v>
      </c>
      <c r="E38" s="349" t="str">
        <f ca="1">IF(ROWS($1:25)&gt;COUNT(Dong1),"",OFFSET(TH!F$1,SMALL(Dong1,ROWS($1:25)),))</f>
        <v>Thanh toán tiền thùng carton</v>
      </c>
      <c r="F38" s="164" t="str">
        <f ca="1">IF(ROWS($1:25)&gt;COUNT(Dong1),"",IF(OFFSET(TH!O$1,SMALL(Dong1,ROWS($1:25)),)="1111",OFFSET(TH!N$1,SMALL(Dong1,ROWS($1:25)),),OFFSET(TH!O$1,SMALL(Dong1,ROWS($1:25)),)))</f>
        <v>331</v>
      </c>
      <c r="G38" s="165">
        <f ca="1">IF(ROWS($1:25)&gt;COUNT(Dong1),"",IF(OFFSET(TH!N$1,SMALL(Dong1,ROWS($1:25)),)="1111",OFFSET(TH!M$1,SMALL(Dong1,ROWS($1:25)),),0))</f>
        <v>0</v>
      </c>
      <c r="H38" s="163">
        <f ca="1">IF(ROWS($1:25)&gt;COUNT(Dong1),"",IF(OFFSET(TH!O$1,SMALL(Dong1,ROWS($1:25)),)="1111",OFFSET(TH!M$1,SMALL(Dong1,ROWS($1:25)),),0))</f>
        <v>19800000</v>
      </c>
      <c r="I38" s="161">
        <f t="shared" ca="1" si="0"/>
        <v>50434233</v>
      </c>
      <c r="J38" s="166"/>
    </row>
    <row r="39" spans="1:10" ht="23.25" customHeight="1">
      <c r="A39" s="160">
        <f ca="1">IF(ROWS($1:26)&gt;COUNT(Dong1),"",OFFSET(TH!C$1,SMALL(Dong1,ROWS($1:26)),))</f>
        <v>42720</v>
      </c>
      <c r="B39" s="160">
        <f ca="1">IF(ROWS($1:26)&gt;COUNT(Dong1),"",OFFSET(TH!E$1,SMALL(Dong1,ROWS($1:26)),))</f>
        <v>42720</v>
      </c>
      <c r="C39" s="161" t="str">
        <f ca="1">IF(ROWS($1:26)&gt;COUNT(Dong1),"",IF(OFFSET(TH!N$1,SMALL(Dong1,ROWS($1:26)),)="1111",OFFSET(TH!D$1,SMALL(Dong1,ROWS($1:26)),),""))</f>
        <v/>
      </c>
      <c r="D39" s="162" t="str">
        <f ca="1">IF(ROWS($1:26)&gt;COUNT(Dong1),"",IF(OFFSET(TH!O$1,SMALL(Dong1,ROWS($1:26)),)="1111",OFFSET(TH!D$1,SMALL(Dong1,ROWS($1:26)),),""))</f>
        <v>C50</v>
      </c>
      <c r="E39" s="349" t="str">
        <f ca="1">IF(ROWS($1:26)&gt;COUNT(Dong1),"",OFFSET(TH!F$1,SMALL(Dong1,ROWS($1:26)),))</f>
        <v>Thanh toán tiền thùng carton</v>
      </c>
      <c r="F39" s="164" t="str">
        <f ca="1">IF(ROWS($1:26)&gt;COUNT(Dong1),"",IF(OFFSET(TH!O$1,SMALL(Dong1,ROWS($1:26)),)="1111",OFFSET(TH!N$1,SMALL(Dong1,ROWS($1:26)),),OFFSET(TH!O$1,SMALL(Dong1,ROWS($1:26)),)))</f>
        <v>331</v>
      </c>
      <c r="G39" s="165">
        <f ca="1">IF(ROWS($1:26)&gt;COUNT(Dong1),"",IF(OFFSET(TH!N$1,SMALL(Dong1,ROWS($1:26)),)="1111",OFFSET(TH!M$1,SMALL(Dong1,ROWS($1:26)),),0))</f>
        <v>0</v>
      </c>
      <c r="H39" s="163">
        <f ca="1">IF(ROWS($1:26)&gt;COUNT(Dong1),"",IF(OFFSET(TH!O$1,SMALL(Dong1,ROWS($1:26)),)="1111",OFFSET(TH!M$1,SMALL(Dong1,ROWS($1:26)),),0))</f>
        <v>19800000</v>
      </c>
      <c r="I39" s="161">
        <f t="shared" ca="1" si="0"/>
        <v>30634233</v>
      </c>
      <c r="J39" s="166"/>
    </row>
    <row r="40" spans="1:10" ht="23.25" customHeight="1">
      <c r="A40" s="160">
        <f ca="1">IF(ROWS($1:27)&gt;COUNT(Dong1),"",OFFSET(TH!C$1,SMALL(Dong1,ROWS($1:27)),))</f>
        <v>42719</v>
      </c>
      <c r="B40" s="160">
        <f ca="1">IF(ROWS($1:27)&gt;COUNT(Dong1),"",OFFSET(TH!E$1,SMALL(Dong1,ROWS($1:27)),))</f>
        <v>42719</v>
      </c>
      <c r="C40" s="161" t="str">
        <f ca="1">IF(ROWS($1:27)&gt;COUNT(Dong1),"",IF(OFFSET(TH!N$1,SMALL(Dong1,ROWS($1:27)),)="1111",OFFSET(TH!D$1,SMALL(Dong1,ROWS($1:27)),),""))</f>
        <v/>
      </c>
      <c r="D40" s="162" t="str">
        <f ca="1">IF(ROWS($1:27)&gt;COUNT(Dong1),"",IF(OFFSET(TH!O$1,SMALL(Dong1,ROWS($1:27)),)="1111",OFFSET(TH!D$1,SMALL(Dong1,ROWS($1:27)),),""))</f>
        <v>C48</v>
      </c>
      <c r="E40" s="349" t="str">
        <f ca="1">IF(ROWS($1:27)&gt;COUNT(Dong1),"",OFFSET(TH!F$1,SMALL(Dong1,ROWS($1:27)),))</f>
        <v>Thanh toán tiền thùng carton</v>
      </c>
      <c r="F40" s="164" t="str">
        <f ca="1">IF(ROWS($1:27)&gt;COUNT(Dong1),"",IF(OFFSET(TH!O$1,SMALL(Dong1,ROWS($1:27)),)="1111",OFFSET(TH!N$1,SMALL(Dong1,ROWS($1:27)),),OFFSET(TH!O$1,SMALL(Dong1,ROWS($1:27)),)))</f>
        <v>331</v>
      </c>
      <c r="G40" s="165">
        <f ca="1">IF(ROWS($1:27)&gt;COUNT(Dong1),"",IF(OFFSET(TH!N$1,SMALL(Dong1,ROWS($1:27)),)="1111",OFFSET(TH!M$1,SMALL(Dong1,ROWS($1:27)),),0))</f>
        <v>0</v>
      </c>
      <c r="H40" s="163">
        <f ca="1">IF(ROWS($1:27)&gt;COUNT(Dong1),"",IF(OFFSET(TH!O$1,SMALL(Dong1,ROWS($1:27)),)="1111",OFFSET(TH!M$1,SMALL(Dong1,ROWS($1:27)),),0))</f>
        <v>19800000</v>
      </c>
      <c r="I40" s="161">
        <f t="shared" ca="1" si="0"/>
        <v>10834233</v>
      </c>
      <c r="J40" s="166"/>
    </row>
    <row r="41" spans="1:10" ht="23.25" customHeight="1">
      <c r="A41" s="160">
        <f ca="1">IF(ROWS($1:28)&gt;COUNT(Dong1),"",OFFSET(TH!C$1,SMALL(Dong1,ROWS($1:28)),))</f>
        <v>42721</v>
      </c>
      <c r="B41" s="160">
        <f ca="1">IF(ROWS($1:28)&gt;COUNT(Dong1),"",OFFSET(TH!E$1,SMALL(Dong1,ROWS($1:28)),))</f>
        <v>42721</v>
      </c>
      <c r="C41" s="161" t="str">
        <f ca="1">IF(ROWS($1:28)&gt;COUNT(Dong1),"",IF(OFFSET(TH!N$1,SMALL(Dong1,ROWS($1:28)),)="1111",OFFSET(TH!D$1,SMALL(Dong1,ROWS($1:28)),),""))</f>
        <v/>
      </c>
      <c r="D41" s="162" t="str">
        <f ca="1">IF(ROWS($1:28)&gt;COUNT(Dong1),"",IF(OFFSET(TH!O$1,SMALL(Dong1,ROWS($1:28)),)="1111",OFFSET(TH!D$1,SMALL(Dong1,ROWS($1:28)),),""))</f>
        <v>C54</v>
      </c>
      <c r="E41" s="349" t="str">
        <f ca="1">IF(ROWS($1:28)&gt;COUNT(Dong1),"",OFFSET(TH!F$1,SMALL(Dong1,ROWS($1:28)),))</f>
        <v>Thanh toán tiền thùng carton</v>
      </c>
      <c r="F41" s="164" t="str">
        <f ca="1">IF(ROWS($1:28)&gt;COUNT(Dong1),"",IF(OFFSET(TH!O$1,SMALL(Dong1,ROWS($1:28)),)="1111",OFFSET(TH!N$1,SMALL(Dong1,ROWS($1:28)),),OFFSET(TH!O$1,SMALL(Dong1,ROWS($1:28)),)))</f>
        <v>331</v>
      </c>
      <c r="G41" s="165">
        <f ca="1">IF(ROWS($1:28)&gt;COUNT(Dong1),"",IF(OFFSET(TH!N$1,SMALL(Dong1,ROWS($1:28)),)="1111",OFFSET(TH!M$1,SMALL(Dong1,ROWS($1:28)),),0))</f>
        <v>0</v>
      </c>
      <c r="H41" s="163">
        <f ca="1">IF(ROWS($1:28)&gt;COUNT(Dong1),"",IF(OFFSET(TH!O$1,SMALL(Dong1,ROWS($1:28)),)="1111",OFFSET(TH!M$1,SMALL(Dong1,ROWS($1:28)),),0))</f>
        <v>19800000</v>
      </c>
      <c r="I41" s="161">
        <f t="shared" ca="1" si="0"/>
        <v>-8965767</v>
      </c>
      <c r="J41" s="166"/>
    </row>
    <row r="42" spans="1:10" ht="23.25" customHeight="1">
      <c r="A42" s="160">
        <f ca="1">IF(ROWS($1:29)&gt;COUNT(Dong1),"",OFFSET(TH!C$1,SMALL(Dong1,ROWS($1:29)),))</f>
        <v>42722</v>
      </c>
      <c r="B42" s="160">
        <f ca="1">IF(ROWS($1:29)&gt;COUNT(Dong1),"",OFFSET(TH!E$1,SMALL(Dong1,ROWS($1:29)),))</f>
        <v>42722</v>
      </c>
      <c r="C42" s="161" t="str">
        <f ca="1">IF(ROWS($1:29)&gt;COUNT(Dong1),"",IF(OFFSET(TH!N$1,SMALL(Dong1,ROWS($1:29)),)="1111",OFFSET(TH!D$1,SMALL(Dong1,ROWS($1:29)),),""))</f>
        <v/>
      </c>
      <c r="D42" s="162" t="str">
        <f ca="1">IF(ROWS($1:29)&gt;COUNT(Dong1),"",IF(OFFSET(TH!O$1,SMALL(Dong1,ROWS($1:29)),)="1111",OFFSET(TH!D$1,SMALL(Dong1,ROWS($1:29)),),""))</f>
        <v>C58</v>
      </c>
      <c r="E42" s="349" t="str">
        <f ca="1">IF(ROWS($1:29)&gt;COUNT(Dong1),"",OFFSET(TH!F$1,SMALL(Dong1,ROWS($1:29)),))</f>
        <v>Thanh toán tiền thùng carton</v>
      </c>
      <c r="F42" s="164" t="str">
        <f ca="1">IF(ROWS($1:29)&gt;COUNT(Dong1),"",IF(OFFSET(TH!O$1,SMALL(Dong1,ROWS($1:29)),)="1111",OFFSET(TH!N$1,SMALL(Dong1,ROWS($1:29)),),OFFSET(TH!O$1,SMALL(Dong1,ROWS($1:29)),)))</f>
        <v>331</v>
      </c>
      <c r="G42" s="165">
        <f ca="1">IF(ROWS($1:29)&gt;COUNT(Dong1),"",IF(OFFSET(TH!N$1,SMALL(Dong1,ROWS($1:29)),)="1111",OFFSET(TH!M$1,SMALL(Dong1,ROWS($1:29)),),0))</f>
        <v>0</v>
      </c>
      <c r="H42" s="163">
        <f ca="1">IF(ROWS($1:29)&gt;COUNT(Dong1),"",IF(OFFSET(TH!O$1,SMALL(Dong1,ROWS($1:29)),)="1111",OFFSET(TH!M$1,SMALL(Dong1,ROWS($1:29)),),0))</f>
        <v>19800000</v>
      </c>
      <c r="I42" s="161">
        <f t="shared" ca="1" si="0"/>
        <v>-28765767</v>
      </c>
      <c r="J42" s="166"/>
    </row>
    <row r="43" spans="1:10" ht="23.25" customHeight="1">
      <c r="A43" s="160">
        <f ca="1">IF(ROWS($1:30)&gt;COUNT(Dong1),"",OFFSET(TH!C$1,SMALL(Dong1,ROWS($1:30)),))</f>
        <v>42723</v>
      </c>
      <c r="B43" s="160">
        <f ca="1">IF(ROWS($1:30)&gt;COUNT(Dong1),"",OFFSET(TH!E$1,SMALL(Dong1,ROWS($1:30)),))</f>
        <v>42723</v>
      </c>
      <c r="C43" s="161" t="str">
        <f ca="1">IF(ROWS($1:30)&gt;COUNT(Dong1),"",IF(OFFSET(TH!N$1,SMALL(Dong1,ROWS($1:30)),)="1111",OFFSET(TH!D$1,SMALL(Dong1,ROWS($1:30)),),""))</f>
        <v/>
      </c>
      <c r="D43" s="162" t="str">
        <f ca="1">IF(ROWS($1:30)&gt;COUNT(Dong1),"",IF(OFFSET(TH!O$1,SMALL(Dong1,ROWS($1:30)),)="1111",OFFSET(TH!D$1,SMALL(Dong1,ROWS($1:30)),),""))</f>
        <v>C59</v>
      </c>
      <c r="E43" s="349" t="str">
        <f ca="1">IF(ROWS($1:30)&gt;COUNT(Dong1),"",OFFSET(TH!F$1,SMALL(Dong1,ROWS($1:30)),))</f>
        <v>Thanh toán tiền thùng carton</v>
      </c>
      <c r="F43" s="164" t="str">
        <f ca="1">IF(ROWS($1:30)&gt;COUNT(Dong1),"",IF(OFFSET(TH!O$1,SMALL(Dong1,ROWS($1:30)),)="1111",OFFSET(TH!N$1,SMALL(Dong1,ROWS($1:30)),),OFFSET(TH!O$1,SMALL(Dong1,ROWS($1:30)),)))</f>
        <v>331</v>
      </c>
      <c r="G43" s="165">
        <f ca="1">IF(ROWS($1:30)&gt;COUNT(Dong1),"",IF(OFFSET(TH!N$1,SMALL(Dong1,ROWS($1:30)),)="1111",OFFSET(TH!M$1,SMALL(Dong1,ROWS($1:30)),),0))</f>
        <v>0</v>
      </c>
      <c r="H43" s="163">
        <f ca="1">IF(ROWS($1:30)&gt;COUNT(Dong1),"",IF(OFFSET(TH!O$1,SMALL(Dong1,ROWS($1:30)),)="1111",OFFSET(TH!M$1,SMALL(Dong1,ROWS($1:30)),),0))</f>
        <v>19800000</v>
      </c>
      <c r="I43" s="161">
        <f t="shared" ca="1" si="0"/>
        <v>-48565767</v>
      </c>
      <c r="J43" s="166"/>
    </row>
    <row r="44" spans="1:10" ht="23.25" customHeight="1">
      <c r="A44" s="160">
        <f ca="1">IF(ROWS($1:31)&gt;COUNT(Dong1),"",OFFSET(TH!C$1,SMALL(Dong1,ROWS($1:31)),))</f>
        <v>42712</v>
      </c>
      <c r="B44" s="160">
        <f ca="1">IF(ROWS($1:31)&gt;COUNT(Dong1),"",OFFSET(TH!E$1,SMALL(Dong1,ROWS($1:31)),))</f>
        <v>42712</v>
      </c>
      <c r="C44" s="161" t="str">
        <f ca="1">IF(ROWS($1:31)&gt;COUNT(Dong1),"",IF(OFFSET(TH!N$1,SMALL(Dong1,ROWS($1:31)),)="1111",OFFSET(TH!D$1,SMALL(Dong1,ROWS($1:31)),),""))</f>
        <v>T09</v>
      </c>
      <c r="D44" s="162" t="str">
        <f ca="1">IF(ROWS($1:31)&gt;COUNT(Dong1),"",IF(OFFSET(TH!O$1,SMALL(Dong1,ROWS($1:31)),)="1111",OFFSET(TH!D$1,SMALL(Dong1,ROWS($1:31)),),""))</f>
        <v/>
      </c>
      <c r="E44" s="349" t="str">
        <f ca="1">IF(ROWS($1:31)&gt;COUNT(Dong1),"",OFFSET(TH!F$1,SMALL(Dong1,ROWS($1:31)),))</f>
        <v>Hoàn vốn</v>
      </c>
      <c r="F44" s="164" t="str">
        <f ca="1">IF(ROWS($1:31)&gt;COUNT(Dong1),"",IF(OFFSET(TH!O$1,SMALL(Dong1,ROWS($1:31)),)="1111",OFFSET(TH!N$1,SMALL(Dong1,ROWS($1:31)),),OFFSET(TH!O$1,SMALL(Dong1,ROWS($1:31)),)))</f>
        <v>1388</v>
      </c>
      <c r="G44" s="165">
        <f ca="1">IF(ROWS($1:31)&gt;COUNT(Dong1),"",IF(OFFSET(TH!N$1,SMALL(Dong1,ROWS($1:31)),)="1111",OFFSET(TH!M$1,SMALL(Dong1,ROWS($1:31)),),0))</f>
        <v>10000000</v>
      </c>
      <c r="H44" s="163">
        <f ca="1">IF(ROWS($1:31)&gt;COUNT(Dong1),"",IF(OFFSET(TH!O$1,SMALL(Dong1,ROWS($1:31)),)="1111",OFFSET(TH!M$1,SMALL(Dong1,ROWS($1:31)),),0))</f>
        <v>0</v>
      </c>
      <c r="I44" s="161">
        <f t="shared" ca="1" si="0"/>
        <v>-38565767</v>
      </c>
      <c r="J44" s="166"/>
    </row>
    <row r="45" spans="1:10" ht="23.25" customHeight="1">
      <c r="A45" s="160">
        <f ca="1">IF(ROWS($1:32)&gt;COUNT(Dong1),"",OFFSET(TH!C$1,SMALL(Dong1,ROWS($1:32)),))</f>
        <v>42726</v>
      </c>
      <c r="B45" s="160">
        <f ca="1">IF(ROWS($1:32)&gt;COUNT(Dong1),"",OFFSET(TH!E$1,SMALL(Dong1,ROWS($1:32)),))</f>
        <v>42726</v>
      </c>
      <c r="C45" s="161" t="str">
        <f ca="1">IF(ROWS($1:32)&gt;COUNT(Dong1),"",IF(OFFSET(TH!N$1,SMALL(Dong1,ROWS($1:32)),)="1111",OFFSET(TH!D$1,SMALL(Dong1,ROWS($1:32)),),""))</f>
        <v/>
      </c>
      <c r="D45" s="162" t="str">
        <f ca="1">IF(ROWS($1:32)&gt;COUNT(Dong1),"",IF(OFFSET(TH!O$1,SMALL(Dong1,ROWS($1:32)),)="1111",OFFSET(TH!D$1,SMALL(Dong1,ROWS($1:32)),),""))</f>
        <v>C79</v>
      </c>
      <c r="E45" s="349" t="str">
        <f ca="1">IF(ROWS($1:32)&gt;COUNT(Dong1),"",OFFSET(TH!F$1,SMALL(Dong1,ROWS($1:32)),))</f>
        <v>Trả tiền mượn</v>
      </c>
      <c r="F45" s="164" t="str">
        <f ca="1">IF(ROWS($1:32)&gt;COUNT(Dong1),"",IF(OFFSET(TH!O$1,SMALL(Dong1,ROWS($1:32)),)="1111",OFFSET(TH!N$1,SMALL(Dong1,ROWS($1:32)),),OFFSET(TH!O$1,SMALL(Dong1,ROWS($1:32)),)))</f>
        <v>1388</v>
      </c>
      <c r="G45" s="165">
        <f ca="1">IF(ROWS($1:32)&gt;COUNT(Dong1),"",IF(OFFSET(TH!N$1,SMALL(Dong1,ROWS($1:32)),)="1111",OFFSET(TH!M$1,SMALL(Dong1,ROWS($1:32)),),0))</f>
        <v>0</v>
      </c>
      <c r="H45" s="163">
        <f ca="1">IF(ROWS($1:32)&gt;COUNT(Dong1),"",IF(OFFSET(TH!O$1,SMALL(Dong1,ROWS($1:32)),)="1111",OFFSET(TH!M$1,SMALL(Dong1,ROWS($1:32)),),0))</f>
        <v>100000000</v>
      </c>
      <c r="I45" s="161">
        <f t="shared" ref="I45:I51" ca="1" si="1">IF(E45&lt;&gt;"",I44+G45-H45,0)</f>
        <v>-138565767</v>
      </c>
      <c r="J45" s="166"/>
    </row>
    <row r="46" spans="1:10" ht="23.25" customHeight="1">
      <c r="A46" s="160">
        <f ca="1">IF(ROWS($1:33)&gt;COUNT(Dong1),"",OFFSET(TH!C$1,SMALL(Dong1,ROWS($1:33)),))</f>
        <v>42720</v>
      </c>
      <c r="B46" s="160">
        <f ca="1">IF(ROWS($1:33)&gt;COUNT(Dong1),"",OFFSET(TH!E$1,SMALL(Dong1,ROWS($1:33)),))</f>
        <v>42720</v>
      </c>
      <c r="C46" s="161" t="str">
        <f ca="1">IF(ROWS($1:33)&gt;COUNT(Dong1),"",IF(OFFSET(TH!N$1,SMALL(Dong1,ROWS($1:33)),)="1111",OFFSET(TH!D$1,SMALL(Dong1,ROWS($1:33)),),""))</f>
        <v/>
      </c>
      <c r="D46" s="162" t="str">
        <f ca="1">IF(ROWS($1:33)&gt;COUNT(Dong1),"",IF(OFFSET(TH!O$1,SMALL(Dong1,ROWS($1:33)),)="1111",OFFSET(TH!D$1,SMALL(Dong1,ROWS($1:33)),),""))</f>
        <v>C51</v>
      </c>
      <c r="E46" s="349" t="str">
        <f ca="1">IF(ROWS($1:33)&gt;COUNT(Dong1),"",OFFSET(TH!F$1,SMALL(Dong1,ROWS($1:33)),))</f>
        <v>Thanh toán tiền thùng carton</v>
      </c>
      <c r="F46" s="164" t="str">
        <f ca="1">IF(ROWS($1:33)&gt;COUNT(Dong1),"",IF(OFFSET(TH!O$1,SMALL(Dong1,ROWS($1:33)),)="1111",OFFSET(TH!N$1,SMALL(Dong1,ROWS($1:33)),),OFFSET(TH!O$1,SMALL(Dong1,ROWS($1:33)),)))</f>
        <v>331</v>
      </c>
      <c r="G46" s="165">
        <f ca="1">IF(ROWS($1:33)&gt;COUNT(Dong1),"",IF(OFFSET(TH!N$1,SMALL(Dong1,ROWS($1:33)),)="1111",OFFSET(TH!M$1,SMALL(Dong1,ROWS($1:33)),),0))</f>
        <v>0</v>
      </c>
      <c r="H46" s="163">
        <f ca="1">IF(ROWS($1:33)&gt;COUNT(Dong1),"",IF(OFFSET(TH!O$1,SMALL(Dong1,ROWS($1:33)),)="1111",OFFSET(TH!M$1,SMALL(Dong1,ROWS($1:33)),),0))</f>
        <v>19800000</v>
      </c>
      <c r="I46" s="161">
        <f t="shared" ca="1" si="1"/>
        <v>-158365767</v>
      </c>
      <c r="J46" s="166"/>
    </row>
    <row r="47" spans="1:10" ht="23.25" customHeight="1">
      <c r="A47" s="160">
        <f ca="1">IF(ROWS($1:34)&gt;COUNT(Dong1),"",OFFSET(TH!C$1,SMALL(Dong1,ROWS($1:34)),))</f>
        <v>42724</v>
      </c>
      <c r="B47" s="160">
        <f ca="1">IF(ROWS($1:34)&gt;COUNT(Dong1),"",OFFSET(TH!E$1,SMALL(Dong1,ROWS($1:34)),))</f>
        <v>42724</v>
      </c>
      <c r="C47" s="161" t="str">
        <f ca="1">IF(ROWS($1:34)&gt;COUNT(Dong1),"",IF(OFFSET(TH!N$1,SMALL(Dong1,ROWS($1:34)),)="1111",OFFSET(TH!D$1,SMALL(Dong1,ROWS($1:34)),),""))</f>
        <v/>
      </c>
      <c r="D47" s="162" t="str">
        <f ca="1">IF(ROWS($1:34)&gt;COUNT(Dong1),"",IF(OFFSET(TH!O$1,SMALL(Dong1,ROWS($1:34)),)="1111",OFFSET(TH!D$1,SMALL(Dong1,ROWS($1:34)),),""))</f>
        <v>C66</v>
      </c>
      <c r="E47" s="349" t="str">
        <f ca="1">IF(ROWS($1:34)&gt;COUNT(Dong1),"",OFFSET(TH!F$1,SMALL(Dong1,ROWS($1:34)),))</f>
        <v>Thanh toán tiền thùng carton</v>
      </c>
      <c r="F47" s="164" t="str">
        <f ca="1">IF(ROWS($1:34)&gt;COUNT(Dong1),"",IF(OFFSET(TH!O$1,SMALL(Dong1,ROWS($1:34)),)="1111",OFFSET(TH!N$1,SMALL(Dong1,ROWS($1:34)),),OFFSET(TH!O$1,SMALL(Dong1,ROWS($1:34)),)))</f>
        <v>331</v>
      </c>
      <c r="G47" s="165">
        <f ca="1">IF(ROWS($1:34)&gt;COUNT(Dong1),"",IF(OFFSET(TH!N$1,SMALL(Dong1,ROWS($1:34)),)="1111",OFFSET(TH!M$1,SMALL(Dong1,ROWS($1:34)),),0))</f>
        <v>0</v>
      </c>
      <c r="H47" s="163">
        <f ca="1">IF(ROWS($1:34)&gt;COUNT(Dong1),"",IF(OFFSET(TH!O$1,SMALL(Dong1,ROWS($1:34)),)="1111",OFFSET(TH!M$1,SMALL(Dong1,ROWS($1:34)),),0))</f>
        <v>19800000</v>
      </c>
      <c r="I47" s="161">
        <f ca="1">IF(E47&lt;&gt;"",I46+G47-H47,0)</f>
        <v>-178165767</v>
      </c>
      <c r="J47" s="166"/>
    </row>
    <row r="48" spans="1:10" ht="23.25" customHeight="1">
      <c r="A48" s="160">
        <f ca="1">IF(ROWS($1:35)&gt;COUNT(Dong1),"",OFFSET(TH!C$1,SMALL(Dong1,ROWS($1:35)),))</f>
        <v>42721</v>
      </c>
      <c r="B48" s="160">
        <f ca="1">IF(ROWS($1:35)&gt;COUNT(Dong1),"",OFFSET(TH!E$1,SMALL(Dong1,ROWS($1:35)),))</f>
        <v>42721</v>
      </c>
      <c r="C48" s="161" t="str">
        <f ca="1">IF(ROWS($1:35)&gt;COUNT(Dong1),"",IF(OFFSET(TH!N$1,SMALL(Dong1,ROWS($1:35)),)="1111",OFFSET(TH!D$1,SMALL(Dong1,ROWS($1:35)),),""))</f>
        <v/>
      </c>
      <c r="D48" s="162" t="str">
        <f ca="1">IF(ROWS($1:35)&gt;COUNT(Dong1),"",IF(OFFSET(TH!O$1,SMALL(Dong1,ROWS($1:35)),)="1111",OFFSET(TH!D$1,SMALL(Dong1,ROWS($1:35)),),""))</f>
        <v>C55</v>
      </c>
      <c r="E48" s="349" t="str">
        <f ca="1">IF(ROWS($1:35)&gt;COUNT(Dong1),"",OFFSET(TH!F$1,SMALL(Dong1,ROWS($1:35)),))</f>
        <v>Thanh toán tiền thùng carton</v>
      </c>
      <c r="F48" s="164" t="str">
        <f ca="1">IF(ROWS($1:35)&gt;COUNT(Dong1),"",IF(OFFSET(TH!O$1,SMALL(Dong1,ROWS($1:35)),)="1111",OFFSET(TH!N$1,SMALL(Dong1,ROWS($1:35)),),OFFSET(TH!O$1,SMALL(Dong1,ROWS($1:35)),)))</f>
        <v>331</v>
      </c>
      <c r="G48" s="165">
        <f ca="1">IF(ROWS($1:35)&gt;COUNT(Dong1),"",IF(OFFSET(TH!N$1,SMALL(Dong1,ROWS($1:35)),)="1111",OFFSET(TH!M$1,SMALL(Dong1,ROWS($1:35)),),0))</f>
        <v>0</v>
      </c>
      <c r="H48" s="163">
        <f ca="1">IF(ROWS($1:35)&gt;COUNT(Dong1),"",IF(OFFSET(TH!O$1,SMALL(Dong1,ROWS($1:35)),)="1111",OFFSET(TH!M$1,SMALL(Dong1,ROWS($1:35)),),0))</f>
        <v>1485000</v>
      </c>
      <c r="I48" s="161">
        <f t="shared" ca="1" si="1"/>
        <v>-179650767</v>
      </c>
      <c r="J48" s="166"/>
    </row>
    <row r="49" spans="1:10" ht="23.25" customHeight="1">
      <c r="A49" s="160">
        <f ca="1">IF(ROWS($1:36)&gt;COUNT(Dong1),"",OFFSET(TH!C$1,SMALL(Dong1,ROWS($1:36)),))</f>
        <v>42705</v>
      </c>
      <c r="B49" s="160">
        <f ca="1">IF(ROWS($1:36)&gt;COUNT(Dong1),"",OFFSET(TH!E$1,SMALL(Dong1,ROWS($1:36)),))</f>
        <v>42705</v>
      </c>
      <c r="C49" s="161" t="str">
        <f ca="1">IF(ROWS($1:36)&gt;COUNT(Dong1),"",IF(OFFSET(TH!N$1,SMALL(Dong1,ROWS($1:36)),)="1111",OFFSET(TH!D$1,SMALL(Dong1,ROWS($1:36)),),""))</f>
        <v/>
      </c>
      <c r="D49" s="162" t="str">
        <f ca="1">IF(ROWS($1:36)&gt;COUNT(Dong1),"",IF(OFFSET(TH!O$1,SMALL(Dong1,ROWS($1:36)),)="1111",OFFSET(TH!D$1,SMALL(Dong1,ROWS($1:36)),),""))</f>
        <v>C02</v>
      </c>
      <c r="E49" s="349" t="str">
        <f ca="1">IF(ROWS($1:36)&gt;COUNT(Dong1),"",OFFSET(TH!F$1,SMALL(Dong1,ROWS($1:36)),))</f>
        <v>Phí nâng hạ</v>
      </c>
      <c r="F49" s="164" t="str">
        <f ca="1">IF(ROWS($1:36)&gt;COUNT(Dong1),"",IF(OFFSET(TH!O$1,SMALL(Dong1,ROWS($1:36)),)="1111",OFFSET(TH!N$1,SMALL(Dong1,ROWS($1:36)),),OFFSET(TH!O$1,SMALL(Dong1,ROWS($1:36)),)))</f>
        <v>642</v>
      </c>
      <c r="G49" s="165">
        <f ca="1">IF(ROWS($1:36)&gt;COUNT(Dong1),"",IF(OFFSET(TH!N$1,SMALL(Dong1,ROWS($1:36)),)="1111",OFFSET(TH!M$1,SMALL(Dong1,ROWS($1:36)),),0))</f>
        <v>0</v>
      </c>
      <c r="H49" s="163">
        <f ca="1">IF(ROWS($1:36)&gt;COUNT(Dong1),"",IF(OFFSET(TH!O$1,SMALL(Dong1,ROWS($1:36)),)="1111",OFFSET(TH!M$1,SMALL(Dong1,ROWS($1:36)),),0))</f>
        <v>372727</v>
      </c>
      <c r="I49" s="161">
        <f t="shared" ca="1" si="1"/>
        <v>-180023494</v>
      </c>
      <c r="J49" s="166"/>
    </row>
    <row r="50" spans="1:10" ht="23.25" customHeight="1">
      <c r="A50" s="160">
        <f ca="1">IF(ROWS($1:37)&gt;COUNT(Dong1),"",OFFSET(TH!C$1,SMALL(Dong1,ROWS($1:37)),))</f>
        <v>42705</v>
      </c>
      <c r="B50" s="160">
        <f ca="1">IF(ROWS($1:37)&gt;COUNT(Dong1),"",OFFSET(TH!E$1,SMALL(Dong1,ROWS($1:37)),))</f>
        <v>42705</v>
      </c>
      <c r="C50" s="161" t="str">
        <f ca="1">IF(ROWS($1:37)&gt;COUNT(Dong1),"",IF(OFFSET(TH!N$1,SMALL(Dong1,ROWS($1:37)),)="1111",OFFSET(TH!D$1,SMALL(Dong1,ROWS($1:37)),),""))</f>
        <v/>
      </c>
      <c r="D50" s="162" t="str">
        <f ca="1">IF(ROWS($1:37)&gt;COUNT(Dong1),"",IF(OFFSET(TH!O$1,SMALL(Dong1,ROWS($1:37)),)="1111",OFFSET(TH!D$1,SMALL(Dong1,ROWS($1:37)),),""))</f>
        <v>C02</v>
      </c>
      <c r="E50" s="349" t="str">
        <f ca="1">IF(ROWS($1:37)&gt;COUNT(Dong1),"",OFFSET(TH!F$1,SMALL(Dong1,ROWS($1:37)),))</f>
        <v>VAT Phí nâng hạ</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37273</v>
      </c>
      <c r="I50" s="161">
        <f t="shared" ca="1" si="1"/>
        <v>-180060767</v>
      </c>
      <c r="J50" s="166"/>
    </row>
    <row r="51" spans="1:10" ht="23.25" customHeight="1">
      <c r="A51" s="160">
        <f ca="1">IF(ROWS($1:38)&gt;COUNT(Dong1),"",OFFSET(TH!C$1,SMALL(Dong1,ROWS($1:38)),))</f>
        <v>42705</v>
      </c>
      <c r="B51" s="160">
        <f ca="1">IF(ROWS($1:38)&gt;COUNT(Dong1),"",OFFSET(TH!E$1,SMALL(Dong1,ROWS($1:38)),))</f>
        <v>42705</v>
      </c>
      <c r="C51" s="161" t="str">
        <f ca="1">IF(ROWS($1:38)&gt;COUNT(Dong1),"",IF(OFFSET(TH!N$1,SMALL(Dong1,ROWS($1:38)),)="1111",OFFSET(TH!D$1,SMALL(Dong1,ROWS($1:38)),),""))</f>
        <v/>
      </c>
      <c r="D51" s="162" t="str">
        <f ca="1">IF(ROWS($1:38)&gt;COUNT(Dong1),"",IF(OFFSET(TH!O$1,SMALL(Dong1,ROWS($1:38)),)="1111",OFFSET(TH!D$1,SMALL(Dong1,ROWS($1:38)),),""))</f>
        <v>C03</v>
      </c>
      <c r="E51" s="349" t="str">
        <f ca="1">IF(ROWS($1:38)&gt;COUNT(Dong1),"",OFFSET(TH!F$1,SMALL(Dong1,ROWS($1:38)),))</f>
        <v>Phí hạ bãi</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463636</v>
      </c>
      <c r="I51" s="161">
        <f t="shared" ca="1" si="1"/>
        <v>-180524403</v>
      </c>
      <c r="J51" s="166"/>
    </row>
    <row r="52" spans="1:10" ht="23.25" customHeight="1">
      <c r="A52" s="160">
        <f ca="1">IF(ROWS($1:39)&gt;COUNT(Dong1),"",OFFSET(TH!C$1,SMALL(Dong1,ROWS($1:39)),))</f>
        <v>42705</v>
      </c>
      <c r="B52" s="160">
        <f ca="1">IF(ROWS($1:39)&gt;COUNT(Dong1),"",OFFSET(TH!E$1,SMALL(Dong1,ROWS($1:39)),))</f>
        <v>42705</v>
      </c>
      <c r="C52" s="161" t="str">
        <f ca="1">IF(ROWS($1:39)&gt;COUNT(Dong1),"",IF(OFFSET(TH!N$1,SMALL(Dong1,ROWS($1:39)),)="1111",OFFSET(TH!D$1,SMALL(Dong1,ROWS($1:39)),),""))</f>
        <v/>
      </c>
      <c r="D52" s="162" t="str">
        <f ca="1">IF(ROWS($1:39)&gt;COUNT(Dong1),"",IF(OFFSET(TH!O$1,SMALL(Dong1,ROWS($1:39)),)="1111",OFFSET(TH!D$1,SMALL(Dong1,ROWS($1:39)),),""))</f>
        <v>C03</v>
      </c>
      <c r="E52" s="349" t="str">
        <f ca="1">IF(ROWS($1:39)&gt;COUNT(Dong1),"",OFFSET(TH!F$1,SMALL(Dong1,ROWS($1:39)),))</f>
        <v>VAT Phí hạ bãi</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46364</v>
      </c>
      <c r="I52" s="161">
        <f t="shared" ref="I52:I77" ca="1" si="2">IF(E52&lt;&gt;"",I51+G52-H52,0)</f>
        <v>-180570767</v>
      </c>
      <c r="J52" s="166"/>
    </row>
    <row r="53" spans="1:10" ht="23.25" customHeight="1">
      <c r="A53" s="160">
        <f ca="1">IF(ROWS($1:40)&gt;COUNT(Dong1),"",OFFSET(TH!C$1,SMALL(Dong1,ROWS($1:40)),))</f>
        <v>42705</v>
      </c>
      <c r="B53" s="160">
        <f ca="1">IF(ROWS($1:40)&gt;COUNT(Dong1),"",OFFSET(TH!E$1,SMALL(Dong1,ROWS($1:40)),))</f>
        <v>42705</v>
      </c>
      <c r="C53" s="161" t="str">
        <f ca="1">IF(ROWS($1:40)&gt;COUNT(Dong1),"",IF(OFFSET(TH!N$1,SMALL(Dong1,ROWS($1:40)),)="1111",OFFSET(TH!D$1,SMALL(Dong1,ROWS($1:40)),),""))</f>
        <v/>
      </c>
      <c r="D53" s="162" t="str">
        <f ca="1">IF(ROWS($1:40)&gt;COUNT(Dong1),"",IF(OFFSET(TH!O$1,SMALL(Dong1,ROWS($1:40)),)="1111",OFFSET(TH!D$1,SMALL(Dong1,ROWS($1:40)),),""))</f>
        <v>C04</v>
      </c>
      <c r="E53" s="349" t="str">
        <f ca="1">IF(ROWS($1:40)&gt;COUNT(Dong1),"",OFFSET(TH!F$1,SMALL(Dong1,ROWS($1:40)),))</f>
        <v>Phí hạ bãi</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11636364</v>
      </c>
      <c r="I53" s="161">
        <f t="shared" ca="1" si="2"/>
        <v>-192207131</v>
      </c>
      <c r="J53" s="166"/>
    </row>
    <row r="54" spans="1:10" ht="23.25" customHeight="1">
      <c r="A54" s="160">
        <f ca="1">IF(ROWS($1:41)&gt;COUNT(Dong1),"",OFFSET(TH!C$1,SMALL(Dong1,ROWS($1:41)),))</f>
        <v>42705</v>
      </c>
      <c r="B54" s="160">
        <f ca="1">IF(ROWS($1:41)&gt;COUNT(Dong1),"",OFFSET(TH!E$1,SMALL(Dong1,ROWS($1:41)),))</f>
        <v>42705</v>
      </c>
      <c r="C54" s="161" t="str">
        <f ca="1">IF(ROWS($1:41)&gt;COUNT(Dong1),"",IF(OFFSET(TH!N$1,SMALL(Dong1,ROWS($1:41)),)="1111",OFFSET(TH!D$1,SMALL(Dong1,ROWS($1:41)),),""))</f>
        <v/>
      </c>
      <c r="D54" s="162" t="str">
        <f ca="1">IF(ROWS($1:41)&gt;COUNT(Dong1),"",IF(OFFSET(TH!O$1,SMALL(Dong1,ROWS($1:41)),)="1111",OFFSET(TH!D$1,SMALL(Dong1,ROWS($1:41)),),""))</f>
        <v>C04</v>
      </c>
      <c r="E54" s="349" t="str">
        <f ca="1">IF(ROWS($1:41)&gt;COUNT(Dong1),"",OFFSET(TH!F$1,SMALL(Dong1,ROWS($1:41)),))</f>
        <v>VAT Phí hạ bãi</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1163636</v>
      </c>
      <c r="I54" s="161">
        <f t="shared" ca="1" si="2"/>
        <v>-193370767</v>
      </c>
      <c r="J54" s="166"/>
    </row>
    <row r="55" spans="1:10" ht="23.25" customHeight="1">
      <c r="A55" s="160">
        <f ca="1">IF(ROWS($1:42)&gt;COUNT(Dong1),"",OFFSET(TH!C$1,SMALL(Dong1,ROWS($1:42)),))</f>
        <v>42706</v>
      </c>
      <c r="B55" s="160">
        <f ca="1">IF(ROWS($1:42)&gt;COUNT(Dong1),"",OFFSET(TH!E$1,SMALL(Dong1,ROWS($1:42)),))</f>
        <v>42706</v>
      </c>
      <c r="C55" s="161" t="str">
        <f ca="1">IF(ROWS($1:42)&gt;COUNT(Dong1),"",IF(OFFSET(TH!N$1,SMALL(Dong1,ROWS($1:42)),)="1111",OFFSET(TH!D$1,SMALL(Dong1,ROWS($1:42)),),""))</f>
        <v/>
      </c>
      <c r="D55" s="162" t="str">
        <f ca="1">IF(ROWS($1:42)&gt;COUNT(Dong1),"",IF(OFFSET(TH!O$1,SMALL(Dong1,ROWS($1:42)),)="1111",OFFSET(TH!D$1,SMALL(Dong1,ROWS($1:42)),),""))</f>
        <v>C06</v>
      </c>
      <c r="E55" s="349" t="str">
        <f ca="1">IF(ROWS($1:42)&gt;COUNT(Dong1),"",OFFSET(TH!F$1,SMALL(Dong1,ROWS($1:42)),))</f>
        <v>Gas</v>
      </c>
      <c r="F55" s="164" t="str">
        <f ca="1">IF(ROWS($1:42)&gt;COUNT(Dong1),"",IF(OFFSET(TH!O$1,SMALL(Dong1,ROWS($1:42)),)="1111",OFFSET(TH!N$1,SMALL(Dong1,ROWS($1:42)),),OFFSET(TH!O$1,SMALL(Dong1,ROWS($1:42)),)))</f>
        <v>154</v>
      </c>
      <c r="G55" s="165">
        <f ca="1">IF(ROWS($1:42)&gt;COUNT(Dong1),"",IF(OFFSET(TH!N$1,SMALL(Dong1,ROWS($1:42)),)="1111",OFFSET(TH!M$1,SMALL(Dong1,ROWS($1:42)),),0))</f>
        <v>0</v>
      </c>
      <c r="H55" s="163">
        <f ca="1">IF(ROWS($1:42)&gt;COUNT(Dong1),"",IF(OFFSET(TH!O$1,SMALL(Dong1,ROWS($1:42)),)="1111",OFFSET(TH!M$1,SMALL(Dong1,ROWS($1:42)),),0))</f>
        <v>9404545.5</v>
      </c>
      <c r="I55" s="161">
        <f t="shared" ca="1" si="2"/>
        <v>-202775312.5</v>
      </c>
      <c r="J55" s="166"/>
    </row>
    <row r="56" spans="1:10" ht="23.25" customHeight="1">
      <c r="A56" s="160">
        <f ca="1">IF(ROWS($1:43)&gt;COUNT(Dong1),"",OFFSET(TH!C$1,SMALL(Dong1,ROWS($1:43)),))</f>
        <v>42706</v>
      </c>
      <c r="B56" s="160">
        <f ca="1">IF(ROWS($1:43)&gt;COUNT(Dong1),"",OFFSET(TH!E$1,SMALL(Dong1,ROWS($1:43)),))</f>
        <v>42706</v>
      </c>
      <c r="C56" s="161" t="str">
        <f ca="1">IF(ROWS($1:43)&gt;COUNT(Dong1),"",IF(OFFSET(TH!N$1,SMALL(Dong1,ROWS($1:43)),)="1111",OFFSET(TH!D$1,SMALL(Dong1,ROWS($1:43)),),""))</f>
        <v/>
      </c>
      <c r="D56" s="162" t="str">
        <f ca="1">IF(ROWS($1:43)&gt;COUNT(Dong1),"",IF(OFFSET(TH!O$1,SMALL(Dong1,ROWS($1:43)),)="1111",OFFSET(TH!D$1,SMALL(Dong1,ROWS($1:43)),),""))</f>
        <v>C06</v>
      </c>
      <c r="E56" s="349" t="str">
        <f ca="1">IF(ROWS($1:43)&gt;COUNT(Dong1),"",OFFSET(TH!F$1,SMALL(Dong1,ROWS($1:43)),))</f>
        <v>VAT Gas</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940455</v>
      </c>
      <c r="I56" s="161">
        <f t="shared" ca="1" si="2"/>
        <v>-203715767.5</v>
      </c>
      <c r="J56" s="166"/>
    </row>
    <row r="57" spans="1:10" ht="23.25" customHeight="1">
      <c r="A57" s="160">
        <f ca="1">IF(ROWS($1:44)&gt;COUNT(Dong1),"",OFFSET(TH!C$1,SMALL(Dong1,ROWS($1:44)),))</f>
        <v>42725</v>
      </c>
      <c r="B57" s="160">
        <f ca="1">IF(ROWS($1:44)&gt;COUNT(Dong1),"",OFFSET(TH!E$1,SMALL(Dong1,ROWS($1:44)),))</f>
        <v>42725</v>
      </c>
      <c r="C57" s="161" t="str">
        <f ca="1">IF(ROWS($1:44)&gt;COUNT(Dong1),"",IF(OFFSET(TH!N$1,SMALL(Dong1,ROWS($1:44)),)="1111",OFFSET(TH!D$1,SMALL(Dong1,ROWS($1:44)),),""))</f>
        <v/>
      </c>
      <c r="D57" s="162" t="str">
        <f ca="1">IF(ROWS($1:44)&gt;COUNT(Dong1),"",IF(OFFSET(TH!O$1,SMALL(Dong1,ROWS($1:44)),)="1111",OFFSET(TH!D$1,SMALL(Dong1,ROWS($1:44)),),""))</f>
        <v>C71</v>
      </c>
      <c r="E57" s="349" t="str">
        <f ca="1">IF(ROWS($1:44)&gt;COUNT(Dong1),"",OFFSET(TH!F$1,SMALL(Dong1,ROWS($1:44)),))</f>
        <v>Thanh toán tiền thùng carton</v>
      </c>
      <c r="F57" s="164" t="str">
        <f ca="1">IF(ROWS($1:44)&gt;COUNT(Dong1),"",IF(OFFSET(TH!O$1,SMALL(Dong1,ROWS($1:44)),)="1111",OFFSET(TH!N$1,SMALL(Dong1,ROWS($1:44)),),OFFSET(TH!O$1,SMALL(Dong1,ROWS($1:44)),)))</f>
        <v>331</v>
      </c>
      <c r="G57" s="165">
        <f ca="1">IF(ROWS($1:44)&gt;COUNT(Dong1),"",IF(OFFSET(TH!N$1,SMALL(Dong1,ROWS($1:44)),)="1111",OFFSET(TH!M$1,SMALL(Dong1,ROWS($1:44)),),0))</f>
        <v>0</v>
      </c>
      <c r="H57" s="163">
        <f ca="1">IF(ROWS($1:44)&gt;COUNT(Dong1),"",IF(OFFSET(TH!O$1,SMALL(Dong1,ROWS($1:44)),)="1111",OFFSET(TH!M$1,SMALL(Dong1,ROWS($1:44)),),0))</f>
        <v>19800000</v>
      </c>
      <c r="I57" s="161">
        <f t="shared" ca="1" si="2"/>
        <v>-223515767.5</v>
      </c>
      <c r="J57" s="166"/>
    </row>
    <row r="58" spans="1:10" ht="23.25" customHeight="1">
      <c r="A58" s="160">
        <f ca="1">IF(ROWS($1:45)&gt;COUNT(Dong1),"",OFFSET(TH!C$1,SMALL(Dong1,ROWS($1:45)),))</f>
        <v>42706</v>
      </c>
      <c r="B58" s="160">
        <f ca="1">IF(ROWS($1:45)&gt;COUNT(Dong1),"",OFFSET(TH!E$1,SMALL(Dong1,ROWS($1:45)),))</f>
        <v>42706</v>
      </c>
      <c r="C58" s="161" t="str">
        <f ca="1">IF(ROWS($1:45)&gt;COUNT(Dong1),"",IF(OFFSET(TH!N$1,SMALL(Dong1,ROWS($1:45)),)="1111",OFFSET(TH!D$1,SMALL(Dong1,ROWS($1:45)),),""))</f>
        <v/>
      </c>
      <c r="D58" s="162" t="str">
        <f ca="1">IF(ROWS($1:45)&gt;COUNT(Dong1),"",IF(OFFSET(TH!O$1,SMALL(Dong1,ROWS($1:45)),)="1111",OFFSET(TH!D$1,SMALL(Dong1,ROWS($1:45)),),""))</f>
        <v>C08</v>
      </c>
      <c r="E58" s="349" t="str">
        <f ca="1">IF(ROWS($1:45)&gt;COUNT(Dong1),"",OFFSET(TH!F$1,SMALL(Dong1,ROWS($1:45)),))</f>
        <v>Phí niêm chì</v>
      </c>
      <c r="F58" s="164" t="str">
        <f ca="1">IF(ROWS($1:45)&gt;COUNT(Dong1),"",IF(OFFSET(TH!O$1,SMALL(Dong1,ROWS($1:45)),)="1111",OFFSET(TH!N$1,SMALL(Dong1,ROWS($1:45)),),OFFSET(TH!O$1,SMALL(Dong1,ROWS($1:45)),)))</f>
        <v>641</v>
      </c>
      <c r="G58" s="165">
        <f ca="1">IF(ROWS($1:45)&gt;COUNT(Dong1),"",IF(OFFSET(TH!N$1,SMALL(Dong1,ROWS($1:45)),)="1111",OFFSET(TH!M$1,SMALL(Dong1,ROWS($1:45)),),0))</f>
        <v>0</v>
      </c>
      <c r="H58" s="163">
        <f ca="1">IF(ROWS($1:45)&gt;COUNT(Dong1),"",IF(OFFSET(TH!O$1,SMALL(Dong1,ROWS($1:45)),)="1111",OFFSET(TH!M$1,SMALL(Dong1,ROWS($1:45)),),0))</f>
        <v>170000</v>
      </c>
      <c r="I58" s="161">
        <f t="shared" ca="1" si="2"/>
        <v>-223685767.5</v>
      </c>
      <c r="J58" s="166"/>
    </row>
    <row r="59" spans="1:10" ht="23.25" customHeight="1">
      <c r="A59" s="160">
        <f ca="1">IF(ROWS($1:46)&gt;COUNT(Dong1),"",OFFSET(TH!C$1,SMALL(Dong1,ROWS($1:46)),))</f>
        <v>42706</v>
      </c>
      <c r="B59" s="160">
        <f ca="1">IF(ROWS($1:46)&gt;COUNT(Dong1),"",OFFSET(TH!E$1,SMALL(Dong1,ROWS($1:46)),))</f>
        <v>42706</v>
      </c>
      <c r="C59" s="161" t="str">
        <f ca="1">IF(ROWS($1:46)&gt;COUNT(Dong1),"",IF(OFFSET(TH!N$1,SMALL(Dong1,ROWS($1:46)),)="1111",OFFSET(TH!D$1,SMALL(Dong1,ROWS($1:46)),),""))</f>
        <v/>
      </c>
      <c r="D59" s="162" t="str">
        <f ca="1">IF(ROWS($1:46)&gt;COUNT(Dong1),"",IF(OFFSET(TH!O$1,SMALL(Dong1,ROWS($1:46)),)="1111",OFFSET(TH!D$1,SMALL(Dong1,ROWS($1:46)),),""))</f>
        <v>C08</v>
      </c>
      <c r="E59" s="349" t="str">
        <f ca="1">IF(ROWS($1:46)&gt;COUNT(Dong1),"",OFFSET(TH!F$1,SMALL(Dong1,ROWS($1:46)),))</f>
        <v>VAT Phí niêm chì</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8947</v>
      </c>
      <c r="I59" s="161">
        <f t="shared" ca="1" si="2"/>
        <v>-223694714.5</v>
      </c>
      <c r="J59" s="166"/>
    </row>
    <row r="60" spans="1:10" ht="23.25" customHeight="1">
      <c r="A60" s="160">
        <f ca="1">IF(ROWS($1:47)&gt;COUNT(Dong1),"",OFFSET(TH!C$1,SMALL(Dong1,ROWS($1:47)),))</f>
        <v>42706</v>
      </c>
      <c r="B60" s="160">
        <f ca="1">IF(ROWS($1:47)&gt;COUNT(Dong1),"",OFFSET(TH!E$1,SMALL(Dong1,ROWS($1:47)),))</f>
        <v>42706</v>
      </c>
      <c r="C60" s="161" t="str">
        <f ca="1">IF(ROWS($1:47)&gt;COUNT(Dong1),"",IF(OFFSET(TH!N$1,SMALL(Dong1,ROWS($1:47)),)="1111",OFFSET(TH!D$1,SMALL(Dong1,ROWS($1:47)),),""))</f>
        <v/>
      </c>
      <c r="D60" s="162" t="str">
        <f ca="1">IF(ROWS($1:47)&gt;COUNT(Dong1),"",IF(OFFSET(TH!O$1,SMALL(Dong1,ROWS($1:47)),)="1111",OFFSET(TH!D$1,SMALL(Dong1,ROWS($1:47)),),""))</f>
        <v>C09</v>
      </c>
      <c r="E60" s="349" t="str">
        <f ca="1">IF(ROWS($1:47)&gt;COUNT(Dong1),"",OFFSET(TH!F$1,SMALL(Dong1,ROWS($1:47)),))</f>
        <v>Phí hạ bãi</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8754545</v>
      </c>
      <c r="I60" s="161">
        <f t="shared" ca="1" si="2"/>
        <v>-232449259.5</v>
      </c>
      <c r="J60" s="166"/>
    </row>
    <row r="61" spans="1:10" ht="23.25" customHeight="1">
      <c r="A61" s="160">
        <f ca="1">IF(ROWS($1:48)&gt;COUNT(Dong1),"",OFFSET(TH!C$1,SMALL(Dong1,ROWS($1:48)),))</f>
        <v>42706</v>
      </c>
      <c r="B61" s="160">
        <f ca="1">IF(ROWS($1:48)&gt;COUNT(Dong1),"",OFFSET(TH!E$1,SMALL(Dong1,ROWS($1:48)),))</f>
        <v>42706</v>
      </c>
      <c r="C61" s="161" t="str">
        <f ca="1">IF(ROWS($1:48)&gt;COUNT(Dong1),"",IF(OFFSET(TH!N$1,SMALL(Dong1,ROWS($1:48)),)="1111",OFFSET(TH!D$1,SMALL(Dong1,ROWS($1:48)),),""))</f>
        <v/>
      </c>
      <c r="D61" s="162" t="str">
        <f ca="1">IF(ROWS($1:48)&gt;COUNT(Dong1),"",IF(OFFSET(TH!O$1,SMALL(Dong1,ROWS($1:48)),)="1111",OFFSET(TH!D$1,SMALL(Dong1,ROWS($1:48)),),""))</f>
        <v>C09</v>
      </c>
      <c r="E61" s="349" t="str">
        <f ca="1">IF(ROWS($1:48)&gt;COUNT(Dong1),"",OFFSET(TH!F$1,SMALL(Dong1,ROWS($1:48)),))</f>
        <v>VAT Phí hạ bãi</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875455</v>
      </c>
      <c r="I61" s="161">
        <f t="shared" ca="1" si="2"/>
        <v>-233324714.5</v>
      </c>
      <c r="J61" s="166"/>
    </row>
    <row r="62" spans="1:10" ht="23.25" customHeight="1">
      <c r="A62" s="160">
        <f ca="1">IF(ROWS($1:49)&gt;COUNT(Dong1),"",OFFSET(TH!C$1,SMALL(Dong1,ROWS($1:49)),))</f>
        <v>42707</v>
      </c>
      <c r="B62" s="160">
        <f ca="1">IF(ROWS($1:49)&gt;COUNT(Dong1),"",OFFSET(TH!E$1,SMALL(Dong1,ROWS($1:49)),))</f>
        <v>42707</v>
      </c>
      <c r="C62" s="161" t="str">
        <f ca="1">IF(ROWS($1:49)&gt;COUNT(Dong1),"",IF(OFFSET(TH!N$1,SMALL(Dong1,ROWS($1:49)),)="1111",OFFSET(TH!D$1,SMALL(Dong1,ROWS($1:49)),),""))</f>
        <v>T02</v>
      </c>
      <c r="D62" s="162" t="str">
        <f ca="1">IF(ROWS($1:49)&gt;COUNT(Dong1),"",IF(OFFSET(TH!O$1,SMALL(Dong1,ROWS($1:49)),)="1111",OFFSET(TH!D$1,SMALL(Dong1,ROWS($1:49)),),""))</f>
        <v/>
      </c>
      <c r="E62" s="349" t="str">
        <f ca="1">IF(ROWS($1:49)&gt;COUNT(Dong1),"",OFFSET(TH!F$1,SMALL(Dong1,ROWS($1:49)),))</f>
        <v>Rút tiền gửi NH nhập quỹ TM</v>
      </c>
      <c r="F62" s="164" t="str">
        <f ca="1">IF(ROWS($1:49)&gt;COUNT(Dong1),"",IF(OFFSET(TH!O$1,SMALL(Dong1,ROWS($1:49)),)="1111",OFFSET(TH!N$1,SMALL(Dong1,ROWS($1:49)),),OFFSET(TH!O$1,SMALL(Dong1,ROWS($1:49)),)))</f>
        <v>1121</v>
      </c>
      <c r="G62" s="165">
        <f ca="1">IF(ROWS($1:49)&gt;COUNT(Dong1),"",IF(OFFSET(TH!N$1,SMALL(Dong1,ROWS($1:49)),)="1111",OFFSET(TH!M$1,SMALL(Dong1,ROWS($1:49)),),0))</f>
        <v>760000000</v>
      </c>
      <c r="H62" s="163">
        <f ca="1">IF(ROWS($1:49)&gt;COUNT(Dong1),"",IF(OFFSET(TH!O$1,SMALL(Dong1,ROWS($1:49)),)="1111",OFFSET(TH!M$1,SMALL(Dong1,ROWS($1:49)),),0))</f>
        <v>0</v>
      </c>
      <c r="I62" s="161">
        <f t="shared" ca="1" si="2"/>
        <v>526675285.5</v>
      </c>
      <c r="J62" s="166"/>
    </row>
    <row r="63" spans="1:10" ht="23.25" customHeight="1">
      <c r="A63" s="160">
        <f ca="1">IF(ROWS($1:50)&gt;COUNT(Dong1),"",OFFSET(TH!C$1,SMALL(Dong1,ROWS($1:50)),))</f>
        <v>42709</v>
      </c>
      <c r="B63" s="160">
        <f ca="1">IF(ROWS($1:50)&gt;COUNT(Dong1),"",OFFSET(TH!E$1,SMALL(Dong1,ROWS($1:50)),))</f>
        <v>42709</v>
      </c>
      <c r="C63" s="161" t="str">
        <f ca="1">IF(ROWS($1:50)&gt;COUNT(Dong1),"",IF(OFFSET(TH!N$1,SMALL(Dong1,ROWS($1:50)),)="1111",OFFSET(TH!D$1,SMALL(Dong1,ROWS($1:50)),),""))</f>
        <v/>
      </c>
      <c r="D63" s="162" t="str">
        <f ca="1">IF(ROWS($1:50)&gt;COUNT(Dong1),"",IF(OFFSET(TH!O$1,SMALL(Dong1,ROWS($1:50)),)="1111",OFFSET(TH!D$1,SMALL(Dong1,ROWS($1:50)),),""))</f>
        <v>C11</v>
      </c>
      <c r="E63" s="349" t="str">
        <f ca="1">IF(ROWS($1:50)&gt;COUNT(Dong1),"",OFFSET(TH!F$1,SMALL(Dong1,ROWS($1:50)),))</f>
        <v>Xăng, dầu DO</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1199536</v>
      </c>
      <c r="I63" s="161">
        <f t="shared" ca="1" si="2"/>
        <v>525475749.5</v>
      </c>
      <c r="J63" s="166"/>
    </row>
    <row r="64" spans="1:10" ht="23.25" customHeight="1">
      <c r="A64" s="160">
        <f ca="1">IF(ROWS($1:51)&gt;COUNT(Dong1),"",OFFSET(TH!C$1,SMALL(Dong1,ROWS($1:51)),))</f>
        <v>42709</v>
      </c>
      <c r="B64" s="160">
        <f ca="1">IF(ROWS($1:51)&gt;COUNT(Dong1),"",OFFSET(TH!E$1,SMALL(Dong1,ROWS($1:51)),))</f>
        <v>42709</v>
      </c>
      <c r="C64" s="161" t="str">
        <f ca="1">IF(ROWS($1:51)&gt;COUNT(Dong1),"",IF(OFFSET(TH!N$1,SMALL(Dong1,ROWS($1:51)),)="1111",OFFSET(TH!D$1,SMALL(Dong1,ROWS($1:51)),),""))</f>
        <v/>
      </c>
      <c r="D64" s="162" t="str">
        <f ca="1">IF(ROWS($1:51)&gt;COUNT(Dong1),"",IF(OFFSET(TH!O$1,SMALL(Dong1,ROWS($1:51)),)="1111",OFFSET(TH!D$1,SMALL(Dong1,ROWS($1:51)),),""))</f>
        <v>C11</v>
      </c>
      <c r="E64" s="349" t="str">
        <f ca="1">IF(ROWS($1:51)&gt;COUNT(Dong1),"",OFFSET(TH!F$1,SMALL(Dong1,ROWS($1:51)),))</f>
        <v>VAT Xăng, dầu DO</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119954</v>
      </c>
      <c r="I64" s="161">
        <f t="shared" ca="1" si="2"/>
        <v>525355795.5</v>
      </c>
      <c r="J64" s="166"/>
    </row>
    <row r="65" spans="1:10" ht="23.25" customHeight="1">
      <c r="A65" s="160">
        <f ca="1">IF(ROWS($1:52)&gt;COUNT(Dong1),"",OFFSET(TH!C$1,SMALL(Dong1,ROWS($1:52)),))</f>
        <v>42709</v>
      </c>
      <c r="B65" s="160">
        <f ca="1">IF(ROWS($1:52)&gt;COUNT(Dong1),"",OFFSET(TH!E$1,SMALL(Dong1,ROWS($1:52)),))</f>
        <v>42709</v>
      </c>
      <c r="C65" s="161" t="str">
        <f ca="1">IF(ROWS($1:52)&gt;COUNT(Dong1),"",IF(OFFSET(TH!N$1,SMALL(Dong1,ROWS($1:52)),)="1111",OFFSET(TH!D$1,SMALL(Dong1,ROWS($1:52)),),""))</f>
        <v/>
      </c>
      <c r="D65" s="162" t="str">
        <f ca="1">IF(ROWS($1:52)&gt;COUNT(Dong1),"",IF(OFFSET(TH!O$1,SMALL(Dong1,ROWS($1:52)),)="1111",OFFSET(TH!D$1,SMALL(Dong1,ROWS($1:52)),),""))</f>
        <v>C12</v>
      </c>
      <c r="E65" s="349" t="str">
        <f ca="1">IF(ROWS($1:52)&gt;COUNT(Dong1),"",OFFSET(TH!F$1,SMALL(Dong1,ROWS($1:52)),))</f>
        <v>Thanh toán tiền đường</v>
      </c>
      <c r="F65" s="164" t="str">
        <f ca="1">IF(ROWS($1:52)&gt;COUNT(Dong1),"",IF(OFFSET(TH!O$1,SMALL(Dong1,ROWS($1:52)),)="1111",OFFSET(TH!N$1,SMALL(Dong1,ROWS($1:52)),),OFFSET(TH!O$1,SMALL(Dong1,ROWS($1:52)),)))</f>
        <v>331</v>
      </c>
      <c r="G65" s="165">
        <f ca="1">IF(ROWS($1:52)&gt;COUNT(Dong1),"",IF(OFFSET(TH!N$1,SMALL(Dong1,ROWS($1:52)),)="1111",OFFSET(TH!M$1,SMALL(Dong1,ROWS($1:52)),),0))</f>
        <v>0</v>
      </c>
      <c r="H65" s="163">
        <f ca="1">IF(ROWS($1:52)&gt;COUNT(Dong1),"",IF(OFFSET(TH!O$1,SMALL(Dong1,ROWS($1:52)),)="1111",OFFSET(TH!M$1,SMALL(Dong1,ROWS($1:52)),),0))</f>
        <v>18920000</v>
      </c>
      <c r="I65" s="161">
        <f t="shared" ca="1" si="2"/>
        <v>506435795.5</v>
      </c>
      <c r="J65" s="166"/>
    </row>
    <row r="66" spans="1:10" ht="23.25" customHeight="1">
      <c r="A66" s="160">
        <f ca="1">IF(ROWS($1:53)&gt;COUNT(Dong1),"",OFFSET(TH!C$1,SMALL(Dong1,ROWS($1:53)),))</f>
        <v>42709</v>
      </c>
      <c r="B66" s="160">
        <f ca="1">IF(ROWS($1:53)&gt;COUNT(Dong1),"",OFFSET(TH!E$1,SMALL(Dong1,ROWS($1:53)),))</f>
        <v>42709</v>
      </c>
      <c r="C66" s="161" t="str">
        <f ca="1">IF(ROWS($1:53)&gt;COUNT(Dong1),"",IF(OFFSET(TH!N$1,SMALL(Dong1,ROWS($1:53)),)="1111",OFFSET(TH!D$1,SMALL(Dong1,ROWS($1:53)),),""))</f>
        <v/>
      </c>
      <c r="D66" s="162" t="str">
        <f ca="1">IF(ROWS($1:53)&gt;COUNT(Dong1),"",IF(OFFSET(TH!O$1,SMALL(Dong1,ROWS($1:53)),)="1111",OFFSET(TH!D$1,SMALL(Dong1,ROWS($1:53)),),""))</f>
        <v>C13</v>
      </c>
      <c r="E66" s="349" t="str">
        <f ca="1">IF(ROWS($1:53)&gt;COUNT(Dong1),"",OFFSET(TH!F$1,SMALL(Dong1,ROWS($1:53)),))</f>
        <v>Thanh toán tiền bột ngọt</v>
      </c>
      <c r="F66" s="164" t="str">
        <f ca="1">IF(ROWS($1:53)&gt;COUNT(Dong1),"",IF(OFFSET(TH!O$1,SMALL(Dong1,ROWS($1:53)),)="1111",OFFSET(TH!N$1,SMALL(Dong1,ROWS($1:53)),),OFFSET(TH!O$1,SMALL(Dong1,ROWS($1:53)),)))</f>
        <v>331</v>
      </c>
      <c r="G66" s="165">
        <f ca="1">IF(ROWS($1:53)&gt;COUNT(Dong1),"",IF(OFFSET(TH!N$1,SMALL(Dong1,ROWS($1:53)),)="1111",OFFSET(TH!M$1,SMALL(Dong1,ROWS($1:53)),),0))</f>
        <v>0</v>
      </c>
      <c r="H66" s="163">
        <f ca="1">IF(ROWS($1:53)&gt;COUNT(Dong1),"",IF(OFFSET(TH!O$1,SMALL(Dong1,ROWS($1:53)),)="1111",OFFSET(TH!M$1,SMALL(Dong1,ROWS($1:53)),),0))</f>
        <v>19487270</v>
      </c>
      <c r="I66" s="161">
        <f t="shared" ca="1" si="2"/>
        <v>486948525.5</v>
      </c>
      <c r="J66" s="166"/>
    </row>
    <row r="67" spans="1:10" ht="23.25" customHeight="1">
      <c r="A67" s="160">
        <f ca="1">IF(ROWS($1:54)&gt;COUNT(Dong1),"",OFFSET(TH!C$1,SMALL(Dong1,ROWS($1:54)),))</f>
        <v>42709</v>
      </c>
      <c r="B67" s="160">
        <f ca="1">IF(ROWS($1:54)&gt;COUNT(Dong1),"",OFFSET(TH!E$1,SMALL(Dong1,ROWS($1:54)),))</f>
        <v>42709</v>
      </c>
      <c r="C67" s="161" t="str">
        <f ca="1">IF(ROWS($1:54)&gt;COUNT(Dong1),"",IF(OFFSET(TH!N$1,SMALL(Dong1,ROWS($1:54)),)="1111",OFFSET(TH!D$1,SMALL(Dong1,ROWS($1:54)),),""))</f>
        <v/>
      </c>
      <c r="D67" s="162" t="str">
        <f ca="1">IF(ROWS($1:54)&gt;COUNT(Dong1),"",IF(OFFSET(TH!O$1,SMALL(Dong1,ROWS($1:54)),)="1111",OFFSET(TH!D$1,SMALL(Dong1,ROWS($1:54)),),""))</f>
        <v>C15</v>
      </c>
      <c r="E67" s="349" t="str">
        <f ca="1">IF(ROWS($1:54)&gt;COUNT(Dong1),"",OFFSET(TH!F$1,SMALL(Dong1,ROWS($1:54)),))</f>
        <v>Cước VT - CNTT T11/2016</v>
      </c>
      <c r="F67" s="164" t="str">
        <f ca="1">IF(ROWS($1:54)&gt;COUNT(Dong1),"",IF(OFFSET(TH!O$1,SMALL(Dong1,ROWS($1:54)),)="1111",OFFSET(TH!N$1,SMALL(Dong1,ROWS($1:54)),),OFFSET(TH!O$1,SMALL(Dong1,ROWS($1:54)),)))</f>
        <v>642</v>
      </c>
      <c r="G67" s="165">
        <f ca="1">IF(ROWS($1:54)&gt;COUNT(Dong1),"",IF(OFFSET(TH!N$1,SMALL(Dong1,ROWS($1:54)),)="1111",OFFSET(TH!M$1,SMALL(Dong1,ROWS($1:54)),),0))</f>
        <v>0</v>
      </c>
      <c r="H67" s="163">
        <f ca="1">IF(ROWS($1:54)&gt;COUNT(Dong1),"",IF(OFFSET(TH!O$1,SMALL(Dong1,ROWS($1:54)),)="1111",OFFSET(TH!M$1,SMALL(Dong1,ROWS($1:54)),),0))</f>
        <v>2126012</v>
      </c>
      <c r="I67" s="161">
        <f t="shared" ca="1" si="2"/>
        <v>484822513.5</v>
      </c>
      <c r="J67" s="166"/>
    </row>
    <row r="68" spans="1:10" ht="23.25" customHeight="1">
      <c r="A68" s="160">
        <f ca="1">IF(ROWS($1:55)&gt;COUNT(Dong1),"",OFFSET(TH!C$1,SMALL(Dong1,ROWS($1:55)),))</f>
        <v>42709</v>
      </c>
      <c r="B68" s="160">
        <f ca="1">IF(ROWS($1:55)&gt;COUNT(Dong1),"",OFFSET(TH!E$1,SMALL(Dong1,ROWS($1:55)),))</f>
        <v>42709</v>
      </c>
      <c r="C68" s="161" t="str">
        <f ca="1">IF(ROWS($1:55)&gt;COUNT(Dong1),"",IF(OFFSET(TH!N$1,SMALL(Dong1,ROWS($1:55)),)="1111",OFFSET(TH!D$1,SMALL(Dong1,ROWS($1:55)),),""))</f>
        <v/>
      </c>
      <c r="D68" s="162" t="str">
        <f ca="1">IF(ROWS($1:55)&gt;COUNT(Dong1),"",IF(OFFSET(TH!O$1,SMALL(Dong1,ROWS($1:55)),)="1111",OFFSET(TH!D$1,SMALL(Dong1,ROWS($1:55)),),""))</f>
        <v>C15</v>
      </c>
      <c r="E68" s="349" t="str">
        <f ca="1">IF(ROWS($1:55)&gt;COUNT(Dong1),"",OFFSET(TH!F$1,SMALL(Dong1,ROWS($1:55)),))</f>
        <v>VAT Cước VT - CNTT T11/2016</v>
      </c>
      <c r="F68" s="164" t="str">
        <f ca="1">IF(ROWS($1:55)&gt;COUNT(Dong1),"",IF(OFFSET(TH!O$1,SMALL(Dong1,ROWS($1:55)),)="1111",OFFSET(TH!N$1,SMALL(Dong1,ROWS($1:55)),),OFFSET(TH!O$1,SMALL(Dong1,ROWS($1:55)),)))</f>
        <v>1331</v>
      </c>
      <c r="G68" s="165">
        <f ca="1">IF(ROWS($1:55)&gt;COUNT(Dong1),"",IF(OFFSET(TH!N$1,SMALL(Dong1,ROWS($1:55)),)="1111",OFFSET(TH!M$1,SMALL(Dong1,ROWS($1:55)),),0))</f>
        <v>0</v>
      </c>
      <c r="H68" s="163">
        <f ca="1">IF(ROWS($1:55)&gt;COUNT(Dong1),"",IF(OFFSET(TH!O$1,SMALL(Dong1,ROWS($1:55)),)="1111",OFFSET(TH!M$1,SMALL(Dong1,ROWS($1:55)),),0))</f>
        <v>212601</v>
      </c>
      <c r="I68" s="161">
        <f t="shared" ca="1" si="2"/>
        <v>484609912.5</v>
      </c>
      <c r="J68" s="166"/>
    </row>
    <row r="69" spans="1:10" ht="23.25" customHeight="1">
      <c r="A69" s="160">
        <f ca="1">IF(ROWS($1:56)&gt;COUNT(Dong1),"",OFFSET(TH!C$1,SMALL(Dong1,ROWS($1:56)),))</f>
        <v>42709</v>
      </c>
      <c r="B69" s="160">
        <f ca="1">IF(ROWS($1:56)&gt;COUNT(Dong1),"",OFFSET(TH!E$1,SMALL(Dong1,ROWS($1:56)),))</f>
        <v>42709</v>
      </c>
      <c r="C69" s="161" t="str">
        <f ca="1">IF(ROWS($1:56)&gt;COUNT(Dong1),"",IF(OFFSET(TH!N$1,SMALL(Dong1,ROWS($1:56)),)="1111",OFFSET(TH!D$1,SMALL(Dong1,ROWS($1:56)),),""))</f>
        <v/>
      </c>
      <c r="D69" s="162" t="str">
        <f ca="1">IF(ROWS($1:56)&gt;COUNT(Dong1),"",IF(OFFSET(TH!O$1,SMALL(Dong1,ROWS($1:56)),)="1111",OFFSET(TH!D$1,SMALL(Dong1,ROWS($1:56)),),""))</f>
        <v>C16</v>
      </c>
      <c r="E69" s="349" t="str">
        <f ca="1">IF(ROWS($1:56)&gt;COUNT(Dong1),"",OFFSET(TH!F$1,SMALL(Dong1,ROWS($1:56)),))</f>
        <v>Tạm ứng mua NL</v>
      </c>
      <c r="F69" s="164" t="str">
        <f ca="1">IF(ROWS($1:56)&gt;COUNT(Dong1),"",IF(OFFSET(TH!O$1,SMALL(Dong1,ROWS($1:56)),)="1111",OFFSET(TH!N$1,SMALL(Dong1,ROWS($1:56)),),OFFSET(TH!O$1,SMALL(Dong1,ROWS($1:56)),)))</f>
        <v>141</v>
      </c>
      <c r="G69" s="165">
        <f ca="1">IF(ROWS($1:56)&gt;COUNT(Dong1),"",IF(OFFSET(TH!N$1,SMALL(Dong1,ROWS($1:56)),)="1111",OFFSET(TH!M$1,SMALL(Dong1,ROWS($1:56)),),0))</f>
        <v>0</v>
      </c>
      <c r="H69" s="163">
        <f ca="1">IF(ROWS($1:56)&gt;COUNT(Dong1),"",IF(OFFSET(TH!O$1,SMALL(Dong1,ROWS($1:56)),)="1111",OFFSET(TH!M$1,SMALL(Dong1,ROWS($1:56)),),0))</f>
        <v>700000000</v>
      </c>
      <c r="I69" s="161">
        <f t="shared" ca="1" si="2"/>
        <v>-215390087.5</v>
      </c>
      <c r="J69" s="166"/>
    </row>
    <row r="70" spans="1:10" ht="23.25" customHeight="1">
      <c r="A70" s="160">
        <f ca="1">IF(ROWS($1:57)&gt;COUNT(Dong1),"",OFFSET(TH!C$1,SMALL(Dong1,ROWS($1:57)),))</f>
        <v>42710</v>
      </c>
      <c r="B70" s="160">
        <f ca="1">IF(ROWS($1:57)&gt;COUNT(Dong1),"",OFFSET(TH!E$1,SMALL(Dong1,ROWS($1:57)),))</f>
        <v>42710</v>
      </c>
      <c r="C70" s="161" t="str">
        <f ca="1">IF(ROWS($1:57)&gt;COUNT(Dong1),"",IF(OFFSET(TH!N$1,SMALL(Dong1,ROWS($1:57)),)="1111",OFFSET(TH!D$1,SMALL(Dong1,ROWS($1:57)),),""))</f>
        <v/>
      </c>
      <c r="D70" s="162" t="str">
        <f ca="1">IF(ROWS($1:57)&gt;COUNT(Dong1),"",IF(OFFSET(TH!O$1,SMALL(Dong1,ROWS($1:57)),)="1111",OFFSET(TH!D$1,SMALL(Dong1,ROWS($1:57)),),""))</f>
        <v>C17</v>
      </c>
      <c r="E70" s="349" t="str">
        <f ca="1">IF(ROWS($1:57)&gt;COUNT(Dong1),"",OFFSET(TH!F$1,SMALL(Dong1,ROWS($1:57)),))</f>
        <v>Nộp tiền mặt vào TK NH</v>
      </c>
      <c r="F70" s="164" t="str">
        <f ca="1">IF(ROWS($1:57)&gt;COUNT(Dong1),"",IF(OFFSET(TH!O$1,SMALL(Dong1,ROWS($1:57)),)="1111",OFFSET(TH!N$1,SMALL(Dong1,ROWS($1:57)),),OFFSET(TH!O$1,SMALL(Dong1,ROWS($1:57)),)))</f>
        <v>1121</v>
      </c>
      <c r="G70" s="165">
        <f ca="1">IF(ROWS($1:57)&gt;COUNT(Dong1),"",IF(OFFSET(TH!N$1,SMALL(Dong1,ROWS($1:57)),)="1111",OFFSET(TH!M$1,SMALL(Dong1,ROWS($1:57)),),0))</f>
        <v>0</v>
      </c>
      <c r="H70" s="163">
        <f ca="1">IF(ROWS($1:57)&gt;COUNT(Dong1),"",IF(OFFSET(TH!O$1,SMALL(Dong1,ROWS($1:57)),)="1111",OFFSET(TH!M$1,SMALL(Dong1,ROWS($1:57)),),0))</f>
        <v>900000000</v>
      </c>
      <c r="I70" s="161">
        <f t="shared" ref="I70:I73" ca="1" si="3">IF(E70&lt;&gt;"",I69+G70-H70,0)</f>
        <v>-1115390087.5</v>
      </c>
      <c r="J70" s="166"/>
    </row>
    <row r="71" spans="1:10" ht="23.25" customHeight="1">
      <c r="A71" s="160">
        <f ca="1">IF(ROWS($1:58)&gt;COUNT(Dong1),"",OFFSET(TH!C$1,SMALL(Dong1,ROWS($1:58)),))</f>
        <v>42726</v>
      </c>
      <c r="B71" s="160">
        <f ca="1">IF(ROWS($1:58)&gt;COUNT(Dong1),"",OFFSET(TH!E$1,SMALL(Dong1,ROWS($1:58)),))</f>
        <v>42726</v>
      </c>
      <c r="C71" s="161" t="str">
        <f ca="1">IF(ROWS($1:58)&gt;COUNT(Dong1),"",IF(OFFSET(TH!N$1,SMALL(Dong1,ROWS($1:58)),)="1111",OFFSET(TH!D$1,SMALL(Dong1,ROWS($1:58)),),""))</f>
        <v/>
      </c>
      <c r="D71" s="162" t="str">
        <f ca="1">IF(ROWS($1:58)&gt;COUNT(Dong1),"",IF(OFFSET(TH!O$1,SMALL(Dong1,ROWS($1:58)),)="1111",OFFSET(TH!D$1,SMALL(Dong1,ROWS($1:58)),),""))</f>
        <v>C77</v>
      </c>
      <c r="E71" s="349" t="str">
        <f ca="1">IF(ROWS($1:58)&gt;COUNT(Dong1),"",OFFSET(TH!F$1,SMALL(Dong1,ROWS($1:58)),))</f>
        <v>Thanh toán tiền thùng carton</v>
      </c>
      <c r="F71" s="164" t="str">
        <f ca="1">IF(ROWS($1:58)&gt;COUNT(Dong1),"",IF(OFFSET(TH!O$1,SMALL(Dong1,ROWS($1:58)),)="1111",OFFSET(TH!N$1,SMALL(Dong1,ROWS($1:58)),),OFFSET(TH!O$1,SMALL(Dong1,ROWS($1:58)),)))</f>
        <v>331</v>
      </c>
      <c r="G71" s="165">
        <f ca="1">IF(ROWS($1:58)&gt;COUNT(Dong1),"",IF(OFFSET(TH!N$1,SMALL(Dong1,ROWS($1:58)),)="1111",OFFSET(TH!M$1,SMALL(Dong1,ROWS($1:58)),),0))</f>
        <v>0</v>
      </c>
      <c r="H71" s="163">
        <f ca="1">IF(ROWS($1:58)&gt;COUNT(Dong1),"",IF(OFFSET(TH!O$1,SMALL(Dong1,ROWS($1:58)),)="1111",OFFSET(TH!M$1,SMALL(Dong1,ROWS($1:58)),),0))</f>
        <v>4537500</v>
      </c>
      <c r="I71" s="161">
        <f t="shared" ca="1" si="3"/>
        <v>-1119927587.5</v>
      </c>
      <c r="J71" s="166"/>
    </row>
    <row r="72" spans="1:10" ht="23.25" customHeight="1">
      <c r="A72" s="160">
        <f ca="1">IF(ROWS($1:59)&gt;COUNT(Dong1),"",OFFSET(TH!C$1,SMALL(Dong1,ROWS($1:59)),))</f>
        <v>42710</v>
      </c>
      <c r="B72" s="160">
        <f ca="1">IF(ROWS($1:59)&gt;COUNT(Dong1),"",OFFSET(TH!E$1,SMALL(Dong1,ROWS($1:59)),))</f>
        <v>42710</v>
      </c>
      <c r="C72" s="161" t="str">
        <f ca="1">IF(ROWS($1:59)&gt;COUNT(Dong1),"",IF(OFFSET(TH!N$1,SMALL(Dong1,ROWS($1:59)),)="1111",OFFSET(TH!D$1,SMALL(Dong1,ROWS($1:59)),),""))</f>
        <v/>
      </c>
      <c r="D72" s="162" t="str">
        <f ca="1">IF(ROWS($1:59)&gt;COUNT(Dong1),"",IF(OFFSET(TH!O$1,SMALL(Dong1,ROWS($1:59)),)="1111",OFFSET(TH!D$1,SMALL(Dong1,ROWS($1:59)),),""))</f>
        <v>C19</v>
      </c>
      <c r="E72" s="349" t="str">
        <f ca="1">IF(ROWS($1:59)&gt;COUNT(Dong1),"",OFFSET(TH!F$1,SMALL(Dong1,ROWS($1:59)),))</f>
        <v>Thanh toán tiền mè trắng</v>
      </c>
      <c r="F72" s="164" t="str">
        <f ca="1">IF(ROWS($1:59)&gt;COUNT(Dong1),"",IF(OFFSET(TH!O$1,SMALL(Dong1,ROWS($1:59)),)="1111",OFFSET(TH!N$1,SMALL(Dong1,ROWS($1:59)),),OFFSET(TH!O$1,SMALL(Dong1,ROWS($1:59)),)))</f>
        <v>331</v>
      </c>
      <c r="G72" s="165">
        <f ca="1">IF(ROWS($1:59)&gt;COUNT(Dong1),"",IF(OFFSET(TH!N$1,SMALL(Dong1,ROWS($1:59)),)="1111",OFFSET(TH!M$1,SMALL(Dong1,ROWS($1:59)),),0))</f>
        <v>0</v>
      </c>
      <c r="H72" s="163">
        <f ca="1">IF(ROWS($1:59)&gt;COUNT(Dong1),"",IF(OFFSET(TH!O$1,SMALL(Dong1,ROWS($1:59)),)="1111",OFFSET(TH!M$1,SMALL(Dong1,ROWS($1:59)),),0))</f>
        <v>19610000</v>
      </c>
      <c r="I72" s="161">
        <f t="shared" ca="1" si="3"/>
        <v>-1139537587.5</v>
      </c>
      <c r="J72" s="166"/>
    </row>
    <row r="73" spans="1:10" ht="23.25" customHeight="1">
      <c r="A73" s="160">
        <f ca="1">IF(ROWS($1:60)&gt;COUNT(Dong1),"",OFFSET(TH!C$1,SMALL(Dong1,ROWS($1:60)),))</f>
        <v>42710</v>
      </c>
      <c r="B73" s="160">
        <f ca="1">IF(ROWS($1:60)&gt;COUNT(Dong1),"",OFFSET(TH!E$1,SMALL(Dong1,ROWS($1:60)),))</f>
        <v>42710</v>
      </c>
      <c r="C73" s="161" t="str">
        <f ca="1">IF(ROWS($1:60)&gt;COUNT(Dong1),"",IF(OFFSET(TH!N$1,SMALL(Dong1,ROWS($1:60)),)="1111",OFFSET(TH!D$1,SMALL(Dong1,ROWS($1:60)),),""))</f>
        <v/>
      </c>
      <c r="D73" s="162" t="str">
        <f ca="1">IF(ROWS($1:60)&gt;COUNT(Dong1),"",IF(OFFSET(TH!O$1,SMALL(Dong1,ROWS($1:60)),)="1111",OFFSET(TH!D$1,SMALL(Dong1,ROWS($1:60)),),""))</f>
        <v>C21</v>
      </c>
      <c r="E73" s="349" t="str">
        <f ca="1">IF(ROWS($1:60)&gt;COUNT(Dong1),"",OFFSET(TH!F$1,SMALL(Dong1,ROWS($1:60)),))</f>
        <v>Thanh toán tiền bột ngọt</v>
      </c>
      <c r="F73" s="164" t="str">
        <f ca="1">IF(ROWS($1:60)&gt;COUNT(Dong1),"",IF(OFFSET(TH!O$1,SMALL(Dong1,ROWS($1:60)),)="1111",OFFSET(TH!N$1,SMALL(Dong1,ROWS($1:60)),),OFFSET(TH!O$1,SMALL(Dong1,ROWS($1:60)),)))</f>
        <v>331</v>
      </c>
      <c r="G73" s="165">
        <f ca="1">IF(ROWS($1:60)&gt;COUNT(Dong1),"",IF(OFFSET(TH!N$1,SMALL(Dong1,ROWS($1:60)),)="1111",OFFSET(TH!M$1,SMALL(Dong1,ROWS($1:60)),),0))</f>
        <v>0</v>
      </c>
      <c r="H73" s="163">
        <f ca="1">IF(ROWS($1:60)&gt;COUNT(Dong1),"",IF(OFFSET(TH!O$1,SMALL(Dong1,ROWS($1:60)),)="1111",OFFSET(TH!M$1,SMALL(Dong1,ROWS($1:60)),),0))</f>
        <v>17710000</v>
      </c>
      <c r="I73" s="161">
        <f t="shared" ca="1" si="3"/>
        <v>-1157247587.5</v>
      </c>
      <c r="J73" s="166"/>
    </row>
    <row r="74" spans="1:10" ht="23.25" customHeight="1">
      <c r="A74" s="160">
        <f ca="1">IF(ROWS($1:61)&gt;COUNT(Dong1),"",OFFSET(TH!C$1,SMALL(Dong1,ROWS($1:61)),))</f>
        <v>42710</v>
      </c>
      <c r="B74" s="160">
        <f ca="1">IF(ROWS($1:61)&gt;COUNT(Dong1),"",OFFSET(TH!E$1,SMALL(Dong1,ROWS($1:61)),))</f>
        <v>42710</v>
      </c>
      <c r="C74" s="161" t="str">
        <f ca="1">IF(ROWS($1:61)&gt;COUNT(Dong1),"",IF(OFFSET(TH!N$1,SMALL(Dong1,ROWS($1:61)),)="1111",OFFSET(TH!D$1,SMALL(Dong1,ROWS($1:61)),),""))</f>
        <v>T05</v>
      </c>
      <c r="D74" s="162" t="str">
        <f ca="1">IF(ROWS($1:61)&gt;COUNT(Dong1),"",IF(OFFSET(TH!O$1,SMALL(Dong1,ROWS($1:61)),)="1111",OFFSET(TH!D$1,SMALL(Dong1,ROWS($1:61)),),""))</f>
        <v/>
      </c>
      <c r="E74" s="349" t="str">
        <f ca="1">IF(ROWS($1:61)&gt;COUNT(Dong1),"",OFFSET(TH!F$1,SMALL(Dong1,ROWS($1:61)),))</f>
        <v>Rút tiền gửi NH nhập quỹ TM</v>
      </c>
      <c r="F74" s="164" t="str">
        <f ca="1">IF(ROWS($1:61)&gt;COUNT(Dong1),"",IF(OFFSET(TH!O$1,SMALL(Dong1,ROWS($1:61)),)="1111",OFFSET(TH!N$1,SMALL(Dong1,ROWS($1:61)),),OFFSET(TH!O$1,SMALL(Dong1,ROWS($1:61)),)))</f>
        <v>1121</v>
      </c>
      <c r="G74" s="165">
        <f ca="1">IF(ROWS($1:61)&gt;COUNT(Dong1),"",IF(OFFSET(TH!N$1,SMALL(Dong1,ROWS($1:61)),)="1111",OFFSET(TH!M$1,SMALL(Dong1,ROWS($1:61)),),0))</f>
        <v>2100000000</v>
      </c>
      <c r="H74" s="163">
        <f ca="1">IF(ROWS($1:61)&gt;COUNT(Dong1),"",IF(OFFSET(TH!O$1,SMALL(Dong1,ROWS($1:61)),)="1111",OFFSET(TH!M$1,SMALL(Dong1,ROWS($1:61)),),0))</f>
        <v>0</v>
      </c>
      <c r="I74" s="161">
        <f t="shared" ca="1" si="2"/>
        <v>942752412.5</v>
      </c>
      <c r="J74" s="166"/>
    </row>
    <row r="75" spans="1:10" ht="23.25" customHeight="1">
      <c r="A75" s="160">
        <f ca="1">IF(ROWS($1:62)&gt;COUNT(Dong1),"",OFFSET(TH!C$1,SMALL(Dong1,ROWS($1:62)),))</f>
        <v>42724</v>
      </c>
      <c r="B75" s="160">
        <f ca="1">IF(ROWS($1:62)&gt;COUNT(Dong1),"",OFFSET(TH!E$1,SMALL(Dong1,ROWS($1:62)),))</f>
        <v>42724</v>
      </c>
      <c r="C75" s="161" t="str">
        <f ca="1">IF(ROWS($1:62)&gt;COUNT(Dong1),"",IF(OFFSET(TH!N$1,SMALL(Dong1,ROWS($1:62)),)="1111",OFFSET(TH!D$1,SMALL(Dong1,ROWS($1:62)),),""))</f>
        <v/>
      </c>
      <c r="D75" s="162" t="str">
        <f ca="1">IF(ROWS($1:62)&gt;COUNT(Dong1),"",IF(OFFSET(TH!O$1,SMALL(Dong1,ROWS($1:62)),)="1111",OFFSET(TH!D$1,SMALL(Dong1,ROWS($1:62)),),""))</f>
        <v>C68</v>
      </c>
      <c r="E75" s="349" t="str">
        <f ca="1">IF(ROWS($1:62)&gt;COUNT(Dong1),"",OFFSET(TH!F$1,SMALL(Dong1,ROWS($1:62)),))</f>
        <v>Thanh toán tiền thùng carton</v>
      </c>
      <c r="F75" s="164" t="str">
        <f ca="1">IF(ROWS($1:62)&gt;COUNT(Dong1),"",IF(OFFSET(TH!O$1,SMALL(Dong1,ROWS($1:62)),)="1111",OFFSET(TH!N$1,SMALL(Dong1,ROWS($1:62)),),OFFSET(TH!O$1,SMALL(Dong1,ROWS($1:62)),)))</f>
        <v>331</v>
      </c>
      <c r="G75" s="165">
        <f ca="1">IF(ROWS($1:62)&gt;COUNT(Dong1),"",IF(OFFSET(TH!N$1,SMALL(Dong1,ROWS($1:62)),)="1111",OFFSET(TH!M$1,SMALL(Dong1,ROWS($1:62)),),0))</f>
        <v>0</v>
      </c>
      <c r="H75" s="163">
        <f ca="1">IF(ROWS($1:62)&gt;COUNT(Dong1),"",IF(OFFSET(TH!O$1,SMALL(Dong1,ROWS($1:62)),)="1111",OFFSET(TH!M$1,SMALL(Dong1,ROWS($1:62)),),0))</f>
        <v>19800000</v>
      </c>
      <c r="I75" s="161">
        <f t="shared" ca="1" si="2"/>
        <v>922952412.5</v>
      </c>
      <c r="J75" s="166"/>
    </row>
    <row r="76" spans="1:10" ht="23.25" customHeight="1">
      <c r="A76" s="160">
        <f ca="1">IF(ROWS($1:63)&gt;COUNT(Dong1),"",OFFSET(TH!C$1,SMALL(Dong1,ROWS($1:63)),))</f>
        <v>42711</v>
      </c>
      <c r="B76" s="160">
        <f ca="1">IF(ROWS($1:63)&gt;COUNT(Dong1),"",OFFSET(TH!E$1,SMALL(Dong1,ROWS($1:63)),))</f>
        <v>42711</v>
      </c>
      <c r="C76" s="161" t="str">
        <f ca="1">IF(ROWS($1:63)&gt;COUNT(Dong1),"",IF(OFFSET(TH!N$1,SMALL(Dong1,ROWS($1:63)),)="1111",OFFSET(TH!D$1,SMALL(Dong1,ROWS($1:63)),),""))</f>
        <v/>
      </c>
      <c r="D76" s="162" t="str">
        <f ca="1">IF(ROWS($1:63)&gt;COUNT(Dong1),"",IF(OFFSET(TH!O$1,SMALL(Dong1,ROWS($1:63)),)="1111",OFFSET(TH!D$1,SMALL(Dong1,ROWS($1:63)),),""))</f>
        <v>C23</v>
      </c>
      <c r="E76" s="349" t="str">
        <f ca="1">IF(ROWS($1:63)&gt;COUNT(Dong1),"",OFFSET(TH!F$1,SMALL(Dong1,ROWS($1:63)),))</f>
        <v>Thanh toán tiền mè trắng</v>
      </c>
      <c r="F76" s="164" t="str">
        <f ca="1">IF(ROWS($1:63)&gt;COUNT(Dong1),"",IF(OFFSET(TH!O$1,SMALL(Dong1,ROWS($1:63)),)="1111",OFFSET(TH!N$1,SMALL(Dong1,ROWS($1:63)),),OFFSET(TH!O$1,SMALL(Dong1,ROWS($1:63)),)))</f>
        <v>331</v>
      </c>
      <c r="G76" s="165">
        <f ca="1">IF(ROWS($1:63)&gt;COUNT(Dong1),"",IF(OFFSET(TH!N$1,SMALL(Dong1,ROWS($1:63)),)="1111",OFFSET(TH!M$1,SMALL(Dong1,ROWS($1:63)),),0))</f>
        <v>0</v>
      </c>
      <c r="H76" s="163">
        <f ca="1">IF(ROWS($1:63)&gt;COUNT(Dong1),"",IF(OFFSET(TH!O$1,SMALL(Dong1,ROWS($1:63)),)="1111",OFFSET(TH!M$1,SMALL(Dong1,ROWS($1:63)),),0))</f>
        <v>19610000</v>
      </c>
      <c r="I76" s="161">
        <f t="shared" ca="1" si="2"/>
        <v>903342412.5</v>
      </c>
      <c r="J76" s="166"/>
    </row>
    <row r="77" spans="1:10" ht="23.25" customHeight="1">
      <c r="A77" s="160">
        <f ca="1">IF(ROWS($1:64)&gt;COUNT(Dong1),"",OFFSET(TH!C$1,SMALL(Dong1,ROWS($1:64)),))</f>
        <v>42711</v>
      </c>
      <c r="B77" s="160">
        <f ca="1">IF(ROWS($1:64)&gt;COUNT(Dong1),"",OFFSET(TH!E$1,SMALL(Dong1,ROWS($1:64)),))</f>
        <v>42711</v>
      </c>
      <c r="C77" s="161" t="str">
        <f ca="1">IF(ROWS($1:64)&gt;COUNT(Dong1),"",IF(OFFSET(TH!N$1,SMALL(Dong1,ROWS($1:64)),)="1111",OFFSET(TH!D$1,SMALL(Dong1,ROWS($1:64)),),""))</f>
        <v/>
      </c>
      <c r="D77" s="162" t="str">
        <f ca="1">IF(ROWS($1:64)&gt;COUNT(Dong1),"",IF(OFFSET(TH!O$1,SMALL(Dong1,ROWS($1:64)),)="1111",OFFSET(TH!D$1,SMALL(Dong1,ROWS($1:64)),),""))</f>
        <v>C24</v>
      </c>
      <c r="E77" s="349" t="str">
        <f ca="1">IF(ROWS($1:64)&gt;COUNT(Dong1),"",OFFSET(TH!F$1,SMALL(Dong1,ROWS($1:64)),))</f>
        <v>Cước CPN</v>
      </c>
      <c r="F77" s="164" t="str">
        <f ca="1">IF(ROWS($1:64)&gt;COUNT(Dong1),"",IF(OFFSET(TH!O$1,SMALL(Dong1,ROWS($1:64)),)="1111",OFFSET(TH!N$1,SMALL(Dong1,ROWS($1:64)),),OFFSET(TH!O$1,SMALL(Dong1,ROWS($1:64)),)))</f>
        <v>642</v>
      </c>
      <c r="G77" s="165">
        <f ca="1">IF(ROWS($1:64)&gt;COUNT(Dong1),"",IF(OFFSET(TH!N$1,SMALL(Dong1,ROWS($1:64)),)="1111",OFFSET(TH!M$1,SMALL(Dong1,ROWS($1:64)),),0))</f>
        <v>0</v>
      </c>
      <c r="H77" s="163">
        <f ca="1">IF(ROWS($1:64)&gt;COUNT(Dong1),"",IF(OFFSET(TH!O$1,SMALL(Dong1,ROWS($1:64)),)="1111",OFFSET(TH!M$1,SMALL(Dong1,ROWS($1:64)),),0))</f>
        <v>900000</v>
      </c>
      <c r="I77" s="161">
        <f t="shared" ca="1" si="2"/>
        <v>902442412.5</v>
      </c>
      <c r="J77" s="166"/>
    </row>
    <row r="78" spans="1:10" ht="23.25" customHeight="1">
      <c r="A78" s="160">
        <f ca="1">IF(ROWS($1:65)&gt;COUNT(Dong1),"",OFFSET(TH!C$1,SMALL(Dong1,ROWS($1:65)),))</f>
        <v>42711</v>
      </c>
      <c r="B78" s="160">
        <f ca="1">IF(ROWS($1:65)&gt;COUNT(Dong1),"",OFFSET(TH!E$1,SMALL(Dong1,ROWS($1:65)),))</f>
        <v>42711</v>
      </c>
      <c r="C78" s="161" t="str">
        <f ca="1">IF(ROWS($1:65)&gt;COUNT(Dong1),"",IF(OFFSET(TH!N$1,SMALL(Dong1,ROWS($1:65)),)="1111",OFFSET(TH!D$1,SMALL(Dong1,ROWS($1:65)),),""))</f>
        <v/>
      </c>
      <c r="D78" s="162" t="str">
        <f ca="1">IF(ROWS($1:65)&gt;COUNT(Dong1),"",IF(OFFSET(TH!O$1,SMALL(Dong1,ROWS($1:65)),)="1111",OFFSET(TH!D$1,SMALL(Dong1,ROWS($1:65)),),""))</f>
        <v>C24</v>
      </c>
      <c r="E78" s="349" t="str">
        <f ca="1">IF(ROWS($1:65)&gt;COUNT(Dong1),"",OFFSET(TH!F$1,SMALL(Dong1,ROWS($1:65)),))</f>
        <v>VAT Cước CPN</v>
      </c>
      <c r="F78" s="164" t="str">
        <f ca="1">IF(ROWS($1:65)&gt;COUNT(Dong1),"",IF(OFFSET(TH!O$1,SMALL(Dong1,ROWS($1:65)),)="1111",OFFSET(TH!N$1,SMALL(Dong1,ROWS($1:65)),),OFFSET(TH!O$1,SMALL(Dong1,ROWS($1:65)),)))</f>
        <v>1331</v>
      </c>
      <c r="G78" s="165">
        <f ca="1">IF(ROWS($1:65)&gt;COUNT(Dong1),"",IF(OFFSET(TH!N$1,SMALL(Dong1,ROWS($1:65)),)="1111",OFFSET(TH!M$1,SMALL(Dong1,ROWS($1:65)),),0))</f>
        <v>0</v>
      </c>
      <c r="H78" s="163">
        <f ca="1">IF(ROWS($1:65)&gt;COUNT(Dong1),"",IF(OFFSET(TH!O$1,SMALL(Dong1,ROWS($1:65)),)="1111",OFFSET(TH!M$1,SMALL(Dong1,ROWS($1:65)),),0))</f>
        <v>90000</v>
      </c>
      <c r="I78" s="161">
        <f t="shared" ref="I78:I109" ca="1" si="4">IF(E78&lt;&gt;"",I77+G78-H78,0)</f>
        <v>902352412.5</v>
      </c>
      <c r="J78" s="166"/>
    </row>
    <row r="79" spans="1:10" ht="23.25" customHeight="1">
      <c r="A79" s="160">
        <f ca="1">IF(ROWS($1:66)&gt;COUNT(Dong1),"",OFFSET(TH!C$1,SMALL(Dong1,ROWS($1:66)),))</f>
        <v>42711</v>
      </c>
      <c r="B79" s="160">
        <f ca="1">IF(ROWS($1:66)&gt;COUNT(Dong1),"",OFFSET(TH!E$1,SMALL(Dong1,ROWS($1:66)),))</f>
        <v>42711</v>
      </c>
      <c r="C79" s="161" t="str">
        <f ca="1">IF(ROWS($1:66)&gt;COUNT(Dong1),"",IF(OFFSET(TH!N$1,SMALL(Dong1,ROWS($1:66)),)="1111",OFFSET(TH!D$1,SMALL(Dong1,ROWS($1:66)),),""))</f>
        <v/>
      </c>
      <c r="D79" s="162" t="str">
        <f ca="1">IF(ROWS($1:66)&gt;COUNT(Dong1),"",IF(OFFSET(TH!O$1,SMALL(Dong1,ROWS($1:66)),)="1111",OFFSET(TH!D$1,SMALL(Dong1,ROWS($1:66)),),""))</f>
        <v>C25</v>
      </c>
      <c r="E79" s="349" t="str">
        <f ca="1">IF(ROWS($1:66)&gt;COUNT(Dong1),"",OFFSET(TH!F$1,SMALL(Dong1,ROWS($1:66)),))</f>
        <v>Thuốc thử Clorine</v>
      </c>
      <c r="F79" s="164" t="str">
        <f ca="1">IF(ROWS($1:66)&gt;COUNT(Dong1),"",IF(OFFSET(TH!O$1,SMALL(Dong1,ROWS($1:66)),)="1111",OFFSET(TH!N$1,SMALL(Dong1,ROWS($1:66)),),OFFSET(TH!O$1,SMALL(Dong1,ROWS($1:66)),)))</f>
        <v>642</v>
      </c>
      <c r="G79" s="165">
        <f ca="1">IF(ROWS($1:66)&gt;COUNT(Dong1),"",IF(OFFSET(TH!N$1,SMALL(Dong1,ROWS($1:66)),)="1111",OFFSET(TH!M$1,SMALL(Dong1,ROWS($1:66)),),0))</f>
        <v>0</v>
      </c>
      <c r="H79" s="163">
        <f ca="1">IF(ROWS($1:66)&gt;COUNT(Dong1),"",IF(OFFSET(TH!O$1,SMALL(Dong1,ROWS($1:66)),)="1111",OFFSET(TH!M$1,SMALL(Dong1,ROWS($1:66)),),0))</f>
        <v>261818</v>
      </c>
      <c r="I79" s="161">
        <f t="shared" ca="1" si="4"/>
        <v>902090594.5</v>
      </c>
      <c r="J79" s="166"/>
    </row>
    <row r="80" spans="1:10" ht="23.25" customHeight="1">
      <c r="A80" s="160">
        <f ca="1">IF(ROWS($1:67)&gt;COUNT(Dong1),"",OFFSET(TH!C$1,SMALL(Dong1,ROWS($1:67)),))</f>
        <v>42711</v>
      </c>
      <c r="B80" s="160">
        <f ca="1">IF(ROWS($1:67)&gt;COUNT(Dong1),"",OFFSET(TH!E$1,SMALL(Dong1,ROWS($1:67)),))</f>
        <v>42711</v>
      </c>
      <c r="C80" s="161" t="str">
        <f ca="1">IF(ROWS($1:67)&gt;COUNT(Dong1),"",IF(OFFSET(TH!N$1,SMALL(Dong1,ROWS($1:67)),)="1111",OFFSET(TH!D$1,SMALL(Dong1,ROWS($1:67)),),""))</f>
        <v/>
      </c>
      <c r="D80" s="162" t="str">
        <f ca="1">IF(ROWS($1:67)&gt;COUNT(Dong1),"",IF(OFFSET(TH!O$1,SMALL(Dong1,ROWS($1:67)),)="1111",OFFSET(TH!D$1,SMALL(Dong1,ROWS($1:67)),),""))</f>
        <v>C25</v>
      </c>
      <c r="E80" s="349" t="str">
        <f ca="1">IF(ROWS($1:67)&gt;COUNT(Dong1),"",OFFSET(TH!F$1,SMALL(Dong1,ROWS($1:67)),))</f>
        <v>VAT Thuốc thử Clorine</v>
      </c>
      <c r="F80" s="164" t="str">
        <f ca="1">IF(ROWS($1:67)&gt;COUNT(Dong1),"",IF(OFFSET(TH!O$1,SMALL(Dong1,ROWS($1:67)),)="1111",OFFSET(TH!N$1,SMALL(Dong1,ROWS($1:67)),),OFFSET(TH!O$1,SMALL(Dong1,ROWS($1:67)),)))</f>
        <v>1331</v>
      </c>
      <c r="G80" s="165">
        <f ca="1">IF(ROWS($1:67)&gt;COUNT(Dong1),"",IF(OFFSET(TH!N$1,SMALL(Dong1,ROWS($1:67)),)="1111",OFFSET(TH!M$1,SMALL(Dong1,ROWS($1:67)),),0))</f>
        <v>0</v>
      </c>
      <c r="H80" s="163">
        <f ca="1">IF(ROWS($1:67)&gt;COUNT(Dong1),"",IF(OFFSET(TH!O$1,SMALL(Dong1,ROWS($1:67)),)="1111",OFFSET(TH!M$1,SMALL(Dong1,ROWS($1:67)),),0))</f>
        <v>26182</v>
      </c>
      <c r="I80" s="161">
        <f t="shared" ca="1" si="4"/>
        <v>902064412.5</v>
      </c>
      <c r="J80" s="166"/>
    </row>
    <row r="81" spans="1:10" ht="23.25" customHeight="1">
      <c r="A81" s="160">
        <f ca="1">IF(ROWS($1:68)&gt;COUNT(Dong1),"",OFFSET(TH!C$1,SMALL(Dong1,ROWS($1:68)),))</f>
        <v>42711</v>
      </c>
      <c r="B81" s="160">
        <f ca="1">IF(ROWS($1:68)&gt;COUNT(Dong1),"",OFFSET(TH!E$1,SMALL(Dong1,ROWS($1:68)),))</f>
        <v>42711</v>
      </c>
      <c r="C81" s="161" t="str">
        <f ca="1">IF(ROWS($1:68)&gt;COUNT(Dong1),"",IF(OFFSET(TH!N$1,SMALL(Dong1,ROWS($1:68)),)="1111",OFFSET(TH!D$1,SMALL(Dong1,ROWS($1:68)),),""))</f>
        <v/>
      </c>
      <c r="D81" s="162" t="str">
        <f ca="1">IF(ROWS($1:68)&gt;COUNT(Dong1),"",IF(OFFSET(TH!O$1,SMALL(Dong1,ROWS($1:68)),)="1111",OFFSET(TH!D$1,SMALL(Dong1,ROWS($1:68)),),""))</f>
        <v>C26</v>
      </c>
      <c r="E81" s="349" t="str">
        <f ca="1">IF(ROWS($1:68)&gt;COUNT(Dong1),"",OFFSET(TH!F$1,SMALL(Dong1,ROWS($1:68)),))</f>
        <v>Tạm ứng mua NL</v>
      </c>
      <c r="F81" s="164" t="str">
        <f ca="1">IF(ROWS($1:68)&gt;COUNT(Dong1),"",IF(OFFSET(TH!O$1,SMALL(Dong1,ROWS($1:68)),)="1111",OFFSET(TH!N$1,SMALL(Dong1,ROWS($1:68)),),OFFSET(TH!O$1,SMALL(Dong1,ROWS($1:68)),)))</f>
        <v>141</v>
      </c>
      <c r="G81" s="165">
        <f ca="1">IF(ROWS($1:68)&gt;COUNT(Dong1),"",IF(OFFSET(TH!N$1,SMALL(Dong1,ROWS($1:68)),)="1111",OFFSET(TH!M$1,SMALL(Dong1,ROWS($1:68)),),0))</f>
        <v>0</v>
      </c>
      <c r="H81" s="163">
        <f ca="1">IF(ROWS($1:68)&gt;COUNT(Dong1),"",IF(OFFSET(TH!O$1,SMALL(Dong1,ROWS($1:68)),)="1111",OFFSET(TH!M$1,SMALL(Dong1,ROWS($1:68)),),0))</f>
        <v>850000000</v>
      </c>
      <c r="I81" s="161">
        <f t="shared" ca="1" si="4"/>
        <v>52064412.5</v>
      </c>
      <c r="J81" s="166"/>
    </row>
    <row r="82" spans="1:10" ht="23.25" customHeight="1">
      <c r="A82" s="160">
        <f ca="1">IF(ROWS($1:69)&gt;COUNT(Dong1),"",OFFSET(TH!C$1,SMALL(Dong1,ROWS($1:69)),))</f>
        <v>42712</v>
      </c>
      <c r="B82" s="160">
        <f ca="1">IF(ROWS($1:69)&gt;COUNT(Dong1),"",OFFSET(TH!E$1,SMALL(Dong1,ROWS($1:69)),))</f>
        <v>42712</v>
      </c>
      <c r="C82" s="161" t="str">
        <f ca="1">IF(ROWS($1:69)&gt;COUNT(Dong1),"",IF(OFFSET(TH!N$1,SMALL(Dong1,ROWS($1:69)),)="1111",OFFSET(TH!D$1,SMALL(Dong1,ROWS($1:69)),),""))</f>
        <v/>
      </c>
      <c r="D82" s="162" t="str">
        <f ca="1">IF(ROWS($1:69)&gt;COUNT(Dong1),"",IF(OFFSET(TH!O$1,SMALL(Dong1,ROWS($1:69)),)="1111",OFFSET(TH!D$1,SMALL(Dong1,ROWS($1:69)),),""))</f>
        <v>C27</v>
      </c>
      <c r="E82" s="349" t="str">
        <f ca="1">IF(ROWS($1:69)&gt;COUNT(Dong1),"",OFFSET(TH!F$1,SMALL(Dong1,ROWS($1:69)),))</f>
        <v>Phí cấp cont</v>
      </c>
      <c r="F82" s="164" t="str">
        <f ca="1">IF(ROWS($1:69)&gt;COUNT(Dong1),"",IF(OFFSET(TH!O$1,SMALL(Dong1,ROWS($1:69)),)="1111",OFFSET(TH!N$1,SMALL(Dong1,ROWS($1:69)),),OFFSET(TH!O$1,SMALL(Dong1,ROWS($1:69)),)))</f>
        <v>642</v>
      </c>
      <c r="G82" s="165">
        <f ca="1">IF(ROWS($1:69)&gt;COUNT(Dong1),"",IF(OFFSET(TH!N$1,SMALL(Dong1,ROWS($1:69)),)="1111",OFFSET(TH!M$1,SMALL(Dong1,ROWS($1:69)),),0))</f>
        <v>0</v>
      </c>
      <c r="H82" s="163">
        <f ca="1">IF(ROWS($1:69)&gt;COUNT(Dong1),"",IF(OFFSET(TH!O$1,SMALL(Dong1,ROWS($1:69)),)="1111",OFFSET(TH!M$1,SMALL(Dong1,ROWS($1:69)),),0))</f>
        <v>1677273</v>
      </c>
      <c r="I82" s="161">
        <f t="shared" ca="1" si="4"/>
        <v>50387139.5</v>
      </c>
      <c r="J82" s="166"/>
    </row>
    <row r="83" spans="1:10" ht="23.25" customHeight="1">
      <c r="A83" s="160">
        <f ca="1">IF(ROWS($1:70)&gt;COUNT(Dong1),"",OFFSET(TH!C$1,SMALL(Dong1,ROWS($1:70)),))</f>
        <v>42712</v>
      </c>
      <c r="B83" s="160">
        <f ca="1">IF(ROWS($1:70)&gt;COUNT(Dong1),"",OFFSET(TH!E$1,SMALL(Dong1,ROWS($1:70)),))</f>
        <v>42712</v>
      </c>
      <c r="C83" s="161" t="str">
        <f ca="1">IF(ROWS($1:70)&gt;COUNT(Dong1),"",IF(OFFSET(TH!N$1,SMALL(Dong1,ROWS($1:70)),)="1111",OFFSET(TH!D$1,SMALL(Dong1,ROWS($1:70)),),""))</f>
        <v/>
      </c>
      <c r="D83" s="162" t="str">
        <f ca="1">IF(ROWS($1:70)&gt;COUNT(Dong1),"",IF(OFFSET(TH!O$1,SMALL(Dong1,ROWS($1:70)),)="1111",OFFSET(TH!D$1,SMALL(Dong1,ROWS($1:70)),),""))</f>
        <v>C27</v>
      </c>
      <c r="E83" s="349" t="str">
        <f ca="1">IF(ROWS($1:70)&gt;COUNT(Dong1),"",OFFSET(TH!F$1,SMALL(Dong1,ROWS($1:70)),))</f>
        <v>VAT Phí cấp cont</v>
      </c>
      <c r="F83" s="164" t="str">
        <f ca="1">IF(ROWS($1:70)&gt;COUNT(Dong1),"",IF(OFFSET(TH!O$1,SMALL(Dong1,ROWS($1:70)),)="1111",OFFSET(TH!N$1,SMALL(Dong1,ROWS($1:70)),),OFFSET(TH!O$1,SMALL(Dong1,ROWS($1:70)),)))</f>
        <v>1331</v>
      </c>
      <c r="G83" s="165">
        <f ca="1">IF(ROWS($1:70)&gt;COUNT(Dong1),"",IF(OFFSET(TH!N$1,SMALL(Dong1,ROWS($1:70)),)="1111",OFFSET(TH!M$1,SMALL(Dong1,ROWS($1:70)),),0))</f>
        <v>0</v>
      </c>
      <c r="H83" s="163">
        <f ca="1">IF(ROWS($1:70)&gt;COUNT(Dong1),"",IF(OFFSET(TH!O$1,SMALL(Dong1,ROWS($1:70)),)="1111",OFFSET(TH!M$1,SMALL(Dong1,ROWS($1:70)),),0))</f>
        <v>167727</v>
      </c>
      <c r="I83" s="161">
        <f t="shared" ca="1" si="4"/>
        <v>50219412.5</v>
      </c>
      <c r="J83" s="166"/>
    </row>
    <row r="84" spans="1:10" ht="23.25" customHeight="1">
      <c r="A84" s="160">
        <f ca="1">IF(ROWS($1:71)&gt;COUNT(Dong1),"",OFFSET(TH!C$1,SMALL(Dong1,ROWS($1:71)),))</f>
        <v>42712</v>
      </c>
      <c r="B84" s="160">
        <f ca="1">IF(ROWS($1:71)&gt;COUNT(Dong1),"",OFFSET(TH!E$1,SMALL(Dong1,ROWS($1:71)),))</f>
        <v>42712</v>
      </c>
      <c r="C84" s="161" t="str">
        <f ca="1">IF(ROWS($1:71)&gt;COUNT(Dong1),"",IF(OFFSET(TH!N$1,SMALL(Dong1,ROWS($1:71)),)="1111",OFFSET(TH!D$1,SMALL(Dong1,ROWS($1:71)),),""))</f>
        <v/>
      </c>
      <c r="D84" s="162" t="str">
        <f ca="1">IF(ROWS($1:71)&gt;COUNT(Dong1),"",IF(OFFSET(TH!O$1,SMALL(Dong1,ROWS($1:71)),)="1111",OFFSET(TH!D$1,SMALL(Dong1,ROWS($1:71)),),""))</f>
        <v>C28</v>
      </c>
      <c r="E84" s="349" t="str">
        <f ca="1">IF(ROWS($1:71)&gt;COUNT(Dong1),"",OFFSET(TH!F$1,SMALL(Dong1,ROWS($1:71)),))</f>
        <v>Phí nâng rỗng cont lạnh</v>
      </c>
      <c r="F84" s="164" t="str">
        <f ca="1">IF(ROWS($1:71)&gt;COUNT(Dong1),"",IF(OFFSET(TH!O$1,SMALL(Dong1,ROWS($1:71)),)="1111",OFFSET(TH!N$1,SMALL(Dong1,ROWS($1:71)),),OFFSET(TH!O$1,SMALL(Dong1,ROWS($1:71)),)))</f>
        <v>642</v>
      </c>
      <c r="G84" s="165">
        <f ca="1">IF(ROWS($1:71)&gt;COUNT(Dong1),"",IF(OFFSET(TH!N$1,SMALL(Dong1,ROWS($1:71)),)="1111",OFFSET(TH!M$1,SMALL(Dong1,ROWS($1:71)),),0))</f>
        <v>0</v>
      </c>
      <c r="H84" s="163">
        <f ca="1">IF(ROWS($1:71)&gt;COUNT(Dong1),"",IF(OFFSET(TH!O$1,SMALL(Dong1,ROWS($1:71)),)="1111",OFFSET(TH!M$1,SMALL(Dong1,ROWS($1:71)),),0))</f>
        <v>4909091</v>
      </c>
      <c r="I84" s="161">
        <f t="shared" ca="1" si="4"/>
        <v>45310321.5</v>
      </c>
      <c r="J84" s="166"/>
    </row>
    <row r="85" spans="1:10" ht="23.25" customHeight="1">
      <c r="A85" s="160">
        <f ca="1">IF(ROWS($1:72)&gt;COUNT(Dong1),"",OFFSET(TH!C$1,SMALL(Dong1,ROWS($1:72)),))</f>
        <v>42712</v>
      </c>
      <c r="B85" s="160">
        <f ca="1">IF(ROWS($1:72)&gt;COUNT(Dong1),"",OFFSET(TH!E$1,SMALL(Dong1,ROWS($1:72)),))</f>
        <v>42712</v>
      </c>
      <c r="C85" s="161" t="str">
        <f ca="1">IF(ROWS($1:72)&gt;COUNT(Dong1),"",IF(OFFSET(TH!N$1,SMALL(Dong1,ROWS($1:72)),)="1111",OFFSET(TH!D$1,SMALL(Dong1,ROWS($1:72)),),""))</f>
        <v/>
      </c>
      <c r="D85" s="162" t="str">
        <f ca="1">IF(ROWS($1:72)&gt;COUNT(Dong1),"",IF(OFFSET(TH!O$1,SMALL(Dong1,ROWS($1:72)),)="1111",OFFSET(TH!D$1,SMALL(Dong1,ROWS($1:72)),),""))</f>
        <v>C28</v>
      </c>
      <c r="E85" s="349" t="str">
        <f ca="1">IF(ROWS($1:72)&gt;COUNT(Dong1),"",OFFSET(TH!F$1,SMALL(Dong1,ROWS($1:72)),))</f>
        <v>VAT Phí nâng rỗng cont lạnh</v>
      </c>
      <c r="F85" s="164" t="str">
        <f ca="1">IF(ROWS($1:72)&gt;COUNT(Dong1),"",IF(OFFSET(TH!O$1,SMALL(Dong1,ROWS($1:72)),)="1111",OFFSET(TH!N$1,SMALL(Dong1,ROWS($1:72)),),OFFSET(TH!O$1,SMALL(Dong1,ROWS($1:72)),)))</f>
        <v>1331</v>
      </c>
      <c r="G85" s="165">
        <f ca="1">IF(ROWS($1:72)&gt;COUNT(Dong1),"",IF(OFFSET(TH!N$1,SMALL(Dong1,ROWS($1:72)),)="1111",OFFSET(TH!M$1,SMALL(Dong1,ROWS($1:72)),),0))</f>
        <v>0</v>
      </c>
      <c r="H85" s="163">
        <f ca="1">IF(ROWS($1:72)&gt;COUNT(Dong1),"",IF(OFFSET(TH!O$1,SMALL(Dong1,ROWS($1:72)),)="1111",OFFSET(TH!M$1,SMALL(Dong1,ROWS($1:72)),),0))</f>
        <v>490909</v>
      </c>
      <c r="I85" s="161">
        <f t="shared" ca="1" si="4"/>
        <v>44819412.5</v>
      </c>
      <c r="J85" s="166"/>
    </row>
    <row r="86" spans="1:10" ht="23.25" customHeight="1">
      <c r="A86" s="160">
        <f ca="1">IF(ROWS($1:73)&gt;COUNT(Dong1),"",OFFSET(TH!C$1,SMALL(Dong1,ROWS($1:73)),))</f>
        <v>42713</v>
      </c>
      <c r="B86" s="160">
        <f ca="1">IF(ROWS($1:73)&gt;COUNT(Dong1),"",OFFSET(TH!E$1,SMALL(Dong1,ROWS($1:73)),))</f>
        <v>42713</v>
      </c>
      <c r="C86" s="161" t="str">
        <f ca="1">IF(ROWS($1:73)&gt;COUNT(Dong1),"",IF(OFFSET(TH!N$1,SMALL(Dong1,ROWS($1:73)),)="1111",OFFSET(TH!D$1,SMALL(Dong1,ROWS($1:73)),),""))</f>
        <v/>
      </c>
      <c r="D86" s="162" t="str">
        <f ca="1">IF(ROWS($1:73)&gt;COUNT(Dong1),"",IF(OFFSET(TH!O$1,SMALL(Dong1,ROWS($1:73)),)="1111",OFFSET(TH!D$1,SMALL(Dong1,ROWS($1:73)),),""))</f>
        <v>C30</v>
      </c>
      <c r="E86" s="349" t="str">
        <f ca="1">IF(ROWS($1:73)&gt;COUNT(Dong1),"",OFFSET(TH!F$1,SMALL(Dong1,ROWS($1:73)),))</f>
        <v>Thiết bị điện</v>
      </c>
      <c r="F86" s="164" t="str">
        <f ca="1">IF(ROWS($1:73)&gt;COUNT(Dong1),"",IF(OFFSET(TH!O$1,SMALL(Dong1,ROWS($1:73)),)="1111",OFFSET(TH!N$1,SMALL(Dong1,ROWS($1:73)),),OFFSET(TH!O$1,SMALL(Dong1,ROWS($1:73)),)))</f>
        <v>642</v>
      </c>
      <c r="G86" s="165">
        <f ca="1">IF(ROWS($1:73)&gt;COUNT(Dong1),"",IF(OFFSET(TH!N$1,SMALL(Dong1,ROWS($1:73)),)="1111",OFFSET(TH!M$1,SMALL(Dong1,ROWS($1:73)),),0))</f>
        <v>0</v>
      </c>
      <c r="H86" s="163">
        <f ca="1">IF(ROWS($1:73)&gt;COUNT(Dong1),"",IF(OFFSET(TH!O$1,SMALL(Dong1,ROWS($1:73)),)="1111",OFFSET(TH!M$1,SMALL(Dong1,ROWS($1:73)),),0))</f>
        <v>3650000</v>
      </c>
      <c r="I86" s="161">
        <f t="shared" ca="1" si="4"/>
        <v>41169412.5</v>
      </c>
      <c r="J86" s="166"/>
    </row>
    <row r="87" spans="1:10" ht="23.25" customHeight="1">
      <c r="A87" s="160">
        <f ca="1">IF(ROWS($1:74)&gt;COUNT(Dong1),"",OFFSET(TH!C$1,SMALL(Dong1,ROWS($1:74)),))</f>
        <v>42714</v>
      </c>
      <c r="B87" s="160">
        <f ca="1">IF(ROWS($1:74)&gt;COUNT(Dong1),"",OFFSET(TH!E$1,SMALL(Dong1,ROWS($1:74)),))</f>
        <v>42714</v>
      </c>
      <c r="C87" s="161" t="str">
        <f ca="1">IF(ROWS($1:74)&gt;COUNT(Dong1),"",IF(OFFSET(TH!N$1,SMALL(Dong1,ROWS($1:74)),)="1111",OFFSET(TH!D$1,SMALL(Dong1,ROWS($1:74)),),""))</f>
        <v/>
      </c>
      <c r="D87" s="162" t="str">
        <f ca="1">IF(ROWS($1:74)&gt;COUNT(Dong1),"",IF(OFFSET(TH!O$1,SMALL(Dong1,ROWS($1:74)),)="1111",OFFSET(TH!D$1,SMALL(Dong1,ROWS($1:74)),),""))</f>
        <v>C33</v>
      </c>
      <c r="E87" s="349" t="str">
        <f ca="1">IF(ROWS($1:74)&gt;COUNT(Dong1),"",OFFSET(TH!F$1,SMALL(Dong1,ROWS($1:74)),))</f>
        <v>Tạm ứng mua NL</v>
      </c>
      <c r="F87" s="164" t="str">
        <f ca="1">IF(ROWS($1:74)&gt;COUNT(Dong1),"",IF(OFFSET(TH!O$1,SMALL(Dong1,ROWS($1:74)),)="1111",OFFSET(TH!N$1,SMALL(Dong1,ROWS($1:74)),),OFFSET(TH!O$1,SMALL(Dong1,ROWS($1:74)),)))</f>
        <v>141</v>
      </c>
      <c r="G87" s="165">
        <f ca="1">IF(ROWS($1:74)&gt;COUNT(Dong1),"",IF(OFFSET(TH!N$1,SMALL(Dong1,ROWS($1:74)),)="1111",OFFSET(TH!M$1,SMALL(Dong1,ROWS($1:74)),),0))</f>
        <v>0</v>
      </c>
      <c r="H87" s="163">
        <f ca="1">IF(ROWS($1:74)&gt;COUNT(Dong1),"",IF(OFFSET(TH!O$1,SMALL(Dong1,ROWS($1:74)),)="1111",OFFSET(TH!M$1,SMALL(Dong1,ROWS($1:74)),),0))</f>
        <v>600000000</v>
      </c>
      <c r="I87" s="161">
        <f t="shared" ca="1" si="4"/>
        <v>-558830587.5</v>
      </c>
      <c r="J87" s="166"/>
    </row>
    <row r="88" spans="1:10" ht="23.25" customHeight="1">
      <c r="A88" s="160">
        <f ca="1">IF(ROWS($1:75)&gt;COUNT(Dong1),"",OFFSET(TH!C$1,SMALL(Dong1,ROWS($1:75)),))</f>
        <v>42714</v>
      </c>
      <c r="B88" s="160">
        <f ca="1">IF(ROWS($1:75)&gt;COUNT(Dong1),"",OFFSET(TH!E$1,SMALL(Dong1,ROWS($1:75)),))</f>
        <v>42714</v>
      </c>
      <c r="C88" s="161" t="str">
        <f ca="1">IF(ROWS($1:75)&gt;COUNT(Dong1),"",IF(OFFSET(TH!N$1,SMALL(Dong1,ROWS($1:75)),)="1111",OFFSET(TH!D$1,SMALL(Dong1,ROWS($1:75)),),""))</f>
        <v>T10</v>
      </c>
      <c r="D88" s="162" t="str">
        <f ca="1">IF(ROWS($1:75)&gt;COUNT(Dong1),"",IF(OFFSET(TH!O$1,SMALL(Dong1,ROWS($1:75)),)="1111",OFFSET(TH!D$1,SMALL(Dong1,ROWS($1:75)),),""))</f>
        <v/>
      </c>
      <c r="E88" s="349" t="str">
        <f ca="1">IF(ROWS($1:75)&gt;COUNT(Dong1),"",OFFSET(TH!F$1,SMALL(Dong1,ROWS($1:75)),))</f>
        <v>Rút tiền gửi NH nhập quỹ TM</v>
      </c>
      <c r="F88" s="164" t="str">
        <f ca="1">IF(ROWS($1:75)&gt;COUNT(Dong1),"",IF(OFFSET(TH!O$1,SMALL(Dong1,ROWS($1:75)),)="1111",OFFSET(TH!N$1,SMALL(Dong1,ROWS($1:75)),),OFFSET(TH!O$1,SMALL(Dong1,ROWS($1:75)),)))</f>
        <v>1121</v>
      </c>
      <c r="G88" s="165">
        <f ca="1">IF(ROWS($1:75)&gt;COUNT(Dong1),"",IF(OFFSET(TH!N$1,SMALL(Dong1,ROWS($1:75)),)="1111",OFFSET(TH!M$1,SMALL(Dong1,ROWS($1:75)),),0))</f>
        <v>410000000</v>
      </c>
      <c r="H88" s="163">
        <f ca="1">IF(ROWS($1:75)&gt;COUNT(Dong1),"",IF(OFFSET(TH!O$1,SMALL(Dong1,ROWS($1:75)),)="1111",OFFSET(TH!M$1,SMALL(Dong1,ROWS($1:75)),),0))</f>
        <v>0</v>
      </c>
      <c r="I88" s="161">
        <f t="shared" ca="1" si="4"/>
        <v>-148830587.5</v>
      </c>
      <c r="J88" s="166"/>
    </row>
    <row r="89" spans="1:10" ht="23.25" customHeight="1">
      <c r="A89" s="160">
        <f ca="1">IF(ROWS($1:76)&gt;COUNT(Dong1),"",OFFSET(TH!C$1,SMALL(Dong1,ROWS($1:76)),))</f>
        <v>42727</v>
      </c>
      <c r="B89" s="160">
        <f ca="1">IF(ROWS($1:76)&gt;COUNT(Dong1),"",OFFSET(TH!E$1,SMALL(Dong1,ROWS($1:76)),))</f>
        <v>42727</v>
      </c>
      <c r="C89" s="161" t="str">
        <f ca="1">IF(ROWS($1:76)&gt;COUNT(Dong1),"",IF(OFFSET(TH!N$1,SMALL(Dong1,ROWS($1:76)),)="1111",OFFSET(TH!D$1,SMALL(Dong1,ROWS($1:76)),),""))</f>
        <v/>
      </c>
      <c r="D89" s="162" t="str">
        <f ca="1">IF(ROWS($1:76)&gt;COUNT(Dong1),"",IF(OFFSET(TH!O$1,SMALL(Dong1,ROWS($1:76)),)="1111",OFFSET(TH!D$1,SMALL(Dong1,ROWS($1:76)),),""))</f>
        <v>C81</v>
      </c>
      <c r="E89" s="349" t="str">
        <f ca="1">IF(ROWS($1:76)&gt;COUNT(Dong1),"",OFFSET(TH!F$1,SMALL(Dong1,ROWS($1:76)),))</f>
        <v>Thanh toán tiền thùng carton</v>
      </c>
      <c r="F89" s="164" t="str">
        <f ca="1">IF(ROWS($1:76)&gt;COUNT(Dong1),"",IF(OFFSET(TH!O$1,SMALL(Dong1,ROWS($1:76)),)="1111",OFFSET(TH!N$1,SMALL(Dong1,ROWS($1:76)),),OFFSET(TH!O$1,SMALL(Dong1,ROWS($1:76)),)))</f>
        <v>331</v>
      </c>
      <c r="G89" s="165">
        <f ca="1">IF(ROWS($1:76)&gt;COUNT(Dong1),"",IF(OFFSET(TH!N$1,SMALL(Dong1,ROWS($1:76)),)="1111",OFFSET(TH!M$1,SMALL(Dong1,ROWS($1:76)),),0))</f>
        <v>0</v>
      </c>
      <c r="H89" s="163">
        <f ca="1">IF(ROWS($1:76)&gt;COUNT(Dong1),"",IF(OFFSET(TH!O$1,SMALL(Dong1,ROWS($1:76)),)="1111",OFFSET(TH!M$1,SMALL(Dong1,ROWS($1:76)),),0))</f>
        <v>19800000</v>
      </c>
      <c r="I89" s="161">
        <f t="shared" ca="1" si="4"/>
        <v>-168630587.5</v>
      </c>
      <c r="J89" s="166"/>
    </row>
    <row r="90" spans="1:10" ht="23.25" customHeight="1">
      <c r="A90" s="160">
        <f ca="1">IF(ROWS($1:77)&gt;COUNT(Dong1),"",OFFSET(TH!C$1,SMALL(Dong1,ROWS($1:77)),))</f>
        <v>42715</v>
      </c>
      <c r="B90" s="160">
        <f ca="1">IF(ROWS($1:77)&gt;COUNT(Dong1),"",OFFSET(TH!E$1,SMALL(Dong1,ROWS($1:77)),))</f>
        <v>42715</v>
      </c>
      <c r="C90" s="161" t="str">
        <f ca="1">IF(ROWS($1:77)&gt;COUNT(Dong1),"",IF(OFFSET(TH!N$1,SMALL(Dong1,ROWS($1:77)),)="1111",OFFSET(TH!D$1,SMALL(Dong1,ROWS($1:77)),),""))</f>
        <v/>
      </c>
      <c r="D90" s="162" t="str">
        <f ca="1">IF(ROWS($1:77)&gt;COUNT(Dong1),"",IF(OFFSET(TH!O$1,SMALL(Dong1,ROWS($1:77)),)="1111",OFFSET(TH!D$1,SMALL(Dong1,ROWS($1:77)),),""))</f>
        <v>C35</v>
      </c>
      <c r="E90" s="349" t="str">
        <f ca="1">IF(ROWS($1:77)&gt;COUNT(Dong1),"",OFFSET(TH!F$1,SMALL(Dong1,ROWS($1:77)),))</f>
        <v>Xăng, dầu DO</v>
      </c>
      <c r="F90" s="164" t="str">
        <f ca="1">IF(ROWS($1:77)&gt;COUNT(Dong1),"",IF(OFFSET(TH!O$1,SMALL(Dong1,ROWS($1:77)),)="1111",OFFSET(TH!N$1,SMALL(Dong1,ROWS($1:77)),),OFFSET(TH!O$1,SMALL(Dong1,ROWS($1:77)),)))</f>
        <v>642</v>
      </c>
      <c r="G90" s="165">
        <f ca="1">IF(ROWS($1:77)&gt;COUNT(Dong1),"",IF(OFFSET(TH!N$1,SMALL(Dong1,ROWS($1:77)),)="1111",OFFSET(TH!M$1,SMALL(Dong1,ROWS($1:77)),),0))</f>
        <v>0</v>
      </c>
      <c r="H90" s="163">
        <f ca="1">IF(ROWS($1:77)&gt;COUNT(Dong1),"",IF(OFFSET(TH!O$1,SMALL(Dong1,ROWS($1:77)),)="1111",OFFSET(TH!M$1,SMALL(Dong1,ROWS($1:77)),),0))</f>
        <v>2507418</v>
      </c>
      <c r="I90" s="161">
        <f t="shared" ca="1" si="4"/>
        <v>-171138005.5</v>
      </c>
      <c r="J90" s="166"/>
    </row>
    <row r="91" spans="1:10" ht="23.25" customHeight="1">
      <c r="A91" s="160">
        <f ca="1">IF(ROWS($1:78)&gt;COUNT(Dong1),"",OFFSET(TH!C$1,SMALL(Dong1,ROWS($1:78)),))</f>
        <v>42715</v>
      </c>
      <c r="B91" s="160">
        <f ca="1">IF(ROWS($1:78)&gt;COUNT(Dong1),"",OFFSET(TH!E$1,SMALL(Dong1,ROWS($1:78)),))</f>
        <v>42715</v>
      </c>
      <c r="C91" s="161" t="str">
        <f ca="1">IF(ROWS($1:78)&gt;COUNT(Dong1),"",IF(OFFSET(TH!N$1,SMALL(Dong1,ROWS($1:78)),)="1111",OFFSET(TH!D$1,SMALL(Dong1,ROWS($1:78)),),""))</f>
        <v/>
      </c>
      <c r="D91" s="162" t="str">
        <f ca="1">IF(ROWS($1:78)&gt;COUNT(Dong1),"",IF(OFFSET(TH!O$1,SMALL(Dong1,ROWS($1:78)),)="1111",OFFSET(TH!D$1,SMALL(Dong1,ROWS($1:78)),),""))</f>
        <v>C35</v>
      </c>
      <c r="E91" s="349" t="str">
        <f ca="1">IF(ROWS($1:78)&gt;COUNT(Dong1),"",OFFSET(TH!F$1,SMALL(Dong1,ROWS($1:78)),))</f>
        <v>VAT Xăng, dầu DO</v>
      </c>
      <c r="F91" s="164" t="str">
        <f ca="1">IF(ROWS($1:78)&gt;COUNT(Dong1),"",IF(OFFSET(TH!O$1,SMALL(Dong1,ROWS($1:78)),)="1111",OFFSET(TH!N$1,SMALL(Dong1,ROWS($1:78)),),OFFSET(TH!O$1,SMALL(Dong1,ROWS($1:78)),)))</f>
        <v>1331</v>
      </c>
      <c r="G91" s="165">
        <f ca="1">IF(ROWS($1:78)&gt;COUNT(Dong1),"",IF(OFFSET(TH!N$1,SMALL(Dong1,ROWS($1:78)),)="1111",OFFSET(TH!M$1,SMALL(Dong1,ROWS($1:78)),),0))</f>
        <v>0</v>
      </c>
      <c r="H91" s="163">
        <f ca="1">IF(ROWS($1:78)&gt;COUNT(Dong1),"",IF(OFFSET(TH!O$1,SMALL(Dong1,ROWS($1:78)),)="1111",OFFSET(TH!M$1,SMALL(Dong1,ROWS($1:78)),),0))</f>
        <v>250742</v>
      </c>
      <c r="I91" s="161">
        <f t="shared" ca="1" si="4"/>
        <v>-171388747.5</v>
      </c>
      <c r="J91" s="166"/>
    </row>
    <row r="92" spans="1:10" ht="23.25" customHeight="1">
      <c r="A92" s="160">
        <f ca="1">IF(ROWS($1:79)&gt;COUNT(Dong1),"",OFFSET(TH!C$1,SMALL(Dong1,ROWS($1:79)),))</f>
        <v>42725</v>
      </c>
      <c r="B92" s="160">
        <f ca="1">IF(ROWS($1:79)&gt;COUNT(Dong1),"",OFFSET(TH!E$1,SMALL(Dong1,ROWS($1:79)),))</f>
        <v>42725</v>
      </c>
      <c r="C92" s="161" t="str">
        <f ca="1">IF(ROWS($1:79)&gt;COUNT(Dong1),"",IF(OFFSET(TH!N$1,SMALL(Dong1,ROWS($1:79)),)="1111",OFFSET(TH!D$1,SMALL(Dong1,ROWS($1:79)),),""))</f>
        <v/>
      </c>
      <c r="D92" s="162" t="str">
        <f ca="1">IF(ROWS($1:79)&gt;COUNT(Dong1),"",IF(OFFSET(TH!O$1,SMALL(Dong1,ROWS($1:79)),)="1111",OFFSET(TH!D$1,SMALL(Dong1,ROWS($1:79)),),""))</f>
        <v>C72</v>
      </c>
      <c r="E92" s="349" t="str">
        <f ca="1">IF(ROWS($1:79)&gt;COUNT(Dong1),"",OFFSET(TH!F$1,SMALL(Dong1,ROWS($1:79)),))</f>
        <v>Thanh toán tiền thùng carton</v>
      </c>
      <c r="F92" s="164" t="str">
        <f ca="1">IF(ROWS($1:79)&gt;COUNT(Dong1),"",IF(OFFSET(TH!O$1,SMALL(Dong1,ROWS($1:79)),)="1111",OFFSET(TH!N$1,SMALL(Dong1,ROWS($1:79)),),OFFSET(TH!O$1,SMALL(Dong1,ROWS($1:79)),)))</f>
        <v>331</v>
      </c>
      <c r="G92" s="165">
        <f ca="1">IF(ROWS($1:79)&gt;COUNT(Dong1),"",IF(OFFSET(TH!N$1,SMALL(Dong1,ROWS($1:79)),)="1111",OFFSET(TH!M$1,SMALL(Dong1,ROWS($1:79)),),0))</f>
        <v>0</v>
      </c>
      <c r="H92" s="163">
        <f ca="1">IF(ROWS($1:79)&gt;COUNT(Dong1),"",IF(OFFSET(TH!O$1,SMALL(Dong1,ROWS($1:79)),)="1111",OFFSET(TH!M$1,SMALL(Dong1,ROWS($1:79)),),0))</f>
        <v>19800000</v>
      </c>
      <c r="I92" s="161">
        <f t="shared" ca="1" si="4"/>
        <v>-191188747.5</v>
      </c>
      <c r="J92" s="166"/>
    </row>
    <row r="93" spans="1:10" ht="23.25" customHeight="1">
      <c r="A93" s="160">
        <f ca="1">IF(ROWS($1:80)&gt;COUNT(Dong1),"",OFFSET(TH!C$1,SMALL(Dong1,ROWS($1:80)),))</f>
        <v>42717</v>
      </c>
      <c r="B93" s="160">
        <f ca="1">IF(ROWS($1:80)&gt;COUNT(Dong1),"",OFFSET(TH!E$1,SMALL(Dong1,ROWS($1:80)),))</f>
        <v>42717</v>
      </c>
      <c r="C93" s="161" t="str">
        <f ca="1">IF(ROWS($1:80)&gt;COUNT(Dong1),"",IF(OFFSET(TH!N$1,SMALL(Dong1,ROWS($1:80)),)="1111",OFFSET(TH!D$1,SMALL(Dong1,ROWS($1:80)),),""))</f>
        <v/>
      </c>
      <c r="D93" s="162" t="str">
        <f ca="1">IF(ROWS($1:80)&gt;COUNT(Dong1),"",IF(OFFSET(TH!O$1,SMALL(Dong1,ROWS($1:80)),)="1111",OFFSET(TH!D$1,SMALL(Dong1,ROWS($1:80)),),""))</f>
        <v>C39</v>
      </c>
      <c r="E93" s="349" t="str">
        <f ca="1">IF(ROWS($1:80)&gt;COUNT(Dong1),"",OFFSET(TH!F$1,SMALL(Dong1,ROWS($1:80)),))</f>
        <v>Băng tải, phụ kiện</v>
      </c>
      <c r="F93" s="164" t="str">
        <f ca="1">IF(ROWS($1:80)&gt;COUNT(Dong1),"",IF(OFFSET(TH!O$1,SMALL(Dong1,ROWS($1:80)),)="1111",OFFSET(TH!N$1,SMALL(Dong1,ROWS($1:80)),),OFFSET(TH!O$1,SMALL(Dong1,ROWS($1:80)),)))</f>
        <v>153</v>
      </c>
      <c r="G93" s="165">
        <f ca="1">IF(ROWS($1:80)&gt;COUNT(Dong1),"",IF(OFFSET(TH!N$1,SMALL(Dong1,ROWS($1:80)),)="1111",OFFSET(TH!M$1,SMALL(Dong1,ROWS($1:80)),),0))</f>
        <v>0</v>
      </c>
      <c r="H93" s="163">
        <f ca="1">IF(ROWS($1:80)&gt;COUNT(Dong1),"",IF(OFFSET(TH!O$1,SMALL(Dong1,ROWS($1:80)),)="1111",OFFSET(TH!M$1,SMALL(Dong1,ROWS($1:80)),),0))</f>
        <v>15450000</v>
      </c>
      <c r="I93" s="161">
        <f t="shared" ca="1" si="4"/>
        <v>-206638747.5</v>
      </c>
      <c r="J93" s="166"/>
    </row>
    <row r="94" spans="1:10" ht="23.25" customHeight="1">
      <c r="A94" s="160">
        <f ca="1">IF(ROWS($1:81)&gt;COUNT(Dong1),"",OFFSET(TH!C$1,SMALL(Dong1,ROWS($1:81)),))</f>
        <v>42717</v>
      </c>
      <c r="B94" s="160">
        <f ca="1">IF(ROWS($1:81)&gt;COUNT(Dong1),"",OFFSET(TH!E$1,SMALL(Dong1,ROWS($1:81)),))</f>
        <v>42717</v>
      </c>
      <c r="C94" s="161" t="str">
        <f ca="1">IF(ROWS($1:81)&gt;COUNT(Dong1),"",IF(OFFSET(TH!N$1,SMALL(Dong1,ROWS($1:81)),)="1111",OFFSET(TH!D$1,SMALL(Dong1,ROWS($1:81)),),""))</f>
        <v/>
      </c>
      <c r="D94" s="162" t="str">
        <f ca="1">IF(ROWS($1:81)&gt;COUNT(Dong1),"",IF(OFFSET(TH!O$1,SMALL(Dong1,ROWS($1:81)),)="1111",OFFSET(TH!D$1,SMALL(Dong1,ROWS($1:81)),),""))</f>
        <v>C39</v>
      </c>
      <c r="E94" s="349" t="str">
        <f ca="1">IF(ROWS($1:81)&gt;COUNT(Dong1),"",OFFSET(TH!F$1,SMALL(Dong1,ROWS($1:81)),))</f>
        <v>Phí dịch vụ</v>
      </c>
      <c r="F94" s="164" t="str">
        <f ca="1">IF(ROWS($1:81)&gt;COUNT(Dong1),"",IF(OFFSET(TH!O$1,SMALL(Dong1,ROWS($1:81)),)="1111",OFFSET(TH!N$1,SMALL(Dong1,ROWS($1:81)),),OFFSET(TH!O$1,SMALL(Dong1,ROWS($1:81)),)))</f>
        <v>642</v>
      </c>
      <c r="G94" s="165">
        <f ca="1">IF(ROWS($1:81)&gt;COUNT(Dong1),"",IF(OFFSET(TH!N$1,SMALL(Dong1,ROWS($1:81)),)="1111",OFFSET(TH!M$1,SMALL(Dong1,ROWS($1:81)),),0))</f>
        <v>0</v>
      </c>
      <c r="H94" s="163">
        <f ca="1">IF(ROWS($1:81)&gt;COUNT(Dong1),"",IF(OFFSET(TH!O$1,SMALL(Dong1,ROWS($1:81)),)="1111",OFFSET(TH!M$1,SMALL(Dong1,ROWS($1:81)),),0))</f>
        <v>150000</v>
      </c>
      <c r="I94" s="161">
        <f t="shared" ca="1" si="4"/>
        <v>-206788747.5</v>
      </c>
      <c r="J94" s="166"/>
    </row>
    <row r="95" spans="1:10" ht="23.25" customHeight="1">
      <c r="A95" s="160">
        <f ca="1">IF(ROWS($1:82)&gt;COUNT(Dong1),"",OFFSET(TH!C$1,SMALL(Dong1,ROWS($1:82)),))</f>
        <v>42717</v>
      </c>
      <c r="B95" s="160">
        <f ca="1">IF(ROWS($1:82)&gt;COUNT(Dong1),"",OFFSET(TH!E$1,SMALL(Dong1,ROWS($1:82)),))</f>
        <v>42717</v>
      </c>
      <c r="C95" s="161" t="str">
        <f ca="1">IF(ROWS($1:82)&gt;COUNT(Dong1),"",IF(OFFSET(TH!N$1,SMALL(Dong1,ROWS($1:82)),)="1111",OFFSET(TH!D$1,SMALL(Dong1,ROWS($1:82)),),""))</f>
        <v/>
      </c>
      <c r="D95" s="162" t="str">
        <f ca="1">IF(ROWS($1:82)&gt;COUNT(Dong1),"",IF(OFFSET(TH!O$1,SMALL(Dong1,ROWS($1:82)),)="1111",OFFSET(TH!D$1,SMALL(Dong1,ROWS($1:82)),),""))</f>
        <v>C39</v>
      </c>
      <c r="E95" s="349" t="str">
        <f ca="1">IF(ROWS($1:82)&gt;COUNT(Dong1),"",OFFSET(TH!F$1,SMALL(Dong1,ROWS($1:82)),))</f>
        <v>VAT Băng tải, phí</v>
      </c>
      <c r="F95" s="164" t="str">
        <f ca="1">IF(ROWS($1:82)&gt;COUNT(Dong1),"",IF(OFFSET(TH!O$1,SMALL(Dong1,ROWS($1:82)),)="1111",OFFSET(TH!N$1,SMALL(Dong1,ROWS($1:82)),),OFFSET(TH!O$1,SMALL(Dong1,ROWS($1:82)),)))</f>
        <v>1331</v>
      </c>
      <c r="G95" s="165">
        <f ca="1">IF(ROWS($1:82)&gt;COUNT(Dong1),"",IF(OFFSET(TH!N$1,SMALL(Dong1,ROWS($1:82)),)="1111",OFFSET(TH!M$1,SMALL(Dong1,ROWS($1:82)),),0))</f>
        <v>0</v>
      </c>
      <c r="H95" s="163">
        <f ca="1">IF(ROWS($1:82)&gt;COUNT(Dong1),"",IF(OFFSET(TH!O$1,SMALL(Dong1,ROWS($1:82)),)="1111",OFFSET(TH!M$1,SMALL(Dong1,ROWS($1:82)),),0))</f>
        <v>1560000</v>
      </c>
      <c r="I95" s="161">
        <f t="shared" ca="1" si="4"/>
        <v>-208348747.5</v>
      </c>
      <c r="J95" s="166"/>
    </row>
    <row r="96" spans="1:10" ht="23.25" customHeight="1">
      <c r="A96" s="160">
        <f ca="1">IF(ROWS($1:83)&gt;COUNT(Dong1),"",OFFSET(TH!C$1,SMALL(Dong1,ROWS($1:83)),))</f>
        <v>42717</v>
      </c>
      <c r="B96" s="160">
        <f ca="1">IF(ROWS($1:83)&gt;COUNT(Dong1),"",OFFSET(TH!E$1,SMALL(Dong1,ROWS($1:83)),))</f>
        <v>42717</v>
      </c>
      <c r="C96" s="161" t="str">
        <f ca="1">IF(ROWS($1:83)&gt;COUNT(Dong1),"",IF(OFFSET(TH!N$1,SMALL(Dong1,ROWS($1:83)),)="1111",OFFSET(TH!D$1,SMALL(Dong1,ROWS($1:83)),),""))</f>
        <v/>
      </c>
      <c r="D96" s="162" t="str">
        <f ca="1">IF(ROWS($1:83)&gt;COUNT(Dong1),"",IF(OFFSET(TH!O$1,SMALL(Dong1,ROWS($1:83)),)="1111",OFFSET(TH!D$1,SMALL(Dong1,ROWS($1:83)),),""))</f>
        <v>C40</v>
      </c>
      <c r="E96" s="349" t="str">
        <f ca="1">IF(ROWS($1:83)&gt;COUNT(Dong1),"",OFFSET(TH!F$1,SMALL(Dong1,ROWS($1:83)),))</f>
        <v>Tạm ứng mua NL</v>
      </c>
      <c r="F96" s="164" t="str">
        <f ca="1">IF(ROWS($1:83)&gt;COUNT(Dong1),"",IF(OFFSET(TH!O$1,SMALL(Dong1,ROWS($1:83)),)="1111",OFFSET(TH!N$1,SMALL(Dong1,ROWS($1:83)),),OFFSET(TH!O$1,SMALL(Dong1,ROWS($1:83)),)))</f>
        <v>141</v>
      </c>
      <c r="G96" s="165">
        <f ca="1">IF(ROWS($1:83)&gt;COUNT(Dong1),"",IF(OFFSET(TH!N$1,SMALL(Dong1,ROWS($1:83)),)="1111",OFFSET(TH!M$1,SMALL(Dong1,ROWS($1:83)),),0))</f>
        <v>0</v>
      </c>
      <c r="H96" s="163">
        <f ca="1">IF(ROWS($1:83)&gt;COUNT(Dong1),"",IF(OFFSET(TH!O$1,SMALL(Dong1,ROWS($1:83)),)="1111",OFFSET(TH!M$1,SMALL(Dong1,ROWS($1:83)),),0))</f>
        <v>850000000</v>
      </c>
      <c r="I96" s="161">
        <f t="shared" ca="1" si="4"/>
        <v>-1058348747.5</v>
      </c>
      <c r="J96" s="166"/>
    </row>
    <row r="97" spans="1:10" ht="23.25" customHeight="1">
      <c r="A97" s="160">
        <f ca="1">IF(ROWS($1:84)&gt;COUNT(Dong1),"",OFFSET(TH!C$1,SMALL(Dong1,ROWS($1:84)),))</f>
        <v>42717</v>
      </c>
      <c r="B97" s="160">
        <f ca="1">IF(ROWS($1:84)&gt;COUNT(Dong1),"",OFFSET(TH!E$1,SMALL(Dong1,ROWS($1:84)),))</f>
        <v>42717</v>
      </c>
      <c r="C97" s="161" t="str">
        <f ca="1">IF(ROWS($1:84)&gt;COUNT(Dong1),"",IF(OFFSET(TH!N$1,SMALL(Dong1,ROWS($1:84)),)="1111",OFFSET(TH!D$1,SMALL(Dong1,ROWS($1:84)),),""))</f>
        <v>T11</v>
      </c>
      <c r="D97" s="162" t="str">
        <f ca="1">IF(ROWS($1:84)&gt;COUNT(Dong1),"",IF(OFFSET(TH!O$1,SMALL(Dong1,ROWS($1:84)),)="1111",OFFSET(TH!D$1,SMALL(Dong1,ROWS($1:84)),),""))</f>
        <v/>
      </c>
      <c r="E97" s="349" t="str">
        <f ca="1">IF(ROWS($1:84)&gt;COUNT(Dong1),"",OFFSET(TH!F$1,SMALL(Dong1,ROWS($1:84)),))</f>
        <v>Rút tiền gửi NH nhập quỹ TM</v>
      </c>
      <c r="F97" s="164" t="str">
        <f ca="1">IF(ROWS($1:84)&gt;COUNT(Dong1),"",IF(OFFSET(TH!O$1,SMALL(Dong1,ROWS($1:84)),)="1111",OFFSET(TH!N$1,SMALL(Dong1,ROWS($1:84)),),OFFSET(TH!O$1,SMALL(Dong1,ROWS($1:84)),)))</f>
        <v>1121</v>
      </c>
      <c r="G97" s="165">
        <f ca="1">IF(ROWS($1:84)&gt;COUNT(Dong1),"",IF(OFFSET(TH!N$1,SMALL(Dong1,ROWS($1:84)),)="1111",OFFSET(TH!M$1,SMALL(Dong1,ROWS($1:84)),),0))</f>
        <v>1150000000</v>
      </c>
      <c r="H97" s="163">
        <f ca="1">IF(ROWS($1:84)&gt;COUNT(Dong1),"",IF(OFFSET(TH!O$1,SMALL(Dong1,ROWS($1:84)),)="1111",OFFSET(TH!M$1,SMALL(Dong1,ROWS($1:84)),),0))</f>
        <v>0</v>
      </c>
      <c r="I97" s="161">
        <f t="shared" ca="1" si="4"/>
        <v>91651252.5</v>
      </c>
      <c r="J97" s="166"/>
    </row>
    <row r="98" spans="1:10" ht="23.25" customHeight="1">
      <c r="A98" s="160">
        <f ca="1">IF(ROWS($1:85)&gt;COUNT(Dong1),"",OFFSET(TH!C$1,SMALL(Dong1,ROWS($1:85)),))</f>
        <v>42718</v>
      </c>
      <c r="B98" s="160">
        <f ca="1">IF(ROWS($1:85)&gt;COUNT(Dong1),"",OFFSET(TH!E$1,SMALL(Dong1,ROWS($1:85)),))</f>
        <v>42718</v>
      </c>
      <c r="C98" s="161" t="str">
        <f ca="1">IF(ROWS($1:85)&gt;COUNT(Dong1),"",IF(OFFSET(TH!N$1,SMALL(Dong1,ROWS($1:85)),)="1111",OFFSET(TH!D$1,SMALL(Dong1,ROWS($1:85)),),""))</f>
        <v/>
      </c>
      <c r="D98" s="162" t="str">
        <f ca="1">IF(ROWS($1:85)&gt;COUNT(Dong1),"",IF(OFFSET(TH!O$1,SMALL(Dong1,ROWS($1:85)),)="1111",OFFSET(TH!D$1,SMALL(Dong1,ROWS($1:85)),),""))</f>
        <v>C41</v>
      </c>
      <c r="E98" s="349" t="str">
        <f ca="1">IF(ROWS($1:85)&gt;COUNT(Dong1),"",OFFSET(TH!F$1,SMALL(Dong1,ROWS($1:85)),))</f>
        <v>Phí bảo dưỡng xe</v>
      </c>
      <c r="F98" s="164" t="str">
        <f ca="1">IF(ROWS($1:85)&gt;COUNT(Dong1),"",IF(OFFSET(TH!O$1,SMALL(Dong1,ROWS($1:85)),)="1111",OFFSET(TH!N$1,SMALL(Dong1,ROWS($1:85)),),OFFSET(TH!O$1,SMALL(Dong1,ROWS($1:85)),)))</f>
        <v>642</v>
      </c>
      <c r="G98" s="165">
        <f ca="1">IF(ROWS($1:85)&gt;COUNT(Dong1),"",IF(OFFSET(TH!N$1,SMALL(Dong1,ROWS($1:85)),)="1111",OFFSET(TH!M$1,SMALL(Dong1,ROWS($1:85)),),0))</f>
        <v>0</v>
      </c>
      <c r="H98" s="163">
        <f ca="1">IF(ROWS($1:85)&gt;COUNT(Dong1),"",IF(OFFSET(TH!O$1,SMALL(Dong1,ROWS($1:85)),)="1111",OFFSET(TH!M$1,SMALL(Dong1,ROWS($1:85)),),0))</f>
        <v>1983000</v>
      </c>
      <c r="I98" s="161">
        <f t="shared" ca="1" si="4"/>
        <v>89668252.5</v>
      </c>
      <c r="J98" s="166"/>
    </row>
    <row r="99" spans="1:10" ht="23.25" customHeight="1">
      <c r="A99" s="160">
        <f ca="1">IF(ROWS($1:86)&gt;COUNT(Dong1),"",OFFSET(TH!C$1,SMALL(Dong1,ROWS($1:86)),))</f>
        <v>42718</v>
      </c>
      <c r="B99" s="160">
        <f ca="1">IF(ROWS($1:86)&gt;COUNT(Dong1),"",OFFSET(TH!E$1,SMALL(Dong1,ROWS($1:86)),))</f>
        <v>42718</v>
      </c>
      <c r="C99" s="161" t="str">
        <f ca="1">IF(ROWS($1:86)&gt;COUNT(Dong1),"",IF(OFFSET(TH!N$1,SMALL(Dong1,ROWS($1:86)),)="1111",OFFSET(TH!D$1,SMALL(Dong1,ROWS($1:86)),),""))</f>
        <v/>
      </c>
      <c r="D99" s="162" t="str">
        <f ca="1">IF(ROWS($1:86)&gt;COUNT(Dong1),"",IF(OFFSET(TH!O$1,SMALL(Dong1,ROWS($1:86)),)="1111",OFFSET(TH!D$1,SMALL(Dong1,ROWS($1:86)),),""))</f>
        <v>C41</v>
      </c>
      <c r="E99" s="349" t="str">
        <f ca="1">IF(ROWS($1:86)&gt;COUNT(Dong1),"",OFFSET(TH!F$1,SMALL(Dong1,ROWS($1:86)),))</f>
        <v>VAT Phí bảo dưỡng xe</v>
      </c>
      <c r="F99" s="164" t="str">
        <f ca="1">IF(ROWS($1:86)&gt;COUNT(Dong1),"",IF(OFFSET(TH!O$1,SMALL(Dong1,ROWS($1:86)),)="1111",OFFSET(TH!N$1,SMALL(Dong1,ROWS($1:86)),),OFFSET(TH!O$1,SMALL(Dong1,ROWS($1:86)),)))</f>
        <v>1331</v>
      </c>
      <c r="G99" s="165">
        <f ca="1">IF(ROWS($1:86)&gt;COUNT(Dong1),"",IF(OFFSET(TH!N$1,SMALL(Dong1,ROWS($1:86)),)="1111",OFFSET(TH!M$1,SMALL(Dong1,ROWS($1:86)),),0))</f>
        <v>0</v>
      </c>
      <c r="H99" s="163">
        <f ca="1">IF(ROWS($1:86)&gt;COUNT(Dong1),"",IF(OFFSET(TH!O$1,SMALL(Dong1,ROWS($1:86)),)="1111",OFFSET(TH!M$1,SMALL(Dong1,ROWS($1:86)),),0))</f>
        <v>198300</v>
      </c>
      <c r="I99" s="161">
        <f t="shared" ca="1" si="4"/>
        <v>89469952.5</v>
      </c>
      <c r="J99" s="166"/>
    </row>
    <row r="100" spans="1:10" ht="23.25" customHeight="1">
      <c r="A100" s="160">
        <f ca="1">IF(ROWS($1:87)&gt;COUNT(Dong1),"",OFFSET(TH!C$1,SMALL(Dong1,ROWS($1:87)),))</f>
        <v>42718</v>
      </c>
      <c r="B100" s="160">
        <f ca="1">IF(ROWS($1:87)&gt;COUNT(Dong1),"",OFFSET(TH!E$1,SMALL(Dong1,ROWS($1:87)),))</f>
        <v>42718</v>
      </c>
      <c r="C100" s="161" t="str">
        <f ca="1">IF(ROWS($1:87)&gt;COUNT(Dong1),"",IF(OFFSET(TH!N$1,SMALL(Dong1,ROWS($1:87)),)="1111",OFFSET(TH!D$1,SMALL(Dong1,ROWS($1:87)),),""))</f>
        <v/>
      </c>
      <c r="D100" s="162" t="str">
        <f ca="1">IF(ROWS($1:87)&gt;COUNT(Dong1),"",IF(OFFSET(TH!O$1,SMALL(Dong1,ROWS($1:87)),)="1111",OFFSET(TH!D$1,SMALL(Dong1,ROWS($1:87)),),""))</f>
        <v>C42</v>
      </c>
      <c r="E100" s="349" t="str">
        <f ca="1">IF(ROWS($1:87)&gt;COUNT(Dong1),"",OFFSET(TH!F$1,SMALL(Dong1,ROWS($1:87)),))</f>
        <v>Nộp tiền mặt vào TK NH</v>
      </c>
      <c r="F100" s="164" t="str">
        <f ca="1">IF(ROWS($1:87)&gt;COUNT(Dong1),"",IF(OFFSET(TH!O$1,SMALL(Dong1,ROWS($1:87)),)="1111",OFFSET(TH!N$1,SMALL(Dong1,ROWS($1:87)),),OFFSET(TH!O$1,SMALL(Dong1,ROWS($1:87)),)))</f>
        <v>1121</v>
      </c>
      <c r="G100" s="165">
        <f ca="1">IF(ROWS($1:87)&gt;COUNT(Dong1),"",IF(OFFSET(TH!N$1,SMALL(Dong1,ROWS($1:87)),)="1111",OFFSET(TH!M$1,SMALL(Dong1,ROWS($1:87)),),0))</f>
        <v>0</v>
      </c>
      <c r="H100" s="163">
        <f ca="1">IF(ROWS($1:87)&gt;COUNT(Dong1),"",IF(OFFSET(TH!O$1,SMALL(Dong1,ROWS($1:87)),)="1111",OFFSET(TH!M$1,SMALL(Dong1,ROWS($1:87)),),0))</f>
        <v>900000000</v>
      </c>
      <c r="I100" s="161">
        <f t="shared" ca="1" si="4"/>
        <v>-810530047.5</v>
      </c>
      <c r="J100" s="166"/>
    </row>
    <row r="101" spans="1:10" ht="23.25" customHeight="1">
      <c r="A101" s="160">
        <f ca="1">IF(ROWS($1:88)&gt;COUNT(Dong1),"",OFFSET(TH!C$1,SMALL(Dong1,ROWS($1:88)),))</f>
        <v>42718</v>
      </c>
      <c r="B101" s="160">
        <f ca="1">IF(ROWS($1:88)&gt;COUNT(Dong1),"",OFFSET(TH!E$1,SMALL(Dong1,ROWS($1:88)),))</f>
        <v>42718</v>
      </c>
      <c r="C101" s="161" t="str">
        <f ca="1">IF(ROWS($1:88)&gt;COUNT(Dong1),"",IF(OFFSET(TH!N$1,SMALL(Dong1,ROWS($1:88)),)="1111",OFFSET(TH!D$1,SMALL(Dong1,ROWS($1:88)),),""))</f>
        <v/>
      </c>
      <c r="D101" s="162" t="str">
        <f ca="1">IF(ROWS($1:88)&gt;COUNT(Dong1),"",IF(OFFSET(TH!O$1,SMALL(Dong1,ROWS($1:88)),)="1111",OFFSET(TH!D$1,SMALL(Dong1,ROWS($1:88)),),""))</f>
        <v>C44</v>
      </c>
      <c r="E101" s="349" t="str">
        <f ca="1">IF(ROWS($1:88)&gt;COUNT(Dong1),"",OFFSET(TH!F$1,SMALL(Dong1,ROWS($1:88)),))</f>
        <v>Tạm ứng mua NL</v>
      </c>
      <c r="F101" s="164" t="str">
        <f ca="1">IF(ROWS($1:88)&gt;COUNT(Dong1),"",IF(OFFSET(TH!O$1,SMALL(Dong1,ROWS($1:88)),)="1111",OFFSET(TH!N$1,SMALL(Dong1,ROWS($1:88)),),OFFSET(TH!O$1,SMALL(Dong1,ROWS($1:88)),)))</f>
        <v>141</v>
      </c>
      <c r="G101" s="165">
        <f ca="1">IF(ROWS($1:88)&gt;COUNT(Dong1),"",IF(OFFSET(TH!N$1,SMALL(Dong1,ROWS($1:88)),)="1111",OFFSET(TH!M$1,SMALL(Dong1,ROWS($1:88)),),0))</f>
        <v>0</v>
      </c>
      <c r="H101" s="163">
        <f ca="1">IF(ROWS($1:88)&gt;COUNT(Dong1),"",IF(OFFSET(TH!O$1,SMALL(Dong1,ROWS($1:88)),)="1111",OFFSET(TH!M$1,SMALL(Dong1,ROWS($1:88)),),0))</f>
        <v>1000000000</v>
      </c>
      <c r="I101" s="161">
        <f t="shared" ca="1" si="4"/>
        <v>-1810530047.5</v>
      </c>
      <c r="J101" s="166"/>
    </row>
    <row r="102" spans="1:10" ht="23.25" customHeight="1">
      <c r="A102" s="160">
        <f ca="1">IF(ROWS($1:89)&gt;COUNT(Dong1),"",OFFSET(TH!C$1,SMALL(Dong1,ROWS($1:89)),))</f>
        <v>42718</v>
      </c>
      <c r="B102" s="160">
        <f ca="1">IF(ROWS($1:89)&gt;COUNT(Dong1),"",OFFSET(TH!E$1,SMALL(Dong1,ROWS($1:89)),))</f>
        <v>42718</v>
      </c>
      <c r="C102" s="161" t="str">
        <f ca="1">IF(ROWS($1:89)&gt;COUNT(Dong1),"",IF(OFFSET(TH!N$1,SMALL(Dong1,ROWS($1:89)),)="1111",OFFSET(TH!D$1,SMALL(Dong1,ROWS($1:89)),),""))</f>
        <v>T12</v>
      </c>
      <c r="D102" s="162" t="str">
        <f ca="1">IF(ROWS($1:89)&gt;COUNT(Dong1),"",IF(OFFSET(TH!O$1,SMALL(Dong1,ROWS($1:89)),)="1111",OFFSET(TH!D$1,SMALL(Dong1,ROWS($1:89)),),""))</f>
        <v/>
      </c>
      <c r="E102" s="349" t="str">
        <f ca="1">IF(ROWS($1:89)&gt;COUNT(Dong1),"",OFFSET(TH!F$1,SMALL(Dong1,ROWS($1:89)),))</f>
        <v>Rút tiền gửi NH nhập quỹ TM</v>
      </c>
      <c r="F102" s="164" t="str">
        <f ca="1">IF(ROWS($1:89)&gt;COUNT(Dong1),"",IF(OFFSET(TH!O$1,SMALL(Dong1,ROWS($1:89)),)="1111",OFFSET(TH!N$1,SMALL(Dong1,ROWS($1:89)),),OFFSET(TH!O$1,SMALL(Dong1,ROWS($1:89)),)))</f>
        <v>1121</v>
      </c>
      <c r="G102" s="165">
        <f ca="1">IF(ROWS($1:89)&gt;COUNT(Dong1),"",IF(OFFSET(TH!N$1,SMALL(Dong1,ROWS($1:89)),)="1111",OFFSET(TH!M$1,SMALL(Dong1,ROWS($1:89)),),0))</f>
        <v>3100000000</v>
      </c>
      <c r="H102" s="163">
        <f ca="1">IF(ROWS($1:89)&gt;COUNT(Dong1),"",IF(OFFSET(TH!O$1,SMALL(Dong1,ROWS($1:89)),)="1111",OFFSET(TH!M$1,SMALL(Dong1,ROWS($1:89)),),0))</f>
        <v>0</v>
      </c>
      <c r="I102" s="161">
        <f t="shared" ca="1" si="4"/>
        <v>1289469952.5</v>
      </c>
      <c r="J102" s="166"/>
    </row>
    <row r="103" spans="1:10" ht="23.25" customHeight="1">
      <c r="A103" s="160">
        <f ca="1">IF(ROWS($1:90)&gt;COUNT(Dong1),"",OFFSET(TH!C$1,SMALL(Dong1,ROWS($1:90)),))</f>
        <v>42718</v>
      </c>
      <c r="B103" s="160">
        <f ca="1">IF(ROWS($1:90)&gt;COUNT(Dong1),"",OFFSET(TH!E$1,SMALL(Dong1,ROWS($1:90)),))</f>
        <v>42718</v>
      </c>
      <c r="C103" s="161" t="str">
        <f ca="1">IF(ROWS($1:90)&gt;COUNT(Dong1),"",IF(OFFSET(TH!N$1,SMALL(Dong1,ROWS($1:90)),)="1111",OFFSET(TH!D$1,SMALL(Dong1,ROWS($1:90)),),""))</f>
        <v>T13</v>
      </c>
      <c r="D103" s="162" t="str">
        <f ca="1">IF(ROWS($1:90)&gt;COUNT(Dong1),"",IF(OFFSET(TH!O$1,SMALL(Dong1,ROWS($1:90)),)="1111",OFFSET(TH!D$1,SMALL(Dong1,ROWS($1:90)),),""))</f>
        <v/>
      </c>
      <c r="E103" s="349" t="str">
        <f ca="1">IF(ROWS($1:90)&gt;COUNT(Dong1),"",OFFSET(TH!F$1,SMALL(Dong1,ROWS($1:90)),))</f>
        <v>Rút tiền gửi NH nhập quỹ TM</v>
      </c>
      <c r="F103" s="164" t="str">
        <f ca="1">IF(ROWS($1:90)&gt;COUNT(Dong1),"",IF(OFFSET(TH!O$1,SMALL(Dong1,ROWS($1:90)),)="1111",OFFSET(TH!N$1,SMALL(Dong1,ROWS($1:90)),),OFFSET(TH!O$1,SMALL(Dong1,ROWS($1:90)),)))</f>
        <v>1121</v>
      </c>
      <c r="G103" s="165">
        <f ca="1">IF(ROWS($1:90)&gt;COUNT(Dong1),"",IF(OFFSET(TH!N$1,SMALL(Dong1,ROWS($1:90)),)="1111",OFFSET(TH!M$1,SMALL(Dong1,ROWS($1:90)),),0))</f>
        <v>1600000000</v>
      </c>
      <c r="H103" s="163">
        <f ca="1">IF(ROWS($1:90)&gt;COUNT(Dong1),"",IF(OFFSET(TH!O$1,SMALL(Dong1,ROWS($1:90)),)="1111",OFFSET(TH!M$1,SMALL(Dong1,ROWS($1:90)),),0))</f>
        <v>0</v>
      </c>
      <c r="I103" s="161">
        <f t="shared" ca="1" si="4"/>
        <v>2889469952.5</v>
      </c>
      <c r="J103" s="166"/>
    </row>
    <row r="104" spans="1:10" ht="23.25" customHeight="1">
      <c r="A104" s="160">
        <f ca="1">IF(ROWS($1:91)&gt;COUNT(Dong1),"",OFFSET(TH!C$1,SMALL(Dong1,ROWS($1:91)),))</f>
        <v>42719</v>
      </c>
      <c r="B104" s="160">
        <f ca="1">IF(ROWS($1:91)&gt;COUNT(Dong1),"",OFFSET(TH!E$1,SMALL(Dong1,ROWS($1:91)),))</f>
        <v>42719</v>
      </c>
      <c r="C104" s="161" t="str">
        <f ca="1">IF(ROWS($1:91)&gt;COUNT(Dong1),"",IF(OFFSET(TH!N$1,SMALL(Dong1,ROWS($1:91)),)="1111",OFFSET(TH!D$1,SMALL(Dong1,ROWS($1:91)),),""))</f>
        <v/>
      </c>
      <c r="D104" s="162" t="str">
        <f ca="1">IF(ROWS($1:91)&gt;COUNT(Dong1),"",IF(OFFSET(TH!O$1,SMALL(Dong1,ROWS($1:91)),)="1111",OFFSET(TH!D$1,SMALL(Dong1,ROWS($1:91)),),""))</f>
        <v>C45</v>
      </c>
      <c r="E104" s="349" t="str">
        <f ca="1">IF(ROWS($1:91)&gt;COUNT(Dong1),"",OFFSET(TH!F$1,SMALL(Dong1,ROWS($1:91)),))</f>
        <v>Băng tải, phụ kiện</v>
      </c>
      <c r="F104" s="164" t="str">
        <f ca="1">IF(ROWS($1:91)&gt;COUNT(Dong1),"",IF(OFFSET(TH!O$1,SMALL(Dong1,ROWS($1:91)),)="1111",OFFSET(TH!N$1,SMALL(Dong1,ROWS($1:91)),),OFFSET(TH!O$1,SMALL(Dong1,ROWS($1:91)),)))</f>
        <v>153</v>
      </c>
      <c r="G104" s="165">
        <f ca="1">IF(ROWS($1:91)&gt;COUNT(Dong1),"",IF(OFFSET(TH!N$1,SMALL(Dong1,ROWS($1:91)),)="1111",OFFSET(TH!M$1,SMALL(Dong1,ROWS($1:91)),),0))</f>
        <v>0</v>
      </c>
      <c r="H104" s="163">
        <f ca="1">IF(ROWS($1:91)&gt;COUNT(Dong1),"",IF(OFFSET(TH!O$1,SMALL(Dong1,ROWS($1:91)),)="1111",OFFSET(TH!M$1,SMALL(Dong1,ROWS($1:91)),),0))</f>
        <v>15450000</v>
      </c>
      <c r="I104" s="161">
        <f t="shared" ca="1" si="4"/>
        <v>2874019952.5</v>
      </c>
      <c r="J104" s="166"/>
    </row>
    <row r="105" spans="1:10" ht="23.25" customHeight="1">
      <c r="A105" s="160">
        <f ca="1">IF(ROWS($1:92)&gt;COUNT(Dong1),"",OFFSET(TH!C$1,SMALL(Dong1,ROWS($1:92)),))</f>
        <v>42719</v>
      </c>
      <c r="B105" s="160">
        <f ca="1">IF(ROWS($1:92)&gt;COUNT(Dong1),"",OFFSET(TH!E$1,SMALL(Dong1,ROWS($1:92)),))</f>
        <v>42719</v>
      </c>
      <c r="C105" s="161" t="str">
        <f ca="1">IF(ROWS($1:92)&gt;COUNT(Dong1),"",IF(OFFSET(TH!N$1,SMALL(Dong1,ROWS($1:92)),)="1111",OFFSET(TH!D$1,SMALL(Dong1,ROWS($1:92)),),""))</f>
        <v/>
      </c>
      <c r="D105" s="162" t="str">
        <f ca="1">IF(ROWS($1:92)&gt;COUNT(Dong1),"",IF(OFFSET(TH!O$1,SMALL(Dong1,ROWS($1:92)),)="1111",OFFSET(TH!D$1,SMALL(Dong1,ROWS($1:92)),),""))</f>
        <v>C45</v>
      </c>
      <c r="E105" s="349" t="str">
        <f ca="1">IF(ROWS($1:92)&gt;COUNT(Dong1),"",OFFSET(TH!F$1,SMALL(Dong1,ROWS($1:92)),))</f>
        <v>Phí dịch vụ</v>
      </c>
      <c r="F105" s="164" t="str">
        <f ca="1">IF(ROWS($1:92)&gt;COUNT(Dong1),"",IF(OFFSET(TH!O$1,SMALL(Dong1,ROWS($1:92)),)="1111",OFFSET(TH!N$1,SMALL(Dong1,ROWS($1:92)),),OFFSET(TH!O$1,SMALL(Dong1,ROWS($1:92)),)))</f>
        <v>642</v>
      </c>
      <c r="G105" s="165">
        <f ca="1">IF(ROWS($1:92)&gt;COUNT(Dong1),"",IF(OFFSET(TH!N$1,SMALL(Dong1,ROWS($1:92)),)="1111",OFFSET(TH!M$1,SMALL(Dong1,ROWS($1:92)),),0))</f>
        <v>0</v>
      </c>
      <c r="H105" s="163">
        <f ca="1">IF(ROWS($1:92)&gt;COUNT(Dong1),"",IF(OFFSET(TH!O$1,SMALL(Dong1,ROWS($1:92)),)="1111",OFFSET(TH!M$1,SMALL(Dong1,ROWS($1:92)),),0))</f>
        <v>150000</v>
      </c>
      <c r="I105" s="161">
        <f t="shared" ca="1" si="4"/>
        <v>2873869952.5</v>
      </c>
      <c r="J105" s="166"/>
    </row>
    <row r="106" spans="1:10" ht="23.25" customHeight="1">
      <c r="A106" s="160">
        <f ca="1">IF(ROWS($1:93)&gt;COUNT(Dong1),"",OFFSET(TH!C$1,SMALL(Dong1,ROWS($1:93)),))</f>
        <v>42719</v>
      </c>
      <c r="B106" s="160">
        <f ca="1">IF(ROWS($1:93)&gt;COUNT(Dong1),"",OFFSET(TH!E$1,SMALL(Dong1,ROWS($1:93)),))</f>
        <v>42719</v>
      </c>
      <c r="C106" s="161" t="str">
        <f ca="1">IF(ROWS($1:93)&gt;COUNT(Dong1),"",IF(OFFSET(TH!N$1,SMALL(Dong1,ROWS($1:93)),)="1111",OFFSET(TH!D$1,SMALL(Dong1,ROWS($1:93)),),""))</f>
        <v/>
      </c>
      <c r="D106" s="162" t="str">
        <f ca="1">IF(ROWS($1:93)&gt;COUNT(Dong1),"",IF(OFFSET(TH!O$1,SMALL(Dong1,ROWS($1:93)),)="1111",OFFSET(TH!D$1,SMALL(Dong1,ROWS($1:93)),),""))</f>
        <v>C45</v>
      </c>
      <c r="E106" s="349" t="str">
        <f ca="1">IF(ROWS($1:93)&gt;COUNT(Dong1),"",OFFSET(TH!F$1,SMALL(Dong1,ROWS($1:93)),))</f>
        <v>VAT Băng tải, phí</v>
      </c>
      <c r="F106" s="164" t="str">
        <f ca="1">IF(ROWS($1:93)&gt;COUNT(Dong1),"",IF(OFFSET(TH!O$1,SMALL(Dong1,ROWS($1:93)),)="1111",OFFSET(TH!N$1,SMALL(Dong1,ROWS($1:93)),),OFFSET(TH!O$1,SMALL(Dong1,ROWS($1:93)),)))</f>
        <v>1331</v>
      </c>
      <c r="G106" s="165">
        <f ca="1">IF(ROWS($1:93)&gt;COUNT(Dong1),"",IF(OFFSET(TH!N$1,SMALL(Dong1,ROWS($1:93)),)="1111",OFFSET(TH!M$1,SMALL(Dong1,ROWS($1:93)),),0))</f>
        <v>0</v>
      </c>
      <c r="H106" s="163">
        <f ca="1">IF(ROWS($1:93)&gt;COUNT(Dong1),"",IF(OFFSET(TH!O$1,SMALL(Dong1,ROWS($1:93)),)="1111",OFFSET(TH!M$1,SMALL(Dong1,ROWS($1:93)),),0))</f>
        <v>1560000</v>
      </c>
      <c r="I106" s="161">
        <f t="shared" ca="1" si="4"/>
        <v>2872309952.5</v>
      </c>
      <c r="J106" s="166"/>
    </row>
    <row r="107" spans="1:10" ht="23.25" customHeight="1">
      <c r="A107" s="160">
        <f ca="1">IF(ROWS($1:94)&gt;COUNT(Dong1),"",OFFSET(TH!C$1,SMALL(Dong1,ROWS($1:94)),))</f>
        <v>42719</v>
      </c>
      <c r="B107" s="160">
        <f ca="1">IF(ROWS($1:94)&gt;COUNT(Dong1),"",OFFSET(TH!E$1,SMALL(Dong1,ROWS($1:94)),))</f>
        <v>42719</v>
      </c>
      <c r="C107" s="161" t="str">
        <f ca="1">IF(ROWS($1:94)&gt;COUNT(Dong1),"",IF(OFFSET(TH!N$1,SMALL(Dong1,ROWS($1:94)),)="1111",OFFSET(TH!D$1,SMALL(Dong1,ROWS($1:94)),),""))</f>
        <v/>
      </c>
      <c r="D107" s="162" t="str">
        <f ca="1">IF(ROWS($1:94)&gt;COUNT(Dong1),"",IF(OFFSET(TH!O$1,SMALL(Dong1,ROWS($1:94)),)="1111",OFFSET(TH!D$1,SMALL(Dong1,ROWS($1:94)),),""))</f>
        <v>C46</v>
      </c>
      <c r="E107" s="349" t="str">
        <f ca="1">IF(ROWS($1:94)&gt;COUNT(Dong1),"",OFFSET(TH!F$1,SMALL(Dong1,ROWS($1:94)),))</f>
        <v>Xăng, dầu DO</v>
      </c>
      <c r="F107" s="164" t="str">
        <f ca="1">IF(ROWS($1:94)&gt;COUNT(Dong1),"",IF(OFFSET(TH!O$1,SMALL(Dong1,ROWS($1:94)),)="1111",OFFSET(TH!N$1,SMALL(Dong1,ROWS($1:94)),),OFFSET(TH!O$1,SMALL(Dong1,ROWS($1:94)),)))</f>
        <v>642</v>
      </c>
      <c r="G107" s="165">
        <f ca="1">IF(ROWS($1:94)&gt;COUNT(Dong1),"",IF(OFFSET(TH!N$1,SMALL(Dong1,ROWS($1:94)),)="1111",OFFSET(TH!M$1,SMALL(Dong1,ROWS($1:94)),),0))</f>
        <v>0</v>
      </c>
      <c r="H107" s="163">
        <f ca="1">IF(ROWS($1:94)&gt;COUNT(Dong1),"",IF(OFFSET(TH!O$1,SMALL(Dong1,ROWS($1:94)),)="1111",OFFSET(TH!M$1,SMALL(Dong1,ROWS($1:94)),),0))</f>
        <v>1451654</v>
      </c>
      <c r="I107" s="161">
        <f t="shared" ca="1" si="4"/>
        <v>2870858298.5</v>
      </c>
      <c r="J107" s="166"/>
    </row>
    <row r="108" spans="1:10" ht="23.25" customHeight="1">
      <c r="A108" s="160">
        <f ca="1">IF(ROWS($1:95)&gt;COUNT(Dong1),"",OFFSET(TH!C$1,SMALL(Dong1,ROWS($1:95)),))</f>
        <v>42719</v>
      </c>
      <c r="B108" s="160">
        <f ca="1">IF(ROWS($1:95)&gt;COUNT(Dong1),"",OFFSET(TH!E$1,SMALL(Dong1,ROWS($1:95)),))</f>
        <v>42719</v>
      </c>
      <c r="C108" s="161" t="str">
        <f ca="1">IF(ROWS($1:95)&gt;COUNT(Dong1),"",IF(OFFSET(TH!N$1,SMALL(Dong1,ROWS($1:95)),)="1111",OFFSET(TH!D$1,SMALL(Dong1,ROWS($1:95)),),""))</f>
        <v/>
      </c>
      <c r="D108" s="162" t="str">
        <f ca="1">IF(ROWS($1:95)&gt;COUNT(Dong1),"",IF(OFFSET(TH!O$1,SMALL(Dong1,ROWS($1:95)),)="1111",OFFSET(TH!D$1,SMALL(Dong1,ROWS($1:95)),),""))</f>
        <v>C46</v>
      </c>
      <c r="E108" s="349" t="str">
        <f ca="1">IF(ROWS($1:95)&gt;COUNT(Dong1),"",OFFSET(TH!F$1,SMALL(Dong1,ROWS($1:95)),))</f>
        <v>VAT Xăng, dầu DO</v>
      </c>
      <c r="F108" s="164" t="str">
        <f ca="1">IF(ROWS($1:95)&gt;COUNT(Dong1),"",IF(OFFSET(TH!O$1,SMALL(Dong1,ROWS($1:95)),)="1111",OFFSET(TH!N$1,SMALL(Dong1,ROWS($1:95)),),OFFSET(TH!O$1,SMALL(Dong1,ROWS($1:95)),)))</f>
        <v>1331</v>
      </c>
      <c r="G108" s="165">
        <f ca="1">IF(ROWS($1:95)&gt;COUNT(Dong1),"",IF(OFFSET(TH!N$1,SMALL(Dong1,ROWS($1:95)),)="1111",OFFSET(TH!M$1,SMALL(Dong1,ROWS($1:95)),),0))</f>
        <v>0</v>
      </c>
      <c r="H108" s="163">
        <f ca="1">IF(ROWS($1:95)&gt;COUNT(Dong1),"",IF(OFFSET(TH!O$1,SMALL(Dong1,ROWS($1:95)),)="1111",OFFSET(TH!M$1,SMALL(Dong1,ROWS($1:95)),),0))</f>
        <v>145166</v>
      </c>
      <c r="I108" s="161">
        <f t="shared" ca="1" si="4"/>
        <v>2870713132.5</v>
      </c>
      <c r="J108" s="166"/>
    </row>
    <row r="109" spans="1:10" ht="23.25" customHeight="1">
      <c r="A109" s="160">
        <f ca="1">IF(ROWS($1:96)&gt;COUNT(Dong1),"",OFFSET(TH!C$1,SMALL(Dong1,ROWS($1:96)),))</f>
        <v>42719</v>
      </c>
      <c r="B109" s="160">
        <f ca="1">IF(ROWS($1:96)&gt;COUNT(Dong1),"",OFFSET(TH!E$1,SMALL(Dong1,ROWS($1:96)),))</f>
        <v>42719</v>
      </c>
      <c r="C109" s="161" t="str">
        <f ca="1">IF(ROWS($1:96)&gt;COUNT(Dong1),"",IF(OFFSET(TH!N$1,SMALL(Dong1,ROWS($1:96)),)="1111",OFFSET(TH!D$1,SMALL(Dong1,ROWS($1:96)),),""))</f>
        <v/>
      </c>
      <c r="D109" s="162" t="str">
        <f ca="1">IF(ROWS($1:96)&gt;COUNT(Dong1),"",IF(OFFSET(TH!O$1,SMALL(Dong1,ROWS($1:96)),)="1111",OFFSET(TH!D$1,SMALL(Dong1,ROWS($1:96)),),""))</f>
        <v>C49</v>
      </c>
      <c r="E109" s="349" t="str">
        <f ca="1">IF(ROWS($1:96)&gt;COUNT(Dong1),"",OFFSET(TH!F$1,SMALL(Dong1,ROWS($1:96)),))</f>
        <v>Tạm ứng mua NL</v>
      </c>
      <c r="F109" s="164" t="str">
        <f ca="1">IF(ROWS($1:96)&gt;COUNT(Dong1),"",IF(OFFSET(TH!O$1,SMALL(Dong1,ROWS($1:96)),)="1111",OFFSET(TH!N$1,SMALL(Dong1,ROWS($1:96)),),OFFSET(TH!O$1,SMALL(Dong1,ROWS($1:96)),)))</f>
        <v>141</v>
      </c>
      <c r="G109" s="165">
        <f ca="1">IF(ROWS($1:96)&gt;COUNT(Dong1),"",IF(OFFSET(TH!N$1,SMALL(Dong1,ROWS($1:96)),)="1111",OFFSET(TH!M$1,SMALL(Dong1,ROWS($1:96)),),0))</f>
        <v>0</v>
      </c>
      <c r="H109" s="163">
        <f ca="1">IF(ROWS($1:96)&gt;COUNT(Dong1),"",IF(OFFSET(TH!O$1,SMALL(Dong1,ROWS($1:96)),)="1111",OFFSET(TH!M$1,SMALL(Dong1,ROWS($1:96)),),0))</f>
        <v>1200000000</v>
      </c>
      <c r="I109" s="161">
        <f t="shared" ca="1" si="4"/>
        <v>1670713132.5</v>
      </c>
      <c r="J109" s="166"/>
    </row>
    <row r="110" spans="1:10" ht="23.25" customHeight="1">
      <c r="A110" s="160">
        <f ca="1">IF(ROWS($1:97)&gt;COUNT(Dong1),"",OFFSET(TH!C$1,SMALL(Dong1,ROWS($1:97)),))</f>
        <v>42728</v>
      </c>
      <c r="B110" s="160">
        <f ca="1">IF(ROWS($1:97)&gt;COUNT(Dong1),"",OFFSET(TH!E$1,SMALL(Dong1,ROWS($1:97)),))</f>
        <v>42728</v>
      </c>
      <c r="C110" s="161" t="str">
        <f ca="1">IF(ROWS($1:97)&gt;COUNT(Dong1),"",IF(OFFSET(TH!N$1,SMALL(Dong1,ROWS($1:97)),)="1111",OFFSET(TH!D$1,SMALL(Dong1,ROWS($1:97)),),""))</f>
        <v/>
      </c>
      <c r="D110" s="162" t="str">
        <f ca="1">IF(ROWS($1:97)&gt;COUNT(Dong1),"",IF(OFFSET(TH!O$1,SMALL(Dong1,ROWS($1:97)),)="1111",OFFSET(TH!D$1,SMALL(Dong1,ROWS($1:97)),),""))</f>
        <v>C85</v>
      </c>
      <c r="E110" s="349" t="str">
        <f ca="1">IF(ROWS($1:97)&gt;COUNT(Dong1),"",OFFSET(TH!F$1,SMALL(Dong1,ROWS($1:97)),))</f>
        <v>Thanh toán tiền thùng carton</v>
      </c>
      <c r="F110" s="164" t="str">
        <f ca="1">IF(ROWS($1:97)&gt;COUNT(Dong1),"",IF(OFFSET(TH!O$1,SMALL(Dong1,ROWS($1:97)),)="1111",OFFSET(TH!N$1,SMALL(Dong1,ROWS($1:97)),),OFFSET(TH!O$1,SMALL(Dong1,ROWS($1:97)),)))</f>
        <v>331</v>
      </c>
      <c r="G110" s="165">
        <f ca="1">IF(ROWS($1:97)&gt;COUNT(Dong1),"",IF(OFFSET(TH!N$1,SMALL(Dong1,ROWS($1:97)),)="1111",OFFSET(TH!M$1,SMALL(Dong1,ROWS($1:97)),),0))</f>
        <v>0</v>
      </c>
      <c r="H110" s="163">
        <f ca="1">IF(ROWS($1:97)&gt;COUNT(Dong1),"",IF(OFFSET(TH!O$1,SMALL(Dong1,ROWS($1:97)),)="1111",OFFSET(TH!M$1,SMALL(Dong1,ROWS($1:97)),),0))</f>
        <v>19800000</v>
      </c>
      <c r="I110" s="161">
        <f t="shared" ref="I110:I112" ca="1" si="5">IF(E110&lt;&gt;"",I109+G110-H110,0)</f>
        <v>1650913132.5</v>
      </c>
      <c r="J110" s="166"/>
    </row>
    <row r="111" spans="1:10" ht="23.25" customHeight="1">
      <c r="A111" s="160">
        <f ca="1">IF(ROWS($1:98)&gt;COUNT(Dong1),"",OFFSET(TH!C$1,SMALL(Dong1,ROWS($1:98)),))</f>
        <v>42726</v>
      </c>
      <c r="B111" s="160">
        <f ca="1">IF(ROWS($1:98)&gt;COUNT(Dong1),"",OFFSET(TH!E$1,SMALL(Dong1,ROWS($1:98)),))</f>
        <v>42726</v>
      </c>
      <c r="C111" s="161" t="str">
        <f ca="1">IF(ROWS($1:98)&gt;COUNT(Dong1),"",IF(OFFSET(TH!N$1,SMALL(Dong1,ROWS($1:98)),)="1111",OFFSET(TH!D$1,SMALL(Dong1,ROWS($1:98)),),""))</f>
        <v/>
      </c>
      <c r="D111" s="162" t="str">
        <f ca="1">IF(ROWS($1:98)&gt;COUNT(Dong1),"",IF(OFFSET(TH!O$1,SMALL(Dong1,ROWS($1:98)),)="1111",OFFSET(TH!D$1,SMALL(Dong1,ROWS($1:98)),),""))</f>
        <v>C78</v>
      </c>
      <c r="E111" s="349" t="str">
        <f ca="1">IF(ROWS($1:98)&gt;COUNT(Dong1),"",OFFSET(TH!F$1,SMALL(Dong1,ROWS($1:98)),))</f>
        <v>Thanh toán tiền thùng carton</v>
      </c>
      <c r="F111" s="164" t="str">
        <f ca="1">IF(ROWS($1:98)&gt;COUNT(Dong1),"",IF(OFFSET(TH!O$1,SMALL(Dong1,ROWS($1:98)),)="1111",OFFSET(TH!N$1,SMALL(Dong1,ROWS($1:98)),),OFFSET(TH!O$1,SMALL(Dong1,ROWS($1:98)),)))</f>
        <v>331</v>
      </c>
      <c r="G111" s="165">
        <f ca="1">IF(ROWS($1:98)&gt;COUNT(Dong1),"",IF(OFFSET(TH!N$1,SMALL(Dong1,ROWS($1:98)),)="1111",OFFSET(TH!M$1,SMALL(Dong1,ROWS($1:98)),),0))</f>
        <v>0</v>
      </c>
      <c r="H111" s="163">
        <f ca="1">IF(ROWS($1:98)&gt;COUNT(Dong1),"",IF(OFFSET(TH!O$1,SMALL(Dong1,ROWS($1:98)),)="1111",OFFSET(TH!M$1,SMALL(Dong1,ROWS($1:98)),),0))</f>
        <v>15996750</v>
      </c>
      <c r="I111" s="161">
        <f t="shared" ca="1" si="5"/>
        <v>1634916382.5</v>
      </c>
      <c r="J111" s="166"/>
    </row>
    <row r="112" spans="1:10" ht="23.25" customHeight="1">
      <c r="A112" s="160">
        <f ca="1">IF(ROWS($1:99)&gt;COUNT(Dong1),"",OFFSET(TH!C$1,SMALL(Dong1,ROWS($1:99)),))</f>
        <v>42720</v>
      </c>
      <c r="B112" s="160">
        <f ca="1">IF(ROWS($1:99)&gt;COUNT(Dong1),"",OFFSET(TH!E$1,SMALL(Dong1,ROWS($1:99)),))</f>
        <v>42720</v>
      </c>
      <c r="C112" s="161" t="str">
        <f ca="1">IF(ROWS($1:99)&gt;COUNT(Dong1),"",IF(OFFSET(TH!N$1,SMALL(Dong1,ROWS($1:99)),)="1111",OFFSET(TH!D$1,SMALL(Dong1,ROWS($1:99)),),""))</f>
        <v/>
      </c>
      <c r="D112" s="162" t="str">
        <f ca="1">IF(ROWS($1:99)&gt;COUNT(Dong1),"",IF(OFFSET(TH!O$1,SMALL(Dong1,ROWS($1:99)),)="1111",OFFSET(TH!D$1,SMALL(Dong1,ROWS($1:99)),),""))</f>
        <v>C52</v>
      </c>
      <c r="E112" s="349" t="str">
        <f ca="1">IF(ROWS($1:99)&gt;COUNT(Dong1),"",OFFSET(TH!F$1,SMALL(Dong1,ROWS($1:99)),))</f>
        <v>Phí nâng công rỗng lạnh</v>
      </c>
      <c r="F112" s="164" t="str">
        <f ca="1">IF(ROWS($1:99)&gt;COUNT(Dong1),"",IF(OFFSET(TH!O$1,SMALL(Dong1,ROWS($1:99)),)="1111",OFFSET(TH!N$1,SMALL(Dong1,ROWS($1:99)),),OFFSET(TH!O$1,SMALL(Dong1,ROWS($1:99)),)))</f>
        <v>642</v>
      </c>
      <c r="G112" s="165">
        <f ca="1">IF(ROWS($1:99)&gt;COUNT(Dong1),"",IF(OFFSET(TH!N$1,SMALL(Dong1,ROWS($1:99)),)="1111",OFFSET(TH!M$1,SMALL(Dong1,ROWS($1:99)),),0))</f>
        <v>0</v>
      </c>
      <c r="H112" s="163">
        <f ca="1">IF(ROWS($1:99)&gt;COUNT(Dong1),"",IF(OFFSET(TH!O$1,SMALL(Dong1,ROWS($1:99)),)="1111",OFFSET(TH!M$1,SMALL(Dong1,ROWS($1:99)),),0))</f>
        <v>11090909</v>
      </c>
      <c r="I112" s="161">
        <f t="shared" ca="1" si="5"/>
        <v>1623825473.5</v>
      </c>
      <c r="J112" s="166"/>
    </row>
    <row r="113" spans="1:10" ht="23.25" customHeight="1">
      <c r="A113" s="160">
        <f ca="1">IF(ROWS($1:100)&gt;COUNT(Dong1),"",OFFSET(TH!C$1,SMALL(Dong1,ROWS($1:100)),))</f>
        <v>42720</v>
      </c>
      <c r="B113" s="160">
        <f ca="1">IF(ROWS($1:100)&gt;COUNT(Dong1),"",OFFSET(TH!E$1,SMALL(Dong1,ROWS($1:100)),))</f>
        <v>42720</v>
      </c>
      <c r="C113" s="161" t="str">
        <f ca="1">IF(ROWS($1:100)&gt;COUNT(Dong1),"",IF(OFFSET(TH!N$1,SMALL(Dong1,ROWS($1:100)),)="1111",OFFSET(TH!D$1,SMALL(Dong1,ROWS($1:100)),),""))</f>
        <v/>
      </c>
      <c r="D113" s="162" t="str">
        <f ca="1">IF(ROWS($1:100)&gt;COUNT(Dong1),"",IF(OFFSET(TH!O$1,SMALL(Dong1,ROWS($1:100)),)="1111",OFFSET(TH!D$1,SMALL(Dong1,ROWS($1:100)),),""))</f>
        <v>C52</v>
      </c>
      <c r="E113" s="349" t="str">
        <f ca="1">IF(ROWS($1:100)&gt;COUNT(Dong1),"",OFFSET(TH!F$1,SMALL(Dong1,ROWS($1:100)),))</f>
        <v>VAT Phí nâng công rỗng lạnh</v>
      </c>
      <c r="F113" s="164" t="str">
        <f ca="1">IF(ROWS($1:100)&gt;COUNT(Dong1),"",IF(OFFSET(TH!O$1,SMALL(Dong1,ROWS($1:100)),)="1111",OFFSET(TH!N$1,SMALL(Dong1,ROWS($1:100)),),OFFSET(TH!O$1,SMALL(Dong1,ROWS($1:100)),)))</f>
        <v>1331</v>
      </c>
      <c r="G113" s="165">
        <f ca="1">IF(ROWS($1:100)&gt;COUNT(Dong1),"",IF(OFFSET(TH!N$1,SMALL(Dong1,ROWS($1:100)),)="1111",OFFSET(TH!M$1,SMALL(Dong1,ROWS($1:100)),),0))</f>
        <v>0</v>
      </c>
      <c r="H113" s="163">
        <f ca="1">IF(ROWS($1:100)&gt;COUNT(Dong1),"",IF(OFFSET(TH!O$1,SMALL(Dong1,ROWS($1:100)),)="1111",OFFSET(TH!M$1,SMALL(Dong1,ROWS($1:100)),),0))</f>
        <v>1109091</v>
      </c>
      <c r="I113" s="161">
        <f t="shared" ref="I113:I128" ca="1" si="6">IF(E113&lt;&gt;"",I112+G113-H113,0)</f>
        <v>1622716382.5</v>
      </c>
      <c r="J113" s="166"/>
    </row>
    <row r="114" spans="1:10" ht="23.25" customHeight="1">
      <c r="A114" s="160">
        <f ca="1">IF(ROWS($1:101)&gt;COUNT(Dong1),"",OFFSET(TH!C$1,SMALL(Dong1,ROWS($1:101)),))</f>
        <v>42720</v>
      </c>
      <c r="B114" s="160">
        <f ca="1">IF(ROWS($1:101)&gt;COUNT(Dong1),"",OFFSET(TH!E$1,SMALL(Dong1,ROWS($1:101)),))</f>
        <v>42720</v>
      </c>
      <c r="C114" s="161" t="str">
        <f ca="1">IF(ROWS($1:101)&gt;COUNT(Dong1),"",IF(OFFSET(TH!N$1,SMALL(Dong1,ROWS($1:101)),)="1111",OFFSET(TH!D$1,SMALL(Dong1,ROWS($1:101)),),""))</f>
        <v/>
      </c>
      <c r="D114" s="162" t="str">
        <f ca="1">IF(ROWS($1:101)&gt;COUNT(Dong1),"",IF(OFFSET(TH!O$1,SMALL(Dong1,ROWS($1:101)),)="1111",OFFSET(TH!D$1,SMALL(Dong1,ROWS($1:101)),),""))</f>
        <v>C53</v>
      </c>
      <c r="E114" s="349" t="str">
        <f ca="1">IF(ROWS($1:101)&gt;COUNT(Dong1),"",OFFSET(TH!F$1,SMALL(Dong1,ROWS($1:101)),))</f>
        <v>Tạm ứng mua NL</v>
      </c>
      <c r="F114" s="164" t="str">
        <f ca="1">IF(ROWS($1:101)&gt;COUNT(Dong1),"",IF(OFFSET(TH!O$1,SMALL(Dong1,ROWS($1:101)),)="1111",OFFSET(TH!N$1,SMALL(Dong1,ROWS($1:101)),),OFFSET(TH!O$1,SMALL(Dong1,ROWS($1:101)),)))</f>
        <v>141</v>
      </c>
      <c r="G114" s="165">
        <f ca="1">IF(ROWS($1:101)&gt;COUNT(Dong1),"",IF(OFFSET(TH!N$1,SMALL(Dong1,ROWS($1:101)),)="1111",OFFSET(TH!M$1,SMALL(Dong1,ROWS($1:101)),),0))</f>
        <v>0</v>
      </c>
      <c r="H114" s="163">
        <f ca="1">IF(ROWS($1:101)&gt;COUNT(Dong1),"",IF(OFFSET(TH!O$1,SMALL(Dong1,ROWS($1:101)),)="1111",OFFSET(TH!M$1,SMALL(Dong1,ROWS($1:101)),),0))</f>
        <v>1000000000</v>
      </c>
      <c r="I114" s="161">
        <f t="shared" ca="1" si="6"/>
        <v>622716382.5</v>
      </c>
      <c r="J114" s="166"/>
    </row>
    <row r="115" spans="1:10" ht="23.25" customHeight="1">
      <c r="A115" s="160">
        <f ca="1">IF(ROWS($1:102)&gt;COUNT(Dong1),"",OFFSET(TH!C$1,SMALL(Dong1,ROWS($1:102)),))</f>
        <v>42720</v>
      </c>
      <c r="B115" s="160">
        <f ca="1">IF(ROWS($1:102)&gt;COUNT(Dong1),"",OFFSET(TH!E$1,SMALL(Dong1,ROWS($1:102)),))</f>
        <v>42720</v>
      </c>
      <c r="C115" s="161" t="str">
        <f ca="1">IF(ROWS($1:102)&gt;COUNT(Dong1),"",IF(OFFSET(TH!N$1,SMALL(Dong1,ROWS($1:102)),)="1111",OFFSET(TH!D$1,SMALL(Dong1,ROWS($1:102)),),""))</f>
        <v>T14</v>
      </c>
      <c r="D115" s="162" t="str">
        <f ca="1">IF(ROWS($1:102)&gt;COUNT(Dong1),"",IF(OFFSET(TH!O$1,SMALL(Dong1,ROWS($1:102)),)="1111",OFFSET(TH!D$1,SMALL(Dong1,ROWS($1:102)),),""))</f>
        <v/>
      </c>
      <c r="E115" s="349" t="str">
        <f ca="1">IF(ROWS($1:102)&gt;COUNT(Dong1),"",OFFSET(TH!F$1,SMALL(Dong1,ROWS($1:102)),))</f>
        <v>Rút tiền gửi NH nhập quỹ TM</v>
      </c>
      <c r="F115" s="164" t="str">
        <f ca="1">IF(ROWS($1:102)&gt;COUNT(Dong1),"",IF(OFFSET(TH!O$1,SMALL(Dong1,ROWS($1:102)),)="1111",OFFSET(TH!N$1,SMALL(Dong1,ROWS($1:102)),),OFFSET(TH!O$1,SMALL(Dong1,ROWS($1:102)),)))</f>
        <v>1121</v>
      </c>
      <c r="G115" s="165">
        <f ca="1">IF(ROWS($1:102)&gt;COUNT(Dong1),"",IF(OFFSET(TH!N$1,SMALL(Dong1,ROWS($1:102)),)="1111",OFFSET(TH!M$1,SMALL(Dong1,ROWS($1:102)),),0))</f>
        <v>240000000</v>
      </c>
      <c r="H115" s="163">
        <f ca="1">IF(ROWS($1:102)&gt;COUNT(Dong1),"",IF(OFFSET(TH!O$1,SMALL(Dong1,ROWS($1:102)),)="1111",OFFSET(TH!M$1,SMALL(Dong1,ROWS($1:102)),),0))</f>
        <v>0</v>
      </c>
      <c r="I115" s="161">
        <f t="shared" ca="1" si="6"/>
        <v>862716382.5</v>
      </c>
      <c r="J115" s="166"/>
    </row>
    <row r="116" spans="1:10" ht="23.25" customHeight="1">
      <c r="A116" s="160">
        <f ca="1">IF(ROWS($1:103)&gt;COUNT(Dong1),"",OFFSET(TH!C$1,SMALL(Dong1,ROWS($1:103)),))</f>
        <v>42721</v>
      </c>
      <c r="B116" s="160">
        <f ca="1">IF(ROWS($1:103)&gt;COUNT(Dong1),"",OFFSET(TH!E$1,SMALL(Dong1,ROWS($1:103)),))</f>
        <v>42721</v>
      </c>
      <c r="C116" s="161" t="str">
        <f ca="1">IF(ROWS($1:103)&gt;COUNT(Dong1),"",IF(OFFSET(TH!N$1,SMALL(Dong1,ROWS($1:103)),)="1111",OFFSET(TH!D$1,SMALL(Dong1,ROWS($1:103)),),""))</f>
        <v/>
      </c>
      <c r="D116" s="162" t="str">
        <f ca="1">IF(ROWS($1:103)&gt;COUNT(Dong1),"",IF(OFFSET(TH!O$1,SMALL(Dong1,ROWS($1:103)),)="1111",OFFSET(TH!D$1,SMALL(Dong1,ROWS($1:103)),),""))</f>
        <v>C56</v>
      </c>
      <c r="E116" s="349" t="str">
        <f ca="1">IF(ROWS($1:103)&gt;COUNT(Dong1),"",OFFSET(TH!F$1,SMALL(Dong1,ROWS($1:103)),))</f>
        <v>Tạm ứng mua NL</v>
      </c>
      <c r="F116" s="164" t="str">
        <f ca="1">IF(ROWS($1:103)&gt;COUNT(Dong1),"",IF(OFFSET(TH!O$1,SMALL(Dong1,ROWS($1:103)),)="1111",OFFSET(TH!N$1,SMALL(Dong1,ROWS($1:103)),),OFFSET(TH!O$1,SMALL(Dong1,ROWS($1:103)),)))</f>
        <v>141</v>
      </c>
      <c r="G116" s="165">
        <f ca="1">IF(ROWS($1:103)&gt;COUNT(Dong1),"",IF(OFFSET(TH!N$1,SMALL(Dong1,ROWS($1:103)),)="1111",OFFSET(TH!M$1,SMALL(Dong1,ROWS($1:103)),),0))</f>
        <v>0</v>
      </c>
      <c r="H116" s="163">
        <f ca="1">IF(ROWS($1:103)&gt;COUNT(Dong1),"",IF(OFFSET(TH!O$1,SMALL(Dong1,ROWS($1:103)),)="1111",OFFSET(TH!M$1,SMALL(Dong1,ROWS($1:103)),),0))</f>
        <v>800000000</v>
      </c>
      <c r="I116" s="161">
        <f t="shared" ca="1" si="6"/>
        <v>62716382.5</v>
      </c>
      <c r="J116" s="166"/>
    </row>
    <row r="117" spans="1:10" ht="23.25" customHeight="1">
      <c r="A117" s="160">
        <f ca="1">IF(ROWS($1:104)&gt;COUNT(Dong1),"",OFFSET(TH!C$1,SMALL(Dong1,ROWS($1:104)),))</f>
        <v>42722</v>
      </c>
      <c r="B117" s="160">
        <f ca="1">IF(ROWS($1:104)&gt;COUNT(Dong1),"",OFFSET(TH!E$1,SMALL(Dong1,ROWS($1:104)),))</f>
        <v>42722</v>
      </c>
      <c r="C117" s="161" t="str">
        <f ca="1">IF(ROWS($1:104)&gt;COUNT(Dong1),"",IF(OFFSET(TH!N$1,SMALL(Dong1,ROWS($1:104)),)="1111",OFFSET(TH!D$1,SMALL(Dong1,ROWS($1:104)),),""))</f>
        <v/>
      </c>
      <c r="D117" s="162" t="str">
        <f ca="1">IF(ROWS($1:104)&gt;COUNT(Dong1),"",IF(OFFSET(TH!O$1,SMALL(Dong1,ROWS($1:104)),)="1111",OFFSET(TH!D$1,SMALL(Dong1,ROWS($1:104)),),""))</f>
        <v>C57</v>
      </c>
      <c r="E117" s="349" t="str">
        <f ca="1">IF(ROWS($1:104)&gt;COUNT(Dong1),"",OFFSET(TH!F$1,SMALL(Dong1,ROWS($1:104)),))</f>
        <v>Xăng, dầu DO</v>
      </c>
      <c r="F117" s="164" t="str">
        <f ca="1">IF(ROWS($1:104)&gt;COUNT(Dong1),"",IF(OFFSET(TH!O$1,SMALL(Dong1,ROWS($1:104)),)="1111",OFFSET(TH!N$1,SMALL(Dong1,ROWS($1:104)),),OFFSET(TH!O$1,SMALL(Dong1,ROWS($1:104)),)))</f>
        <v>642</v>
      </c>
      <c r="G117" s="165">
        <f ca="1">IF(ROWS($1:104)&gt;COUNT(Dong1),"",IF(OFFSET(TH!N$1,SMALL(Dong1,ROWS($1:104)),)="1111",OFFSET(TH!M$1,SMALL(Dong1,ROWS($1:104)),),0))</f>
        <v>0</v>
      </c>
      <c r="H117" s="163">
        <f ca="1">IF(ROWS($1:104)&gt;COUNT(Dong1),"",IF(OFFSET(TH!O$1,SMALL(Dong1,ROWS($1:104)),)="1111",OFFSET(TH!M$1,SMALL(Dong1,ROWS($1:104)),),0))</f>
        <v>2384618</v>
      </c>
      <c r="I117" s="161">
        <f t="shared" ca="1" si="6"/>
        <v>60331764.5</v>
      </c>
      <c r="J117" s="166"/>
    </row>
    <row r="118" spans="1:10" ht="23.25" customHeight="1">
      <c r="A118" s="160">
        <f ca="1">IF(ROWS($1:105)&gt;COUNT(Dong1),"",OFFSET(TH!C$1,SMALL(Dong1,ROWS($1:105)),))</f>
        <v>42722</v>
      </c>
      <c r="B118" s="160">
        <f ca="1">IF(ROWS($1:105)&gt;COUNT(Dong1),"",OFFSET(TH!E$1,SMALL(Dong1,ROWS($1:105)),))</f>
        <v>42722</v>
      </c>
      <c r="C118" s="161" t="str">
        <f ca="1">IF(ROWS($1:105)&gt;COUNT(Dong1),"",IF(OFFSET(TH!N$1,SMALL(Dong1,ROWS($1:105)),)="1111",OFFSET(TH!D$1,SMALL(Dong1,ROWS($1:105)),),""))</f>
        <v/>
      </c>
      <c r="D118" s="162" t="str">
        <f ca="1">IF(ROWS($1:105)&gt;COUNT(Dong1),"",IF(OFFSET(TH!O$1,SMALL(Dong1,ROWS($1:105)),)="1111",OFFSET(TH!D$1,SMALL(Dong1,ROWS($1:105)),),""))</f>
        <v>C57</v>
      </c>
      <c r="E118" s="349" t="str">
        <f ca="1">IF(ROWS($1:105)&gt;COUNT(Dong1),"",OFFSET(TH!F$1,SMALL(Dong1,ROWS($1:105)),))</f>
        <v>VAT Xăng, dầu DO</v>
      </c>
      <c r="F118" s="164" t="str">
        <f ca="1">IF(ROWS($1:105)&gt;COUNT(Dong1),"",IF(OFFSET(TH!O$1,SMALL(Dong1,ROWS($1:105)),)="1111",OFFSET(TH!N$1,SMALL(Dong1,ROWS($1:105)),),OFFSET(TH!O$1,SMALL(Dong1,ROWS($1:105)),)))</f>
        <v>1331</v>
      </c>
      <c r="G118" s="165">
        <f ca="1">IF(ROWS($1:105)&gt;COUNT(Dong1),"",IF(OFFSET(TH!N$1,SMALL(Dong1,ROWS($1:105)),)="1111",OFFSET(TH!M$1,SMALL(Dong1,ROWS($1:105)),),0))</f>
        <v>0</v>
      </c>
      <c r="H118" s="163">
        <f ca="1">IF(ROWS($1:105)&gt;COUNT(Dong1),"",IF(OFFSET(TH!O$1,SMALL(Dong1,ROWS($1:105)),)="1111",OFFSET(TH!M$1,SMALL(Dong1,ROWS($1:105)),),0))</f>
        <v>238462</v>
      </c>
      <c r="I118" s="161">
        <f t="shared" ca="1" si="6"/>
        <v>60093302.5</v>
      </c>
      <c r="J118" s="166"/>
    </row>
    <row r="119" spans="1:10" ht="23.25" customHeight="1">
      <c r="A119" s="160">
        <f ca="1">IF(ROWS($1:106)&gt;COUNT(Dong1),"",OFFSET(TH!C$1,SMALL(Dong1,ROWS($1:106)),))</f>
        <v>42729</v>
      </c>
      <c r="B119" s="160">
        <f ca="1">IF(ROWS($1:106)&gt;COUNT(Dong1),"",OFFSET(TH!E$1,SMALL(Dong1,ROWS($1:106)),))</f>
        <v>42729</v>
      </c>
      <c r="C119" s="161" t="str">
        <f ca="1">IF(ROWS($1:106)&gt;COUNT(Dong1),"",IF(OFFSET(TH!N$1,SMALL(Dong1,ROWS($1:106)),)="1111",OFFSET(TH!D$1,SMALL(Dong1,ROWS($1:106)),),""))</f>
        <v/>
      </c>
      <c r="D119" s="162" t="str">
        <f ca="1">IF(ROWS($1:106)&gt;COUNT(Dong1),"",IF(OFFSET(TH!O$1,SMALL(Dong1,ROWS($1:106)),)="1111",OFFSET(TH!D$1,SMALL(Dong1,ROWS($1:106)),),""))</f>
        <v>C89</v>
      </c>
      <c r="E119" s="349" t="str">
        <f ca="1">IF(ROWS($1:106)&gt;COUNT(Dong1),"",OFFSET(TH!F$1,SMALL(Dong1,ROWS($1:106)),))</f>
        <v>Thanh toán tiền thùng carton</v>
      </c>
      <c r="F119" s="164" t="str">
        <f ca="1">IF(ROWS($1:106)&gt;COUNT(Dong1),"",IF(OFFSET(TH!O$1,SMALL(Dong1,ROWS($1:106)),)="1111",OFFSET(TH!N$1,SMALL(Dong1,ROWS($1:106)),),OFFSET(TH!O$1,SMALL(Dong1,ROWS($1:106)),)))</f>
        <v>331</v>
      </c>
      <c r="G119" s="165">
        <f ca="1">IF(ROWS($1:106)&gt;COUNT(Dong1),"",IF(OFFSET(TH!N$1,SMALL(Dong1,ROWS($1:106)),)="1111",OFFSET(TH!M$1,SMALL(Dong1,ROWS($1:106)),),0))</f>
        <v>0</v>
      </c>
      <c r="H119" s="163">
        <f ca="1">IF(ROWS($1:106)&gt;COUNT(Dong1),"",IF(OFFSET(TH!O$1,SMALL(Dong1,ROWS($1:106)),)="1111",OFFSET(TH!M$1,SMALL(Dong1,ROWS($1:106)),),0))</f>
        <v>19800000</v>
      </c>
      <c r="I119" s="161">
        <f t="shared" ca="1" si="6"/>
        <v>40293302.5</v>
      </c>
      <c r="J119" s="166"/>
    </row>
    <row r="120" spans="1:10" ht="23.25" customHeight="1">
      <c r="A120" s="160">
        <f ca="1">IF(ROWS($1:107)&gt;COUNT(Dong1),"",OFFSET(TH!C$1,SMALL(Dong1,ROWS($1:107)),))</f>
        <v>42723</v>
      </c>
      <c r="B120" s="160">
        <f ca="1">IF(ROWS($1:107)&gt;COUNT(Dong1),"",OFFSET(TH!E$1,SMALL(Dong1,ROWS($1:107)),))</f>
        <v>42723</v>
      </c>
      <c r="C120" s="161" t="str">
        <f ca="1">IF(ROWS($1:107)&gt;COUNT(Dong1),"",IF(OFFSET(TH!N$1,SMALL(Dong1,ROWS($1:107)),)="1111",OFFSET(TH!D$1,SMALL(Dong1,ROWS($1:107)),),""))</f>
        <v/>
      </c>
      <c r="D120" s="162" t="str">
        <f ca="1">IF(ROWS($1:107)&gt;COUNT(Dong1),"",IF(OFFSET(TH!O$1,SMALL(Dong1,ROWS($1:107)),)="1111",OFFSET(TH!D$1,SMALL(Dong1,ROWS($1:107)),),""))</f>
        <v>C60</v>
      </c>
      <c r="E120" s="349" t="str">
        <f ca="1">IF(ROWS($1:107)&gt;COUNT(Dong1),"",OFFSET(TH!F$1,SMALL(Dong1,ROWS($1:107)),))</f>
        <v>Xăng, dầu DO</v>
      </c>
      <c r="F120" s="164" t="str">
        <f ca="1">IF(ROWS($1:107)&gt;COUNT(Dong1),"",IF(OFFSET(TH!O$1,SMALL(Dong1,ROWS($1:107)),)="1111",OFFSET(TH!N$1,SMALL(Dong1,ROWS($1:107)),),OFFSET(TH!O$1,SMALL(Dong1,ROWS($1:107)),)))</f>
        <v>642</v>
      </c>
      <c r="G120" s="165">
        <f ca="1">IF(ROWS($1:107)&gt;COUNT(Dong1),"",IF(OFFSET(TH!N$1,SMALL(Dong1,ROWS($1:107)),)="1111",OFFSET(TH!M$1,SMALL(Dong1,ROWS($1:107)),),0))</f>
        <v>0</v>
      </c>
      <c r="H120" s="163">
        <f ca="1">IF(ROWS($1:107)&gt;COUNT(Dong1),"",IF(OFFSET(TH!O$1,SMALL(Dong1,ROWS($1:107)),)="1111",OFFSET(TH!M$1,SMALL(Dong1,ROWS($1:107)),),0))</f>
        <v>552873</v>
      </c>
      <c r="I120" s="161">
        <f t="shared" ca="1" si="6"/>
        <v>39740429.5</v>
      </c>
      <c r="J120" s="166"/>
    </row>
    <row r="121" spans="1:10" ht="23.25" customHeight="1">
      <c r="A121" s="160">
        <f ca="1">IF(ROWS($1:108)&gt;COUNT(Dong1),"",OFFSET(TH!C$1,SMALL(Dong1,ROWS($1:108)),))</f>
        <v>42723</v>
      </c>
      <c r="B121" s="160">
        <f ca="1">IF(ROWS($1:108)&gt;COUNT(Dong1),"",OFFSET(TH!E$1,SMALL(Dong1,ROWS($1:108)),))</f>
        <v>42723</v>
      </c>
      <c r="C121" s="161" t="str">
        <f ca="1">IF(ROWS($1:108)&gt;COUNT(Dong1),"",IF(OFFSET(TH!N$1,SMALL(Dong1,ROWS($1:108)),)="1111",OFFSET(TH!D$1,SMALL(Dong1,ROWS($1:108)),),""))</f>
        <v/>
      </c>
      <c r="D121" s="162" t="str">
        <f ca="1">IF(ROWS($1:108)&gt;COUNT(Dong1),"",IF(OFFSET(TH!O$1,SMALL(Dong1,ROWS($1:108)),)="1111",OFFSET(TH!D$1,SMALL(Dong1,ROWS($1:108)),),""))</f>
        <v>C60</v>
      </c>
      <c r="E121" s="349" t="str">
        <f ca="1">IF(ROWS($1:108)&gt;COUNT(Dong1),"",OFFSET(TH!F$1,SMALL(Dong1,ROWS($1:108)),))</f>
        <v>VAT Xăng, dầu DO</v>
      </c>
      <c r="F121" s="164" t="str">
        <f ca="1">IF(ROWS($1:108)&gt;COUNT(Dong1),"",IF(OFFSET(TH!O$1,SMALL(Dong1,ROWS($1:108)),)="1111",OFFSET(TH!N$1,SMALL(Dong1,ROWS($1:108)),),OFFSET(TH!O$1,SMALL(Dong1,ROWS($1:108)),)))</f>
        <v>1331</v>
      </c>
      <c r="G121" s="165">
        <f ca="1">IF(ROWS($1:108)&gt;COUNT(Dong1),"",IF(OFFSET(TH!N$1,SMALL(Dong1,ROWS($1:108)),)="1111",OFFSET(TH!M$1,SMALL(Dong1,ROWS($1:108)),),0))</f>
        <v>0</v>
      </c>
      <c r="H121" s="163">
        <f ca="1">IF(ROWS($1:108)&gt;COUNT(Dong1),"",IF(OFFSET(TH!O$1,SMALL(Dong1,ROWS($1:108)),)="1111",OFFSET(TH!M$1,SMALL(Dong1,ROWS($1:108)),),0))</f>
        <v>55287</v>
      </c>
      <c r="I121" s="161">
        <f t="shared" ca="1" si="6"/>
        <v>39685142.5</v>
      </c>
      <c r="J121" s="166"/>
    </row>
    <row r="122" spans="1:10" ht="23.25" customHeight="1">
      <c r="A122" s="160">
        <f ca="1">IF(ROWS($1:109)&gt;COUNT(Dong1),"",OFFSET(TH!C$1,SMALL(Dong1,ROWS($1:109)),))</f>
        <v>42723</v>
      </c>
      <c r="B122" s="160">
        <f ca="1">IF(ROWS($1:109)&gt;COUNT(Dong1),"",OFFSET(TH!E$1,SMALL(Dong1,ROWS($1:109)),))</f>
        <v>42723</v>
      </c>
      <c r="C122" s="161" t="str">
        <f ca="1">IF(ROWS($1:109)&gt;COUNT(Dong1),"",IF(OFFSET(TH!N$1,SMALL(Dong1,ROWS($1:109)),)="1111",OFFSET(TH!D$1,SMALL(Dong1,ROWS($1:109)),),""))</f>
        <v/>
      </c>
      <c r="D122" s="162" t="str">
        <f ca="1">IF(ROWS($1:109)&gt;COUNT(Dong1),"",IF(OFFSET(TH!O$1,SMALL(Dong1,ROWS($1:109)),)="1111",OFFSET(TH!D$1,SMALL(Dong1,ROWS($1:109)),),""))</f>
        <v>C61</v>
      </c>
      <c r="E122" s="349" t="str">
        <f ca="1">IF(ROWS($1:109)&gt;COUNT(Dong1),"",OFFSET(TH!F$1,SMALL(Dong1,ROWS($1:109)),))</f>
        <v>Thanh toán tiền muối</v>
      </c>
      <c r="F122" s="164" t="str">
        <f ca="1">IF(ROWS($1:109)&gt;COUNT(Dong1),"",IF(OFFSET(TH!O$1,SMALL(Dong1,ROWS($1:109)),)="1111",OFFSET(TH!N$1,SMALL(Dong1,ROWS($1:109)),),OFFSET(TH!O$1,SMALL(Dong1,ROWS($1:109)),)))</f>
        <v>331</v>
      </c>
      <c r="G122" s="165">
        <f ca="1">IF(ROWS($1:109)&gt;COUNT(Dong1),"",IF(OFFSET(TH!N$1,SMALL(Dong1,ROWS($1:109)),)="1111",OFFSET(TH!M$1,SMALL(Dong1,ROWS($1:109)),),0))</f>
        <v>0</v>
      </c>
      <c r="H122" s="163">
        <f ca="1">IF(ROWS($1:109)&gt;COUNT(Dong1),"",IF(OFFSET(TH!O$1,SMALL(Dong1,ROWS($1:109)),)="1111",OFFSET(TH!M$1,SMALL(Dong1,ROWS($1:109)),),0))</f>
        <v>6000000</v>
      </c>
      <c r="I122" s="161">
        <f t="shared" ca="1" si="6"/>
        <v>33685142.5</v>
      </c>
      <c r="J122" s="166"/>
    </row>
    <row r="123" spans="1:10" ht="23.25" customHeight="1">
      <c r="A123" s="160">
        <f ca="1">IF(ROWS($1:110)&gt;COUNT(Dong1),"",OFFSET(TH!C$1,SMALL(Dong1,ROWS($1:110)),))</f>
        <v>42723</v>
      </c>
      <c r="B123" s="160">
        <f ca="1">IF(ROWS($1:110)&gt;COUNT(Dong1),"",OFFSET(TH!E$1,SMALL(Dong1,ROWS($1:110)),))</f>
        <v>42723</v>
      </c>
      <c r="C123" s="161" t="str">
        <f ca="1">IF(ROWS($1:110)&gt;COUNT(Dong1),"",IF(OFFSET(TH!N$1,SMALL(Dong1,ROWS($1:110)),)="1111",OFFSET(TH!D$1,SMALL(Dong1,ROWS($1:110)),),""))</f>
        <v/>
      </c>
      <c r="D123" s="162" t="str">
        <f ca="1">IF(ROWS($1:110)&gt;COUNT(Dong1),"",IF(OFFSET(TH!O$1,SMALL(Dong1,ROWS($1:110)),)="1111",OFFSET(TH!D$1,SMALL(Dong1,ROWS($1:110)),),""))</f>
        <v>C62</v>
      </c>
      <c r="E123" s="349" t="str">
        <f ca="1">IF(ROWS($1:110)&gt;COUNT(Dong1),"",OFFSET(TH!F$1,SMALL(Dong1,ROWS($1:110)),))</f>
        <v>Tạm ứng mua NL</v>
      </c>
      <c r="F123" s="164" t="str">
        <f ca="1">IF(ROWS($1:110)&gt;COUNT(Dong1),"",IF(OFFSET(TH!O$1,SMALL(Dong1,ROWS($1:110)),)="1111",OFFSET(TH!N$1,SMALL(Dong1,ROWS($1:110)),),OFFSET(TH!O$1,SMALL(Dong1,ROWS($1:110)),)))</f>
        <v>141</v>
      </c>
      <c r="G123" s="165">
        <f ca="1">IF(ROWS($1:110)&gt;COUNT(Dong1),"",IF(OFFSET(TH!N$1,SMALL(Dong1,ROWS($1:110)),)="1111",OFFSET(TH!M$1,SMALL(Dong1,ROWS($1:110)),),0))</f>
        <v>0</v>
      </c>
      <c r="H123" s="163">
        <f ca="1">IF(ROWS($1:110)&gt;COUNT(Dong1),"",IF(OFFSET(TH!O$1,SMALL(Dong1,ROWS($1:110)),)="1111",OFFSET(TH!M$1,SMALL(Dong1,ROWS($1:110)),),0))</f>
        <v>1000000000</v>
      </c>
      <c r="I123" s="161">
        <f t="shared" ca="1" si="6"/>
        <v>-966314857.5</v>
      </c>
      <c r="J123" s="166"/>
    </row>
    <row r="124" spans="1:10" ht="23.25" customHeight="1">
      <c r="A124" s="160">
        <f ca="1">IF(ROWS($1:111)&gt;COUNT(Dong1),"",OFFSET(TH!C$1,SMALL(Dong1,ROWS($1:111)),))</f>
        <v>42723</v>
      </c>
      <c r="B124" s="160">
        <f ca="1">IF(ROWS($1:111)&gt;COUNT(Dong1),"",OFFSET(TH!E$1,SMALL(Dong1,ROWS($1:111)),))</f>
        <v>42723</v>
      </c>
      <c r="C124" s="161" t="str">
        <f ca="1">IF(ROWS($1:111)&gt;COUNT(Dong1),"",IF(OFFSET(TH!N$1,SMALL(Dong1,ROWS($1:111)),)="1111",OFFSET(TH!D$1,SMALL(Dong1,ROWS($1:111)),),""))</f>
        <v>T15</v>
      </c>
      <c r="D124" s="162" t="str">
        <f ca="1">IF(ROWS($1:111)&gt;COUNT(Dong1),"",IF(OFFSET(TH!O$1,SMALL(Dong1,ROWS($1:111)),)="1111",OFFSET(TH!D$1,SMALL(Dong1,ROWS($1:111)),),""))</f>
        <v/>
      </c>
      <c r="E124" s="349" t="str">
        <f ca="1">IF(ROWS($1:111)&gt;COUNT(Dong1),"",OFFSET(TH!F$1,SMALL(Dong1,ROWS($1:111)),))</f>
        <v>Rút tiền gửi NH nhập quỹ TM</v>
      </c>
      <c r="F124" s="164" t="str">
        <f ca="1">IF(ROWS($1:111)&gt;COUNT(Dong1),"",IF(OFFSET(TH!O$1,SMALL(Dong1,ROWS($1:111)),)="1111",OFFSET(TH!N$1,SMALL(Dong1,ROWS($1:111)),),OFFSET(TH!O$1,SMALL(Dong1,ROWS($1:111)),)))</f>
        <v>1121</v>
      </c>
      <c r="G124" s="165">
        <f ca="1">IF(ROWS($1:111)&gt;COUNT(Dong1),"",IF(OFFSET(TH!N$1,SMALL(Dong1,ROWS($1:111)),)="1111",OFFSET(TH!M$1,SMALL(Dong1,ROWS($1:111)),),0))</f>
        <v>3100000000</v>
      </c>
      <c r="H124" s="163">
        <f ca="1">IF(ROWS($1:111)&gt;COUNT(Dong1),"",IF(OFFSET(TH!O$1,SMALL(Dong1,ROWS($1:111)),)="1111",OFFSET(TH!M$1,SMALL(Dong1,ROWS($1:111)),),0))</f>
        <v>0</v>
      </c>
      <c r="I124" s="161">
        <f t="shared" ca="1" si="6"/>
        <v>2133685142.5</v>
      </c>
      <c r="J124" s="166"/>
    </row>
    <row r="125" spans="1:10" ht="23.25" customHeight="1">
      <c r="A125" s="160">
        <f ca="1">IF(ROWS($1:112)&gt;COUNT(Dong1),"",OFFSET(TH!C$1,SMALL(Dong1,ROWS($1:112)),))</f>
        <v>42724</v>
      </c>
      <c r="B125" s="160">
        <f ca="1">IF(ROWS($1:112)&gt;COUNT(Dong1),"",OFFSET(TH!E$1,SMALL(Dong1,ROWS($1:112)),))</f>
        <v>42724</v>
      </c>
      <c r="C125" s="161" t="str">
        <f ca="1">IF(ROWS($1:112)&gt;COUNT(Dong1),"",IF(OFFSET(TH!N$1,SMALL(Dong1,ROWS($1:112)),)="1111",OFFSET(TH!D$1,SMALL(Dong1,ROWS($1:112)),),""))</f>
        <v/>
      </c>
      <c r="D125" s="162" t="str">
        <f ca="1">IF(ROWS($1:112)&gt;COUNT(Dong1),"",IF(OFFSET(TH!O$1,SMALL(Dong1,ROWS($1:112)),)="1111",OFFSET(TH!D$1,SMALL(Dong1,ROWS($1:112)),),""))</f>
        <v>C63</v>
      </c>
      <c r="E125" s="349" t="str">
        <f ca="1">IF(ROWS($1:112)&gt;COUNT(Dong1),"",OFFSET(TH!F$1,SMALL(Dong1,ROWS($1:112)),))</f>
        <v>Nộp tiền mặt vào TK NH</v>
      </c>
      <c r="F125" s="164" t="str">
        <f ca="1">IF(ROWS($1:112)&gt;COUNT(Dong1),"",IF(OFFSET(TH!O$1,SMALL(Dong1,ROWS($1:112)),)="1111",OFFSET(TH!N$1,SMALL(Dong1,ROWS($1:112)),),OFFSET(TH!O$1,SMALL(Dong1,ROWS($1:112)),)))</f>
        <v>1121</v>
      </c>
      <c r="G125" s="165">
        <f ca="1">IF(ROWS($1:112)&gt;COUNT(Dong1),"",IF(OFFSET(TH!N$1,SMALL(Dong1,ROWS($1:112)),)="1111",OFFSET(TH!M$1,SMALL(Dong1,ROWS($1:112)),),0))</f>
        <v>0</v>
      </c>
      <c r="H125" s="163">
        <f ca="1">IF(ROWS($1:112)&gt;COUNT(Dong1),"",IF(OFFSET(TH!O$1,SMALL(Dong1,ROWS($1:112)),)="1111",OFFSET(TH!M$1,SMALL(Dong1,ROWS($1:112)),),0))</f>
        <v>30000000</v>
      </c>
      <c r="I125" s="161">
        <f t="shared" ca="1" si="6"/>
        <v>2103685142.5</v>
      </c>
      <c r="J125" s="166"/>
    </row>
    <row r="126" spans="1:10" ht="23.25" customHeight="1">
      <c r="A126" s="160">
        <f ca="1">IF(ROWS($1:113)&gt;COUNT(Dong1),"",OFFSET(TH!C$1,SMALL(Dong1,ROWS($1:113)),))</f>
        <v>42724</v>
      </c>
      <c r="B126" s="160">
        <f ca="1">IF(ROWS($1:113)&gt;COUNT(Dong1),"",OFFSET(TH!E$1,SMALL(Dong1,ROWS($1:113)),))</f>
        <v>42724</v>
      </c>
      <c r="C126" s="161" t="str">
        <f ca="1">IF(ROWS($1:113)&gt;COUNT(Dong1),"",IF(OFFSET(TH!N$1,SMALL(Dong1,ROWS($1:113)),)="1111",OFFSET(TH!D$1,SMALL(Dong1,ROWS($1:113)),),""))</f>
        <v/>
      </c>
      <c r="D126" s="162" t="str">
        <f ca="1">IF(ROWS($1:113)&gt;COUNT(Dong1),"",IF(OFFSET(TH!O$1,SMALL(Dong1,ROWS($1:113)),)="1111",OFFSET(TH!D$1,SMALL(Dong1,ROWS($1:113)),),""))</f>
        <v>C64</v>
      </c>
      <c r="E126" s="349" t="str">
        <f ca="1">IF(ROWS($1:113)&gt;COUNT(Dong1),"",OFFSET(TH!F$1,SMALL(Dong1,ROWS($1:113)),))</f>
        <v>Gas</v>
      </c>
      <c r="F126" s="164" t="str">
        <f ca="1">IF(ROWS($1:113)&gt;COUNT(Dong1),"",IF(OFFSET(TH!O$1,SMALL(Dong1,ROWS($1:113)),)="1111",OFFSET(TH!N$1,SMALL(Dong1,ROWS($1:113)),),OFFSET(TH!O$1,SMALL(Dong1,ROWS($1:113)),)))</f>
        <v>154</v>
      </c>
      <c r="G126" s="165">
        <f ca="1">IF(ROWS($1:113)&gt;COUNT(Dong1),"",IF(OFFSET(TH!N$1,SMALL(Dong1,ROWS($1:113)),)="1111",OFFSET(TH!M$1,SMALL(Dong1,ROWS($1:113)),),0))</f>
        <v>0</v>
      </c>
      <c r="H126" s="163">
        <f ca="1">IF(ROWS($1:113)&gt;COUNT(Dong1),"",IF(OFFSET(TH!O$1,SMALL(Dong1,ROWS($1:113)),)="1111",OFFSET(TH!M$1,SMALL(Dong1,ROWS($1:113)),),0))</f>
        <v>7883520</v>
      </c>
      <c r="I126" s="161">
        <f t="shared" ca="1" si="6"/>
        <v>2095801622.5</v>
      </c>
      <c r="J126" s="166"/>
    </row>
    <row r="127" spans="1:10" ht="23.25" customHeight="1">
      <c r="A127" s="160">
        <f ca="1">IF(ROWS($1:114)&gt;COUNT(Dong1),"",OFFSET(TH!C$1,SMALL(Dong1,ROWS($1:114)),))</f>
        <v>42724</v>
      </c>
      <c r="B127" s="160">
        <f ca="1">IF(ROWS($1:114)&gt;COUNT(Dong1),"",OFFSET(TH!E$1,SMALL(Dong1,ROWS($1:114)),))</f>
        <v>42724</v>
      </c>
      <c r="C127" s="161" t="str">
        <f ca="1">IF(ROWS($1:114)&gt;COUNT(Dong1),"",IF(OFFSET(TH!N$1,SMALL(Dong1,ROWS($1:114)),)="1111",OFFSET(TH!D$1,SMALL(Dong1,ROWS($1:114)),),""))</f>
        <v/>
      </c>
      <c r="D127" s="162" t="str">
        <f ca="1">IF(ROWS($1:114)&gt;COUNT(Dong1),"",IF(OFFSET(TH!O$1,SMALL(Dong1,ROWS($1:114)),)="1111",OFFSET(TH!D$1,SMALL(Dong1,ROWS($1:114)),),""))</f>
        <v>C64</v>
      </c>
      <c r="E127" s="349" t="str">
        <f ca="1">IF(ROWS($1:114)&gt;COUNT(Dong1),"",OFFSET(TH!F$1,SMALL(Dong1,ROWS($1:114)),))</f>
        <v>Vat Gas</v>
      </c>
      <c r="F127" s="164" t="str">
        <f ca="1">IF(ROWS($1:114)&gt;COUNT(Dong1),"",IF(OFFSET(TH!O$1,SMALL(Dong1,ROWS($1:114)),)="1111",OFFSET(TH!N$1,SMALL(Dong1,ROWS($1:114)),),OFFSET(TH!O$1,SMALL(Dong1,ROWS($1:114)),)))</f>
        <v>1331</v>
      </c>
      <c r="G127" s="165">
        <f ca="1">IF(ROWS($1:114)&gt;COUNT(Dong1),"",IF(OFFSET(TH!N$1,SMALL(Dong1,ROWS($1:114)),)="1111",OFFSET(TH!M$1,SMALL(Dong1,ROWS($1:114)),),0))</f>
        <v>0</v>
      </c>
      <c r="H127" s="163">
        <f ca="1">IF(ROWS($1:114)&gt;COUNT(Dong1),"",IF(OFFSET(TH!O$1,SMALL(Dong1,ROWS($1:114)),)="1111",OFFSET(TH!M$1,SMALL(Dong1,ROWS($1:114)),),0))</f>
        <v>788352</v>
      </c>
      <c r="I127" s="161">
        <f t="shared" ca="1" si="6"/>
        <v>2095013270.5</v>
      </c>
      <c r="J127" s="166"/>
    </row>
    <row r="128" spans="1:10" ht="23.25" customHeight="1">
      <c r="A128" s="160">
        <f ca="1">IF(ROWS($1:115)&gt;COUNT(Dong1),"",OFFSET(TH!C$1,SMALL(Dong1,ROWS($1:115)),))</f>
        <v>42724</v>
      </c>
      <c r="B128" s="160">
        <f ca="1">IF(ROWS($1:115)&gt;COUNT(Dong1),"",OFFSET(TH!E$1,SMALL(Dong1,ROWS($1:115)),))</f>
        <v>42724</v>
      </c>
      <c r="C128" s="161" t="str">
        <f ca="1">IF(ROWS($1:115)&gt;COUNT(Dong1),"",IF(OFFSET(TH!N$1,SMALL(Dong1,ROWS($1:115)),)="1111",OFFSET(TH!D$1,SMALL(Dong1,ROWS($1:115)),),""))</f>
        <v/>
      </c>
      <c r="D128" s="162" t="str">
        <f ca="1">IF(ROWS($1:115)&gt;COUNT(Dong1),"",IF(OFFSET(TH!O$1,SMALL(Dong1,ROWS($1:115)),)="1111",OFFSET(TH!D$1,SMALL(Dong1,ROWS($1:115)),),""))</f>
        <v>C67</v>
      </c>
      <c r="E128" s="349" t="str">
        <f ca="1">IF(ROWS($1:115)&gt;COUNT(Dong1),"",OFFSET(TH!F$1,SMALL(Dong1,ROWS($1:115)),))</f>
        <v>Gas</v>
      </c>
      <c r="F128" s="164" t="str">
        <f ca="1">IF(ROWS($1:115)&gt;COUNT(Dong1),"",IF(OFFSET(TH!O$1,SMALL(Dong1,ROWS($1:115)),)="1111",OFFSET(TH!N$1,SMALL(Dong1,ROWS($1:115)),),OFFSET(TH!O$1,SMALL(Dong1,ROWS($1:115)),)))</f>
        <v>154</v>
      </c>
      <c r="G128" s="165">
        <f ca="1">IF(ROWS($1:115)&gt;COUNT(Dong1),"",IF(OFFSET(TH!N$1,SMALL(Dong1,ROWS($1:115)),)="1111",OFFSET(TH!M$1,SMALL(Dong1,ROWS($1:115)),),0))</f>
        <v>0</v>
      </c>
      <c r="H128" s="163">
        <f ca="1">IF(ROWS($1:115)&gt;COUNT(Dong1),"",IF(OFFSET(TH!O$1,SMALL(Dong1,ROWS($1:115)),)="1111",OFFSET(TH!M$1,SMALL(Dong1,ROWS($1:115)),),0))</f>
        <v>9404546</v>
      </c>
      <c r="I128" s="161">
        <f t="shared" ca="1" si="6"/>
        <v>2085608724.5</v>
      </c>
      <c r="J128" s="166"/>
    </row>
    <row r="129" spans="1:10" ht="23.25" customHeight="1">
      <c r="A129" s="160">
        <f ca="1">IF(ROWS($1:116)&gt;COUNT(Dong1),"",OFFSET(TH!C$1,SMALL(Dong1,ROWS($1:116)),))</f>
        <v>42724</v>
      </c>
      <c r="B129" s="160">
        <f ca="1">IF(ROWS($1:116)&gt;COUNT(Dong1),"",OFFSET(TH!E$1,SMALL(Dong1,ROWS($1:116)),))</f>
        <v>42724</v>
      </c>
      <c r="C129" s="161" t="str">
        <f ca="1">IF(ROWS($1:116)&gt;COUNT(Dong1),"",IF(OFFSET(TH!N$1,SMALL(Dong1,ROWS($1:116)),)="1111",OFFSET(TH!D$1,SMALL(Dong1,ROWS($1:116)),),""))</f>
        <v/>
      </c>
      <c r="D129" s="162" t="str">
        <f ca="1">IF(ROWS($1:116)&gt;COUNT(Dong1),"",IF(OFFSET(TH!O$1,SMALL(Dong1,ROWS($1:116)),)="1111",OFFSET(TH!D$1,SMALL(Dong1,ROWS($1:116)),),""))</f>
        <v>C67</v>
      </c>
      <c r="E129" s="349" t="str">
        <f ca="1">IF(ROWS($1:116)&gt;COUNT(Dong1),"",OFFSET(TH!F$1,SMALL(Dong1,ROWS($1:116)),))</f>
        <v>VAT Gas</v>
      </c>
      <c r="F129" s="164" t="str">
        <f ca="1">IF(ROWS($1:116)&gt;COUNT(Dong1),"",IF(OFFSET(TH!O$1,SMALL(Dong1,ROWS($1:116)),)="1111",OFFSET(TH!N$1,SMALL(Dong1,ROWS($1:116)),),OFFSET(TH!O$1,SMALL(Dong1,ROWS($1:116)),)))</f>
        <v>1331</v>
      </c>
      <c r="G129" s="165">
        <f ca="1">IF(ROWS($1:116)&gt;COUNT(Dong1),"",IF(OFFSET(TH!N$1,SMALL(Dong1,ROWS($1:116)),)="1111",OFFSET(TH!M$1,SMALL(Dong1,ROWS($1:116)),),0))</f>
        <v>0</v>
      </c>
      <c r="H129" s="163">
        <f ca="1">IF(ROWS($1:116)&gt;COUNT(Dong1),"",IF(OFFSET(TH!O$1,SMALL(Dong1,ROWS($1:116)),)="1111",OFFSET(TH!M$1,SMALL(Dong1,ROWS($1:116)),),0))</f>
        <v>940455</v>
      </c>
      <c r="I129" s="161">
        <f t="shared" ref="I129:I161" ca="1" si="7">IF(E129&lt;&gt;"",I128+G129-H129,0)</f>
        <v>2084668269.5</v>
      </c>
      <c r="J129" s="166"/>
    </row>
    <row r="130" spans="1:10" ht="23.25" customHeight="1">
      <c r="A130" s="160">
        <f ca="1">IF(ROWS($1:117)&gt;COUNT(Dong1),"",OFFSET(TH!C$1,SMALL(Dong1,ROWS($1:117)),))</f>
        <v>42724</v>
      </c>
      <c r="B130" s="160">
        <f ca="1">IF(ROWS($1:117)&gt;COUNT(Dong1),"",OFFSET(TH!E$1,SMALL(Dong1,ROWS($1:117)),))</f>
        <v>42724</v>
      </c>
      <c r="C130" s="161" t="str">
        <f ca="1">IF(ROWS($1:117)&gt;COUNT(Dong1),"",IF(OFFSET(TH!N$1,SMALL(Dong1,ROWS($1:117)),)="1111",OFFSET(TH!D$1,SMALL(Dong1,ROWS($1:117)),),""))</f>
        <v/>
      </c>
      <c r="D130" s="162" t="str">
        <f ca="1">IF(ROWS($1:117)&gt;COUNT(Dong1),"",IF(OFFSET(TH!O$1,SMALL(Dong1,ROWS($1:117)),)="1111",OFFSET(TH!D$1,SMALL(Dong1,ROWS($1:117)),),""))</f>
        <v>C69</v>
      </c>
      <c r="E130" s="349" t="str">
        <f ca="1">IF(ROWS($1:117)&gt;COUNT(Dong1),"",OFFSET(TH!F$1,SMALL(Dong1,ROWS($1:117)),))</f>
        <v>Tạm ứng mua NL</v>
      </c>
      <c r="F130" s="164" t="str">
        <f ca="1">IF(ROWS($1:117)&gt;COUNT(Dong1),"",IF(OFFSET(TH!O$1,SMALL(Dong1,ROWS($1:117)),)="1111",OFFSET(TH!N$1,SMALL(Dong1,ROWS($1:117)),),OFFSET(TH!O$1,SMALL(Dong1,ROWS($1:117)),)))</f>
        <v>141</v>
      </c>
      <c r="G130" s="165">
        <f ca="1">IF(ROWS($1:117)&gt;COUNT(Dong1),"",IF(OFFSET(TH!N$1,SMALL(Dong1,ROWS($1:117)),)="1111",OFFSET(TH!M$1,SMALL(Dong1,ROWS($1:117)),),0))</f>
        <v>0</v>
      </c>
      <c r="H130" s="163">
        <f ca="1">IF(ROWS($1:117)&gt;COUNT(Dong1),"",IF(OFFSET(TH!O$1,SMALL(Dong1,ROWS($1:117)),)="1111",OFFSET(TH!M$1,SMALL(Dong1,ROWS($1:117)),),0))</f>
        <v>1000000000</v>
      </c>
      <c r="I130" s="161">
        <f t="shared" ca="1" si="7"/>
        <v>1084668269.5</v>
      </c>
      <c r="J130" s="166"/>
    </row>
    <row r="131" spans="1:10" ht="23.25" customHeight="1">
      <c r="A131" s="160">
        <f ca="1">IF(ROWS($1:118)&gt;COUNT(Dong1),"",OFFSET(TH!C$1,SMALL(Dong1,ROWS($1:118)),))</f>
        <v>42724</v>
      </c>
      <c r="B131" s="160">
        <f ca="1">IF(ROWS($1:118)&gt;COUNT(Dong1),"",OFFSET(TH!E$1,SMALL(Dong1,ROWS($1:118)),))</f>
        <v>42724</v>
      </c>
      <c r="C131" s="161" t="str">
        <f ca="1">IF(ROWS($1:118)&gt;COUNT(Dong1),"",IF(OFFSET(TH!N$1,SMALL(Dong1,ROWS($1:118)),)="1111",OFFSET(TH!D$1,SMALL(Dong1,ROWS($1:118)),),""))</f>
        <v>T16</v>
      </c>
      <c r="D131" s="162" t="str">
        <f ca="1">IF(ROWS($1:118)&gt;COUNT(Dong1),"",IF(OFFSET(TH!O$1,SMALL(Dong1,ROWS($1:118)),)="1111",OFFSET(TH!D$1,SMALL(Dong1,ROWS($1:118)),),""))</f>
        <v/>
      </c>
      <c r="E131" s="349" t="str">
        <f ca="1">IF(ROWS($1:118)&gt;COUNT(Dong1),"",OFFSET(TH!F$1,SMALL(Dong1,ROWS($1:118)),))</f>
        <v>Rút tiền gửi NH nhập quỹ TM</v>
      </c>
      <c r="F131" s="164" t="str">
        <f ca="1">IF(ROWS($1:118)&gt;COUNT(Dong1),"",IF(OFFSET(TH!O$1,SMALL(Dong1,ROWS($1:118)),)="1111",OFFSET(TH!N$1,SMALL(Dong1,ROWS($1:118)),),OFFSET(TH!O$1,SMALL(Dong1,ROWS($1:118)),)))</f>
        <v>1121</v>
      </c>
      <c r="G131" s="165">
        <f ca="1">IF(ROWS($1:118)&gt;COUNT(Dong1),"",IF(OFFSET(TH!N$1,SMALL(Dong1,ROWS($1:118)),)="1111",OFFSET(TH!M$1,SMALL(Dong1,ROWS($1:118)),),0))</f>
        <v>300000000</v>
      </c>
      <c r="H131" s="163">
        <f ca="1">IF(ROWS($1:118)&gt;COUNT(Dong1),"",IF(OFFSET(TH!O$1,SMALL(Dong1,ROWS($1:118)),)="1111",OFFSET(TH!M$1,SMALL(Dong1,ROWS($1:118)),),0))</f>
        <v>0</v>
      </c>
      <c r="I131" s="161">
        <f t="shared" ca="1" si="7"/>
        <v>1384668269.5</v>
      </c>
      <c r="J131" s="166"/>
    </row>
    <row r="132" spans="1:10" ht="23.25" customHeight="1">
      <c r="A132" s="160">
        <f ca="1">IF(ROWS($1:119)&gt;COUNT(Dong1),"",OFFSET(TH!C$1,SMALL(Dong1,ROWS($1:119)),))</f>
        <v>42728</v>
      </c>
      <c r="B132" s="160">
        <f ca="1">IF(ROWS($1:119)&gt;COUNT(Dong1),"",OFFSET(TH!E$1,SMALL(Dong1,ROWS($1:119)),))</f>
        <v>42728</v>
      </c>
      <c r="C132" s="161" t="str">
        <f ca="1">IF(ROWS($1:119)&gt;COUNT(Dong1),"",IF(OFFSET(TH!N$1,SMALL(Dong1,ROWS($1:119)),)="1111",OFFSET(TH!D$1,SMALL(Dong1,ROWS($1:119)),),""))</f>
        <v/>
      </c>
      <c r="D132" s="162" t="str">
        <f ca="1">IF(ROWS($1:119)&gt;COUNT(Dong1),"",IF(OFFSET(TH!O$1,SMALL(Dong1,ROWS($1:119)),)="1111",OFFSET(TH!D$1,SMALL(Dong1,ROWS($1:119)),),""))</f>
        <v>C86</v>
      </c>
      <c r="E132" s="349" t="str">
        <f ca="1">IF(ROWS($1:119)&gt;COUNT(Dong1),"",OFFSET(TH!F$1,SMALL(Dong1,ROWS($1:119)),))</f>
        <v>Thanh toán tiền thùng carton</v>
      </c>
      <c r="F132" s="164" t="str">
        <f ca="1">IF(ROWS($1:119)&gt;COUNT(Dong1),"",IF(OFFSET(TH!O$1,SMALL(Dong1,ROWS($1:119)),)="1111",OFFSET(TH!N$1,SMALL(Dong1,ROWS($1:119)),),OFFSET(TH!O$1,SMALL(Dong1,ROWS($1:119)),)))</f>
        <v>331</v>
      </c>
      <c r="G132" s="165">
        <f ca="1">IF(ROWS($1:119)&gt;COUNT(Dong1),"",IF(OFFSET(TH!N$1,SMALL(Dong1,ROWS($1:119)),)="1111",OFFSET(TH!M$1,SMALL(Dong1,ROWS($1:119)),),0))</f>
        <v>0</v>
      </c>
      <c r="H132" s="163">
        <f ca="1">IF(ROWS($1:119)&gt;COUNT(Dong1),"",IF(OFFSET(TH!O$1,SMALL(Dong1,ROWS($1:119)),)="1111",OFFSET(TH!M$1,SMALL(Dong1,ROWS($1:119)),),0))</f>
        <v>19800000</v>
      </c>
      <c r="I132" s="161">
        <f t="shared" ca="1" si="7"/>
        <v>1364868269.5</v>
      </c>
      <c r="J132" s="166"/>
    </row>
    <row r="133" spans="1:10" ht="23.25" customHeight="1">
      <c r="A133" s="160">
        <f ca="1">IF(ROWS($1:120)&gt;COUNT(Dong1),"",OFFSET(TH!C$1,SMALL(Dong1,ROWS($1:120)),))</f>
        <v>42725</v>
      </c>
      <c r="B133" s="160">
        <f ca="1">IF(ROWS($1:120)&gt;COUNT(Dong1),"",OFFSET(TH!E$1,SMALL(Dong1,ROWS($1:120)),))</f>
        <v>42725</v>
      </c>
      <c r="C133" s="161" t="str">
        <f ca="1">IF(ROWS($1:120)&gt;COUNT(Dong1),"",IF(OFFSET(TH!N$1,SMALL(Dong1,ROWS($1:120)),)="1111",OFFSET(TH!D$1,SMALL(Dong1,ROWS($1:120)),),""))</f>
        <v/>
      </c>
      <c r="D133" s="162" t="str">
        <f ca="1">IF(ROWS($1:120)&gt;COUNT(Dong1),"",IF(OFFSET(TH!O$1,SMALL(Dong1,ROWS($1:120)),)="1111",OFFSET(TH!D$1,SMALL(Dong1,ROWS($1:120)),),""))</f>
        <v>C73</v>
      </c>
      <c r="E133" s="349" t="str">
        <f ca="1">IF(ROWS($1:120)&gt;COUNT(Dong1),"",OFFSET(TH!F$1,SMALL(Dong1,ROWS($1:120)),))</f>
        <v>Quạt máy</v>
      </c>
      <c r="F133" s="164" t="str">
        <f ca="1">IF(ROWS($1:120)&gt;COUNT(Dong1),"",IF(OFFSET(TH!O$1,SMALL(Dong1,ROWS($1:120)),)="1111",OFFSET(TH!N$1,SMALL(Dong1,ROWS($1:120)),),OFFSET(TH!O$1,SMALL(Dong1,ROWS($1:120)),)))</f>
        <v>642</v>
      </c>
      <c r="G133" s="165">
        <f ca="1">IF(ROWS($1:120)&gt;COUNT(Dong1),"",IF(OFFSET(TH!N$1,SMALL(Dong1,ROWS($1:120)),)="1111",OFFSET(TH!M$1,SMALL(Dong1,ROWS($1:120)),),0))</f>
        <v>0</v>
      </c>
      <c r="H133" s="163">
        <f ca="1">IF(ROWS($1:120)&gt;COUNT(Dong1),"",IF(OFFSET(TH!O$1,SMALL(Dong1,ROWS($1:120)),)="1111",OFFSET(TH!M$1,SMALL(Dong1,ROWS($1:120)),),0))</f>
        <v>3960000</v>
      </c>
      <c r="I133" s="161">
        <f t="shared" ca="1" si="7"/>
        <v>1360908269.5</v>
      </c>
      <c r="J133" s="166"/>
    </row>
    <row r="134" spans="1:10" ht="23.25" customHeight="1">
      <c r="A134" s="160">
        <f ca="1">IF(ROWS($1:121)&gt;COUNT(Dong1),"",OFFSET(TH!C$1,SMALL(Dong1,ROWS($1:121)),))</f>
        <v>42725</v>
      </c>
      <c r="B134" s="160">
        <f ca="1">IF(ROWS($1:121)&gt;COUNT(Dong1),"",OFFSET(TH!E$1,SMALL(Dong1,ROWS($1:121)),))</f>
        <v>42725</v>
      </c>
      <c r="C134" s="161" t="str">
        <f ca="1">IF(ROWS($1:121)&gt;COUNT(Dong1),"",IF(OFFSET(TH!N$1,SMALL(Dong1,ROWS($1:121)),)="1111",OFFSET(TH!D$1,SMALL(Dong1,ROWS($1:121)),),""))</f>
        <v/>
      </c>
      <c r="D134" s="162" t="str">
        <f ca="1">IF(ROWS($1:121)&gt;COUNT(Dong1),"",IF(OFFSET(TH!O$1,SMALL(Dong1,ROWS($1:121)),)="1111",OFFSET(TH!D$1,SMALL(Dong1,ROWS($1:121)),),""))</f>
        <v>C73</v>
      </c>
      <c r="E134" s="349" t="str">
        <f ca="1">IF(ROWS($1:121)&gt;COUNT(Dong1),"",OFFSET(TH!F$1,SMALL(Dong1,ROWS($1:121)),))</f>
        <v>VAT Quạt máy</v>
      </c>
      <c r="F134" s="164" t="str">
        <f ca="1">IF(ROWS($1:121)&gt;COUNT(Dong1),"",IF(OFFSET(TH!O$1,SMALL(Dong1,ROWS($1:121)),)="1111",OFFSET(TH!N$1,SMALL(Dong1,ROWS($1:121)),),OFFSET(TH!O$1,SMALL(Dong1,ROWS($1:121)),)))</f>
        <v>1331</v>
      </c>
      <c r="G134" s="165">
        <f ca="1">IF(ROWS($1:121)&gt;COUNT(Dong1),"",IF(OFFSET(TH!N$1,SMALL(Dong1,ROWS($1:121)),)="1111",OFFSET(TH!M$1,SMALL(Dong1,ROWS($1:121)),),0))</f>
        <v>0</v>
      </c>
      <c r="H134" s="163">
        <f ca="1">IF(ROWS($1:121)&gt;COUNT(Dong1),"",IF(OFFSET(TH!O$1,SMALL(Dong1,ROWS($1:121)),)="1111",OFFSET(TH!M$1,SMALL(Dong1,ROWS($1:121)),),0))</f>
        <v>396000</v>
      </c>
      <c r="I134" s="161">
        <f t="shared" ca="1" si="7"/>
        <v>1360512269.5</v>
      </c>
      <c r="J134" s="166"/>
    </row>
    <row r="135" spans="1:10" ht="23.25" customHeight="1">
      <c r="A135" s="160">
        <f ca="1">IF(ROWS($1:122)&gt;COUNT(Dong1),"",OFFSET(TH!C$1,SMALL(Dong1,ROWS($1:122)),))</f>
        <v>42725</v>
      </c>
      <c r="B135" s="160">
        <f ca="1">IF(ROWS($1:122)&gt;COUNT(Dong1),"",OFFSET(TH!E$1,SMALL(Dong1,ROWS($1:122)),))</f>
        <v>42725</v>
      </c>
      <c r="C135" s="161" t="str">
        <f ca="1">IF(ROWS($1:122)&gt;COUNT(Dong1),"",IF(OFFSET(TH!N$1,SMALL(Dong1,ROWS($1:122)),)="1111",OFFSET(TH!D$1,SMALL(Dong1,ROWS($1:122)),),""))</f>
        <v/>
      </c>
      <c r="D135" s="162" t="str">
        <f ca="1">IF(ROWS($1:122)&gt;COUNT(Dong1),"",IF(OFFSET(TH!O$1,SMALL(Dong1,ROWS($1:122)),)="1111",OFFSET(TH!D$1,SMALL(Dong1,ROWS($1:122)),),""))</f>
        <v>C74</v>
      </c>
      <c r="E135" s="349" t="str">
        <f ca="1">IF(ROWS($1:122)&gt;COUNT(Dong1),"",OFFSET(TH!F$1,SMALL(Dong1,ROWS($1:122)),))</f>
        <v>Tạm ứng mua NL</v>
      </c>
      <c r="F135" s="164" t="str">
        <f ca="1">IF(ROWS($1:122)&gt;COUNT(Dong1),"",IF(OFFSET(TH!O$1,SMALL(Dong1,ROWS($1:122)),)="1111",OFFSET(TH!N$1,SMALL(Dong1,ROWS($1:122)),),OFFSET(TH!O$1,SMALL(Dong1,ROWS($1:122)),)))</f>
        <v>141</v>
      </c>
      <c r="G135" s="165">
        <f ca="1">IF(ROWS($1:122)&gt;COUNT(Dong1),"",IF(OFFSET(TH!N$1,SMALL(Dong1,ROWS($1:122)),)="1111",OFFSET(TH!M$1,SMALL(Dong1,ROWS($1:122)),),0))</f>
        <v>0</v>
      </c>
      <c r="H135" s="163">
        <f ca="1">IF(ROWS($1:122)&gt;COUNT(Dong1),"",IF(OFFSET(TH!O$1,SMALL(Dong1,ROWS($1:122)),)="1111",OFFSET(TH!M$1,SMALL(Dong1,ROWS($1:122)),),0))</f>
        <v>850000000</v>
      </c>
      <c r="I135" s="161">
        <f t="shared" ca="1" si="7"/>
        <v>510512269.5</v>
      </c>
      <c r="J135" s="166"/>
    </row>
    <row r="136" spans="1:10" ht="23.25" customHeight="1">
      <c r="A136" s="160">
        <f ca="1">IF(ROWS($1:123)&gt;COUNT(Dong1),"",OFFSET(TH!C$1,SMALL(Dong1,ROWS($1:123)),))</f>
        <v>42726</v>
      </c>
      <c r="B136" s="160">
        <f ca="1">IF(ROWS($1:123)&gt;COUNT(Dong1),"",OFFSET(TH!E$1,SMALL(Dong1,ROWS($1:123)),))</f>
        <v>42726</v>
      </c>
      <c r="C136" s="161" t="str">
        <f ca="1">IF(ROWS($1:123)&gt;COUNT(Dong1),"",IF(OFFSET(TH!N$1,SMALL(Dong1,ROWS($1:123)),)="1111",OFFSET(TH!D$1,SMALL(Dong1,ROWS($1:123)),),""))</f>
        <v/>
      </c>
      <c r="D136" s="162" t="str">
        <f ca="1">IF(ROWS($1:123)&gt;COUNT(Dong1),"",IF(OFFSET(TH!O$1,SMALL(Dong1,ROWS($1:123)),)="1111",OFFSET(TH!D$1,SMALL(Dong1,ROWS($1:123)),),""))</f>
        <v>C75</v>
      </c>
      <c r="E136" s="349" t="str">
        <f ca="1">IF(ROWS($1:123)&gt;COUNT(Dong1),"",OFFSET(TH!F$1,SMALL(Dong1,ROWS($1:123)),))</f>
        <v>Thanh toán tiền nhãn giấy</v>
      </c>
      <c r="F136" s="164" t="str">
        <f ca="1">IF(ROWS($1:123)&gt;COUNT(Dong1),"",IF(OFFSET(TH!O$1,SMALL(Dong1,ROWS($1:123)),)="1111",OFFSET(TH!N$1,SMALL(Dong1,ROWS($1:123)),),OFFSET(TH!O$1,SMALL(Dong1,ROWS($1:123)),)))</f>
        <v>331</v>
      </c>
      <c r="G136" s="165">
        <f ca="1">IF(ROWS($1:123)&gt;COUNT(Dong1),"",IF(OFFSET(TH!N$1,SMALL(Dong1,ROWS($1:123)),)="1111",OFFSET(TH!M$1,SMALL(Dong1,ROWS($1:123)),),0))</f>
        <v>0</v>
      </c>
      <c r="H136" s="163">
        <f ca="1">IF(ROWS($1:123)&gt;COUNT(Dong1),"",IF(OFFSET(TH!O$1,SMALL(Dong1,ROWS($1:123)),)="1111",OFFSET(TH!M$1,SMALL(Dong1,ROWS($1:123)),),0))</f>
        <v>13200000</v>
      </c>
      <c r="I136" s="161">
        <f t="shared" ca="1" si="7"/>
        <v>497312269.5</v>
      </c>
      <c r="J136" s="166"/>
    </row>
    <row r="137" spans="1:10" ht="23.25" customHeight="1">
      <c r="A137" s="160">
        <f ca="1">IF(ROWS($1:124)&gt;COUNT(Dong1),"",OFFSET(TH!C$1,SMALL(Dong1,ROWS($1:124)),))</f>
        <v>42726</v>
      </c>
      <c r="B137" s="160">
        <f ca="1">IF(ROWS($1:124)&gt;COUNT(Dong1),"",OFFSET(TH!E$1,SMALL(Dong1,ROWS($1:124)),))</f>
        <v>42726</v>
      </c>
      <c r="C137" s="161" t="str">
        <f ca="1">IF(ROWS($1:124)&gt;COUNT(Dong1),"",IF(OFFSET(TH!N$1,SMALL(Dong1,ROWS($1:124)),)="1111",OFFSET(TH!D$1,SMALL(Dong1,ROWS($1:124)),),""))</f>
        <v/>
      </c>
      <c r="D137" s="162" t="str">
        <f ca="1">IF(ROWS($1:124)&gt;COUNT(Dong1),"",IF(OFFSET(TH!O$1,SMALL(Dong1,ROWS($1:124)),)="1111",OFFSET(TH!D$1,SMALL(Dong1,ROWS($1:124)),),""))</f>
        <v>C76</v>
      </c>
      <c r="E137" s="349" t="str">
        <f ca="1">IF(ROWS($1:124)&gt;COUNT(Dong1),"",OFFSET(TH!F$1,SMALL(Dong1,ROWS($1:124)),))</f>
        <v>Nộp tiền mặt vào TK NH</v>
      </c>
      <c r="F137" s="164" t="str">
        <f ca="1">IF(ROWS($1:124)&gt;COUNT(Dong1),"",IF(OFFSET(TH!O$1,SMALL(Dong1,ROWS($1:124)),)="1111",OFFSET(TH!N$1,SMALL(Dong1,ROWS($1:124)),),OFFSET(TH!O$1,SMALL(Dong1,ROWS($1:124)),)))</f>
        <v>1121</v>
      </c>
      <c r="G137" s="165">
        <f ca="1">IF(ROWS($1:124)&gt;COUNT(Dong1),"",IF(OFFSET(TH!N$1,SMALL(Dong1,ROWS($1:124)),)="1111",OFFSET(TH!M$1,SMALL(Dong1,ROWS($1:124)),),0))</f>
        <v>0</v>
      </c>
      <c r="H137" s="163">
        <f ca="1">IF(ROWS($1:124)&gt;COUNT(Dong1),"",IF(OFFSET(TH!O$1,SMALL(Dong1,ROWS($1:124)),)="1111",OFFSET(TH!M$1,SMALL(Dong1,ROWS($1:124)),),0))</f>
        <v>50000000</v>
      </c>
      <c r="I137" s="161">
        <f t="shared" ca="1" si="7"/>
        <v>447312269.5</v>
      </c>
      <c r="J137" s="166"/>
    </row>
    <row r="138" spans="1:10" ht="23.25" customHeight="1">
      <c r="A138" s="160">
        <f ca="1">IF(ROWS($1:125)&gt;COUNT(Dong1),"",OFFSET(TH!C$1,SMALL(Dong1,ROWS($1:125)),))</f>
        <v>42730</v>
      </c>
      <c r="B138" s="160">
        <f ca="1">IF(ROWS($1:125)&gt;COUNT(Dong1),"",OFFSET(TH!E$1,SMALL(Dong1,ROWS($1:125)),))</f>
        <v>42730</v>
      </c>
      <c r="C138" s="161" t="str">
        <f ca="1">IF(ROWS($1:125)&gt;COUNT(Dong1),"",IF(OFFSET(TH!N$1,SMALL(Dong1,ROWS($1:125)),)="1111",OFFSET(TH!D$1,SMALL(Dong1,ROWS($1:125)),),""))</f>
        <v/>
      </c>
      <c r="D138" s="162" t="str">
        <f ca="1">IF(ROWS($1:125)&gt;COUNT(Dong1),"",IF(OFFSET(TH!O$1,SMALL(Dong1,ROWS($1:125)),)="1111",OFFSET(TH!D$1,SMALL(Dong1,ROWS($1:125)),),""))</f>
        <v>C91</v>
      </c>
      <c r="E138" s="349" t="str">
        <f ca="1">IF(ROWS($1:125)&gt;COUNT(Dong1),"",OFFSET(TH!F$1,SMALL(Dong1,ROWS($1:125)),))</f>
        <v>Thanh toán tiền thùng carton</v>
      </c>
      <c r="F138" s="164" t="str">
        <f ca="1">IF(ROWS($1:125)&gt;COUNT(Dong1),"",IF(OFFSET(TH!O$1,SMALL(Dong1,ROWS($1:125)),)="1111",OFFSET(TH!N$1,SMALL(Dong1,ROWS($1:125)),),OFFSET(TH!O$1,SMALL(Dong1,ROWS($1:125)),)))</f>
        <v>331</v>
      </c>
      <c r="G138" s="165">
        <f ca="1">IF(ROWS($1:125)&gt;COUNT(Dong1),"",IF(OFFSET(TH!N$1,SMALL(Dong1,ROWS($1:125)),)="1111",OFFSET(TH!M$1,SMALL(Dong1,ROWS($1:125)),),0))</f>
        <v>0</v>
      </c>
      <c r="H138" s="163">
        <f ca="1">IF(ROWS($1:125)&gt;COUNT(Dong1),"",IF(OFFSET(TH!O$1,SMALL(Dong1,ROWS($1:125)),)="1111",OFFSET(TH!M$1,SMALL(Dong1,ROWS($1:125)),),0))</f>
        <v>9900000</v>
      </c>
      <c r="I138" s="161">
        <f t="shared" ca="1" si="7"/>
        <v>437412269.5</v>
      </c>
      <c r="J138" s="166"/>
    </row>
    <row r="139" spans="1:10" ht="23.25" customHeight="1">
      <c r="A139" s="160">
        <f ca="1">IF(ROWS($1:126)&gt;COUNT(Dong1),"",OFFSET(TH!C$1,SMALL(Dong1,ROWS($1:126)),))</f>
        <v>42726</v>
      </c>
      <c r="B139" s="160">
        <f ca="1">IF(ROWS($1:126)&gt;COUNT(Dong1),"",OFFSET(TH!E$1,SMALL(Dong1,ROWS($1:126)),))</f>
        <v>42726</v>
      </c>
      <c r="C139" s="161" t="str">
        <f ca="1">IF(ROWS($1:126)&gt;COUNT(Dong1),"",IF(OFFSET(TH!N$1,SMALL(Dong1,ROWS($1:126)),)="1111",OFFSET(TH!D$1,SMALL(Dong1,ROWS($1:126)),),""))</f>
        <v/>
      </c>
      <c r="D139" s="162" t="str">
        <f ca="1">IF(ROWS($1:126)&gt;COUNT(Dong1),"",IF(OFFSET(TH!O$1,SMALL(Dong1,ROWS($1:126)),)="1111",OFFSET(TH!D$1,SMALL(Dong1,ROWS($1:126)),),""))</f>
        <v>C80</v>
      </c>
      <c r="E139" s="349" t="str">
        <f ca="1">IF(ROWS($1:126)&gt;COUNT(Dong1),"",OFFSET(TH!F$1,SMALL(Dong1,ROWS($1:126)),))</f>
        <v>Tạm ứng mua NL</v>
      </c>
      <c r="F139" s="164" t="str">
        <f ca="1">IF(ROWS($1:126)&gt;COUNT(Dong1),"",IF(OFFSET(TH!O$1,SMALL(Dong1,ROWS($1:126)),)="1111",OFFSET(TH!N$1,SMALL(Dong1,ROWS($1:126)),),OFFSET(TH!O$1,SMALL(Dong1,ROWS($1:126)),)))</f>
        <v>141</v>
      </c>
      <c r="G139" s="165">
        <f ca="1">IF(ROWS($1:126)&gt;COUNT(Dong1),"",IF(OFFSET(TH!N$1,SMALL(Dong1,ROWS($1:126)),)="1111",OFFSET(TH!M$1,SMALL(Dong1,ROWS($1:126)),),0))</f>
        <v>0</v>
      </c>
      <c r="H139" s="163">
        <f ca="1">IF(ROWS($1:126)&gt;COUNT(Dong1),"",IF(OFFSET(TH!O$1,SMALL(Dong1,ROWS($1:126)),)="1111",OFFSET(TH!M$1,SMALL(Dong1,ROWS($1:126)),),0))</f>
        <v>800000000</v>
      </c>
      <c r="I139" s="161">
        <f t="shared" ca="1" si="7"/>
        <v>-362587730.5</v>
      </c>
      <c r="J139" s="166"/>
    </row>
    <row r="140" spans="1:10" ht="23.25" customHeight="1">
      <c r="A140" s="160">
        <f ca="1">IF(ROWS($1:127)&gt;COUNT(Dong1),"",OFFSET(TH!C$1,SMALL(Dong1,ROWS($1:127)),))</f>
        <v>42726</v>
      </c>
      <c r="B140" s="160">
        <f ca="1">IF(ROWS($1:127)&gt;COUNT(Dong1),"",OFFSET(TH!E$1,SMALL(Dong1,ROWS($1:127)),))</f>
        <v>42726</v>
      </c>
      <c r="C140" s="161" t="str">
        <f ca="1">IF(ROWS($1:127)&gt;COUNT(Dong1),"",IF(OFFSET(TH!N$1,SMALL(Dong1,ROWS($1:127)),)="1111",OFFSET(TH!D$1,SMALL(Dong1,ROWS($1:127)),),""))</f>
        <v>T17</v>
      </c>
      <c r="D140" s="162" t="str">
        <f ca="1">IF(ROWS($1:127)&gt;COUNT(Dong1),"",IF(OFFSET(TH!O$1,SMALL(Dong1,ROWS($1:127)),)="1111",OFFSET(TH!D$1,SMALL(Dong1,ROWS($1:127)),),""))</f>
        <v/>
      </c>
      <c r="E140" s="349" t="str">
        <f ca="1">IF(ROWS($1:127)&gt;COUNT(Dong1),"",OFFSET(TH!F$1,SMALL(Dong1,ROWS($1:127)),))</f>
        <v>Rút tiền gửi NH nhập quỹ TM</v>
      </c>
      <c r="F140" s="164" t="str">
        <f ca="1">IF(ROWS($1:127)&gt;COUNT(Dong1),"",IF(OFFSET(TH!O$1,SMALL(Dong1,ROWS($1:127)),)="1111",OFFSET(TH!N$1,SMALL(Dong1,ROWS($1:127)),),OFFSET(TH!O$1,SMALL(Dong1,ROWS($1:127)),)))</f>
        <v>1121</v>
      </c>
      <c r="G140" s="165">
        <f ca="1">IF(ROWS($1:127)&gt;COUNT(Dong1),"",IF(OFFSET(TH!N$1,SMALL(Dong1,ROWS($1:127)),)="1111",OFFSET(TH!M$1,SMALL(Dong1,ROWS($1:127)),),0))</f>
        <v>190000000</v>
      </c>
      <c r="H140" s="163">
        <f ca="1">IF(ROWS($1:127)&gt;COUNT(Dong1),"",IF(OFFSET(TH!O$1,SMALL(Dong1,ROWS($1:127)),)="1111",OFFSET(TH!M$1,SMALL(Dong1,ROWS($1:127)),),0))</f>
        <v>0</v>
      </c>
      <c r="I140" s="161">
        <f t="shared" ca="1" si="7"/>
        <v>-172587730.5</v>
      </c>
      <c r="J140" s="166"/>
    </row>
    <row r="141" spans="1:10" ht="23.25" customHeight="1">
      <c r="A141" s="160">
        <f ca="1">IF(ROWS($1:128)&gt;COUNT(Dong1),"",OFFSET(TH!C$1,SMALL(Dong1,ROWS($1:128)),))</f>
        <v>42726</v>
      </c>
      <c r="B141" s="160">
        <f ca="1">IF(ROWS($1:128)&gt;COUNT(Dong1),"",OFFSET(TH!E$1,SMALL(Dong1,ROWS($1:128)),))</f>
        <v>42726</v>
      </c>
      <c r="C141" s="161" t="str">
        <f ca="1">IF(ROWS($1:128)&gt;COUNT(Dong1),"",IF(OFFSET(TH!N$1,SMALL(Dong1,ROWS($1:128)),)="1111",OFFSET(TH!D$1,SMALL(Dong1,ROWS($1:128)),),""))</f>
        <v>T18</v>
      </c>
      <c r="D141" s="162" t="str">
        <f ca="1">IF(ROWS($1:128)&gt;COUNT(Dong1),"",IF(OFFSET(TH!O$1,SMALL(Dong1,ROWS($1:128)),)="1111",OFFSET(TH!D$1,SMALL(Dong1,ROWS($1:128)),),""))</f>
        <v/>
      </c>
      <c r="E141" s="349" t="str">
        <f ca="1">IF(ROWS($1:128)&gt;COUNT(Dong1),"",OFFSET(TH!F$1,SMALL(Dong1,ROWS($1:128)),))</f>
        <v>Rút tiền gửi NH nhập quỹ TM</v>
      </c>
      <c r="F141" s="164" t="str">
        <f ca="1">IF(ROWS($1:128)&gt;COUNT(Dong1),"",IF(OFFSET(TH!O$1,SMALL(Dong1,ROWS($1:128)),)="1111",OFFSET(TH!N$1,SMALL(Dong1,ROWS($1:128)),),OFFSET(TH!O$1,SMALL(Dong1,ROWS($1:128)),)))</f>
        <v>1121</v>
      </c>
      <c r="G141" s="165">
        <f ca="1">IF(ROWS($1:128)&gt;COUNT(Dong1),"",IF(OFFSET(TH!N$1,SMALL(Dong1,ROWS($1:128)),)="1111",OFFSET(TH!M$1,SMALL(Dong1,ROWS($1:128)),),0))</f>
        <v>2140000000</v>
      </c>
      <c r="H141" s="163">
        <f ca="1">IF(ROWS($1:128)&gt;COUNT(Dong1),"",IF(OFFSET(TH!O$1,SMALL(Dong1,ROWS($1:128)),)="1111",OFFSET(TH!M$1,SMALL(Dong1,ROWS($1:128)),),0))</f>
        <v>0</v>
      </c>
      <c r="I141" s="161">
        <f t="shared" ca="1" si="7"/>
        <v>1967412269.5</v>
      </c>
      <c r="J141" s="166"/>
    </row>
    <row r="142" spans="1:10" ht="23.25" customHeight="1">
      <c r="A142" s="160">
        <f ca="1">IF(ROWS($1:129)&gt;COUNT(Dong1),"",OFFSET(TH!C$1,SMALL(Dong1,ROWS($1:129)),))</f>
        <v>42727</v>
      </c>
      <c r="B142" s="160">
        <f ca="1">IF(ROWS($1:129)&gt;COUNT(Dong1),"",OFFSET(TH!E$1,SMALL(Dong1,ROWS($1:129)),))</f>
        <v>42727</v>
      </c>
      <c r="C142" s="161" t="str">
        <f ca="1">IF(ROWS($1:129)&gt;COUNT(Dong1),"",IF(OFFSET(TH!N$1,SMALL(Dong1,ROWS($1:129)),)="1111",OFFSET(TH!D$1,SMALL(Dong1,ROWS($1:129)),),""))</f>
        <v/>
      </c>
      <c r="D142" s="162" t="str">
        <f ca="1">IF(ROWS($1:129)&gt;COUNT(Dong1),"",IF(OFFSET(TH!O$1,SMALL(Dong1,ROWS($1:129)),)="1111",OFFSET(TH!D$1,SMALL(Dong1,ROWS($1:129)),),""))</f>
        <v>C82</v>
      </c>
      <c r="E142" s="349" t="str">
        <f ca="1">IF(ROWS($1:129)&gt;COUNT(Dong1),"",OFFSET(TH!F$1,SMALL(Dong1,ROWS($1:129)),))</f>
        <v>Tạm ứng mua NL</v>
      </c>
      <c r="F142" s="164" t="str">
        <f ca="1">IF(ROWS($1:129)&gt;COUNT(Dong1),"",IF(OFFSET(TH!O$1,SMALL(Dong1,ROWS($1:129)),)="1111",OFFSET(TH!N$1,SMALL(Dong1,ROWS($1:129)),),OFFSET(TH!O$1,SMALL(Dong1,ROWS($1:129)),)))</f>
        <v>141</v>
      </c>
      <c r="G142" s="165">
        <f ca="1">IF(ROWS($1:129)&gt;COUNT(Dong1),"",IF(OFFSET(TH!N$1,SMALL(Dong1,ROWS($1:129)),)="1111",OFFSET(TH!M$1,SMALL(Dong1,ROWS($1:129)),),0))</f>
        <v>0</v>
      </c>
      <c r="H142" s="163">
        <f ca="1">IF(ROWS($1:129)&gt;COUNT(Dong1),"",IF(OFFSET(TH!O$1,SMALL(Dong1,ROWS($1:129)),)="1111",OFFSET(TH!M$1,SMALL(Dong1,ROWS($1:129)),),0))</f>
        <v>900000000</v>
      </c>
      <c r="I142" s="161">
        <f t="shared" ca="1" si="7"/>
        <v>1067412269.5</v>
      </c>
      <c r="J142" s="166"/>
    </row>
    <row r="143" spans="1:10" ht="23.25" customHeight="1">
      <c r="A143" s="160">
        <f ca="1">IF(ROWS($1:130)&gt;COUNT(Dong1),"",OFFSET(TH!C$1,SMALL(Dong1,ROWS($1:130)),))</f>
        <v>42728</v>
      </c>
      <c r="B143" s="160">
        <f ca="1">IF(ROWS($1:130)&gt;COUNT(Dong1),"",OFFSET(TH!E$1,SMALL(Dong1,ROWS($1:130)),))</f>
        <v>42728</v>
      </c>
      <c r="C143" s="161" t="str">
        <f ca="1">IF(ROWS($1:130)&gt;COUNT(Dong1),"",IF(OFFSET(TH!N$1,SMALL(Dong1,ROWS($1:130)),)="1111",OFFSET(TH!D$1,SMALL(Dong1,ROWS($1:130)),),""))</f>
        <v/>
      </c>
      <c r="D143" s="162" t="str">
        <f ca="1">IF(ROWS($1:130)&gt;COUNT(Dong1),"",IF(OFFSET(TH!O$1,SMALL(Dong1,ROWS($1:130)),)="1111",OFFSET(TH!D$1,SMALL(Dong1,ROWS($1:130)),),""))</f>
        <v>C83</v>
      </c>
      <c r="E143" s="349" t="str">
        <f ca="1">IF(ROWS($1:130)&gt;COUNT(Dong1),"",OFFSET(TH!F$1,SMALL(Dong1,ROWS($1:130)),))</f>
        <v>Hũ ly</v>
      </c>
      <c r="F143" s="164" t="str">
        <f ca="1">IF(ROWS($1:130)&gt;COUNT(Dong1),"",IF(OFFSET(TH!O$1,SMALL(Dong1,ROWS($1:130)),)="1111",OFFSET(TH!N$1,SMALL(Dong1,ROWS($1:130)),),OFFSET(TH!O$1,SMALL(Dong1,ROWS($1:130)),)))</f>
        <v>642</v>
      </c>
      <c r="G143" s="165">
        <f ca="1">IF(ROWS($1:130)&gt;COUNT(Dong1),"",IF(OFFSET(TH!N$1,SMALL(Dong1,ROWS($1:130)),)="1111",OFFSET(TH!M$1,SMALL(Dong1,ROWS($1:130)),),0))</f>
        <v>0</v>
      </c>
      <c r="H143" s="163">
        <f ca="1">IF(ROWS($1:130)&gt;COUNT(Dong1),"",IF(OFFSET(TH!O$1,SMALL(Dong1,ROWS($1:130)),)="1111",OFFSET(TH!M$1,SMALL(Dong1,ROWS($1:130)),),0))</f>
        <v>7129500</v>
      </c>
      <c r="I143" s="161">
        <f t="shared" ca="1" si="7"/>
        <v>1060282769.5</v>
      </c>
      <c r="J143" s="166"/>
    </row>
    <row r="144" spans="1:10" ht="23.25" customHeight="1">
      <c r="A144" s="160">
        <f ca="1">IF(ROWS($1:131)&gt;COUNT(Dong1),"",OFFSET(TH!C$1,SMALL(Dong1,ROWS($1:131)),))</f>
        <v>42728</v>
      </c>
      <c r="B144" s="160">
        <f ca="1">IF(ROWS($1:131)&gt;COUNT(Dong1),"",OFFSET(TH!E$1,SMALL(Dong1,ROWS($1:131)),))</f>
        <v>42728</v>
      </c>
      <c r="C144" s="161" t="str">
        <f ca="1">IF(ROWS($1:131)&gt;COUNT(Dong1),"",IF(OFFSET(TH!N$1,SMALL(Dong1,ROWS($1:131)),)="1111",OFFSET(TH!D$1,SMALL(Dong1,ROWS($1:131)),),""))</f>
        <v/>
      </c>
      <c r="D144" s="162" t="str">
        <f ca="1">IF(ROWS($1:131)&gt;COUNT(Dong1),"",IF(OFFSET(TH!O$1,SMALL(Dong1,ROWS($1:131)),)="1111",OFFSET(TH!D$1,SMALL(Dong1,ROWS($1:131)),),""))</f>
        <v>C83</v>
      </c>
      <c r="E144" s="349" t="str">
        <f ca="1">IF(ROWS($1:131)&gt;COUNT(Dong1),"",OFFSET(TH!F$1,SMALL(Dong1,ROWS($1:131)),))</f>
        <v>VAT Hũ ly</v>
      </c>
      <c r="F144" s="164" t="str">
        <f ca="1">IF(ROWS($1:131)&gt;COUNT(Dong1),"",IF(OFFSET(TH!O$1,SMALL(Dong1,ROWS($1:131)),)="1111",OFFSET(TH!N$1,SMALL(Dong1,ROWS($1:131)),),OFFSET(TH!O$1,SMALL(Dong1,ROWS($1:131)),)))</f>
        <v>1331</v>
      </c>
      <c r="G144" s="165">
        <f ca="1">IF(ROWS($1:131)&gt;COUNT(Dong1),"",IF(OFFSET(TH!N$1,SMALL(Dong1,ROWS($1:131)),)="1111",OFFSET(TH!M$1,SMALL(Dong1,ROWS($1:131)),),0))</f>
        <v>0</v>
      </c>
      <c r="H144" s="163">
        <f ca="1">IF(ROWS($1:131)&gt;COUNT(Dong1),"",IF(OFFSET(TH!O$1,SMALL(Dong1,ROWS($1:131)),)="1111",OFFSET(TH!M$1,SMALL(Dong1,ROWS($1:131)),),0))</f>
        <v>712950</v>
      </c>
      <c r="I144" s="161">
        <f t="shared" ca="1" si="7"/>
        <v>1059569819.5</v>
      </c>
      <c r="J144" s="166"/>
    </row>
    <row r="145" spans="1:10" ht="23.25" customHeight="1">
      <c r="A145" s="160">
        <f ca="1">IF(ROWS($1:132)&gt;COUNT(Dong1),"",OFFSET(TH!C$1,SMALL(Dong1,ROWS($1:132)),))</f>
        <v>42728</v>
      </c>
      <c r="B145" s="160">
        <f ca="1">IF(ROWS($1:132)&gt;COUNT(Dong1),"",OFFSET(TH!E$1,SMALL(Dong1,ROWS($1:132)),))</f>
        <v>42728</v>
      </c>
      <c r="C145" s="161" t="str">
        <f ca="1">IF(ROWS($1:132)&gt;COUNT(Dong1),"",IF(OFFSET(TH!N$1,SMALL(Dong1,ROWS($1:132)),)="1111",OFFSET(TH!D$1,SMALL(Dong1,ROWS($1:132)),),""))</f>
        <v/>
      </c>
      <c r="D145" s="162" t="str">
        <f ca="1">IF(ROWS($1:132)&gt;COUNT(Dong1),"",IF(OFFSET(TH!O$1,SMALL(Dong1,ROWS($1:132)),)="1111",OFFSET(TH!D$1,SMALL(Dong1,ROWS($1:132)),),""))</f>
        <v>C84</v>
      </c>
      <c r="E145" s="349" t="str">
        <f ca="1">IF(ROWS($1:132)&gt;COUNT(Dong1),"",OFFSET(TH!F$1,SMALL(Dong1,ROWS($1:132)),))</f>
        <v>Bình máy nén khí, ổ khoá</v>
      </c>
      <c r="F145" s="164" t="str">
        <f ca="1">IF(ROWS($1:132)&gt;COUNT(Dong1),"",IF(OFFSET(TH!O$1,SMALL(Dong1,ROWS($1:132)),)="1111",OFFSET(TH!N$1,SMALL(Dong1,ROWS($1:132)),),OFFSET(TH!O$1,SMALL(Dong1,ROWS($1:132)),)))</f>
        <v>642</v>
      </c>
      <c r="G145" s="165">
        <f ca="1">IF(ROWS($1:132)&gt;COUNT(Dong1),"",IF(OFFSET(TH!N$1,SMALL(Dong1,ROWS($1:132)),)="1111",OFFSET(TH!M$1,SMALL(Dong1,ROWS($1:132)),),0))</f>
        <v>0</v>
      </c>
      <c r="H145" s="163">
        <f ca="1">IF(ROWS($1:132)&gt;COUNT(Dong1),"",IF(OFFSET(TH!O$1,SMALL(Dong1,ROWS($1:132)),)="1111",OFFSET(TH!M$1,SMALL(Dong1,ROWS($1:132)),),0))</f>
        <v>2630000</v>
      </c>
      <c r="I145" s="161">
        <f t="shared" ca="1" si="7"/>
        <v>1056939819.5</v>
      </c>
      <c r="J145" s="166"/>
    </row>
    <row r="146" spans="1:10" ht="23.25" customHeight="1">
      <c r="A146" s="160">
        <f ca="1">IF(ROWS($1:133)&gt;COUNT(Dong1),"",OFFSET(TH!C$1,SMALL(Dong1,ROWS($1:133)),))</f>
        <v>42728</v>
      </c>
      <c r="B146" s="160">
        <f ca="1">IF(ROWS($1:133)&gt;COUNT(Dong1),"",OFFSET(TH!E$1,SMALL(Dong1,ROWS($1:133)),))</f>
        <v>42728</v>
      </c>
      <c r="C146" s="161" t="str">
        <f ca="1">IF(ROWS($1:133)&gt;COUNT(Dong1),"",IF(OFFSET(TH!N$1,SMALL(Dong1,ROWS($1:133)),)="1111",OFFSET(TH!D$1,SMALL(Dong1,ROWS($1:133)),),""))</f>
        <v/>
      </c>
      <c r="D146" s="162" t="str">
        <f ca="1">IF(ROWS($1:133)&gt;COUNT(Dong1),"",IF(OFFSET(TH!O$1,SMALL(Dong1,ROWS($1:133)),)="1111",OFFSET(TH!D$1,SMALL(Dong1,ROWS($1:133)),),""))</f>
        <v>C87</v>
      </c>
      <c r="E146" s="349" t="str">
        <f ca="1">IF(ROWS($1:133)&gt;COUNT(Dong1),"",OFFSET(TH!F$1,SMALL(Dong1,ROWS($1:133)),))</f>
        <v>Tạm ứng mua NL</v>
      </c>
      <c r="F146" s="164" t="str">
        <f ca="1">IF(ROWS($1:133)&gt;COUNT(Dong1),"",IF(OFFSET(TH!O$1,SMALL(Dong1,ROWS($1:133)),)="1111",OFFSET(TH!N$1,SMALL(Dong1,ROWS($1:133)),),OFFSET(TH!O$1,SMALL(Dong1,ROWS($1:133)),)))</f>
        <v>141</v>
      </c>
      <c r="G146" s="165">
        <f ca="1">IF(ROWS($1:133)&gt;COUNT(Dong1),"",IF(OFFSET(TH!N$1,SMALL(Dong1,ROWS($1:133)),)="1111",OFFSET(TH!M$1,SMALL(Dong1,ROWS($1:133)),),0))</f>
        <v>0</v>
      </c>
      <c r="H146" s="163">
        <f ca="1">IF(ROWS($1:133)&gt;COUNT(Dong1),"",IF(OFFSET(TH!O$1,SMALL(Dong1,ROWS($1:133)),)="1111",OFFSET(TH!M$1,SMALL(Dong1,ROWS($1:133)),),0))</f>
        <v>500000000</v>
      </c>
      <c r="I146" s="161">
        <f t="shared" ca="1" si="7"/>
        <v>556939819.5</v>
      </c>
      <c r="J146" s="166"/>
    </row>
    <row r="147" spans="1:10" ht="23.25" customHeight="1">
      <c r="A147" s="160">
        <f ca="1">IF(ROWS($1:134)&gt;COUNT(Dong1),"",OFFSET(TH!C$1,SMALL(Dong1,ROWS($1:134)),))</f>
        <v>42728</v>
      </c>
      <c r="B147" s="160">
        <f ca="1">IF(ROWS($1:134)&gt;COUNT(Dong1),"",OFFSET(TH!E$1,SMALL(Dong1,ROWS($1:134)),))</f>
        <v>42728</v>
      </c>
      <c r="C147" s="161" t="str">
        <f ca="1">IF(ROWS($1:134)&gt;COUNT(Dong1),"",IF(OFFSET(TH!N$1,SMALL(Dong1,ROWS($1:134)),)="1111",OFFSET(TH!D$1,SMALL(Dong1,ROWS($1:134)),),""))</f>
        <v/>
      </c>
      <c r="D147" s="162" t="str">
        <f ca="1">IF(ROWS($1:134)&gt;COUNT(Dong1),"",IF(OFFSET(TH!O$1,SMALL(Dong1,ROWS($1:134)),)="1111",OFFSET(TH!D$1,SMALL(Dong1,ROWS($1:134)),),""))</f>
        <v>C88</v>
      </c>
      <c r="E147" s="349" t="str">
        <f ca="1">IF(ROWS($1:134)&gt;COUNT(Dong1),"",OFFSET(TH!F$1,SMALL(Dong1,ROWS($1:134)),))</f>
        <v>Tạm ứng mua NL</v>
      </c>
      <c r="F147" s="164" t="str">
        <f ca="1">IF(ROWS($1:134)&gt;COUNT(Dong1),"",IF(OFFSET(TH!O$1,SMALL(Dong1,ROWS($1:134)),)="1111",OFFSET(TH!N$1,SMALL(Dong1,ROWS($1:134)),),OFFSET(TH!O$1,SMALL(Dong1,ROWS($1:134)),)))</f>
        <v>141</v>
      </c>
      <c r="G147" s="165">
        <f ca="1">IF(ROWS($1:134)&gt;COUNT(Dong1),"",IF(OFFSET(TH!N$1,SMALL(Dong1,ROWS($1:134)),)="1111",OFFSET(TH!M$1,SMALL(Dong1,ROWS($1:134)),),0))</f>
        <v>0</v>
      </c>
      <c r="H147" s="163">
        <f ca="1">IF(ROWS($1:134)&gt;COUNT(Dong1),"",IF(OFFSET(TH!O$1,SMALL(Dong1,ROWS($1:134)),)="1111",OFFSET(TH!M$1,SMALL(Dong1,ROWS($1:134)),),0))</f>
        <v>300000000</v>
      </c>
      <c r="I147" s="161">
        <f t="shared" ca="1" si="7"/>
        <v>256939819.5</v>
      </c>
      <c r="J147" s="166"/>
    </row>
    <row r="148" spans="1:10" ht="23.25" customHeight="1">
      <c r="A148" s="160">
        <f ca="1">IF(ROWS($1:135)&gt;COUNT(Dong1),"",OFFSET(TH!C$1,SMALL(Dong1,ROWS($1:135)),))</f>
        <v>42731</v>
      </c>
      <c r="B148" s="160">
        <f ca="1">IF(ROWS($1:135)&gt;COUNT(Dong1),"",OFFSET(TH!E$1,SMALL(Dong1,ROWS($1:135)),))</f>
        <v>42731</v>
      </c>
      <c r="C148" s="161" t="str">
        <f ca="1">IF(ROWS($1:135)&gt;COUNT(Dong1),"",IF(OFFSET(TH!N$1,SMALL(Dong1,ROWS($1:135)),)="1111",OFFSET(TH!D$1,SMALL(Dong1,ROWS($1:135)),),""))</f>
        <v/>
      </c>
      <c r="D148" s="162" t="str">
        <f ca="1">IF(ROWS($1:135)&gt;COUNT(Dong1),"",IF(OFFSET(TH!O$1,SMALL(Dong1,ROWS($1:135)),)="1111",OFFSET(TH!D$1,SMALL(Dong1,ROWS($1:135)),),""))</f>
        <v>C96</v>
      </c>
      <c r="E148" s="349" t="str">
        <f ca="1">IF(ROWS($1:135)&gt;COUNT(Dong1),"",OFFSET(TH!F$1,SMALL(Dong1,ROWS($1:135)),))</f>
        <v>Thanh toán tiền thùng carton</v>
      </c>
      <c r="F148" s="164" t="str">
        <f ca="1">IF(ROWS($1:135)&gt;COUNT(Dong1),"",IF(OFFSET(TH!O$1,SMALL(Dong1,ROWS($1:135)),)="1111",OFFSET(TH!N$1,SMALL(Dong1,ROWS($1:135)),),OFFSET(TH!O$1,SMALL(Dong1,ROWS($1:135)),)))</f>
        <v>331</v>
      </c>
      <c r="G148" s="165">
        <f ca="1">IF(ROWS($1:135)&gt;COUNT(Dong1),"",IF(OFFSET(TH!N$1,SMALL(Dong1,ROWS($1:135)),)="1111",OFFSET(TH!M$1,SMALL(Dong1,ROWS($1:135)),),0))</f>
        <v>0</v>
      </c>
      <c r="H148" s="163">
        <f ca="1">IF(ROWS($1:135)&gt;COUNT(Dong1),"",IF(OFFSET(TH!O$1,SMALL(Dong1,ROWS($1:135)),)="1111",OFFSET(TH!M$1,SMALL(Dong1,ROWS($1:135)),),0))</f>
        <v>11385000</v>
      </c>
      <c r="I148" s="161">
        <f t="shared" ca="1" si="7"/>
        <v>245554819.5</v>
      </c>
      <c r="J148" s="166"/>
    </row>
    <row r="149" spans="1:10" ht="23.25" customHeight="1">
      <c r="A149" s="160">
        <f ca="1">IF(ROWS($1:136)&gt;COUNT(Dong1),"",OFFSET(TH!C$1,SMALL(Dong1,ROWS($1:136)),))</f>
        <v>42730</v>
      </c>
      <c r="B149" s="160">
        <f ca="1">IF(ROWS($1:136)&gt;COUNT(Dong1),"",OFFSET(TH!E$1,SMALL(Dong1,ROWS($1:136)),))</f>
        <v>42730</v>
      </c>
      <c r="C149" s="161" t="str">
        <f ca="1">IF(ROWS($1:136)&gt;COUNT(Dong1),"",IF(OFFSET(TH!N$1,SMALL(Dong1,ROWS($1:136)),)="1111",OFFSET(TH!D$1,SMALL(Dong1,ROWS($1:136)),),""))</f>
        <v/>
      </c>
      <c r="D149" s="162" t="str">
        <f ca="1">IF(ROWS($1:136)&gt;COUNT(Dong1),"",IF(OFFSET(TH!O$1,SMALL(Dong1,ROWS($1:136)),)="1111",OFFSET(TH!D$1,SMALL(Dong1,ROWS($1:136)),),""))</f>
        <v>C90</v>
      </c>
      <c r="E149" s="349" t="str">
        <f ca="1">IF(ROWS($1:136)&gt;COUNT(Dong1),"",OFFSET(TH!F$1,SMALL(Dong1,ROWS($1:136)),))</f>
        <v>Gas</v>
      </c>
      <c r="F149" s="164" t="str">
        <f ca="1">IF(ROWS($1:136)&gt;COUNT(Dong1),"",IF(OFFSET(TH!O$1,SMALL(Dong1,ROWS($1:136)),)="1111",OFFSET(TH!N$1,SMALL(Dong1,ROWS($1:136)),),OFFSET(TH!O$1,SMALL(Dong1,ROWS($1:136)),)))</f>
        <v>154</v>
      </c>
      <c r="G149" s="165">
        <f ca="1">IF(ROWS($1:136)&gt;COUNT(Dong1),"",IF(OFFSET(TH!N$1,SMALL(Dong1,ROWS($1:136)),)="1111",OFFSET(TH!M$1,SMALL(Dong1,ROWS($1:136)),),0))</f>
        <v>0</v>
      </c>
      <c r="H149" s="163">
        <f ca="1">IF(ROWS($1:136)&gt;COUNT(Dong1),"",IF(OFFSET(TH!O$1,SMALL(Dong1,ROWS($1:136)),)="1111",OFFSET(TH!M$1,SMALL(Dong1,ROWS($1:136)),),0))</f>
        <v>9404546</v>
      </c>
      <c r="I149" s="161">
        <f t="shared" ca="1" si="7"/>
        <v>236150273.5</v>
      </c>
      <c r="J149" s="166"/>
    </row>
    <row r="150" spans="1:10" ht="23.25" customHeight="1">
      <c r="A150" s="160">
        <f ca="1">IF(ROWS($1:137)&gt;COUNT(Dong1),"",OFFSET(TH!C$1,SMALL(Dong1,ROWS($1:137)),))</f>
        <v>42730</v>
      </c>
      <c r="B150" s="160">
        <f ca="1">IF(ROWS($1:137)&gt;COUNT(Dong1),"",OFFSET(TH!E$1,SMALL(Dong1,ROWS($1:137)),))</f>
        <v>42730</v>
      </c>
      <c r="C150" s="161" t="str">
        <f ca="1">IF(ROWS($1:137)&gt;COUNT(Dong1),"",IF(OFFSET(TH!N$1,SMALL(Dong1,ROWS($1:137)),)="1111",OFFSET(TH!D$1,SMALL(Dong1,ROWS($1:137)),),""))</f>
        <v/>
      </c>
      <c r="D150" s="162" t="str">
        <f ca="1">IF(ROWS($1:137)&gt;COUNT(Dong1),"",IF(OFFSET(TH!O$1,SMALL(Dong1,ROWS($1:137)),)="1111",OFFSET(TH!D$1,SMALL(Dong1,ROWS($1:137)),),""))</f>
        <v>C90</v>
      </c>
      <c r="E150" s="349" t="str">
        <f ca="1">IF(ROWS($1:137)&gt;COUNT(Dong1),"",OFFSET(TH!F$1,SMALL(Dong1,ROWS($1:137)),))</f>
        <v>VAT Gas</v>
      </c>
      <c r="F150" s="164" t="str">
        <f ca="1">IF(ROWS($1:137)&gt;COUNT(Dong1),"",IF(OFFSET(TH!O$1,SMALL(Dong1,ROWS($1:137)),)="1111",OFFSET(TH!N$1,SMALL(Dong1,ROWS($1:137)),),OFFSET(TH!O$1,SMALL(Dong1,ROWS($1:137)),)))</f>
        <v>1331</v>
      </c>
      <c r="G150" s="165">
        <f ca="1">IF(ROWS($1:137)&gt;COUNT(Dong1),"",IF(OFFSET(TH!N$1,SMALL(Dong1,ROWS($1:137)),)="1111",OFFSET(TH!M$1,SMALL(Dong1,ROWS($1:137)),),0))</f>
        <v>0</v>
      </c>
      <c r="H150" s="163">
        <f ca="1">IF(ROWS($1:137)&gt;COUNT(Dong1),"",IF(OFFSET(TH!O$1,SMALL(Dong1,ROWS($1:137)),)="1111",OFFSET(TH!M$1,SMALL(Dong1,ROWS($1:137)),),0))</f>
        <v>940455</v>
      </c>
      <c r="I150" s="161">
        <f t="shared" ca="1" si="7"/>
        <v>235209818.5</v>
      </c>
      <c r="J150" s="166"/>
    </row>
    <row r="151" spans="1:10" ht="23.25" customHeight="1">
      <c r="A151" s="160">
        <f ca="1">IF(ROWS($1:138)&gt;COUNT(Dong1),"",OFFSET(TH!C$1,SMALL(Dong1,ROWS($1:138)),))</f>
        <v>42730</v>
      </c>
      <c r="B151" s="160">
        <f ca="1">IF(ROWS($1:138)&gt;COUNT(Dong1),"",OFFSET(TH!E$1,SMALL(Dong1,ROWS($1:138)),))</f>
        <v>42730</v>
      </c>
      <c r="C151" s="161" t="str">
        <f ca="1">IF(ROWS($1:138)&gt;COUNT(Dong1),"",IF(OFFSET(TH!N$1,SMALL(Dong1,ROWS($1:138)),)="1111",OFFSET(TH!D$1,SMALL(Dong1,ROWS($1:138)),),""))</f>
        <v/>
      </c>
      <c r="D151" s="162" t="str">
        <f ca="1">IF(ROWS($1:138)&gt;COUNT(Dong1),"",IF(OFFSET(TH!O$1,SMALL(Dong1,ROWS($1:138)),)="1111",OFFSET(TH!D$1,SMALL(Dong1,ROWS($1:138)),),""))</f>
        <v>C92</v>
      </c>
      <c r="E151" s="349" t="str">
        <f ca="1">IF(ROWS($1:138)&gt;COUNT(Dong1),"",OFFSET(TH!F$1,SMALL(Dong1,ROWS($1:138)),))</f>
        <v>Xăng, dầu DO</v>
      </c>
      <c r="F151" s="164" t="str">
        <f ca="1">IF(ROWS($1:138)&gt;COUNT(Dong1),"",IF(OFFSET(TH!O$1,SMALL(Dong1,ROWS($1:138)),)="1111",OFFSET(TH!N$1,SMALL(Dong1,ROWS($1:138)),),OFFSET(TH!O$1,SMALL(Dong1,ROWS($1:138)),)))</f>
        <v>642</v>
      </c>
      <c r="G151" s="165">
        <f ca="1">IF(ROWS($1:138)&gt;COUNT(Dong1),"",IF(OFFSET(TH!N$1,SMALL(Dong1,ROWS($1:138)),)="1111",OFFSET(TH!M$1,SMALL(Dong1,ROWS($1:138)),),0))</f>
        <v>0</v>
      </c>
      <c r="H151" s="163">
        <f ca="1">IF(ROWS($1:138)&gt;COUNT(Dong1),"",IF(OFFSET(TH!O$1,SMALL(Dong1,ROWS($1:138)),)="1111",OFFSET(TH!M$1,SMALL(Dong1,ROWS($1:138)),),0))</f>
        <v>2056218</v>
      </c>
      <c r="I151" s="161">
        <f t="shared" ca="1" si="7"/>
        <v>233153600.5</v>
      </c>
      <c r="J151" s="166"/>
    </row>
    <row r="152" spans="1:10" ht="23.25" customHeight="1">
      <c r="A152" s="160">
        <f ca="1">IF(ROWS($1:139)&gt;COUNT(Dong1),"",OFFSET(TH!C$1,SMALL(Dong1,ROWS($1:139)),))</f>
        <v>42730</v>
      </c>
      <c r="B152" s="160">
        <f ca="1">IF(ROWS($1:139)&gt;COUNT(Dong1),"",OFFSET(TH!E$1,SMALL(Dong1,ROWS($1:139)),))</f>
        <v>42730</v>
      </c>
      <c r="C152" s="161" t="str">
        <f ca="1">IF(ROWS($1:139)&gt;COUNT(Dong1),"",IF(OFFSET(TH!N$1,SMALL(Dong1,ROWS($1:139)),)="1111",OFFSET(TH!D$1,SMALL(Dong1,ROWS($1:139)),),""))</f>
        <v/>
      </c>
      <c r="D152" s="162" t="str">
        <f ca="1">IF(ROWS($1:139)&gt;COUNT(Dong1),"",IF(OFFSET(TH!O$1,SMALL(Dong1,ROWS($1:139)),)="1111",OFFSET(TH!D$1,SMALL(Dong1,ROWS($1:139)),),""))</f>
        <v>C92</v>
      </c>
      <c r="E152" s="349" t="str">
        <f ca="1">IF(ROWS($1:139)&gt;COUNT(Dong1),"",OFFSET(TH!F$1,SMALL(Dong1,ROWS($1:139)),))</f>
        <v>VAT Xăng, dầu DO</v>
      </c>
      <c r="F152" s="164" t="str">
        <f ca="1">IF(ROWS($1:139)&gt;COUNT(Dong1),"",IF(OFFSET(TH!O$1,SMALL(Dong1,ROWS($1:139)),)="1111",OFFSET(TH!N$1,SMALL(Dong1,ROWS($1:139)),),OFFSET(TH!O$1,SMALL(Dong1,ROWS($1:139)),)))</f>
        <v>1331</v>
      </c>
      <c r="G152" s="165">
        <f ca="1">IF(ROWS($1:139)&gt;COUNT(Dong1),"",IF(OFFSET(TH!N$1,SMALL(Dong1,ROWS($1:139)),)="1111",OFFSET(TH!M$1,SMALL(Dong1,ROWS($1:139)),),0))</f>
        <v>0</v>
      </c>
      <c r="H152" s="163">
        <f ca="1">IF(ROWS($1:139)&gt;COUNT(Dong1),"",IF(OFFSET(TH!O$1,SMALL(Dong1,ROWS($1:139)),)="1111",OFFSET(TH!M$1,SMALL(Dong1,ROWS($1:139)),),0))</f>
        <v>205622</v>
      </c>
      <c r="I152" s="161">
        <f t="shared" ca="1" si="7"/>
        <v>232947978.5</v>
      </c>
      <c r="J152" s="166"/>
    </row>
    <row r="153" spans="1:10" ht="23.25" customHeight="1">
      <c r="A153" s="160">
        <f ca="1">IF(ROWS($1:140)&gt;COUNT(Dong1),"",OFFSET(TH!C$1,SMALL(Dong1,ROWS($1:140)),))</f>
        <v>42730</v>
      </c>
      <c r="B153" s="160">
        <f ca="1">IF(ROWS($1:140)&gt;COUNT(Dong1),"",OFFSET(TH!E$1,SMALL(Dong1,ROWS($1:140)),))</f>
        <v>42730</v>
      </c>
      <c r="C153" s="161" t="str">
        <f ca="1">IF(ROWS($1:140)&gt;COUNT(Dong1),"",IF(OFFSET(TH!N$1,SMALL(Dong1,ROWS($1:140)),)="1111",OFFSET(TH!D$1,SMALL(Dong1,ROWS($1:140)),),""))</f>
        <v/>
      </c>
      <c r="D153" s="162" t="str">
        <f ca="1">IF(ROWS($1:140)&gt;COUNT(Dong1),"",IF(OFFSET(TH!O$1,SMALL(Dong1,ROWS($1:140)),)="1111",OFFSET(TH!D$1,SMALL(Dong1,ROWS($1:140)),),""))</f>
        <v>C93</v>
      </c>
      <c r="E153" s="349" t="str">
        <f ca="1">IF(ROWS($1:140)&gt;COUNT(Dong1),"",OFFSET(TH!F$1,SMALL(Dong1,ROWS($1:140)),))</f>
        <v>Tạm ứng mua NL</v>
      </c>
      <c r="F153" s="164" t="str">
        <f ca="1">IF(ROWS($1:140)&gt;COUNT(Dong1),"",IF(OFFSET(TH!O$1,SMALL(Dong1,ROWS($1:140)),)="1111",OFFSET(TH!N$1,SMALL(Dong1,ROWS($1:140)),),OFFSET(TH!O$1,SMALL(Dong1,ROWS($1:140)),)))</f>
        <v>141</v>
      </c>
      <c r="G153" s="165">
        <f ca="1">IF(ROWS($1:140)&gt;COUNT(Dong1),"",IF(OFFSET(TH!N$1,SMALL(Dong1,ROWS($1:140)),)="1111",OFFSET(TH!M$1,SMALL(Dong1,ROWS($1:140)),),0))</f>
        <v>0</v>
      </c>
      <c r="H153" s="163">
        <f ca="1">IF(ROWS($1:140)&gt;COUNT(Dong1),"",IF(OFFSET(TH!O$1,SMALL(Dong1,ROWS($1:140)),)="1111",OFFSET(TH!M$1,SMALL(Dong1,ROWS($1:140)),),0))</f>
        <v>1500000000</v>
      </c>
      <c r="I153" s="161">
        <f t="shared" ca="1" si="7"/>
        <v>-1267052021.5</v>
      </c>
      <c r="J153" s="166"/>
    </row>
    <row r="154" spans="1:10" ht="23.25" customHeight="1">
      <c r="A154" s="160">
        <f ca="1">IF(ROWS($1:141)&gt;COUNT(Dong1),"",OFFSET(TH!C$1,SMALL(Dong1,ROWS($1:141)),))</f>
        <v>42730</v>
      </c>
      <c r="B154" s="160">
        <f ca="1">IF(ROWS($1:141)&gt;COUNT(Dong1),"",OFFSET(TH!E$1,SMALL(Dong1,ROWS($1:141)),))</f>
        <v>42730</v>
      </c>
      <c r="C154" s="161" t="str">
        <f ca="1">IF(ROWS($1:141)&gt;COUNT(Dong1),"",IF(OFFSET(TH!N$1,SMALL(Dong1,ROWS($1:141)),)="1111",OFFSET(TH!D$1,SMALL(Dong1,ROWS($1:141)),),""))</f>
        <v>T19</v>
      </c>
      <c r="D154" s="162" t="str">
        <f ca="1">IF(ROWS($1:141)&gt;COUNT(Dong1),"",IF(OFFSET(TH!O$1,SMALL(Dong1,ROWS($1:141)),)="1111",OFFSET(TH!D$1,SMALL(Dong1,ROWS($1:141)),),""))</f>
        <v/>
      </c>
      <c r="E154" s="349" t="str">
        <f ca="1">IF(ROWS($1:141)&gt;COUNT(Dong1),"",OFFSET(TH!F$1,SMALL(Dong1,ROWS($1:141)),))</f>
        <v>Rút tiền gửi NH nhập quỹ TM</v>
      </c>
      <c r="F154" s="164" t="str">
        <f ca="1">IF(ROWS($1:141)&gt;COUNT(Dong1),"",IF(OFFSET(TH!O$1,SMALL(Dong1,ROWS($1:141)),)="1111",OFFSET(TH!N$1,SMALL(Dong1,ROWS($1:141)),),OFFSET(TH!O$1,SMALL(Dong1,ROWS($1:141)),)))</f>
        <v>1121</v>
      </c>
      <c r="G154" s="165">
        <f ca="1">IF(ROWS($1:141)&gt;COUNT(Dong1),"",IF(OFFSET(TH!N$1,SMALL(Dong1,ROWS($1:141)),)="1111",OFFSET(TH!M$1,SMALL(Dong1,ROWS($1:141)),),0))</f>
        <v>4090000000</v>
      </c>
      <c r="H154" s="163">
        <f ca="1">IF(ROWS($1:141)&gt;COUNT(Dong1),"",IF(OFFSET(TH!O$1,SMALL(Dong1,ROWS($1:141)),)="1111",OFFSET(TH!M$1,SMALL(Dong1,ROWS($1:141)),),0))</f>
        <v>0</v>
      </c>
      <c r="I154" s="161">
        <f t="shared" ca="1" si="7"/>
        <v>2822947978.5</v>
      </c>
      <c r="J154" s="166"/>
    </row>
    <row r="155" spans="1:10" ht="23.25" customHeight="1">
      <c r="A155" s="160">
        <f ca="1">IF(ROWS($1:142)&gt;COUNT(Dong1),"",OFFSET(TH!C$1,SMALL(Dong1,ROWS($1:142)),))</f>
        <v>42731</v>
      </c>
      <c r="B155" s="160">
        <f ca="1">IF(ROWS($1:142)&gt;COUNT(Dong1),"",OFFSET(TH!E$1,SMALL(Dong1,ROWS($1:142)),))</f>
        <v>42731</v>
      </c>
      <c r="C155" s="161" t="str">
        <f ca="1">IF(ROWS($1:142)&gt;COUNT(Dong1),"",IF(OFFSET(TH!N$1,SMALL(Dong1,ROWS($1:142)),)="1111",OFFSET(TH!D$1,SMALL(Dong1,ROWS($1:142)),),""))</f>
        <v/>
      </c>
      <c r="D155" s="162" t="str">
        <f ca="1">IF(ROWS($1:142)&gt;COUNT(Dong1),"",IF(OFFSET(TH!O$1,SMALL(Dong1,ROWS($1:142)),)="1111",OFFSET(TH!D$1,SMALL(Dong1,ROWS($1:142)),),""))</f>
        <v>C94</v>
      </c>
      <c r="E155" s="349" t="str">
        <f ca="1">IF(ROWS($1:142)&gt;COUNT(Dong1),"",OFFSET(TH!F$1,SMALL(Dong1,ROWS($1:142)),))</f>
        <v>Tạm ứng mua NL</v>
      </c>
      <c r="F155" s="164" t="str">
        <f ca="1">IF(ROWS($1:142)&gt;COUNT(Dong1),"",IF(OFFSET(TH!O$1,SMALL(Dong1,ROWS($1:142)),)="1111",OFFSET(TH!N$1,SMALL(Dong1,ROWS($1:142)),),OFFSET(TH!O$1,SMALL(Dong1,ROWS($1:142)),)))</f>
        <v>141</v>
      </c>
      <c r="G155" s="165">
        <f ca="1">IF(ROWS($1:142)&gt;COUNT(Dong1),"",IF(OFFSET(TH!N$1,SMALL(Dong1,ROWS($1:142)),)="1111",OFFSET(TH!M$1,SMALL(Dong1,ROWS($1:142)),),0))</f>
        <v>0</v>
      </c>
      <c r="H155" s="163">
        <f ca="1">IF(ROWS($1:142)&gt;COUNT(Dong1),"",IF(OFFSET(TH!O$1,SMALL(Dong1,ROWS($1:142)),)="1111",OFFSET(TH!M$1,SMALL(Dong1,ROWS($1:142)),),0))</f>
        <v>1500000000</v>
      </c>
      <c r="I155" s="161">
        <f t="shared" ca="1" si="7"/>
        <v>1322947978.5</v>
      </c>
      <c r="J155" s="166"/>
    </row>
    <row r="156" spans="1:10" ht="23.25" customHeight="1">
      <c r="A156" s="160">
        <f ca="1">IF(ROWS($1:143)&gt;COUNT(Dong1),"",OFFSET(TH!C$1,SMALL(Dong1,ROWS($1:143)),))</f>
        <v>42731</v>
      </c>
      <c r="B156" s="160">
        <f ca="1">IF(ROWS($1:143)&gt;COUNT(Dong1),"",OFFSET(TH!E$1,SMALL(Dong1,ROWS($1:143)),))</f>
        <v>42731</v>
      </c>
      <c r="C156" s="161" t="str">
        <f ca="1">IF(ROWS($1:143)&gt;COUNT(Dong1),"",IF(OFFSET(TH!N$1,SMALL(Dong1,ROWS($1:143)),)="1111",OFFSET(TH!D$1,SMALL(Dong1,ROWS($1:143)),),""))</f>
        <v/>
      </c>
      <c r="D156" s="162" t="str">
        <f ca="1">IF(ROWS($1:143)&gt;COUNT(Dong1),"",IF(OFFSET(TH!O$1,SMALL(Dong1,ROWS($1:143)),)="1111",OFFSET(TH!D$1,SMALL(Dong1,ROWS($1:143)),),""))</f>
        <v>C95</v>
      </c>
      <c r="E156" s="349" t="str">
        <f ca="1">IF(ROWS($1:143)&gt;COUNT(Dong1),"",OFFSET(TH!F$1,SMALL(Dong1,ROWS($1:143)),))</f>
        <v>Phí dịch vụ bảo vệ T12/2016</v>
      </c>
      <c r="F156" s="164" t="str">
        <f ca="1">IF(ROWS($1:143)&gt;COUNT(Dong1),"",IF(OFFSET(TH!O$1,SMALL(Dong1,ROWS($1:143)),)="1111",OFFSET(TH!N$1,SMALL(Dong1,ROWS($1:143)),),OFFSET(TH!O$1,SMALL(Dong1,ROWS($1:143)),)))</f>
        <v>642</v>
      </c>
      <c r="G156" s="165">
        <f ca="1">IF(ROWS($1:143)&gt;COUNT(Dong1),"",IF(OFFSET(TH!N$1,SMALL(Dong1,ROWS($1:143)),)="1111",OFFSET(TH!M$1,SMALL(Dong1,ROWS($1:143)),),0))</f>
        <v>0</v>
      </c>
      <c r="H156" s="163">
        <f ca="1">IF(ROWS($1:143)&gt;COUNT(Dong1),"",IF(OFFSET(TH!O$1,SMALL(Dong1,ROWS($1:143)),)="1111",OFFSET(TH!M$1,SMALL(Dong1,ROWS($1:143)),),0))</f>
        <v>16050000</v>
      </c>
      <c r="I156" s="161">
        <f t="shared" ca="1" si="7"/>
        <v>1306897978.5</v>
      </c>
      <c r="J156" s="166"/>
    </row>
    <row r="157" spans="1:10" ht="23.25" customHeight="1">
      <c r="A157" s="160">
        <f ca="1">IF(ROWS($1:144)&gt;COUNT(Dong1),"",OFFSET(TH!C$1,SMALL(Dong1,ROWS($1:144)),))</f>
        <v>42731</v>
      </c>
      <c r="B157" s="160">
        <f ca="1">IF(ROWS($1:144)&gt;COUNT(Dong1),"",OFFSET(TH!E$1,SMALL(Dong1,ROWS($1:144)),))</f>
        <v>42731</v>
      </c>
      <c r="C157" s="161" t="str">
        <f ca="1">IF(ROWS($1:144)&gt;COUNT(Dong1),"",IF(OFFSET(TH!N$1,SMALL(Dong1,ROWS($1:144)),)="1111",OFFSET(TH!D$1,SMALL(Dong1,ROWS($1:144)),),""))</f>
        <v/>
      </c>
      <c r="D157" s="162" t="str">
        <f ca="1">IF(ROWS($1:144)&gt;COUNT(Dong1),"",IF(OFFSET(TH!O$1,SMALL(Dong1,ROWS($1:144)),)="1111",OFFSET(TH!D$1,SMALL(Dong1,ROWS($1:144)),),""))</f>
        <v>C95</v>
      </c>
      <c r="E157" s="349" t="str">
        <f ca="1">IF(ROWS($1:144)&gt;COUNT(Dong1),"",OFFSET(TH!F$1,SMALL(Dong1,ROWS($1:144)),))</f>
        <v>VAT Phí dịch vụ bảo vệ T12/2016</v>
      </c>
      <c r="F157" s="164" t="str">
        <f ca="1">IF(ROWS($1:144)&gt;COUNT(Dong1),"",IF(OFFSET(TH!O$1,SMALL(Dong1,ROWS($1:144)),)="1111",OFFSET(TH!N$1,SMALL(Dong1,ROWS($1:144)),),OFFSET(TH!O$1,SMALL(Dong1,ROWS($1:144)),)))</f>
        <v>1331</v>
      </c>
      <c r="G157" s="165">
        <f ca="1">IF(ROWS($1:144)&gt;COUNT(Dong1),"",IF(OFFSET(TH!N$1,SMALL(Dong1,ROWS($1:144)),)="1111",OFFSET(TH!M$1,SMALL(Dong1,ROWS($1:144)),),0))</f>
        <v>0</v>
      </c>
      <c r="H157" s="163">
        <f ca="1">IF(ROWS($1:144)&gt;COUNT(Dong1),"",IF(OFFSET(TH!O$1,SMALL(Dong1,ROWS($1:144)),)="1111",OFFSET(TH!M$1,SMALL(Dong1,ROWS($1:144)),),0))</f>
        <v>1605000</v>
      </c>
      <c r="I157" s="161">
        <f t="shared" ca="1" si="7"/>
        <v>1305292978.5</v>
      </c>
      <c r="J157" s="166"/>
    </row>
    <row r="158" spans="1:10" ht="23.25" customHeight="1">
      <c r="A158" s="160">
        <f ca="1">IF(ROWS($1:145)&gt;COUNT(Dong1),"",OFFSET(TH!C$1,SMALL(Dong1,ROWS($1:145)),))</f>
        <v>42731</v>
      </c>
      <c r="B158" s="160">
        <f ca="1">IF(ROWS($1:145)&gt;COUNT(Dong1),"",OFFSET(TH!E$1,SMALL(Dong1,ROWS($1:145)),))</f>
        <v>42731</v>
      </c>
      <c r="C158" s="161" t="str">
        <f ca="1">IF(ROWS($1:145)&gt;COUNT(Dong1),"",IF(OFFSET(TH!N$1,SMALL(Dong1,ROWS($1:145)),)="1111",OFFSET(TH!D$1,SMALL(Dong1,ROWS($1:145)),),""))</f>
        <v/>
      </c>
      <c r="D158" s="162" t="str">
        <f ca="1">IF(ROWS($1:145)&gt;COUNT(Dong1),"",IF(OFFSET(TH!O$1,SMALL(Dong1,ROWS($1:145)),)="1111",OFFSET(TH!D$1,SMALL(Dong1,ROWS($1:145)),),""))</f>
        <v>C97</v>
      </c>
      <c r="E158" s="349" t="str">
        <f ca="1">IF(ROWS($1:145)&gt;COUNT(Dong1),"",OFFSET(TH!F$1,SMALL(Dong1,ROWS($1:145)),))</f>
        <v>Thanh toán tiền thùng carton</v>
      </c>
      <c r="F158" s="164" t="str">
        <f ca="1">IF(ROWS($1:145)&gt;COUNT(Dong1),"",IF(OFFSET(TH!O$1,SMALL(Dong1,ROWS($1:145)),)="1111",OFFSET(TH!N$1,SMALL(Dong1,ROWS($1:145)),),OFFSET(TH!O$1,SMALL(Dong1,ROWS($1:145)),)))</f>
        <v>331</v>
      </c>
      <c r="G158" s="165">
        <f ca="1">IF(ROWS($1:145)&gt;COUNT(Dong1),"",IF(OFFSET(TH!N$1,SMALL(Dong1,ROWS($1:145)),)="1111",OFFSET(TH!M$1,SMALL(Dong1,ROWS($1:145)),),0))</f>
        <v>0</v>
      </c>
      <c r="H158" s="163">
        <f ca="1">IF(ROWS($1:145)&gt;COUNT(Dong1),"",IF(OFFSET(TH!O$1,SMALL(Dong1,ROWS($1:145)),)="1111",OFFSET(TH!M$1,SMALL(Dong1,ROWS($1:145)),),0))</f>
        <v>16747500</v>
      </c>
      <c r="I158" s="161">
        <f t="shared" ca="1" si="7"/>
        <v>1288545478.5</v>
      </c>
      <c r="J158" s="166"/>
    </row>
    <row r="159" spans="1:10" ht="23.25" customHeight="1">
      <c r="A159" s="160">
        <f ca="1">IF(ROWS($1:146)&gt;COUNT(Dong1),"",OFFSET(TH!C$1,SMALL(Dong1,ROWS($1:146)),))</f>
        <v>43462</v>
      </c>
      <c r="B159" s="160">
        <f ca="1">IF(ROWS($1:146)&gt;COUNT(Dong1),"",OFFSET(TH!E$1,SMALL(Dong1,ROWS($1:146)),))</f>
        <v>43462</v>
      </c>
      <c r="C159" s="161" t="str">
        <f ca="1">IF(ROWS($1:146)&gt;COUNT(Dong1),"",IF(OFFSET(TH!N$1,SMALL(Dong1,ROWS($1:146)),)="1111",OFFSET(TH!D$1,SMALL(Dong1,ROWS($1:146)),),""))</f>
        <v/>
      </c>
      <c r="D159" s="162" t="str">
        <f ca="1">IF(ROWS($1:146)&gt;COUNT(Dong1),"",IF(OFFSET(TH!O$1,SMALL(Dong1,ROWS($1:146)),)="1111",OFFSET(TH!D$1,SMALL(Dong1,ROWS($1:146)),),""))</f>
        <v>C98</v>
      </c>
      <c r="E159" s="349" t="str">
        <f ca="1">IF(ROWS($1:146)&gt;COUNT(Dong1),"",OFFSET(TH!F$1,SMALL(Dong1,ROWS($1:146)),))</f>
        <v>Thanh toán tiền thùng carton</v>
      </c>
      <c r="F159" s="164" t="str">
        <f ca="1">IF(ROWS($1:146)&gt;COUNT(Dong1),"",IF(OFFSET(TH!O$1,SMALL(Dong1,ROWS($1:146)),)="1111",OFFSET(TH!N$1,SMALL(Dong1,ROWS($1:146)),),OFFSET(TH!O$1,SMALL(Dong1,ROWS($1:146)),)))</f>
        <v>331</v>
      </c>
      <c r="G159" s="165">
        <f ca="1">IF(ROWS($1:146)&gt;COUNT(Dong1),"",IF(OFFSET(TH!N$1,SMALL(Dong1,ROWS($1:146)),)="1111",OFFSET(TH!M$1,SMALL(Dong1,ROWS($1:146)),),0))</f>
        <v>0</v>
      </c>
      <c r="H159" s="163">
        <f ca="1">IF(ROWS($1:146)&gt;COUNT(Dong1),"",IF(OFFSET(TH!O$1,SMALL(Dong1,ROWS($1:146)),)="1111",OFFSET(TH!M$1,SMALL(Dong1,ROWS($1:146)),),0))</f>
        <v>16747500</v>
      </c>
      <c r="I159" s="161">
        <f t="shared" ca="1" si="7"/>
        <v>1271797978.5</v>
      </c>
      <c r="J159" s="166"/>
    </row>
    <row r="160" spans="1:10" ht="23.25" customHeight="1">
      <c r="A160" s="160">
        <f ca="1">IF(ROWS($1:147)&gt;COUNT(Dong1),"",OFFSET(TH!C$1,SMALL(Dong1,ROWS($1:147)),))</f>
        <v>42731</v>
      </c>
      <c r="B160" s="160">
        <f ca="1">IF(ROWS($1:147)&gt;COUNT(Dong1),"",OFFSET(TH!E$1,SMALL(Dong1,ROWS($1:147)),))</f>
        <v>42731</v>
      </c>
      <c r="C160" s="161" t="str">
        <f ca="1">IF(ROWS($1:147)&gt;COUNT(Dong1),"",IF(OFFSET(TH!N$1,SMALL(Dong1,ROWS($1:147)),)="1111",OFFSET(TH!D$1,SMALL(Dong1,ROWS($1:147)),),""))</f>
        <v>T20</v>
      </c>
      <c r="D160" s="162" t="str">
        <f ca="1">IF(ROWS($1:147)&gt;COUNT(Dong1),"",IF(OFFSET(TH!O$1,SMALL(Dong1,ROWS($1:147)),)="1111",OFFSET(TH!D$1,SMALL(Dong1,ROWS($1:147)),),""))</f>
        <v/>
      </c>
      <c r="E160" s="349" t="str">
        <f ca="1">IF(ROWS($1:147)&gt;COUNT(Dong1),"",OFFSET(TH!F$1,SMALL(Dong1,ROWS($1:147)),))</f>
        <v>Rút tiền gửi NH nhập quỹ TM</v>
      </c>
      <c r="F160" s="164" t="str">
        <f ca="1">IF(ROWS($1:147)&gt;COUNT(Dong1),"",IF(OFFSET(TH!O$1,SMALL(Dong1,ROWS($1:147)),)="1111",OFFSET(TH!N$1,SMALL(Dong1,ROWS($1:147)),),OFFSET(TH!O$1,SMALL(Dong1,ROWS($1:147)),)))</f>
        <v>1121</v>
      </c>
      <c r="G160" s="165">
        <f ca="1">IF(ROWS($1:147)&gt;COUNT(Dong1),"",IF(OFFSET(TH!N$1,SMALL(Dong1,ROWS($1:147)),)="1111",OFFSET(TH!M$1,SMALL(Dong1,ROWS($1:147)),),0))</f>
        <v>515000000</v>
      </c>
      <c r="H160" s="163">
        <f ca="1">IF(ROWS($1:147)&gt;COUNT(Dong1),"",IF(OFFSET(TH!O$1,SMALL(Dong1,ROWS($1:147)),)="1111",OFFSET(TH!M$1,SMALL(Dong1,ROWS($1:147)),),0))</f>
        <v>0</v>
      </c>
      <c r="I160" s="161">
        <f t="shared" ca="1" si="7"/>
        <v>1786797978.5</v>
      </c>
      <c r="J160" s="166"/>
    </row>
    <row r="161" spans="1:10" ht="23.25" customHeight="1">
      <c r="A161" s="160">
        <f ca="1">IF(ROWS($1:148)&gt;COUNT(Dong1),"",OFFSET(TH!C$1,SMALL(Dong1,ROWS($1:148)),))</f>
        <v>42732</v>
      </c>
      <c r="B161" s="160">
        <f ca="1">IF(ROWS($1:148)&gt;COUNT(Dong1),"",OFFSET(TH!E$1,SMALL(Dong1,ROWS($1:148)),))</f>
        <v>42732</v>
      </c>
      <c r="C161" s="161" t="str">
        <f ca="1">IF(ROWS($1:148)&gt;COUNT(Dong1),"",IF(OFFSET(TH!N$1,SMALL(Dong1,ROWS($1:148)),)="1111",OFFSET(TH!D$1,SMALL(Dong1,ROWS($1:148)),),""))</f>
        <v/>
      </c>
      <c r="D161" s="162" t="str">
        <f ca="1">IF(ROWS($1:148)&gt;COUNT(Dong1),"",IF(OFFSET(TH!O$1,SMALL(Dong1,ROWS($1:148)),)="1111",OFFSET(TH!D$1,SMALL(Dong1,ROWS($1:148)),),""))</f>
        <v>C99</v>
      </c>
      <c r="E161" s="349" t="str">
        <f ca="1">IF(ROWS($1:148)&gt;COUNT(Dong1),"",OFFSET(TH!F$1,SMALL(Dong1,ROWS($1:148)),))</f>
        <v>Tạm ứng mua NL</v>
      </c>
      <c r="F161" s="164" t="str">
        <f ca="1">IF(ROWS($1:148)&gt;COUNT(Dong1),"",IF(OFFSET(TH!O$1,SMALL(Dong1,ROWS($1:148)),)="1111",OFFSET(TH!N$1,SMALL(Dong1,ROWS($1:148)),),OFFSET(TH!O$1,SMALL(Dong1,ROWS($1:148)),)))</f>
        <v>141</v>
      </c>
      <c r="G161" s="165">
        <f ca="1">IF(ROWS($1:148)&gt;COUNT(Dong1),"",IF(OFFSET(TH!N$1,SMALL(Dong1,ROWS($1:148)),)="1111",OFFSET(TH!M$1,SMALL(Dong1,ROWS($1:148)),),0))</f>
        <v>0</v>
      </c>
      <c r="H161" s="163">
        <f ca="1">IF(ROWS($1:148)&gt;COUNT(Dong1),"",IF(OFFSET(TH!O$1,SMALL(Dong1,ROWS($1:148)),)="1111",OFFSET(TH!M$1,SMALL(Dong1,ROWS($1:148)),),0))</f>
        <v>1500000000</v>
      </c>
      <c r="I161" s="161">
        <f t="shared" ca="1" si="7"/>
        <v>286797978.5</v>
      </c>
      <c r="J161" s="166"/>
    </row>
    <row r="162" spans="1:10" ht="23.25" customHeight="1">
      <c r="A162" s="160">
        <f ca="1">IF(ROWS($1:149)&gt;COUNT(Dong1),"",OFFSET(TH!C$1,SMALL(Dong1,ROWS($1:149)),))</f>
        <v>42733</v>
      </c>
      <c r="B162" s="160">
        <f ca="1">IF(ROWS($1:149)&gt;COUNT(Dong1),"",OFFSET(TH!E$1,SMALL(Dong1,ROWS($1:149)),))</f>
        <v>42733</v>
      </c>
      <c r="C162" s="161" t="str">
        <f ca="1">IF(ROWS($1:149)&gt;COUNT(Dong1),"",IF(OFFSET(TH!N$1,SMALL(Dong1,ROWS($1:149)),)="1111",OFFSET(TH!D$1,SMALL(Dong1,ROWS($1:149)),),""))</f>
        <v/>
      </c>
      <c r="D162" s="162" t="str">
        <f ca="1">IF(ROWS($1:149)&gt;COUNT(Dong1),"",IF(OFFSET(TH!O$1,SMALL(Dong1,ROWS($1:149)),)="1111",OFFSET(TH!D$1,SMALL(Dong1,ROWS($1:149)),),""))</f>
        <v>C100</v>
      </c>
      <c r="E162" s="349" t="str">
        <f ca="1">IF(ROWS($1:149)&gt;COUNT(Dong1),"",OFFSET(TH!F$1,SMALL(Dong1,ROWS($1:149)),))</f>
        <v>Nộp tiền mặt vào TK NH</v>
      </c>
      <c r="F162" s="164" t="str">
        <f ca="1">IF(ROWS($1:149)&gt;COUNT(Dong1),"",IF(OFFSET(TH!O$1,SMALL(Dong1,ROWS($1:149)),)="1111",OFFSET(TH!N$1,SMALL(Dong1,ROWS($1:149)),),OFFSET(TH!O$1,SMALL(Dong1,ROWS($1:149)),)))</f>
        <v>1121</v>
      </c>
      <c r="G162" s="165">
        <f ca="1">IF(ROWS($1:149)&gt;COUNT(Dong1),"",IF(OFFSET(TH!N$1,SMALL(Dong1,ROWS($1:149)),)="1111",OFFSET(TH!M$1,SMALL(Dong1,ROWS($1:149)),),0))</f>
        <v>0</v>
      </c>
      <c r="H162" s="163">
        <f ca="1">IF(ROWS($1:149)&gt;COUNT(Dong1),"",IF(OFFSET(TH!O$1,SMALL(Dong1,ROWS($1:149)),)="1111",OFFSET(TH!M$1,SMALL(Dong1,ROWS($1:149)),),0))</f>
        <v>22000000</v>
      </c>
      <c r="I162" s="161">
        <f t="shared" ref="I162:I170" ca="1" si="8">IF(E162&lt;&gt;"",I161+G162-H162,0)</f>
        <v>264797978.5</v>
      </c>
      <c r="J162" s="166"/>
    </row>
    <row r="163" spans="1:10" ht="23.25" customHeight="1">
      <c r="A163" s="160">
        <f ca="1">IF(ROWS($1:150)&gt;COUNT(Dong1),"",OFFSET(TH!C$1,SMALL(Dong1,ROWS($1:150)),))</f>
        <v>42734</v>
      </c>
      <c r="B163" s="160">
        <f ca="1">IF(ROWS($1:150)&gt;COUNT(Dong1),"",OFFSET(TH!E$1,SMALL(Dong1,ROWS($1:150)),))</f>
        <v>42734</v>
      </c>
      <c r="C163" s="161" t="str">
        <f ca="1">IF(ROWS($1:150)&gt;COUNT(Dong1),"",IF(OFFSET(TH!N$1,SMALL(Dong1,ROWS($1:150)),)="1111",OFFSET(TH!D$1,SMALL(Dong1,ROWS($1:150)),),""))</f>
        <v/>
      </c>
      <c r="D163" s="162" t="str">
        <f ca="1">IF(ROWS($1:150)&gt;COUNT(Dong1),"",IF(OFFSET(TH!O$1,SMALL(Dong1,ROWS($1:150)),)="1111",OFFSET(TH!D$1,SMALL(Dong1,ROWS($1:150)),),""))</f>
        <v>C101</v>
      </c>
      <c r="E163" s="349" t="str">
        <f ca="1">IF(ROWS($1:150)&gt;COUNT(Dong1),"",OFFSET(TH!F$1,SMALL(Dong1,ROWS($1:150)),))</f>
        <v>Nộp tiền mặt vào TK NH</v>
      </c>
      <c r="F163" s="164" t="str">
        <f ca="1">IF(ROWS($1:150)&gt;COUNT(Dong1),"",IF(OFFSET(TH!O$1,SMALL(Dong1,ROWS($1:150)),)="1111",OFFSET(TH!N$1,SMALL(Dong1,ROWS($1:150)),),OFFSET(TH!O$1,SMALL(Dong1,ROWS($1:150)),)))</f>
        <v>1121</v>
      </c>
      <c r="G163" s="165">
        <f ca="1">IF(ROWS($1:150)&gt;COUNT(Dong1),"",IF(OFFSET(TH!N$1,SMALL(Dong1,ROWS($1:150)),)="1111",OFFSET(TH!M$1,SMALL(Dong1,ROWS($1:150)),),0))</f>
        <v>0</v>
      </c>
      <c r="H163" s="163">
        <f ca="1">IF(ROWS($1:150)&gt;COUNT(Dong1),"",IF(OFFSET(TH!O$1,SMALL(Dong1,ROWS($1:150)),)="1111",OFFSET(TH!M$1,SMALL(Dong1,ROWS($1:150)),),0))</f>
        <v>1860000000</v>
      </c>
      <c r="I163" s="161">
        <f t="shared" ca="1" si="8"/>
        <v>-1595202021.5</v>
      </c>
      <c r="J163" s="166"/>
    </row>
    <row r="164" spans="1:10" ht="23.25" customHeight="1">
      <c r="A164" s="160">
        <f ca="1">IF(ROWS($1:151)&gt;COUNT(Dong1),"",OFFSET(TH!C$1,SMALL(Dong1,ROWS($1:151)),))</f>
        <v>42734</v>
      </c>
      <c r="B164" s="160">
        <f ca="1">IF(ROWS($1:151)&gt;COUNT(Dong1),"",OFFSET(TH!E$1,SMALL(Dong1,ROWS($1:151)),))</f>
        <v>42734</v>
      </c>
      <c r="C164" s="161" t="str">
        <f ca="1">IF(ROWS($1:151)&gt;COUNT(Dong1),"",IF(OFFSET(TH!N$1,SMALL(Dong1,ROWS($1:151)),)="1111",OFFSET(TH!D$1,SMALL(Dong1,ROWS($1:151)),),""))</f>
        <v/>
      </c>
      <c r="D164" s="162" t="str">
        <f ca="1">IF(ROWS($1:151)&gt;COUNT(Dong1),"",IF(OFFSET(TH!O$1,SMALL(Dong1,ROWS($1:151)),)="1111",OFFSET(TH!D$1,SMALL(Dong1,ROWS($1:151)),),""))</f>
        <v>C102</v>
      </c>
      <c r="E164" s="349" t="str">
        <f ca="1">IF(ROWS($1:151)&gt;COUNT(Dong1),"",OFFSET(TH!F$1,SMALL(Dong1,ROWS($1:151)),))</f>
        <v>Tạm ứng mua NL</v>
      </c>
      <c r="F164" s="164" t="str">
        <f ca="1">IF(ROWS($1:151)&gt;COUNT(Dong1),"",IF(OFFSET(TH!O$1,SMALL(Dong1,ROWS($1:151)),)="1111",OFFSET(TH!N$1,SMALL(Dong1,ROWS($1:151)),),OFFSET(TH!O$1,SMALL(Dong1,ROWS($1:151)),)))</f>
        <v>141</v>
      </c>
      <c r="G164" s="165">
        <f ca="1">IF(ROWS($1:151)&gt;COUNT(Dong1),"",IF(OFFSET(TH!N$1,SMALL(Dong1,ROWS($1:151)),)="1111",OFFSET(TH!M$1,SMALL(Dong1,ROWS($1:151)),),0))</f>
        <v>0</v>
      </c>
      <c r="H164" s="163">
        <f ca="1">IF(ROWS($1:151)&gt;COUNT(Dong1),"",IF(OFFSET(TH!O$1,SMALL(Dong1,ROWS($1:151)),)="1111",OFFSET(TH!M$1,SMALL(Dong1,ROWS($1:151)),),0))</f>
        <v>2235750000</v>
      </c>
      <c r="I164" s="161">
        <f t="shared" ca="1" si="8"/>
        <v>-3830952021.5</v>
      </c>
      <c r="J164" s="166"/>
    </row>
    <row r="165" spans="1:10" ht="23.25" customHeight="1">
      <c r="A165" s="160">
        <f ca="1">IF(ROWS($1:152)&gt;COUNT(Dong1),"",OFFSET(TH!C$1,SMALL(Dong1,ROWS($1:152)),))</f>
        <v>42734</v>
      </c>
      <c r="B165" s="160">
        <f ca="1">IF(ROWS($1:152)&gt;COUNT(Dong1),"",OFFSET(TH!E$1,SMALL(Dong1,ROWS($1:152)),))</f>
        <v>42734</v>
      </c>
      <c r="C165" s="161" t="str">
        <f ca="1">IF(ROWS($1:152)&gt;COUNT(Dong1),"",IF(OFFSET(TH!N$1,SMALL(Dong1,ROWS($1:152)),)="1111",OFFSET(TH!D$1,SMALL(Dong1,ROWS($1:152)),),""))</f>
        <v>T21</v>
      </c>
      <c r="D165" s="162" t="str">
        <f ca="1">IF(ROWS($1:152)&gt;COUNT(Dong1),"",IF(OFFSET(TH!O$1,SMALL(Dong1,ROWS($1:152)),)="1111",OFFSET(TH!D$1,SMALL(Dong1,ROWS($1:152)),),""))</f>
        <v/>
      </c>
      <c r="E165" s="349" t="str">
        <f ca="1">IF(ROWS($1:152)&gt;COUNT(Dong1),"",OFFSET(TH!F$1,SMALL(Dong1,ROWS($1:152)),))</f>
        <v>Rút tiền gửi NH nhập quỹ TM</v>
      </c>
      <c r="F165" s="164" t="str">
        <f ca="1">IF(ROWS($1:152)&gt;COUNT(Dong1),"",IF(OFFSET(TH!O$1,SMALL(Dong1,ROWS($1:152)),)="1111",OFFSET(TH!N$1,SMALL(Dong1,ROWS($1:152)),),OFFSET(TH!O$1,SMALL(Dong1,ROWS($1:152)),)))</f>
        <v>1121</v>
      </c>
      <c r="G165" s="165">
        <f ca="1">IF(ROWS($1:152)&gt;COUNT(Dong1),"",IF(OFFSET(TH!N$1,SMALL(Dong1,ROWS($1:152)),)="1111",OFFSET(TH!M$1,SMALL(Dong1,ROWS($1:152)),),0))</f>
        <v>5620000000</v>
      </c>
      <c r="H165" s="163">
        <f ca="1">IF(ROWS($1:152)&gt;COUNT(Dong1),"",IF(OFFSET(TH!O$1,SMALL(Dong1,ROWS($1:152)),)="1111",OFFSET(TH!M$1,SMALL(Dong1,ROWS($1:152)),),0))</f>
        <v>0</v>
      </c>
      <c r="I165" s="161">
        <f t="shared" ca="1" si="8"/>
        <v>1789047978.5</v>
      </c>
      <c r="J165" s="166"/>
    </row>
    <row r="166" spans="1:10" ht="23.25" customHeight="1">
      <c r="A166" s="160">
        <f ca="1">IF(ROWS($1:153)&gt;COUNT(Dong1),"",OFFSET(TH!C$1,SMALL(Dong1,ROWS($1:153)),))</f>
        <v>42734</v>
      </c>
      <c r="B166" s="160">
        <f ca="1">IF(ROWS($1:153)&gt;COUNT(Dong1),"",OFFSET(TH!E$1,SMALL(Dong1,ROWS($1:153)),))</f>
        <v>42734</v>
      </c>
      <c r="C166" s="161" t="str">
        <f ca="1">IF(ROWS($1:153)&gt;COUNT(Dong1),"",IF(OFFSET(TH!N$1,SMALL(Dong1,ROWS($1:153)),)="1111",OFFSET(TH!D$1,SMALL(Dong1,ROWS($1:153)),),""))</f>
        <v>T22</v>
      </c>
      <c r="D166" s="162" t="str">
        <f ca="1">IF(ROWS($1:153)&gt;COUNT(Dong1),"",IF(OFFSET(TH!O$1,SMALL(Dong1,ROWS($1:153)),)="1111",OFFSET(TH!D$1,SMALL(Dong1,ROWS($1:153)),),""))</f>
        <v/>
      </c>
      <c r="E166" s="349" t="str">
        <f ca="1">IF(ROWS($1:153)&gt;COUNT(Dong1),"",OFFSET(TH!F$1,SMALL(Dong1,ROWS($1:153)),))</f>
        <v>Rút tiền gửi NH nhập quỹ TM</v>
      </c>
      <c r="F166" s="164" t="str">
        <f ca="1">IF(ROWS($1:153)&gt;COUNT(Dong1),"",IF(OFFSET(TH!O$1,SMALL(Dong1,ROWS($1:153)),)="1111",OFFSET(TH!N$1,SMALL(Dong1,ROWS($1:153)),),OFFSET(TH!O$1,SMALL(Dong1,ROWS($1:153)),)))</f>
        <v>1121</v>
      </c>
      <c r="G166" s="165">
        <f ca="1">IF(ROWS($1:153)&gt;COUNT(Dong1),"",IF(OFFSET(TH!N$1,SMALL(Dong1,ROWS($1:153)),)="1111",OFFSET(TH!M$1,SMALL(Dong1,ROWS($1:153)),),0))</f>
        <v>1940000000</v>
      </c>
      <c r="H166" s="163">
        <f ca="1">IF(ROWS($1:153)&gt;COUNT(Dong1),"",IF(OFFSET(TH!O$1,SMALL(Dong1,ROWS($1:153)),)="1111",OFFSET(TH!M$1,SMALL(Dong1,ROWS($1:153)),),0))</f>
        <v>0</v>
      </c>
      <c r="I166" s="161">
        <f t="shared" ca="1" si="8"/>
        <v>3729047978.5</v>
      </c>
      <c r="J166" s="166"/>
    </row>
    <row r="167" spans="1:10" ht="23.25" customHeight="1">
      <c r="A167" s="160">
        <f ca="1">IF(ROWS($1:154)&gt;COUNT(Dong1),"",OFFSET(TH!C$1,SMALL(Dong1,ROWS($1:154)),))</f>
        <v>42735</v>
      </c>
      <c r="B167" s="160">
        <f ca="1">IF(ROWS($1:154)&gt;COUNT(Dong1),"",OFFSET(TH!E$1,SMALL(Dong1,ROWS($1:154)),))</f>
        <v>42735</v>
      </c>
      <c r="C167" s="161" t="str">
        <f ca="1">IF(ROWS($1:154)&gt;COUNT(Dong1),"",IF(OFFSET(TH!N$1,SMALL(Dong1,ROWS($1:154)),)="1111",OFFSET(TH!D$1,SMALL(Dong1,ROWS($1:154)),),""))</f>
        <v/>
      </c>
      <c r="D167" s="162" t="str">
        <f ca="1">IF(ROWS($1:154)&gt;COUNT(Dong1),"",IF(OFFSET(TH!O$1,SMALL(Dong1,ROWS($1:154)),)="1111",OFFSET(TH!D$1,SMALL(Dong1,ROWS($1:154)),),""))</f>
        <v>C103</v>
      </c>
      <c r="E167" s="349" t="str">
        <f ca="1">IF(ROWS($1:154)&gt;COUNT(Dong1),"",OFFSET(TH!F$1,SMALL(Dong1,ROWS($1:154)),))</f>
        <v>Xăng, dầu DO</v>
      </c>
      <c r="F167" s="164" t="str">
        <f ca="1">IF(ROWS($1:154)&gt;COUNT(Dong1),"",IF(OFFSET(TH!O$1,SMALL(Dong1,ROWS($1:154)),)="1111",OFFSET(TH!N$1,SMALL(Dong1,ROWS($1:154)),),OFFSET(TH!O$1,SMALL(Dong1,ROWS($1:154)),)))</f>
        <v>642</v>
      </c>
      <c r="G167" s="165">
        <f ca="1">IF(ROWS($1:154)&gt;COUNT(Dong1),"",IF(OFFSET(TH!N$1,SMALL(Dong1,ROWS($1:154)),)="1111",OFFSET(TH!M$1,SMALL(Dong1,ROWS($1:154)),),0))</f>
        <v>0</v>
      </c>
      <c r="H167" s="163">
        <f ca="1">IF(ROWS($1:154)&gt;COUNT(Dong1),"",IF(OFFSET(TH!O$1,SMALL(Dong1,ROWS($1:154)),)="1111",OFFSET(TH!M$1,SMALL(Dong1,ROWS($1:154)),),0))</f>
        <v>1628327</v>
      </c>
      <c r="I167" s="161">
        <f t="shared" ca="1" si="8"/>
        <v>3727419651.5</v>
      </c>
      <c r="J167" s="166"/>
    </row>
    <row r="168" spans="1:10" ht="23.25" customHeight="1">
      <c r="A168" s="160">
        <f ca="1">IF(ROWS($1:155)&gt;COUNT(Dong1),"",OFFSET(TH!C$1,SMALL(Dong1,ROWS($1:155)),))</f>
        <v>42735</v>
      </c>
      <c r="B168" s="160">
        <f ca="1">IF(ROWS($1:155)&gt;COUNT(Dong1),"",OFFSET(TH!E$1,SMALL(Dong1,ROWS($1:155)),))</f>
        <v>42735</v>
      </c>
      <c r="C168" s="161" t="str">
        <f ca="1">IF(ROWS($1:155)&gt;COUNT(Dong1),"",IF(OFFSET(TH!N$1,SMALL(Dong1,ROWS($1:155)),)="1111",OFFSET(TH!D$1,SMALL(Dong1,ROWS($1:155)),),""))</f>
        <v/>
      </c>
      <c r="D168" s="162" t="str">
        <f ca="1">IF(ROWS($1:155)&gt;COUNT(Dong1),"",IF(OFFSET(TH!O$1,SMALL(Dong1,ROWS($1:155)),)="1111",OFFSET(TH!D$1,SMALL(Dong1,ROWS($1:155)),),""))</f>
        <v>C103</v>
      </c>
      <c r="E168" s="349" t="str">
        <f ca="1">IF(ROWS($1:155)&gt;COUNT(Dong1),"",OFFSET(TH!F$1,SMALL(Dong1,ROWS($1:155)),))</f>
        <v>VAT Xăng, dầu DO</v>
      </c>
      <c r="F168" s="164" t="str">
        <f ca="1">IF(ROWS($1:155)&gt;COUNT(Dong1),"",IF(OFFSET(TH!O$1,SMALL(Dong1,ROWS($1:155)),)="1111",OFFSET(TH!N$1,SMALL(Dong1,ROWS($1:155)),),OFFSET(TH!O$1,SMALL(Dong1,ROWS($1:155)),)))</f>
        <v>1331</v>
      </c>
      <c r="G168" s="165">
        <f ca="1">IF(ROWS($1:155)&gt;COUNT(Dong1),"",IF(OFFSET(TH!N$1,SMALL(Dong1,ROWS($1:155)),)="1111",OFFSET(TH!M$1,SMALL(Dong1,ROWS($1:155)),),0))</f>
        <v>0</v>
      </c>
      <c r="H168" s="163">
        <f ca="1">IF(ROWS($1:155)&gt;COUNT(Dong1),"",IF(OFFSET(TH!O$1,SMALL(Dong1,ROWS($1:155)),)="1111",OFFSET(TH!M$1,SMALL(Dong1,ROWS($1:155)),),0))</f>
        <v>162833</v>
      </c>
      <c r="I168" s="161">
        <f t="shared" ca="1" si="8"/>
        <v>3727256818.5</v>
      </c>
      <c r="J168" s="166"/>
    </row>
    <row r="169" spans="1:10" ht="23.25" customHeight="1">
      <c r="A169" s="160">
        <f ca="1">IF(ROWS($1:156)&gt;COUNT(Dong1),"",OFFSET(TH!C$1,SMALL(Dong1,ROWS($1:156)),))</f>
        <v>42735</v>
      </c>
      <c r="B169" s="160">
        <f ca="1">IF(ROWS($1:156)&gt;COUNT(Dong1),"",OFFSET(TH!E$1,SMALL(Dong1,ROWS($1:156)),))</f>
        <v>42735</v>
      </c>
      <c r="C169" s="161" t="str">
        <f ca="1">IF(ROWS($1:156)&gt;COUNT(Dong1),"",IF(OFFSET(TH!N$1,SMALL(Dong1,ROWS($1:156)),)="1111",OFFSET(TH!D$1,SMALL(Dong1,ROWS($1:156)),),""))</f>
        <v/>
      </c>
      <c r="D169" s="162" t="str">
        <f ca="1">IF(ROWS($1:156)&gt;COUNT(Dong1),"",IF(OFFSET(TH!O$1,SMALL(Dong1,ROWS($1:156)),)="1111",OFFSET(TH!D$1,SMALL(Dong1,ROWS($1:156)),),""))</f>
        <v>C104</v>
      </c>
      <c r="E169" s="349" t="str">
        <f ca="1">IF(ROWS($1:156)&gt;COUNT(Dong1),"",OFFSET(TH!F$1,SMALL(Dong1,ROWS($1:156)),))</f>
        <v>Phí giao thông</v>
      </c>
      <c r="F169" s="164" t="str">
        <f ca="1">IF(ROWS($1:156)&gt;COUNT(Dong1),"",IF(OFFSET(TH!O$1,SMALL(Dong1,ROWS($1:156)),)="1111",OFFSET(TH!N$1,SMALL(Dong1,ROWS($1:156)),),OFFSET(TH!O$1,SMALL(Dong1,ROWS($1:156)),)))</f>
        <v>642</v>
      </c>
      <c r="G169" s="165">
        <f ca="1">IF(ROWS($1:156)&gt;COUNT(Dong1),"",IF(OFFSET(TH!N$1,SMALL(Dong1,ROWS($1:156)),)="1111",OFFSET(TH!M$1,SMALL(Dong1,ROWS($1:156)),),0))</f>
        <v>0</v>
      </c>
      <c r="H169" s="163">
        <f ca="1">IF(ROWS($1:156)&gt;COUNT(Dong1),"",IF(OFFSET(TH!O$1,SMALL(Dong1,ROWS($1:156)),)="1111",OFFSET(TH!M$1,SMALL(Dong1,ROWS($1:156)),),0))</f>
        <v>2259091</v>
      </c>
      <c r="I169" s="161">
        <f t="shared" ca="1" si="8"/>
        <v>3724997727.5</v>
      </c>
      <c r="J169" s="166"/>
    </row>
    <row r="170" spans="1:10" ht="23.25" customHeight="1">
      <c r="A170" s="160">
        <f ca="1">IF(ROWS($1:157)&gt;COUNT(Dong1),"",OFFSET(TH!C$1,SMALL(Dong1,ROWS($1:157)),))</f>
        <v>42735</v>
      </c>
      <c r="B170" s="160">
        <f ca="1">IF(ROWS($1:157)&gt;COUNT(Dong1),"",OFFSET(TH!E$1,SMALL(Dong1,ROWS($1:157)),))</f>
        <v>42735</v>
      </c>
      <c r="C170" s="161" t="str">
        <f ca="1">IF(ROWS($1:157)&gt;COUNT(Dong1),"",IF(OFFSET(TH!N$1,SMALL(Dong1,ROWS($1:157)),)="1111",OFFSET(TH!D$1,SMALL(Dong1,ROWS($1:157)),),""))</f>
        <v/>
      </c>
      <c r="D170" s="162" t="str">
        <f ca="1">IF(ROWS($1:157)&gt;COUNT(Dong1),"",IF(OFFSET(TH!O$1,SMALL(Dong1,ROWS($1:157)),)="1111",OFFSET(TH!D$1,SMALL(Dong1,ROWS($1:157)),),""))</f>
        <v>C104</v>
      </c>
      <c r="E170" s="349" t="str">
        <f ca="1">IF(ROWS($1:157)&gt;COUNT(Dong1),"",OFFSET(TH!F$1,SMALL(Dong1,ROWS($1:157)),))</f>
        <v>VAT Phí giao thông</v>
      </c>
      <c r="F170" s="164" t="str">
        <f ca="1">IF(ROWS($1:157)&gt;COUNT(Dong1),"",IF(OFFSET(TH!O$1,SMALL(Dong1,ROWS($1:157)),)="1111",OFFSET(TH!N$1,SMALL(Dong1,ROWS($1:157)),),OFFSET(TH!O$1,SMALL(Dong1,ROWS($1:157)),)))</f>
        <v>1331</v>
      </c>
      <c r="G170" s="165">
        <f ca="1">IF(ROWS($1:157)&gt;COUNT(Dong1),"",IF(OFFSET(TH!N$1,SMALL(Dong1,ROWS($1:157)),)="1111",OFFSET(TH!M$1,SMALL(Dong1,ROWS($1:157)),),0))</f>
        <v>0</v>
      </c>
      <c r="H170" s="163">
        <f ca="1">IF(ROWS($1:157)&gt;COUNT(Dong1),"",IF(OFFSET(TH!O$1,SMALL(Dong1,ROWS($1:157)),)="1111",OFFSET(TH!M$1,SMALL(Dong1,ROWS($1:157)),),0))</f>
        <v>225909</v>
      </c>
      <c r="I170" s="161">
        <f t="shared" ca="1" si="8"/>
        <v>3724771818.5</v>
      </c>
      <c r="J170" s="166"/>
    </row>
    <row r="171" spans="1:10" ht="23.25" customHeight="1">
      <c r="A171" s="160">
        <f ca="1">IF(ROWS($1:158)&gt;COUNT(Dong1),"",OFFSET(TH!C$1,SMALL(Dong1,ROWS($1:158)),))</f>
        <v>42735</v>
      </c>
      <c r="B171" s="160">
        <f ca="1">IF(ROWS($1:158)&gt;COUNT(Dong1),"",OFFSET(TH!E$1,SMALL(Dong1,ROWS($1:158)),))</f>
        <v>42735</v>
      </c>
      <c r="C171" s="161" t="str">
        <f ca="1">IF(ROWS($1:158)&gt;COUNT(Dong1),"",IF(OFFSET(TH!N$1,SMALL(Dong1,ROWS($1:158)),)="1111",OFFSET(TH!D$1,SMALL(Dong1,ROWS($1:158)),),""))</f>
        <v/>
      </c>
      <c r="D171" s="162" t="str">
        <f ca="1">IF(ROWS($1:158)&gt;COUNT(Dong1),"",IF(OFFSET(TH!O$1,SMALL(Dong1,ROWS($1:158)),)="1111",OFFSET(TH!D$1,SMALL(Dong1,ROWS($1:158)),),""))</f>
        <v>C105</v>
      </c>
      <c r="E171" s="349" t="str">
        <f ca="1">IF(ROWS($1:158)&gt;COUNT(Dong1),"",OFFSET(TH!F$1,SMALL(Dong1,ROWS($1:158)),))</f>
        <v>Cước CPN T12/2016</v>
      </c>
      <c r="F171" s="164" t="str">
        <f ca="1">IF(ROWS($1:158)&gt;COUNT(Dong1),"",IF(OFFSET(TH!O$1,SMALL(Dong1,ROWS($1:158)),)="1111",OFFSET(TH!N$1,SMALL(Dong1,ROWS($1:158)),),OFFSET(TH!O$1,SMALL(Dong1,ROWS($1:158)),)))</f>
        <v>642</v>
      </c>
      <c r="G171" s="165">
        <f ca="1">IF(ROWS($1:158)&gt;COUNT(Dong1),"",IF(OFFSET(TH!N$1,SMALL(Dong1,ROWS($1:158)),)="1111",OFFSET(TH!M$1,SMALL(Dong1,ROWS($1:158)),),0))</f>
        <v>0</v>
      </c>
      <c r="H171" s="163">
        <f ca="1">IF(ROWS($1:158)&gt;COUNT(Dong1),"",IF(OFFSET(TH!O$1,SMALL(Dong1,ROWS($1:158)),)="1111",OFFSET(TH!M$1,SMALL(Dong1,ROWS($1:158)),),0))</f>
        <v>254120</v>
      </c>
      <c r="I171" s="161">
        <f t="shared" ref="I171:I172" ca="1" si="9">IF(E171&lt;&gt;"",I170+G171-H171,0)</f>
        <v>3724517698.5</v>
      </c>
      <c r="J171" s="166"/>
    </row>
    <row r="172" spans="1:10" ht="23.25" customHeight="1">
      <c r="A172" s="160">
        <f ca="1">IF(ROWS($1:159)&gt;COUNT(Dong1),"",OFFSET(TH!C$1,SMALL(Dong1,ROWS($1:159)),))</f>
        <v>42735</v>
      </c>
      <c r="B172" s="160">
        <f ca="1">IF(ROWS($1:159)&gt;COUNT(Dong1),"",OFFSET(TH!E$1,SMALL(Dong1,ROWS($1:159)),))</f>
        <v>42735</v>
      </c>
      <c r="C172" s="161" t="str">
        <f ca="1">IF(ROWS($1:159)&gt;COUNT(Dong1),"",IF(OFFSET(TH!N$1,SMALL(Dong1,ROWS($1:159)),)="1111",OFFSET(TH!D$1,SMALL(Dong1,ROWS($1:159)),),""))</f>
        <v/>
      </c>
      <c r="D172" s="162" t="str">
        <f ca="1">IF(ROWS($1:159)&gt;COUNT(Dong1),"",IF(OFFSET(TH!O$1,SMALL(Dong1,ROWS($1:159)),)="1111",OFFSET(TH!D$1,SMALL(Dong1,ROWS($1:159)),),""))</f>
        <v>C105</v>
      </c>
      <c r="E172" s="349" t="str">
        <f ca="1">IF(ROWS($1:159)&gt;COUNT(Dong1),"",OFFSET(TH!F$1,SMALL(Dong1,ROWS($1:159)),))</f>
        <v>VAT Cước CPN T12/2016</v>
      </c>
      <c r="F172" s="164" t="str">
        <f ca="1">IF(ROWS($1:159)&gt;COUNT(Dong1),"",IF(OFFSET(TH!O$1,SMALL(Dong1,ROWS($1:159)),)="1111",OFFSET(TH!N$1,SMALL(Dong1,ROWS($1:159)),),OFFSET(TH!O$1,SMALL(Dong1,ROWS($1:159)),)))</f>
        <v>1331</v>
      </c>
      <c r="G172" s="165">
        <f ca="1">IF(ROWS($1:159)&gt;COUNT(Dong1),"",IF(OFFSET(TH!N$1,SMALL(Dong1,ROWS($1:159)),)="1111",OFFSET(TH!M$1,SMALL(Dong1,ROWS($1:159)),),0))</f>
        <v>0</v>
      </c>
      <c r="H172" s="163">
        <f ca="1">IF(ROWS($1:159)&gt;COUNT(Dong1),"",IF(OFFSET(TH!O$1,SMALL(Dong1,ROWS($1:159)),)="1111",OFFSET(TH!M$1,SMALL(Dong1,ROWS($1:159)),),0))</f>
        <v>25412</v>
      </c>
      <c r="I172" s="161">
        <f t="shared" ca="1" si="9"/>
        <v>3724492286.5</v>
      </c>
      <c r="J172" s="166"/>
    </row>
    <row r="173" spans="1:10" ht="23.25" customHeight="1">
      <c r="A173" s="160">
        <f ca="1">IF(ROWS($1:160)&gt;COUNT(Dong1),"",OFFSET(TH!C$1,SMALL(Dong1,ROWS($1:160)),))</f>
        <v>42735</v>
      </c>
      <c r="B173" s="160">
        <f ca="1">IF(ROWS($1:160)&gt;COUNT(Dong1),"",OFFSET(TH!E$1,SMALL(Dong1,ROWS($1:160)),))</f>
        <v>42735</v>
      </c>
      <c r="C173" s="161" t="str">
        <f ca="1">IF(ROWS($1:160)&gt;COUNT(Dong1),"",IF(OFFSET(TH!N$1,SMALL(Dong1,ROWS($1:160)),)="1111",OFFSET(TH!D$1,SMALL(Dong1,ROWS($1:160)),),""))</f>
        <v/>
      </c>
      <c r="D173" s="162" t="str">
        <f ca="1">IF(ROWS($1:160)&gt;COUNT(Dong1),"",IF(OFFSET(TH!O$1,SMALL(Dong1,ROWS($1:160)),)="1111",OFFSET(TH!D$1,SMALL(Dong1,ROWS($1:160)),),""))</f>
        <v>C106</v>
      </c>
      <c r="E173" s="349" t="str">
        <f ca="1">IF(ROWS($1:160)&gt;COUNT(Dong1),"",OFFSET(TH!F$1,SMALL(Dong1,ROWS($1:160)),))</f>
        <v>Thanh toán tiền rác thải</v>
      </c>
      <c r="F173" s="164" t="str">
        <f ca="1">IF(ROWS($1:160)&gt;COUNT(Dong1),"",IF(OFFSET(TH!O$1,SMALL(Dong1,ROWS($1:160)),)="1111",OFFSET(TH!N$1,SMALL(Dong1,ROWS($1:160)),),OFFSET(TH!O$1,SMALL(Dong1,ROWS($1:160)),)))</f>
        <v>642</v>
      </c>
      <c r="G173" s="165">
        <f ca="1">IF(ROWS($1:160)&gt;COUNT(Dong1),"",IF(OFFSET(TH!N$1,SMALL(Dong1,ROWS($1:160)),)="1111",OFFSET(TH!M$1,SMALL(Dong1,ROWS($1:160)),),0))</f>
        <v>0</v>
      </c>
      <c r="H173" s="163">
        <f ca="1">IF(ROWS($1:160)&gt;COUNT(Dong1),"",IF(OFFSET(TH!O$1,SMALL(Dong1,ROWS($1:160)),)="1111",OFFSET(TH!M$1,SMALL(Dong1,ROWS($1:160)),),0))</f>
        <v>4000000</v>
      </c>
      <c r="I173" s="161">
        <f t="shared" ref="I173:I176" ca="1" si="10">IF(E173&lt;&gt;"",I172+G173-H173,0)</f>
        <v>3720492286.5</v>
      </c>
      <c r="J173" s="166"/>
    </row>
    <row r="174" spans="1:10" ht="23.25" customHeight="1">
      <c r="A174" s="160">
        <f ca="1">IF(ROWS($1:161)&gt;COUNT(Dong1),"",OFFSET(TH!C$1,SMALL(Dong1,ROWS($1:161)),))</f>
        <v>42735</v>
      </c>
      <c r="B174" s="160">
        <f ca="1">IF(ROWS($1:161)&gt;COUNT(Dong1),"",OFFSET(TH!E$1,SMALL(Dong1,ROWS($1:161)),))</f>
        <v>42735</v>
      </c>
      <c r="C174" s="161" t="str">
        <f ca="1">IF(ROWS($1:161)&gt;COUNT(Dong1),"",IF(OFFSET(TH!N$1,SMALL(Dong1,ROWS($1:161)),)="1111",OFFSET(TH!D$1,SMALL(Dong1,ROWS($1:161)),),""))</f>
        <v/>
      </c>
      <c r="D174" s="162" t="str">
        <f ca="1">IF(ROWS($1:161)&gt;COUNT(Dong1),"",IF(OFFSET(TH!O$1,SMALL(Dong1,ROWS($1:161)),)="1111",OFFSET(TH!D$1,SMALL(Dong1,ROWS($1:161)),),""))</f>
        <v>C107</v>
      </c>
      <c r="E174" s="349" t="str">
        <f ca="1">IF(ROWS($1:161)&gt;COUNT(Dong1),"",OFFSET(TH!F$1,SMALL(Dong1,ROWS($1:161)),))</f>
        <v>Thanh toán lương T12/2016</v>
      </c>
      <c r="F174" s="164" t="str">
        <f ca="1">IF(ROWS($1:161)&gt;COUNT(Dong1),"",IF(OFFSET(TH!O$1,SMALL(Dong1,ROWS($1:161)),)="1111",OFFSET(TH!N$1,SMALL(Dong1,ROWS($1:161)),),OFFSET(TH!O$1,SMALL(Dong1,ROWS($1:161)),)))</f>
        <v>3341</v>
      </c>
      <c r="G174" s="165">
        <f ca="1">IF(ROWS($1:161)&gt;COUNT(Dong1),"",IF(OFFSET(TH!N$1,SMALL(Dong1,ROWS($1:161)),)="1111",OFFSET(TH!M$1,SMALL(Dong1,ROWS($1:161)),),0))</f>
        <v>0</v>
      </c>
      <c r="H174" s="163">
        <f ca="1">IF(ROWS($1:161)&gt;COUNT(Dong1),"",IF(OFFSET(TH!O$1,SMALL(Dong1,ROWS($1:161)),)="1111",OFFSET(TH!M$1,SMALL(Dong1,ROWS($1:161)),),0))</f>
        <v>97345264</v>
      </c>
      <c r="I174" s="161">
        <f t="shared" ca="1" si="10"/>
        <v>3623147022.5</v>
      </c>
      <c r="J174" s="166"/>
    </row>
    <row r="175" spans="1:10" ht="23.25" customHeight="1">
      <c r="A175" s="160">
        <f ca="1">IF(ROWS($1:162)&gt;COUNT(Dong1),"",OFFSET(TH!C$1,SMALL(Dong1,ROWS($1:162)),))</f>
        <v>42735</v>
      </c>
      <c r="B175" s="160">
        <f ca="1">IF(ROWS($1:162)&gt;COUNT(Dong1),"",OFFSET(TH!E$1,SMALL(Dong1,ROWS($1:162)),))</f>
        <v>42735</v>
      </c>
      <c r="C175" s="161" t="str">
        <f ca="1">IF(ROWS($1:162)&gt;COUNT(Dong1),"",IF(OFFSET(TH!N$1,SMALL(Dong1,ROWS($1:162)),)="1111",OFFSET(TH!D$1,SMALL(Dong1,ROWS($1:162)),),""))</f>
        <v/>
      </c>
      <c r="D175" s="162" t="str">
        <f ca="1">IF(ROWS($1:162)&gt;COUNT(Dong1),"",IF(OFFSET(TH!O$1,SMALL(Dong1,ROWS($1:162)),)="1111",OFFSET(TH!D$1,SMALL(Dong1,ROWS($1:162)),),""))</f>
        <v>C108</v>
      </c>
      <c r="E175" s="349" t="str">
        <f ca="1">IF(ROWS($1:162)&gt;COUNT(Dong1),"",OFFSET(TH!F$1,SMALL(Dong1,ROWS($1:162)),))</f>
        <v>Tạm ứng mua NL</v>
      </c>
      <c r="F175" s="164" t="str">
        <f ca="1">IF(ROWS($1:162)&gt;COUNT(Dong1),"",IF(OFFSET(TH!O$1,SMALL(Dong1,ROWS($1:162)),)="1111",OFFSET(TH!N$1,SMALL(Dong1,ROWS($1:162)),),OFFSET(TH!O$1,SMALL(Dong1,ROWS($1:162)),)))</f>
        <v>141</v>
      </c>
      <c r="G175" s="165">
        <f ca="1">IF(ROWS($1:162)&gt;COUNT(Dong1),"",IF(OFFSET(TH!N$1,SMALL(Dong1,ROWS($1:162)),)="1111",OFFSET(TH!M$1,SMALL(Dong1,ROWS($1:162)),),0))</f>
        <v>0</v>
      </c>
      <c r="H175" s="163">
        <f ca="1">IF(ROWS($1:162)&gt;COUNT(Dong1),"",IF(OFFSET(TH!O$1,SMALL(Dong1,ROWS($1:162)),)="1111",OFFSET(TH!M$1,SMALL(Dong1,ROWS($1:162)),),0))</f>
        <v>650075000</v>
      </c>
      <c r="I175" s="161">
        <f t="shared" ca="1" si="10"/>
        <v>2973072022.5</v>
      </c>
      <c r="J175" s="166"/>
    </row>
    <row r="176" spans="1:10" ht="23.25" customHeight="1">
      <c r="A176" s="160">
        <f ca="1">IF(ROWS($1:163)&gt;COUNT(Dong1),"",OFFSET(TH!C$1,SMALL(Dong1,ROWS($1:163)),))</f>
        <v>42735</v>
      </c>
      <c r="B176" s="160">
        <f ca="1">IF(ROWS($1:163)&gt;COUNT(Dong1),"",OFFSET(TH!E$1,SMALL(Dong1,ROWS($1:163)),))</f>
        <v>42735</v>
      </c>
      <c r="C176" s="161" t="str">
        <f ca="1">IF(ROWS($1:163)&gt;COUNT(Dong1),"",IF(OFFSET(TH!N$1,SMALL(Dong1,ROWS($1:163)),)="1111",OFFSET(TH!D$1,SMALL(Dong1,ROWS($1:163)),),""))</f>
        <v/>
      </c>
      <c r="D176" s="162" t="str">
        <f ca="1">IF(ROWS($1:163)&gt;COUNT(Dong1),"",IF(OFFSET(TH!O$1,SMALL(Dong1,ROWS($1:163)),)="1111",OFFSET(TH!D$1,SMALL(Dong1,ROWS($1:163)),),""))</f>
        <v>C109</v>
      </c>
      <c r="E176" s="349" t="str">
        <f ca="1">IF(ROWS($1:163)&gt;COUNT(Dong1),"",OFFSET(TH!F$1,SMALL(Dong1,ROWS($1:163)),))</f>
        <v>Tạm ứng mua NL</v>
      </c>
      <c r="F176" s="164" t="str">
        <f ca="1">IF(ROWS($1:163)&gt;COUNT(Dong1),"",IF(OFFSET(TH!O$1,SMALL(Dong1,ROWS($1:163)),)="1111",OFFSET(TH!N$1,SMALL(Dong1,ROWS($1:163)),),OFFSET(TH!O$1,SMALL(Dong1,ROWS($1:163)),)))</f>
        <v>141</v>
      </c>
      <c r="G176" s="165">
        <f ca="1">IF(ROWS($1:163)&gt;COUNT(Dong1),"",IF(OFFSET(TH!N$1,SMALL(Dong1,ROWS($1:163)),)="1111",OFFSET(TH!M$1,SMALL(Dong1,ROWS($1:163)),),0))</f>
        <v>0</v>
      </c>
      <c r="H176" s="163">
        <f ca="1">IF(ROWS($1:163)&gt;COUNT(Dong1),"",IF(OFFSET(TH!O$1,SMALL(Dong1,ROWS($1:163)),)="1111",OFFSET(TH!M$1,SMALL(Dong1,ROWS($1:163)),),0))</f>
        <v>2305687500</v>
      </c>
      <c r="I176" s="161">
        <f t="shared" ca="1" si="10"/>
        <v>667384522.5</v>
      </c>
      <c r="J176" s="166"/>
    </row>
    <row r="177" spans="1:12" s="156" customFormat="1" ht="19.5" customHeight="1">
      <c r="A177" s="167"/>
      <c r="B177" s="167"/>
      <c r="C177" s="167"/>
      <c r="D177" s="167"/>
      <c r="E177" s="167" t="s">
        <v>155</v>
      </c>
      <c r="F177" s="168" t="s">
        <v>20</v>
      </c>
      <c r="G177" s="167">
        <f ca="1">SUM(G14:G176)</f>
        <v>27379165700</v>
      </c>
      <c r="H177" s="167">
        <f ca="1">SUM(H14:H176)</f>
        <v>26979369710.5</v>
      </c>
      <c r="I177" s="168" t="s">
        <v>20</v>
      </c>
      <c r="J177" s="168" t="s">
        <v>20</v>
      </c>
    </row>
    <row r="178" spans="1:12" s="156" customFormat="1" ht="19.5" customHeight="1">
      <c r="A178" s="169"/>
      <c r="B178" s="169"/>
      <c r="C178" s="169"/>
      <c r="D178" s="169"/>
      <c r="E178" s="169" t="s">
        <v>156</v>
      </c>
      <c r="F178" s="170" t="s">
        <v>20</v>
      </c>
      <c r="G178" s="170" t="s">
        <v>20</v>
      </c>
      <c r="H178" s="170" t="s">
        <v>20</v>
      </c>
      <c r="I178" s="171">
        <f ca="1">I13+G177-H177</f>
        <v>667384522.5</v>
      </c>
      <c r="J178" s="170" t="s">
        <v>20</v>
      </c>
    </row>
    <row r="179" spans="1:12">
      <c r="L179" s="390" t="s">
        <v>246</v>
      </c>
    </row>
    <row r="180" spans="1:12">
      <c r="A180" s="390" t="s">
        <v>3031</v>
      </c>
      <c r="L180" s="390" t="s">
        <v>247</v>
      </c>
    </row>
    <row r="181" spans="1:12">
      <c r="A181" s="215" t="str">
        <f ca="1">"- Ngày mở sổ: "&amp;DAY($A$14)&amp;"/"&amp;MONTH($A$14)&amp;"/ 2016"</f>
        <v>- Ngày mở sổ: 2/12/ 2016</v>
      </c>
      <c r="L181" s="390" t="s">
        <v>157</v>
      </c>
    </row>
    <row r="182" spans="1:12">
      <c r="I182" s="305" t="str">
        <f>"Ngày "&amp;IF(OR($L$11=4,$L$11=6,$L$11=9,$L$11=11),"30",IF($L$11=2,"28","31"))&amp;" tháng "&amp;$L$11&amp;"  năm  2016 "</f>
        <v xml:space="preserve">Ngày 31 tháng 12  năm  2016 </v>
      </c>
      <c r="L182" s="390" t="s">
        <v>228</v>
      </c>
    </row>
    <row r="183" spans="1:12" s="172" customFormat="1" ht="14.25">
      <c r="C183" s="172" t="s">
        <v>11</v>
      </c>
      <c r="E183" s="172" t="s">
        <v>12</v>
      </c>
      <c r="I183" s="172" t="s">
        <v>128</v>
      </c>
    </row>
    <row r="184" spans="1:12" s="173" customFormat="1">
      <c r="C184" s="173" t="s">
        <v>13</v>
      </c>
      <c r="E184" s="173" t="s">
        <v>13</v>
      </c>
      <c r="I184" s="173" t="s">
        <v>158</v>
      </c>
    </row>
    <row r="185" spans="1:12" s="173" customFormat="1"/>
    <row r="186" spans="1:12" s="173" customFormat="1"/>
    <row r="187" spans="1:12" s="173" customFormat="1"/>
    <row r="188" spans="1:12" s="173" customFormat="1"/>
    <row r="191" spans="1:12" ht="15.75">
      <c r="C191" s="347" t="s">
        <v>223</v>
      </c>
      <c r="I191" s="348" t="s">
        <v>122</v>
      </c>
    </row>
    <row r="192" spans="1:12">
      <c r="E192" s="151">
        <f ca="1">SUMIF($D$14:$D$36,#REF!,H14:H36)</f>
        <v>0</v>
      </c>
    </row>
    <row r="195" spans="1:10">
      <c r="A195" s="151">
        <v>2</v>
      </c>
      <c r="B195" s="151">
        <v>3</v>
      </c>
      <c r="C195" s="151">
        <v>4</v>
      </c>
      <c r="D195" s="151">
        <v>5</v>
      </c>
      <c r="E195" s="151">
        <v>6</v>
      </c>
      <c r="F195" s="151">
        <v>9</v>
      </c>
      <c r="G195" s="151">
        <v>10</v>
      </c>
      <c r="H195" s="151">
        <v>11</v>
      </c>
      <c r="I195" s="151">
        <v>12</v>
      </c>
      <c r="J195" s="151">
        <v>13</v>
      </c>
    </row>
  </sheetData>
  <autoFilter ref="A12:J178"/>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76">
    <cfRule type="expression" dxfId="3" priority="1" stopIfTrue="1">
      <formula>$B14&lt;&gt;""</formula>
    </cfRule>
  </conditionalFormatting>
  <dataValidations count="1">
    <dataValidation type="list" allowBlank="1" showInputMessage="1" showErrorMessage="1" sqref="L11">
      <formula1>"1,2,3,4,5,6,7,8,9,10,11,12"</formula1>
    </dataValidation>
  </dataValidations>
  <printOptions horizontalCentered="1"/>
  <pageMargins left="0.4" right="0" top="0.3" bottom="0.4" header="0.1" footer="0"/>
  <pageSetup paperSize="9" scale="80" orientation="portrait" r:id="rId1"/>
  <headerFooter alignWithMargins="0">
    <oddFooter>&amp;RTrang &amp;P/&amp;N</oddFooter>
  </headerFooter>
</worksheet>
</file>

<file path=xl/worksheets/sheet11.xml><?xml version="1.0" encoding="utf-8"?>
<worksheet xmlns="http://schemas.openxmlformats.org/spreadsheetml/2006/main" xmlns:r="http://schemas.openxmlformats.org/officeDocument/2006/relationships">
  <sheetPr>
    <tabColor rgb="FF00B050"/>
  </sheetPr>
  <dimension ref="A1:T138"/>
  <sheetViews>
    <sheetView topLeftCell="A43" workbookViewId="0">
      <selection activeCell="G129" sqref="G129"/>
    </sheetView>
  </sheetViews>
  <sheetFormatPr defaultRowHeight="15.75"/>
  <cols>
    <col min="1" max="1" width="7.7109375" style="209" customWidth="1"/>
    <col min="2" max="2" width="7.42578125" style="210" customWidth="1"/>
    <col min="3" max="3" width="7.7109375" style="209" customWidth="1"/>
    <col min="4" max="4" width="35.85546875" style="208" customWidth="1"/>
    <col min="5" max="5" width="7.7109375" style="208" customWidth="1"/>
    <col min="6" max="6" width="17.28515625" style="1313" customWidth="1"/>
    <col min="7" max="8" width="17.28515625" style="670" customWidth="1"/>
    <col min="9" max="9" width="6.5703125" style="208" customWidth="1"/>
    <col min="10" max="10" width="2.85546875" style="208" customWidth="1"/>
    <col min="11" max="11" width="6.28515625" style="208" customWidth="1"/>
    <col min="12" max="12" width="3.28515625" style="208" customWidth="1"/>
    <col min="13" max="13" width="5.7109375" style="208" customWidth="1"/>
    <col min="14" max="14" width="9.140625" style="208"/>
    <col min="15" max="15" width="12.85546875" style="208" bestFit="1" customWidth="1"/>
    <col min="16" max="19" width="12.7109375" style="208" customWidth="1"/>
    <col min="20" max="20" width="12" style="208" bestFit="1" customWidth="1"/>
    <col min="21" max="16384" width="9.140625" style="208"/>
  </cols>
  <sheetData>
    <row r="1" spans="1:20" s="177" customFormat="1" ht="16.5" customHeight="1">
      <c r="A1" s="127" t="s">
        <v>177</v>
      </c>
      <c r="B1" s="178"/>
      <c r="C1" s="179"/>
      <c r="F1" s="1303"/>
      <c r="G1" s="1316" t="s">
        <v>229</v>
      </c>
      <c r="H1" s="1316"/>
      <c r="I1" s="350"/>
      <c r="K1" s="180"/>
      <c r="L1" s="180"/>
    </row>
    <row r="2" spans="1:20" s="177" customFormat="1" ht="16.5" customHeight="1">
      <c r="A2" s="352" t="s">
        <v>3030</v>
      </c>
      <c r="B2" s="211"/>
      <c r="C2" s="211"/>
      <c r="D2" s="211"/>
      <c r="F2" s="1304"/>
      <c r="G2" s="1317" t="s">
        <v>230</v>
      </c>
      <c r="H2" s="1317"/>
      <c r="I2" s="351"/>
      <c r="K2" s="181"/>
      <c r="L2" s="181"/>
    </row>
    <row r="3" spans="1:20" s="177" customFormat="1" ht="16.5" customHeight="1">
      <c r="A3" s="211"/>
      <c r="B3" s="211"/>
      <c r="C3" s="211"/>
      <c r="D3" s="211"/>
      <c r="F3" s="1304"/>
      <c r="G3" s="1317" t="s">
        <v>231</v>
      </c>
      <c r="H3" s="1317"/>
      <c r="I3" s="351"/>
    </row>
    <row r="4" spans="1:20" s="177" customFormat="1" ht="19.5" customHeight="1">
      <c r="A4" s="1417" t="s">
        <v>162</v>
      </c>
      <c r="B4" s="1417"/>
      <c r="C4" s="1417"/>
      <c r="D4" s="1417"/>
      <c r="E4" s="1417"/>
      <c r="F4" s="1417"/>
      <c r="G4" s="1417"/>
      <c r="H4" s="1417"/>
      <c r="I4" s="1417"/>
    </row>
    <row r="5" spans="1:20" s="177" customFormat="1" ht="15">
      <c r="A5" s="1406" t="str">
        <f>"Nơi mở tài khoản giao dịch: "&amp;IF($M$9="Q11","Ngân Hàng Eximbank Quận 11",IF($M$9="Q4","Ngân Hàng Eximbank Quận 4","Ngân Hàng PV Combank - CN Gia Định"))</f>
        <v>Nơi mở tài khoản giao dịch: Ngân Hàng PV Combank - CN Gia Định</v>
      </c>
      <c r="B5" s="1406"/>
      <c r="C5" s="1406"/>
      <c r="D5" s="1406"/>
      <c r="E5" s="1406"/>
      <c r="F5" s="1406"/>
      <c r="G5" s="1406"/>
      <c r="H5" s="1406"/>
      <c r="I5" s="1406"/>
    </row>
    <row r="6" spans="1:20" s="177" customFormat="1" ht="15">
      <c r="D6" s="415" t="s">
        <v>264</v>
      </c>
      <c r="E6" s="1406" t="str">
        <f>IF($H$6="VNĐ",IF($M$9="Q11","1015 148 5100 9180",IF($M$9="Q4","1402 148 5100 9465","0000 0000 6072")),IF($M$9="Q11","1015 148 5100 9193",IF($M$9="Q4","1402 148 5100 9479","3700 0000 6072")))</f>
        <v>0000 0000 6072</v>
      </c>
      <c r="F6" s="1406"/>
      <c r="G6" s="1406"/>
      <c r="H6" s="1318" t="s">
        <v>127</v>
      </c>
      <c r="I6" s="416" t="str">
        <f>IF(H6="VNĐ","1121",IF(H6="USD","1122",""))</f>
        <v>1121</v>
      </c>
      <c r="O6" s="1415" t="s">
        <v>904</v>
      </c>
      <c r="P6" s="1415" t="s">
        <v>902</v>
      </c>
      <c r="Q6" s="1415" t="s">
        <v>901</v>
      </c>
      <c r="R6" s="1418" t="s">
        <v>1544</v>
      </c>
      <c r="S6" s="1415" t="s">
        <v>907</v>
      </c>
    </row>
    <row r="7" spans="1:20" s="177" customFormat="1" ht="8.25" customHeight="1">
      <c r="A7" s="182"/>
      <c r="B7" s="183"/>
      <c r="C7" s="182"/>
      <c r="D7" s="183"/>
      <c r="E7" s="183"/>
      <c r="F7" s="1305"/>
      <c r="G7" s="1319"/>
      <c r="H7" s="1319"/>
      <c r="I7" s="183"/>
      <c r="O7" s="1416"/>
      <c r="P7" s="1416"/>
      <c r="Q7" s="1416"/>
      <c r="R7" s="1419"/>
      <c r="S7" s="1416"/>
    </row>
    <row r="8" spans="1:20" s="184" customFormat="1" ht="19.5" customHeight="1" thickBot="1">
      <c r="A8" s="1407" t="s">
        <v>163</v>
      </c>
      <c r="B8" s="1409" t="s">
        <v>1</v>
      </c>
      <c r="C8" s="1410"/>
      <c r="D8" s="1404" t="s">
        <v>0</v>
      </c>
      <c r="E8" s="1411" t="s">
        <v>15</v>
      </c>
      <c r="F8" s="1413" t="s">
        <v>164</v>
      </c>
      <c r="G8" s="1413"/>
      <c r="H8" s="1414"/>
      <c r="I8" s="1404" t="s">
        <v>149</v>
      </c>
      <c r="K8" s="175"/>
      <c r="L8" s="177"/>
      <c r="O8" s="897" t="s">
        <v>906</v>
      </c>
      <c r="P8" s="401">
        <v>1749.9699999988079</v>
      </c>
      <c r="Q8" s="401">
        <v>97840.270000000019</v>
      </c>
      <c r="R8" s="401">
        <v>0</v>
      </c>
      <c r="S8" s="401">
        <v>0</v>
      </c>
      <c r="T8" s="899">
        <f>SUM(P8:S8)</f>
        <v>99590.239999998827</v>
      </c>
    </row>
    <row r="9" spans="1:20" s="184" customFormat="1" ht="37.5" customHeight="1" thickBot="1">
      <c r="A9" s="1408"/>
      <c r="B9" s="185" t="s">
        <v>16</v>
      </c>
      <c r="C9" s="186" t="s">
        <v>165</v>
      </c>
      <c r="D9" s="1405"/>
      <c r="E9" s="1412"/>
      <c r="F9" s="1306" t="s">
        <v>166</v>
      </c>
      <c r="G9" s="1328" t="s">
        <v>167</v>
      </c>
      <c r="H9" s="1320" t="s">
        <v>168</v>
      </c>
      <c r="I9" s="1405"/>
      <c r="K9" s="894">
        <v>12</v>
      </c>
      <c r="L9" s="177"/>
      <c r="M9" s="895" t="s">
        <v>1544</v>
      </c>
      <c r="O9" s="896" t="s">
        <v>905</v>
      </c>
      <c r="P9" s="898">
        <v>12092853</v>
      </c>
      <c r="Q9" s="898">
        <v>7626450</v>
      </c>
      <c r="R9" s="898">
        <v>0</v>
      </c>
      <c r="S9" s="898">
        <v>109992</v>
      </c>
      <c r="T9" s="900">
        <f>SUM(P9:S9)</f>
        <v>19829295</v>
      </c>
    </row>
    <row r="10" spans="1:20" s="189" customFormat="1" ht="15">
      <c r="A10" s="187" t="s">
        <v>2</v>
      </c>
      <c r="B10" s="188" t="s">
        <v>3</v>
      </c>
      <c r="C10" s="187" t="s">
        <v>4</v>
      </c>
      <c r="D10" s="188" t="s">
        <v>5</v>
      </c>
      <c r="E10" s="188" t="s">
        <v>6</v>
      </c>
      <c r="F10" s="1307">
        <v>1</v>
      </c>
      <c r="G10" s="1321">
        <v>2</v>
      </c>
      <c r="H10" s="1321">
        <v>3</v>
      </c>
      <c r="I10" s="188" t="s">
        <v>152</v>
      </c>
      <c r="L10" s="177"/>
    </row>
    <row r="11" spans="1:20" s="193" customFormat="1" ht="16.5" customHeight="1">
      <c r="A11" s="190"/>
      <c r="B11" s="191"/>
      <c r="C11" s="190"/>
      <c r="D11" s="192" t="s">
        <v>7</v>
      </c>
      <c r="E11" s="192"/>
      <c r="F11" s="1308"/>
      <c r="G11" s="1314"/>
      <c r="H11" s="1314">
        <f>IF($H$6="USD",IF($M$9="Q11",$P$8,IF($M$9="Q4",$Q$8,$R$8))+SUMIF(_N112,"x",_TH)-SUMIF(_C112,"x",_TH),IF($M$9="Q11",$P$9,IF($M$9="Q4",$Q$9,$R$9))+SUMIF(_N112,"x",TH)-SUMIF(_C112,"x",TH))</f>
        <v>2907861</v>
      </c>
      <c r="I11" s="901"/>
      <c r="L11" s="177"/>
    </row>
    <row r="12" spans="1:20" s="184" customFormat="1" ht="23.25" customHeight="1">
      <c r="A12" s="194">
        <f ca="1">IF(ROWS($1:1)&gt;COUNT(Dong2),"",OFFSET(TH!C$1,SMALL(Dong2,ROWS($1:1)),))</f>
        <v>42711</v>
      </c>
      <c r="B12" s="194" t="str">
        <f ca="1">IF(ROWS($1:1)&gt;COUNT(Dong2),"",OFFSET(TH!D$1,SMALL(Dong2,ROWS($1:1)),))</f>
        <v>GBN</v>
      </c>
      <c r="C12" s="194">
        <f ca="1">IF(ROWS($1:1)&gt;COUNT(Dong2),"",OFFSET(TH!E$1,SMALL(Dong2,ROWS($1:1)),))</f>
        <v>42711</v>
      </c>
      <c r="D12" s="353" t="str">
        <f ca="1">IF(ROWS($1:1)&gt;COUNT(Dong2),"",OFFSET(TH!F$1,SMALL(Dong2,ROWS($1:1)),))</f>
        <v>Thanh toán tiền hàng</v>
      </c>
      <c r="E12" s="194" t="str">
        <f ca="1">IF(ROWS($1:1)&gt;COUNT(Dong2),"",IF(OFFSET(TH!O$1,SMALL(Dong2,ROWS($1:1)),)=$I$6,OFFSET(TH!N$1,SMALL(Dong2,ROWS($1:1)),),OFFSET(TH!O$1,SMALL(Dong2,ROWS($1:1)),)))</f>
        <v>331</v>
      </c>
      <c r="F12" s="1309">
        <f ca="1">IF(ROWS($1:1)&gt;COUNT(Dong2),"",IF(AND(IF($M$9="Q11",LEFT(OFFSET(TH!G$1,SMALL(Dong2,ROWS($1:1)),),3)=$M$9,LEFT(OFFSET(TH!G$1,SMALL(Dong2,ROWS($1:1)),),2)=$M$9),OFFSET(TH!N$1,SMALL(Dong2,ROWS($1:1)),)=$I$6),IF($I$6="1121",OFFSET(TH!M$1,SMALL(Dong2,ROWS($1:1)),),OFFSET(TH!K$1,SMALL(Dong2,ROWS($1:1)),)),0))</f>
        <v>0</v>
      </c>
      <c r="G12" s="1315">
        <f ca="1">IF(ROWS($1:1)&gt;COUNT(Dong2),"",IF(AND(IF($M$9="Q11",RIGHT(OFFSET(TH!G$1,SMALL(Dong2,ROWS($1:1)),),3)=$M$9,RIGHT(OFFSET(TH!G$1,SMALL(Dong2,ROWS($1:1)),),2)=$M$9),OFFSET(TH!O$1,SMALL(Dong2,ROWS($1:1)),)=$I$6),IF($I$6="1121",OFFSET(TH!M$1,SMALL(Dong2,ROWS($1:1)),),OFFSET(TH!K$1,SMALL(Dong2,ROWS($1:1)),)),0))</f>
        <v>2918780500</v>
      </c>
      <c r="H12" s="1322">
        <f ca="1">IF(A12&lt;&gt;"",H11+F12-G12,0)</f>
        <v>-2915872639</v>
      </c>
      <c r="I12" s="902"/>
      <c r="L12" s="177"/>
      <c r="O12" s="1088"/>
    </row>
    <row r="13" spans="1:20" s="184" customFormat="1" ht="23.25" customHeight="1">
      <c r="A13" s="194">
        <f ca="1">IF(ROWS($1:2)&gt;COUNT(Dong2),"",OFFSET(TH!C$1,SMALL(Dong2,ROWS($1:2)),))</f>
        <v>42711</v>
      </c>
      <c r="B13" s="194" t="str">
        <f ca="1">IF(ROWS($1:2)&gt;COUNT(Dong2),"",OFFSET(TH!D$1,SMALL(Dong2,ROWS($1:2)),))</f>
        <v>GBN</v>
      </c>
      <c r="C13" s="194">
        <f ca="1">IF(ROWS($1:2)&gt;COUNT(Dong2),"",OFFSET(TH!E$1,SMALL(Dong2,ROWS($1:2)),))</f>
        <v>42711</v>
      </c>
      <c r="D13" s="353" t="str">
        <f ca="1">IF(ROWS($1:2)&gt;COUNT(Dong2),"",OFFSET(TH!F$1,SMALL(Dong2,ROWS($1:2)),))</f>
        <v>Thanh toán tiền hàng</v>
      </c>
      <c r="E13" s="194" t="str">
        <f ca="1">IF(ROWS($1:2)&gt;COUNT(Dong2),"",IF(OFFSET(TH!O$1,SMALL(Dong2,ROWS($1:2)),)=$I$6,OFFSET(TH!N$1,SMALL(Dong2,ROWS($1:2)),),OFFSET(TH!O$1,SMALL(Dong2,ROWS($1:2)),)))</f>
        <v>331</v>
      </c>
      <c r="F13" s="1309">
        <f ca="1">IF(ROWS($1:2)&gt;COUNT(Dong2),"",IF(AND(IF($M$9="Q11",LEFT(OFFSET(TH!G$1,SMALL(Dong2,ROWS($1:2)),),3)=$M$9,LEFT(OFFSET(TH!G$1,SMALL(Dong2,ROWS($1:2)),),2)=$M$9),OFFSET(TH!N$1,SMALL(Dong2,ROWS($1:2)),)=$I$6),IF($I$6="1121",OFFSET(TH!M$1,SMALL(Dong2,ROWS($1:2)),),OFFSET(TH!K$1,SMALL(Dong2,ROWS($1:2)),)),0))</f>
        <v>0</v>
      </c>
      <c r="G13" s="1315">
        <f ca="1">IF(ROWS($1:2)&gt;COUNT(Dong2),"",IF(AND(IF($M$9="Q11",RIGHT(OFFSET(TH!G$1,SMALL(Dong2,ROWS($1:2)),),3)=$M$9,RIGHT(OFFSET(TH!G$1,SMALL(Dong2,ROWS($1:2)),),2)=$M$9),OFFSET(TH!O$1,SMALL(Dong2,ROWS($1:2)),)=$I$6),IF($I$6="1121",OFFSET(TH!M$1,SMALL(Dong2,ROWS($1:2)),),OFFSET(TH!K$1,SMALL(Dong2,ROWS($1:2)),)),0))</f>
        <v>1824920500</v>
      </c>
      <c r="H13" s="1322">
        <f t="shared" ref="H13:H15" ca="1" si="0">IF(A13&lt;&gt;"",H12+F13-G13,0)</f>
        <v>-4740793139</v>
      </c>
      <c r="I13" s="902"/>
      <c r="L13" s="177"/>
    </row>
    <row r="14" spans="1:20" s="184" customFormat="1" ht="23.25" customHeight="1">
      <c r="A14" s="194">
        <f ca="1">IF(ROWS($1:3)&gt;COUNT(Dong2),"",OFFSET(TH!C$1,SMALL(Dong2,ROWS($1:3)),))</f>
        <v>42718</v>
      </c>
      <c r="B14" s="194" t="str">
        <f ca="1">IF(ROWS($1:3)&gt;COUNT(Dong2),"",OFFSET(TH!D$1,SMALL(Dong2,ROWS($1:3)),))</f>
        <v>GBN</v>
      </c>
      <c r="C14" s="194">
        <f ca="1">IF(ROWS($1:3)&gt;COUNT(Dong2),"",OFFSET(TH!E$1,SMALL(Dong2,ROWS($1:3)),))</f>
        <v>42718</v>
      </c>
      <c r="D14" s="353" t="str">
        <f ca="1">IF(ROWS($1:3)&gt;COUNT(Dong2),"",OFFSET(TH!F$1,SMALL(Dong2,ROWS($1:3)),))</f>
        <v>Thanh toán tiền hàng</v>
      </c>
      <c r="E14" s="194" t="str">
        <f ca="1">IF(ROWS($1:3)&gt;COUNT(Dong2),"",IF(OFFSET(TH!O$1,SMALL(Dong2,ROWS($1:3)),)=$I$6,OFFSET(TH!N$1,SMALL(Dong2,ROWS($1:3)),),OFFSET(TH!O$1,SMALL(Dong2,ROWS($1:3)),)))</f>
        <v>331</v>
      </c>
      <c r="F14" s="1309">
        <f ca="1">IF(ROWS($1:3)&gt;COUNT(Dong2),"",IF(AND(IF($M$9="Q11",LEFT(OFFSET(TH!G$1,SMALL(Dong2,ROWS($1:3)),),3)=$M$9,LEFT(OFFSET(TH!G$1,SMALL(Dong2,ROWS($1:3)),),2)=$M$9),OFFSET(TH!N$1,SMALL(Dong2,ROWS($1:3)),)=$I$6),IF($I$6="1121",OFFSET(TH!M$1,SMALL(Dong2,ROWS($1:3)),),OFFSET(TH!K$1,SMALL(Dong2,ROWS($1:3)),)),0))</f>
        <v>0</v>
      </c>
      <c r="G14" s="1315">
        <f ca="1">IF(ROWS($1:3)&gt;COUNT(Dong2),"",IF(AND(IF($M$9="Q11",RIGHT(OFFSET(TH!G$1,SMALL(Dong2,ROWS($1:3)),),3)=$M$9,RIGHT(OFFSET(TH!G$1,SMALL(Dong2,ROWS($1:3)),),2)=$M$9),OFFSET(TH!O$1,SMALL(Dong2,ROWS($1:3)),)=$I$6),IF($I$6="1121",OFFSET(TH!M$1,SMALL(Dong2,ROWS($1:3)),),OFFSET(TH!K$1,SMALL(Dong2,ROWS($1:3)),)),0))</f>
        <v>1443000000</v>
      </c>
      <c r="H14" s="1322">
        <f t="shared" ca="1" si="0"/>
        <v>-6183793139</v>
      </c>
      <c r="I14" s="902"/>
      <c r="L14" s="177"/>
    </row>
    <row r="15" spans="1:20" s="184" customFormat="1" ht="23.25" customHeight="1">
      <c r="A15" s="194">
        <f ca="1">IF(ROWS($1:4)&gt;COUNT(Dong2),"",OFFSET(TH!C$1,SMALL(Dong2,ROWS($1:4)),))</f>
        <v>42718</v>
      </c>
      <c r="B15" s="194" t="str">
        <f ca="1">IF(ROWS($1:4)&gt;COUNT(Dong2),"",OFFSET(TH!D$1,SMALL(Dong2,ROWS($1:4)),))</f>
        <v>GBN</v>
      </c>
      <c r="C15" s="194">
        <f ca="1">IF(ROWS($1:4)&gt;COUNT(Dong2),"",OFFSET(TH!E$1,SMALL(Dong2,ROWS($1:4)),))</f>
        <v>42718</v>
      </c>
      <c r="D15" s="353" t="str">
        <f ca="1">IF(ROWS($1:4)&gt;COUNT(Dong2),"",OFFSET(TH!F$1,SMALL(Dong2,ROWS($1:4)),))</f>
        <v>Thanh toán tiền hàng</v>
      </c>
      <c r="E15" s="194" t="str">
        <f ca="1">IF(ROWS($1:4)&gt;COUNT(Dong2),"",IF(OFFSET(TH!O$1,SMALL(Dong2,ROWS($1:4)),)=$I$6,OFFSET(TH!N$1,SMALL(Dong2,ROWS($1:4)),),OFFSET(TH!O$1,SMALL(Dong2,ROWS($1:4)),)))</f>
        <v>331</v>
      </c>
      <c r="F15" s="1309">
        <f ca="1">IF(ROWS($1:4)&gt;COUNT(Dong2),"",IF(AND(IF($M$9="Q11",LEFT(OFFSET(TH!G$1,SMALL(Dong2,ROWS($1:4)),),3)=$M$9,LEFT(OFFSET(TH!G$1,SMALL(Dong2,ROWS($1:4)),),2)=$M$9),OFFSET(TH!N$1,SMALL(Dong2,ROWS($1:4)),)=$I$6),IF($I$6="1121",OFFSET(TH!M$1,SMALL(Dong2,ROWS($1:4)),),OFFSET(TH!K$1,SMALL(Dong2,ROWS($1:4)),)),0))</f>
        <v>0</v>
      </c>
      <c r="G15" s="1315">
        <f ca="1">IF(ROWS($1:4)&gt;COUNT(Dong2),"",IF(AND(IF($M$9="Q11",RIGHT(OFFSET(TH!G$1,SMALL(Dong2,ROWS($1:4)),),3)=$M$9,RIGHT(OFFSET(TH!G$1,SMALL(Dong2,ROWS($1:4)),),2)=$M$9),OFFSET(TH!O$1,SMALL(Dong2,ROWS($1:4)),)=$I$6),IF($I$6="1121",OFFSET(TH!M$1,SMALL(Dong2,ROWS($1:4)),),OFFSET(TH!K$1,SMALL(Dong2,ROWS($1:4)),)),0))</f>
        <v>974415000</v>
      </c>
      <c r="H15" s="1322">
        <f t="shared" ca="1" si="0"/>
        <v>-7158208139</v>
      </c>
      <c r="I15" s="902"/>
      <c r="L15" s="177"/>
    </row>
    <row r="16" spans="1:20" s="184" customFormat="1" ht="23.25" customHeight="1">
      <c r="A16" s="194">
        <f ca="1">IF(ROWS($1:5)&gt;COUNT(Dong2),"",OFFSET(TH!C$1,SMALL(Dong2,ROWS($1:5)),))</f>
        <v>42710</v>
      </c>
      <c r="B16" s="194" t="str">
        <f ca="1">IF(ROWS($1:5)&gt;COUNT(Dong2),"",OFFSET(TH!D$1,SMALL(Dong2,ROWS($1:5)),))</f>
        <v>C17</v>
      </c>
      <c r="C16" s="194">
        <f ca="1">IF(ROWS($1:5)&gt;COUNT(Dong2),"",OFFSET(TH!E$1,SMALL(Dong2,ROWS($1:5)),))</f>
        <v>42710</v>
      </c>
      <c r="D16" s="353" t="str">
        <f ca="1">IF(ROWS($1:5)&gt;COUNT(Dong2),"",OFFSET(TH!F$1,SMALL(Dong2,ROWS($1:5)),))</f>
        <v>Nộp tiền mặt vào TK NH</v>
      </c>
      <c r="E16" s="194" t="str">
        <f ca="1">IF(ROWS($1:5)&gt;COUNT(Dong2),"",IF(OFFSET(TH!O$1,SMALL(Dong2,ROWS($1:5)),)=$I$6,OFFSET(TH!N$1,SMALL(Dong2,ROWS($1:5)),),OFFSET(TH!O$1,SMALL(Dong2,ROWS($1:5)),)))</f>
        <v>1111</v>
      </c>
      <c r="F16" s="1309">
        <f ca="1">IF(ROWS($1:5)&gt;COUNT(Dong2),"",IF(AND(IF($M$9="Q11",LEFT(OFFSET(TH!G$1,SMALL(Dong2,ROWS($1:5)),),3)=$M$9,LEFT(OFFSET(TH!G$1,SMALL(Dong2,ROWS($1:5)),),2)=$M$9),OFFSET(TH!N$1,SMALL(Dong2,ROWS($1:5)),)=$I$6),IF($I$6="1121",OFFSET(TH!M$1,SMALL(Dong2,ROWS($1:5)),),OFFSET(TH!K$1,SMALL(Dong2,ROWS($1:5)),)),0))</f>
        <v>900000000</v>
      </c>
      <c r="G16" s="1315">
        <f ca="1">IF(ROWS($1:5)&gt;COUNT(Dong2),"",IF(AND(IF($M$9="Q11",RIGHT(OFFSET(TH!G$1,SMALL(Dong2,ROWS($1:5)),),3)=$M$9,RIGHT(OFFSET(TH!G$1,SMALL(Dong2,ROWS($1:5)),),2)=$M$9),OFFSET(TH!O$1,SMALL(Dong2,ROWS($1:5)),)=$I$6),IF($I$6="1121",OFFSET(TH!M$1,SMALL(Dong2,ROWS($1:5)),),OFFSET(TH!K$1,SMALL(Dong2,ROWS($1:5)),)),0))</f>
        <v>0</v>
      </c>
      <c r="H16" s="1322">
        <f t="shared" ref="H16:H29" ca="1" si="1">IF(A16&lt;&gt;"",H15+F16-G16,0)</f>
        <v>-6258208139</v>
      </c>
      <c r="I16" s="902"/>
      <c r="L16" s="177"/>
    </row>
    <row r="17" spans="1:12" s="184" customFormat="1" ht="23.25" customHeight="1">
      <c r="A17" s="194">
        <f ca="1">IF(ROWS($1:6)&gt;COUNT(Dong2),"",OFFSET(TH!C$1,SMALL(Dong2,ROWS($1:6)),))</f>
        <v>42710</v>
      </c>
      <c r="B17" s="194" t="str">
        <f ca="1">IF(ROWS($1:6)&gt;COUNT(Dong2),"",OFFSET(TH!D$1,SMALL(Dong2,ROWS($1:6)),))</f>
        <v>GBC</v>
      </c>
      <c r="C17" s="194">
        <f ca="1">IF(ROWS($1:6)&gt;COUNT(Dong2),"",OFFSET(TH!E$1,SMALL(Dong2,ROWS($1:6)),))</f>
        <v>42710</v>
      </c>
      <c r="D17" s="353" t="str">
        <f ca="1">IF(ROWS($1:6)&gt;COUNT(Dong2),"",OFFSET(TH!F$1,SMALL(Dong2,ROWS($1:6)),))</f>
        <v>Bán ngoại tệ</v>
      </c>
      <c r="E17" s="194" t="str">
        <f ca="1">IF(ROWS($1:6)&gt;COUNT(Dong2),"",IF(OFFSET(TH!O$1,SMALL(Dong2,ROWS($1:6)),)=$I$6,OFFSET(TH!N$1,SMALL(Dong2,ROWS($1:6)),),OFFSET(TH!O$1,SMALL(Dong2,ROWS($1:6)),)))</f>
        <v>1122</v>
      </c>
      <c r="F17" s="1309">
        <f ca="1">IF(ROWS($1:6)&gt;COUNT(Dong2),"",IF(AND(IF($M$9="Q11",LEFT(OFFSET(TH!G$1,SMALL(Dong2,ROWS($1:6)),),3)=$M$9,LEFT(OFFSET(TH!G$1,SMALL(Dong2,ROWS($1:6)),),2)=$M$9),OFFSET(TH!N$1,SMALL(Dong2,ROWS($1:6)),)=$I$6),IF($I$6="1121",OFFSET(TH!M$1,SMALL(Dong2,ROWS($1:6)),),OFFSET(TH!K$1,SMALL(Dong2,ROWS($1:6)),)),0))</f>
        <v>4441760000</v>
      </c>
      <c r="G17" s="1315">
        <f ca="1">IF(ROWS($1:6)&gt;COUNT(Dong2),"",IF(AND(IF($M$9="Q11",RIGHT(OFFSET(TH!G$1,SMALL(Dong2,ROWS($1:6)),),3)=$M$9,RIGHT(OFFSET(TH!G$1,SMALL(Dong2,ROWS($1:6)),),2)=$M$9),OFFSET(TH!O$1,SMALL(Dong2,ROWS($1:6)),)=$I$6),IF($I$6="1121",OFFSET(TH!M$1,SMALL(Dong2,ROWS($1:6)),),OFFSET(TH!K$1,SMALL(Dong2,ROWS($1:6)),)),0))</f>
        <v>0</v>
      </c>
      <c r="H17" s="1322">
        <f t="shared" ca="1" si="1"/>
        <v>-1816448139</v>
      </c>
      <c r="I17" s="902"/>
      <c r="L17" s="177"/>
    </row>
    <row r="18" spans="1:12" s="184" customFormat="1" ht="23.25" customHeight="1">
      <c r="A18" s="194">
        <f ca="1">IF(ROWS($1:7)&gt;COUNT(Dong2),"",OFFSET(TH!C$1,SMALL(Dong2,ROWS($1:7)),))</f>
        <v>42711</v>
      </c>
      <c r="B18" s="194" t="str">
        <f ca="1">IF(ROWS($1:7)&gt;COUNT(Dong2),"",OFFSET(TH!D$1,SMALL(Dong2,ROWS($1:7)),))</f>
        <v>GBN</v>
      </c>
      <c r="C18" s="194">
        <f ca="1">IF(ROWS($1:7)&gt;COUNT(Dong2),"",OFFSET(TH!E$1,SMALL(Dong2,ROWS($1:7)),))</f>
        <v>42711</v>
      </c>
      <c r="D18" s="353" t="str">
        <f ca="1">IF(ROWS($1:7)&gt;COUNT(Dong2),"",OFFSET(TH!F$1,SMALL(Dong2,ROWS($1:7)),))</f>
        <v>Thanh toán tiền hàng</v>
      </c>
      <c r="E18" s="194" t="str">
        <f ca="1">IF(ROWS($1:7)&gt;COUNT(Dong2),"",IF(OFFSET(TH!O$1,SMALL(Dong2,ROWS($1:7)),)=$I$6,OFFSET(TH!N$1,SMALL(Dong2,ROWS($1:7)),),OFFSET(TH!O$1,SMALL(Dong2,ROWS($1:7)),)))</f>
        <v>331</v>
      </c>
      <c r="F18" s="1309">
        <f ca="1">IF(ROWS($1:7)&gt;COUNT(Dong2),"",IF(AND(IF($M$9="Q11",LEFT(OFFSET(TH!G$1,SMALL(Dong2,ROWS($1:7)),),3)=$M$9,LEFT(OFFSET(TH!G$1,SMALL(Dong2,ROWS($1:7)),),2)=$M$9),OFFSET(TH!N$1,SMALL(Dong2,ROWS($1:7)),)=$I$6),IF($I$6="1121",OFFSET(TH!M$1,SMALL(Dong2,ROWS($1:7)),),OFFSET(TH!K$1,SMALL(Dong2,ROWS($1:7)),)),0))</f>
        <v>0</v>
      </c>
      <c r="G18" s="1315">
        <f ca="1">IF(ROWS($1:7)&gt;COUNT(Dong2),"",IF(AND(IF($M$9="Q11",RIGHT(OFFSET(TH!G$1,SMALL(Dong2,ROWS($1:7)),),3)=$M$9,RIGHT(OFFSET(TH!G$1,SMALL(Dong2,ROWS($1:7)),),2)=$M$9),OFFSET(TH!O$1,SMALL(Dong2,ROWS($1:7)),)=$I$6),IF($I$6="1121",OFFSET(TH!M$1,SMALL(Dong2,ROWS($1:7)),),OFFSET(TH!K$1,SMALL(Dong2,ROWS($1:7)),)),0))</f>
        <v>552669000</v>
      </c>
      <c r="H18" s="1322">
        <f t="shared" ca="1" si="1"/>
        <v>-2369117139</v>
      </c>
      <c r="I18" s="902"/>
      <c r="L18" s="177"/>
    </row>
    <row r="19" spans="1:12" s="184" customFormat="1" ht="23.25" customHeight="1">
      <c r="A19" s="194">
        <f ca="1">IF(ROWS($1:8)&gt;COUNT(Dong2),"",OFFSET(TH!C$1,SMALL(Dong2,ROWS($1:8)),))</f>
        <v>42711</v>
      </c>
      <c r="B19" s="194" t="str">
        <f ca="1">IF(ROWS($1:8)&gt;COUNT(Dong2),"",OFFSET(TH!D$1,SMALL(Dong2,ROWS($1:8)),))</f>
        <v>GBN</v>
      </c>
      <c r="C19" s="194">
        <f ca="1">IF(ROWS($1:8)&gt;COUNT(Dong2),"",OFFSET(TH!E$1,SMALL(Dong2,ROWS($1:8)),))</f>
        <v>42711</v>
      </c>
      <c r="D19" s="353" t="str">
        <f ca="1">IF(ROWS($1:8)&gt;COUNT(Dong2),"",OFFSET(TH!F$1,SMALL(Dong2,ROWS($1:8)),))</f>
        <v>Phí thanh toán</v>
      </c>
      <c r="E19" s="194" t="str">
        <f ca="1">IF(ROWS($1:8)&gt;COUNT(Dong2),"",IF(OFFSET(TH!O$1,SMALL(Dong2,ROWS($1:8)),)=$I$6,OFFSET(TH!N$1,SMALL(Dong2,ROWS($1:8)),),OFFSET(TH!O$1,SMALL(Dong2,ROWS($1:8)),)))</f>
        <v>642</v>
      </c>
      <c r="F19" s="1309">
        <f ca="1">IF(ROWS($1:8)&gt;COUNT(Dong2),"",IF(AND(IF($M$9="Q11",LEFT(OFFSET(TH!G$1,SMALL(Dong2,ROWS($1:8)),),3)=$M$9,LEFT(OFFSET(TH!G$1,SMALL(Dong2,ROWS($1:8)),),2)=$M$9),OFFSET(TH!N$1,SMALL(Dong2,ROWS($1:8)),)=$I$6),IF($I$6="1121",OFFSET(TH!M$1,SMALL(Dong2,ROWS($1:8)),),OFFSET(TH!K$1,SMALL(Dong2,ROWS($1:8)),)),0))</f>
        <v>0</v>
      </c>
      <c r="G19" s="1315">
        <f ca="1">IF(ROWS($1:8)&gt;COUNT(Dong2),"",IF(AND(IF($M$9="Q11",RIGHT(OFFSET(TH!G$1,SMALL(Dong2,ROWS($1:8)),),3)=$M$9,RIGHT(OFFSET(TH!G$1,SMALL(Dong2,ROWS($1:8)),),2)=$M$9),OFFSET(TH!O$1,SMALL(Dong2,ROWS($1:8)),)=$I$6),IF($I$6="1121",OFFSET(TH!M$1,SMALL(Dong2,ROWS($1:8)),),OFFSET(TH!K$1,SMALL(Dong2,ROWS($1:8)),)),0))</f>
        <v>165801</v>
      </c>
      <c r="H19" s="1322">
        <f t="shared" ca="1" si="1"/>
        <v>-2369282940</v>
      </c>
      <c r="I19" s="902"/>
      <c r="L19" s="177"/>
    </row>
    <row r="20" spans="1:12" s="184" customFormat="1" ht="23.25" customHeight="1">
      <c r="A20" s="194">
        <f ca="1">IF(ROWS($1:9)&gt;COUNT(Dong2),"",OFFSET(TH!C$1,SMALL(Dong2,ROWS($1:9)),))</f>
        <v>42711</v>
      </c>
      <c r="B20" s="194" t="str">
        <f ca="1">IF(ROWS($1:9)&gt;COUNT(Dong2),"",OFFSET(TH!D$1,SMALL(Dong2,ROWS($1:9)),))</f>
        <v>GBN</v>
      </c>
      <c r="C20" s="194">
        <f ca="1">IF(ROWS($1:9)&gt;COUNT(Dong2),"",OFFSET(TH!E$1,SMALL(Dong2,ROWS($1:9)),))</f>
        <v>42711</v>
      </c>
      <c r="D20" s="353" t="str">
        <f ca="1">IF(ROWS($1:9)&gt;COUNT(Dong2),"",OFFSET(TH!F$1,SMALL(Dong2,ROWS($1:9)),))</f>
        <v>VAT Phí thanh toán</v>
      </c>
      <c r="E20" s="194" t="str">
        <f ca="1">IF(ROWS($1:9)&gt;COUNT(Dong2),"",IF(OFFSET(TH!O$1,SMALL(Dong2,ROWS($1:9)),)=$I$6,OFFSET(TH!N$1,SMALL(Dong2,ROWS($1:9)),),OFFSET(TH!O$1,SMALL(Dong2,ROWS($1:9)),)))</f>
        <v>1331</v>
      </c>
      <c r="F20" s="1309">
        <f ca="1">IF(ROWS($1:9)&gt;COUNT(Dong2),"",IF(AND(IF($M$9="Q11",LEFT(OFFSET(TH!G$1,SMALL(Dong2,ROWS($1:9)),),3)=$M$9,LEFT(OFFSET(TH!G$1,SMALL(Dong2,ROWS($1:9)),),2)=$M$9),OFFSET(TH!N$1,SMALL(Dong2,ROWS($1:9)),)=$I$6),IF($I$6="1121",OFFSET(TH!M$1,SMALL(Dong2,ROWS($1:9)),),OFFSET(TH!K$1,SMALL(Dong2,ROWS($1:9)),)),0))</f>
        <v>0</v>
      </c>
      <c r="G20" s="1315">
        <f ca="1">IF(ROWS($1:9)&gt;COUNT(Dong2),"",IF(AND(IF($M$9="Q11",RIGHT(OFFSET(TH!G$1,SMALL(Dong2,ROWS($1:9)),),3)=$M$9,RIGHT(OFFSET(TH!G$1,SMALL(Dong2,ROWS($1:9)),),2)=$M$9),OFFSET(TH!O$1,SMALL(Dong2,ROWS($1:9)),)=$I$6),IF($I$6="1121",OFFSET(TH!M$1,SMALL(Dong2,ROWS($1:9)),),OFFSET(TH!K$1,SMALL(Dong2,ROWS($1:9)),)),0))</f>
        <v>16580</v>
      </c>
      <c r="H20" s="1322">
        <f t="shared" ca="1" si="1"/>
        <v>-2369299520</v>
      </c>
      <c r="I20" s="902"/>
      <c r="L20" s="177"/>
    </row>
    <row r="21" spans="1:12" s="184" customFormat="1" ht="23.25" customHeight="1">
      <c r="A21" s="194">
        <f ca="1">IF(ROWS($1:10)&gt;COUNT(Dong2),"",OFFSET(TH!C$1,SMALL(Dong2,ROWS($1:10)),))</f>
        <v>42711</v>
      </c>
      <c r="B21" s="194" t="str">
        <f ca="1">IF(ROWS($1:10)&gt;COUNT(Dong2),"",OFFSET(TH!D$1,SMALL(Dong2,ROWS($1:10)),))</f>
        <v>GBN</v>
      </c>
      <c r="C21" s="194">
        <f ca="1">IF(ROWS($1:10)&gt;COUNT(Dong2),"",OFFSET(TH!E$1,SMALL(Dong2,ROWS($1:10)),))</f>
        <v>42711</v>
      </c>
      <c r="D21" s="353" t="str">
        <f ca="1">IF(ROWS($1:10)&gt;COUNT(Dong2),"",OFFSET(TH!F$1,SMALL(Dong2,ROWS($1:10)),))</f>
        <v>Phí thanh toán</v>
      </c>
      <c r="E21" s="194" t="str">
        <f ca="1">IF(ROWS($1:10)&gt;COUNT(Dong2),"",IF(OFFSET(TH!O$1,SMALL(Dong2,ROWS($1:10)),)=$I$6,OFFSET(TH!N$1,SMALL(Dong2,ROWS($1:10)),),OFFSET(TH!O$1,SMALL(Dong2,ROWS($1:10)),)))</f>
        <v>642</v>
      </c>
      <c r="F21" s="1309">
        <f ca="1">IF(ROWS($1:10)&gt;COUNT(Dong2),"",IF(AND(IF($M$9="Q11",LEFT(OFFSET(TH!G$1,SMALL(Dong2,ROWS($1:10)),),3)=$M$9,LEFT(OFFSET(TH!G$1,SMALL(Dong2,ROWS($1:10)),),2)=$M$9),OFFSET(TH!N$1,SMALL(Dong2,ROWS($1:10)),)=$I$6),IF($I$6="1121",OFFSET(TH!M$1,SMALL(Dong2,ROWS($1:10)),),OFFSET(TH!K$1,SMALL(Dong2,ROWS($1:10)),)),0))</f>
        <v>0</v>
      </c>
      <c r="G21" s="1315">
        <f ca="1">IF(ROWS($1:10)&gt;COUNT(Dong2),"",IF(AND(IF($M$9="Q11",RIGHT(OFFSET(TH!G$1,SMALL(Dong2,ROWS($1:10)),),3)=$M$9,RIGHT(OFFSET(TH!G$1,SMALL(Dong2,ROWS($1:10)),),2)=$M$9),OFFSET(TH!O$1,SMALL(Dong2,ROWS($1:10)),)=$I$6),IF($I$6="1121",OFFSET(TH!M$1,SMALL(Dong2,ROWS($1:10)),),OFFSET(TH!K$1,SMALL(Dong2,ROWS($1:10)),)),0))</f>
        <v>547476</v>
      </c>
      <c r="H21" s="1322">
        <f t="shared" ref="H21:H24" ca="1" si="2">IF(A21&lt;&gt;"",H20+F21-G21,0)</f>
        <v>-2369846996</v>
      </c>
      <c r="I21" s="902"/>
      <c r="L21" s="177"/>
    </row>
    <row r="22" spans="1:12" s="184" customFormat="1" ht="23.25" customHeight="1">
      <c r="A22" s="194">
        <f ca="1">IF(ROWS($1:11)&gt;COUNT(Dong2),"",OFFSET(TH!C$1,SMALL(Dong2,ROWS($1:11)),))</f>
        <v>42711</v>
      </c>
      <c r="B22" s="194" t="str">
        <f ca="1">IF(ROWS($1:11)&gt;COUNT(Dong2),"",OFFSET(TH!D$1,SMALL(Dong2,ROWS($1:11)),))</f>
        <v>GBN</v>
      </c>
      <c r="C22" s="194">
        <f ca="1">IF(ROWS($1:11)&gt;COUNT(Dong2),"",OFFSET(TH!E$1,SMALL(Dong2,ROWS($1:11)),))</f>
        <v>42711</v>
      </c>
      <c r="D22" s="353" t="str">
        <f ca="1">IF(ROWS($1:11)&gt;COUNT(Dong2),"",OFFSET(TH!F$1,SMALL(Dong2,ROWS($1:11)),))</f>
        <v>VAT Phí thanh toán</v>
      </c>
      <c r="E22" s="194" t="str">
        <f ca="1">IF(ROWS($1:11)&gt;COUNT(Dong2),"",IF(OFFSET(TH!O$1,SMALL(Dong2,ROWS($1:11)),)=$I$6,OFFSET(TH!N$1,SMALL(Dong2,ROWS($1:11)),),OFFSET(TH!O$1,SMALL(Dong2,ROWS($1:11)),)))</f>
        <v>1331</v>
      </c>
      <c r="F22" s="1309">
        <f ca="1">IF(ROWS($1:11)&gt;COUNT(Dong2),"",IF(AND(IF($M$9="Q11",LEFT(OFFSET(TH!G$1,SMALL(Dong2,ROWS($1:11)),),3)=$M$9,LEFT(OFFSET(TH!G$1,SMALL(Dong2,ROWS($1:11)),),2)=$M$9),OFFSET(TH!N$1,SMALL(Dong2,ROWS($1:11)),)=$I$6),IF($I$6="1121",OFFSET(TH!M$1,SMALL(Dong2,ROWS($1:11)),),OFFSET(TH!K$1,SMALL(Dong2,ROWS($1:11)),)),0))</f>
        <v>0</v>
      </c>
      <c r="G22" s="1315">
        <f ca="1">IF(ROWS($1:11)&gt;COUNT(Dong2),"",IF(AND(IF($M$9="Q11",RIGHT(OFFSET(TH!G$1,SMALL(Dong2,ROWS($1:11)),),3)=$M$9,RIGHT(OFFSET(TH!G$1,SMALL(Dong2,ROWS($1:11)),),2)=$M$9),OFFSET(TH!O$1,SMALL(Dong2,ROWS($1:11)),)=$I$6),IF($I$6="1121",OFFSET(TH!M$1,SMALL(Dong2,ROWS($1:11)),),OFFSET(TH!K$1,SMALL(Dong2,ROWS($1:11)),)),0))</f>
        <v>54748</v>
      </c>
      <c r="H22" s="1322">
        <f t="shared" ca="1" si="2"/>
        <v>-2369901744</v>
      </c>
      <c r="I22" s="902"/>
      <c r="L22" s="177"/>
    </row>
    <row r="23" spans="1:12" s="184" customFormat="1" ht="23.25" customHeight="1">
      <c r="A23" s="194">
        <f ca="1">IF(ROWS($1:12)&gt;COUNT(Dong2),"",OFFSET(TH!C$1,SMALL(Dong2,ROWS($1:12)),))</f>
        <v>42711</v>
      </c>
      <c r="B23" s="194" t="str">
        <f ca="1">IF(ROWS($1:12)&gt;COUNT(Dong2),"",OFFSET(TH!D$1,SMALL(Dong2,ROWS($1:12)),))</f>
        <v>GBN</v>
      </c>
      <c r="C23" s="194">
        <f ca="1">IF(ROWS($1:12)&gt;COUNT(Dong2),"",OFFSET(TH!E$1,SMALL(Dong2,ROWS($1:12)),))</f>
        <v>42711</v>
      </c>
      <c r="D23" s="353" t="str">
        <f ca="1">IF(ROWS($1:12)&gt;COUNT(Dong2),"",OFFSET(TH!F$1,SMALL(Dong2,ROWS($1:12)),))</f>
        <v>Phí thanh toán</v>
      </c>
      <c r="E23" s="194" t="str">
        <f ca="1">IF(ROWS($1:12)&gt;COUNT(Dong2),"",IF(OFFSET(TH!O$1,SMALL(Dong2,ROWS($1:12)),)=$I$6,OFFSET(TH!N$1,SMALL(Dong2,ROWS($1:12)),),OFFSET(TH!O$1,SMALL(Dong2,ROWS($1:12)),)))</f>
        <v>642</v>
      </c>
      <c r="F23" s="1309">
        <f ca="1">IF(ROWS($1:12)&gt;COUNT(Dong2),"",IF(AND(IF($M$9="Q11",LEFT(OFFSET(TH!G$1,SMALL(Dong2,ROWS($1:12)),),3)=$M$9,LEFT(OFFSET(TH!G$1,SMALL(Dong2,ROWS($1:12)),),2)=$M$9),OFFSET(TH!N$1,SMALL(Dong2,ROWS($1:12)),)=$I$6),IF($I$6="1121",OFFSET(TH!M$1,SMALL(Dong2,ROWS($1:12)),),OFFSET(TH!K$1,SMALL(Dong2,ROWS($1:12)),)),0))</f>
        <v>0</v>
      </c>
      <c r="G23" s="1315">
        <f ca="1">IF(ROWS($1:12)&gt;COUNT(Dong2),"",IF(AND(IF($M$9="Q11",RIGHT(OFFSET(TH!G$1,SMALL(Dong2,ROWS($1:12)),),3)=$M$9,RIGHT(OFFSET(TH!G$1,SMALL(Dong2,ROWS($1:12)),),2)=$M$9),OFFSET(TH!O$1,SMALL(Dong2,ROWS($1:12)),)=$I$6),IF($I$6="1121",OFFSET(TH!M$1,SMALL(Dong2,ROWS($1:12)),),OFFSET(TH!K$1,SMALL(Dong2,ROWS($1:12)),)),0))</f>
        <v>875634</v>
      </c>
      <c r="H23" s="1322">
        <f t="shared" ca="1" si="2"/>
        <v>-2370777378</v>
      </c>
      <c r="I23" s="902"/>
      <c r="L23" s="177"/>
    </row>
    <row r="24" spans="1:12" s="184" customFormat="1" ht="23.25" customHeight="1">
      <c r="A24" s="194">
        <f ca="1">IF(ROWS($1:13)&gt;COUNT(Dong2),"",OFFSET(TH!C$1,SMALL(Dong2,ROWS($1:13)),))</f>
        <v>42711</v>
      </c>
      <c r="B24" s="194" t="str">
        <f ca="1">IF(ROWS($1:13)&gt;COUNT(Dong2),"",OFFSET(TH!D$1,SMALL(Dong2,ROWS($1:13)),))</f>
        <v>GBN</v>
      </c>
      <c r="C24" s="194">
        <f ca="1">IF(ROWS($1:13)&gt;COUNT(Dong2),"",OFFSET(TH!E$1,SMALL(Dong2,ROWS($1:13)),))</f>
        <v>42711</v>
      </c>
      <c r="D24" s="353" t="str">
        <f ca="1">IF(ROWS($1:13)&gt;COUNT(Dong2),"",OFFSET(TH!F$1,SMALL(Dong2,ROWS($1:13)),))</f>
        <v>VAT Phí thanh toán</v>
      </c>
      <c r="E24" s="194" t="str">
        <f ca="1">IF(ROWS($1:13)&gt;COUNT(Dong2),"",IF(OFFSET(TH!O$1,SMALL(Dong2,ROWS($1:13)),)=$I$6,OFFSET(TH!N$1,SMALL(Dong2,ROWS($1:13)),),OFFSET(TH!O$1,SMALL(Dong2,ROWS($1:13)),)))</f>
        <v>1331</v>
      </c>
      <c r="F24" s="1309">
        <f ca="1">IF(ROWS($1:13)&gt;COUNT(Dong2),"",IF(AND(IF($M$9="Q11",LEFT(OFFSET(TH!G$1,SMALL(Dong2,ROWS($1:13)),),3)=$M$9,LEFT(OFFSET(TH!G$1,SMALL(Dong2,ROWS($1:13)),),2)=$M$9),OFFSET(TH!N$1,SMALL(Dong2,ROWS($1:13)),)=$I$6),IF($I$6="1121",OFFSET(TH!M$1,SMALL(Dong2,ROWS($1:13)),),OFFSET(TH!K$1,SMALL(Dong2,ROWS($1:13)),)),0))</f>
        <v>0</v>
      </c>
      <c r="G24" s="1315">
        <f ca="1">IF(ROWS($1:13)&gt;COUNT(Dong2),"",IF(AND(IF($M$9="Q11",RIGHT(OFFSET(TH!G$1,SMALL(Dong2,ROWS($1:13)),),3)=$M$9,RIGHT(OFFSET(TH!G$1,SMALL(Dong2,ROWS($1:13)),),2)=$M$9),OFFSET(TH!O$1,SMALL(Dong2,ROWS($1:13)),)=$I$6),IF($I$6="1121",OFFSET(TH!M$1,SMALL(Dong2,ROWS($1:13)),),OFFSET(TH!K$1,SMALL(Dong2,ROWS($1:13)),)),0))</f>
        <v>87563</v>
      </c>
      <c r="H24" s="1322">
        <f t="shared" ca="1" si="2"/>
        <v>-2370864941</v>
      </c>
      <c r="I24" s="902"/>
      <c r="L24" s="177"/>
    </row>
    <row r="25" spans="1:12" s="184" customFormat="1" ht="23.25" customHeight="1">
      <c r="A25" s="194">
        <f ca="1">IF(ROWS($1:14)&gt;COUNT(Dong2),"",OFFSET(TH!C$1,SMALL(Dong2,ROWS($1:14)),))</f>
        <v>42717</v>
      </c>
      <c r="B25" s="194" t="str">
        <f ca="1">IF(ROWS($1:14)&gt;COUNT(Dong2),"",OFFSET(TH!D$1,SMALL(Dong2,ROWS($1:14)),))</f>
        <v>GBC</v>
      </c>
      <c r="C25" s="194">
        <f ca="1">IF(ROWS($1:14)&gt;COUNT(Dong2),"",OFFSET(TH!E$1,SMALL(Dong2,ROWS($1:14)),))</f>
        <v>42717</v>
      </c>
      <c r="D25" s="353" t="str">
        <f ca="1">IF(ROWS($1:14)&gt;COUNT(Dong2),"",OFFSET(TH!F$1,SMALL(Dong2,ROWS($1:14)),))</f>
        <v>Vay LC</v>
      </c>
      <c r="E25" s="194" t="str">
        <f ca="1">IF(ROWS($1:14)&gt;COUNT(Dong2),"",IF(OFFSET(TH!O$1,SMALL(Dong2,ROWS($1:14)),)=$I$6,OFFSET(TH!N$1,SMALL(Dong2,ROWS($1:14)),),OFFSET(TH!O$1,SMALL(Dong2,ROWS($1:14)),)))</f>
        <v>3412</v>
      </c>
      <c r="F25" s="1309">
        <f ca="1">IF(ROWS($1:14)&gt;COUNT(Dong2),"",IF(AND(IF($M$9="Q11",LEFT(OFFSET(TH!G$1,SMALL(Dong2,ROWS($1:14)),),3)=$M$9,LEFT(OFFSET(TH!G$1,SMALL(Dong2,ROWS($1:14)),),2)=$M$9),OFFSET(TH!N$1,SMALL(Dong2,ROWS($1:14)),)=$I$6),IF($I$6="1121",OFFSET(TH!M$1,SMALL(Dong2,ROWS($1:14)),),OFFSET(TH!K$1,SMALL(Dong2,ROWS($1:14)),)),0))</f>
        <v>1139644800</v>
      </c>
      <c r="G25" s="1315">
        <f ca="1">IF(ROWS($1:14)&gt;COUNT(Dong2),"",IF(AND(IF($M$9="Q11",RIGHT(OFFSET(TH!G$1,SMALL(Dong2,ROWS($1:14)),),3)=$M$9,RIGHT(OFFSET(TH!G$1,SMALL(Dong2,ROWS($1:14)),),2)=$M$9),OFFSET(TH!O$1,SMALL(Dong2,ROWS($1:14)),)=$I$6),IF($I$6="1121",OFFSET(TH!M$1,SMALL(Dong2,ROWS($1:14)),),OFFSET(TH!K$1,SMALL(Dong2,ROWS($1:14)),)),0))</f>
        <v>0</v>
      </c>
      <c r="H25" s="1322">
        <f t="shared" ca="1" si="1"/>
        <v>-1231220141</v>
      </c>
      <c r="I25" s="902"/>
      <c r="L25" s="177"/>
    </row>
    <row r="26" spans="1:12" s="184" customFormat="1" ht="23.25" customHeight="1">
      <c r="A26" s="194">
        <f ca="1">IF(ROWS($1:15)&gt;COUNT(Dong2),"",OFFSET(TH!C$1,SMALL(Dong2,ROWS($1:15)),))</f>
        <v>42717</v>
      </c>
      <c r="B26" s="194" t="str">
        <f ca="1">IF(ROWS($1:15)&gt;COUNT(Dong2),"",OFFSET(TH!D$1,SMALL(Dong2,ROWS($1:15)),))</f>
        <v>GBN</v>
      </c>
      <c r="C26" s="194">
        <f ca="1">IF(ROWS($1:15)&gt;COUNT(Dong2),"",OFFSET(TH!E$1,SMALL(Dong2,ROWS($1:15)),))</f>
        <v>42717</v>
      </c>
      <c r="D26" s="353" t="str">
        <f ca="1">IF(ROWS($1:15)&gt;COUNT(Dong2),"",OFFSET(TH!F$1,SMALL(Dong2,ROWS($1:15)),))</f>
        <v>Phí NH: 1021316001152</v>
      </c>
      <c r="E26" s="194" t="str">
        <f ca="1">IF(ROWS($1:15)&gt;COUNT(Dong2),"",IF(OFFSET(TH!O$1,SMALL(Dong2,ROWS($1:15)),)=$I$6,OFFSET(TH!N$1,SMALL(Dong2,ROWS($1:15)),),OFFSET(TH!O$1,SMALL(Dong2,ROWS($1:15)),)))</f>
        <v>642</v>
      </c>
      <c r="F26" s="1309">
        <f ca="1">IF(ROWS($1:15)&gt;COUNT(Dong2),"",IF(AND(IF($M$9="Q11",LEFT(OFFSET(TH!G$1,SMALL(Dong2,ROWS($1:15)),),3)=$M$9,LEFT(OFFSET(TH!G$1,SMALL(Dong2,ROWS($1:15)),),2)=$M$9),OFFSET(TH!N$1,SMALL(Dong2,ROWS($1:15)),)=$I$6),IF($I$6="1121",OFFSET(TH!M$1,SMALL(Dong2,ROWS($1:15)),),OFFSET(TH!K$1,SMALL(Dong2,ROWS($1:15)),)),0))</f>
        <v>0</v>
      </c>
      <c r="G26" s="1315">
        <f ca="1">IF(ROWS($1:15)&gt;COUNT(Dong2),"",IF(AND(IF($M$9="Q11",RIGHT(OFFSET(TH!G$1,SMALL(Dong2,ROWS($1:15)),),3)=$M$9,RIGHT(OFFSET(TH!G$1,SMALL(Dong2,ROWS($1:15)),),2)=$M$9),OFFSET(TH!O$1,SMALL(Dong2,ROWS($1:15)),)=$I$6),IF($I$6="1121",OFFSET(TH!M$1,SMALL(Dong2,ROWS($1:15)),),OFFSET(TH!K$1,SMALL(Dong2,ROWS($1:15)),)),0))</f>
        <v>2265000</v>
      </c>
      <c r="H26" s="1322">
        <f t="shared" ca="1" si="1"/>
        <v>-1233485141</v>
      </c>
      <c r="I26" s="902"/>
      <c r="L26" s="177"/>
    </row>
    <row r="27" spans="1:12" s="184" customFormat="1" ht="23.25" customHeight="1">
      <c r="A27" s="194">
        <f ca="1">IF(ROWS($1:16)&gt;COUNT(Dong2),"",OFFSET(TH!C$1,SMALL(Dong2,ROWS($1:16)),))</f>
        <v>42717</v>
      </c>
      <c r="B27" s="194" t="str">
        <f ca="1">IF(ROWS($1:16)&gt;COUNT(Dong2),"",OFFSET(TH!D$1,SMALL(Dong2,ROWS($1:16)),))</f>
        <v>GBN</v>
      </c>
      <c r="C27" s="194">
        <f ca="1">IF(ROWS($1:16)&gt;COUNT(Dong2),"",OFFSET(TH!E$1,SMALL(Dong2,ROWS($1:16)),))</f>
        <v>42717</v>
      </c>
      <c r="D27" s="353" t="str">
        <f ca="1">IF(ROWS($1:16)&gt;COUNT(Dong2),"",OFFSET(TH!F$1,SMALL(Dong2,ROWS($1:16)),))</f>
        <v>VAT Phí NH: 1021316001152</v>
      </c>
      <c r="E27" s="194" t="str">
        <f ca="1">IF(ROWS($1:16)&gt;COUNT(Dong2),"",IF(OFFSET(TH!O$1,SMALL(Dong2,ROWS($1:16)),)=$I$6,OFFSET(TH!N$1,SMALL(Dong2,ROWS($1:16)),),OFFSET(TH!O$1,SMALL(Dong2,ROWS($1:16)),)))</f>
        <v>1331</v>
      </c>
      <c r="F27" s="1309">
        <f ca="1">IF(ROWS($1:16)&gt;COUNT(Dong2),"",IF(AND(IF($M$9="Q11",LEFT(OFFSET(TH!G$1,SMALL(Dong2,ROWS($1:16)),),3)=$M$9,LEFT(OFFSET(TH!G$1,SMALL(Dong2,ROWS($1:16)),),2)=$M$9),OFFSET(TH!N$1,SMALL(Dong2,ROWS($1:16)),)=$I$6),IF($I$6="1121",OFFSET(TH!M$1,SMALL(Dong2,ROWS($1:16)),),OFFSET(TH!K$1,SMALL(Dong2,ROWS($1:16)),)),0))</f>
        <v>0</v>
      </c>
      <c r="G27" s="1315">
        <f ca="1">IF(ROWS($1:16)&gt;COUNT(Dong2),"",IF(AND(IF($M$9="Q11",RIGHT(OFFSET(TH!G$1,SMALL(Dong2,ROWS($1:16)),),3)=$M$9,RIGHT(OFFSET(TH!G$1,SMALL(Dong2,ROWS($1:16)),),2)=$M$9),OFFSET(TH!O$1,SMALL(Dong2,ROWS($1:16)),)=$I$6),IF($I$6="1121",OFFSET(TH!M$1,SMALL(Dong2,ROWS($1:16)),),OFFSET(TH!K$1,SMALL(Dong2,ROWS($1:16)),)),0))</f>
        <v>226500</v>
      </c>
      <c r="H27" s="1322">
        <f t="shared" ca="1" si="1"/>
        <v>-1233711641</v>
      </c>
      <c r="I27" s="902"/>
      <c r="L27" s="177"/>
    </row>
    <row r="28" spans="1:12" s="184" customFormat="1" ht="23.25" customHeight="1">
      <c r="A28" s="194">
        <f ca="1">IF(ROWS($1:17)&gt;COUNT(Dong2),"",OFFSET(TH!C$1,SMALL(Dong2,ROWS($1:17)),))</f>
        <v>42717</v>
      </c>
      <c r="B28" s="194" t="str">
        <f ca="1">IF(ROWS($1:17)&gt;COUNT(Dong2),"",OFFSET(TH!D$1,SMALL(Dong2,ROWS($1:17)),))</f>
        <v>T11</v>
      </c>
      <c r="C28" s="194">
        <f ca="1">IF(ROWS($1:17)&gt;COUNT(Dong2),"",OFFSET(TH!E$1,SMALL(Dong2,ROWS($1:17)),))</f>
        <v>42717</v>
      </c>
      <c r="D28" s="353" t="str">
        <f ca="1">IF(ROWS($1:17)&gt;COUNT(Dong2),"",OFFSET(TH!F$1,SMALL(Dong2,ROWS($1:17)),))</f>
        <v>Rút tiền gửi NH nhập quỹ TM</v>
      </c>
      <c r="E28" s="194" t="str">
        <f ca="1">IF(ROWS($1:17)&gt;COUNT(Dong2),"",IF(OFFSET(TH!O$1,SMALL(Dong2,ROWS($1:17)),)=$I$6,OFFSET(TH!N$1,SMALL(Dong2,ROWS($1:17)),),OFFSET(TH!O$1,SMALL(Dong2,ROWS($1:17)),)))</f>
        <v>1111</v>
      </c>
      <c r="F28" s="1309">
        <f ca="1">IF(ROWS($1:17)&gt;COUNT(Dong2),"",IF(AND(IF($M$9="Q11",LEFT(OFFSET(TH!G$1,SMALL(Dong2,ROWS($1:17)),),3)=$M$9,LEFT(OFFSET(TH!G$1,SMALL(Dong2,ROWS($1:17)),),2)=$M$9),OFFSET(TH!N$1,SMALL(Dong2,ROWS($1:17)),)=$I$6),IF($I$6="1121",OFFSET(TH!M$1,SMALL(Dong2,ROWS($1:17)),),OFFSET(TH!K$1,SMALL(Dong2,ROWS($1:17)),)),0))</f>
        <v>0</v>
      </c>
      <c r="G28" s="1315">
        <f ca="1">IF(ROWS($1:17)&gt;COUNT(Dong2),"",IF(AND(IF($M$9="Q11",RIGHT(OFFSET(TH!G$1,SMALL(Dong2,ROWS($1:17)),),3)=$M$9,RIGHT(OFFSET(TH!G$1,SMALL(Dong2,ROWS($1:17)),),2)=$M$9),OFFSET(TH!O$1,SMALL(Dong2,ROWS($1:17)),)=$I$6),IF($I$6="1121",OFFSET(TH!M$1,SMALL(Dong2,ROWS($1:17)),),OFFSET(TH!K$1,SMALL(Dong2,ROWS($1:17)),)),0))</f>
        <v>1150000000</v>
      </c>
      <c r="H28" s="1322">
        <f t="shared" ca="1" si="1"/>
        <v>-2383711641</v>
      </c>
      <c r="I28" s="902"/>
      <c r="L28" s="177"/>
    </row>
    <row r="29" spans="1:12" s="184" customFormat="1" ht="23.25" customHeight="1">
      <c r="A29" s="194">
        <f ca="1">IF(ROWS($1:18)&gt;COUNT(Dong2),"",OFFSET(TH!C$1,SMALL(Dong2,ROWS($1:18)),))</f>
        <v>42718</v>
      </c>
      <c r="B29" s="194" t="str">
        <f ca="1">IF(ROWS($1:18)&gt;COUNT(Dong2),"",OFFSET(TH!D$1,SMALL(Dong2,ROWS($1:18)),))</f>
        <v>C42</v>
      </c>
      <c r="C29" s="194">
        <f ca="1">IF(ROWS($1:18)&gt;COUNT(Dong2),"",OFFSET(TH!E$1,SMALL(Dong2,ROWS($1:18)),))</f>
        <v>42718</v>
      </c>
      <c r="D29" s="353" t="str">
        <f ca="1">IF(ROWS($1:18)&gt;COUNT(Dong2),"",OFFSET(TH!F$1,SMALL(Dong2,ROWS($1:18)),))</f>
        <v>Nộp tiền mặt vào TK NH</v>
      </c>
      <c r="E29" s="194" t="str">
        <f ca="1">IF(ROWS($1:18)&gt;COUNT(Dong2),"",IF(OFFSET(TH!O$1,SMALL(Dong2,ROWS($1:18)),)=$I$6,OFFSET(TH!N$1,SMALL(Dong2,ROWS($1:18)),),OFFSET(TH!O$1,SMALL(Dong2,ROWS($1:18)),)))</f>
        <v>1111</v>
      </c>
      <c r="F29" s="1309">
        <f ca="1">IF(ROWS($1:18)&gt;COUNT(Dong2),"",IF(AND(IF($M$9="Q11",LEFT(OFFSET(TH!G$1,SMALL(Dong2,ROWS($1:18)),),3)=$M$9,LEFT(OFFSET(TH!G$1,SMALL(Dong2,ROWS($1:18)),),2)=$M$9),OFFSET(TH!N$1,SMALL(Dong2,ROWS($1:18)),)=$I$6),IF($I$6="1121",OFFSET(TH!M$1,SMALL(Dong2,ROWS($1:18)),),OFFSET(TH!K$1,SMALL(Dong2,ROWS($1:18)),)),0))</f>
        <v>900000000</v>
      </c>
      <c r="G29" s="1315">
        <f ca="1">IF(ROWS($1:18)&gt;COUNT(Dong2),"",IF(AND(IF($M$9="Q11",RIGHT(OFFSET(TH!G$1,SMALL(Dong2,ROWS($1:18)),),3)=$M$9,RIGHT(OFFSET(TH!G$1,SMALL(Dong2,ROWS($1:18)),),2)=$M$9),OFFSET(TH!O$1,SMALL(Dong2,ROWS($1:18)),)=$I$6),IF($I$6="1121",OFFSET(TH!M$1,SMALL(Dong2,ROWS($1:18)),),OFFSET(TH!K$1,SMALL(Dong2,ROWS($1:18)),)),0))</f>
        <v>0</v>
      </c>
      <c r="H29" s="1322">
        <f t="shared" ca="1" si="1"/>
        <v>-1483711641</v>
      </c>
      <c r="I29" s="902"/>
      <c r="L29" s="177"/>
    </row>
    <row r="30" spans="1:12" s="184" customFormat="1" ht="23.25" customHeight="1">
      <c r="A30" s="194">
        <f ca="1">IF(ROWS($1:19)&gt;COUNT(Dong2),"",OFFSET(TH!C$1,SMALL(Dong2,ROWS($1:19)),))</f>
        <v>42718</v>
      </c>
      <c r="B30" s="194" t="str">
        <f ca="1">IF(ROWS($1:19)&gt;COUNT(Dong2),"",OFFSET(TH!D$1,SMALL(Dong2,ROWS($1:19)),))</f>
        <v>GBC</v>
      </c>
      <c r="C30" s="194">
        <f ca="1">IF(ROWS($1:19)&gt;COUNT(Dong2),"",OFFSET(TH!E$1,SMALL(Dong2,ROWS($1:19)),))</f>
        <v>42718</v>
      </c>
      <c r="D30" s="353" t="str">
        <f ca="1">IF(ROWS($1:19)&gt;COUNT(Dong2),"",OFFSET(TH!F$1,SMALL(Dong2,ROWS($1:19)),))</f>
        <v>Bán ngoại tệ</v>
      </c>
      <c r="E30" s="194" t="str">
        <f ca="1">IF(ROWS($1:19)&gt;COUNT(Dong2),"",IF(OFFSET(TH!O$1,SMALL(Dong2,ROWS($1:19)),)=$I$6,OFFSET(TH!N$1,SMALL(Dong2,ROWS($1:19)),),OFFSET(TH!O$1,SMALL(Dong2,ROWS($1:19)),)))</f>
        <v>1122</v>
      </c>
      <c r="F30" s="1309">
        <f ca="1">IF(ROWS($1:19)&gt;COUNT(Dong2),"",IF(AND(IF($M$9="Q11",LEFT(OFFSET(TH!G$1,SMALL(Dong2,ROWS($1:19)),),3)=$M$9,LEFT(OFFSET(TH!G$1,SMALL(Dong2,ROWS($1:19)),),2)=$M$9),OFFSET(TH!N$1,SMALL(Dong2,ROWS($1:19)),)=$I$6),IF($I$6="1121",OFFSET(TH!M$1,SMALL(Dong2,ROWS($1:19)),),OFFSET(TH!K$1,SMALL(Dong2,ROWS($1:19)),)),0))</f>
        <v>1589700000</v>
      </c>
      <c r="G30" s="1315">
        <f ca="1">IF(ROWS($1:19)&gt;COUNT(Dong2),"",IF(AND(IF($M$9="Q11",RIGHT(OFFSET(TH!G$1,SMALL(Dong2,ROWS($1:19)),),3)=$M$9,RIGHT(OFFSET(TH!G$1,SMALL(Dong2,ROWS($1:19)),),2)=$M$9),OFFSET(TH!O$1,SMALL(Dong2,ROWS($1:19)),)=$I$6),IF($I$6="1121",OFFSET(TH!M$1,SMALL(Dong2,ROWS($1:19)),),OFFSET(TH!K$1,SMALL(Dong2,ROWS($1:19)),)),0))</f>
        <v>0</v>
      </c>
      <c r="H30" s="1322">
        <f t="shared" ref="H30:H93" ca="1" si="3">IF(A30&lt;&gt;"",H29+F30-G30,0)</f>
        <v>105988359</v>
      </c>
      <c r="I30" s="902"/>
      <c r="L30" s="177"/>
    </row>
    <row r="31" spans="1:12" s="184" customFormat="1" ht="23.25" customHeight="1">
      <c r="A31" s="194">
        <f ca="1">IF(ROWS($1:20)&gt;COUNT(Dong2),"",OFFSET(TH!C$1,SMALL(Dong2,ROWS($1:20)),))</f>
        <v>42718</v>
      </c>
      <c r="B31" s="194" t="str">
        <f ca="1">IF(ROWS($1:20)&gt;COUNT(Dong2),"",OFFSET(TH!D$1,SMALL(Dong2,ROWS($1:20)),))</f>
        <v>GBC</v>
      </c>
      <c r="C31" s="194">
        <f ca="1">IF(ROWS($1:20)&gt;COUNT(Dong2),"",OFFSET(TH!E$1,SMALL(Dong2,ROWS($1:20)),))</f>
        <v>42718</v>
      </c>
      <c r="D31" s="353" t="str">
        <f ca="1">IF(ROWS($1:20)&gt;COUNT(Dong2),"",OFFSET(TH!F$1,SMALL(Dong2,ROWS($1:20)),))</f>
        <v>Vay</v>
      </c>
      <c r="E31" s="194" t="str">
        <f ca="1">IF(ROWS($1:20)&gt;COUNT(Dong2),"",IF(OFFSET(TH!O$1,SMALL(Dong2,ROWS($1:20)),)=$I$6,OFFSET(TH!N$1,SMALL(Dong2,ROWS($1:20)),),OFFSET(TH!O$1,SMALL(Dong2,ROWS($1:20)),)))</f>
        <v>3412</v>
      </c>
      <c r="F31" s="1309">
        <f ca="1">IF(ROWS($1:20)&gt;COUNT(Dong2),"",IF(AND(IF($M$9="Q11",LEFT(OFFSET(TH!G$1,SMALL(Dong2,ROWS($1:20)),),3)=$M$9,LEFT(OFFSET(TH!G$1,SMALL(Dong2,ROWS($1:20)),),2)=$M$9),OFFSET(TH!N$1,SMALL(Dong2,ROWS($1:20)),)=$I$6),IF($I$6="1121",OFFSET(TH!M$1,SMALL(Dong2,ROWS($1:20)),),OFFSET(TH!K$1,SMALL(Dong2,ROWS($1:20)),)),0))</f>
        <v>3111270000</v>
      </c>
      <c r="G31" s="1315">
        <f ca="1">IF(ROWS($1:20)&gt;COUNT(Dong2),"",IF(AND(IF($M$9="Q11",RIGHT(OFFSET(TH!G$1,SMALL(Dong2,ROWS($1:20)),),3)=$M$9,RIGHT(OFFSET(TH!G$1,SMALL(Dong2,ROWS($1:20)),),2)=$M$9),OFFSET(TH!O$1,SMALL(Dong2,ROWS($1:20)),)=$I$6),IF($I$6="1121",OFFSET(TH!M$1,SMALL(Dong2,ROWS($1:20)),),OFFSET(TH!K$1,SMALL(Dong2,ROWS($1:20)),)),0))</f>
        <v>0</v>
      </c>
      <c r="H31" s="1322">
        <f t="shared" ca="1" si="3"/>
        <v>3217258359</v>
      </c>
      <c r="I31" s="902"/>
      <c r="L31" s="177"/>
    </row>
    <row r="32" spans="1:12" s="184" customFormat="1" ht="23.25" customHeight="1">
      <c r="A32" s="194">
        <f ca="1">IF(ROWS($1:21)&gt;COUNT(Dong2),"",OFFSET(TH!C$1,SMALL(Dong2,ROWS($1:21)),))</f>
        <v>42718</v>
      </c>
      <c r="B32" s="194" t="str">
        <f ca="1">IF(ROWS($1:21)&gt;COUNT(Dong2),"",OFFSET(TH!D$1,SMALL(Dong2,ROWS($1:21)),))</f>
        <v>GBN</v>
      </c>
      <c r="C32" s="194">
        <f ca="1">IF(ROWS($1:21)&gt;COUNT(Dong2),"",OFFSET(TH!E$1,SMALL(Dong2,ROWS($1:21)),))</f>
        <v>42718</v>
      </c>
      <c r="D32" s="353" t="str">
        <f ca="1">IF(ROWS($1:21)&gt;COUNT(Dong2),"",OFFSET(TH!F$1,SMALL(Dong2,ROWS($1:21)),))</f>
        <v>Phí NH</v>
      </c>
      <c r="E32" s="194" t="str">
        <f ca="1">IF(ROWS($1:21)&gt;COUNT(Dong2),"",IF(OFFSET(TH!O$1,SMALL(Dong2,ROWS($1:21)),)=$I$6,OFFSET(TH!N$1,SMALL(Dong2,ROWS($1:21)),),OFFSET(TH!O$1,SMALL(Dong2,ROWS($1:21)),)))</f>
        <v>642</v>
      </c>
      <c r="F32" s="1309">
        <f ca="1">IF(ROWS($1:21)&gt;COUNT(Dong2),"",IF(AND(IF($M$9="Q11",LEFT(OFFSET(TH!G$1,SMALL(Dong2,ROWS($1:21)),),3)=$M$9,LEFT(OFFSET(TH!G$1,SMALL(Dong2,ROWS($1:21)),),2)=$M$9),OFFSET(TH!N$1,SMALL(Dong2,ROWS($1:21)),)=$I$6),IF($I$6="1121",OFFSET(TH!M$1,SMALL(Dong2,ROWS($1:21)),),OFFSET(TH!K$1,SMALL(Dong2,ROWS($1:21)),)),0))</f>
        <v>0</v>
      </c>
      <c r="G32" s="1315">
        <f ca="1">IF(ROWS($1:21)&gt;COUNT(Dong2),"",IF(AND(IF($M$9="Q11",RIGHT(OFFSET(TH!G$1,SMALL(Dong2,ROWS($1:21)),),3)=$M$9,RIGHT(OFFSET(TH!G$1,SMALL(Dong2,ROWS($1:21)),),2)=$M$9),OFFSET(TH!O$1,SMALL(Dong2,ROWS($1:21)),)=$I$6),IF($I$6="1121",OFFSET(TH!M$1,SMALL(Dong2,ROWS($1:21)),),OFFSET(TH!K$1,SMALL(Dong2,ROWS($1:21)),)),0))</f>
        <v>3006277</v>
      </c>
      <c r="H32" s="1322">
        <f t="shared" ca="1" si="3"/>
        <v>3214252082</v>
      </c>
      <c r="I32" s="902"/>
      <c r="L32" s="177"/>
    </row>
    <row r="33" spans="1:17" s="184" customFormat="1" ht="23.25" customHeight="1">
      <c r="A33" s="194">
        <f ca="1">IF(ROWS($1:22)&gt;COUNT(Dong2),"",OFFSET(TH!C$1,SMALL(Dong2,ROWS($1:22)),))</f>
        <v>42718</v>
      </c>
      <c r="B33" s="194" t="str">
        <f ca="1">IF(ROWS($1:22)&gt;COUNT(Dong2),"",OFFSET(TH!D$1,SMALL(Dong2,ROWS($1:22)),))</f>
        <v>GBN</v>
      </c>
      <c r="C33" s="194">
        <f ca="1">IF(ROWS($1:22)&gt;COUNT(Dong2),"",OFFSET(TH!E$1,SMALL(Dong2,ROWS($1:22)),))</f>
        <v>42718</v>
      </c>
      <c r="D33" s="353" t="str">
        <f ca="1">IF(ROWS($1:22)&gt;COUNT(Dong2),"",OFFSET(TH!F$1,SMALL(Dong2,ROWS($1:22)),))</f>
        <v>VAT Phí NH</v>
      </c>
      <c r="E33" s="194" t="str">
        <f ca="1">IF(ROWS($1:22)&gt;COUNT(Dong2),"",IF(OFFSET(TH!O$1,SMALL(Dong2,ROWS($1:22)),)=$I$6,OFFSET(TH!N$1,SMALL(Dong2,ROWS($1:22)),),OFFSET(TH!O$1,SMALL(Dong2,ROWS($1:22)),)))</f>
        <v>1331</v>
      </c>
      <c r="F33" s="1309">
        <f ca="1">IF(ROWS($1:22)&gt;COUNT(Dong2),"",IF(AND(IF($M$9="Q11",LEFT(OFFSET(TH!G$1,SMALL(Dong2,ROWS($1:22)),),3)=$M$9,LEFT(OFFSET(TH!G$1,SMALL(Dong2,ROWS($1:22)),),2)=$M$9),OFFSET(TH!N$1,SMALL(Dong2,ROWS($1:22)),)=$I$6),IF($I$6="1121",OFFSET(TH!M$1,SMALL(Dong2,ROWS($1:22)),),OFFSET(TH!K$1,SMALL(Dong2,ROWS($1:22)),)),0))</f>
        <v>0</v>
      </c>
      <c r="G33" s="1315">
        <f ca="1">IF(ROWS($1:22)&gt;COUNT(Dong2),"",IF(AND(IF($M$9="Q11",RIGHT(OFFSET(TH!G$1,SMALL(Dong2,ROWS($1:22)),),3)=$M$9,RIGHT(OFFSET(TH!G$1,SMALL(Dong2,ROWS($1:22)),),2)=$M$9),OFFSET(TH!O$1,SMALL(Dong2,ROWS($1:22)),)=$I$6),IF($I$6="1121",OFFSET(TH!M$1,SMALL(Dong2,ROWS($1:22)),),OFFSET(TH!K$1,SMALL(Dong2,ROWS($1:22)),)),0))</f>
        <v>300628</v>
      </c>
      <c r="H33" s="1322">
        <f t="shared" ref="H33:H34" ca="1" si="4">IF(A33&lt;&gt;"",H32+F33-G33,0)</f>
        <v>3213951454</v>
      </c>
      <c r="I33" s="902"/>
      <c r="L33" s="177"/>
    </row>
    <row r="34" spans="1:17" s="184" customFormat="1" ht="23.25" customHeight="1">
      <c r="A34" s="194">
        <f ca="1">IF(ROWS($1:23)&gt;COUNT(Dong2),"",OFFSET(TH!C$1,SMALL(Dong2,ROWS($1:23)),))</f>
        <v>42718</v>
      </c>
      <c r="B34" s="194" t="str">
        <f ca="1">IF(ROWS($1:23)&gt;COUNT(Dong2),"",OFFSET(TH!D$1,SMALL(Dong2,ROWS($1:23)),))</f>
        <v>GBN</v>
      </c>
      <c r="C34" s="194">
        <f ca="1">IF(ROWS($1:23)&gt;COUNT(Dong2),"",OFFSET(TH!E$1,SMALL(Dong2,ROWS($1:23)),))</f>
        <v>42718</v>
      </c>
      <c r="D34" s="353" t="str">
        <f ca="1">IF(ROWS($1:23)&gt;COUNT(Dong2),"",OFFSET(TH!F$1,SMALL(Dong2,ROWS($1:23)),))</f>
        <v>Thanh toán cước vận chuyển và phí liên quan</v>
      </c>
      <c r="E34" s="194" t="str">
        <f ca="1">IF(ROWS($1:23)&gt;COUNT(Dong2),"",IF(OFFSET(TH!O$1,SMALL(Dong2,ROWS($1:23)),)=$I$6,OFFSET(TH!N$1,SMALL(Dong2,ROWS($1:23)),),OFFSET(TH!O$1,SMALL(Dong2,ROWS($1:23)),)))</f>
        <v>331</v>
      </c>
      <c r="F34" s="1309">
        <f ca="1">IF(ROWS($1:23)&gt;COUNT(Dong2),"",IF(AND(IF($M$9="Q11",LEFT(OFFSET(TH!G$1,SMALL(Dong2,ROWS($1:23)),),3)=$M$9,LEFT(OFFSET(TH!G$1,SMALL(Dong2,ROWS($1:23)),),2)=$M$9),OFFSET(TH!N$1,SMALL(Dong2,ROWS($1:23)),)=$I$6),IF($I$6="1121",OFFSET(TH!M$1,SMALL(Dong2,ROWS($1:23)),),OFFSET(TH!K$1,SMALL(Dong2,ROWS($1:23)),)),0))</f>
        <v>0</v>
      </c>
      <c r="G34" s="1315">
        <f ca="1">IF(ROWS($1:23)&gt;COUNT(Dong2),"",IF(AND(IF($M$9="Q11",RIGHT(OFFSET(TH!G$1,SMALL(Dong2,ROWS($1:23)),),3)=$M$9,RIGHT(OFFSET(TH!G$1,SMALL(Dong2,ROWS($1:23)),),2)=$M$9),OFFSET(TH!O$1,SMALL(Dong2,ROWS($1:23)),)=$I$6),IF($I$6="1121",OFFSET(TH!M$1,SMALL(Dong2,ROWS($1:23)),),OFFSET(TH!K$1,SMALL(Dong2,ROWS($1:23)),)),0))</f>
        <v>24884526</v>
      </c>
      <c r="H34" s="1322">
        <f t="shared" ca="1" si="4"/>
        <v>3189066928</v>
      </c>
      <c r="I34" s="902"/>
      <c r="Q34" s="1206"/>
    </row>
    <row r="35" spans="1:17" s="184" customFormat="1" ht="23.25" customHeight="1">
      <c r="A35" s="194">
        <f ca="1">IF(ROWS($1:24)&gt;COUNT(Dong2),"",OFFSET(TH!C$1,SMALL(Dong2,ROWS($1:24)),))</f>
        <v>42718</v>
      </c>
      <c r="B35" s="194" t="str">
        <f ca="1">IF(ROWS($1:24)&gt;COUNT(Dong2),"",OFFSET(TH!D$1,SMALL(Dong2,ROWS($1:24)),))</f>
        <v>GBN</v>
      </c>
      <c r="C35" s="194">
        <f ca="1">IF(ROWS($1:24)&gt;COUNT(Dong2),"",OFFSET(TH!E$1,SMALL(Dong2,ROWS($1:24)),))</f>
        <v>42718</v>
      </c>
      <c r="D35" s="353" t="str">
        <f ca="1">IF(ROWS($1:24)&gt;COUNT(Dong2),"",OFFSET(TH!F$1,SMALL(Dong2,ROWS($1:24)),))</f>
        <v>Phí thanh toán</v>
      </c>
      <c r="E35" s="194" t="str">
        <f ca="1">IF(ROWS($1:24)&gt;COUNT(Dong2),"",IF(OFFSET(TH!O$1,SMALL(Dong2,ROWS($1:24)),)=$I$6,OFFSET(TH!N$1,SMALL(Dong2,ROWS($1:24)),),OFFSET(TH!O$1,SMALL(Dong2,ROWS($1:24)),)))</f>
        <v>642</v>
      </c>
      <c r="F35" s="1309">
        <f ca="1">IF(ROWS($1:24)&gt;COUNT(Dong2),"",IF(AND(IF($M$9="Q11",LEFT(OFFSET(TH!G$1,SMALL(Dong2,ROWS($1:24)),),3)=$M$9,LEFT(OFFSET(TH!G$1,SMALL(Dong2,ROWS($1:24)),),2)=$M$9),OFFSET(TH!N$1,SMALL(Dong2,ROWS($1:24)),)=$I$6),IF($I$6="1121",OFFSET(TH!M$1,SMALL(Dong2,ROWS($1:24)),),OFFSET(TH!K$1,SMALL(Dong2,ROWS($1:24)),)),0))</f>
        <v>0</v>
      </c>
      <c r="G35" s="1315">
        <f ca="1">IF(ROWS($1:24)&gt;COUNT(Dong2),"",IF(AND(IF($M$9="Q11",RIGHT(OFFSET(TH!G$1,SMALL(Dong2,ROWS($1:24)),),3)=$M$9,RIGHT(OFFSET(TH!G$1,SMALL(Dong2,ROWS($1:24)),),2)=$M$9),OFFSET(TH!O$1,SMALL(Dong2,ROWS($1:24)),)=$I$6),IF($I$6="1121",OFFSET(TH!M$1,SMALL(Dong2,ROWS($1:24)),),OFFSET(TH!K$1,SMALL(Dong2,ROWS($1:24)),)),0))</f>
        <v>10000</v>
      </c>
      <c r="H35" s="1322">
        <f t="shared" ca="1" si="3"/>
        <v>3189056928</v>
      </c>
      <c r="I35" s="902"/>
    </row>
    <row r="36" spans="1:17" s="184" customFormat="1" ht="23.25" customHeight="1">
      <c r="A36" s="194">
        <f ca="1">IF(ROWS($1:25)&gt;COUNT(Dong2),"",OFFSET(TH!C$1,SMALL(Dong2,ROWS($1:25)),))</f>
        <v>42718</v>
      </c>
      <c r="B36" s="194" t="str">
        <f ca="1">IF(ROWS($1:25)&gt;COUNT(Dong2),"",OFFSET(TH!D$1,SMALL(Dong2,ROWS($1:25)),))</f>
        <v>GBN</v>
      </c>
      <c r="C36" s="194">
        <f ca="1">IF(ROWS($1:25)&gt;COUNT(Dong2),"",OFFSET(TH!E$1,SMALL(Dong2,ROWS($1:25)),))</f>
        <v>42718</v>
      </c>
      <c r="D36" s="353" t="str">
        <f ca="1">IF(ROWS($1:25)&gt;COUNT(Dong2),"",OFFSET(TH!F$1,SMALL(Dong2,ROWS($1:25)),))</f>
        <v>VAT Phí thanh toán</v>
      </c>
      <c r="E36" s="194" t="str">
        <f ca="1">IF(ROWS($1:25)&gt;COUNT(Dong2),"",IF(OFFSET(TH!O$1,SMALL(Dong2,ROWS($1:25)),)=$I$6,OFFSET(TH!N$1,SMALL(Dong2,ROWS($1:25)),),OFFSET(TH!O$1,SMALL(Dong2,ROWS($1:25)),)))</f>
        <v>1331</v>
      </c>
      <c r="F36" s="1309">
        <f ca="1">IF(ROWS($1:25)&gt;COUNT(Dong2),"",IF(AND(IF($M$9="Q11",LEFT(OFFSET(TH!G$1,SMALL(Dong2,ROWS($1:25)),),3)=$M$9,LEFT(OFFSET(TH!G$1,SMALL(Dong2,ROWS($1:25)),),2)=$M$9),OFFSET(TH!N$1,SMALL(Dong2,ROWS($1:25)),)=$I$6),IF($I$6="1121",OFFSET(TH!M$1,SMALL(Dong2,ROWS($1:25)),),OFFSET(TH!K$1,SMALL(Dong2,ROWS($1:25)),)),0))</f>
        <v>0</v>
      </c>
      <c r="G36" s="1315">
        <f ca="1">IF(ROWS($1:25)&gt;COUNT(Dong2),"",IF(AND(IF($M$9="Q11",RIGHT(OFFSET(TH!G$1,SMALL(Dong2,ROWS($1:25)),),3)=$M$9,RIGHT(OFFSET(TH!G$1,SMALL(Dong2,ROWS($1:25)),),2)=$M$9),OFFSET(TH!O$1,SMALL(Dong2,ROWS($1:25)),)=$I$6),IF($I$6="1121",OFFSET(TH!M$1,SMALL(Dong2,ROWS($1:25)),),OFFSET(TH!K$1,SMALL(Dong2,ROWS($1:25)),)),0))</f>
        <v>1000</v>
      </c>
      <c r="H36" s="1322">
        <f t="shared" ca="1" si="3"/>
        <v>3189055928</v>
      </c>
      <c r="I36" s="902"/>
    </row>
    <row r="37" spans="1:17" s="184" customFormat="1" ht="23.25" customHeight="1">
      <c r="A37" s="194">
        <f ca="1">IF(ROWS($1:26)&gt;COUNT(Dong2),"",OFFSET(TH!C$1,SMALL(Dong2,ROWS($1:26)),))</f>
        <v>42718</v>
      </c>
      <c r="B37" s="194" t="str">
        <f ca="1">IF(ROWS($1:26)&gt;COUNT(Dong2),"",OFFSET(TH!D$1,SMALL(Dong2,ROWS($1:26)),))</f>
        <v>GBN</v>
      </c>
      <c r="C37" s="194">
        <f ca="1">IF(ROWS($1:26)&gt;COUNT(Dong2),"",OFFSET(TH!E$1,SMALL(Dong2,ROWS($1:26)),))</f>
        <v>42718</v>
      </c>
      <c r="D37" s="353" t="str">
        <f ca="1">IF(ROWS($1:26)&gt;COUNT(Dong2),"",OFFSET(TH!F$1,SMALL(Dong2,ROWS($1:26)),))</f>
        <v>Phí thanh toán</v>
      </c>
      <c r="E37" s="194" t="str">
        <f ca="1">IF(ROWS($1:26)&gt;COUNT(Dong2),"",IF(OFFSET(TH!O$1,SMALL(Dong2,ROWS($1:26)),)=$I$6,OFFSET(TH!N$1,SMALL(Dong2,ROWS($1:26)),),OFFSET(TH!O$1,SMALL(Dong2,ROWS($1:26)),)))</f>
        <v>642</v>
      </c>
      <c r="F37" s="1309">
        <f ca="1">IF(ROWS($1:26)&gt;COUNT(Dong2),"",IF(AND(IF($M$9="Q11",LEFT(OFFSET(TH!G$1,SMALL(Dong2,ROWS($1:26)),),3)=$M$9,LEFT(OFFSET(TH!G$1,SMALL(Dong2,ROWS($1:26)),),2)=$M$9),OFFSET(TH!N$1,SMALL(Dong2,ROWS($1:26)),)=$I$6),IF($I$6="1121",OFFSET(TH!M$1,SMALL(Dong2,ROWS($1:26)),),OFFSET(TH!K$1,SMALL(Dong2,ROWS($1:26)),)),0))</f>
        <v>0</v>
      </c>
      <c r="G37" s="1315">
        <f ca="1">IF(ROWS($1:26)&gt;COUNT(Dong2),"",IF(AND(IF($M$9="Q11",RIGHT(OFFSET(TH!G$1,SMALL(Dong2,ROWS($1:26)),),3)=$M$9,RIGHT(OFFSET(TH!G$1,SMALL(Dong2,ROWS($1:26)),),2)=$M$9),OFFSET(TH!O$1,SMALL(Dong2,ROWS($1:26)),)=$I$6),IF($I$6="1121",OFFSET(TH!M$1,SMALL(Dong2,ROWS($1:26)),),OFFSET(TH!K$1,SMALL(Dong2,ROWS($1:26)),)),0))</f>
        <v>432900</v>
      </c>
      <c r="H37" s="1322">
        <f t="shared" ca="1" si="3"/>
        <v>3188623028</v>
      </c>
      <c r="I37" s="902"/>
      <c r="L37" s="177"/>
    </row>
    <row r="38" spans="1:17" s="184" customFormat="1" ht="23.25" customHeight="1">
      <c r="A38" s="194">
        <f ca="1">IF(ROWS($1:27)&gt;COUNT(Dong2),"",OFFSET(TH!C$1,SMALL(Dong2,ROWS($1:27)),))</f>
        <v>42718</v>
      </c>
      <c r="B38" s="194" t="str">
        <f ca="1">IF(ROWS($1:27)&gt;COUNT(Dong2),"",OFFSET(TH!D$1,SMALL(Dong2,ROWS($1:27)),))</f>
        <v>GBN</v>
      </c>
      <c r="C38" s="194">
        <f ca="1">IF(ROWS($1:27)&gt;COUNT(Dong2),"",OFFSET(TH!E$1,SMALL(Dong2,ROWS($1:27)),))</f>
        <v>42718</v>
      </c>
      <c r="D38" s="353" t="str">
        <f ca="1">IF(ROWS($1:27)&gt;COUNT(Dong2),"",OFFSET(TH!F$1,SMALL(Dong2,ROWS($1:27)),))</f>
        <v>VAT Phí thanh toán</v>
      </c>
      <c r="E38" s="194" t="str">
        <f ca="1">IF(ROWS($1:27)&gt;COUNT(Dong2),"",IF(OFFSET(TH!O$1,SMALL(Dong2,ROWS($1:27)),)=$I$6,OFFSET(TH!N$1,SMALL(Dong2,ROWS($1:27)),),OFFSET(TH!O$1,SMALL(Dong2,ROWS($1:27)),)))</f>
        <v>1331</v>
      </c>
      <c r="F38" s="1309">
        <f ca="1">IF(ROWS($1:27)&gt;COUNT(Dong2),"",IF(AND(IF($M$9="Q11",LEFT(OFFSET(TH!G$1,SMALL(Dong2,ROWS($1:27)),),3)=$M$9,LEFT(OFFSET(TH!G$1,SMALL(Dong2,ROWS($1:27)),),2)=$M$9),OFFSET(TH!N$1,SMALL(Dong2,ROWS($1:27)),)=$I$6),IF($I$6="1121",OFFSET(TH!M$1,SMALL(Dong2,ROWS($1:27)),),OFFSET(TH!K$1,SMALL(Dong2,ROWS($1:27)),)),0))</f>
        <v>0</v>
      </c>
      <c r="G38" s="1315">
        <f ca="1">IF(ROWS($1:27)&gt;COUNT(Dong2),"",IF(AND(IF($M$9="Q11",RIGHT(OFFSET(TH!G$1,SMALL(Dong2,ROWS($1:27)),),3)=$M$9,RIGHT(OFFSET(TH!G$1,SMALL(Dong2,ROWS($1:27)),),2)=$M$9),OFFSET(TH!O$1,SMALL(Dong2,ROWS($1:27)),)=$I$6),IF($I$6="1121",OFFSET(TH!M$1,SMALL(Dong2,ROWS($1:27)),),OFFSET(TH!K$1,SMALL(Dong2,ROWS($1:27)),)),0))</f>
        <v>43290</v>
      </c>
      <c r="H38" s="1322">
        <f t="shared" ca="1" si="3"/>
        <v>3188579738</v>
      </c>
      <c r="I38" s="902"/>
      <c r="L38" s="177"/>
    </row>
    <row r="39" spans="1:17" s="184" customFormat="1" ht="23.25" customHeight="1">
      <c r="A39" s="194">
        <f ca="1">IF(ROWS($1:28)&gt;COUNT(Dong2),"",OFFSET(TH!C$1,SMALL(Dong2,ROWS($1:28)),))</f>
        <v>42718</v>
      </c>
      <c r="B39" s="194" t="str">
        <f ca="1">IF(ROWS($1:28)&gt;COUNT(Dong2),"",OFFSET(TH!D$1,SMALL(Dong2,ROWS($1:28)),))</f>
        <v>GBN</v>
      </c>
      <c r="C39" s="194">
        <f ca="1">IF(ROWS($1:28)&gt;COUNT(Dong2),"",OFFSET(TH!E$1,SMALL(Dong2,ROWS($1:28)),))</f>
        <v>42718</v>
      </c>
      <c r="D39" s="353" t="str">
        <f ca="1">IF(ROWS($1:28)&gt;COUNT(Dong2),"",OFFSET(TH!F$1,SMALL(Dong2,ROWS($1:28)),))</f>
        <v>Thanh toán cước vận chuyển và phí liên quan</v>
      </c>
      <c r="E39" s="194" t="str">
        <f ca="1">IF(ROWS($1:28)&gt;COUNT(Dong2),"",IF(OFFSET(TH!O$1,SMALL(Dong2,ROWS($1:28)),)=$I$6,OFFSET(TH!N$1,SMALL(Dong2,ROWS($1:28)),),OFFSET(TH!O$1,SMALL(Dong2,ROWS($1:28)),)))</f>
        <v>331</v>
      </c>
      <c r="F39" s="1309">
        <f ca="1">IF(ROWS($1:28)&gt;COUNT(Dong2),"",IF(AND(IF($M$9="Q11",LEFT(OFFSET(TH!G$1,SMALL(Dong2,ROWS($1:28)),),3)=$M$9,LEFT(OFFSET(TH!G$1,SMALL(Dong2,ROWS($1:28)),),2)=$M$9),OFFSET(TH!N$1,SMALL(Dong2,ROWS($1:28)),)=$I$6),IF($I$6="1121",OFFSET(TH!M$1,SMALL(Dong2,ROWS($1:28)),),OFFSET(TH!K$1,SMALL(Dong2,ROWS($1:28)),)),0))</f>
        <v>0</v>
      </c>
      <c r="G39" s="1315">
        <f ca="1">IF(ROWS($1:28)&gt;COUNT(Dong2),"",IF(AND(IF($M$9="Q11",RIGHT(OFFSET(TH!G$1,SMALL(Dong2,ROWS($1:28)),),3)=$M$9,RIGHT(OFFSET(TH!G$1,SMALL(Dong2,ROWS($1:28)),),2)=$M$9),OFFSET(TH!O$1,SMALL(Dong2,ROWS($1:28)),)=$I$6),IF($I$6="1121",OFFSET(TH!M$1,SMALL(Dong2,ROWS($1:28)),),OFFSET(TH!K$1,SMALL(Dong2,ROWS($1:28)),)),0))</f>
        <v>26948372</v>
      </c>
      <c r="H39" s="1322">
        <f t="shared" ca="1" si="3"/>
        <v>3161631366</v>
      </c>
      <c r="I39" s="902"/>
    </row>
    <row r="40" spans="1:17" s="184" customFormat="1" ht="23.25" customHeight="1">
      <c r="A40" s="194">
        <f ca="1">IF(ROWS($1:29)&gt;COUNT(Dong2),"",OFFSET(TH!C$1,SMALL(Dong2,ROWS($1:29)),))</f>
        <v>42718</v>
      </c>
      <c r="B40" s="194" t="str">
        <f ca="1">IF(ROWS($1:29)&gt;COUNT(Dong2),"",OFFSET(TH!D$1,SMALL(Dong2,ROWS($1:29)),))</f>
        <v>GBN</v>
      </c>
      <c r="C40" s="194">
        <f ca="1">IF(ROWS($1:29)&gt;COUNT(Dong2),"",OFFSET(TH!E$1,SMALL(Dong2,ROWS($1:29)),))</f>
        <v>42718</v>
      </c>
      <c r="D40" s="353" t="str">
        <f ca="1">IF(ROWS($1:29)&gt;COUNT(Dong2),"",OFFSET(TH!F$1,SMALL(Dong2,ROWS($1:29)),))</f>
        <v>Phí thanh toán</v>
      </c>
      <c r="E40" s="194" t="str">
        <f ca="1">IF(ROWS($1:29)&gt;COUNT(Dong2),"",IF(OFFSET(TH!O$1,SMALL(Dong2,ROWS($1:29)),)=$I$6,OFFSET(TH!N$1,SMALL(Dong2,ROWS($1:29)),),OFFSET(TH!O$1,SMALL(Dong2,ROWS($1:29)),)))</f>
        <v>642</v>
      </c>
      <c r="F40" s="1309">
        <f ca="1">IF(ROWS($1:29)&gt;COUNT(Dong2),"",IF(AND(IF($M$9="Q11",LEFT(OFFSET(TH!G$1,SMALL(Dong2,ROWS($1:29)),),3)=$M$9,LEFT(OFFSET(TH!G$1,SMALL(Dong2,ROWS($1:29)),),2)=$M$9),OFFSET(TH!N$1,SMALL(Dong2,ROWS($1:29)),)=$I$6),IF($I$6="1121",OFFSET(TH!M$1,SMALL(Dong2,ROWS($1:29)),),OFFSET(TH!K$1,SMALL(Dong2,ROWS($1:29)),)),0))</f>
        <v>0</v>
      </c>
      <c r="G40" s="1315">
        <f ca="1">IF(ROWS($1:29)&gt;COUNT(Dong2),"",IF(AND(IF($M$9="Q11",RIGHT(OFFSET(TH!G$1,SMALL(Dong2,ROWS($1:29)),),3)=$M$9,RIGHT(OFFSET(TH!G$1,SMALL(Dong2,ROWS($1:29)),),2)=$M$9),OFFSET(TH!O$1,SMALL(Dong2,ROWS($1:29)),)=$I$6),IF($I$6="1121",OFFSET(TH!M$1,SMALL(Dong2,ROWS($1:29)),),OFFSET(TH!K$1,SMALL(Dong2,ROWS($1:29)),)),0))</f>
        <v>10000</v>
      </c>
      <c r="H40" s="1322">
        <f t="shared" ca="1" si="3"/>
        <v>3161621366</v>
      </c>
      <c r="I40" s="902"/>
    </row>
    <row r="41" spans="1:17" s="184" customFormat="1" ht="23.25" customHeight="1">
      <c r="A41" s="194">
        <f ca="1">IF(ROWS($1:30)&gt;COUNT(Dong2),"",OFFSET(TH!C$1,SMALL(Dong2,ROWS($1:30)),))</f>
        <v>42718</v>
      </c>
      <c r="B41" s="194" t="str">
        <f ca="1">IF(ROWS($1:30)&gt;COUNT(Dong2),"",OFFSET(TH!D$1,SMALL(Dong2,ROWS($1:30)),))</f>
        <v>GBN</v>
      </c>
      <c r="C41" s="194">
        <f ca="1">IF(ROWS($1:30)&gt;COUNT(Dong2),"",OFFSET(TH!E$1,SMALL(Dong2,ROWS($1:30)),))</f>
        <v>42718</v>
      </c>
      <c r="D41" s="353" t="str">
        <f ca="1">IF(ROWS($1:30)&gt;COUNT(Dong2),"",OFFSET(TH!F$1,SMALL(Dong2,ROWS($1:30)),))</f>
        <v>VAT Phí thanh toán</v>
      </c>
      <c r="E41" s="194" t="str">
        <f ca="1">IF(ROWS($1:30)&gt;COUNT(Dong2),"",IF(OFFSET(TH!O$1,SMALL(Dong2,ROWS($1:30)),)=$I$6,OFFSET(TH!N$1,SMALL(Dong2,ROWS($1:30)),),OFFSET(TH!O$1,SMALL(Dong2,ROWS($1:30)),)))</f>
        <v>1331</v>
      </c>
      <c r="F41" s="1309">
        <f ca="1">IF(ROWS($1:30)&gt;COUNT(Dong2),"",IF(AND(IF($M$9="Q11",LEFT(OFFSET(TH!G$1,SMALL(Dong2,ROWS($1:30)),),3)=$M$9,LEFT(OFFSET(TH!G$1,SMALL(Dong2,ROWS($1:30)),),2)=$M$9),OFFSET(TH!N$1,SMALL(Dong2,ROWS($1:30)),)=$I$6),IF($I$6="1121",OFFSET(TH!M$1,SMALL(Dong2,ROWS($1:30)),),OFFSET(TH!K$1,SMALL(Dong2,ROWS($1:30)),)),0))</f>
        <v>0</v>
      </c>
      <c r="G41" s="1315">
        <f ca="1">IF(ROWS($1:30)&gt;COUNT(Dong2),"",IF(AND(IF($M$9="Q11",RIGHT(OFFSET(TH!G$1,SMALL(Dong2,ROWS($1:30)),),3)=$M$9,RIGHT(OFFSET(TH!G$1,SMALL(Dong2,ROWS($1:30)),),2)=$M$9),OFFSET(TH!O$1,SMALL(Dong2,ROWS($1:30)),)=$I$6),IF($I$6="1121",OFFSET(TH!M$1,SMALL(Dong2,ROWS($1:30)),),OFFSET(TH!K$1,SMALL(Dong2,ROWS($1:30)),)),0))</f>
        <v>1000</v>
      </c>
      <c r="H41" s="1322">
        <f t="shared" ca="1" si="3"/>
        <v>3161620366</v>
      </c>
      <c r="I41" s="902"/>
      <c r="L41" s="177"/>
    </row>
    <row r="42" spans="1:17" s="184" customFormat="1" ht="23.25" customHeight="1">
      <c r="A42" s="194">
        <f ca="1">IF(ROWS($1:31)&gt;COUNT(Dong2),"",OFFSET(TH!C$1,SMALL(Dong2,ROWS($1:31)),))</f>
        <v>42718</v>
      </c>
      <c r="B42" s="194" t="str">
        <f ca="1">IF(ROWS($1:31)&gt;COUNT(Dong2),"",OFFSET(TH!D$1,SMALL(Dong2,ROWS($1:31)),))</f>
        <v>GBN</v>
      </c>
      <c r="C42" s="194">
        <f ca="1">IF(ROWS($1:31)&gt;COUNT(Dong2),"",OFFSET(TH!E$1,SMALL(Dong2,ROWS($1:31)),))</f>
        <v>42718</v>
      </c>
      <c r="D42" s="353" t="str">
        <f ca="1">IF(ROWS($1:31)&gt;COUNT(Dong2),"",OFFSET(TH!F$1,SMALL(Dong2,ROWS($1:31)),))</f>
        <v>Phí thanh toán</v>
      </c>
      <c r="E42" s="194" t="str">
        <f ca="1">IF(ROWS($1:31)&gt;COUNT(Dong2),"",IF(OFFSET(TH!O$1,SMALL(Dong2,ROWS($1:31)),)=$I$6,OFFSET(TH!N$1,SMALL(Dong2,ROWS($1:31)),),OFFSET(TH!O$1,SMALL(Dong2,ROWS($1:31)),)))</f>
        <v>642</v>
      </c>
      <c r="F42" s="1309">
        <f ca="1">IF(ROWS($1:31)&gt;COUNT(Dong2),"",IF(AND(IF($M$9="Q11",LEFT(OFFSET(TH!G$1,SMALL(Dong2,ROWS($1:31)),),3)=$M$9,LEFT(OFFSET(TH!G$1,SMALL(Dong2,ROWS($1:31)),),2)=$M$9),OFFSET(TH!N$1,SMALL(Dong2,ROWS($1:31)),)=$I$6),IF($I$6="1121",OFFSET(TH!M$1,SMALL(Dong2,ROWS($1:31)),),OFFSET(TH!K$1,SMALL(Dong2,ROWS($1:31)),)),0))</f>
        <v>0</v>
      </c>
      <c r="G42" s="1315">
        <f ca="1">IF(ROWS($1:31)&gt;COUNT(Dong2),"",IF(AND(IF($M$9="Q11",RIGHT(OFFSET(TH!G$1,SMALL(Dong2,ROWS($1:31)),),3)=$M$9,RIGHT(OFFSET(TH!G$1,SMALL(Dong2,ROWS($1:31)),),2)=$M$9),OFFSET(TH!O$1,SMALL(Dong2,ROWS($1:31)),)=$I$6),IF($I$6="1121",OFFSET(TH!M$1,SMALL(Dong2,ROWS($1:31)),),OFFSET(TH!K$1,SMALL(Dong2,ROWS($1:31)),)),0))</f>
        <v>292325</v>
      </c>
      <c r="H42" s="1322">
        <f t="shared" ca="1" si="3"/>
        <v>3161328041</v>
      </c>
      <c r="I42" s="902"/>
    </row>
    <row r="43" spans="1:17" s="184" customFormat="1" ht="23.25" customHeight="1">
      <c r="A43" s="194">
        <f ca="1">IF(ROWS($1:32)&gt;COUNT(Dong2),"",OFFSET(TH!C$1,SMALL(Dong2,ROWS($1:32)),))</f>
        <v>42718</v>
      </c>
      <c r="B43" s="194" t="str">
        <f ca="1">IF(ROWS($1:32)&gt;COUNT(Dong2),"",OFFSET(TH!D$1,SMALL(Dong2,ROWS($1:32)),))</f>
        <v>GBN</v>
      </c>
      <c r="C43" s="194">
        <f ca="1">IF(ROWS($1:32)&gt;COUNT(Dong2),"",OFFSET(TH!E$1,SMALL(Dong2,ROWS($1:32)),))</f>
        <v>42718</v>
      </c>
      <c r="D43" s="353" t="str">
        <f ca="1">IF(ROWS($1:32)&gt;COUNT(Dong2),"",OFFSET(TH!F$1,SMALL(Dong2,ROWS($1:32)),))</f>
        <v>VAT Phí thanh toán</v>
      </c>
      <c r="E43" s="194" t="str">
        <f ca="1">IF(ROWS($1:32)&gt;COUNT(Dong2),"",IF(OFFSET(TH!O$1,SMALL(Dong2,ROWS($1:32)),)=$I$6,OFFSET(TH!N$1,SMALL(Dong2,ROWS($1:32)),),OFFSET(TH!O$1,SMALL(Dong2,ROWS($1:32)),)))</f>
        <v>1331</v>
      </c>
      <c r="F43" s="1309">
        <f ca="1">IF(ROWS($1:32)&gt;COUNT(Dong2),"",IF(AND(IF($M$9="Q11",LEFT(OFFSET(TH!G$1,SMALL(Dong2,ROWS($1:32)),),3)=$M$9,LEFT(OFFSET(TH!G$1,SMALL(Dong2,ROWS($1:32)),),2)=$M$9),OFFSET(TH!N$1,SMALL(Dong2,ROWS($1:32)),)=$I$6),IF($I$6="1121",OFFSET(TH!M$1,SMALL(Dong2,ROWS($1:32)),),OFFSET(TH!K$1,SMALL(Dong2,ROWS($1:32)),)),0))</f>
        <v>0</v>
      </c>
      <c r="G43" s="1315">
        <f ca="1">IF(ROWS($1:32)&gt;COUNT(Dong2),"",IF(AND(IF($M$9="Q11",RIGHT(OFFSET(TH!G$1,SMALL(Dong2,ROWS($1:32)),),3)=$M$9,RIGHT(OFFSET(TH!G$1,SMALL(Dong2,ROWS($1:32)),),2)=$M$9),OFFSET(TH!O$1,SMALL(Dong2,ROWS($1:32)),)=$I$6),IF($I$6="1121",OFFSET(TH!M$1,SMALL(Dong2,ROWS($1:32)),),OFFSET(TH!K$1,SMALL(Dong2,ROWS($1:32)),)),0))</f>
        <v>29233</v>
      </c>
      <c r="H43" s="1322">
        <f t="shared" ca="1" si="3"/>
        <v>3161298808</v>
      </c>
      <c r="I43" s="902"/>
      <c r="Q43" s="1206"/>
    </row>
    <row r="44" spans="1:17" s="184" customFormat="1" ht="23.25" customHeight="1">
      <c r="A44" s="194">
        <f ca="1">IF(ROWS($1:33)&gt;COUNT(Dong2),"",OFFSET(TH!C$1,SMALL(Dong2,ROWS($1:33)),))</f>
        <v>42718</v>
      </c>
      <c r="B44" s="194" t="str">
        <f ca="1">IF(ROWS($1:33)&gt;COUNT(Dong2),"",OFFSET(TH!D$1,SMALL(Dong2,ROWS($1:33)),))</f>
        <v>GBN</v>
      </c>
      <c r="C44" s="194">
        <f ca="1">IF(ROWS($1:33)&gt;COUNT(Dong2),"",OFFSET(TH!E$1,SMALL(Dong2,ROWS($1:33)),))</f>
        <v>42718</v>
      </c>
      <c r="D44" s="353" t="str">
        <f ca="1">IF(ROWS($1:33)&gt;COUNT(Dong2),"",OFFSET(TH!F$1,SMALL(Dong2,ROWS($1:33)),))</f>
        <v>Phí dịch vụ</v>
      </c>
      <c r="E44" s="194" t="str">
        <f ca="1">IF(ROWS($1:33)&gt;COUNT(Dong2),"",IF(OFFSET(TH!O$1,SMALL(Dong2,ROWS($1:33)),)=$I$6,OFFSET(TH!N$1,SMALL(Dong2,ROWS($1:33)),),OFFSET(TH!O$1,SMALL(Dong2,ROWS($1:33)),)))</f>
        <v>642</v>
      </c>
      <c r="F44" s="1309">
        <f ca="1">IF(ROWS($1:33)&gt;COUNT(Dong2),"",IF(AND(IF($M$9="Q11",LEFT(OFFSET(TH!G$1,SMALL(Dong2,ROWS($1:33)),),3)=$M$9,LEFT(OFFSET(TH!G$1,SMALL(Dong2,ROWS($1:33)),),2)=$M$9),OFFSET(TH!N$1,SMALL(Dong2,ROWS($1:33)),)=$I$6),IF($I$6="1121",OFFSET(TH!M$1,SMALL(Dong2,ROWS($1:33)),),OFFSET(TH!K$1,SMALL(Dong2,ROWS($1:33)),)),0))</f>
        <v>0</v>
      </c>
      <c r="G44" s="1315">
        <f ca="1">IF(ROWS($1:33)&gt;COUNT(Dong2),"",IF(AND(IF($M$9="Q11",RIGHT(OFFSET(TH!G$1,SMALL(Dong2,ROWS($1:33)),),3)=$M$9,RIGHT(OFFSET(TH!G$1,SMALL(Dong2,ROWS($1:33)),),2)=$M$9),OFFSET(TH!O$1,SMALL(Dong2,ROWS($1:33)),)=$I$6),IF($I$6="1121",OFFSET(TH!M$1,SMALL(Dong2,ROWS($1:33)),),OFFSET(TH!K$1,SMALL(Dong2,ROWS($1:33)),)),0))</f>
        <v>251610</v>
      </c>
      <c r="H44" s="1322">
        <f t="shared" ca="1" si="3"/>
        <v>3161047198</v>
      </c>
      <c r="I44" s="902"/>
      <c r="L44" s="177"/>
    </row>
    <row r="45" spans="1:17" s="184" customFormat="1" ht="23.25" customHeight="1">
      <c r="A45" s="194">
        <f ca="1">IF(ROWS($1:34)&gt;COUNT(Dong2),"",OFFSET(TH!C$1,SMALL(Dong2,ROWS($1:34)),))</f>
        <v>42718</v>
      </c>
      <c r="B45" s="194" t="str">
        <f ca="1">IF(ROWS($1:34)&gt;COUNT(Dong2),"",OFFSET(TH!D$1,SMALL(Dong2,ROWS($1:34)),))</f>
        <v>GBN</v>
      </c>
      <c r="C45" s="194">
        <f ca="1">IF(ROWS($1:34)&gt;COUNT(Dong2),"",OFFSET(TH!E$1,SMALL(Dong2,ROWS($1:34)),))</f>
        <v>42718</v>
      </c>
      <c r="D45" s="353" t="str">
        <f ca="1">IF(ROWS($1:34)&gt;COUNT(Dong2),"",OFFSET(TH!F$1,SMALL(Dong2,ROWS($1:34)),))</f>
        <v>VAT Phí dịch vụ</v>
      </c>
      <c r="E45" s="194" t="str">
        <f ca="1">IF(ROWS($1:34)&gt;COUNT(Dong2),"",IF(OFFSET(TH!O$1,SMALL(Dong2,ROWS($1:34)),)=$I$6,OFFSET(TH!N$1,SMALL(Dong2,ROWS($1:34)),),OFFSET(TH!O$1,SMALL(Dong2,ROWS($1:34)),)))</f>
        <v>1331</v>
      </c>
      <c r="F45" s="1309">
        <f ca="1">IF(ROWS($1:34)&gt;COUNT(Dong2),"",IF(AND(IF($M$9="Q11",LEFT(OFFSET(TH!G$1,SMALL(Dong2,ROWS($1:34)),),3)=$M$9,LEFT(OFFSET(TH!G$1,SMALL(Dong2,ROWS($1:34)),),2)=$M$9),OFFSET(TH!N$1,SMALL(Dong2,ROWS($1:34)),)=$I$6),IF($I$6="1121",OFFSET(TH!M$1,SMALL(Dong2,ROWS($1:34)),),OFFSET(TH!K$1,SMALL(Dong2,ROWS($1:34)),)),0))</f>
        <v>0</v>
      </c>
      <c r="G45" s="1315">
        <f ca="1">IF(ROWS($1:34)&gt;COUNT(Dong2),"",IF(AND(IF($M$9="Q11",RIGHT(OFFSET(TH!G$1,SMALL(Dong2,ROWS($1:34)),),3)=$M$9,RIGHT(OFFSET(TH!G$1,SMALL(Dong2,ROWS($1:34)),),2)=$M$9),OFFSET(TH!O$1,SMALL(Dong2,ROWS($1:34)),)=$I$6),IF($I$6="1121",OFFSET(TH!M$1,SMALL(Dong2,ROWS($1:34)),),OFFSET(TH!K$1,SMALL(Dong2,ROWS($1:34)),)),0))</f>
        <v>25161</v>
      </c>
      <c r="H45" s="1322">
        <f t="shared" ca="1" si="3"/>
        <v>3161022037</v>
      </c>
      <c r="I45" s="902"/>
      <c r="L45" s="177"/>
    </row>
    <row r="46" spans="1:17" s="184" customFormat="1" ht="23.25" customHeight="1">
      <c r="A46" s="194">
        <f ca="1">IF(ROWS($1:35)&gt;COUNT(Dong2),"",OFFSET(TH!C$1,SMALL(Dong2,ROWS($1:35)),))</f>
        <v>42718</v>
      </c>
      <c r="B46" s="194" t="str">
        <f ca="1">IF(ROWS($1:35)&gt;COUNT(Dong2),"",OFFSET(TH!D$1,SMALL(Dong2,ROWS($1:35)),))</f>
        <v>T12</v>
      </c>
      <c r="C46" s="194">
        <f ca="1">IF(ROWS($1:35)&gt;COUNT(Dong2),"",OFFSET(TH!E$1,SMALL(Dong2,ROWS($1:35)),))</f>
        <v>42718</v>
      </c>
      <c r="D46" s="353" t="str">
        <f ca="1">IF(ROWS($1:35)&gt;COUNT(Dong2),"",OFFSET(TH!F$1,SMALL(Dong2,ROWS($1:35)),))</f>
        <v>Rút tiền gửi NH nhập quỹ TM</v>
      </c>
      <c r="E46" s="194" t="str">
        <f ca="1">IF(ROWS($1:35)&gt;COUNT(Dong2),"",IF(OFFSET(TH!O$1,SMALL(Dong2,ROWS($1:35)),)=$I$6,OFFSET(TH!N$1,SMALL(Dong2,ROWS($1:35)),),OFFSET(TH!O$1,SMALL(Dong2,ROWS($1:35)),)))</f>
        <v>1111</v>
      </c>
      <c r="F46" s="1309">
        <f ca="1">IF(ROWS($1:35)&gt;COUNT(Dong2),"",IF(AND(IF($M$9="Q11",LEFT(OFFSET(TH!G$1,SMALL(Dong2,ROWS($1:35)),),3)=$M$9,LEFT(OFFSET(TH!G$1,SMALL(Dong2,ROWS($1:35)),),2)=$M$9),OFFSET(TH!N$1,SMALL(Dong2,ROWS($1:35)),)=$I$6),IF($I$6="1121",OFFSET(TH!M$1,SMALL(Dong2,ROWS($1:35)),),OFFSET(TH!K$1,SMALL(Dong2,ROWS($1:35)),)),0))</f>
        <v>0</v>
      </c>
      <c r="G46" s="1315">
        <f ca="1">IF(ROWS($1:35)&gt;COUNT(Dong2),"",IF(AND(IF($M$9="Q11",RIGHT(OFFSET(TH!G$1,SMALL(Dong2,ROWS($1:35)),),3)=$M$9,RIGHT(OFFSET(TH!G$1,SMALL(Dong2,ROWS($1:35)),),2)=$M$9),OFFSET(TH!O$1,SMALL(Dong2,ROWS($1:35)),)=$I$6),IF($I$6="1121",OFFSET(TH!M$1,SMALL(Dong2,ROWS($1:35)),),OFFSET(TH!K$1,SMALL(Dong2,ROWS($1:35)),)),0))</f>
        <v>3100000000</v>
      </c>
      <c r="H46" s="1322">
        <f t="shared" ca="1" si="3"/>
        <v>61022037</v>
      </c>
      <c r="I46" s="902"/>
      <c r="L46" s="177"/>
    </row>
    <row r="47" spans="1:17" s="184" customFormat="1" ht="23.25" customHeight="1">
      <c r="A47" s="194">
        <f ca="1">IF(ROWS($1:36)&gt;COUNT(Dong2),"",OFFSET(TH!C$1,SMALL(Dong2,ROWS($1:36)),))</f>
        <v>42720</v>
      </c>
      <c r="B47" s="194" t="str">
        <f ca="1">IF(ROWS($1:36)&gt;COUNT(Dong2),"",OFFSET(TH!D$1,SMALL(Dong2,ROWS($1:36)),))</f>
        <v>GBC</v>
      </c>
      <c r="C47" s="194">
        <f ca="1">IF(ROWS($1:36)&gt;COUNT(Dong2),"",OFFSET(TH!E$1,SMALL(Dong2,ROWS($1:36)),))</f>
        <v>42720</v>
      </c>
      <c r="D47" s="353" t="str">
        <f ca="1">IF(ROWS($1:36)&gt;COUNT(Dong2),"",OFFSET(TH!F$1,SMALL(Dong2,ROWS($1:36)),))</f>
        <v>Bán ngoại tệ</v>
      </c>
      <c r="E47" s="194" t="str">
        <f ca="1">IF(ROWS($1:36)&gt;COUNT(Dong2),"",IF(OFFSET(TH!O$1,SMALL(Dong2,ROWS($1:36)),)=$I$6,OFFSET(TH!N$1,SMALL(Dong2,ROWS($1:36)),),OFFSET(TH!O$1,SMALL(Dong2,ROWS($1:36)),)))</f>
        <v>1122</v>
      </c>
      <c r="F47" s="1309">
        <f ca="1">IF(ROWS($1:36)&gt;COUNT(Dong2),"",IF(AND(IF($M$9="Q11",LEFT(OFFSET(TH!G$1,SMALL(Dong2,ROWS($1:36)),),3)=$M$9,LEFT(OFFSET(TH!G$1,SMALL(Dong2,ROWS($1:36)),),2)=$M$9),OFFSET(TH!N$1,SMALL(Dong2,ROWS($1:36)),)=$I$6),IF($I$6="1121",OFFSET(TH!M$1,SMALL(Dong2,ROWS($1:36)),),OFFSET(TH!K$1,SMALL(Dong2,ROWS($1:36)),)),0))</f>
        <v>188327000</v>
      </c>
      <c r="G47" s="1315">
        <f ca="1">IF(ROWS($1:36)&gt;COUNT(Dong2),"",IF(AND(IF($M$9="Q11",RIGHT(OFFSET(TH!G$1,SMALL(Dong2,ROWS($1:36)),),3)=$M$9,RIGHT(OFFSET(TH!G$1,SMALL(Dong2,ROWS($1:36)),),2)=$M$9),OFFSET(TH!O$1,SMALL(Dong2,ROWS($1:36)),)=$I$6),IF($I$6="1121",OFFSET(TH!M$1,SMALL(Dong2,ROWS($1:36)),),OFFSET(TH!K$1,SMALL(Dong2,ROWS($1:36)),)),0))</f>
        <v>0</v>
      </c>
      <c r="H47" s="1322">
        <f t="shared" ca="1" si="3"/>
        <v>249349037</v>
      </c>
      <c r="I47" s="902"/>
      <c r="L47" s="177"/>
    </row>
    <row r="48" spans="1:17" s="184" customFormat="1" ht="23.25" customHeight="1">
      <c r="A48" s="194">
        <f ca="1">IF(ROWS($1:37)&gt;COUNT(Dong2),"",OFFSET(TH!C$1,SMALL(Dong2,ROWS($1:37)),))</f>
        <v>42720</v>
      </c>
      <c r="B48" s="194" t="str">
        <f ca="1">IF(ROWS($1:37)&gt;COUNT(Dong2),"",OFFSET(TH!D$1,SMALL(Dong2,ROWS($1:37)),))</f>
        <v>GBN</v>
      </c>
      <c r="C48" s="194">
        <f ca="1">IF(ROWS($1:37)&gt;COUNT(Dong2),"",OFFSET(TH!E$1,SMALL(Dong2,ROWS($1:37)),))</f>
        <v>42720</v>
      </c>
      <c r="D48" s="353" t="str">
        <f ca="1">IF(ROWS($1:37)&gt;COUNT(Dong2),"",OFFSET(TH!F$1,SMALL(Dong2,ROWS($1:37)),))</f>
        <v>Phí LC, phí xử lý bộ chứng từ</v>
      </c>
      <c r="E48" s="194" t="str">
        <f ca="1">IF(ROWS($1:37)&gt;COUNT(Dong2),"",IF(OFFSET(TH!O$1,SMALL(Dong2,ROWS($1:37)),)=$I$6,OFFSET(TH!N$1,SMALL(Dong2,ROWS($1:37)),),OFFSET(TH!O$1,SMALL(Dong2,ROWS($1:37)),)))</f>
        <v>642</v>
      </c>
      <c r="F48" s="1309">
        <f ca="1">IF(ROWS($1:37)&gt;COUNT(Dong2),"",IF(AND(IF($M$9="Q11",LEFT(OFFSET(TH!G$1,SMALL(Dong2,ROWS($1:37)),),3)=$M$9,LEFT(OFFSET(TH!G$1,SMALL(Dong2,ROWS($1:37)),),2)=$M$9),OFFSET(TH!N$1,SMALL(Dong2,ROWS($1:37)),)=$I$6),IF($I$6="1121",OFFSET(TH!M$1,SMALL(Dong2,ROWS($1:37)),),OFFSET(TH!K$1,SMALL(Dong2,ROWS($1:37)),)),0))</f>
        <v>0</v>
      </c>
      <c r="G48" s="1315">
        <f ca="1">IF(ROWS($1:37)&gt;COUNT(Dong2),"",IF(AND(IF($M$9="Q11",RIGHT(OFFSET(TH!G$1,SMALL(Dong2,ROWS($1:37)),),3)=$M$9,RIGHT(OFFSET(TH!G$1,SMALL(Dong2,ROWS($1:37)),),2)=$M$9),OFFSET(TH!O$1,SMALL(Dong2,ROWS($1:37)),)=$I$6),IF($I$6="1121",OFFSET(TH!M$1,SMALL(Dong2,ROWS($1:37)),),OFFSET(TH!K$1,SMALL(Dong2,ROWS($1:37)),)),0))</f>
        <v>1255957</v>
      </c>
      <c r="H48" s="1322">
        <f t="shared" ca="1" si="3"/>
        <v>248093080</v>
      </c>
      <c r="I48" s="902"/>
      <c r="L48" s="177"/>
    </row>
    <row r="49" spans="1:15" s="184" customFormat="1" ht="23.25" customHeight="1">
      <c r="A49" s="194">
        <f ca="1">IF(ROWS($1:38)&gt;COUNT(Dong2),"",OFFSET(TH!C$1,SMALL(Dong2,ROWS($1:38)),))</f>
        <v>42720</v>
      </c>
      <c r="B49" s="194" t="str">
        <f ca="1">IF(ROWS($1:38)&gt;COUNT(Dong2),"",OFFSET(TH!D$1,SMALL(Dong2,ROWS($1:38)),))</f>
        <v>GBN</v>
      </c>
      <c r="C49" s="194">
        <f ca="1">IF(ROWS($1:38)&gt;COUNT(Dong2),"",OFFSET(TH!E$1,SMALL(Dong2,ROWS($1:38)),))</f>
        <v>42720</v>
      </c>
      <c r="D49" s="353" t="str">
        <f ca="1">IF(ROWS($1:38)&gt;COUNT(Dong2),"",OFFSET(TH!F$1,SMALL(Dong2,ROWS($1:38)),))</f>
        <v>VAT Phí LC, phí xử lý bộ chứng từ</v>
      </c>
      <c r="E49" s="194" t="str">
        <f ca="1">IF(ROWS($1:38)&gt;COUNT(Dong2),"",IF(OFFSET(TH!O$1,SMALL(Dong2,ROWS($1:38)),)=$I$6,OFFSET(TH!N$1,SMALL(Dong2,ROWS($1:38)),),OFFSET(TH!O$1,SMALL(Dong2,ROWS($1:38)),)))</f>
        <v>1331</v>
      </c>
      <c r="F49" s="1309">
        <f ca="1">IF(ROWS($1:38)&gt;COUNT(Dong2),"",IF(AND(IF($M$9="Q11",LEFT(OFFSET(TH!G$1,SMALL(Dong2,ROWS($1:38)),),3)=$M$9,LEFT(OFFSET(TH!G$1,SMALL(Dong2,ROWS($1:38)),),2)=$M$9),OFFSET(TH!N$1,SMALL(Dong2,ROWS($1:38)),)=$I$6),IF($I$6="1121",OFFSET(TH!M$1,SMALL(Dong2,ROWS($1:38)),),OFFSET(TH!K$1,SMALL(Dong2,ROWS($1:38)),)),0))</f>
        <v>0</v>
      </c>
      <c r="G49" s="1315">
        <f ca="1">IF(ROWS($1:38)&gt;COUNT(Dong2),"",IF(AND(IF($M$9="Q11",RIGHT(OFFSET(TH!G$1,SMALL(Dong2,ROWS($1:38)),),3)=$M$9,RIGHT(OFFSET(TH!G$1,SMALL(Dong2,ROWS($1:38)),),2)=$M$9),OFFSET(TH!O$1,SMALL(Dong2,ROWS($1:38)),)=$I$6),IF($I$6="1121",OFFSET(TH!M$1,SMALL(Dong2,ROWS($1:38)),),OFFSET(TH!K$1,SMALL(Dong2,ROWS($1:38)),)),0))</f>
        <v>125596</v>
      </c>
      <c r="H49" s="1322">
        <f t="shared" ca="1" si="3"/>
        <v>247967484</v>
      </c>
      <c r="I49" s="902"/>
      <c r="L49" s="177"/>
    </row>
    <row r="50" spans="1:15" s="184" customFormat="1" ht="23.25" customHeight="1">
      <c r="A50" s="194">
        <f ca="1">IF(ROWS($1:39)&gt;COUNT(Dong2),"",OFFSET(TH!C$1,SMALL(Dong2,ROWS($1:39)),))</f>
        <v>42720</v>
      </c>
      <c r="B50" s="194" t="str">
        <f ca="1">IF(ROWS($1:39)&gt;COUNT(Dong2),"",OFFSET(TH!D$1,SMALL(Dong2,ROWS($1:39)),))</f>
        <v>T14</v>
      </c>
      <c r="C50" s="194">
        <f ca="1">IF(ROWS($1:39)&gt;COUNT(Dong2),"",OFFSET(TH!E$1,SMALL(Dong2,ROWS($1:39)),))</f>
        <v>42720</v>
      </c>
      <c r="D50" s="353" t="str">
        <f ca="1">IF(ROWS($1:39)&gt;COUNT(Dong2),"",OFFSET(TH!F$1,SMALL(Dong2,ROWS($1:39)),))</f>
        <v>Rút tiền gửi NH nhập quỹ TM</v>
      </c>
      <c r="E50" s="194" t="str">
        <f ca="1">IF(ROWS($1:39)&gt;COUNT(Dong2),"",IF(OFFSET(TH!O$1,SMALL(Dong2,ROWS($1:39)),)=$I$6,OFFSET(TH!N$1,SMALL(Dong2,ROWS($1:39)),),OFFSET(TH!O$1,SMALL(Dong2,ROWS($1:39)),)))</f>
        <v>1111</v>
      </c>
      <c r="F50" s="1309">
        <f ca="1">IF(ROWS($1:39)&gt;COUNT(Dong2),"",IF(AND(IF($M$9="Q11",LEFT(OFFSET(TH!G$1,SMALL(Dong2,ROWS($1:39)),),3)=$M$9,LEFT(OFFSET(TH!G$1,SMALL(Dong2,ROWS($1:39)),),2)=$M$9),OFFSET(TH!N$1,SMALL(Dong2,ROWS($1:39)),)=$I$6),IF($I$6="1121",OFFSET(TH!M$1,SMALL(Dong2,ROWS($1:39)),),OFFSET(TH!K$1,SMALL(Dong2,ROWS($1:39)),)),0))</f>
        <v>0</v>
      </c>
      <c r="G50" s="1315">
        <f ca="1">IF(ROWS($1:39)&gt;COUNT(Dong2),"",IF(AND(IF($M$9="Q11",RIGHT(OFFSET(TH!G$1,SMALL(Dong2,ROWS($1:39)),),3)=$M$9,RIGHT(OFFSET(TH!G$1,SMALL(Dong2,ROWS($1:39)),),2)=$M$9),OFFSET(TH!O$1,SMALL(Dong2,ROWS($1:39)),)=$I$6),IF($I$6="1121",OFFSET(TH!M$1,SMALL(Dong2,ROWS($1:39)),),OFFSET(TH!K$1,SMALL(Dong2,ROWS($1:39)),)),0))</f>
        <v>240000000</v>
      </c>
      <c r="H50" s="1322">
        <f t="shared" ca="1" si="3"/>
        <v>7967484</v>
      </c>
      <c r="I50" s="902"/>
      <c r="L50" s="177"/>
    </row>
    <row r="51" spans="1:15" s="184" customFormat="1" ht="23.25" customHeight="1">
      <c r="A51" s="194">
        <f ca="1">IF(ROWS($1:40)&gt;COUNT(Dong2),"",OFFSET(TH!C$1,SMALL(Dong2,ROWS($1:40)),))</f>
        <v>42726</v>
      </c>
      <c r="B51" s="194" t="str">
        <f ca="1">IF(ROWS($1:40)&gt;COUNT(Dong2),"",OFFSET(TH!D$1,SMALL(Dong2,ROWS($1:40)),))</f>
        <v>C76</v>
      </c>
      <c r="C51" s="194">
        <f ca="1">IF(ROWS($1:40)&gt;COUNT(Dong2),"",OFFSET(TH!E$1,SMALL(Dong2,ROWS($1:40)),))</f>
        <v>42726</v>
      </c>
      <c r="D51" s="353" t="str">
        <f ca="1">IF(ROWS($1:40)&gt;COUNT(Dong2),"",OFFSET(TH!F$1,SMALL(Dong2,ROWS($1:40)),))</f>
        <v>Nộp tiền mặt vào TK NH</v>
      </c>
      <c r="E51" s="194" t="str">
        <f ca="1">IF(ROWS($1:40)&gt;COUNT(Dong2),"",IF(OFFSET(TH!O$1,SMALL(Dong2,ROWS($1:40)),)=$I$6,OFFSET(TH!N$1,SMALL(Dong2,ROWS($1:40)),),OFFSET(TH!O$1,SMALL(Dong2,ROWS($1:40)),)))</f>
        <v>1111</v>
      </c>
      <c r="F51" s="1309">
        <f ca="1">IF(ROWS($1:40)&gt;COUNT(Dong2),"",IF(AND(IF($M$9="Q11",LEFT(OFFSET(TH!G$1,SMALL(Dong2,ROWS($1:40)),),3)=$M$9,LEFT(OFFSET(TH!G$1,SMALL(Dong2,ROWS($1:40)),),2)=$M$9),OFFSET(TH!N$1,SMALL(Dong2,ROWS($1:40)),)=$I$6),IF($I$6="1121",OFFSET(TH!M$1,SMALL(Dong2,ROWS($1:40)),),OFFSET(TH!K$1,SMALL(Dong2,ROWS($1:40)),)),0))</f>
        <v>50000000</v>
      </c>
      <c r="G51" s="1315">
        <f ca="1">IF(ROWS($1:40)&gt;COUNT(Dong2),"",IF(AND(IF($M$9="Q11",RIGHT(OFFSET(TH!G$1,SMALL(Dong2,ROWS($1:40)),),3)=$M$9,RIGHT(OFFSET(TH!G$1,SMALL(Dong2,ROWS($1:40)),),2)=$M$9),OFFSET(TH!O$1,SMALL(Dong2,ROWS($1:40)),)=$I$6),IF($I$6="1121",OFFSET(TH!M$1,SMALL(Dong2,ROWS($1:40)),),OFFSET(TH!K$1,SMALL(Dong2,ROWS($1:40)),)),0))</f>
        <v>0</v>
      </c>
      <c r="H51" s="1322">
        <f t="shared" ca="1" si="3"/>
        <v>57967484</v>
      </c>
      <c r="I51" s="902"/>
      <c r="L51" s="177"/>
      <c r="O51" s="900"/>
    </row>
    <row r="52" spans="1:15" s="184" customFormat="1" ht="23.25" customHeight="1">
      <c r="A52" s="194">
        <f ca="1">IF(ROWS($1:41)&gt;COUNT(Dong2),"",OFFSET(TH!C$1,SMALL(Dong2,ROWS($1:41)),))</f>
        <v>42726</v>
      </c>
      <c r="B52" s="194" t="str">
        <f ca="1">IF(ROWS($1:41)&gt;COUNT(Dong2),"",OFFSET(TH!D$1,SMALL(Dong2,ROWS($1:41)),))</f>
        <v>GBN</v>
      </c>
      <c r="C52" s="194">
        <f ca="1">IF(ROWS($1:41)&gt;COUNT(Dong2),"",OFFSET(TH!E$1,SMALL(Dong2,ROWS($1:41)),))</f>
        <v>42726</v>
      </c>
      <c r="D52" s="353" t="str">
        <f ca="1">IF(ROWS($1:41)&gt;COUNT(Dong2),"",OFFSET(TH!F$1,SMALL(Dong2,ROWS($1:41)),))</f>
        <v>Mua NT</v>
      </c>
      <c r="E52" s="194" t="str">
        <f ca="1">IF(ROWS($1:41)&gt;COUNT(Dong2),"",IF(OFFSET(TH!O$1,SMALL(Dong2,ROWS($1:41)),)=$I$6,OFFSET(TH!N$1,SMALL(Dong2,ROWS($1:41)),),OFFSET(TH!O$1,SMALL(Dong2,ROWS($1:41)),)))</f>
        <v>1122</v>
      </c>
      <c r="F52" s="1309">
        <f ca="1">IF(ROWS($1:41)&gt;COUNT(Dong2),"",IF(AND(IF($M$9="Q11",LEFT(OFFSET(TH!G$1,SMALL(Dong2,ROWS($1:41)),),3)=$M$9,LEFT(OFFSET(TH!G$1,SMALL(Dong2,ROWS($1:41)),),2)=$M$9),OFFSET(TH!N$1,SMALL(Dong2,ROWS($1:41)),)=$I$6),IF($I$6="1121",OFFSET(TH!M$1,SMALL(Dong2,ROWS($1:41)),),OFFSET(TH!K$1,SMALL(Dong2,ROWS($1:41)),)),0))</f>
        <v>0</v>
      </c>
      <c r="G52" s="1315">
        <f ca="1">IF(ROWS($1:41)&gt;COUNT(Dong2),"",IF(AND(IF($M$9="Q11",RIGHT(OFFSET(TH!G$1,SMALL(Dong2,ROWS($1:41)),),3)=$M$9,RIGHT(OFFSET(TH!G$1,SMALL(Dong2,ROWS($1:41)),),2)=$M$9),OFFSET(TH!O$1,SMALL(Dong2,ROWS($1:41)),)=$I$6),IF($I$6="1121",OFFSET(TH!M$1,SMALL(Dong2,ROWS($1:41)),),OFFSET(TH!K$1,SMALL(Dong2,ROWS($1:41)),)),0))</f>
        <v>45600000</v>
      </c>
      <c r="H52" s="1322">
        <f t="shared" ca="1" si="3"/>
        <v>12367484</v>
      </c>
      <c r="I52" s="902"/>
      <c r="L52" s="177"/>
    </row>
    <row r="53" spans="1:15" s="184" customFormat="1" ht="23.25" customHeight="1">
      <c r="A53" s="194">
        <f ca="1">IF(ROWS($1:42)&gt;COUNT(Dong2),"",OFFSET(TH!C$1,SMALL(Dong2,ROWS($1:42)),))</f>
        <v>42727</v>
      </c>
      <c r="B53" s="194" t="str">
        <f ca="1">IF(ROWS($1:42)&gt;COUNT(Dong2),"",OFFSET(TH!D$1,SMALL(Dong2,ROWS($1:42)),))</f>
        <v>GBN</v>
      </c>
      <c r="C53" s="194">
        <f ca="1">IF(ROWS($1:42)&gt;COUNT(Dong2),"",OFFSET(TH!E$1,SMALL(Dong2,ROWS($1:42)),))</f>
        <v>42727</v>
      </c>
      <c r="D53" s="353" t="str">
        <f ca="1">IF(ROWS($1:42)&gt;COUNT(Dong2),"",OFFSET(TH!F$1,SMALL(Dong2,ROWS($1:42)),))</f>
        <v>Phí NH 1027116000239</v>
      </c>
      <c r="E53" s="194" t="str">
        <f ca="1">IF(ROWS($1:42)&gt;COUNT(Dong2),"",IF(OFFSET(TH!O$1,SMALL(Dong2,ROWS($1:42)),)=$I$6,OFFSET(TH!N$1,SMALL(Dong2,ROWS($1:42)),),OFFSET(TH!O$1,SMALL(Dong2,ROWS($1:42)),)))</f>
        <v>642</v>
      </c>
      <c r="F53" s="1309">
        <f ca="1">IF(ROWS($1:42)&gt;COUNT(Dong2),"",IF(AND(IF($M$9="Q11",LEFT(OFFSET(TH!G$1,SMALL(Dong2,ROWS($1:42)),),3)=$M$9,LEFT(OFFSET(TH!G$1,SMALL(Dong2,ROWS($1:42)),),2)=$M$9),OFFSET(TH!N$1,SMALL(Dong2,ROWS($1:42)),)=$I$6),IF($I$6="1121",OFFSET(TH!M$1,SMALL(Dong2,ROWS($1:42)),),OFFSET(TH!K$1,SMALL(Dong2,ROWS($1:42)),)),0))</f>
        <v>0</v>
      </c>
      <c r="G53" s="1315">
        <f ca="1">IF(ROWS($1:42)&gt;COUNT(Dong2),"",IF(AND(IF($M$9="Q11",RIGHT(OFFSET(TH!G$1,SMALL(Dong2,ROWS($1:42)),),3)=$M$9,RIGHT(OFFSET(TH!G$1,SMALL(Dong2,ROWS($1:42)),),2)=$M$9),OFFSET(TH!O$1,SMALL(Dong2,ROWS($1:42)),)=$I$6),IF($I$6="1121",OFFSET(TH!M$1,SMALL(Dong2,ROWS($1:42)),),OFFSET(TH!K$1,SMALL(Dong2,ROWS($1:42)),)),0))</f>
        <v>228000</v>
      </c>
      <c r="H53" s="1322">
        <f t="shared" ca="1" si="3"/>
        <v>12139484</v>
      </c>
      <c r="I53" s="902"/>
      <c r="L53" s="177"/>
    </row>
    <row r="54" spans="1:15" s="184" customFormat="1" ht="23.25" customHeight="1">
      <c r="A54" s="194">
        <f ca="1">IF(ROWS($1:43)&gt;COUNT(Dong2),"",OFFSET(TH!C$1,SMALL(Dong2,ROWS($1:43)),))</f>
        <v>42729</v>
      </c>
      <c r="B54" s="194" t="str">
        <f ca="1">IF(ROWS($1:43)&gt;COUNT(Dong2),"",OFFSET(TH!D$1,SMALL(Dong2,ROWS($1:43)),))</f>
        <v>GBC</v>
      </c>
      <c r="C54" s="194">
        <f ca="1">IF(ROWS($1:43)&gt;COUNT(Dong2),"",OFFSET(TH!E$1,SMALL(Dong2,ROWS($1:43)),))</f>
        <v>42729</v>
      </c>
      <c r="D54" s="353" t="str">
        <f ca="1">IF(ROWS($1:43)&gt;COUNT(Dong2),"",OFFSET(TH!F$1,SMALL(Dong2,ROWS($1:43)),))</f>
        <v>Lãi tiền gửi</v>
      </c>
      <c r="E54" s="194" t="str">
        <f ca="1">IF(ROWS($1:43)&gt;COUNT(Dong2),"",IF(OFFSET(TH!O$1,SMALL(Dong2,ROWS($1:43)),)=$I$6,OFFSET(TH!N$1,SMALL(Dong2,ROWS($1:43)),),OFFSET(TH!O$1,SMALL(Dong2,ROWS($1:43)),)))</f>
        <v>515</v>
      </c>
      <c r="F54" s="1309">
        <f ca="1">IF(ROWS($1:43)&gt;COUNT(Dong2),"",IF(AND(IF($M$9="Q11",LEFT(OFFSET(TH!G$1,SMALL(Dong2,ROWS($1:43)),),3)=$M$9,LEFT(OFFSET(TH!G$1,SMALL(Dong2,ROWS($1:43)),),2)=$M$9),OFFSET(TH!N$1,SMALL(Dong2,ROWS($1:43)),)=$I$6),IF($I$6="1121",OFFSET(TH!M$1,SMALL(Dong2,ROWS($1:43)),),OFFSET(TH!K$1,SMALL(Dong2,ROWS($1:43)),)),0))</f>
        <v>49472</v>
      </c>
      <c r="G54" s="1315">
        <f ca="1">IF(ROWS($1:43)&gt;COUNT(Dong2),"",IF(AND(IF($M$9="Q11",RIGHT(OFFSET(TH!G$1,SMALL(Dong2,ROWS($1:43)),),3)=$M$9,RIGHT(OFFSET(TH!G$1,SMALL(Dong2,ROWS($1:43)),),2)=$M$9),OFFSET(TH!O$1,SMALL(Dong2,ROWS($1:43)),)=$I$6),IF($I$6="1121",OFFSET(TH!M$1,SMALL(Dong2,ROWS($1:43)),),OFFSET(TH!K$1,SMALL(Dong2,ROWS($1:43)),)),0))</f>
        <v>0</v>
      </c>
      <c r="H54" s="1322">
        <f t="shared" ca="1" si="3"/>
        <v>12188956</v>
      </c>
      <c r="I54" s="902"/>
      <c r="L54" s="177"/>
    </row>
    <row r="55" spans="1:15" s="184" customFormat="1" ht="23.25" customHeight="1">
      <c r="A55" s="194">
        <f ca="1">IF(ROWS($1:44)&gt;COUNT(Dong2),"",OFFSET(TH!C$1,SMALL(Dong2,ROWS($1:44)),))</f>
        <v>42732</v>
      </c>
      <c r="B55" s="194" t="str">
        <f ca="1">IF(ROWS($1:44)&gt;COUNT(Dong2),"",OFFSET(TH!D$1,SMALL(Dong2,ROWS($1:44)),))</f>
        <v>GBN</v>
      </c>
      <c r="C55" s="194">
        <f ca="1">IF(ROWS($1:44)&gt;COUNT(Dong2),"",OFFSET(TH!E$1,SMALL(Dong2,ROWS($1:44)),))</f>
        <v>42732</v>
      </c>
      <c r="D55" s="353" t="str">
        <f ca="1">IF(ROWS($1:44)&gt;COUNT(Dong2),"",OFFSET(TH!F$1,SMALL(Dong2,ROWS($1:44)),))</f>
        <v>Phí NH 1027116000239</v>
      </c>
      <c r="E55" s="194" t="str">
        <f ca="1">IF(ROWS($1:44)&gt;COUNT(Dong2),"",IF(OFFSET(TH!O$1,SMALL(Dong2,ROWS($1:44)),)=$I$6,OFFSET(TH!N$1,SMALL(Dong2,ROWS($1:44)),),OFFSET(TH!O$1,SMALL(Dong2,ROWS($1:44)),)))</f>
        <v>642</v>
      </c>
      <c r="F55" s="1309">
        <f ca="1">IF(ROWS($1:44)&gt;COUNT(Dong2),"",IF(AND(IF($M$9="Q11",LEFT(OFFSET(TH!G$1,SMALL(Dong2,ROWS($1:44)),),3)=$M$9,LEFT(OFFSET(TH!G$1,SMALL(Dong2,ROWS($1:44)),),2)=$M$9),OFFSET(TH!N$1,SMALL(Dong2,ROWS($1:44)),)=$I$6),IF($I$6="1121",OFFSET(TH!M$1,SMALL(Dong2,ROWS($1:44)),),OFFSET(TH!K$1,SMALL(Dong2,ROWS($1:44)),)),0))</f>
        <v>0</v>
      </c>
      <c r="G55" s="1315">
        <f ca="1">IF(ROWS($1:44)&gt;COUNT(Dong2),"",IF(AND(IF($M$9="Q11",RIGHT(OFFSET(TH!G$1,SMALL(Dong2,ROWS($1:44)),),3)=$M$9,RIGHT(OFFSET(TH!G$1,SMALL(Dong2,ROWS($1:44)),),2)=$M$9),OFFSET(TH!O$1,SMALL(Dong2,ROWS($1:44)),)=$I$6),IF($I$6="1121",OFFSET(TH!M$1,SMALL(Dong2,ROWS($1:44)),),OFFSET(TH!K$1,SMALL(Dong2,ROWS($1:44)),)),0))</f>
        <v>228000</v>
      </c>
      <c r="H55" s="1322">
        <f t="shared" ca="1" si="3"/>
        <v>11960956</v>
      </c>
      <c r="I55" s="902"/>
      <c r="L55" s="177"/>
      <c r="O55" s="900"/>
    </row>
    <row r="56" spans="1:15" s="184" customFormat="1" ht="23.25" customHeight="1">
      <c r="A56" s="194">
        <f ca="1">IF(ROWS($1:45)&gt;COUNT(Dong2),"",OFFSET(TH!C$1,SMALL(Dong2,ROWS($1:45)),))</f>
        <v>42733</v>
      </c>
      <c r="B56" s="194" t="str">
        <f ca="1">IF(ROWS($1:45)&gt;COUNT(Dong2),"",OFFSET(TH!D$1,SMALL(Dong2,ROWS($1:45)),))</f>
        <v>GBC</v>
      </c>
      <c r="C56" s="194">
        <f ca="1">IF(ROWS($1:45)&gt;COUNT(Dong2),"",OFFSET(TH!E$1,SMALL(Dong2,ROWS($1:45)),))</f>
        <v>42733</v>
      </c>
      <c r="D56" s="353" t="str">
        <f ca="1">IF(ROWS($1:45)&gt;COUNT(Dong2),"",OFFSET(TH!F$1,SMALL(Dong2,ROWS($1:45)),))</f>
        <v>Vay</v>
      </c>
      <c r="E56" s="194" t="str">
        <f ca="1">IF(ROWS($1:45)&gt;COUNT(Dong2),"",IF(OFFSET(TH!O$1,SMALL(Dong2,ROWS($1:45)),)=$I$6,OFFSET(TH!N$1,SMALL(Dong2,ROWS($1:45)),),OFFSET(TH!O$1,SMALL(Dong2,ROWS($1:45)),)))</f>
        <v>3412</v>
      </c>
      <c r="F56" s="1309">
        <f ca="1">IF(ROWS($1:45)&gt;COUNT(Dong2),"",IF(AND(IF($M$9="Q11",LEFT(OFFSET(TH!G$1,SMALL(Dong2,ROWS($1:45)),),3)=$M$9,LEFT(OFFSET(TH!G$1,SMALL(Dong2,ROWS($1:45)),),2)=$M$9),OFFSET(TH!N$1,SMALL(Dong2,ROWS($1:45)),)=$I$6),IF($I$6="1121",OFFSET(TH!M$1,SMALL(Dong2,ROWS($1:45)),),OFFSET(TH!K$1,SMALL(Dong2,ROWS($1:45)),)),0))</f>
        <v>1934600000</v>
      </c>
      <c r="G56" s="1315">
        <f ca="1">IF(ROWS($1:45)&gt;COUNT(Dong2),"",IF(AND(IF($M$9="Q11",RIGHT(OFFSET(TH!G$1,SMALL(Dong2,ROWS($1:45)),),3)=$M$9,RIGHT(OFFSET(TH!G$1,SMALL(Dong2,ROWS($1:45)),),2)=$M$9),OFFSET(TH!O$1,SMALL(Dong2,ROWS($1:45)),)=$I$6),IF($I$6="1121",OFFSET(TH!M$1,SMALL(Dong2,ROWS($1:45)),),OFFSET(TH!K$1,SMALL(Dong2,ROWS($1:45)),)),0))</f>
        <v>0</v>
      </c>
      <c r="H56" s="1322">
        <f t="shared" ca="1" si="3"/>
        <v>1946560956</v>
      </c>
      <c r="I56" s="902"/>
      <c r="L56" s="177"/>
    </row>
    <row r="57" spans="1:15" s="184" customFormat="1" ht="23.25" hidden="1" customHeight="1">
      <c r="A57" s="194">
        <f ca="1">IF(ROWS($1:46)&gt;COUNT(Dong2),"",OFFSET(TH!C$1,SMALL(Dong2,ROWS($1:46)),))</f>
        <v>42733</v>
      </c>
      <c r="B57" s="194" t="str">
        <f ca="1">IF(ROWS($1:46)&gt;COUNT(Dong2),"",OFFSET(TH!D$1,SMALL(Dong2,ROWS($1:46)),))</f>
        <v>GBN</v>
      </c>
      <c r="C57" s="194">
        <f ca="1">IF(ROWS($1:46)&gt;COUNT(Dong2),"",OFFSET(TH!E$1,SMALL(Dong2,ROWS($1:46)),))</f>
        <v>42733</v>
      </c>
      <c r="D57" s="353" t="str">
        <f ca="1">IF(ROWS($1:46)&gt;COUNT(Dong2),"",OFFSET(TH!F$1,SMALL(Dong2,ROWS($1:46)),))</f>
        <v>Phí NH 1021316001212</v>
      </c>
      <c r="E57" s="194" t="str">
        <f ca="1">IF(ROWS($1:46)&gt;COUNT(Dong2),"",IF(OFFSET(TH!O$1,SMALL(Dong2,ROWS($1:46)),)=$I$6,OFFSET(TH!N$1,SMALL(Dong2,ROWS($1:46)),),OFFSET(TH!O$1,SMALL(Dong2,ROWS($1:46)),)))</f>
        <v>642</v>
      </c>
      <c r="F57" s="1309">
        <f ca="1">IF(ROWS($1:46)&gt;COUNT(Dong2),"",IF(AND(IF($M$9="Q11",LEFT(OFFSET(TH!G$1,SMALL(Dong2,ROWS($1:46)),),3)=$M$9,LEFT(OFFSET(TH!G$1,SMALL(Dong2,ROWS($1:46)),),2)=$M$9),OFFSET(TH!N$1,SMALL(Dong2,ROWS($1:46)),)=$I$6),IF($I$6="1121",OFFSET(TH!M$1,SMALL(Dong2,ROWS($1:46)),),OFFSET(TH!K$1,SMALL(Dong2,ROWS($1:46)),)),0))</f>
        <v>0</v>
      </c>
      <c r="G57" s="1315">
        <f ca="1">IF(ROWS($1:46)&gt;COUNT(Dong2),"",IF(AND(IF($M$9="Q11",RIGHT(OFFSET(TH!G$1,SMALL(Dong2,ROWS($1:46)),),3)=$M$9,RIGHT(OFFSET(TH!G$1,SMALL(Dong2,ROWS($1:46)),),2)=$M$9),OFFSET(TH!O$1,SMALL(Dong2,ROWS($1:46)),)=$I$6),IF($I$6="1121",OFFSET(TH!M$1,SMALL(Dong2,ROWS($1:46)),),OFFSET(TH!K$1,SMALL(Dong2,ROWS($1:46)),)),0))</f>
        <v>2280000</v>
      </c>
      <c r="H57" s="1322">
        <f t="shared" ca="1" si="3"/>
        <v>1944280956</v>
      </c>
      <c r="I57" s="902"/>
      <c r="L57" s="177"/>
      <c r="O57" s="1088"/>
    </row>
    <row r="58" spans="1:15" s="184" customFormat="1" ht="23.25" hidden="1" customHeight="1">
      <c r="A58" s="194">
        <f ca="1">IF(ROWS($1:47)&gt;COUNT(Dong2),"",OFFSET(TH!C$1,SMALL(Dong2,ROWS($1:47)),))</f>
        <v>42733</v>
      </c>
      <c r="B58" s="194" t="str">
        <f ca="1">IF(ROWS($1:47)&gt;COUNT(Dong2),"",OFFSET(TH!D$1,SMALL(Dong2,ROWS($1:47)),))</f>
        <v>GBN</v>
      </c>
      <c r="C58" s="194">
        <f ca="1">IF(ROWS($1:47)&gt;COUNT(Dong2),"",OFFSET(TH!E$1,SMALL(Dong2,ROWS($1:47)),))</f>
        <v>42733</v>
      </c>
      <c r="D58" s="353" t="str">
        <f ca="1">IF(ROWS($1:47)&gt;COUNT(Dong2),"",OFFSET(TH!F$1,SMALL(Dong2,ROWS($1:47)),))</f>
        <v>VAT Phí NH 1021316001212</v>
      </c>
      <c r="E58" s="194" t="str">
        <f ca="1">IF(ROWS($1:47)&gt;COUNT(Dong2),"",IF(OFFSET(TH!O$1,SMALL(Dong2,ROWS($1:47)),)=$I$6,OFFSET(TH!N$1,SMALL(Dong2,ROWS($1:47)),),OFFSET(TH!O$1,SMALL(Dong2,ROWS($1:47)),)))</f>
        <v>1331</v>
      </c>
      <c r="F58" s="1309">
        <f ca="1">IF(ROWS($1:47)&gt;COUNT(Dong2),"",IF(AND(IF($M$9="Q11",LEFT(OFFSET(TH!G$1,SMALL(Dong2,ROWS($1:47)),),3)=$M$9,LEFT(OFFSET(TH!G$1,SMALL(Dong2,ROWS($1:47)),),2)=$M$9),OFFSET(TH!N$1,SMALL(Dong2,ROWS($1:47)),)=$I$6),IF($I$6="1121",OFFSET(TH!M$1,SMALL(Dong2,ROWS($1:47)),),OFFSET(TH!K$1,SMALL(Dong2,ROWS($1:47)),)),0))</f>
        <v>0</v>
      </c>
      <c r="G58" s="1315">
        <f ca="1">IF(ROWS($1:47)&gt;COUNT(Dong2),"",IF(AND(IF($M$9="Q11",RIGHT(OFFSET(TH!G$1,SMALL(Dong2,ROWS($1:47)),),3)=$M$9,RIGHT(OFFSET(TH!G$1,SMALL(Dong2,ROWS($1:47)),),2)=$M$9),OFFSET(TH!O$1,SMALL(Dong2,ROWS($1:47)),)=$I$6),IF($I$6="1121",OFFSET(TH!M$1,SMALL(Dong2,ROWS($1:47)),),OFFSET(TH!K$1,SMALL(Dong2,ROWS($1:47)),)),0))</f>
        <v>228000</v>
      </c>
      <c r="H58" s="1322">
        <f t="shared" ca="1" si="3"/>
        <v>1944052956</v>
      </c>
      <c r="I58" s="902"/>
      <c r="L58" s="177"/>
    </row>
    <row r="59" spans="1:15" s="184" customFormat="1" ht="23.25" hidden="1" customHeight="1">
      <c r="A59" s="194">
        <f ca="1">IF(ROWS($1:48)&gt;COUNT(Dong2),"",OFFSET(TH!C$1,SMALL(Dong2,ROWS($1:48)),))</f>
        <v>42734</v>
      </c>
      <c r="B59" s="194" t="str">
        <f ca="1">IF(ROWS($1:48)&gt;COUNT(Dong2),"",OFFSET(TH!D$1,SMALL(Dong2,ROWS($1:48)),))</f>
        <v>T22</v>
      </c>
      <c r="C59" s="194">
        <f ca="1">IF(ROWS($1:48)&gt;COUNT(Dong2),"",OFFSET(TH!E$1,SMALL(Dong2,ROWS($1:48)),))</f>
        <v>42734</v>
      </c>
      <c r="D59" s="353" t="str">
        <f ca="1">IF(ROWS($1:48)&gt;COUNT(Dong2),"",OFFSET(TH!F$1,SMALL(Dong2,ROWS($1:48)),))</f>
        <v>Rút tiền gửi NH nhập quỹ TM</v>
      </c>
      <c r="E59" s="194" t="str">
        <f ca="1">IF(ROWS($1:48)&gt;COUNT(Dong2),"",IF(OFFSET(TH!O$1,SMALL(Dong2,ROWS($1:48)),)=$I$6,OFFSET(TH!N$1,SMALL(Dong2,ROWS($1:48)),),OFFSET(TH!O$1,SMALL(Dong2,ROWS($1:48)),)))</f>
        <v>1111</v>
      </c>
      <c r="F59" s="1309">
        <f ca="1">IF(ROWS($1:48)&gt;COUNT(Dong2),"",IF(AND(IF($M$9="Q11",LEFT(OFFSET(TH!G$1,SMALL(Dong2,ROWS($1:48)),),3)=$M$9,LEFT(OFFSET(TH!G$1,SMALL(Dong2,ROWS($1:48)),),2)=$M$9),OFFSET(TH!N$1,SMALL(Dong2,ROWS($1:48)),)=$I$6),IF($I$6="1121",OFFSET(TH!M$1,SMALL(Dong2,ROWS($1:48)),),OFFSET(TH!K$1,SMALL(Dong2,ROWS($1:48)),)),0))</f>
        <v>0</v>
      </c>
      <c r="G59" s="1315">
        <f ca="1">IF(ROWS($1:48)&gt;COUNT(Dong2),"",IF(AND(IF($M$9="Q11",RIGHT(OFFSET(TH!G$1,SMALL(Dong2,ROWS($1:48)),),3)=$M$9,RIGHT(OFFSET(TH!G$1,SMALL(Dong2,ROWS($1:48)),),2)=$M$9),OFFSET(TH!O$1,SMALL(Dong2,ROWS($1:48)),)=$I$6),IF($I$6="1121",OFFSET(TH!M$1,SMALL(Dong2,ROWS($1:48)),),OFFSET(TH!K$1,SMALL(Dong2,ROWS($1:48)),)),0))</f>
        <v>1940000000</v>
      </c>
      <c r="H59" s="1322">
        <f t="shared" ca="1" si="3"/>
        <v>4052956</v>
      </c>
      <c r="I59" s="902"/>
      <c r="L59" s="177"/>
    </row>
    <row r="60" spans="1:15" s="184" customFormat="1" ht="23.25" hidden="1" customHeight="1">
      <c r="A60" s="194" t="str">
        <f ca="1">IF(ROWS($1:49)&gt;COUNT(Dong2),"",OFFSET(TH!C$1,SMALL(Dong2,ROWS($1:49)),))</f>
        <v/>
      </c>
      <c r="B60" s="194" t="str">
        <f ca="1">IF(ROWS($1:49)&gt;COUNT(Dong2),"",OFFSET(TH!D$1,SMALL(Dong2,ROWS($1:49)),))</f>
        <v/>
      </c>
      <c r="C60" s="194" t="str">
        <f ca="1">IF(ROWS($1:49)&gt;COUNT(Dong2),"",OFFSET(TH!E$1,SMALL(Dong2,ROWS($1:49)),))</f>
        <v/>
      </c>
      <c r="D60" s="353" t="str">
        <f ca="1">IF(ROWS($1:49)&gt;COUNT(Dong2),"",OFFSET(TH!F$1,SMALL(Dong2,ROWS($1:49)),))</f>
        <v/>
      </c>
      <c r="E60" s="194" t="str">
        <f ca="1">IF(ROWS($1:49)&gt;COUNT(Dong2),"",IF(OFFSET(TH!O$1,SMALL(Dong2,ROWS($1:49)),)=$I$6,OFFSET(TH!N$1,SMALL(Dong2,ROWS($1:49)),),OFFSET(TH!O$1,SMALL(Dong2,ROWS($1:49)),)))</f>
        <v/>
      </c>
      <c r="F60" s="1309" t="str">
        <f ca="1">IF(ROWS($1:49)&gt;COUNT(Dong2),"",IF(AND(IF($M$9="Q11",LEFT(OFFSET(TH!G$1,SMALL(Dong2,ROWS($1:49)),),3)=$M$9,LEFT(OFFSET(TH!G$1,SMALL(Dong2,ROWS($1:49)),),2)=$M$9),OFFSET(TH!N$1,SMALL(Dong2,ROWS($1:49)),)=$I$6),IF($I$6="1121",OFFSET(TH!M$1,SMALL(Dong2,ROWS($1:49)),),OFFSET(TH!K$1,SMALL(Dong2,ROWS($1:49)),)),0))</f>
        <v/>
      </c>
      <c r="G60" s="1315" t="str">
        <f ca="1">IF(ROWS($1:49)&gt;COUNT(Dong2),"",IF(AND(IF($M$9="Q11",RIGHT(OFFSET(TH!G$1,SMALL(Dong2,ROWS($1:49)),),3)=$M$9,RIGHT(OFFSET(TH!G$1,SMALL(Dong2,ROWS($1:49)),),2)=$M$9),OFFSET(TH!O$1,SMALL(Dong2,ROWS($1:49)),)=$I$6),IF($I$6="1121",OFFSET(TH!M$1,SMALL(Dong2,ROWS($1:49)),),OFFSET(TH!K$1,SMALL(Dong2,ROWS($1:49)),)),0))</f>
        <v/>
      </c>
      <c r="H60" s="1322">
        <f t="shared" ca="1" si="3"/>
        <v>0</v>
      </c>
      <c r="I60" s="902"/>
      <c r="L60" s="177"/>
    </row>
    <row r="61" spans="1:15" s="184" customFormat="1" ht="23.25" hidden="1" customHeight="1">
      <c r="A61" s="194" t="str">
        <f ca="1">IF(ROWS($1:50)&gt;COUNT(Dong2),"",OFFSET(TH!C$1,SMALL(Dong2,ROWS($1:50)),))</f>
        <v/>
      </c>
      <c r="B61" s="194" t="str">
        <f ca="1">IF(ROWS($1:50)&gt;COUNT(Dong2),"",OFFSET(TH!D$1,SMALL(Dong2,ROWS($1:50)),))</f>
        <v/>
      </c>
      <c r="C61" s="194" t="str">
        <f ca="1">IF(ROWS($1:50)&gt;COUNT(Dong2),"",OFFSET(TH!E$1,SMALL(Dong2,ROWS($1:50)),))</f>
        <v/>
      </c>
      <c r="D61" s="353" t="str">
        <f ca="1">IF(ROWS($1:50)&gt;COUNT(Dong2),"",OFFSET(TH!F$1,SMALL(Dong2,ROWS($1:50)),))</f>
        <v/>
      </c>
      <c r="E61" s="194" t="str">
        <f ca="1">IF(ROWS($1:50)&gt;COUNT(Dong2),"",IF(OFFSET(TH!O$1,SMALL(Dong2,ROWS($1:50)),)=$I$6,OFFSET(TH!N$1,SMALL(Dong2,ROWS($1:50)),),OFFSET(TH!O$1,SMALL(Dong2,ROWS($1:50)),)))</f>
        <v/>
      </c>
      <c r="F61" s="1309" t="str">
        <f ca="1">IF(ROWS($1:50)&gt;COUNT(Dong2),"",IF(AND(IF($M$9="Q11",LEFT(OFFSET(TH!G$1,SMALL(Dong2,ROWS($1:50)),),3)=$M$9,LEFT(OFFSET(TH!G$1,SMALL(Dong2,ROWS($1:50)),),2)=$M$9),OFFSET(TH!N$1,SMALL(Dong2,ROWS($1:50)),)=$I$6),IF($I$6="1121",OFFSET(TH!M$1,SMALL(Dong2,ROWS($1:50)),),OFFSET(TH!K$1,SMALL(Dong2,ROWS($1:50)),)),0))</f>
        <v/>
      </c>
      <c r="G61" s="1315" t="str">
        <f ca="1">IF(ROWS($1:50)&gt;COUNT(Dong2),"",IF(AND(IF($M$9="Q11",RIGHT(OFFSET(TH!G$1,SMALL(Dong2,ROWS($1:50)),),3)=$M$9,RIGHT(OFFSET(TH!G$1,SMALL(Dong2,ROWS($1:50)),),2)=$M$9),OFFSET(TH!O$1,SMALL(Dong2,ROWS($1:50)),)=$I$6),IF($I$6="1121",OFFSET(TH!M$1,SMALL(Dong2,ROWS($1:50)),),OFFSET(TH!K$1,SMALL(Dong2,ROWS($1:50)),)),0))</f>
        <v/>
      </c>
      <c r="H61" s="1322">
        <f t="shared" ca="1" si="3"/>
        <v>0</v>
      </c>
      <c r="I61" s="902"/>
      <c r="L61" s="177"/>
    </row>
    <row r="62" spans="1:15" s="184" customFormat="1" ht="23.25" hidden="1" customHeight="1">
      <c r="A62" s="194" t="str">
        <f ca="1">IF(ROWS($1:51)&gt;COUNT(Dong2),"",OFFSET(TH!C$1,SMALL(Dong2,ROWS($1:51)),))</f>
        <v/>
      </c>
      <c r="B62" s="194" t="str">
        <f ca="1">IF(ROWS($1:51)&gt;COUNT(Dong2),"",OFFSET(TH!D$1,SMALL(Dong2,ROWS($1:51)),))</f>
        <v/>
      </c>
      <c r="C62" s="194" t="str">
        <f ca="1">IF(ROWS($1:51)&gt;COUNT(Dong2),"",OFFSET(TH!E$1,SMALL(Dong2,ROWS($1:51)),))</f>
        <v/>
      </c>
      <c r="D62" s="353" t="str">
        <f ca="1">IF(ROWS($1:51)&gt;COUNT(Dong2),"",OFFSET(TH!F$1,SMALL(Dong2,ROWS($1:51)),))</f>
        <v/>
      </c>
      <c r="E62" s="194" t="str">
        <f ca="1">IF(ROWS($1:51)&gt;COUNT(Dong2),"",IF(OFFSET(TH!O$1,SMALL(Dong2,ROWS($1:51)),)=$I$6,OFFSET(TH!N$1,SMALL(Dong2,ROWS($1:51)),),OFFSET(TH!O$1,SMALL(Dong2,ROWS($1:51)),)))</f>
        <v/>
      </c>
      <c r="F62" s="1309" t="str">
        <f ca="1">IF(ROWS($1:51)&gt;COUNT(Dong2),"",IF(AND(IF($M$9="Q11",LEFT(OFFSET(TH!G$1,SMALL(Dong2,ROWS($1:51)),),3)=$M$9,LEFT(OFFSET(TH!G$1,SMALL(Dong2,ROWS($1:51)),),2)=$M$9),OFFSET(TH!N$1,SMALL(Dong2,ROWS($1:51)),)=$I$6),IF($I$6="1121",OFFSET(TH!M$1,SMALL(Dong2,ROWS($1:51)),),OFFSET(TH!K$1,SMALL(Dong2,ROWS($1:51)),)),0))</f>
        <v/>
      </c>
      <c r="G62" s="1315" t="str">
        <f ca="1">IF(ROWS($1:51)&gt;COUNT(Dong2),"",IF(AND(IF($M$9="Q11",RIGHT(OFFSET(TH!G$1,SMALL(Dong2,ROWS($1:51)),),3)=$M$9,RIGHT(OFFSET(TH!G$1,SMALL(Dong2,ROWS($1:51)),),2)=$M$9),OFFSET(TH!O$1,SMALL(Dong2,ROWS($1:51)),)=$I$6),IF($I$6="1121",OFFSET(TH!M$1,SMALL(Dong2,ROWS($1:51)),),OFFSET(TH!K$1,SMALL(Dong2,ROWS($1:51)),)),0))</f>
        <v/>
      </c>
      <c r="H62" s="1322">
        <f t="shared" ca="1" si="3"/>
        <v>0</v>
      </c>
      <c r="I62" s="902"/>
      <c r="L62" s="177"/>
    </row>
    <row r="63" spans="1:15" s="184" customFormat="1" ht="23.25" hidden="1" customHeight="1">
      <c r="A63" s="194" t="str">
        <f ca="1">IF(ROWS($1:52)&gt;COUNT(Dong2),"",OFFSET(TH!C$1,SMALL(Dong2,ROWS($1:52)),))</f>
        <v/>
      </c>
      <c r="B63" s="194" t="str">
        <f ca="1">IF(ROWS($1:52)&gt;COUNT(Dong2),"",OFFSET(TH!D$1,SMALL(Dong2,ROWS($1:52)),))</f>
        <v/>
      </c>
      <c r="C63" s="194" t="str">
        <f ca="1">IF(ROWS($1:52)&gt;COUNT(Dong2),"",OFFSET(TH!E$1,SMALL(Dong2,ROWS($1:52)),))</f>
        <v/>
      </c>
      <c r="D63" s="353" t="str">
        <f ca="1">IF(ROWS($1:52)&gt;COUNT(Dong2),"",OFFSET(TH!F$1,SMALL(Dong2,ROWS($1:52)),))</f>
        <v/>
      </c>
      <c r="E63" s="194" t="str">
        <f ca="1">IF(ROWS($1:52)&gt;COUNT(Dong2),"",IF(OFFSET(TH!O$1,SMALL(Dong2,ROWS($1:52)),)=$I$6,OFFSET(TH!N$1,SMALL(Dong2,ROWS($1:52)),),OFFSET(TH!O$1,SMALL(Dong2,ROWS($1:52)),)))</f>
        <v/>
      </c>
      <c r="F63" s="1309" t="str">
        <f ca="1">IF(ROWS($1:52)&gt;COUNT(Dong2),"",IF(AND(IF($M$9="Q11",LEFT(OFFSET(TH!G$1,SMALL(Dong2,ROWS($1:52)),),3)=$M$9,LEFT(OFFSET(TH!G$1,SMALL(Dong2,ROWS($1:52)),),2)=$M$9),OFFSET(TH!N$1,SMALL(Dong2,ROWS($1:52)),)=$I$6),IF($I$6="1121",OFFSET(TH!M$1,SMALL(Dong2,ROWS($1:52)),),OFFSET(TH!K$1,SMALL(Dong2,ROWS($1:52)),)),0))</f>
        <v/>
      </c>
      <c r="G63" s="1315" t="str">
        <f ca="1">IF(ROWS($1:52)&gt;COUNT(Dong2),"",IF(AND(IF($M$9="Q11",RIGHT(OFFSET(TH!G$1,SMALL(Dong2,ROWS($1:52)),),3)=$M$9,RIGHT(OFFSET(TH!G$1,SMALL(Dong2,ROWS($1:52)),),2)=$M$9),OFFSET(TH!O$1,SMALL(Dong2,ROWS($1:52)),)=$I$6),IF($I$6="1121",OFFSET(TH!M$1,SMALL(Dong2,ROWS($1:52)),),OFFSET(TH!K$1,SMALL(Dong2,ROWS($1:52)),)),0))</f>
        <v/>
      </c>
      <c r="H63" s="1322">
        <f t="shared" ca="1" si="3"/>
        <v>0</v>
      </c>
      <c r="I63" s="902"/>
      <c r="L63" s="177"/>
    </row>
    <row r="64" spans="1:15" s="184" customFormat="1" ht="23.25" hidden="1" customHeight="1">
      <c r="A64" s="194" t="str">
        <f ca="1">IF(ROWS($1:53)&gt;COUNT(Dong2),"",OFFSET(TH!C$1,SMALL(Dong2,ROWS($1:53)),))</f>
        <v/>
      </c>
      <c r="B64" s="194" t="str">
        <f ca="1">IF(ROWS($1:53)&gt;COUNT(Dong2),"",OFFSET(TH!D$1,SMALL(Dong2,ROWS($1:53)),))</f>
        <v/>
      </c>
      <c r="C64" s="194" t="str">
        <f ca="1">IF(ROWS($1:53)&gt;COUNT(Dong2),"",OFFSET(TH!E$1,SMALL(Dong2,ROWS($1:53)),))</f>
        <v/>
      </c>
      <c r="D64" s="353" t="str">
        <f ca="1">IF(ROWS($1:53)&gt;COUNT(Dong2),"",OFFSET(TH!F$1,SMALL(Dong2,ROWS($1:53)),))</f>
        <v/>
      </c>
      <c r="E64" s="194" t="str">
        <f ca="1">IF(ROWS($1:53)&gt;COUNT(Dong2),"",IF(OFFSET(TH!O$1,SMALL(Dong2,ROWS($1:53)),)=$I$6,OFFSET(TH!N$1,SMALL(Dong2,ROWS($1:53)),),OFFSET(TH!O$1,SMALL(Dong2,ROWS($1:53)),)))</f>
        <v/>
      </c>
      <c r="F64" s="1309" t="str">
        <f ca="1">IF(ROWS($1:53)&gt;COUNT(Dong2),"",IF(AND(IF($M$9="Q11",LEFT(OFFSET(TH!G$1,SMALL(Dong2,ROWS($1:53)),),3)=$M$9,LEFT(OFFSET(TH!G$1,SMALL(Dong2,ROWS($1:53)),),2)=$M$9),OFFSET(TH!N$1,SMALL(Dong2,ROWS($1:53)),)=$I$6),IF($I$6="1121",OFFSET(TH!M$1,SMALL(Dong2,ROWS($1:53)),),OFFSET(TH!K$1,SMALL(Dong2,ROWS($1:53)),)),0))</f>
        <v/>
      </c>
      <c r="G64" s="1315" t="str">
        <f ca="1">IF(ROWS($1:53)&gt;COUNT(Dong2),"",IF(AND(IF($M$9="Q11",RIGHT(OFFSET(TH!G$1,SMALL(Dong2,ROWS($1:53)),),3)=$M$9,RIGHT(OFFSET(TH!G$1,SMALL(Dong2,ROWS($1:53)),),2)=$M$9),OFFSET(TH!O$1,SMALL(Dong2,ROWS($1:53)),)=$I$6),IF($I$6="1121",OFFSET(TH!M$1,SMALL(Dong2,ROWS($1:53)),),OFFSET(TH!K$1,SMALL(Dong2,ROWS($1:53)),)),0))</f>
        <v/>
      </c>
      <c r="H64" s="1322">
        <f t="shared" ca="1" si="3"/>
        <v>0</v>
      </c>
      <c r="I64" s="902"/>
      <c r="L64" s="177"/>
    </row>
    <row r="65" spans="1:17" s="184" customFormat="1" ht="23.25" hidden="1" customHeight="1">
      <c r="A65" s="194" t="str">
        <f ca="1">IF(ROWS($1:54)&gt;COUNT(Dong2),"",OFFSET(TH!C$1,SMALL(Dong2,ROWS($1:54)),))</f>
        <v/>
      </c>
      <c r="B65" s="194" t="str">
        <f ca="1">IF(ROWS($1:54)&gt;COUNT(Dong2),"",OFFSET(TH!D$1,SMALL(Dong2,ROWS($1:54)),))</f>
        <v/>
      </c>
      <c r="C65" s="194" t="str">
        <f ca="1">IF(ROWS($1:54)&gt;COUNT(Dong2),"",OFFSET(TH!E$1,SMALL(Dong2,ROWS($1:54)),))</f>
        <v/>
      </c>
      <c r="D65" s="353" t="str">
        <f ca="1">IF(ROWS($1:54)&gt;COUNT(Dong2),"",OFFSET(TH!F$1,SMALL(Dong2,ROWS($1:54)),))</f>
        <v/>
      </c>
      <c r="E65" s="194" t="str">
        <f ca="1">IF(ROWS($1:54)&gt;COUNT(Dong2),"",IF(OFFSET(TH!O$1,SMALL(Dong2,ROWS($1:54)),)=$I$6,OFFSET(TH!N$1,SMALL(Dong2,ROWS($1:54)),),OFFSET(TH!O$1,SMALL(Dong2,ROWS($1:54)),)))</f>
        <v/>
      </c>
      <c r="F65" s="1309" t="str">
        <f ca="1">IF(ROWS($1:54)&gt;COUNT(Dong2),"",IF(AND(IF($M$9="Q11",LEFT(OFFSET(TH!G$1,SMALL(Dong2,ROWS($1:54)),),3)=$M$9,LEFT(OFFSET(TH!G$1,SMALL(Dong2,ROWS($1:54)),),2)=$M$9),OFFSET(TH!N$1,SMALL(Dong2,ROWS($1:54)),)=$I$6),IF($I$6="1121",OFFSET(TH!M$1,SMALL(Dong2,ROWS($1:54)),),OFFSET(TH!K$1,SMALL(Dong2,ROWS($1:54)),)),0))</f>
        <v/>
      </c>
      <c r="G65" s="1315" t="str">
        <f ca="1">IF(ROWS($1:54)&gt;COUNT(Dong2),"",IF(AND(IF($M$9="Q11",RIGHT(OFFSET(TH!G$1,SMALL(Dong2,ROWS($1:54)),),3)=$M$9,RIGHT(OFFSET(TH!G$1,SMALL(Dong2,ROWS($1:54)),),2)=$M$9),OFFSET(TH!O$1,SMALL(Dong2,ROWS($1:54)),)=$I$6),IF($I$6="1121",OFFSET(TH!M$1,SMALL(Dong2,ROWS($1:54)),),OFFSET(TH!K$1,SMALL(Dong2,ROWS($1:54)),)),0))</f>
        <v/>
      </c>
      <c r="H65" s="1322">
        <f t="shared" ca="1" si="3"/>
        <v>0</v>
      </c>
      <c r="I65" s="902"/>
      <c r="L65" s="1302"/>
    </row>
    <row r="66" spans="1:17" s="184" customFormat="1" ht="23.25" hidden="1" customHeight="1">
      <c r="A66" s="194" t="str">
        <f ca="1">IF(ROWS($1:55)&gt;COUNT(Dong2),"",OFFSET(TH!C$1,SMALL(Dong2,ROWS($1:55)),))</f>
        <v/>
      </c>
      <c r="B66" s="194" t="str">
        <f ca="1">IF(ROWS($1:55)&gt;COUNT(Dong2),"",OFFSET(TH!D$1,SMALL(Dong2,ROWS($1:55)),))</f>
        <v/>
      </c>
      <c r="C66" s="194" t="str">
        <f ca="1">IF(ROWS($1:55)&gt;COUNT(Dong2),"",OFFSET(TH!E$1,SMALL(Dong2,ROWS($1:55)),))</f>
        <v/>
      </c>
      <c r="D66" s="353" t="str">
        <f ca="1">IF(ROWS($1:55)&gt;COUNT(Dong2),"",OFFSET(TH!F$1,SMALL(Dong2,ROWS($1:55)),))</f>
        <v/>
      </c>
      <c r="E66" s="194" t="str">
        <f ca="1">IF(ROWS($1:55)&gt;COUNT(Dong2),"",IF(OFFSET(TH!O$1,SMALL(Dong2,ROWS($1:55)),)=$I$6,OFFSET(TH!N$1,SMALL(Dong2,ROWS($1:55)),),OFFSET(TH!O$1,SMALL(Dong2,ROWS($1:55)),)))</f>
        <v/>
      </c>
      <c r="F66" s="1309" t="str">
        <f ca="1">IF(ROWS($1:55)&gt;COUNT(Dong2),"",IF(AND(IF($M$9="Q11",LEFT(OFFSET(TH!G$1,SMALL(Dong2,ROWS($1:55)),),3)=$M$9,LEFT(OFFSET(TH!G$1,SMALL(Dong2,ROWS($1:55)),),2)=$M$9),OFFSET(TH!N$1,SMALL(Dong2,ROWS($1:55)),)=$I$6),IF($I$6="1121",OFFSET(TH!M$1,SMALL(Dong2,ROWS($1:55)),),OFFSET(TH!K$1,SMALL(Dong2,ROWS($1:55)),)),0))</f>
        <v/>
      </c>
      <c r="G66" s="1315" t="str">
        <f ca="1">IF(ROWS($1:55)&gt;COUNT(Dong2),"",IF(AND(IF($M$9="Q11",RIGHT(OFFSET(TH!G$1,SMALL(Dong2,ROWS($1:55)),),3)=$M$9,RIGHT(OFFSET(TH!G$1,SMALL(Dong2,ROWS($1:55)),),2)=$M$9),OFFSET(TH!O$1,SMALL(Dong2,ROWS($1:55)),)=$I$6),IF($I$6="1121",OFFSET(TH!M$1,SMALL(Dong2,ROWS($1:55)),),OFFSET(TH!K$1,SMALL(Dong2,ROWS($1:55)),)),0))</f>
        <v/>
      </c>
      <c r="H66" s="1322">
        <f t="shared" ca="1" si="3"/>
        <v>0</v>
      </c>
      <c r="I66" s="902"/>
      <c r="L66" s="177"/>
    </row>
    <row r="67" spans="1:17" s="184" customFormat="1" ht="23.25" hidden="1" customHeight="1">
      <c r="A67" s="194" t="str">
        <f ca="1">IF(ROWS($1:56)&gt;COUNT(Dong2),"",OFFSET(TH!C$1,SMALL(Dong2,ROWS($1:56)),))</f>
        <v/>
      </c>
      <c r="B67" s="194" t="str">
        <f ca="1">IF(ROWS($1:56)&gt;COUNT(Dong2),"",OFFSET(TH!D$1,SMALL(Dong2,ROWS($1:56)),))</f>
        <v/>
      </c>
      <c r="C67" s="194" t="str">
        <f ca="1">IF(ROWS($1:56)&gt;COUNT(Dong2),"",OFFSET(TH!E$1,SMALL(Dong2,ROWS($1:56)),))</f>
        <v/>
      </c>
      <c r="D67" s="353" t="str">
        <f ca="1">IF(ROWS($1:56)&gt;COUNT(Dong2),"",OFFSET(TH!F$1,SMALL(Dong2,ROWS($1:56)),))</f>
        <v/>
      </c>
      <c r="E67" s="194" t="str">
        <f ca="1">IF(ROWS($1:56)&gt;COUNT(Dong2),"",IF(OFFSET(TH!O$1,SMALL(Dong2,ROWS($1:56)),)=$I$6,OFFSET(TH!N$1,SMALL(Dong2,ROWS($1:56)),),OFFSET(TH!O$1,SMALL(Dong2,ROWS($1:56)),)))</f>
        <v/>
      </c>
      <c r="F67" s="1309" t="str">
        <f ca="1">IF(ROWS($1:56)&gt;COUNT(Dong2),"",IF(AND(IF($M$9="Q11",LEFT(OFFSET(TH!G$1,SMALL(Dong2,ROWS($1:56)),),3)=$M$9,LEFT(OFFSET(TH!G$1,SMALL(Dong2,ROWS($1:56)),),2)=$M$9),OFFSET(TH!N$1,SMALL(Dong2,ROWS($1:56)),)=$I$6),IF($I$6="1121",OFFSET(TH!M$1,SMALL(Dong2,ROWS($1:56)),),OFFSET(TH!K$1,SMALL(Dong2,ROWS($1:56)),)),0))</f>
        <v/>
      </c>
      <c r="G67" s="1315" t="str">
        <f ca="1">IF(ROWS($1:56)&gt;COUNT(Dong2),"",IF(AND(IF($M$9="Q11",RIGHT(OFFSET(TH!G$1,SMALL(Dong2,ROWS($1:56)),),3)=$M$9,RIGHT(OFFSET(TH!G$1,SMALL(Dong2,ROWS($1:56)),),2)=$M$9),OFFSET(TH!O$1,SMALL(Dong2,ROWS($1:56)),)=$I$6),IF($I$6="1121",OFFSET(TH!M$1,SMALL(Dong2,ROWS($1:56)),),OFFSET(TH!K$1,SMALL(Dong2,ROWS($1:56)),)),0))</f>
        <v/>
      </c>
      <c r="H67" s="1322">
        <f t="shared" ca="1" si="3"/>
        <v>0</v>
      </c>
      <c r="I67" s="902"/>
      <c r="L67" s="177"/>
    </row>
    <row r="68" spans="1:17" s="184" customFormat="1" ht="23.25" hidden="1" customHeight="1">
      <c r="A68" s="194" t="str">
        <f ca="1">IF(ROWS($1:57)&gt;COUNT(Dong2),"",OFFSET(TH!C$1,SMALL(Dong2,ROWS($1:57)),))</f>
        <v/>
      </c>
      <c r="B68" s="194" t="str">
        <f ca="1">IF(ROWS($1:57)&gt;COUNT(Dong2),"",OFFSET(TH!D$1,SMALL(Dong2,ROWS($1:57)),))</f>
        <v/>
      </c>
      <c r="C68" s="194" t="str">
        <f ca="1">IF(ROWS($1:57)&gt;COUNT(Dong2),"",OFFSET(TH!E$1,SMALL(Dong2,ROWS($1:57)),))</f>
        <v/>
      </c>
      <c r="D68" s="353" t="str">
        <f ca="1">IF(ROWS($1:57)&gt;COUNT(Dong2),"",OFFSET(TH!F$1,SMALL(Dong2,ROWS($1:57)),))</f>
        <v/>
      </c>
      <c r="E68" s="194" t="str">
        <f ca="1">IF(ROWS($1:57)&gt;COUNT(Dong2),"",IF(OFFSET(TH!O$1,SMALL(Dong2,ROWS($1:57)),)=$I$6,OFFSET(TH!N$1,SMALL(Dong2,ROWS($1:57)),),OFFSET(TH!O$1,SMALL(Dong2,ROWS($1:57)),)))</f>
        <v/>
      </c>
      <c r="F68" s="1309" t="str">
        <f ca="1">IF(ROWS($1:57)&gt;COUNT(Dong2),"",IF(AND(IF($M$9="Q11",LEFT(OFFSET(TH!G$1,SMALL(Dong2,ROWS($1:57)),),3)=$M$9,LEFT(OFFSET(TH!G$1,SMALL(Dong2,ROWS($1:57)),),2)=$M$9),OFFSET(TH!N$1,SMALL(Dong2,ROWS($1:57)),)=$I$6),IF($I$6="1121",OFFSET(TH!M$1,SMALL(Dong2,ROWS($1:57)),),OFFSET(TH!K$1,SMALL(Dong2,ROWS($1:57)),)),0))</f>
        <v/>
      </c>
      <c r="G68" s="1315" t="str">
        <f ca="1">IF(ROWS($1:57)&gt;COUNT(Dong2),"",IF(AND(IF($M$9="Q11",RIGHT(OFFSET(TH!G$1,SMALL(Dong2,ROWS($1:57)),),3)=$M$9,RIGHT(OFFSET(TH!G$1,SMALL(Dong2,ROWS($1:57)),),2)=$M$9),OFFSET(TH!O$1,SMALL(Dong2,ROWS($1:57)),)=$I$6),IF($I$6="1121",OFFSET(TH!M$1,SMALL(Dong2,ROWS($1:57)),),OFFSET(TH!K$1,SMALL(Dong2,ROWS($1:57)),)),0))</f>
        <v/>
      </c>
      <c r="H68" s="1322">
        <f t="shared" ca="1" si="3"/>
        <v>0</v>
      </c>
      <c r="I68" s="902"/>
      <c r="L68" s="177"/>
    </row>
    <row r="69" spans="1:17" s="184" customFormat="1" ht="23.25" hidden="1" customHeight="1">
      <c r="A69" s="194" t="str">
        <f ca="1">IF(ROWS($1:58)&gt;COUNT(Dong2),"",OFFSET(TH!C$1,SMALL(Dong2,ROWS($1:58)),))</f>
        <v/>
      </c>
      <c r="B69" s="194" t="str">
        <f ca="1">IF(ROWS($1:58)&gt;COUNT(Dong2),"",OFFSET(TH!D$1,SMALL(Dong2,ROWS($1:58)),))</f>
        <v/>
      </c>
      <c r="C69" s="194" t="str">
        <f ca="1">IF(ROWS($1:58)&gt;COUNT(Dong2),"",OFFSET(TH!E$1,SMALL(Dong2,ROWS($1:58)),))</f>
        <v/>
      </c>
      <c r="D69" s="353" t="str">
        <f ca="1">IF(ROWS($1:58)&gt;COUNT(Dong2),"",OFFSET(TH!F$1,SMALL(Dong2,ROWS($1:58)),))</f>
        <v/>
      </c>
      <c r="E69" s="194" t="str">
        <f ca="1">IF(ROWS($1:58)&gt;COUNT(Dong2),"",IF(OFFSET(TH!O$1,SMALL(Dong2,ROWS($1:58)),)=$I$6,OFFSET(TH!N$1,SMALL(Dong2,ROWS($1:58)),),OFFSET(TH!O$1,SMALL(Dong2,ROWS($1:58)),)))</f>
        <v/>
      </c>
      <c r="F69" s="1309" t="str">
        <f ca="1">IF(ROWS($1:58)&gt;COUNT(Dong2),"",IF(AND(IF($M$9="Q11",LEFT(OFFSET(TH!G$1,SMALL(Dong2,ROWS($1:58)),),3)=$M$9,LEFT(OFFSET(TH!G$1,SMALL(Dong2,ROWS($1:58)),),2)=$M$9),OFFSET(TH!N$1,SMALL(Dong2,ROWS($1:58)),)=$I$6),IF($I$6="1121",OFFSET(TH!M$1,SMALL(Dong2,ROWS($1:58)),),OFFSET(TH!K$1,SMALL(Dong2,ROWS($1:58)),)),0))</f>
        <v/>
      </c>
      <c r="G69" s="1315" t="str">
        <f ca="1">IF(ROWS($1:58)&gt;COUNT(Dong2),"",IF(AND(IF($M$9="Q11",RIGHT(OFFSET(TH!G$1,SMALL(Dong2,ROWS($1:58)),),3)=$M$9,RIGHT(OFFSET(TH!G$1,SMALL(Dong2,ROWS($1:58)),),2)=$M$9),OFFSET(TH!O$1,SMALL(Dong2,ROWS($1:58)),)=$I$6),IF($I$6="1121",OFFSET(TH!M$1,SMALL(Dong2,ROWS($1:58)),),OFFSET(TH!K$1,SMALL(Dong2,ROWS($1:58)),)),0))</f>
        <v/>
      </c>
      <c r="H69" s="1322">
        <f t="shared" ca="1" si="3"/>
        <v>0</v>
      </c>
      <c r="I69" s="902"/>
      <c r="L69" s="177"/>
    </row>
    <row r="70" spans="1:17" s="184" customFormat="1" ht="23.25" hidden="1" customHeight="1">
      <c r="A70" s="194" t="str">
        <f ca="1">IF(ROWS($1:59)&gt;COUNT(Dong2),"",OFFSET(TH!C$1,SMALL(Dong2,ROWS($1:59)),))</f>
        <v/>
      </c>
      <c r="B70" s="194" t="str">
        <f ca="1">IF(ROWS($1:59)&gt;COUNT(Dong2),"",OFFSET(TH!D$1,SMALL(Dong2,ROWS($1:59)),))</f>
        <v/>
      </c>
      <c r="C70" s="194" t="str">
        <f ca="1">IF(ROWS($1:59)&gt;COUNT(Dong2),"",OFFSET(TH!E$1,SMALL(Dong2,ROWS($1:59)),))</f>
        <v/>
      </c>
      <c r="D70" s="353" t="str">
        <f ca="1">IF(ROWS($1:59)&gt;COUNT(Dong2),"",OFFSET(TH!F$1,SMALL(Dong2,ROWS($1:59)),))</f>
        <v/>
      </c>
      <c r="E70" s="194" t="str">
        <f ca="1">IF(ROWS($1:59)&gt;COUNT(Dong2),"",IF(OFFSET(TH!O$1,SMALL(Dong2,ROWS($1:59)),)=$I$6,OFFSET(TH!N$1,SMALL(Dong2,ROWS($1:59)),),OFFSET(TH!O$1,SMALL(Dong2,ROWS($1:59)),)))</f>
        <v/>
      </c>
      <c r="F70" s="1309" t="str">
        <f ca="1">IF(ROWS($1:59)&gt;COUNT(Dong2),"",IF(AND(IF($M$9="Q11",LEFT(OFFSET(TH!G$1,SMALL(Dong2,ROWS($1:59)),),3)=$M$9,LEFT(OFFSET(TH!G$1,SMALL(Dong2,ROWS($1:59)),),2)=$M$9),OFFSET(TH!N$1,SMALL(Dong2,ROWS($1:59)),)=$I$6),IF($I$6="1121",OFFSET(TH!M$1,SMALL(Dong2,ROWS($1:59)),),OFFSET(TH!K$1,SMALL(Dong2,ROWS($1:59)),)),0))</f>
        <v/>
      </c>
      <c r="G70" s="1315" t="str">
        <f ca="1">IF(ROWS($1:59)&gt;COUNT(Dong2),"",IF(AND(IF($M$9="Q11",RIGHT(OFFSET(TH!G$1,SMALL(Dong2,ROWS($1:59)),),3)=$M$9,RIGHT(OFFSET(TH!G$1,SMALL(Dong2,ROWS($1:59)),),2)=$M$9),OFFSET(TH!O$1,SMALL(Dong2,ROWS($1:59)),)=$I$6),IF($I$6="1121",OFFSET(TH!M$1,SMALL(Dong2,ROWS($1:59)),),OFFSET(TH!K$1,SMALL(Dong2,ROWS($1:59)),)),0))</f>
        <v/>
      </c>
      <c r="H70" s="1322">
        <f t="shared" ca="1" si="3"/>
        <v>0</v>
      </c>
      <c r="I70" s="902"/>
      <c r="L70" s="177"/>
    </row>
    <row r="71" spans="1:17" s="184" customFormat="1" ht="23.25" hidden="1" customHeight="1">
      <c r="A71" s="194" t="str">
        <f ca="1">IF(ROWS($1:60)&gt;COUNT(Dong2),"",OFFSET(TH!C$1,SMALL(Dong2,ROWS($1:60)),))</f>
        <v/>
      </c>
      <c r="B71" s="194" t="str">
        <f ca="1">IF(ROWS($1:60)&gt;COUNT(Dong2),"",OFFSET(TH!D$1,SMALL(Dong2,ROWS($1:60)),))</f>
        <v/>
      </c>
      <c r="C71" s="194" t="str">
        <f ca="1">IF(ROWS($1:60)&gt;COUNT(Dong2),"",OFFSET(TH!E$1,SMALL(Dong2,ROWS($1:60)),))</f>
        <v/>
      </c>
      <c r="D71" s="353" t="str">
        <f ca="1">IF(ROWS($1:60)&gt;COUNT(Dong2),"",OFFSET(TH!F$1,SMALL(Dong2,ROWS($1:60)),))</f>
        <v/>
      </c>
      <c r="E71" s="194" t="str">
        <f ca="1">IF(ROWS($1:60)&gt;COUNT(Dong2),"",IF(OFFSET(TH!O$1,SMALL(Dong2,ROWS($1:60)),)=$I$6,OFFSET(TH!N$1,SMALL(Dong2,ROWS($1:60)),),OFFSET(TH!O$1,SMALL(Dong2,ROWS($1:60)),)))</f>
        <v/>
      </c>
      <c r="F71" s="1309" t="str">
        <f ca="1">IF(ROWS($1:60)&gt;COUNT(Dong2),"",IF(AND(IF($M$9="Q11",LEFT(OFFSET(TH!G$1,SMALL(Dong2,ROWS($1:60)),),3)=$M$9,LEFT(OFFSET(TH!G$1,SMALL(Dong2,ROWS($1:60)),),2)=$M$9),OFFSET(TH!N$1,SMALL(Dong2,ROWS($1:60)),)=$I$6),IF($I$6="1121",OFFSET(TH!M$1,SMALL(Dong2,ROWS($1:60)),),OFFSET(TH!K$1,SMALL(Dong2,ROWS($1:60)),)),0))</f>
        <v/>
      </c>
      <c r="G71" s="1315" t="str">
        <f ca="1">IF(ROWS($1:60)&gt;COUNT(Dong2),"",IF(AND(IF($M$9="Q11",RIGHT(OFFSET(TH!G$1,SMALL(Dong2,ROWS($1:60)),),3)=$M$9,RIGHT(OFFSET(TH!G$1,SMALL(Dong2,ROWS($1:60)),),2)=$M$9),OFFSET(TH!O$1,SMALL(Dong2,ROWS($1:60)),)=$I$6),IF($I$6="1121",OFFSET(TH!M$1,SMALL(Dong2,ROWS($1:60)),),OFFSET(TH!K$1,SMALL(Dong2,ROWS($1:60)),)),0))</f>
        <v/>
      </c>
      <c r="H71" s="1322">
        <f t="shared" ca="1" si="3"/>
        <v>0</v>
      </c>
      <c r="I71" s="902"/>
      <c r="L71" s="177"/>
    </row>
    <row r="72" spans="1:17" s="184" customFormat="1" ht="23.25" hidden="1" customHeight="1">
      <c r="A72" s="194" t="str">
        <f ca="1">IF(ROWS($1:61)&gt;COUNT(Dong2),"",OFFSET(TH!C$1,SMALL(Dong2,ROWS($1:61)),))</f>
        <v/>
      </c>
      <c r="B72" s="194" t="str">
        <f ca="1">IF(ROWS($1:61)&gt;COUNT(Dong2),"",OFFSET(TH!D$1,SMALL(Dong2,ROWS($1:61)),))</f>
        <v/>
      </c>
      <c r="C72" s="194" t="str">
        <f ca="1">IF(ROWS($1:61)&gt;COUNT(Dong2),"",OFFSET(TH!E$1,SMALL(Dong2,ROWS($1:61)),))</f>
        <v/>
      </c>
      <c r="D72" s="353" t="str">
        <f ca="1">IF(ROWS($1:61)&gt;COUNT(Dong2),"",OFFSET(TH!F$1,SMALL(Dong2,ROWS($1:61)),))</f>
        <v/>
      </c>
      <c r="E72" s="194" t="str">
        <f ca="1">IF(ROWS($1:61)&gt;COUNT(Dong2),"",IF(OFFSET(TH!O$1,SMALL(Dong2,ROWS($1:61)),)=$I$6,OFFSET(TH!N$1,SMALL(Dong2,ROWS($1:61)),),OFFSET(TH!O$1,SMALL(Dong2,ROWS($1:61)),)))</f>
        <v/>
      </c>
      <c r="F72" s="1309" t="str">
        <f ca="1">IF(ROWS($1:61)&gt;COUNT(Dong2),"",IF(AND(IF($M$9="Q11",LEFT(OFFSET(TH!G$1,SMALL(Dong2,ROWS($1:61)),),3)=$M$9,LEFT(OFFSET(TH!G$1,SMALL(Dong2,ROWS($1:61)),),2)=$M$9),OFFSET(TH!N$1,SMALL(Dong2,ROWS($1:61)),)=$I$6),IF($I$6="1121",OFFSET(TH!M$1,SMALL(Dong2,ROWS($1:61)),),OFFSET(TH!K$1,SMALL(Dong2,ROWS($1:61)),)),0))</f>
        <v/>
      </c>
      <c r="G72" s="1315" t="str">
        <f ca="1">IF(ROWS($1:61)&gt;COUNT(Dong2),"",IF(AND(IF($M$9="Q11",RIGHT(OFFSET(TH!G$1,SMALL(Dong2,ROWS($1:61)),),3)=$M$9,RIGHT(OFFSET(TH!G$1,SMALL(Dong2,ROWS($1:61)),),2)=$M$9),OFFSET(TH!O$1,SMALL(Dong2,ROWS($1:61)),)=$I$6),IF($I$6="1121",OFFSET(TH!M$1,SMALL(Dong2,ROWS($1:61)),),OFFSET(TH!K$1,SMALL(Dong2,ROWS($1:61)),)),0))</f>
        <v/>
      </c>
      <c r="H72" s="1322">
        <f t="shared" ca="1" si="3"/>
        <v>0</v>
      </c>
      <c r="I72" s="902"/>
      <c r="L72" s="177"/>
    </row>
    <row r="73" spans="1:17" s="184" customFormat="1" ht="23.25" hidden="1" customHeight="1">
      <c r="A73" s="194" t="str">
        <f ca="1">IF(ROWS($1:62)&gt;COUNT(Dong2),"",OFFSET(TH!C$1,SMALL(Dong2,ROWS($1:62)),))</f>
        <v/>
      </c>
      <c r="B73" s="194" t="str">
        <f ca="1">IF(ROWS($1:62)&gt;COUNT(Dong2),"",OFFSET(TH!D$1,SMALL(Dong2,ROWS($1:62)),))</f>
        <v/>
      </c>
      <c r="C73" s="194" t="str">
        <f ca="1">IF(ROWS($1:62)&gt;COUNT(Dong2),"",OFFSET(TH!E$1,SMALL(Dong2,ROWS($1:62)),))</f>
        <v/>
      </c>
      <c r="D73" s="353" t="str">
        <f ca="1">IF(ROWS($1:62)&gt;COUNT(Dong2),"",OFFSET(TH!F$1,SMALL(Dong2,ROWS($1:62)),))</f>
        <v/>
      </c>
      <c r="E73" s="194" t="str">
        <f ca="1">IF(ROWS($1:62)&gt;COUNT(Dong2),"",IF(OFFSET(TH!O$1,SMALL(Dong2,ROWS($1:62)),)=$I$6,OFFSET(TH!N$1,SMALL(Dong2,ROWS($1:62)),),OFFSET(TH!O$1,SMALL(Dong2,ROWS($1:62)),)))</f>
        <v/>
      </c>
      <c r="F73" s="1309" t="str">
        <f ca="1">IF(ROWS($1:62)&gt;COUNT(Dong2),"",IF(AND(IF($M$9="Q11",LEFT(OFFSET(TH!G$1,SMALL(Dong2,ROWS($1:62)),),3)=$M$9,LEFT(OFFSET(TH!G$1,SMALL(Dong2,ROWS($1:62)),),2)=$M$9),OFFSET(TH!N$1,SMALL(Dong2,ROWS($1:62)),)=$I$6),IF($I$6="1121",OFFSET(TH!M$1,SMALL(Dong2,ROWS($1:62)),),OFFSET(TH!K$1,SMALL(Dong2,ROWS($1:62)),)),0))</f>
        <v/>
      </c>
      <c r="G73" s="1315" t="str">
        <f ca="1">IF(ROWS($1:62)&gt;COUNT(Dong2),"",IF(AND(IF($M$9="Q11",RIGHT(OFFSET(TH!G$1,SMALL(Dong2,ROWS($1:62)),),3)=$M$9,RIGHT(OFFSET(TH!G$1,SMALL(Dong2,ROWS($1:62)),),2)=$M$9),OFFSET(TH!O$1,SMALL(Dong2,ROWS($1:62)),)=$I$6),IF($I$6="1121",OFFSET(TH!M$1,SMALL(Dong2,ROWS($1:62)),),OFFSET(TH!K$1,SMALL(Dong2,ROWS($1:62)),)),0))</f>
        <v/>
      </c>
      <c r="H73" s="1322">
        <f t="shared" ca="1" si="3"/>
        <v>0</v>
      </c>
      <c r="I73" s="902"/>
      <c r="L73" s="177"/>
    </row>
    <row r="74" spans="1:17" s="184" customFormat="1" ht="24" hidden="1" customHeight="1">
      <c r="A74" s="194" t="str">
        <f ca="1">IF(ROWS($1:63)&gt;COUNT(Dong2),"",OFFSET(TH!C$1,SMALL(Dong2,ROWS($1:63)),))</f>
        <v/>
      </c>
      <c r="B74" s="194" t="str">
        <f ca="1">IF(ROWS($1:63)&gt;COUNT(Dong2),"",OFFSET(TH!D$1,SMALL(Dong2,ROWS($1:63)),))</f>
        <v/>
      </c>
      <c r="C74" s="194" t="str">
        <f ca="1">IF(ROWS($1:63)&gt;COUNT(Dong2),"",OFFSET(TH!E$1,SMALL(Dong2,ROWS($1:63)),))</f>
        <v/>
      </c>
      <c r="D74" s="353" t="str">
        <f ca="1">IF(ROWS($1:63)&gt;COUNT(Dong2),"",OFFSET(TH!F$1,SMALL(Dong2,ROWS($1:63)),))</f>
        <v/>
      </c>
      <c r="E74" s="194" t="str">
        <f ca="1">IF(ROWS($1:63)&gt;COUNT(Dong2),"",IF(OFFSET(TH!O$1,SMALL(Dong2,ROWS($1:63)),)=$I$6,OFFSET(TH!N$1,SMALL(Dong2,ROWS($1:63)),),OFFSET(TH!O$1,SMALL(Dong2,ROWS($1:63)),)))</f>
        <v/>
      </c>
      <c r="F74" s="1309" t="str">
        <f ca="1">IF(ROWS($1:63)&gt;COUNT(Dong2),"",IF(AND(IF($M$9="Q11",LEFT(OFFSET(TH!G$1,SMALL(Dong2,ROWS($1:63)),),3)=$M$9,LEFT(OFFSET(TH!G$1,SMALL(Dong2,ROWS($1:63)),),2)=$M$9),OFFSET(TH!N$1,SMALL(Dong2,ROWS($1:63)),)=$I$6),IF($I$6="1121",OFFSET(TH!M$1,SMALL(Dong2,ROWS($1:63)),),OFFSET(TH!K$1,SMALL(Dong2,ROWS($1:63)),)),0))</f>
        <v/>
      </c>
      <c r="G74" s="1315" t="str">
        <f ca="1">IF(ROWS($1:63)&gt;COUNT(Dong2),"",IF(AND(IF($M$9="Q11",RIGHT(OFFSET(TH!G$1,SMALL(Dong2,ROWS($1:63)),),3)=$M$9,RIGHT(OFFSET(TH!G$1,SMALL(Dong2,ROWS($1:63)),),2)=$M$9),OFFSET(TH!O$1,SMALL(Dong2,ROWS($1:63)),)=$I$6),IF($I$6="1121",OFFSET(TH!M$1,SMALL(Dong2,ROWS($1:63)),),OFFSET(TH!K$1,SMALL(Dong2,ROWS($1:63)),)),0))</f>
        <v/>
      </c>
      <c r="H74" s="1322">
        <f t="shared" ca="1" si="3"/>
        <v>0</v>
      </c>
      <c r="I74" s="902"/>
      <c r="L74" s="177"/>
    </row>
    <row r="75" spans="1:17" s="184" customFormat="1" ht="24" hidden="1" customHeight="1">
      <c r="A75" s="194" t="str">
        <f ca="1">IF(ROWS($1:64)&gt;COUNT(Dong2),"",OFFSET(TH!C$1,SMALL(Dong2,ROWS($1:64)),))</f>
        <v/>
      </c>
      <c r="B75" s="194" t="str">
        <f ca="1">IF(ROWS($1:64)&gt;COUNT(Dong2),"",OFFSET(TH!D$1,SMALL(Dong2,ROWS($1:64)),))</f>
        <v/>
      </c>
      <c r="C75" s="194" t="str">
        <f ca="1">IF(ROWS($1:64)&gt;COUNT(Dong2),"",OFFSET(TH!E$1,SMALL(Dong2,ROWS($1:64)),))</f>
        <v/>
      </c>
      <c r="D75" s="353" t="str">
        <f ca="1">IF(ROWS($1:64)&gt;COUNT(Dong2),"",OFFSET(TH!F$1,SMALL(Dong2,ROWS($1:64)),))</f>
        <v/>
      </c>
      <c r="E75" s="194" t="str">
        <f ca="1">IF(ROWS($1:64)&gt;COUNT(Dong2),"",IF(OFFSET(TH!O$1,SMALL(Dong2,ROWS($1:64)),)=$I$6,OFFSET(TH!N$1,SMALL(Dong2,ROWS($1:64)),),OFFSET(TH!O$1,SMALL(Dong2,ROWS($1:64)),)))</f>
        <v/>
      </c>
      <c r="F75" s="1309" t="str">
        <f ca="1">IF(ROWS($1:64)&gt;COUNT(Dong2),"",IF(AND(IF($M$9="Q11",LEFT(OFFSET(TH!G$1,SMALL(Dong2,ROWS($1:64)),),3)=$M$9,LEFT(OFFSET(TH!G$1,SMALL(Dong2,ROWS($1:64)),),2)=$M$9),OFFSET(TH!N$1,SMALL(Dong2,ROWS($1:64)),)=$I$6),IF($I$6="1121",OFFSET(TH!M$1,SMALL(Dong2,ROWS($1:64)),),OFFSET(TH!K$1,SMALL(Dong2,ROWS($1:64)),)),0))</f>
        <v/>
      </c>
      <c r="G75" s="1315" t="str">
        <f ca="1">IF(ROWS($1:64)&gt;COUNT(Dong2),"",IF(AND(IF($M$9="Q11",RIGHT(OFFSET(TH!G$1,SMALL(Dong2,ROWS($1:64)),),3)=$M$9,RIGHT(OFFSET(TH!G$1,SMALL(Dong2,ROWS($1:64)),),2)=$M$9),OFFSET(TH!O$1,SMALL(Dong2,ROWS($1:64)),)=$I$6),IF($I$6="1121",OFFSET(TH!M$1,SMALL(Dong2,ROWS($1:64)),),OFFSET(TH!K$1,SMALL(Dong2,ROWS($1:64)),)),0))</f>
        <v/>
      </c>
      <c r="H75" s="1322">
        <f t="shared" ca="1" si="3"/>
        <v>0</v>
      </c>
      <c r="I75" s="902"/>
      <c r="Q75" s="1206"/>
    </row>
    <row r="76" spans="1:17" s="184" customFormat="1" ht="24" hidden="1" customHeight="1">
      <c r="A76" s="194" t="str">
        <f ca="1">IF(ROWS($1:65)&gt;COUNT(Dong2),"",OFFSET(TH!C$1,SMALL(Dong2,ROWS($1:65)),))</f>
        <v/>
      </c>
      <c r="B76" s="194" t="str">
        <f ca="1">IF(ROWS($1:65)&gt;COUNT(Dong2),"",OFFSET(TH!D$1,SMALL(Dong2,ROWS($1:65)),))</f>
        <v/>
      </c>
      <c r="C76" s="194" t="str">
        <f ca="1">IF(ROWS($1:65)&gt;COUNT(Dong2),"",OFFSET(TH!E$1,SMALL(Dong2,ROWS($1:65)),))</f>
        <v/>
      </c>
      <c r="D76" s="353" t="str">
        <f ca="1">IF(ROWS($1:65)&gt;COUNT(Dong2),"",OFFSET(TH!F$1,SMALL(Dong2,ROWS($1:65)),))</f>
        <v/>
      </c>
      <c r="E76" s="194" t="str">
        <f ca="1">IF(ROWS($1:65)&gt;COUNT(Dong2),"",IF(OFFSET(TH!O$1,SMALL(Dong2,ROWS($1:65)),)=$I$6,OFFSET(TH!N$1,SMALL(Dong2,ROWS($1:65)),),OFFSET(TH!O$1,SMALL(Dong2,ROWS($1:65)),)))</f>
        <v/>
      </c>
      <c r="F76" s="1309" t="str">
        <f ca="1">IF(ROWS($1:65)&gt;COUNT(Dong2),"",IF(AND(IF($M$9="Q11",LEFT(OFFSET(TH!G$1,SMALL(Dong2,ROWS($1:65)),),3)=$M$9,LEFT(OFFSET(TH!G$1,SMALL(Dong2,ROWS($1:65)),),2)=$M$9),OFFSET(TH!N$1,SMALL(Dong2,ROWS($1:65)),)=$I$6),IF($I$6="1121",OFFSET(TH!M$1,SMALL(Dong2,ROWS($1:65)),),OFFSET(TH!K$1,SMALL(Dong2,ROWS($1:65)),)),0))</f>
        <v/>
      </c>
      <c r="G76" s="1315" t="str">
        <f ca="1">IF(ROWS($1:65)&gt;COUNT(Dong2),"",IF(AND(IF($M$9="Q11",RIGHT(OFFSET(TH!G$1,SMALL(Dong2,ROWS($1:65)),),3)=$M$9,RIGHT(OFFSET(TH!G$1,SMALL(Dong2,ROWS($1:65)),),2)=$M$9),OFFSET(TH!O$1,SMALL(Dong2,ROWS($1:65)),)=$I$6),IF($I$6="1121",OFFSET(TH!M$1,SMALL(Dong2,ROWS($1:65)),),OFFSET(TH!K$1,SMALL(Dong2,ROWS($1:65)),)),0))</f>
        <v/>
      </c>
      <c r="H76" s="1322">
        <f t="shared" ca="1" si="3"/>
        <v>0</v>
      </c>
      <c r="I76" s="902"/>
    </row>
    <row r="77" spans="1:17" s="184" customFormat="1" ht="24" customHeight="1">
      <c r="A77" s="194" t="str">
        <f ca="1">IF(ROWS($1:66)&gt;COUNT(Dong2),"",OFFSET(TH!C$1,SMALL(Dong2,ROWS($1:66)),))</f>
        <v/>
      </c>
      <c r="B77" s="194" t="str">
        <f ca="1">IF(ROWS($1:66)&gt;COUNT(Dong2),"",OFFSET(TH!D$1,SMALL(Dong2,ROWS($1:66)),))</f>
        <v/>
      </c>
      <c r="C77" s="194" t="str">
        <f ca="1">IF(ROWS($1:66)&gt;COUNT(Dong2),"",OFFSET(TH!E$1,SMALL(Dong2,ROWS($1:66)),))</f>
        <v/>
      </c>
      <c r="D77" s="353" t="str">
        <f ca="1">IF(ROWS($1:66)&gt;COUNT(Dong2),"",OFFSET(TH!F$1,SMALL(Dong2,ROWS($1:66)),))</f>
        <v/>
      </c>
      <c r="E77" s="194" t="str">
        <f ca="1">IF(ROWS($1:66)&gt;COUNT(Dong2),"",IF(OFFSET(TH!O$1,SMALL(Dong2,ROWS($1:66)),)=$I$6,OFFSET(TH!N$1,SMALL(Dong2,ROWS($1:66)),),OFFSET(TH!O$1,SMALL(Dong2,ROWS($1:66)),)))</f>
        <v/>
      </c>
      <c r="F77" s="1309" t="str">
        <f ca="1">IF(ROWS($1:66)&gt;COUNT(Dong2),"",IF(AND(IF($M$9="Q11",LEFT(OFFSET(TH!G$1,SMALL(Dong2,ROWS($1:66)),),3)=$M$9,LEFT(OFFSET(TH!G$1,SMALL(Dong2,ROWS($1:66)),),2)=$M$9),OFFSET(TH!N$1,SMALL(Dong2,ROWS($1:66)),)=$I$6),IF($I$6="1121",OFFSET(TH!M$1,SMALL(Dong2,ROWS($1:66)),),OFFSET(TH!K$1,SMALL(Dong2,ROWS($1:66)),)),0))</f>
        <v/>
      </c>
      <c r="G77" s="1315" t="str">
        <f ca="1">IF(ROWS($1:66)&gt;COUNT(Dong2),"",IF(AND(IF($M$9="Q11",RIGHT(OFFSET(TH!G$1,SMALL(Dong2,ROWS($1:66)),),3)=$M$9,RIGHT(OFFSET(TH!G$1,SMALL(Dong2,ROWS($1:66)),),2)=$M$9),OFFSET(TH!O$1,SMALL(Dong2,ROWS($1:66)),)=$I$6),IF($I$6="1121",OFFSET(TH!M$1,SMALL(Dong2,ROWS($1:66)),),OFFSET(TH!K$1,SMALL(Dong2,ROWS($1:66)),)),0))</f>
        <v/>
      </c>
      <c r="H77" s="1322">
        <f t="shared" ca="1" si="3"/>
        <v>0</v>
      </c>
      <c r="I77" s="902"/>
    </row>
    <row r="78" spans="1:17" s="184" customFormat="1" ht="24" hidden="1" customHeight="1">
      <c r="A78" s="194" t="str">
        <f ca="1">IF(ROWS($1:67)&gt;COUNT(Dong2),"",OFFSET(TH!C$1,SMALL(Dong2,ROWS($1:67)),))</f>
        <v/>
      </c>
      <c r="B78" s="194" t="str">
        <f ca="1">IF(ROWS($1:67)&gt;COUNT(Dong2),"",OFFSET(TH!D$1,SMALL(Dong2,ROWS($1:67)),))</f>
        <v/>
      </c>
      <c r="C78" s="194" t="str">
        <f ca="1">IF(ROWS($1:67)&gt;COUNT(Dong2),"",OFFSET(TH!E$1,SMALL(Dong2,ROWS($1:67)),))</f>
        <v/>
      </c>
      <c r="D78" s="353" t="str">
        <f ca="1">IF(ROWS($1:67)&gt;COUNT(Dong2),"",OFFSET(TH!F$1,SMALL(Dong2,ROWS($1:67)),))</f>
        <v/>
      </c>
      <c r="E78" s="194" t="str">
        <f ca="1">IF(ROWS($1:67)&gt;COUNT(Dong2),"",IF(OFFSET(TH!O$1,SMALL(Dong2,ROWS($1:67)),)=$I$6,OFFSET(TH!N$1,SMALL(Dong2,ROWS($1:67)),),OFFSET(TH!O$1,SMALL(Dong2,ROWS($1:67)),)))</f>
        <v/>
      </c>
      <c r="F78" s="1309" t="str">
        <f ca="1">IF(ROWS($1:67)&gt;COUNT(Dong2),"",IF(AND(IF($M$9="Q11",LEFT(OFFSET(TH!G$1,SMALL(Dong2,ROWS($1:67)),),3)=$M$9,LEFT(OFFSET(TH!G$1,SMALL(Dong2,ROWS($1:67)),),2)=$M$9),OFFSET(TH!N$1,SMALL(Dong2,ROWS($1:67)),)=$I$6),IF($I$6="1121",OFFSET(TH!M$1,SMALL(Dong2,ROWS($1:67)),),OFFSET(TH!K$1,SMALL(Dong2,ROWS($1:67)),)),0))</f>
        <v/>
      </c>
      <c r="G78" s="1315" t="str">
        <f ca="1">IF(ROWS($1:67)&gt;COUNT(Dong2),"",IF(AND(IF($M$9="Q11",RIGHT(OFFSET(TH!G$1,SMALL(Dong2,ROWS($1:67)),),3)=$M$9,RIGHT(OFFSET(TH!G$1,SMALL(Dong2,ROWS($1:67)),),2)=$M$9),OFFSET(TH!O$1,SMALL(Dong2,ROWS($1:67)),)=$I$6),IF($I$6="1121",OFFSET(TH!M$1,SMALL(Dong2,ROWS($1:67)),),OFFSET(TH!K$1,SMALL(Dong2,ROWS($1:67)),)),0))</f>
        <v/>
      </c>
      <c r="H78" s="1322">
        <f t="shared" ca="1" si="3"/>
        <v>0</v>
      </c>
      <c r="I78" s="902"/>
    </row>
    <row r="79" spans="1:17" s="184" customFormat="1" ht="24" hidden="1" customHeight="1">
      <c r="A79" s="194" t="str">
        <f ca="1">IF(ROWS($1:68)&gt;COUNT(Dong2),"",OFFSET(TH!C$1,SMALL(Dong2,ROWS($1:68)),))</f>
        <v/>
      </c>
      <c r="B79" s="194" t="str">
        <f ca="1">IF(ROWS($1:68)&gt;COUNT(Dong2),"",OFFSET(TH!D$1,SMALL(Dong2,ROWS($1:68)),))</f>
        <v/>
      </c>
      <c r="C79" s="194" t="str">
        <f ca="1">IF(ROWS($1:68)&gt;COUNT(Dong2),"",OFFSET(TH!E$1,SMALL(Dong2,ROWS($1:68)),))</f>
        <v/>
      </c>
      <c r="D79" s="353" t="str">
        <f ca="1">IF(ROWS($1:68)&gt;COUNT(Dong2),"",OFFSET(TH!F$1,SMALL(Dong2,ROWS($1:68)),))</f>
        <v/>
      </c>
      <c r="E79" s="194" t="str">
        <f ca="1">IF(ROWS($1:68)&gt;COUNT(Dong2),"",IF(OFFSET(TH!O$1,SMALL(Dong2,ROWS($1:68)),)=$I$6,OFFSET(TH!N$1,SMALL(Dong2,ROWS($1:68)),),OFFSET(TH!O$1,SMALL(Dong2,ROWS($1:68)),)))</f>
        <v/>
      </c>
      <c r="F79" s="1309" t="str">
        <f ca="1">IF(ROWS($1:68)&gt;COUNT(Dong2),"",IF(AND(IF($M$9="Q11",LEFT(OFFSET(TH!G$1,SMALL(Dong2,ROWS($1:68)),),3)=$M$9,LEFT(OFFSET(TH!G$1,SMALL(Dong2,ROWS($1:68)),),2)=$M$9),OFFSET(TH!N$1,SMALL(Dong2,ROWS($1:68)),)=$I$6),IF($I$6="1121",OFFSET(TH!M$1,SMALL(Dong2,ROWS($1:68)),),OFFSET(TH!K$1,SMALL(Dong2,ROWS($1:68)),)),0))</f>
        <v/>
      </c>
      <c r="G79" s="1315" t="str">
        <f ca="1">IF(ROWS($1:68)&gt;COUNT(Dong2),"",IF(AND(IF($M$9="Q11",RIGHT(OFFSET(TH!G$1,SMALL(Dong2,ROWS($1:68)),),3)=$M$9,RIGHT(OFFSET(TH!G$1,SMALL(Dong2,ROWS($1:68)),),2)=$M$9),OFFSET(TH!O$1,SMALL(Dong2,ROWS($1:68)),)=$I$6),IF($I$6="1121",OFFSET(TH!M$1,SMALL(Dong2,ROWS($1:68)),),OFFSET(TH!K$1,SMALL(Dong2,ROWS($1:68)),)),0))</f>
        <v/>
      </c>
      <c r="H79" s="1322">
        <f t="shared" ca="1" si="3"/>
        <v>0</v>
      </c>
      <c r="I79" s="902"/>
    </row>
    <row r="80" spans="1:17" s="184" customFormat="1" ht="24" hidden="1" customHeight="1">
      <c r="A80" s="194" t="str">
        <f ca="1">IF(ROWS($1:69)&gt;COUNT(Dong2),"",OFFSET(TH!C$1,SMALL(Dong2,ROWS($1:69)),))</f>
        <v/>
      </c>
      <c r="B80" s="194" t="str">
        <f ca="1">IF(ROWS($1:69)&gt;COUNT(Dong2),"",OFFSET(TH!D$1,SMALL(Dong2,ROWS($1:69)),))</f>
        <v/>
      </c>
      <c r="C80" s="194" t="str">
        <f ca="1">IF(ROWS($1:69)&gt;COUNT(Dong2),"",OFFSET(TH!E$1,SMALL(Dong2,ROWS($1:69)),))</f>
        <v/>
      </c>
      <c r="D80" s="353" t="str">
        <f ca="1">IF(ROWS($1:69)&gt;COUNT(Dong2),"",OFFSET(TH!F$1,SMALL(Dong2,ROWS($1:69)),))</f>
        <v/>
      </c>
      <c r="E80" s="194" t="str">
        <f ca="1">IF(ROWS($1:69)&gt;COUNT(Dong2),"",IF(OFFSET(TH!O$1,SMALL(Dong2,ROWS($1:69)),)=$I$6,OFFSET(TH!N$1,SMALL(Dong2,ROWS($1:69)),),OFFSET(TH!O$1,SMALL(Dong2,ROWS($1:69)),)))</f>
        <v/>
      </c>
      <c r="F80" s="1309" t="str">
        <f ca="1">IF(ROWS($1:69)&gt;COUNT(Dong2),"",IF(AND(IF($M$9="Q11",LEFT(OFFSET(TH!G$1,SMALL(Dong2,ROWS($1:69)),),3)=$M$9,LEFT(OFFSET(TH!G$1,SMALL(Dong2,ROWS($1:69)),),2)=$M$9),OFFSET(TH!N$1,SMALL(Dong2,ROWS($1:69)),)=$I$6),IF($I$6="1121",OFFSET(TH!M$1,SMALL(Dong2,ROWS($1:69)),),OFFSET(TH!K$1,SMALL(Dong2,ROWS($1:69)),)),0))</f>
        <v/>
      </c>
      <c r="G80" s="1315" t="str">
        <f ca="1">IF(ROWS($1:69)&gt;COUNT(Dong2),"",IF(AND(IF($M$9="Q11",RIGHT(OFFSET(TH!G$1,SMALL(Dong2,ROWS($1:69)),),3)=$M$9,RIGHT(OFFSET(TH!G$1,SMALL(Dong2,ROWS($1:69)),),2)=$M$9),OFFSET(TH!O$1,SMALL(Dong2,ROWS($1:69)),)=$I$6),IF($I$6="1121",OFFSET(TH!M$1,SMALL(Dong2,ROWS($1:69)),),OFFSET(TH!K$1,SMALL(Dong2,ROWS($1:69)),)),0))</f>
        <v/>
      </c>
      <c r="H80" s="1322">
        <f t="shared" ca="1" si="3"/>
        <v>0</v>
      </c>
      <c r="I80" s="902"/>
    </row>
    <row r="81" spans="1:17" s="184" customFormat="1" ht="24" hidden="1" customHeight="1">
      <c r="A81" s="194" t="str">
        <f ca="1">IF(ROWS($1:70)&gt;COUNT(Dong2),"",OFFSET(TH!C$1,SMALL(Dong2,ROWS($1:70)),))</f>
        <v/>
      </c>
      <c r="B81" s="194" t="str">
        <f ca="1">IF(ROWS($1:70)&gt;COUNT(Dong2),"",OFFSET(TH!D$1,SMALL(Dong2,ROWS($1:70)),))</f>
        <v/>
      </c>
      <c r="C81" s="194" t="str">
        <f ca="1">IF(ROWS($1:70)&gt;COUNT(Dong2),"",OFFSET(TH!E$1,SMALL(Dong2,ROWS($1:70)),))</f>
        <v/>
      </c>
      <c r="D81" s="353" t="str">
        <f ca="1">IF(ROWS($1:70)&gt;COUNT(Dong2),"",OFFSET(TH!F$1,SMALL(Dong2,ROWS($1:70)),))</f>
        <v/>
      </c>
      <c r="E81" s="194" t="str">
        <f ca="1">IF(ROWS($1:70)&gt;COUNT(Dong2),"",IF(OFFSET(TH!O$1,SMALL(Dong2,ROWS($1:70)),)=$I$6,OFFSET(TH!N$1,SMALL(Dong2,ROWS($1:70)),),OFFSET(TH!O$1,SMALL(Dong2,ROWS($1:70)),)))</f>
        <v/>
      </c>
      <c r="F81" s="1309" t="str">
        <f ca="1">IF(ROWS($1:70)&gt;COUNT(Dong2),"",IF(AND(IF($M$9="Q11",LEFT(OFFSET(TH!G$1,SMALL(Dong2,ROWS($1:70)),),3)=$M$9,LEFT(OFFSET(TH!G$1,SMALL(Dong2,ROWS($1:70)),),2)=$M$9),OFFSET(TH!N$1,SMALL(Dong2,ROWS($1:70)),)=$I$6),IF($I$6="1121",OFFSET(TH!M$1,SMALL(Dong2,ROWS($1:70)),),OFFSET(TH!K$1,SMALL(Dong2,ROWS($1:70)),)),0))</f>
        <v/>
      </c>
      <c r="G81" s="1315" t="str">
        <f ca="1">IF(ROWS($1:70)&gt;COUNT(Dong2),"",IF(AND(IF($M$9="Q11",RIGHT(OFFSET(TH!G$1,SMALL(Dong2,ROWS($1:70)),),3)=$M$9,RIGHT(OFFSET(TH!G$1,SMALL(Dong2,ROWS($1:70)),),2)=$M$9),OFFSET(TH!O$1,SMALL(Dong2,ROWS($1:70)),)=$I$6),IF($I$6="1121",OFFSET(TH!M$1,SMALL(Dong2,ROWS($1:70)),),OFFSET(TH!K$1,SMALL(Dong2,ROWS($1:70)),)),0))</f>
        <v/>
      </c>
      <c r="H81" s="1322">
        <f t="shared" ca="1" si="3"/>
        <v>0</v>
      </c>
      <c r="I81" s="902"/>
      <c r="Q81" s="1206"/>
    </row>
    <row r="82" spans="1:17" s="184" customFormat="1" ht="24" hidden="1" customHeight="1">
      <c r="A82" s="194" t="str">
        <f ca="1">IF(ROWS($1:71)&gt;COUNT(Dong2),"",OFFSET(TH!C$1,SMALL(Dong2,ROWS($1:71)),))</f>
        <v/>
      </c>
      <c r="B82" s="194" t="str">
        <f ca="1">IF(ROWS($1:71)&gt;COUNT(Dong2),"",OFFSET(TH!D$1,SMALL(Dong2,ROWS($1:71)),))</f>
        <v/>
      </c>
      <c r="C82" s="194" t="str">
        <f ca="1">IF(ROWS($1:71)&gt;COUNT(Dong2),"",OFFSET(TH!E$1,SMALL(Dong2,ROWS($1:71)),))</f>
        <v/>
      </c>
      <c r="D82" s="353" t="str">
        <f ca="1">IF(ROWS($1:71)&gt;COUNT(Dong2),"",OFFSET(TH!F$1,SMALL(Dong2,ROWS($1:71)),))</f>
        <v/>
      </c>
      <c r="E82" s="194" t="str">
        <f ca="1">IF(ROWS($1:71)&gt;COUNT(Dong2),"",IF(OFFSET(TH!O$1,SMALL(Dong2,ROWS($1:71)),)=$I$6,OFFSET(TH!N$1,SMALL(Dong2,ROWS($1:71)),),OFFSET(TH!O$1,SMALL(Dong2,ROWS($1:71)),)))</f>
        <v/>
      </c>
      <c r="F82" s="1309" t="str">
        <f ca="1">IF(ROWS($1:71)&gt;COUNT(Dong2),"",IF(AND(IF($M$9="Q11",LEFT(OFFSET(TH!G$1,SMALL(Dong2,ROWS($1:71)),),3)=$M$9,LEFT(OFFSET(TH!G$1,SMALL(Dong2,ROWS($1:71)),),2)=$M$9),OFFSET(TH!N$1,SMALL(Dong2,ROWS($1:71)),)=$I$6),IF($I$6="1121",OFFSET(TH!M$1,SMALL(Dong2,ROWS($1:71)),),OFFSET(TH!K$1,SMALL(Dong2,ROWS($1:71)),)),0))</f>
        <v/>
      </c>
      <c r="G82" s="1315" t="str">
        <f ca="1">IF(ROWS($1:71)&gt;COUNT(Dong2),"",IF(AND(IF($M$9="Q11",RIGHT(OFFSET(TH!G$1,SMALL(Dong2,ROWS($1:71)),),3)=$M$9,RIGHT(OFFSET(TH!G$1,SMALL(Dong2,ROWS($1:71)),),2)=$M$9),OFFSET(TH!O$1,SMALL(Dong2,ROWS($1:71)),)=$I$6),IF($I$6="1121",OFFSET(TH!M$1,SMALL(Dong2,ROWS($1:71)),),OFFSET(TH!K$1,SMALL(Dong2,ROWS($1:71)),)),0))</f>
        <v/>
      </c>
      <c r="H82" s="1322">
        <f t="shared" ca="1" si="3"/>
        <v>0</v>
      </c>
      <c r="I82" s="902"/>
      <c r="L82" s="177"/>
    </row>
    <row r="83" spans="1:17" s="184" customFormat="1" ht="24" hidden="1" customHeight="1">
      <c r="A83" s="194" t="str">
        <f ca="1">IF(ROWS($1:72)&gt;COUNT(Dong2),"",OFFSET(TH!C$1,SMALL(Dong2,ROWS($1:72)),))</f>
        <v/>
      </c>
      <c r="B83" s="194" t="str">
        <f ca="1">IF(ROWS($1:72)&gt;COUNT(Dong2),"",OFFSET(TH!D$1,SMALL(Dong2,ROWS($1:72)),))</f>
        <v/>
      </c>
      <c r="C83" s="194" t="str">
        <f ca="1">IF(ROWS($1:72)&gt;COUNT(Dong2),"",OFFSET(TH!E$1,SMALL(Dong2,ROWS($1:72)),))</f>
        <v/>
      </c>
      <c r="D83" s="353" t="str">
        <f ca="1">IF(ROWS($1:72)&gt;COUNT(Dong2),"",OFFSET(TH!F$1,SMALL(Dong2,ROWS($1:72)),))</f>
        <v/>
      </c>
      <c r="E83" s="194" t="str">
        <f ca="1">IF(ROWS($1:72)&gt;COUNT(Dong2),"",IF(OFFSET(TH!O$1,SMALL(Dong2,ROWS($1:72)),)=$I$6,OFFSET(TH!N$1,SMALL(Dong2,ROWS($1:72)),),OFFSET(TH!O$1,SMALL(Dong2,ROWS($1:72)),)))</f>
        <v/>
      </c>
      <c r="F83" s="1309" t="str">
        <f ca="1">IF(ROWS($1:72)&gt;COUNT(Dong2),"",IF(AND(IF($M$9="Q11",LEFT(OFFSET(TH!G$1,SMALL(Dong2,ROWS($1:72)),),3)=$M$9,LEFT(OFFSET(TH!G$1,SMALL(Dong2,ROWS($1:72)),),2)=$M$9),OFFSET(TH!N$1,SMALL(Dong2,ROWS($1:72)),)=$I$6),IF($I$6="1121",OFFSET(TH!M$1,SMALL(Dong2,ROWS($1:72)),),OFFSET(TH!K$1,SMALL(Dong2,ROWS($1:72)),)),0))</f>
        <v/>
      </c>
      <c r="G83" s="1315" t="str">
        <f ca="1">IF(ROWS($1:72)&gt;COUNT(Dong2),"",IF(AND(IF($M$9="Q11",RIGHT(OFFSET(TH!G$1,SMALL(Dong2,ROWS($1:72)),),3)=$M$9,RIGHT(OFFSET(TH!G$1,SMALL(Dong2,ROWS($1:72)),),2)=$M$9),OFFSET(TH!O$1,SMALL(Dong2,ROWS($1:72)),)=$I$6),IF($I$6="1121",OFFSET(TH!M$1,SMALL(Dong2,ROWS($1:72)),),OFFSET(TH!K$1,SMALL(Dong2,ROWS($1:72)),)),0))</f>
        <v/>
      </c>
      <c r="H83" s="1322">
        <f t="shared" ca="1" si="3"/>
        <v>0</v>
      </c>
      <c r="I83" s="902"/>
      <c r="L83" s="177"/>
    </row>
    <row r="84" spans="1:17" s="184" customFormat="1" ht="24" hidden="1" customHeight="1">
      <c r="A84" s="194" t="str">
        <f ca="1">IF(ROWS($1:73)&gt;COUNT(Dong2),"",OFFSET(TH!C$1,SMALL(Dong2,ROWS($1:73)),))</f>
        <v/>
      </c>
      <c r="B84" s="194" t="str">
        <f ca="1">IF(ROWS($1:73)&gt;COUNT(Dong2),"",OFFSET(TH!D$1,SMALL(Dong2,ROWS($1:73)),))</f>
        <v/>
      </c>
      <c r="C84" s="194" t="str">
        <f ca="1">IF(ROWS($1:73)&gt;COUNT(Dong2),"",OFFSET(TH!E$1,SMALL(Dong2,ROWS($1:73)),))</f>
        <v/>
      </c>
      <c r="D84" s="353" t="str">
        <f ca="1">IF(ROWS($1:73)&gt;COUNT(Dong2),"",OFFSET(TH!F$1,SMALL(Dong2,ROWS($1:73)),))</f>
        <v/>
      </c>
      <c r="E84" s="194" t="str">
        <f ca="1">IF(ROWS($1:73)&gt;COUNT(Dong2),"",IF(OFFSET(TH!O$1,SMALL(Dong2,ROWS($1:73)),)=$I$6,OFFSET(TH!N$1,SMALL(Dong2,ROWS($1:73)),),OFFSET(TH!O$1,SMALL(Dong2,ROWS($1:73)),)))</f>
        <v/>
      </c>
      <c r="F84" s="1309" t="str">
        <f ca="1">IF(ROWS($1:73)&gt;COUNT(Dong2),"",IF(AND(IF($M$9="Q11",LEFT(OFFSET(TH!G$1,SMALL(Dong2,ROWS($1:73)),),3)=$M$9,LEFT(OFFSET(TH!G$1,SMALL(Dong2,ROWS($1:73)),),2)=$M$9),OFFSET(TH!N$1,SMALL(Dong2,ROWS($1:73)),)=$I$6),IF($I$6="1121",OFFSET(TH!M$1,SMALL(Dong2,ROWS($1:73)),),OFFSET(TH!K$1,SMALL(Dong2,ROWS($1:73)),)),0))</f>
        <v/>
      </c>
      <c r="G84" s="1315" t="str">
        <f ca="1">IF(ROWS($1:73)&gt;COUNT(Dong2),"",IF(AND(IF($M$9="Q11",RIGHT(OFFSET(TH!G$1,SMALL(Dong2,ROWS($1:73)),),3)=$M$9,RIGHT(OFFSET(TH!G$1,SMALL(Dong2,ROWS($1:73)),),2)=$M$9),OFFSET(TH!O$1,SMALL(Dong2,ROWS($1:73)),)=$I$6),IF($I$6="1121",OFFSET(TH!M$1,SMALL(Dong2,ROWS($1:73)),),OFFSET(TH!K$1,SMALL(Dong2,ROWS($1:73)),)),0))</f>
        <v/>
      </c>
      <c r="H84" s="1322">
        <f t="shared" ca="1" si="3"/>
        <v>0</v>
      </c>
      <c r="I84" s="902"/>
      <c r="L84" s="177"/>
    </row>
    <row r="85" spans="1:17" s="184" customFormat="1" ht="24" hidden="1" customHeight="1">
      <c r="A85" s="194" t="str">
        <f ca="1">IF(ROWS($1:74)&gt;COUNT(Dong2),"",OFFSET(TH!C$1,SMALL(Dong2,ROWS($1:74)),))</f>
        <v/>
      </c>
      <c r="B85" s="194" t="str">
        <f ca="1">IF(ROWS($1:74)&gt;COUNT(Dong2),"",OFFSET(TH!D$1,SMALL(Dong2,ROWS($1:74)),))</f>
        <v/>
      </c>
      <c r="C85" s="194" t="str">
        <f ca="1">IF(ROWS($1:74)&gt;COUNT(Dong2),"",OFFSET(TH!E$1,SMALL(Dong2,ROWS($1:74)),))</f>
        <v/>
      </c>
      <c r="D85" s="353" t="str">
        <f ca="1">IF(ROWS($1:74)&gt;COUNT(Dong2),"",OFFSET(TH!F$1,SMALL(Dong2,ROWS($1:74)),))</f>
        <v/>
      </c>
      <c r="E85" s="194" t="str">
        <f ca="1">IF(ROWS($1:74)&gt;COUNT(Dong2),"",IF(OFFSET(TH!O$1,SMALL(Dong2,ROWS($1:74)),)=$I$6,OFFSET(TH!N$1,SMALL(Dong2,ROWS($1:74)),),OFFSET(TH!O$1,SMALL(Dong2,ROWS($1:74)),)))</f>
        <v/>
      </c>
      <c r="F85" s="1309" t="str">
        <f ca="1">IF(ROWS($1:74)&gt;COUNT(Dong2),"",IF(AND(IF($M$9="Q11",LEFT(OFFSET(TH!G$1,SMALL(Dong2,ROWS($1:74)),),3)=$M$9,LEFT(OFFSET(TH!G$1,SMALL(Dong2,ROWS($1:74)),),2)=$M$9),OFFSET(TH!N$1,SMALL(Dong2,ROWS($1:74)),)=$I$6),IF($I$6="1121",OFFSET(TH!M$1,SMALL(Dong2,ROWS($1:74)),),OFFSET(TH!K$1,SMALL(Dong2,ROWS($1:74)),)),0))</f>
        <v/>
      </c>
      <c r="G85" s="1315" t="str">
        <f ca="1">IF(ROWS($1:74)&gt;COUNT(Dong2),"",IF(AND(IF($M$9="Q11",RIGHT(OFFSET(TH!G$1,SMALL(Dong2,ROWS($1:74)),),3)=$M$9,RIGHT(OFFSET(TH!G$1,SMALL(Dong2,ROWS($1:74)),),2)=$M$9),OFFSET(TH!O$1,SMALL(Dong2,ROWS($1:74)),)=$I$6),IF($I$6="1121",OFFSET(TH!M$1,SMALL(Dong2,ROWS($1:74)),),OFFSET(TH!K$1,SMALL(Dong2,ROWS($1:74)),)),0))</f>
        <v/>
      </c>
      <c r="H85" s="1322">
        <f t="shared" ca="1" si="3"/>
        <v>0</v>
      </c>
      <c r="I85" s="902"/>
      <c r="L85" s="177"/>
    </row>
    <row r="86" spans="1:17" s="184" customFormat="1" ht="24" hidden="1" customHeight="1">
      <c r="A86" s="194" t="str">
        <f ca="1">IF(ROWS($1:75)&gt;COUNT(Dong2),"",OFFSET(TH!C$1,SMALL(Dong2,ROWS($1:75)),))</f>
        <v/>
      </c>
      <c r="B86" s="194" t="str">
        <f ca="1">IF(ROWS($1:75)&gt;COUNT(Dong2),"",OFFSET(TH!D$1,SMALL(Dong2,ROWS($1:75)),))</f>
        <v/>
      </c>
      <c r="C86" s="194" t="str">
        <f ca="1">IF(ROWS($1:75)&gt;COUNT(Dong2),"",OFFSET(TH!E$1,SMALL(Dong2,ROWS($1:75)),))</f>
        <v/>
      </c>
      <c r="D86" s="353" t="str">
        <f ca="1">IF(ROWS($1:75)&gt;COUNT(Dong2),"",OFFSET(TH!F$1,SMALL(Dong2,ROWS($1:75)),))</f>
        <v/>
      </c>
      <c r="E86" s="194" t="str">
        <f ca="1">IF(ROWS($1:75)&gt;COUNT(Dong2),"",IF(OFFSET(TH!O$1,SMALL(Dong2,ROWS($1:75)),)=$I$6,OFFSET(TH!N$1,SMALL(Dong2,ROWS($1:75)),),OFFSET(TH!O$1,SMALL(Dong2,ROWS($1:75)),)))</f>
        <v/>
      </c>
      <c r="F86" s="1309" t="str">
        <f ca="1">IF(ROWS($1:75)&gt;COUNT(Dong2),"",IF(AND(IF($M$9="Q11",LEFT(OFFSET(TH!G$1,SMALL(Dong2,ROWS($1:75)),),3)=$M$9,LEFT(OFFSET(TH!G$1,SMALL(Dong2,ROWS($1:75)),),2)=$M$9),OFFSET(TH!N$1,SMALL(Dong2,ROWS($1:75)),)=$I$6),IF($I$6="1121",OFFSET(TH!M$1,SMALL(Dong2,ROWS($1:75)),),OFFSET(TH!K$1,SMALL(Dong2,ROWS($1:75)),)),0))</f>
        <v/>
      </c>
      <c r="G86" s="1315" t="str">
        <f ca="1">IF(ROWS($1:75)&gt;COUNT(Dong2),"",IF(AND(IF($M$9="Q11",RIGHT(OFFSET(TH!G$1,SMALL(Dong2,ROWS($1:75)),),3)=$M$9,RIGHT(OFFSET(TH!G$1,SMALL(Dong2,ROWS($1:75)),),2)=$M$9),OFFSET(TH!O$1,SMALL(Dong2,ROWS($1:75)),)=$I$6),IF($I$6="1121",OFFSET(TH!M$1,SMALL(Dong2,ROWS($1:75)),),OFFSET(TH!K$1,SMALL(Dong2,ROWS($1:75)),)),0))</f>
        <v/>
      </c>
      <c r="H86" s="1322">
        <f t="shared" ca="1" si="3"/>
        <v>0</v>
      </c>
      <c r="I86" s="902"/>
      <c r="L86" s="177"/>
    </row>
    <row r="87" spans="1:17" s="184" customFormat="1" ht="24" hidden="1" customHeight="1">
      <c r="A87" s="194" t="str">
        <f ca="1">IF(ROWS($1:76)&gt;COUNT(Dong2),"",OFFSET(TH!C$1,SMALL(Dong2,ROWS($1:76)),))</f>
        <v/>
      </c>
      <c r="B87" s="194" t="str">
        <f ca="1">IF(ROWS($1:76)&gt;COUNT(Dong2),"",OFFSET(TH!D$1,SMALL(Dong2,ROWS($1:76)),))</f>
        <v/>
      </c>
      <c r="C87" s="194" t="str">
        <f ca="1">IF(ROWS($1:76)&gt;COUNT(Dong2),"",OFFSET(TH!E$1,SMALL(Dong2,ROWS($1:76)),))</f>
        <v/>
      </c>
      <c r="D87" s="353" t="str">
        <f ca="1">IF(ROWS($1:76)&gt;COUNT(Dong2),"",OFFSET(TH!F$1,SMALL(Dong2,ROWS($1:76)),))</f>
        <v/>
      </c>
      <c r="E87" s="194" t="str">
        <f ca="1">IF(ROWS($1:76)&gt;COUNT(Dong2),"",IF(OFFSET(TH!O$1,SMALL(Dong2,ROWS($1:76)),)=$I$6,OFFSET(TH!N$1,SMALL(Dong2,ROWS($1:76)),),OFFSET(TH!O$1,SMALL(Dong2,ROWS($1:76)),)))</f>
        <v/>
      </c>
      <c r="F87" s="1309" t="str">
        <f ca="1">IF(ROWS($1:76)&gt;COUNT(Dong2),"",IF(AND(IF($M$9="Q11",LEFT(OFFSET(TH!G$1,SMALL(Dong2,ROWS($1:76)),),3)=$M$9,LEFT(OFFSET(TH!G$1,SMALL(Dong2,ROWS($1:76)),),2)=$M$9),OFFSET(TH!N$1,SMALL(Dong2,ROWS($1:76)),)=$I$6),IF($I$6="1121",OFFSET(TH!M$1,SMALL(Dong2,ROWS($1:76)),),OFFSET(TH!K$1,SMALL(Dong2,ROWS($1:76)),)),0))</f>
        <v/>
      </c>
      <c r="G87" s="1315" t="str">
        <f ca="1">IF(ROWS($1:76)&gt;COUNT(Dong2),"",IF(AND(IF($M$9="Q11",RIGHT(OFFSET(TH!G$1,SMALL(Dong2,ROWS($1:76)),),3)=$M$9,RIGHT(OFFSET(TH!G$1,SMALL(Dong2,ROWS($1:76)),),2)=$M$9),OFFSET(TH!O$1,SMALL(Dong2,ROWS($1:76)),)=$I$6),IF($I$6="1121",OFFSET(TH!M$1,SMALL(Dong2,ROWS($1:76)),),OFFSET(TH!K$1,SMALL(Dong2,ROWS($1:76)),)),0))</f>
        <v/>
      </c>
      <c r="H87" s="1322">
        <f t="shared" ca="1" si="3"/>
        <v>0</v>
      </c>
      <c r="I87" s="902"/>
      <c r="L87" s="177"/>
    </row>
    <row r="88" spans="1:17" s="184" customFormat="1" ht="24" hidden="1" customHeight="1">
      <c r="A88" s="194" t="str">
        <f ca="1">IF(ROWS($1:77)&gt;COUNT(Dong2),"",OFFSET(TH!C$1,SMALL(Dong2,ROWS($1:77)),))</f>
        <v/>
      </c>
      <c r="B88" s="194" t="str">
        <f ca="1">IF(ROWS($1:77)&gt;COUNT(Dong2),"",OFFSET(TH!D$1,SMALL(Dong2,ROWS($1:77)),))</f>
        <v/>
      </c>
      <c r="C88" s="194" t="str">
        <f ca="1">IF(ROWS($1:77)&gt;COUNT(Dong2),"",OFFSET(TH!E$1,SMALL(Dong2,ROWS($1:77)),))</f>
        <v/>
      </c>
      <c r="D88" s="353" t="str">
        <f ca="1">IF(ROWS($1:77)&gt;COUNT(Dong2),"",OFFSET(TH!F$1,SMALL(Dong2,ROWS($1:77)),))</f>
        <v/>
      </c>
      <c r="E88" s="194" t="str">
        <f ca="1">IF(ROWS($1:77)&gt;COUNT(Dong2),"",IF(OFFSET(TH!O$1,SMALL(Dong2,ROWS($1:77)),)=$I$6,OFFSET(TH!N$1,SMALL(Dong2,ROWS($1:77)),),OFFSET(TH!O$1,SMALL(Dong2,ROWS($1:77)),)))</f>
        <v/>
      </c>
      <c r="F88" s="1309" t="str">
        <f ca="1">IF(ROWS($1:77)&gt;COUNT(Dong2),"",IF(AND(IF($M$9="Q11",LEFT(OFFSET(TH!G$1,SMALL(Dong2,ROWS($1:77)),),3)=$M$9,LEFT(OFFSET(TH!G$1,SMALL(Dong2,ROWS($1:77)),),2)=$M$9),OFFSET(TH!N$1,SMALL(Dong2,ROWS($1:77)),)=$I$6),IF($I$6="1121",OFFSET(TH!M$1,SMALL(Dong2,ROWS($1:77)),),OFFSET(TH!K$1,SMALL(Dong2,ROWS($1:77)),)),0))</f>
        <v/>
      </c>
      <c r="G88" s="1315" t="str">
        <f ca="1">IF(ROWS($1:77)&gt;COUNT(Dong2),"",IF(AND(IF($M$9="Q11",RIGHT(OFFSET(TH!G$1,SMALL(Dong2,ROWS($1:77)),),3)=$M$9,RIGHT(OFFSET(TH!G$1,SMALL(Dong2,ROWS($1:77)),),2)=$M$9),OFFSET(TH!O$1,SMALL(Dong2,ROWS($1:77)),)=$I$6),IF($I$6="1121",OFFSET(TH!M$1,SMALL(Dong2,ROWS($1:77)),),OFFSET(TH!K$1,SMALL(Dong2,ROWS($1:77)),)),0))</f>
        <v/>
      </c>
      <c r="H88" s="1322">
        <f t="shared" ca="1" si="3"/>
        <v>0</v>
      </c>
      <c r="I88" s="902"/>
      <c r="L88" s="177"/>
    </row>
    <row r="89" spans="1:17" s="184" customFormat="1" ht="24" hidden="1" customHeight="1">
      <c r="A89" s="194" t="str">
        <f ca="1">IF(ROWS($1:78)&gt;COUNT(Dong2),"",OFFSET(TH!C$1,SMALL(Dong2,ROWS($1:78)),))</f>
        <v/>
      </c>
      <c r="B89" s="194" t="str">
        <f ca="1">IF(ROWS($1:78)&gt;COUNT(Dong2),"",OFFSET(TH!D$1,SMALL(Dong2,ROWS($1:78)),))</f>
        <v/>
      </c>
      <c r="C89" s="194" t="str">
        <f ca="1">IF(ROWS($1:78)&gt;COUNT(Dong2),"",OFFSET(TH!E$1,SMALL(Dong2,ROWS($1:78)),))</f>
        <v/>
      </c>
      <c r="D89" s="353" t="str">
        <f ca="1">IF(ROWS($1:78)&gt;COUNT(Dong2),"",OFFSET(TH!F$1,SMALL(Dong2,ROWS($1:78)),))</f>
        <v/>
      </c>
      <c r="E89" s="194" t="str">
        <f ca="1">IF(ROWS($1:78)&gt;COUNT(Dong2),"",IF(OFFSET(TH!O$1,SMALL(Dong2,ROWS($1:78)),)=$I$6,OFFSET(TH!N$1,SMALL(Dong2,ROWS($1:78)),),OFFSET(TH!O$1,SMALL(Dong2,ROWS($1:78)),)))</f>
        <v/>
      </c>
      <c r="F89" s="1309" t="str">
        <f ca="1">IF(ROWS($1:78)&gt;COUNT(Dong2),"",IF(AND(IF($M$9="Q11",LEFT(OFFSET(TH!G$1,SMALL(Dong2,ROWS($1:78)),),3)=$M$9,LEFT(OFFSET(TH!G$1,SMALL(Dong2,ROWS($1:78)),),2)=$M$9),OFFSET(TH!N$1,SMALL(Dong2,ROWS($1:78)),)=$I$6),IF($I$6="1121",OFFSET(TH!M$1,SMALL(Dong2,ROWS($1:78)),),OFFSET(TH!K$1,SMALL(Dong2,ROWS($1:78)),)),0))</f>
        <v/>
      </c>
      <c r="G89" s="1315" t="str">
        <f ca="1">IF(ROWS($1:78)&gt;COUNT(Dong2),"",IF(AND(IF($M$9="Q11",RIGHT(OFFSET(TH!G$1,SMALL(Dong2,ROWS($1:78)),),3)=$M$9,RIGHT(OFFSET(TH!G$1,SMALL(Dong2,ROWS($1:78)),),2)=$M$9),OFFSET(TH!O$1,SMALL(Dong2,ROWS($1:78)),)=$I$6),IF($I$6="1121",OFFSET(TH!M$1,SMALL(Dong2,ROWS($1:78)),),OFFSET(TH!K$1,SMALL(Dong2,ROWS($1:78)),)),0))</f>
        <v/>
      </c>
      <c r="H89" s="1322">
        <f t="shared" ca="1" si="3"/>
        <v>0</v>
      </c>
      <c r="I89" s="902"/>
      <c r="L89" s="177"/>
    </row>
    <row r="90" spans="1:17" s="184" customFormat="1" ht="24" hidden="1" customHeight="1">
      <c r="A90" s="194" t="str">
        <f ca="1">IF(ROWS($1:79)&gt;COUNT(Dong2),"",OFFSET(TH!C$1,SMALL(Dong2,ROWS($1:79)),))</f>
        <v/>
      </c>
      <c r="B90" s="194" t="str">
        <f ca="1">IF(ROWS($1:79)&gt;COUNT(Dong2),"",OFFSET(TH!D$1,SMALL(Dong2,ROWS($1:79)),))</f>
        <v/>
      </c>
      <c r="C90" s="194" t="str">
        <f ca="1">IF(ROWS($1:79)&gt;COUNT(Dong2),"",OFFSET(TH!E$1,SMALL(Dong2,ROWS($1:79)),))</f>
        <v/>
      </c>
      <c r="D90" s="353" t="str">
        <f ca="1">IF(ROWS($1:79)&gt;COUNT(Dong2),"",OFFSET(TH!F$1,SMALL(Dong2,ROWS($1:79)),))</f>
        <v/>
      </c>
      <c r="E90" s="194" t="str">
        <f ca="1">IF(ROWS($1:79)&gt;COUNT(Dong2),"",IF(OFFSET(TH!O$1,SMALL(Dong2,ROWS($1:79)),)=$I$6,OFFSET(TH!N$1,SMALL(Dong2,ROWS($1:79)),),OFFSET(TH!O$1,SMALL(Dong2,ROWS($1:79)),)))</f>
        <v/>
      </c>
      <c r="F90" s="1309" t="str">
        <f ca="1">IF(ROWS($1:79)&gt;COUNT(Dong2),"",IF(AND(IF($M$9="Q11",LEFT(OFFSET(TH!G$1,SMALL(Dong2,ROWS($1:79)),),3)=$M$9,LEFT(OFFSET(TH!G$1,SMALL(Dong2,ROWS($1:79)),),2)=$M$9),OFFSET(TH!N$1,SMALL(Dong2,ROWS($1:79)),)=$I$6),IF($I$6="1121",OFFSET(TH!M$1,SMALL(Dong2,ROWS($1:79)),),OFFSET(TH!K$1,SMALL(Dong2,ROWS($1:79)),)),0))</f>
        <v/>
      </c>
      <c r="G90" s="1315" t="str">
        <f ca="1">IF(ROWS($1:79)&gt;COUNT(Dong2),"",IF(AND(IF($M$9="Q11",RIGHT(OFFSET(TH!G$1,SMALL(Dong2,ROWS($1:79)),),3)=$M$9,RIGHT(OFFSET(TH!G$1,SMALL(Dong2,ROWS($1:79)),),2)=$M$9),OFFSET(TH!O$1,SMALL(Dong2,ROWS($1:79)),)=$I$6),IF($I$6="1121",OFFSET(TH!M$1,SMALL(Dong2,ROWS($1:79)),),OFFSET(TH!K$1,SMALL(Dong2,ROWS($1:79)),)),0))</f>
        <v/>
      </c>
      <c r="H90" s="1322">
        <f t="shared" ca="1" si="3"/>
        <v>0</v>
      </c>
      <c r="I90" s="902"/>
      <c r="L90" s="177"/>
    </row>
    <row r="91" spans="1:17" s="184" customFormat="1" ht="24" hidden="1" customHeight="1">
      <c r="A91" s="194" t="str">
        <f ca="1">IF(ROWS($1:80)&gt;COUNT(Dong2),"",OFFSET(TH!C$1,SMALL(Dong2,ROWS($1:80)),))</f>
        <v/>
      </c>
      <c r="B91" s="194" t="str">
        <f ca="1">IF(ROWS($1:80)&gt;COUNT(Dong2),"",OFFSET(TH!D$1,SMALL(Dong2,ROWS($1:80)),))</f>
        <v/>
      </c>
      <c r="C91" s="194" t="str">
        <f ca="1">IF(ROWS($1:80)&gt;COUNT(Dong2),"",OFFSET(TH!E$1,SMALL(Dong2,ROWS($1:80)),))</f>
        <v/>
      </c>
      <c r="D91" s="353" t="str">
        <f ca="1">IF(ROWS($1:80)&gt;COUNT(Dong2),"",OFFSET(TH!F$1,SMALL(Dong2,ROWS($1:80)),))</f>
        <v/>
      </c>
      <c r="E91" s="194" t="str">
        <f ca="1">IF(ROWS($1:80)&gt;COUNT(Dong2),"",IF(OFFSET(TH!O$1,SMALL(Dong2,ROWS($1:80)),)=$I$6,OFFSET(TH!N$1,SMALL(Dong2,ROWS($1:80)),),OFFSET(TH!O$1,SMALL(Dong2,ROWS($1:80)),)))</f>
        <v/>
      </c>
      <c r="F91" s="1309" t="str">
        <f ca="1">IF(ROWS($1:80)&gt;COUNT(Dong2),"",IF(AND(IF($M$9="Q11",LEFT(OFFSET(TH!G$1,SMALL(Dong2,ROWS($1:80)),),3)=$M$9,LEFT(OFFSET(TH!G$1,SMALL(Dong2,ROWS($1:80)),),2)=$M$9),OFFSET(TH!N$1,SMALL(Dong2,ROWS($1:80)),)=$I$6),IF($I$6="1121",OFFSET(TH!M$1,SMALL(Dong2,ROWS($1:80)),),OFFSET(TH!K$1,SMALL(Dong2,ROWS($1:80)),)),0))</f>
        <v/>
      </c>
      <c r="G91" s="1315" t="str">
        <f ca="1">IF(ROWS($1:80)&gt;COUNT(Dong2),"",IF(AND(IF($M$9="Q11",RIGHT(OFFSET(TH!G$1,SMALL(Dong2,ROWS($1:80)),),3)=$M$9,RIGHT(OFFSET(TH!G$1,SMALL(Dong2,ROWS($1:80)),),2)=$M$9),OFFSET(TH!O$1,SMALL(Dong2,ROWS($1:80)),)=$I$6),IF($I$6="1121",OFFSET(TH!M$1,SMALL(Dong2,ROWS($1:80)),),OFFSET(TH!K$1,SMALL(Dong2,ROWS($1:80)),)),0))</f>
        <v/>
      </c>
      <c r="H91" s="1322">
        <f t="shared" ca="1" si="3"/>
        <v>0</v>
      </c>
      <c r="I91" s="902"/>
      <c r="L91" s="177"/>
    </row>
    <row r="92" spans="1:17" s="184" customFormat="1" ht="24" hidden="1" customHeight="1">
      <c r="A92" s="194" t="str">
        <f ca="1">IF(ROWS($1:81)&gt;COUNT(Dong2),"",OFFSET(TH!C$1,SMALL(Dong2,ROWS($1:81)),))</f>
        <v/>
      </c>
      <c r="B92" s="194" t="str">
        <f ca="1">IF(ROWS($1:81)&gt;COUNT(Dong2),"",OFFSET(TH!D$1,SMALL(Dong2,ROWS($1:81)),))</f>
        <v/>
      </c>
      <c r="C92" s="194" t="str">
        <f ca="1">IF(ROWS($1:81)&gt;COUNT(Dong2),"",OFFSET(TH!E$1,SMALL(Dong2,ROWS($1:81)),))</f>
        <v/>
      </c>
      <c r="D92" s="353" t="str">
        <f ca="1">IF(ROWS($1:81)&gt;COUNT(Dong2),"",OFFSET(TH!F$1,SMALL(Dong2,ROWS($1:81)),))</f>
        <v/>
      </c>
      <c r="E92" s="194" t="str">
        <f ca="1">IF(ROWS($1:81)&gt;COUNT(Dong2),"",IF(OFFSET(TH!O$1,SMALL(Dong2,ROWS($1:81)),)=$I$6,OFFSET(TH!N$1,SMALL(Dong2,ROWS($1:81)),),OFFSET(TH!O$1,SMALL(Dong2,ROWS($1:81)),)))</f>
        <v/>
      </c>
      <c r="F92" s="1309" t="str">
        <f ca="1">IF(ROWS($1:81)&gt;COUNT(Dong2),"",IF(AND(IF($M$9="Q11",LEFT(OFFSET(TH!G$1,SMALL(Dong2,ROWS($1:81)),),3)=$M$9,LEFT(OFFSET(TH!G$1,SMALL(Dong2,ROWS($1:81)),),2)=$M$9),OFFSET(TH!N$1,SMALL(Dong2,ROWS($1:81)),)=$I$6),IF($I$6="1121",OFFSET(TH!M$1,SMALL(Dong2,ROWS($1:81)),),OFFSET(TH!K$1,SMALL(Dong2,ROWS($1:81)),)),0))</f>
        <v/>
      </c>
      <c r="G92" s="1315" t="str">
        <f ca="1">IF(ROWS($1:81)&gt;COUNT(Dong2),"",IF(AND(IF($M$9="Q11",RIGHT(OFFSET(TH!G$1,SMALL(Dong2,ROWS($1:81)),),3)=$M$9,RIGHT(OFFSET(TH!G$1,SMALL(Dong2,ROWS($1:81)),),2)=$M$9),OFFSET(TH!O$1,SMALL(Dong2,ROWS($1:81)),)=$I$6),IF($I$6="1121",OFFSET(TH!M$1,SMALL(Dong2,ROWS($1:81)),),OFFSET(TH!K$1,SMALL(Dong2,ROWS($1:81)),)),0))</f>
        <v/>
      </c>
      <c r="H92" s="1322">
        <f t="shared" ca="1" si="3"/>
        <v>0</v>
      </c>
      <c r="I92" s="902"/>
      <c r="L92" s="177"/>
      <c r="O92" s="900"/>
    </row>
    <row r="93" spans="1:17" s="184" customFormat="1" ht="24" hidden="1" customHeight="1">
      <c r="A93" s="194" t="str">
        <f ca="1">IF(ROWS($1:82)&gt;COUNT(Dong2),"",OFFSET(TH!C$1,SMALL(Dong2,ROWS($1:82)),))</f>
        <v/>
      </c>
      <c r="B93" s="194" t="str">
        <f ca="1">IF(ROWS($1:82)&gt;COUNT(Dong2),"",OFFSET(TH!D$1,SMALL(Dong2,ROWS($1:82)),))</f>
        <v/>
      </c>
      <c r="C93" s="194" t="str">
        <f ca="1">IF(ROWS($1:82)&gt;COUNT(Dong2),"",OFFSET(TH!E$1,SMALL(Dong2,ROWS($1:82)),))</f>
        <v/>
      </c>
      <c r="D93" s="353" t="str">
        <f ca="1">IF(ROWS($1:82)&gt;COUNT(Dong2),"",OFFSET(TH!F$1,SMALL(Dong2,ROWS($1:82)),))</f>
        <v/>
      </c>
      <c r="E93" s="194" t="str">
        <f ca="1">IF(ROWS($1:82)&gt;COUNT(Dong2),"",IF(OFFSET(TH!O$1,SMALL(Dong2,ROWS($1:82)),)=$I$6,OFFSET(TH!N$1,SMALL(Dong2,ROWS($1:82)),),OFFSET(TH!O$1,SMALL(Dong2,ROWS($1:82)),)))</f>
        <v/>
      </c>
      <c r="F93" s="1309" t="str">
        <f ca="1">IF(ROWS($1:82)&gt;COUNT(Dong2),"",IF(AND(IF($M$9="Q11",LEFT(OFFSET(TH!G$1,SMALL(Dong2,ROWS($1:82)),),3)=$M$9,LEFT(OFFSET(TH!G$1,SMALL(Dong2,ROWS($1:82)),),2)=$M$9),OFFSET(TH!N$1,SMALL(Dong2,ROWS($1:82)),)=$I$6),IF($I$6="1121",OFFSET(TH!M$1,SMALL(Dong2,ROWS($1:82)),),OFFSET(TH!K$1,SMALL(Dong2,ROWS($1:82)),)),0))</f>
        <v/>
      </c>
      <c r="G93" s="1315" t="str">
        <f ca="1">IF(ROWS($1:82)&gt;COUNT(Dong2),"",IF(AND(IF($M$9="Q11",RIGHT(OFFSET(TH!G$1,SMALL(Dong2,ROWS($1:82)),),3)=$M$9,RIGHT(OFFSET(TH!G$1,SMALL(Dong2,ROWS($1:82)),),2)=$M$9),OFFSET(TH!O$1,SMALL(Dong2,ROWS($1:82)),)=$I$6),IF($I$6="1121",OFFSET(TH!M$1,SMALL(Dong2,ROWS($1:82)),),OFFSET(TH!K$1,SMALL(Dong2,ROWS($1:82)),)),0))</f>
        <v/>
      </c>
      <c r="H93" s="1322">
        <f t="shared" ca="1" si="3"/>
        <v>0</v>
      </c>
      <c r="I93" s="902"/>
      <c r="L93" s="177"/>
    </row>
    <row r="94" spans="1:17" s="184" customFormat="1" ht="24" hidden="1" customHeight="1">
      <c r="A94" s="194" t="str">
        <f ca="1">IF(ROWS($1:83)&gt;COUNT(Dong2),"",OFFSET(TH!C$1,SMALL(Dong2,ROWS($1:83)),))</f>
        <v/>
      </c>
      <c r="B94" s="194" t="str">
        <f ca="1">IF(ROWS($1:83)&gt;COUNT(Dong2),"",OFFSET(TH!D$1,SMALL(Dong2,ROWS($1:83)),))</f>
        <v/>
      </c>
      <c r="C94" s="194" t="str">
        <f ca="1">IF(ROWS($1:83)&gt;COUNT(Dong2),"",OFFSET(TH!E$1,SMALL(Dong2,ROWS($1:83)),))</f>
        <v/>
      </c>
      <c r="D94" s="353" t="str">
        <f ca="1">IF(ROWS($1:83)&gt;COUNT(Dong2),"",OFFSET(TH!F$1,SMALL(Dong2,ROWS($1:83)),))</f>
        <v/>
      </c>
      <c r="E94" s="194" t="str">
        <f ca="1">IF(ROWS($1:83)&gt;COUNT(Dong2),"",IF(OFFSET(TH!O$1,SMALL(Dong2,ROWS($1:83)),)=$I$6,OFFSET(TH!N$1,SMALL(Dong2,ROWS($1:83)),),OFFSET(TH!O$1,SMALL(Dong2,ROWS($1:83)),)))</f>
        <v/>
      </c>
      <c r="F94" s="1309" t="str">
        <f ca="1">IF(ROWS($1:83)&gt;COUNT(Dong2),"",IF(AND(IF($M$9="Q11",LEFT(OFFSET(TH!G$1,SMALL(Dong2,ROWS($1:83)),),3)=$M$9,LEFT(OFFSET(TH!G$1,SMALL(Dong2,ROWS($1:83)),),2)=$M$9),OFFSET(TH!N$1,SMALL(Dong2,ROWS($1:83)),)=$I$6),IF($I$6="1121",OFFSET(TH!M$1,SMALL(Dong2,ROWS($1:83)),),OFFSET(TH!K$1,SMALL(Dong2,ROWS($1:83)),)),0))</f>
        <v/>
      </c>
      <c r="G94" s="1315" t="str">
        <f ca="1">IF(ROWS($1:83)&gt;COUNT(Dong2),"",IF(AND(IF($M$9="Q11",RIGHT(OFFSET(TH!G$1,SMALL(Dong2,ROWS($1:83)),),3)=$M$9,RIGHT(OFFSET(TH!G$1,SMALL(Dong2,ROWS($1:83)),),2)=$M$9),OFFSET(TH!O$1,SMALL(Dong2,ROWS($1:83)),)=$I$6),IF($I$6="1121",OFFSET(TH!M$1,SMALL(Dong2,ROWS($1:83)),),OFFSET(TH!K$1,SMALL(Dong2,ROWS($1:83)),)),0))</f>
        <v/>
      </c>
      <c r="H94" s="1322">
        <f t="shared" ref="H94:H123" ca="1" si="5">IF(A94&lt;&gt;"",H93+F94-G94,0)</f>
        <v>0</v>
      </c>
      <c r="I94" s="902"/>
      <c r="L94" s="177"/>
      <c r="O94" s="1088"/>
    </row>
    <row r="95" spans="1:17" s="184" customFormat="1" ht="24" hidden="1" customHeight="1">
      <c r="A95" s="194" t="str">
        <f ca="1">IF(ROWS($1:84)&gt;COUNT(Dong2),"",OFFSET(TH!C$1,SMALL(Dong2,ROWS($1:84)),))</f>
        <v/>
      </c>
      <c r="B95" s="194" t="str">
        <f ca="1">IF(ROWS($1:84)&gt;COUNT(Dong2),"",OFFSET(TH!D$1,SMALL(Dong2,ROWS($1:84)),))</f>
        <v/>
      </c>
      <c r="C95" s="194" t="str">
        <f ca="1">IF(ROWS($1:84)&gt;COUNT(Dong2),"",OFFSET(TH!E$1,SMALL(Dong2,ROWS($1:84)),))</f>
        <v/>
      </c>
      <c r="D95" s="353" t="str">
        <f ca="1">IF(ROWS($1:84)&gt;COUNT(Dong2),"",OFFSET(TH!F$1,SMALL(Dong2,ROWS($1:84)),))</f>
        <v/>
      </c>
      <c r="E95" s="194" t="str">
        <f ca="1">IF(ROWS($1:84)&gt;COUNT(Dong2),"",IF(OFFSET(TH!O$1,SMALL(Dong2,ROWS($1:84)),)=$I$6,OFFSET(TH!N$1,SMALL(Dong2,ROWS($1:84)),),OFFSET(TH!O$1,SMALL(Dong2,ROWS($1:84)),)))</f>
        <v/>
      </c>
      <c r="F95" s="1309" t="str">
        <f ca="1">IF(ROWS($1:84)&gt;COUNT(Dong2),"",IF(AND(IF($M$9="Q11",LEFT(OFFSET(TH!G$1,SMALL(Dong2,ROWS($1:84)),),3)=$M$9,LEFT(OFFSET(TH!G$1,SMALL(Dong2,ROWS($1:84)),),2)=$M$9),OFFSET(TH!N$1,SMALL(Dong2,ROWS($1:84)),)=$I$6),IF($I$6="1121",OFFSET(TH!M$1,SMALL(Dong2,ROWS($1:84)),),OFFSET(TH!K$1,SMALL(Dong2,ROWS($1:84)),)),0))</f>
        <v/>
      </c>
      <c r="G95" s="1315" t="str">
        <f ca="1">IF(ROWS($1:84)&gt;COUNT(Dong2),"",IF(AND(IF($M$9="Q11",RIGHT(OFFSET(TH!G$1,SMALL(Dong2,ROWS($1:84)),),3)=$M$9,RIGHT(OFFSET(TH!G$1,SMALL(Dong2,ROWS($1:84)),),2)=$M$9),OFFSET(TH!O$1,SMALL(Dong2,ROWS($1:84)),)=$I$6),IF($I$6="1121",OFFSET(TH!M$1,SMALL(Dong2,ROWS($1:84)),),OFFSET(TH!K$1,SMALL(Dong2,ROWS($1:84)),)),0))</f>
        <v/>
      </c>
      <c r="H95" s="1322">
        <f t="shared" ca="1" si="5"/>
        <v>0</v>
      </c>
      <c r="I95" s="902"/>
      <c r="L95" s="177"/>
    </row>
    <row r="96" spans="1:17" s="184" customFormat="1" ht="24" hidden="1" customHeight="1">
      <c r="A96" s="194" t="str">
        <f ca="1">IF(ROWS($1:85)&gt;COUNT(Dong2),"",OFFSET(TH!C$1,SMALL(Dong2,ROWS($1:85)),))</f>
        <v/>
      </c>
      <c r="B96" s="194" t="str">
        <f ca="1">IF(ROWS($1:85)&gt;COUNT(Dong2),"",OFFSET(TH!D$1,SMALL(Dong2,ROWS($1:85)),))</f>
        <v/>
      </c>
      <c r="C96" s="194" t="str">
        <f ca="1">IF(ROWS($1:85)&gt;COUNT(Dong2),"",OFFSET(TH!E$1,SMALL(Dong2,ROWS($1:85)),))</f>
        <v/>
      </c>
      <c r="D96" s="353" t="str">
        <f ca="1">IF(ROWS($1:85)&gt;COUNT(Dong2),"",OFFSET(TH!F$1,SMALL(Dong2,ROWS($1:85)),))</f>
        <v/>
      </c>
      <c r="E96" s="194" t="str">
        <f ca="1">IF(ROWS($1:85)&gt;COUNT(Dong2),"",IF(OFFSET(TH!O$1,SMALL(Dong2,ROWS($1:85)),)=$I$6,OFFSET(TH!N$1,SMALL(Dong2,ROWS($1:85)),),OFFSET(TH!O$1,SMALL(Dong2,ROWS($1:85)),)))</f>
        <v/>
      </c>
      <c r="F96" s="1309" t="str">
        <f ca="1">IF(ROWS($1:85)&gt;COUNT(Dong2),"",IF(AND(IF($M$9="Q11",LEFT(OFFSET(TH!G$1,SMALL(Dong2,ROWS($1:85)),),3)=$M$9,LEFT(OFFSET(TH!G$1,SMALL(Dong2,ROWS($1:85)),),2)=$M$9),OFFSET(TH!N$1,SMALL(Dong2,ROWS($1:85)),)=$I$6),IF($I$6="1121",OFFSET(TH!M$1,SMALL(Dong2,ROWS($1:85)),),OFFSET(TH!K$1,SMALL(Dong2,ROWS($1:85)),)),0))</f>
        <v/>
      </c>
      <c r="G96" s="1315" t="str">
        <f ca="1">IF(ROWS($1:85)&gt;COUNT(Dong2),"",IF(AND(IF($M$9="Q11",RIGHT(OFFSET(TH!G$1,SMALL(Dong2,ROWS($1:85)),),3)=$M$9,RIGHT(OFFSET(TH!G$1,SMALL(Dong2,ROWS($1:85)),),2)=$M$9),OFFSET(TH!O$1,SMALL(Dong2,ROWS($1:85)),)=$I$6),IF($I$6="1121",OFFSET(TH!M$1,SMALL(Dong2,ROWS($1:85)),),OFFSET(TH!K$1,SMALL(Dong2,ROWS($1:85)),)),0))</f>
        <v/>
      </c>
      <c r="H96" s="1322">
        <f t="shared" ca="1" si="5"/>
        <v>0</v>
      </c>
      <c r="I96" s="902"/>
      <c r="L96" s="177"/>
    </row>
    <row r="97" spans="1:17" s="184" customFormat="1" ht="24" hidden="1" customHeight="1">
      <c r="A97" s="194" t="str">
        <f ca="1">IF(ROWS($1:86)&gt;COUNT(Dong2),"",OFFSET(TH!C$1,SMALL(Dong2,ROWS($1:86)),))</f>
        <v/>
      </c>
      <c r="B97" s="194" t="str">
        <f ca="1">IF(ROWS($1:86)&gt;COUNT(Dong2),"",OFFSET(TH!D$1,SMALL(Dong2,ROWS($1:86)),))</f>
        <v/>
      </c>
      <c r="C97" s="194" t="str">
        <f ca="1">IF(ROWS($1:86)&gt;COUNT(Dong2),"",OFFSET(TH!E$1,SMALL(Dong2,ROWS($1:86)),))</f>
        <v/>
      </c>
      <c r="D97" s="353" t="str">
        <f ca="1">IF(ROWS($1:86)&gt;COUNT(Dong2),"",OFFSET(TH!F$1,SMALL(Dong2,ROWS($1:86)),))</f>
        <v/>
      </c>
      <c r="E97" s="194" t="str">
        <f ca="1">IF(ROWS($1:86)&gt;COUNT(Dong2),"",IF(OFFSET(TH!O$1,SMALL(Dong2,ROWS($1:86)),)=$I$6,OFFSET(TH!N$1,SMALL(Dong2,ROWS($1:86)),),OFFSET(TH!O$1,SMALL(Dong2,ROWS($1:86)),)))</f>
        <v/>
      </c>
      <c r="F97" s="1309" t="str">
        <f ca="1">IF(ROWS($1:86)&gt;COUNT(Dong2),"",IF(AND(IF($M$9="Q11",LEFT(OFFSET(TH!G$1,SMALL(Dong2,ROWS($1:86)),),3)=$M$9,LEFT(OFFSET(TH!G$1,SMALL(Dong2,ROWS($1:86)),),2)=$M$9),OFFSET(TH!N$1,SMALL(Dong2,ROWS($1:86)),)=$I$6),IF($I$6="1121",OFFSET(TH!M$1,SMALL(Dong2,ROWS($1:86)),),OFFSET(TH!K$1,SMALL(Dong2,ROWS($1:86)),)),0))</f>
        <v/>
      </c>
      <c r="G97" s="1315" t="str">
        <f ca="1">IF(ROWS($1:86)&gt;COUNT(Dong2),"",IF(AND(IF($M$9="Q11",RIGHT(OFFSET(TH!G$1,SMALL(Dong2,ROWS($1:86)),),3)=$M$9,RIGHT(OFFSET(TH!G$1,SMALL(Dong2,ROWS($1:86)),),2)=$M$9),OFFSET(TH!O$1,SMALL(Dong2,ROWS($1:86)),)=$I$6),IF($I$6="1121",OFFSET(TH!M$1,SMALL(Dong2,ROWS($1:86)),),OFFSET(TH!K$1,SMALL(Dong2,ROWS($1:86)),)),0))</f>
        <v/>
      </c>
      <c r="H97" s="1322">
        <f t="shared" ca="1" si="5"/>
        <v>0</v>
      </c>
      <c r="I97" s="902"/>
      <c r="L97" s="177"/>
    </row>
    <row r="98" spans="1:17" s="184" customFormat="1" ht="24" hidden="1" customHeight="1">
      <c r="A98" s="194" t="str">
        <f ca="1">IF(ROWS($1:87)&gt;COUNT(Dong2),"",OFFSET(TH!C$1,SMALL(Dong2,ROWS($1:87)),))</f>
        <v/>
      </c>
      <c r="B98" s="194" t="str">
        <f ca="1">IF(ROWS($1:87)&gt;COUNT(Dong2),"",OFFSET(TH!D$1,SMALL(Dong2,ROWS($1:87)),))</f>
        <v/>
      </c>
      <c r="C98" s="194" t="str">
        <f ca="1">IF(ROWS($1:87)&gt;COUNT(Dong2),"",OFFSET(TH!E$1,SMALL(Dong2,ROWS($1:87)),))</f>
        <v/>
      </c>
      <c r="D98" s="353" t="str">
        <f ca="1">IF(ROWS($1:87)&gt;COUNT(Dong2),"",OFFSET(TH!F$1,SMALL(Dong2,ROWS($1:87)),))</f>
        <v/>
      </c>
      <c r="E98" s="194" t="str">
        <f ca="1">IF(ROWS($1:87)&gt;COUNT(Dong2),"",IF(OFFSET(TH!O$1,SMALL(Dong2,ROWS($1:87)),)=$I$6,OFFSET(TH!N$1,SMALL(Dong2,ROWS($1:87)),),OFFSET(TH!O$1,SMALL(Dong2,ROWS($1:87)),)))</f>
        <v/>
      </c>
      <c r="F98" s="1309" t="str">
        <f ca="1">IF(ROWS($1:87)&gt;COUNT(Dong2),"",IF(AND(IF($M$9="Q11",LEFT(OFFSET(TH!G$1,SMALL(Dong2,ROWS($1:87)),),3)=$M$9,LEFT(OFFSET(TH!G$1,SMALL(Dong2,ROWS($1:87)),),2)=$M$9),OFFSET(TH!N$1,SMALL(Dong2,ROWS($1:87)),)=$I$6),IF($I$6="1121",OFFSET(TH!M$1,SMALL(Dong2,ROWS($1:87)),),OFFSET(TH!K$1,SMALL(Dong2,ROWS($1:87)),)),0))</f>
        <v/>
      </c>
      <c r="G98" s="1315" t="str">
        <f ca="1">IF(ROWS($1:87)&gt;COUNT(Dong2),"",IF(AND(IF($M$9="Q11",RIGHT(OFFSET(TH!G$1,SMALL(Dong2,ROWS($1:87)),),3)=$M$9,RIGHT(OFFSET(TH!G$1,SMALL(Dong2,ROWS($1:87)),),2)=$M$9),OFFSET(TH!O$1,SMALL(Dong2,ROWS($1:87)),)=$I$6),IF($I$6="1121",OFFSET(TH!M$1,SMALL(Dong2,ROWS($1:87)),),OFFSET(TH!K$1,SMALL(Dong2,ROWS($1:87)),)),0))</f>
        <v/>
      </c>
      <c r="H98" s="1322">
        <f t="shared" ca="1" si="5"/>
        <v>0</v>
      </c>
      <c r="I98" s="902"/>
      <c r="L98" s="177"/>
    </row>
    <row r="99" spans="1:17" s="184" customFormat="1" ht="24" hidden="1" customHeight="1">
      <c r="A99" s="194" t="str">
        <f ca="1">IF(ROWS($1:88)&gt;COUNT(Dong2),"",OFFSET(TH!C$1,SMALL(Dong2,ROWS($1:88)),))</f>
        <v/>
      </c>
      <c r="B99" s="194" t="str">
        <f ca="1">IF(ROWS($1:88)&gt;COUNT(Dong2),"",OFFSET(TH!D$1,SMALL(Dong2,ROWS($1:88)),))</f>
        <v/>
      </c>
      <c r="C99" s="194" t="str">
        <f ca="1">IF(ROWS($1:88)&gt;COUNT(Dong2),"",OFFSET(TH!E$1,SMALL(Dong2,ROWS($1:88)),))</f>
        <v/>
      </c>
      <c r="D99" s="353" t="str">
        <f ca="1">IF(ROWS($1:88)&gt;COUNT(Dong2),"",OFFSET(TH!F$1,SMALL(Dong2,ROWS($1:88)),))</f>
        <v/>
      </c>
      <c r="E99" s="194" t="str">
        <f ca="1">IF(ROWS($1:88)&gt;COUNT(Dong2),"",IF(OFFSET(TH!O$1,SMALL(Dong2,ROWS($1:88)),)=$I$6,OFFSET(TH!N$1,SMALL(Dong2,ROWS($1:88)),),OFFSET(TH!O$1,SMALL(Dong2,ROWS($1:88)),)))</f>
        <v/>
      </c>
      <c r="F99" s="1309" t="str">
        <f ca="1">IF(ROWS($1:88)&gt;COUNT(Dong2),"",IF(AND(IF($M$9="Q11",LEFT(OFFSET(TH!G$1,SMALL(Dong2,ROWS($1:88)),),3)=$M$9,LEFT(OFFSET(TH!G$1,SMALL(Dong2,ROWS($1:88)),),2)=$M$9),OFFSET(TH!N$1,SMALL(Dong2,ROWS($1:88)),)=$I$6),IF($I$6="1121",OFFSET(TH!M$1,SMALL(Dong2,ROWS($1:88)),),OFFSET(TH!K$1,SMALL(Dong2,ROWS($1:88)),)),0))</f>
        <v/>
      </c>
      <c r="G99" s="1315" t="str">
        <f ca="1">IF(ROWS($1:88)&gt;COUNT(Dong2),"",IF(AND(IF($M$9="Q11",RIGHT(OFFSET(TH!G$1,SMALL(Dong2,ROWS($1:88)),),3)=$M$9,RIGHT(OFFSET(TH!G$1,SMALL(Dong2,ROWS($1:88)),),2)=$M$9),OFFSET(TH!O$1,SMALL(Dong2,ROWS($1:88)),)=$I$6),IF($I$6="1121",OFFSET(TH!M$1,SMALL(Dong2,ROWS($1:88)),),OFFSET(TH!K$1,SMALL(Dong2,ROWS($1:88)),)),0))</f>
        <v/>
      </c>
      <c r="H99" s="1322">
        <f t="shared" ca="1" si="5"/>
        <v>0</v>
      </c>
      <c r="I99" s="902"/>
      <c r="L99" s="177"/>
    </row>
    <row r="100" spans="1:17" s="184" customFormat="1" ht="24" hidden="1" customHeight="1">
      <c r="A100" s="194" t="str">
        <f ca="1">IF(ROWS($1:89)&gt;COUNT(Dong2),"",OFFSET(TH!C$1,SMALL(Dong2,ROWS($1:89)),))</f>
        <v/>
      </c>
      <c r="B100" s="194" t="str">
        <f ca="1">IF(ROWS($1:89)&gt;COUNT(Dong2),"",OFFSET(TH!D$1,SMALL(Dong2,ROWS($1:89)),))</f>
        <v/>
      </c>
      <c r="C100" s="194" t="str">
        <f ca="1">IF(ROWS($1:89)&gt;COUNT(Dong2),"",OFFSET(TH!E$1,SMALL(Dong2,ROWS($1:89)),))</f>
        <v/>
      </c>
      <c r="D100" s="353" t="str">
        <f ca="1">IF(ROWS($1:89)&gt;COUNT(Dong2),"",OFFSET(TH!F$1,SMALL(Dong2,ROWS($1:89)),))</f>
        <v/>
      </c>
      <c r="E100" s="194" t="str">
        <f ca="1">IF(ROWS($1:89)&gt;COUNT(Dong2),"",IF(OFFSET(TH!O$1,SMALL(Dong2,ROWS($1:89)),)=$I$6,OFFSET(TH!N$1,SMALL(Dong2,ROWS($1:89)),),OFFSET(TH!O$1,SMALL(Dong2,ROWS($1:89)),)))</f>
        <v/>
      </c>
      <c r="F100" s="1309" t="str">
        <f ca="1">IF(ROWS($1:89)&gt;COUNT(Dong2),"",IF(AND(IF($M$9="Q11",LEFT(OFFSET(TH!G$1,SMALL(Dong2,ROWS($1:89)),),3)=$M$9,LEFT(OFFSET(TH!G$1,SMALL(Dong2,ROWS($1:89)),),2)=$M$9),OFFSET(TH!N$1,SMALL(Dong2,ROWS($1:89)),)=$I$6),IF($I$6="1121",OFFSET(TH!M$1,SMALL(Dong2,ROWS($1:89)),),OFFSET(TH!K$1,SMALL(Dong2,ROWS($1:89)),)),0))</f>
        <v/>
      </c>
      <c r="G100" s="1315" t="str">
        <f ca="1">IF(ROWS($1:89)&gt;COUNT(Dong2),"",IF(AND(IF($M$9="Q11",RIGHT(OFFSET(TH!G$1,SMALL(Dong2,ROWS($1:89)),),3)=$M$9,RIGHT(OFFSET(TH!G$1,SMALL(Dong2,ROWS($1:89)),),2)=$M$9),OFFSET(TH!O$1,SMALL(Dong2,ROWS($1:89)),)=$I$6),IF($I$6="1121",OFFSET(TH!M$1,SMALL(Dong2,ROWS($1:89)),),OFFSET(TH!K$1,SMALL(Dong2,ROWS($1:89)),)),0))</f>
        <v/>
      </c>
      <c r="H100" s="1322">
        <f t="shared" ca="1" si="5"/>
        <v>0</v>
      </c>
      <c r="I100" s="902"/>
      <c r="L100" s="1302"/>
    </row>
    <row r="101" spans="1:17" s="184" customFormat="1" ht="24" hidden="1" customHeight="1">
      <c r="A101" s="194" t="str">
        <f ca="1">IF(ROWS($1:90)&gt;COUNT(Dong2),"",OFFSET(TH!C$1,SMALL(Dong2,ROWS($1:90)),))</f>
        <v/>
      </c>
      <c r="B101" s="194" t="str">
        <f ca="1">IF(ROWS($1:90)&gt;COUNT(Dong2),"",OFFSET(TH!D$1,SMALL(Dong2,ROWS($1:90)),))</f>
        <v/>
      </c>
      <c r="C101" s="194" t="str">
        <f ca="1">IF(ROWS($1:90)&gt;COUNT(Dong2),"",OFFSET(TH!E$1,SMALL(Dong2,ROWS($1:90)),))</f>
        <v/>
      </c>
      <c r="D101" s="353" t="str">
        <f ca="1">IF(ROWS($1:90)&gt;COUNT(Dong2),"",OFFSET(TH!F$1,SMALL(Dong2,ROWS($1:90)),))</f>
        <v/>
      </c>
      <c r="E101" s="194" t="str">
        <f ca="1">IF(ROWS($1:90)&gt;COUNT(Dong2),"",IF(OFFSET(TH!O$1,SMALL(Dong2,ROWS($1:90)),)=$I$6,OFFSET(TH!N$1,SMALL(Dong2,ROWS($1:90)),),OFFSET(TH!O$1,SMALL(Dong2,ROWS($1:90)),)))</f>
        <v/>
      </c>
      <c r="F101" s="1309" t="str">
        <f ca="1">IF(ROWS($1:90)&gt;COUNT(Dong2),"",IF(AND(IF($M$9="Q11",LEFT(OFFSET(TH!G$1,SMALL(Dong2,ROWS($1:90)),),3)=$M$9,LEFT(OFFSET(TH!G$1,SMALL(Dong2,ROWS($1:90)),),2)=$M$9),OFFSET(TH!N$1,SMALL(Dong2,ROWS($1:90)),)=$I$6),IF($I$6="1121",OFFSET(TH!M$1,SMALL(Dong2,ROWS($1:90)),),OFFSET(TH!K$1,SMALL(Dong2,ROWS($1:90)),)),0))</f>
        <v/>
      </c>
      <c r="G101" s="1315" t="str">
        <f ca="1">IF(ROWS($1:90)&gt;COUNT(Dong2),"",IF(AND(IF($M$9="Q11",RIGHT(OFFSET(TH!G$1,SMALL(Dong2,ROWS($1:90)),),3)=$M$9,RIGHT(OFFSET(TH!G$1,SMALL(Dong2,ROWS($1:90)),),2)=$M$9),OFFSET(TH!O$1,SMALL(Dong2,ROWS($1:90)),)=$I$6),IF($I$6="1121",OFFSET(TH!M$1,SMALL(Dong2,ROWS($1:90)),),OFFSET(TH!K$1,SMALL(Dong2,ROWS($1:90)),)),0))</f>
        <v/>
      </c>
      <c r="H101" s="1322">
        <f t="shared" ca="1" si="5"/>
        <v>0</v>
      </c>
      <c r="I101" s="902"/>
      <c r="L101" s="177"/>
    </row>
    <row r="102" spans="1:17" s="184" customFormat="1" ht="24" hidden="1" customHeight="1">
      <c r="A102" s="194" t="str">
        <f ca="1">IF(ROWS($1:91)&gt;COUNT(Dong2),"",OFFSET(TH!C$1,SMALL(Dong2,ROWS($1:91)),))</f>
        <v/>
      </c>
      <c r="B102" s="194" t="str">
        <f ca="1">IF(ROWS($1:91)&gt;COUNT(Dong2),"",OFFSET(TH!D$1,SMALL(Dong2,ROWS($1:91)),))</f>
        <v/>
      </c>
      <c r="C102" s="194" t="str">
        <f ca="1">IF(ROWS($1:91)&gt;COUNT(Dong2),"",OFFSET(TH!E$1,SMALL(Dong2,ROWS($1:91)),))</f>
        <v/>
      </c>
      <c r="D102" s="353" t="str">
        <f ca="1">IF(ROWS($1:91)&gt;COUNT(Dong2),"",OFFSET(TH!F$1,SMALL(Dong2,ROWS($1:91)),))</f>
        <v/>
      </c>
      <c r="E102" s="194" t="str">
        <f ca="1">IF(ROWS($1:91)&gt;COUNT(Dong2),"",IF(OFFSET(TH!O$1,SMALL(Dong2,ROWS($1:91)),)=$I$6,OFFSET(TH!N$1,SMALL(Dong2,ROWS($1:91)),),OFFSET(TH!O$1,SMALL(Dong2,ROWS($1:91)),)))</f>
        <v/>
      </c>
      <c r="F102" s="1309" t="str">
        <f ca="1">IF(ROWS($1:91)&gt;COUNT(Dong2),"",IF(AND(IF($M$9="Q11",LEFT(OFFSET(TH!G$1,SMALL(Dong2,ROWS($1:91)),),3)=$M$9,LEFT(OFFSET(TH!G$1,SMALL(Dong2,ROWS($1:91)),),2)=$M$9),OFFSET(TH!N$1,SMALL(Dong2,ROWS($1:91)),)=$I$6),IF($I$6="1121",OFFSET(TH!M$1,SMALL(Dong2,ROWS($1:91)),),OFFSET(TH!K$1,SMALL(Dong2,ROWS($1:91)),)),0))</f>
        <v/>
      </c>
      <c r="G102" s="1315" t="str">
        <f ca="1">IF(ROWS($1:91)&gt;COUNT(Dong2),"",IF(AND(IF($M$9="Q11",RIGHT(OFFSET(TH!G$1,SMALL(Dong2,ROWS($1:91)),),3)=$M$9,RIGHT(OFFSET(TH!G$1,SMALL(Dong2,ROWS($1:91)),),2)=$M$9),OFFSET(TH!O$1,SMALL(Dong2,ROWS($1:91)),)=$I$6),IF($I$6="1121",OFFSET(TH!M$1,SMALL(Dong2,ROWS($1:91)),),OFFSET(TH!K$1,SMALL(Dong2,ROWS($1:91)),)),0))</f>
        <v/>
      </c>
      <c r="H102" s="1322">
        <f t="shared" ca="1" si="5"/>
        <v>0</v>
      </c>
      <c r="I102" s="902"/>
      <c r="L102" s="177"/>
    </row>
    <row r="103" spans="1:17" s="184" customFormat="1" ht="24" hidden="1" customHeight="1">
      <c r="A103" s="194" t="str">
        <f ca="1">IF(ROWS($1:92)&gt;COUNT(Dong2),"",OFFSET(TH!C$1,SMALL(Dong2,ROWS($1:92)),))</f>
        <v/>
      </c>
      <c r="B103" s="194" t="str">
        <f ca="1">IF(ROWS($1:92)&gt;COUNT(Dong2),"",OFFSET(TH!D$1,SMALL(Dong2,ROWS($1:92)),))</f>
        <v/>
      </c>
      <c r="C103" s="194" t="str">
        <f ca="1">IF(ROWS($1:92)&gt;COUNT(Dong2),"",OFFSET(TH!E$1,SMALL(Dong2,ROWS($1:92)),))</f>
        <v/>
      </c>
      <c r="D103" s="353" t="str">
        <f ca="1">IF(ROWS($1:92)&gt;COUNT(Dong2),"",OFFSET(TH!F$1,SMALL(Dong2,ROWS($1:92)),))</f>
        <v/>
      </c>
      <c r="E103" s="194" t="str">
        <f ca="1">IF(ROWS($1:92)&gt;COUNT(Dong2),"",IF(OFFSET(TH!O$1,SMALL(Dong2,ROWS($1:92)),)=$I$6,OFFSET(TH!N$1,SMALL(Dong2,ROWS($1:92)),),OFFSET(TH!O$1,SMALL(Dong2,ROWS($1:92)),)))</f>
        <v/>
      </c>
      <c r="F103" s="1309" t="str">
        <f ca="1">IF(ROWS($1:92)&gt;COUNT(Dong2),"",IF(AND(IF($M$9="Q11",LEFT(OFFSET(TH!G$1,SMALL(Dong2,ROWS($1:92)),),3)=$M$9,LEFT(OFFSET(TH!G$1,SMALL(Dong2,ROWS($1:92)),),2)=$M$9),OFFSET(TH!N$1,SMALL(Dong2,ROWS($1:92)),)=$I$6),IF($I$6="1121",OFFSET(TH!M$1,SMALL(Dong2,ROWS($1:92)),),OFFSET(TH!K$1,SMALL(Dong2,ROWS($1:92)),)),0))</f>
        <v/>
      </c>
      <c r="G103" s="1315" t="str">
        <f ca="1">IF(ROWS($1:92)&gt;COUNT(Dong2),"",IF(AND(IF($M$9="Q11",RIGHT(OFFSET(TH!G$1,SMALL(Dong2,ROWS($1:92)),),3)=$M$9,RIGHT(OFFSET(TH!G$1,SMALL(Dong2,ROWS($1:92)),),2)=$M$9),OFFSET(TH!O$1,SMALL(Dong2,ROWS($1:92)),)=$I$6),IF($I$6="1121",OFFSET(TH!M$1,SMALL(Dong2,ROWS($1:92)),),OFFSET(TH!K$1,SMALL(Dong2,ROWS($1:92)),)),0))</f>
        <v/>
      </c>
      <c r="H103" s="1322">
        <f t="shared" ca="1" si="5"/>
        <v>0</v>
      </c>
      <c r="I103" s="902"/>
      <c r="L103" s="177"/>
    </row>
    <row r="104" spans="1:17" s="184" customFormat="1" ht="24" hidden="1" customHeight="1">
      <c r="A104" s="194" t="str">
        <f ca="1">IF(ROWS($1:93)&gt;COUNT(Dong2),"",OFFSET(TH!C$1,SMALL(Dong2,ROWS($1:93)),))</f>
        <v/>
      </c>
      <c r="B104" s="194" t="str">
        <f ca="1">IF(ROWS($1:93)&gt;COUNT(Dong2),"",OFFSET(TH!D$1,SMALL(Dong2,ROWS($1:93)),))</f>
        <v/>
      </c>
      <c r="C104" s="194" t="str">
        <f ca="1">IF(ROWS($1:93)&gt;COUNT(Dong2),"",OFFSET(TH!E$1,SMALL(Dong2,ROWS($1:93)),))</f>
        <v/>
      </c>
      <c r="D104" s="353" t="str">
        <f ca="1">IF(ROWS($1:93)&gt;COUNT(Dong2),"",OFFSET(TH!F$1,SMALL(Dong2,ROWS($1:93)),))</f>
        <v/>
      </c>
      <c r="E104" s="194" t="str">
        <f ca="1">IF(ROWS($1:93)&gt;COUNT(Dong2),"",IF(OFFSET(TH!O$1,SMALL(Dong2,ROWS($1:93)),)=$I$6,OFFSET(TH!N$1,SMALL(Dong2,ROWS($1:93)),),OFFSET(TH!O$1,SMALL(Dong2,ROWS($1:93)),)))</f>
        <v/>
      </c>
      <c r="F104" s="1309" t="str">
        <f ca="1">IF(ROWS($1:93)&gt;COUNT(Dong2),"",IF(AND(IF($M$9="Q11",LEFT(OFFSET(TH!G$1,SMALL(Dong2,ROWS($1:93)),),3)=$M$9,LEFT(OFFSET(TH!G$1,SMALL(Dong2,ROWS($1:93)),),2)=$M$9),OFFSET(TH!N$1,SMALL(Dong2,ROWS($1:93)),)=$I$6),IF($I$6="1121",OFFSET(TH!M$1,SMALL(Dong2,ROWS($1:93)),),OFFSET(TH!K$1,SMALL(Dong2,ROWS($1:93)),)),0))</f>
        <v/>
      </c>
      <c r="G104" s="1315" t="str">
        <f ca="1">IF(ROWS($1:93)&gt;COUNT(Dong2),"",IF(AND(IF($M$9="Q11",RIGHT(OFFSET(TH!G$1,SMALL(Dong2,ROWS($1:93)),),3)=$M$9,RIGHT(OFFSET(TH!G$1,SMALL(Dong2,ROWS($1:93)),),2)=$M$9),OFFSET(TH!O$1,SMALL(Dong2,ROWS($1:93)),)=$I$6),IF($I$6="1121",OFFSET(TH!M$1,SMALL(Dong2,ROWS($1:93)),),OFFSET(TH!K$1,SMALL(Dong2,ROWS($1:93)),)),0))</f>
        <v/>
      </c>
      <c r="H104" s="1322">
        <f t="shared" ca="1" si="5"/>
        <v>0</v>
      </c>
      <c r="I104" s="902"/>
      <c r="L104" s="177"/>
    </row>
    <row r="105" spans="1:17" s="184" customFormat="1" ht="24" hidden="1" customHeight="1">
      <c r="A105" s="194" t="str">
        <f ca="1">IF(ROWS($1:94)&gt;COUNT(Dong2),"",OFFSET(TH!C$1,SMALL(Dong2,ROWS($1:94)),))</f>
        <v/>
      </c>
      <c r="B105" s="194" t="str">
        <f ca="1">IF(ROWS($1:94)&gt;COUNT(Dong2),"",OFFSET(TH!D$1,SMALL(Dong2,ROWS($1:94)),))</f>
        <v/>
      </c>
      <c r="C105" s="194" t="str">
        <f ca="1">IF(ROWS($1:94)&gt;COUNT(Dong2),"",OFFSET(TH!E$1,SMALL(Dong2,ROWS($1:94)),))</f>
        <v/>
      </c>
      <c r="D105" s="353" t="str">
        <f ca="1">IF(ROWS($1:94)&gt;COUNT(Dong2),"",OFFSET(TH!F$1,SMALL(Dong2,ROWS($1:94)),))</f>
        <v/>
      </c>
      <c r="E105" s="194" t="str">
        <f ca="1">IF(ROWS($1:94)&gt;COUNT(Dong2),"",IF(OFFSET(TH!O$1,SMALL(Dong2,ROWS($1:94)),)=$I$6,OFFSET(TH!N$1,SMALL(Dong2,ROWS($1:94)),),OFFSET(TH!O$1,SMALL(Dong2,ROWS($1:94)),)))</f>
        <v/>
      </c>
      <c r="F105" s="1309" t="str">
        <f ca="1">IF(ROWS($1:94)&gt;COUNT(Dong2),"",IF(AND(IF($M$9="Q11",LEFT(OFFSET(TH!G$1,SMALL(Dong2,ROWS($1:94)),),3)=$M$9,LEFT(OFFSET(TH!G$1,SMALL(Dong2,ROWS($1:94)),),2)=$M$9),OFFSET(TH!N$1,SMALL(Dong2,ROWS($1:94)),)=$I$6),IF($I$6="1121",OFFSET(TH!M$1,SMALL(Dong2,ROWS($1:94)),),OFFSET(TH!K$1,SMALL(Dong2,ROWS($1:94)),)),0))</f>
        <v/>
      </c>
      <c r="G105" s="1315" t="str">
        <f ca="1">IF(ROWS($1:94)&gt;COUNT(Dong2),"",IF(AND(IF($M$9="Q11",RIGHT(OFFSET(TH!G$1,SMALL(Dong2,ROWS($1:94)),),3)=$M$9,RIGHT(OFFSET(TH!G$1,SMALL(Dong2,ROWS($1:94)),),2)=$M$9),OFFSET(TH!O$1,SMALL(Dong2,ROWS($1:94)),)=$I$6),IF($I$6="1121",OFFSET(TH!M$1,SMALL(Dong2,ROWS($1:94)),),OFFSET(TH!K$1,SMALL(Dong2,ROWS($1:94)),)),0))</f>
        <v/>
      </c>
      <c r="H105" s="1322">
        <f t="shared" ca="1" si="5"/>
        <v>0</v>
      </c>
      <c r="I105" s="902"/>
      <c r="L105" s="177"/>
    </row>
    <row r="106" spans="1:17" s="184" customFormat="1" ht="24" hidden="1" customHeight="1">
      <c r="A106" s="194" t="str">
        <f ca="1">IF(ROWS($1:95)&gt;COUNT(Dong2),"",OFFSET(TH!C$1,SMALL(Dong2,ROWS($1:95)),))</f>
        <v/>
      </c>
      <c r="B106" s="194" t="str">
        <f ca="1">IF(ROWS($1:95)&gt;COUNT(Dong2),"",OFFSET(TH!D$1,SMALL(Dong2,ROWS($1:95)),))</f>
        <v/>
      </c>
      <c r="C106" s="194" t="str">
        <f ca="1">IF(ROWS($1:95)&gt;COUNT(Dong2),"",OFFSET(TH!E$1,SMALL(Dong2,ROWS($1:95)),))</f>
        <v/>
      </c>
      <c r="D106" s="353" t="str">
        <f ca="1">IF(ROWS($1:95)&gt;COUNT(Dong2),"",OFFSET(TH!F$1,SMALL(Dong2,ROWS($1:95)),))</f>
        <v/>
      </c>
      <c r="E106" s="194" t="str">
        <f ca="1">IF(ROWS($1:95)&gt;COUNT(Dong2),"",IF(OFFSET(TH!O$1,SMALL(Dong2,ROWS($1:95)),)=$I$6,OFFSET(TH!N$1,SMALL(Dong2,ROWS($1:95)),),OFFSET(TH!O$1,SMALL(Dong2,ROWS($1:95)),)))</f>
        <v/>
      </c>
      <c r="F106" s="1309" t="str">
        <f ca="1">IF(ROWS($1:95)&gt;COUNT(Dong2),"",IF(AND(IF($M$9="Q11",LEFT(OFFSET(TH!G$1,SMALL(Dong2,ROWS($1:95)),),3)=$M$9,LEFT(OFFSET(TH!G$1,SMALL(Dong2,ROWS($1:95)),),2)=$M$9),OFFSET(TH!N$1,SMALL(Dong2,ROWS($1:95)),)=$I$6),IF($I$6="1121",OFFSET(TH!M$1,SMALL(Dong2,ROWS($1:95)),),OFFSET(TH!K$1,SMALL(Dong2,ROWS($1:95)),)),0))</f>
        <v/>
      </c>
      <c r="G106" s="1315" t="str">
        <f ca="1">IF(ROWS($1:95)&gt;COUNT(Dong2),"",IF(AND(IF($M$9="Q11",RIGHT(OFFSET(TH!G$1,SMALL(Dong2,ROWS($1:95)),),3)=$M$9,RIGHT(OFFSET(TH!G$1,SMALL(Dong2,ROWS($1:95)),),2)=$M$9),OFFSET(TH!O$1,SMALL(Dong2,ROWS($1:95)),)=$I$6),IF($I$6="1121",OFFSET(TH!M$1,SMALL(Dong2,ROWS($1:95)),),OFFSET(TH!K$1,SMALL(Dong2,ROWS($1:95)),)),0))</f>
        <v/>
      </c>
      <c r="H106" s="1322">
        <f t="shared" ca="1" si="5"/>
        <v>0</v>
      </c>
      <c r="I106" s="902"/>
      <c r="L106" s="177"/>
    </row>
    <row r="107" spans="1:17" s="184" customFormat="1" ht="24" hidden="1" customHeight="1">
      <c r="A107" s="194" t="str">
        <f ca="1">IF(ROWS($1:96)&gt;COUNT(Dong2),"",OFFSET(TH!C$1,SMALL(Dong2,ROWS($1:96)),))</f>
        <v/>
      </c>
      <c r="B107" s="194" t="str">
        <f ca="1">IF(ROWS($1:96)&gt;COUNT(Dong2),"",OFFSET(TH!D$1,SMALL(Dong2,ROWS($1:96)),))</f>
        <v/>
      </c>
      <c r="C107" s="194" t="str">
        <f ca="1">IF(ROWS($1:96)&gt;COUNT(Dong2),"",OFFSET(TH!E$1,SMALL(Dong2,ROWS($1:96)),))</f>
        <v/>
      </c>
      <c r="D107" s="353" t="str">
        <f ca="1">IF(ROWS($1:96)&gt;COUNT(Dong2),"",OFFSET(TH!F$1,SMALL(Dong2,ROWS($1:96)),))</f>
        <v/>
      </c>
      <c r="E107" s="194" t="str">
        <f ca="1">IF(ROWS($1:96)&gt;COUNT(Dong2),"",IF(OFFSET(TH!O$1,SMALL(Dong2,ROWS($1:96)),)=$I$6,OFFSET(TH!N$1,SMALL(Dong2,ROWS($1:96)),),OFFSET(TH!O$1,SMALL(Dong2,ROWS($1:96)),)))</f>
        <v/>
      </c>
      <c r="F107" s="1309" t="str">
        <f ca="1">IF(ROWS($1:96)&gt;COUNT(Dong2),"",IF(AND(IF($M$9="Q11",LEFT(OFFSET(TH!G$1,SMALL(Dong2,ROWS($1:96)),),3)=$M$9,LEFT(OFFSET(TH!G$1,SMALL(Dong2,ROWS($1:96)),),2)=$M$9),OFFSET(TH!N$1,SMALL(Dong2,ROWS($1:96)),)=$I$6),IF($I$6="1121",OFFSET(TH!M$1,SMALL(Dong2,ROWS($1:96)),),OFFSET(TH!K$1,SMALL(Dong2,ROWS($1:96)),)),0))</f>
        <v/>
      </c>
      <c r="G107" s="1315" t="str">
        <f ca="1">IF(ROWS($1:96)&gt;COUNT(Dong2),"",IF(AND(IF($M$9="Q11",RIGHT(OFFSET(TH!G$1,SMALL(Dong2,ROWS($1:96)),),3)=$M$9,RIGHT(OFFSET(TH!G$1,SMALL(Dong2,ROWS($1:96)),),2)=$M$9),OFFSET(TH!O$1,SMALL(Dong2,ROWS($1:96)),)=$I$6),IF($I$6="1121",OFFSET(TH!M$1,SMALL(Dong2,ROWS($1:96)),),OFFSET(TH!K$1,SMALL(Dong2,ROWS($1:96)),)),0))</f>
        <v/>
      </c>
      <c r="H107" s="1322">
        <f t="shared" ca="1" si="5"/>
        <v>0</v>
      </c>
      <c r="I107" s="902"/>
      <c r="L107" s="177"/>
    </row>
    <row r="108" spans="1:17" s="184" customFormat="1" ht="24" hidden="1" customHeight="1">
      <c r="A108" s="194" t="str">
        <f ca="1">IF(ROWS($1:97)&gt;COUNT(Dong2),"",OFFSET(TH!C$1,SMALL(Dong2,ROWS($1:97)),))</f>
        <v/>
      </c>
      <c r="B108" s="194" t="str">
        <f ca="1">IF(ROWS($1:97)&gt;COUNT(Dong2),"",OFFSET(TH!D$1,SMALL(Dong2,ROWS($1:97)),))</f>
        <v/>
      </c>
      <c r="C108" s="194" t="str">
        <f ca="1">IF(ROWS($1:97)&gt;COUNT(Dong2),"",OFFSET(TH!E$1,SMALL(Dong2,ROWS($1:97)),))</f>
        <v/>
      </c>
      <c r="D108" s="353" t="str">
        <f ca="1">IF(ROWS($1:97)&gt;COUNT(Dong2),"",OFFSET(TH!F$1,SMALL(Dong2,ROWS($1:97)),))</f>
        <v/>
      </c>
      <c r="E108" s="194" t="str">
        <f ca="1">IF(ROWS($1:97)&gt;COUNT(Dong2),"",IF(OFFSET(TH!O$1,SMALL(Dong2,ROWS($1:97)),)=$I$6,OFFSET(TH!N$1,SMALL(Dong2,ROWS($1:97)),),OFFSET(TH!O$1,SMALL(Dong2,ROWS($1:97)),)))</f>
        <v/>
      </c>
      <c r="F108" s="1309" t="str">
        <f ca="1">IF(ROWS($1:97)&gt;COUNT(Dong2),"",IF(AND(IF($M$9="Q11",LEFT(OFFSET(TH!G$1,SMALL(Dong2,ROWS($1:97)),),3)=$M$9,LEFT(OFFSET(TH!G$1,SMALL(Dong2,ROWS($1:97)),),2)=$M$9),OFFSET(TH!N$1,SMALL(Dong2,ROWS($1:97)),)=$I$6),IF($I$6="1121",OFFSET(TH!M$1,SMALL(Dong2,ROWS($1:97)),),OFFSET(TH!K$1,SMALL(Dong2,ROWS($1:97)),)),0))</f>
        <v/>
      </c>
      <c r="G108" s="1315" t="str">
        <f ca="1">IF(ROWS($1:97)&gt;COUNT(Dong2),"",IF(AND(IF($M$9="Q11",RIGHT(OFFSET(TH!G$1,SMALL(Dong2,ROWS($1:97)),),3)=$M$9,RIGHT(OFFSET(TH!G$1,SMALL(Dong2,ROWS($1:97)),),2)=$M$9),OFFSET(TH!O$1,SMALL(Dong2,ROWS($1:97)),)=$I$6),IF($I$6="1121",OFFSET(TH!M$1,SMALL(Dong2,ROWS($1:97)),),OFFSET(TH!K$1,SMALL(Dong2,ROWS($1:97)),)),0))</f>
        <v/>
      </c>
      <c r="H108" s="1322">
        <f t="shared" ca="1" si="5"/>
        <v>0</v>
      </c>
      <c r="I108" s="902"/>
      <c r="L108" s="177"/>
    </row>
    <row r="109" spans="1:17" s="184" customFormat="1" ht="24" hidden="1" customHeight="1">
      <c r="A109" s="194" t="str">
        <f ca="1">IF(ROWS($1:98)&gt;COUNT(Dong2),"",OFFSET(TH!C$1,SMALL(Dong2,ROWS($1:98)),))</f>
        <v/>
      </c>
      <c r="B109" s="194" t="str">
        <f ca="1">IF(ROWS($1:98)&gt;COUNT(Dong2),"",OFFSET(TH!D$1,SMALL(Dong2,ROWS($1:98)),))</f>
        <v/>
      </c>
      <c r="C109" s="194" t="str">
        <f ca="1">IF(ROWS($1:98)&gt;COUNT(Dong2),"",OFFSET(TH!E$1,SMALL(Dong2,ROWS($1:98)),))</f>
        <v/>
      </c>
      <c r="D109" s="353" t="str">
        <f ca="1">IF(ROWS($1:98)&gt;COUNT(Dong2),"",OFFSET(TH!F$1,SMALL(Dong2,ROWS($1:98)),))</f>
        <v/>
      </c>
      <c r="E109" s="194" t="str">
        <f ca="1">IF(ROWS($1:98)&gt;COUNT(Dong2),"",IF(OFFSET(TH!O$1,SMALL(Dong2,ROWS($1:98)),)=$I$6,OFFSET(TH!N$1,SMALL(Dong2,ROWS($1:98)),),OFFSET(TH!O$1,SMALL(Dong2,ROWS($1:98)),)))</f>
        <v/>
      </c>
      <c r="F109" s="1309" t="str">
        <f ca="1">IF(ROWS($1:98)&gt;COUNT(Dong2),"",IF(AND(IF($M$9="Q11",LEFT(OFFSET(TH!G$1,SMALL(Dong2,ROWS($1:98)),),3)=$M$9,LEFT(OFFSET(TH!G$1,SMALL(Dong2,ROWS($1:98)),),2)=$M$9),OFFSET(TH!N$1,SMALL(Dong2,ROWS($1:98)),)=$I$6),IF($I$6="1121",OFFSET(TH!M$1,SMALL(Dong2,ROWS($1:98)),),OFFSET(TH!K$1,SMALL(Dong2,ROWS($1:98)),)),0))</f>
        <v/>
      </c>
      <c r="G109" s="1315" t="str">
        <f ca="1">IF(ROWS($1:98)&gt;COUNT(Dong2),"",IF(AND(IF($M$9="Q11",RIGHT(OFFSET(TH!G$1,SMALL(Dong2,ROWS($1:98)),),3)=$M$9,RIGHT(OFFSET(TH!G$1,SMALL(Dong2,ROWS($1:98)),),2)=$M$9),OFFSET(TH!O$1,SMALL(Dong2,ROWS($1:98)),)=$I$6),IF($I$6="1121",OFFSET(TH!M$1,SMALL(Dong2,ROWS($1:98)),),OFFSET(TH!K$1,SMALL(Dong2,ROWS($1:98)),)),0))</f>
        <v/>
      </c>
      <c r="H109" s="1322">
        <f t="shared" ca="1" si="5"/>
        <v>0</v>
      </c>
      <c r="I109" s="902"/>
      <c r="L109" s="177"/>
    </row>
    <row r="110" spans="1:17" s="184" customFormat="1" ht="24" hidden="1" customHeight="1">
      <c r="A110" s="194" t="str">
        <f ca="1">IF(ROWS($1:99)&gt;COUNT(Dong2),"",OFFSET(TH!C$1,SMALL(Dong2,ROWS($1:99)),))</f>
        <v/>
      </c>
      <c r="B110" s="194" t="str">
        <f ca="1">IF(ROWS($1:99)&gt;COUNT(Dong2),"",OFFSET(TH!D$1,SMALL(Dong2,ROWS($1:99)),))</f>
        <v/>
      </c>
      <c r="C110" s="194" t="str">
        <f ca="1">IF(ROWS($1:99)&gt;COUNT(Dong2),"",OFFSET(TH!E$1,SMALL(Dong2,ROWS($1:99)),))</f>
        <v/>
      </c>
      <c r="D110" s="353" t="str">
        <f ca="1">IF(ROWS($1:99)&gt;COUNT(Dong2),"",OFFSET(TH!F$1,SMALL(Dong2,ROWS($1:99)),))</f>
        <v/>
      </c>
      <c r="E110" s="194" t="str">
        <f ca="1">IF(ROWS($1:99)&gt;COUNT(Dong2),"",IF(OFFSET(TH!O$1,SMALL(Dong2,ROWS($1:99)),)=$I$6,OFFSET(TH!N$1,SMALL(Dong2,ROWS($1:99)),),OFFSET(TH!O$1,SMALL(Dong2,ROWS($1:99)),)))</f>
        <v/>
      </c>
      <c r="F110" s="1309" t="str">
        <f ca="1">IF(ROWS($1:99)&gt;COUNT(Dong2),"",IF(AND(IF($M$9="Q11",LEFT(OFFSET(TH!G$1,SMALL(Dong2,ROWS($1:99)),),3)=$M$9,LEFT(OFFSET(TH!G$1,SMALL(Dong2,ROWS($1:99)),),2)=$M$9),OFFSET(TH!N$1,SMALL(Dong2,ROWS($1:99)),)=$I$6),IF($I$6="1121",OFFSET(TH!M$1,SMALL(Dong2,ROWS($1:99)),),OFFSET(TH!K$1,SMALL(Dong2,ROWS($1:99)),)),0))</f>
        <v/>
      </c>
      <c r="G110" s="1315" t="str">
        <f ca="1">IF(ROWS($1:99)&gt;COUNT(Dong2),"",IF(AND(IF($M$9="Q11",RIGHT(OFFSET(TH!G$1,SMALL(Dong2,ROWS($1:99)),),3)=$M$9,RIGHT(OFFSET(TH!G$1,SMALL(Dong2,ROWS($1:99)),),2)=$M$9),OFFSET(TH!O$1,SMALL(Dong2,ROWS($1:99)),)=$I$6),IF($I$6="1121",OFFSET(TH!M$1,SMALL(Dong2,ROWS($1:99)),),OFFSET(TH!K$1,SMALL(Dong2,ROWS($1:99)),)),0))</f>
        <v/>
      </c>
      <c r="H110" s="1322">
        <f t="shared" ca="1" si="5"/>
        <v>0</v>
      </c>
      <c r="I110" s="902"/>
      <c r="Q110" s="1206"/>
    </row>
    <row r="111" spans="1:17" s="184" customFormat="1" ht="24" hidden="1" customHeight="1">
      <c r="A111" s="194" t="str">
        <f ca="1">IF(ROWS($1:100)&gt;COUNT(Dong2),"",OFFSET(TH!C$1,SMALL(Dong2,ROWS($1:100)),))</f>
        <v/>
      </c>
      <c r="B111" s="194" t="str">
        <f ca="1">IF(ROWS($1:100)&gt;COUNT(Dong2),"",OFFSET(TH!D$1,SMALL(Dong2,ROWS($1:100)),))</f>
        <v/>
      </c>
      <c r="C111" s="194" t="str">
        <f ca="1">IF(ROWS($1:100)&gt;COUNT(Dong2),"",OFFSET(TH!E$1,SMALL(Dong2,ROWS($1:100)),))</f>
        <v/>
      </c>
      <c r="D111" s="353" t="str">
        <f ca="1">IF(ROWS($1:100)&gt;COUNT(Dong2),"",OFFSET(TH!F$1,SMALL(Dong2,ROWS($1:100)),))</f>
        <v/>
      </c>
      <c r="E111" s="194" t="str">
        <f ca="1">IF(ROWS($1:100)&gt;COUNT(Dong2),"",IF(OFFSET(TH!O$1,SMALL(Dong2,ROWS($1:100)),)=$I$6,OFFSET(TH!N$1,SMALL(Dong2,ROWS($1:100)),),OFFSET(TH!O$1,SMALL(Dong2,ROWS($1:100)),)))</f>
        <v/>
      </c>
      <c r="F111" s="1309" t="str">
        <f ca="1">IF(ROWS($1:100)&gt;COUNT(Dong2),"",IF(AND(IF($M$9="Q11",LEFT(OFFSET(TH!G$1,SMALL(Dong2,ROWS($1:100)),),3)=$M$9,LEFT(OFFSET(TH!G$1,SMALL(Dong2,ROWS($1:100)),),2)=$M$9),OFFSET(TH!N$1,SMALL(Dong2,ROWS($1:100)),)=$I$6),IF($I$6="1121",OFFSET(TH!M$1,SMALL(Dong2,ROWS($1:100)),),OFFSET(TH!K$1,SMALL(Dong2,ROWS($1:100)),)),0))</f>
        <v/>
      </c>
      <c r="G111" s="1315" t="str">
        <f ca="1">IF(ROWS($1:100)&gt;COUNT(Dong2),"",IF(AND(IF($M$9="Q11",RIGHT(OFFSET(TH!G$1,SMALL(Dong2,ROWS($1:100)),),3)=$M$9,RIGHT(OFFSET(TH!G$1,SMALL(Dong2,ROWS($1:100)),),2)=$M$9),OFFSET(TH!O$1,SMALL(Dong2,ROWS($1:100)),)=$I$6),IF($I$6="1121",OFFSET(TH!M$1,SMALL(Dong2,ROWS($1:100)),),OFFSET(TH!K$1,SMALL(Dong2,ROWS($1:100)),)),0))</f>
        <v/>
      </c>
      <c r="H111" s="1322">
        <f t="shared" ca="1" si="5"/>
        <v>0</v>
      </c>
      <c r="I111" s="902"/>
    </row>
    <row r="112" spans="1:17" s="184" customFormat="1" ht="24" hidden="1" customHeight="1">
      <c r="A112" s="194" t="str">
        <f ca="1">IF(ROWS($1:101)&gt;COUNT(Dong2),"",OFFSET(TH!C$1,SMALL(Dong2,ROWS($1:101)),))</f>
        <v/>
      </c>
      <c r="B112" s="194" t="str">
        <f ca="1">IF(ROWS($1:101)&gt;COUNT(Dong2),"",OFFSET(TH!D$1,SMALL(Dong2,ROWS($1:101)),))</f>
        <v/>
      </c>
      <c r="C112" s="194" t="str">
        <f ca="1">IF(ROWS($1:101)&gt;COUNT(Dong2),"",OFFSET(TH!E$1,SMALL(Dong2,ROWS($1:101)),))</f>
        <v/>
      </c>
      <c r="D112" s="353" t="str">
        <f ca="1">IF(ROWS($1:101)&gt;COUNT(Dong2),"",OFFSET(TH!F$1,SMALL(Dong2,ROWS($1:101)),))</f>
        <v/>
      </c>
      <c r="E112" s="194" t="str">
        <f ca="1">IF(ROWS($1:101)&gt;COUNT(Dong2),"",IF(OFFSET(TH!O$1,SMALL(Dong2,ROWS($1:101)),)=$I$6,OFFSET(TH!N$1,SMALL(Dong2,ROWS($1:101)),),OFFSET(TH!O$1,SMALL(Dong2,ROWS($1:101)),)))</f>
        <v/>
      </c>
      <c r="F112" s="1309" t="str">
        <f ca="1">IF(ROWS($1:101)&gt;COUNT(Dong2),"",IF(AND(IF($M$9="Q11",LEFT(OFFSET(TH!G$1,SMALL(Dong2,ROWS($1:101)),),3)=$M$9,LEFT(OFFSET(TH!G$1,SMALL(Dong2,ROWS($1:101)),),2)=$M$9),OFFSET(TH!N$1,SMALL(Dong2,ROWS($1:101)),)=$I$6),IF($I$6="1121",OFFSET(TH!M$1,SMALL(Dong2,ROWS($1:101)),),OFFSET(TH!K$1,SMALL(Dong2,ROWS($1:101)),)),0))</f>
        <v/>
      </c>
      <c r="G112" s="1315" t="str">
        <f ca="1">IF(ROWS($1:101)&gt;COUNT(Dong2),"",IF(AND(IF($M$9="Q11",RIGHT(OFFSET(TH!G$1,SMALL(Dong2,ROWS($1:101)),),3)=$M$9,RIGHT(OFFSET(TH!G$1,SMALL(Dong2,ROWS($1:101)),),2)=$M$9),OFFSET(TH!O$1,SMALL(Dong2,ROWS($1:101)),)=$I$6),IF($I$6="1121",OFFSET(TH!M$1,SMALL(Dong2,ROWS($1:101)),),OFFSET(TH!K$1,SMALL(Dong2,ROWS($1:101)),)),0))</f>
        <v/>
      </c>
      <c r="H112" s="1322">
        <f t="shared" ca="1" si="5"/>
        <v>0</v>
      </c>
      <c r="I112" s="902"/>
    </row>
    <row r="113" spans="1:17" s="184" customFormat="1" ht="24" hidden="1" customHeight="1">
      <c r="A113" s="194" t="str">
        <f ca="1">IF(ROWS($1:102)&gt;COUNT(Dong2),"",OFFSET(TH!C$1,SMALL(Dong2,ROWS($1:102)),))</f>
        <v/>
      </c>
      <c r="B113" s="194" t="str">
        <f ca="1">IF(ROWS($1:102)&gt;COUNT(Dong2),"",OFFSET(TH!D$1,SMALL(Dong2,ROWS($1:102)),))</f>
        <v/>
      </c>
      <c r="C113" s="194" t="str">
        <f ca="1">IF(ROWS($1:102)&gt;COUNT(Dong2),"",OFFSET(TH!E$1,SMALL(Dong2,ROWS($1:102)),))</f>
        <v/>
      </c>
      <c r="D113" s="353" t="str">
        <f ca="1">IF(ROWS($1:102)&gt;COUNT(Dong2),"",OFFSET(TH!F$1,SMALL(Dong2,ROWS($1:102)),))</f>
        <v/>
      </c>
      <c r="E113" s="194" t="str">
        <f ca="1">IF(ROWS($1:102)&gt;COUNT(Dong2),"",IF(OFFSET(TH!O$1,SMALL(Dong2,ROWS($1:102)),)=$I$6,OFFSET(TH!N$1,SMALL(Dong2,ROWS($1:102)),),OFFSET(TH!O$1,SMALL(Dong2,ROWS($1:102)),)))</f>
        <v/>
      </c>
      <c r="F113" s="1309" t="str">
        <f ca="1">IF(ROWS($1:102)&gt;COUNT(Dong2),"",IF(AND(IF($M$9="Q11",LEFT(OFFSET(TH!G$1,SMALL(Dong2,ROWS($1:102)),),3)=$M$9,LEFT(OFFSET(TH!G$1,SMALL(Dong2,ROWS($1:102)),),2)=$M$9),OFFSET(TH!N$1,SMALL(Dong2,ROWS($1:102)),)=$I$6),IF($I$6="1121",OFFSET(TH!M$1,SMALL(Dong2,ROWS($1:102)),),OFFSET(TH!K$1,SMALL(Dong2,ROWS($1:102)),)),0))</f>
        <v/>
      </c>
      <c r="G113" s="1315" t="str">
        <f ca="1">IF(ROWS($1:102)&gt;COUNT(Dong2),"",IF(AND(IF($M$9="Q11",RIGHT(OFFSET(TH!G$1,SMALL(Dong2,ROWS($1:102)),),3)=$M$9,RIGHT(OFFSET(TH!G$1,SMALL(Dong2,ROWS($1:102)),),2)=$M$9),OFFSET(TH!O$1,SMALL(Dong2,ROWS($1:102)),)=$I$6),IF($I$6="1121",OFFSET(TH!M$1,SMALL(Dong2,ROWS($1:102)),),OFFSET(TH!K$1,SMALL(Dong2,ROWS($1:102)),)),0))</f>
        <v/>
      </c>
      <c r="H113" s="1322">
        <f t="shared" ca="1" si="5"/>
        <v>0</v>
      </c>
      <c r="I113" s="902"/>
    </row>
    <row r="114" spans="1:17" s="184" customFormat="1" ht="24" hidden="1" customHeight="1">
      <c r="A114" s="194" t="str">
        <f ca="1">IF(ROWS($1:103)&gt;COUNT(Dong2),"",OFFSET(TH!C$1,SMALL(Dong2,ROWS($1:103)),))</f>
        <v/>
      </c>
      <c r="B114" s="194" t="str">
        <f ca="1">IF(ROWS($1:103)&gt;COUNT(Dong2),"",OFFSET(TH!D$1,SMALL(Dong2,ROWS($1:103)),))</f>
        <v/>
      </c>
      <c r="C114" s="194" t="str">
        <f ca="1">IF(ROWS($1:103)&gt;COUNT(Dong2),"",OFFSET(TH!E$1,SMALL(Dong2,ROWS($1:103)),))</f>
        <v/>
      </c>
      <c r="D114" s="353" t="str">
        <f ca="1">IF(ROWS($1:103)&gt;COUNT(Dong2),"",OFFSET(TH!F$1,SMALL(Dong2,ROWS($1:103)),))</f>
        <v/>
      </c>
      <c r="E114" s="194" t="str">
        <f ca="1">IF(ROWS($1:103)&gt;COUNT(Dong2),"",IF(OFFSET(TH!O$1,SMALL(Dong2,ROWS($1:103)),)=$I$6,OFFSET(TH!N$1,SMALL(Dong2,ROWS($1:103)),),OFFSET(TH!O$1,SMALL(Dong2,ROWS($1:103)),)))</f>
        <v/>
      </c>
      <c r="F114" s="1309" t="str">
        <f ca="1">IF(ROWS($1:103)&gt;COUNT(Dong2),"",IF(AND(IF($M$9="Q11",LEFT(OFFSET(TH!G$1,SMALL(Dong2,ROWS($1:103)),),3)=$M$9,LEFT(OFFSET(TH!G$1,SMALL(Dong2,ROWS($1:103)),),2)=$M$9),OFFSET(TH!N$1,SMALL(Dong2,ROWS($1:103)),)=$I$6),IF($I$6="1121",OFFSET(TH!M$1,SMALL(Dong2,ROWS($1:103)),),OFFSET(TH!K$1,SMALL(Dong2,ROWS($1:103)),)),0))</f>
        <v/>
      </c>
      <c r="G114" s="1315" t="str">
        <f ca="1">IF(ROWS($1:103)&gt;COUNT(Dong2),"",IF(AND(IF($M$9="Q11",RIGHT(OFFSET(TH!G$1,SMALL(Dong2,ROWS($1:103)),),3)=$M$9,RIGHT(OFFSET(TH!G$1,SMALL(Dong2,ROWS($1:103)),),2)=$M$9),OFFSET(TH!O$1,SMALL(Dong2,ROWS($1:103)),)=$I$6),IF($I$6="1121",OFFSET(TH!M$1,SMALL(Dong2,ROWS($1:103)),),OFFSET(TH!K$1,SMALL(Dong2,ROWS($1:103)),)),0))</f>
        <v/>
      </c>
      <c r="H114" s="1322">
        <f t="shared" ca="1" si="5"/>
        <v>0</v>
      </c>
      <c r="I114" s="902"/>
    </row>
    <row r="115" spans="1:17" s="184" customFormat="1" ht="24" hidden="1" customHeight="1">
      <c r="A115" s="194" t="str">
        <f ca="1">IF(ROWS($1:104)&gt;COUNT(Dong2),"",OFFSET(TH!C$1,SMALL(Dong2,ROWS($1:104)),))</f>
        <v/>
      </c>
      <c r="B115" s="194" t="str">
        <f ca="1">IF(ROWS($1:104)&gt;COUNT(Dong2),"",OFFSET(TH!D$1,SMALL(Dong2,ROWS($1:104)),))</f>
        <v/>
      </c>
      <c r="C115" s="194" t="str">
        <f ca="1">IF(ROWS($1:104)&gt;COUNT(Dong2),"",OFFSET(TH!E$1,SMALL(Dong2,ROWS($1:104)),))</f>
        <v/>
      </c>
      <c r="D115" s="353" t="str">
        <f ca="1">IF(ROWS($1:104)&gt;COUNT(Dong2),"",OFFSET(TH!F$1,SMALL(Dong2,ROWS($1:104)),))</f>
        <v/>
      </c>
      <c r="E115" s="194" t="str">
        <f ca="1">IF(ROWS($1:104)&gt;COUNT(Dong2),"",IF(OFFSET(TH!O$1,SMALL(Dong2,ROWS($1:104)),)=$I$6,OFFSET(TH!N$1,SMALL(Dong2,ROWS($1:104)),),OFFSET(TH!O$1,SMALL(Dong2,ROWS($1:104)),)))</f>
        <v/>
      </c>
      <c r="F115" s="1309" t="str">
        <f ca="1">IF(ROWS($1:104)&gt;COUNT(Dong2),"",IF(AND(IF($M$9="Q11",LEFT(OFFSET(TH!G$1,SMALL(Dong2,ROWS($1:104)),),3)=$M$9,LEFT(OFFSET(TH!G$1,SMALL(Dong2,ROWS($1:104)),),2)=$M$9),OFFSET(TH!N$1,SMALL(Dong2,ROWS($1:104)),)=$I$6),IF($I$6="1121",OFFSET(TH!M$1,SMALL(Dong2,ROWS($1:104)),),OFFSET(TH!K$1,SMALL(Dong2,ROWS($1:104)),)),0))</f>
        <v/>
      </c>
      <c r="G115" s="1315" t="str">
        <f ca="1">IF(ROWS($1:104)&gt;COUNT(Dong2),"",IF(AND(IF($M$9="Q11",RIGHT(OFFSET(TH!G$1,SMALL(Dong2,ROWS($1:104)),),3)=$M$9,RIGHT(OFFSET(TH!G$1,SMALL(Dong2,ROWS($1:104)),),2)=$M$9),OFFSET(TH!O$1,SMALL(Dong2,ROWS($1:104)),)=$I$6),IF($I$6="1121",OFFSET(TH!M$1,SMALL(Dong2,ROWS($1:104)),),OFFSET(TH!K$1,SMALL(Dong2,ROWS($1:104)),)),0))</f>
        <v/>
      </c>
      <c r="H115" s="1322">
        <f t="shared" ca="1" si="5"/>
        <v>0</v>
      </c>
      <c r="I115" s="902"/>
    </row>
    <row r="116" spans="1:17" s="184" customFormat="1" ht="24" hidden="1" customHeight="1">
      <c r="A116" s="194" t="str">
        <f ca="1">IF(ROWS($1:105)&gt;COUNT(Dong2),"",OFFSET(TH!C$1,SMALL(Dong2,ROWS($1:105)),))</f>
        <v/>
      </c>
      <c r="B116" s="194" t="str">
        <f ca="1">IF(ROWS($1:105)&gt;COUNT(Dong2),"",OFFSET(TH!D$1,SMALL(Dong2,ROWS($1:105)),))</f>
        <v/>
      </c>
      <c r="C116" s="194" t="str">
        <f ca="1">IF(ROWS($1:105)&gt;COUNT(Dong2),"",OFFSET(TH!E$1,SMALL(Dong2,ROWS($1:105)),))</f>
        <v/>
      </c>
      <c r="D116" s="353" t="str">
        <f ca="1">IF(ROWS($1:105)&gt;COUNT(Dong2),"",OFFSET(TH!F$1,SMALL(Dong2,ROWS($1:105)),))</f>
        <v/>
      </c>
      <c r="E116" s="194" t="str">
        <f ca="1">IF(ROWS($1:105)&gt;COUNT(Dong2),"",IF(OFFSET(TH!O$1,SMALL(Dong2,ROWS($1:105)),)=$I$6,OFFSET(TH!N$1,SMALL(Dong2,ROWS($1:105)),),OFFSET(TH!O$1,SMALL(Dong2,ROWS($1:105)),)))</f>
        <v/>
      </c>
      <c r="F116" s="1309" t="str">
        <f ca="1">IF(ROWS($1:105)&gt;COUNT(Dong2),"",IF(AND(IF($M$9="Q11",LEFT(OFFSET(TH!G$1,SMALL(Dong2,ROWS($1:105)),),3)=$M$9,LEFT(OFFSET(TH!G$1,SMALL(Dong2,ROWS($1:105)),),2)=$M$9),OFFSET(TH!N$1,SMALL(Dong2,ROWS($1:105)),)=$I$6),IF($I$6="1121",OFFSET(TH!M$1,SMALL(Dong2,ROWS($1:105)),),OFFSET(TH!K$1,SMALL(Dong2,ROWS($1:105)),)),0))</f>
        <v/>
      </c>
      <c r="G116" s="1315" t="str">
        <f ca="1">IF(ROWS($1:105)&gt;COUNT(Dong2),"",IF(AND(IF($M$9="Q11",RIGHT(OFFSET(TH!G$1,SMALL(Dong2,ROWS($1:105)),),3)=$M$9,RIGHT(OFFSET(TH!G$1,SMALL(Dong2,ROWS($1:105)),),2)=$M$9),OFFSET(TH!O$1,SMALL(Dong2,ROWS($1:105)),)=$I$6),IF($I$6="1121",OFFSET(TH!M$1,SMALL(Dong2,ROWS($1:105)),),OFFSET(TH!K$1,SMALL(Dong2,ROWS($1:105)),)),0))</f>
        <v/>
      </c>
      <c r="H116" s="1322">
        <f t="shared" ca="1" si="5"/>
        <v>0</v>
      </c>
      <c r="I116" s="902"/>
      <c r="Q116" s="1206"/>
    </row>
    <row r="117" spans="1:17" s="184" customFormat="1" ht="24" hidden="1" customHeight="1">
      <c r="A117" s="194" t="str">
        <f ca="1">IF(ROWS($1:106)&gt;COUNT(Dong2),"",OFFSET(TH!C$1,SMALL(Dong2,ROWS($1:106)),))</f>
        <v/>
      </c>
      <c r="B117" s="194" t="str">
        <f ca="1">IF(ROWS($1:106)&gt;COUNT(Dong2),"",OFFSET(TH!D$1,SMALL(Dong2,ROWS($1:106)),))</f>
        <v/>
      </c>
      <c r="C117" s="194" t="str">
        <f ca="1">IF(ROWS($1:106)&gt;COUNT(Dong2),"",OFFSET(TH!E$1,SMALL(Dong2,ROWS($1:106)),))</f>
        <v/>
      </c>
      <c r="D117" s="353" t="str">
        <f ca="1">IF(ROWS($1:106)&gt;COUNT(Dong2),"",OFFSET(TH!F$1,SMALL(Dong2,ROWS($1:106)),))</f>
        <v/>
      </c>
      <c r="E117" s="194" t="str">
        <f ca="1">IF(ROWS($1:106)&gt;COUNT(Dong2),"",IF(OFFSET(TH!O$1,SMALL(Dong2,ROWS($1:106)),)=$I$6,OFFSET(TH!N$1,SMALL(Dong2,ROWS($1:106)),),OFFSET(TH!O$1,SMALL(Dong2,ROWS($1:106)),)))</f>
        <v/>
      </c>
      <c r="F117" s="1309" t="str">
        <f ca="1">IF(ROWS($1:106)&gt;COUNT(Dong2),"",IF(AND(IF($M$9="Q11",LEFT(OFFSET(TH!G$1,SMALL(Dong2,ROWS($1:106)),),3)=$M$9,LEFT(OFFSET(TH!G$1,SMALL(Dong2,ROWS($1:106)),),2)=$M$9),OFFSET(TH!N$1,SMALL(Dong2,ROWS($1:106)),)=$I$6),IF($I$6="1121",OFFSET(TH!M$1,SMALL(Dong2,ROWS($1:106)),),OFFSET(TH!K$1,SMALL(Dong2,ROWS($1:106)),)),0))</f>
        <v/>
      </c>
      <c r="G117" s="1315" t="str">
        <f ca="1">IF(ROWS($1:106)&gt;COUNT(Dong2),"",IF(AND(IF($M$9="Q11",RIGHT(OFFSET(TH!G$1,SMALL(Dong2,ROWS($1:106)),),3)=$M$9,RIGHT(OFFSET(TH!G$1,SMALL(Dong2,ROWS($1:106)),),2)=$M$9),OFFSET(TH!O$1,SMALL(Dong2,ROWS($1:106)),)=$I$6),IF($I$6="1121",OFFSET(TH!M$1,SMALL(Dong2,ROWS($1:106)),),OFFSET(TH!K$1,SMALL(Dong2,ROWS($1:106)),)),0))</f>
        <v/>
      </c>
      <c r="H117" s="1322">
        <f t="shared" ca="1" si="5"/>
        <v>0</v>
      </c>
      <c r="I117" s="902"/>
      <c r="L117" s="177"/>
    </row>
    <row r="118" spans="1:17" s="184" customFormat="1" ht="24" hidden="1" customHeight="1">
      <c r="A118" s="194" t="str">
        <f ca="1">IF(ROWS($1:107)&gt;COUNT(Dong2),"",OFFSET(TH!C$1,SMALL(Dong2,ROWS($1:107)),))</f>
        <v/>
      </c>
      <c r="B118" s="194" t="str">
        <f ca="1">IF(ROWS($1:107)&gt;COUNT(Dong2),"",OFFSET(TH!D$1,SMALL(Dong2,ROWS($1:107)),))</f>
        <v/>
      </c>
      <c r="C118" s="194" t="str">
        <f ca="1">IF(ROWS($1:107)&gt;COUNT(Dong2),"",OFFSET(TH!E$1,SMALL(Dong2,ROWS($1:107)),))</f>
        <v/>
      </c>
      <c r="D118" s="353" t="str">
        <f ca="1">IF(ROWS($1:107)&gt;COUNT(Dong2),"",OFFSET(TH!F$1,SMALL(Dong2,ROWS($1:107)),))</f>
        <v/>
      </c>
      <c r="E118" s="194" t="str">
        <f ca="1">IF(ROWS($1:107)&gt;COUNT(Dong2),"",IF(OFFSET(TH!O$1,SMALL(Dong2,ROWS($1:107)),)=$I$6,OFFSET(TH!N$1,SMALL(Dong2,ROWS($1:107)),),OFFSET(TH!O$1,SMALL(Dong2,ROWS($1:107)),)))</f>
        <v/>
      </c>
      <c r="F118" s="1309" t="str">
        <f ca="1">IF(ROWS($1:107)&gt;COUNT(Dong2),"",IF(AND(IF($M$9="Q11",LEFT(OFFSET(TH!G$1,SMALL(Dong2,ROWS($1:107)),),3)=$M$9,LEFT(OFFSET(TH!G$1,SMALL(Dong2,ROWS($1:107)),),2)=$M$9),OFFSET(TH!N$1,SMALL(Dong2,ROWS($1:107)),)=$I$6),IF($I$6="1121",OFFSET(TH!M$1,SMALL(Dong2,ROWS($1:107)),),OFFSET(TH!K$1,SMALL(Dong2,ROWS($1:107)),)),0))</f>
        <v/>
      </c>
      <c r="G118" s="1315" t="str">
        <f ca="1">IF(ROWS($1:107)&gt;COUNT(Dong2),"",IF(AND(IF($M$9="Q11",RIGHT(OFFSET(TH!G$1,SMALL(Dong2,ROWS($1:107)),),3)=$M$9,RIGHT(OFFSET(TH!G$1,SMALL(Dong2,ROWS($1:107)),),2)=$M$9),OFFSET(TH!O$1,SMALL(Dong2,ROWS($1:107)),)=$I$6),IF($I$6="1121",OFFSET(TH!M$1,SMALL(Dong2,ROWS($1:107)),),OFFSET(TH!K$1,SMALL(Dong2,ROWS($1:107)),)),0))</f>
        <v/>
      </c>
      <c r="H118" s="1322">
        <f t="shared" ca="1" si="5"/>
        <v>0</v>
      </c>
      <c r="I118" s="902"/>
      <c r="L118" s="177"/>
    </row>
    <row r="119" spans="1:17" s="184" customFormat="1" ht="24" hidden="1" customHeight="1">
      <c r="A119" s="194" t="str">
        <f ca="1">IF(ROWS($1:108)&gt;COUNT(Dong2),"",OFFSET(TH!C$1,SMALL(Dong2,ROWS($1:108)),))</f>
        <v/>
      </c>
      <c r="B119" s="194" t="str">
        <f ca="1">IF(ROWS($1:108)&gt;COUNT(Dong2),"",OFFSET(TH!D$1,SMALL(Dong2,ROWS($1:108)),))</f>
        <v/>
      </c>
      <c r="C119" s="194" t="str">
        <f ca="1">IF(ROWS($1:108)&gt;COUNT(Dong2),"",OFFSET(TH!E$1,SMALL(Dong2,ROWS($1:108)),))</f>
        <v/>
      </c>
      <c r="D119" s="353" t="str">
        <f ca="1">IF(ROWS($1:108)&gt;COUNT(Dong2),"",OFFSET(TH!F$1,SMALL(Dong2,ROWS($1:108)),))</f>
        <v/>
      </c>
      <c r="E119" s="194" t="str">
        <f ca="1">IF(ROWS($1:108)&gt;COUNT(Dong2),"",IF(OFFSET(TH!O$1,SMALL(Dong2,ROWS($1:108)),)=$I$6,OFFSET(TH!N$1,SMALL(Dong2,ROWS($1:108)),),OFFSET(TH!O$1,SMALL(Dong2,ROWS($1:108)),)))</f>
        <v/>
      </c>
      <c r="F119" s="1309" t="str">
        <f ca="1">IF(ROWS($1:108)&gt;COUNT(Dong2),"",IF(AND(IF($M$9="Q11",LEFT(OFFSET(TH!G$1,SMALL(Dong2,ROWS($1:108)),),3)=$M$9,LEFT(OFFSET(TH!G$1,SMALL(Dong2,ROWS($1:108)),),2)=$M$9),OFFSET(TH!N$1,SMALL(Dong2,ROWS($1:108)),)=$I$6),IF($I$6="1121",OFFSET(TH!M$1,SMALL(Dong2,ROWS($1:108)),),OFFSET(TH!K$1,SMALL(Dong2,ROWS($1:108)),)),0))</f>
        <v/>
      </c>
      <c r="G119" s="1315" t="str">
        <f ca="1">IF(ROWS($1:108)&gt;COUNT(Dong2),"",IF(AND(IF($M$9="Q11",RIGHT(OFFSET(TH!G$1,SMALL(Dong2,ROWS($1:108)),),3)=$M$9,RIGHT(OFFSET(TH!G$1,SMALL(Dong2,ROWS($1:108)),),2)=$M$9),OFFSET(TH!O$1,SMALL(Dong2,ROWS($1:108)),)=$I$6),IF($I$6="1121",OFFSET(TH!M$1,SMALL(Dong2,ROWS($1:108)),),OFFSET(TH!K$1,SMALL(Dong2,ROWS($1:108)),)),0))</f>
        <v/>
      </c>
      <c r="H119" s="1322">
        <f t="shared" ca="1" si="5"/>
        <v>0</v>
      </c>
      <c r="I119" s="902"/>
      <c r="L119" s="177"/>
    </row>
    <row r="120" spans="1:17" s="184" customFormat="1" ht="24" hidden="1" customHeight="1">
      <c r="A120" s="194" t="str">
        <f ca="1">IF(ROWS($1:109)&gt;COUNT(Dong2),"",OFFSET(TH!C$1,SMALL(Dong2,ROWS($1:109)),))</f>
        <v/>
      </c>
      <c r="B120" s="194" t="str">
        <f ca="1">IF(ROWS($1:109)&gt;COUNT(Dong2),"",OFFSET(TH!D$1,SMALL(Dong2,ROWS($1:109)),))</f>
        <v/>
      </c>
      <c r="C120" s="194" t="str">
        <f ca="1">IF(ROWS($1:109)&gt;COUNT(Dong2),"",OFFSET(TH!E$1,SMALL(Dong2,ROWS($1:109)),))</f>
        <v/>
      </c>
      <c r="D120" s="353" t="str">
        <f ca="1">IF(ROWS($1:109)&gt;COUNT(Dong2),"",OFFSET(TH!F$1,SMALL(Dong2,ROWS($1:109)),))</f>
        <v/>
      </c>
      <c r="E120" s="194" t="str">
        <f ca="1">IF(ROWS($1:109)&gt;COUNT(Dong2),"",IF(OFFSET(TH!O$1,SMALL(Dong2,ROWS($1:109)),)=$I$6,OFFSET(TH!N$1,SMALL(Dong2,ROWS($1:109)),),OFFSET(TH!O$1,SMALL(Dong2,ROWS($1:109)),)))</f>
        <v/>
      </c>
      <c r="F120" s="1309" t="str">
        <f ca="1">IF(ROWS($1:109)&gt;COUNT(Dong2),"",IF(AND(IF($M$9="Q11",LEFT(OFFSET(TH!G$1,SMALL(Dong2,ROWS($1:109)),),3)=$M$9,LEFT(OFFSET(TH!G$1,SMALL(Dong2,ROWS($1:109)),),2)=$M$9),OFFSET(TH!N$1,SMALL(Dong2,ROWS($1:109)),)=$I$6),IF($I$6="1121",OFFSET(TH!M$1,SMALL(Dong2,ROWS($1:109)),),OFFSET(TH!K$1,SMALL(Dong2,ROWS($1:109)),)),0))</f>
        <v/>
      </c>
      <c r="G120" s="1315" t="str">
        <f ca="1">IF(ROWS($1:109)&gt;COUNT(Dong2),"",IF(AND(IF($M$9="Q11",RIGHT(OFFSET(TH!G$1,SMALL(Dong2,ROWS($1:109)),),3)=$M$9,RIGHT(OFFSET(TH!G$1,SMALL(Dong2,ROWS($1:109)),),2)=$M$9),OFFSET(TH!O$1,SMALL(Dong2,ROWS($1:109)),)=$I$6),IF($I$6="1121",OFFSET(TH!M$1,SMALL(Dong2,ROWS($1:109)),),OFFSET(TH!K$1,SMALL(Dong2,ROWS($1:109)),)),0))</f>
        <v/>
      </c>
      <c r="H120" s="1322">
        <f t="shared" ca="1" si="5"/>
        <v>0</v>
      </c>
      <c r="I120" s="902"/>
      <c r="L120" s="177"/>
    </row>
    <row r="121" spans="1:17" s="184" customFormat="1" ht="24" hidden="1" customHeight="1">
      <c r="A121" s="194" t="str">
        <f ca="1">IF(ROWS($1:110)&gt;COUNT(Dong2),"",OFFSET(TH!C$1,SMALL(Dong2,ROWS($1:110)),))</f>
        <v/>
      </c>
      <c r="B121" s="194" t="str">
        <f ca="1">IF(ROWS($1:110)&gt;COUNT(Dong2),"",OFFSET(TH!D$1,SMALL(Dong2,ROWS($1:110)),))</f>
        <v/>
      </c>
      <c r="C121" s="194" t="str">
        <f ca="1">IF(ROWS($1:110)&gt;COUNT(Dong2),"",OFFSET(TH!E$1,SMALL(Dong2,ROWS($1:110)),))</f>
        <v/>
      </c>
      <c r="D121" s="353" t="str">
        <f ca="1">IF(ROWS($1:110)&gt;COUNT(Dong2),"",OFFSET(TH!F$1,SMALL(Dong2,ROWS($1:110)),))</f>
        <v/>
      </c>
      <c r="E121" s="194" t="str">
        <f ca="1">IF(ROWS($1:110)&gt;COUNT(Dong2),"",IF(OFFSET(TH!O$1,SMALL(Dong2,ROWS($1:110)),)=$I$6,OFFSET(TH!N$1,SMALL(Dong2,ROWS($1:110)),),OFFSET(TH!O$1,SMALL(Dong2,ROWS($1:110)),)))</f>
        <v/>
      </c>
      <c r="F121" s="1309" t="str">
        <f ca="1">IF(ROWS($1:110)&gt;COUNT(Dong2),"",IF(AND(IF($M$9="Q11",LEFT(OFFSET(TH!G$1,SMALL(Dong2,ROWS($1:110)),),3)=$M$9,LEFT(OFFSET(TH!G$1,SMALL(Dong2,ROWS($1:110)),),2)=$M$9),OFFSET(TH!N$1,SMALL(Dong2,ROWS($1:110)),)=$I$6),IF($I$6="1121",OFFSET(TH!M$1,SMALL(Dong2,ROWS($1:110)),),OFFSET(TH!K$1,SMALL(Dong2,ROWS($1:110)),)),0))</f>
        <v/>
      </c>
      <c r="G121" s="1315" t="str">
        <f ca="1">IF(ROWS($1:110)&gt;COUNT(Dong2),"",IF(AND(IF($M$9="Q11",RIGHT(OFFSET(TH!G$1,SMALL(Dong2,ROWS($1:110)),),3)=$M$9,RIGHT(OFFSET(TH!G$1,SMALL(Dong2,ROWS($1:110)),),2)=$M$9),OFFSET(TH!O$1,SMALL(Dong2,ROWS($1:110)),)=$I$6),IF($I$6="1121",OFFSET(TH!M$1,SMALL(Dong2,ROWS($1:110)),),OFFSET(TH!K$1,SMALL(Dong2,ROWS($1:110)),)),0))</f>
        <v/>
      </c>
      <c r="H121" s="1322">
        <f t="shared" ca="1" si="5"/>
        <v>0</v>
      </c>
      <c r="I121" s="902"/>
      <c r="L121" s="177"/>
    </row>
    <row r="122" spans="1:17" s="184" customFormat="1" ht="24" hidden="1" customHeight="1">
      <c r="A122" s="194" t="str">
        <f ca="1">IF(ROWS($1:111)&gt;COUNT(Dong2),"",OFFSET(TH!C$1,SMALL(Dong2,ROWS($1:111)),))</f>
        <v/>
      </c>
      <c r="B122" s="194" t="str">
        <f ca="1">IF(ROWS($1:111)&gt;COUNT(Dong2),"",OFFSET(TH!D$1,SMALL(Dong2,ROWS($1:111)),))</f>
        <v/>
      </c>
      <c r="C122" s="194" t="str">
        <f ca="1">IF(ROWS($1:111)&gt;COUNT(Dong2),"",OFFSET(TH!E$1,SMALL(Dong2,ROWS($1:111)),))</f>
        <v/>
      </c>
      <c r="D122" s="353" t="str">
        <f ca="1">IF(ROWS($1:111)&gt;COUNT(Dong2),"",OFFSET(TH!F$1,SMALL(Dong2,ROWS($1:111)),))</f>
        <v/>
      </c>
      <c r="E122" s="194" t="str">
        <f ca="1">IF(ROWS($1:111)&gt;COUNT(Dong2),"",IF(OFFSET(TH!O$1,SMALL(Dong2,ROWS($1:111)),)=$I$6,OFFSET(TH!N$1,SMALL(Dong2,ROWS($1:111)),),OFFSET(TH!O$1,SMALL(Dong2,ROWS($1:111)),)))</f>
        <v/>
      </c>
      <c r="F122" s="1309" t="str">
        <f ca="1">IF(ROWS($1:111)&gt;COUNT(Dong2),"",IF(AND(IF($M$9="Q11",LEFT(OFFSET(TH!G$1,SMALL(Dong2,ROWS($1:111)),),3)=$M$9,LEFT(OFFSET(TH!G$1,SMALL(Dong2,ROWS($1:111)),),2)=$M$9),OFFSET(TH!N$1,SMALL(Dong2,ROWS($1:111)),)=$I$6),IF($I$6="1121",OFFSET(TH!M$1,SMALL(Dong2,ROWS($1:111)),),OFFSET(TH!K$1,SMALL(Dong2,ROWS($1:111)),)),0))</f>
        <v/>
      </c>
      <c r="G122" s="1315" t="str">
        <f ca="1">IF(ROWS($1:111)&gt;COUNT(Dong2),"",IF(AND(IF($M$9="Q11",RIGHT(OFFSET(TH!G$1,SMALL(Dong2,ROWS($1:111)),),3)=$M$9,RIGHT(OFFSET(TH!G$1,SMALL(Dong2,ROWS($1:111)),),2)=$M$9),OFFSET(TH!O$1,SMALL(Dong2,ROWS($1:111)),)=$I$6),IF($I$6="1121",OFFSET(TH!M$1,SMALL(Dong2,ROWS($1:111)),),OFFSET(TH!K$1,SMALL(Dong2,ROWS($1:111)),)),0))</f>
        <v/>
      </c>
      <c r="H122" s="1322">
        <f t="shared" ca="1" si="5"/>
        <v>0</v>
      </c>
      <c r="I122" s="902"/>
      <c r="L122" s="177"/>
    </row>
    <row r="123" spans="1:17" s="184" customFormat="1" ht="24" hidden="1" customHeight="1">
      <c r="A123" s="194" t="str">
        <f ca="1">IF(ROWS($1:112)&gt;COUNT(Dong2),"",OFFSET(TH!C$1,SMALL(Dong2,ROWS($1:112)),))</f>
        <v/>
      </c>
      <c r="B123" s="194" t="str">
        <f ca="1">IF(ROWS($1:112)&gt;COUNT(Dong2),"",OFFSET(TH!D$1,SMALL(Dong2,ROWS($1:112)),))</f>
        <v/>
      </c>
      <c r="C123" s="194" t="str">
        <f ca="1">IF(ROWS($1:112)&gt;COUNT(Dong2),"",OFFSET(TH!E$1,SMALL(Dong2,ROWS($1:112)),))</f>
        <v/>
      </c>
      <c r="D123" s="353" t="str">
        <f ca="1">IF(ROWS($1:112)&gt;COUNT(Dong2),"",OFFSET(TH!F$1,SMALL(Dong2,ROWS($1:112)),))</f>
        <v/>
      </c>
      <c r="E123" s="194" t="str">
        <f ca="1">IF(ROWS($1:112)&gt;COUNT(Dong2),"",IF(OFFSET(TH!O$1,SMALL(Dong2,ROWS($1:112)),)=$I$6,OFFSET(TH!N$1,SMALL(Dong2,ROWS($1:112)),),OFFSET(TH!O$1,SMALL(Dong2,ROWS($1:112)),)))</f>
        <v/>
      </c>
      <c r="F123" s="1309" t="str">
        <f ca="1">IF(ROWS($1:112)&gt;COUNT(Dong2),"",IF(AND(IF($M$9="Q11",LEFT(OFFSET(TH!G$1,SMALL(Dong2,ROWS($1:112)),),3)=$M$9,LEFT(OFFSET(TH!G$1,SMALL(Dong2,ROWS($1:112)),),2)=$M$9),OFFSET(TH!N$1,SMALL(Dong2,ROWS($1:112)),)=$I$6),IF($I$6="1121",OFFSET(TH!M$1,SMALL(Dong2,ROWS($1:112)),),OFFSET(TH!K$1,SMALL(Dong2,ROWS($1:112)),)),0))</f>
        <v/>
      </c>
      <c r="G123" s="1315" t="str">
        <f ca="1">IF(ROWS($1:112)&gt;COUNT(Dong2),"",IF(AND(IF($M$9="Q11",RIGHT(OFFSET(TH!G$1,SMALL(Dong2,ROWS($1:112)),),3)=$M$9,RIGHT(OFFSET(TH!G$1,SMALL(Dong2,ROWS($1:112)),),2)=$M$9),OFFSET(TH!O$1,SMALL(Dong2,ROWS($1:112)),)=$I$6),IF($I$6="1121",OFFSET(TH!M$1,SMALL(Dong2,ROWS($1:112)),),OFFSET(TH!K$1,SMALL(Dong2,ROWS($1:112)),)),0))</f>
        <v/>
      </c>
      <c r="H123" s="1322">
        <f t="shared" ca="1" si="5"/>
        <v>0</v>
      </c>
      <c r="I123" s="902"/>
      <c r="L123" s="177"/>
    </row>
    <row r="124" spans="1:17" s="184" customFormat="1" ht="24" hidden="1" customHeight="1">
      <c r="A124" s="194"/>
      <c r="B124" s="194"/>
      <c r="C124" s="194"/>
      <c r="D124" s="353"/>
      <c r="E124" s="194"/>
      <c r="F124" s="1309"/>
      <c r="G124" s="1315"/>
      <c r="H124" s="1322"/>
      <c r="I124" s="902"/>
    </row>
    <row r="125" spans="1:17" s="193" customFormat="1" ht="18.75" customHeight="1">
      <c r="A125" s="195"/>
      <c r="B125" s="196"/>
      <c r="C125" s="195"/>
      <c r="D125" s="192" t="s">
        <v>155</v>
      </c>
      <c r="E125" s="197"/>
      <c r="F125" s="1308">
        <f ca="1">SUM(F12:F124)</f>
        <v>14255351272</v>
      </c>
      <c r="G125" s="1308">
        <f ca="1">SUM(G12:G124)</f>
        <v>14254206177</v>
      </c>
      <c r="H125" s="1314">
        <f ca="1">H11+F125-G125</f>
        <v>4052956</v>
      </c>
      <c r="I125" s="903"/>
    </row>
    <row r="126" spans="1:17" s="193" customFormat="1" ht="18.75" customHeight="1">
      <c r="A126" s="195"/>
      <c r="B126" s="196"/>
      <c r="C126" s="195"/>
      <c r="D126" s="192" t="s">
        <v>10</v>
      </c>
      <c r="E126" s="197"/>
      <c r="F126" s="1308"/>
      <c r="G126" s="1314"/>
      <c r="H126" s="1314">
        <f ca="1">H125</f>
        <v>4052956</v>
      </c>
      <c r="I126" s="197"/>
    </row>
    <row r="127" spans="1:17" s="193" customFormat="1" ht="18" customHeight="1">
      <c r="A127" s="390" t="s">
        <v>247</v>
      </c>
      <c r="B127" s="198"/>
      <c r="F127" s="1310"/>
      <c r="G127" s="472"/>
      <c r="H127" s="472"/>
      <c r="I127" s="199"/>
      <c r="K127" s="390" t="s">
        <v>246</v>
      </c>
      <c r="L127" s="151"/>
    </row>
    <row r="128" spans="1:17" s="193" customFormat="1" ht="15">
      <c r="A128" s="215" t="str">
        <f ca="1">"- Ngày mở sổ: "&amp;DAY($A$12)&amp;"/"&amp;MONTH($A$12)&amp;"/ 2016"</f>
        <v>- Ngày mở sổ: 7/12/ 2016</v>
      </c>
      <c r="B128" s="200"/>
      <c r="F128" s="1310"/>
      <c r="G128" s="472"/>
      <c r="H128" s="472"/>
      <c r="I128" s="199"/>
      <c r="K128" s="390" t="s">
        <v>247</v>
      </c>
      <c r="L128" s="151"/>
    </row>
    <row r="129" spans="1:12" s="193" customFormat="1" ht="15">
      <c r="A129" s="201"/>
      <c r="B129" s="202"/>
      <c r="C129" s="203"/>
      <c r="F129" s="1310"/>
      <c r="G129" s="1329" t="str">
        <f>"Ngày "&amp;IF(OR($K$9=4,$K$9=6,$K$9=9,$K$9=11),"30",IF($K$9=2,"28","31"))&amp;" tháng "&amp;$K$9&amp;"  năm  2016 "</f>
        <v xml:space="preserve">Ngày 31 tháng 12  năm  2016 </v>
      </c>
      <c r="H129" s="472"/>
      <c r="K129" s="390" t="s">
        <v>157</v>
      </c>
      <c r="L129" s="151"/>
    </row>
    <row r="130" spans="1:12" s="193" customFormat="1" ht="17.25" customHeight="1">
      <c r="B130" s="204" t="s">
        <v>11</v>
      </c>
      <c r="D130" s="204" t="s">
        <v>12</v>
      </c>
      <c r="F130" s="1311"/>
      <c r="G130" s="1330" t="s">
        <v>128</v>
      </c>
      <c r="H130" s="1323"/>
      <c r="I130" s="354"/>
      <c r="J130" s="205"/>
      <c r="K130" s="390" t="s">
        <v>228</v>
      </c>
      <c r="L130" s="151"/>
    </row>
    <row r="131" spans="1:12" s="193" customFormat="1" ht="12.75">
      <c r="B131" s="343" t="s">
        <v>13</v>
      </c>
      <c r="D131" s="206" t="s">
        <v>13</v>
      </c>
      <c r="F131" s="1312"/>
      <c r="G131" s="1329" t="s">
        <v>158</v>
      </c>
      <c r="H131" s="472"/>
      <c r="K131" s="207"/>
      <c r="L131" s="207"/>
    </row>
    <row r="138" spans="1:12">
      <c r="B138" s="345" t="s">
        <v>223</v>
      </c>
      <c r="G138" s="694" t="s">
        <v>122</v>
      </c>
    </row>
  </sheetData>
  <autoFilter ref="A10:K128"/>
  <sortState ref="A12:T60">
    <sortCondition ref="A12:A60"/>
  </sortState>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rintOptions horizontalCentered="1"/>
  <pageMargins left="0.3" right="0" top="0.3" bottom="0.3" header="0.1" footer="0.1"/>
  <pageSetup paperSize="9" scale="80" orientation="portrait" r:id="rId1"/>
  <headerFooter alignWithMargins="0">
    <oddFooter>&amp;R&amp;"Times New Roman,Regular"&amp;11Trang &amp;P/&amp;N</oddFooter>
  </headerFooter>
</worksheet>
</file>

<file path=xl/worksheets/sheet12.xml><?xml version="1.0" encoding="utf-8"?>
<worksheet xmlns="http://schemas.openxmlformats.org/spreadsheetml/2006/main" xmlns:r="http://schemas.openxmlformats.org/officeDocument/2006/relationships">
  <sheetPr enableFormatConditionsCalculation="0">
    <tabColor rgb="FFFF0000"/>
  </sheetPr>
  <dimension ref="A1:I104"/>
  <sheetViews>
    <sheetView showZeros="0" topLeftCell="A43" workbookViewId="0">
      <selection activeCell="B102" sqref="B102"/>
    </sheetView>
  </sheetViews>
  <sheetFormatPr defaultColWidth="8" defaultRowHeight="13.5"/>
  <cols>
    <col min="1" max="1" width="5.5703125" style="218" customWidth="1"/>
    <col min="2" max="2" width="42.7109375" style="218" customWidth="1"/>
    <col min="3" max="3" width="14.140625" style="218" customWidth="1"/>
    <col min="4" max="4" width="12.85546875" style="218" customWidth="1"/>
    <col min="5" max="5" width="14.7109375" style="218" customWidth="1"/>
    <col min="6" max="6" width="14.85546875" style="218" customWidth="1"/>
    <col min="7" max="8" width="14.140625" style="218" customWidth="1"/>
    <col min="9" max="16384" width="8" style="218"/>
  </cols>
  <sheetData>
    <row r="1" spans="1:9" ht="27" customHeight="1">
      <c r="A1" s="1420" t="s">
        <v>3027</v>
      </c>
      <c r="B1" s="1420"/>
      <c r="C1" s="1420"/>
      <c r="D1" s="1420"/>
      <c r="E1" s="1420"/>
      <c r="F1" s="1420"/>
      <c r="G1" s="1420"/>
      <c r="H1" s="1420"/>
    </row>
    <row r="2" spans="1:9" s="10" customFormat="1" ht="14.25" customHeight="1">
      <c r="A2" s="1423" t="s">
        <v>35</v>
      </c>
      <c r="B2" s="1425" t="s">
        <v>36</v>
      </c>
      <c r="C2" s="1421" t="s">
        <v>37</v>
      </c>
      <c r="D2" s="1422"/>
      <c r="E2" s="1421" t="s">
        <v>38</v>
      </c>
      <c r="F2" s="1422"/>
      <c r="G2" s="1421" t="s">
        <v>42</v>
      </c>
      <c r="H2" s="1422"/>
    </row>
    <row r="3" spans="1:9" s="10" customFormat="1" ht="14.25" customHeight="1">
      <c r="A3" s="1424"/>
      <c r="B3" s="1426"/>
      <c r="C3" s="1324" t="s">
        <v>43</v>
      </c>
      <c r="D3" s="1324" t="s">
        <v>44</v>
      </c>
      <c r="E3" s="1324" t="s">
        <v>43</v>
      </c>
      <c r="F3" s="1324" t="s">
        <v>44</v>
      </c>
      <c r="G3" s="1324" t="s">
        <v>43</v>
      </c>
      <c r="H3" s="1324" t="s">
        <v>44</v>
      </c>
    </row>
    <row r="4" spans="1:9" s="10" customFormat="1" ht="16.5" customHeight="1">
      <c r="A4" s="6">
        <f>IF(B4&lt;&gt;"",ROW()-3,"")</f>
        <v>1</v>
      </c>
      <c r="B4" s="7" t="s">
        <v>1959</v>
      </c>
      <c r="C4" s="8">
        <v>0</v>
      </c>
      <c r="D4" s="8">
        <v>0</v>
      </c>
      <c r="E4" s="8">
        <f t="array" ref="E4">SUM(IF("331"&amp;B4=KHN&amp;KH,TH))</f>
        <v>147323000</v>
      </c>
      <c r="F4" s="8">
        <f t="array" ref="F4">SUM(IF("331"&amp;B4=KHC&amp;KH,TH))</f>
        <v>147323000</v>
      </c>
      <c r="G4" s="86">
        <f>ROUND(MAX(C4+E4-D4-F4,0),2)</f>
        <v>0</v>
      </c>
      <c r="H4" s="86">
        <f>ROUND(MAX(D4+F4-C4-E4,0),2)</f>
        <v>0</v>
      </c>
      <c r="I4" s="10" t="str">
        <f>IF(ISNA(VLOOKUP(B4,DSNL,6,0)),"",VLOOKUP(B4,DSNL,6,0))</f>
        <v/>
      </c>
    </row>
    <row r="5" spans="1:9" s="10" customFormat="1" ht="16.5" customHeight="1">
      <c r="A5" s="6">
        <f>IF(B5&lt;&gt;"",ROW()-3,"")</f>
        <v>2</v>
      </c>
      <c r="B5" s="308" t="s">
        <v>1525</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604</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606</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607</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1403</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608</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609</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610</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660</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661</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611</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1391</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1414</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612</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613</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1410</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614</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615</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616</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617</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618</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619</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1155</v>
      </c>
      <c r="C27" s="8">
        <v>0</v>
      </c>
      <c r="D27" s="8">
        <v>0</v>
      </c>
      <c r="E27" s="8">
        <f t="array" ref="E27">SUM(IF("331"&amp;B27=KHN&amp;KH,TH))</f>
        <v>36900000</v>
      </c>
      <c r="F27" s="8">
        <f t="array" ref="F27">SUM(IF("331"&amp;B27=KHC&amp;KH,TH))</f>
        <v>36900000</v>
      </c>
      <c r="G27" s="86">
        <f t="shared" si="3"/>
        <v>0</v>
      </c>
      <c r="H27" s="86">
        <f t="shared" si="4"/>
        <v>0</v>
      </c>
    </row>
    <row r="28" spans="1:9" s="10" customFormat="1" ht="16.5" customHeight="1">
      <c r="A28" s="6">
        <f t="shared" si="0"/>
        <v>25</v>
      </c>
      <c r="B28" s="308" t="s">
        <v>1119</v>
      </c>
      <c r="C28" s="8"/>
      <c r="D28" s="8"/>
      <c r="E28" s="8">
        <f t="array" ref="E28">SUM(IF("331"&amp;B28=KHN&amp;KH,TH))</f>
        <v>16269120</v>
      </c>
      <c r="F28" s="8">
        <f t="array" ref="F28">SUM(IF("331"&amp;B28=KHC&amp;KH,TH))</f>
        <v>458277191</v>
      </c>
      <c r="G28" s="86">
        <f t="shared" si="3"/>
        <v>0</v>
      </c>
      <c r="H28" s="86">
        <f t="shared" si="4"/>
        <v>442008071</v>
      </c>
      <c r="I28" s="10" t="str">
        <f>IF(ISNA(VLOOKUP(B28,DSNL,6,0)),"",VLOOKUP(B28,DSNL,6,0))</f>
        <v/>
      </c>
    </row>
    <row r="29" spans="1:9" s="10" customFormat="1" ht="16.5" customHeight="1">
      <c r="A29" s="6">
        <f t="shared" si="0"/>
        <v>26</v>
      </c>
      <c r="B29" s="308" t="s">
        <v>1484</v>
      </c>
      <c r="C29" s="8">
        <v>0</v>
      </c>
      <c r="D29" s="8">
        <v>0</v>
      </c>
      <c r="E29" s="8">
        <f t="array" ref="E29">SUM(IF("331"&amp;B29=KHN&amp;KH,TH))</f>
        <v>364375104</v>
      </c>
      <c r="F29" s="8">
        <f t="array" ref="F29">SUM(IF("331"&amp;B29=KHC&amp;KH,TH))</f>
        <v>788938172</v>
      </c>
      <c r="G29" s="86">
        <f t="shared" si="3"/>
        <v>0</v>
      </c>
      <c r="H29" s="86">
        <f t="shared" si="4"/>
        <v>424563068</v>
      </c>
      <c r="I29" s="10" t="str">
        <f>IF(ISNA(VLOOKUP(B29,DSNL,6,0)),"",VLOOKUP(B29,DSNL,6,0))</f>
        <v/>
      </c>
    </row>
    <row r="30" spans="1:9" s="10" customFormat="1" ht="16.5" customHeight="1">
      <c r="A30" s="6">
        <f t="shared" si="0"/>
        <v>27</v>
      </c>
      <c r="B30" s="72" t="s">
        <v>1639</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1198</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1845</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1826</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1365</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1916</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1732</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29" t="s">
        <v>1610</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1756</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2097</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2108</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2470</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08" t="s">
        <v>2511</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08" t="s">
        <v>2512</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08" t="s">
        <v>2559</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08" t="s">
        <v>2560</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08" t="s">
        <v>2562</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08" t="s">
        <v>2566</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08" t="s">
        <v>2569</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08" t="s">
        <v>2596</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2531</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72" t="s">
        <v>790</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2224</v>
      </c>
      <c r="C52" s="8"/>
      <c r="D52" s="8"/>
      <c r="E52" s="8">
        <f t="array" ref="E52">SUM(IF("331"&amp;B52=KHN&amp;KH,TH))</f>
        <v>14667659500</v>
      </c>
      <c r="F52" s="8">
        <f t="array" ref="F52">SUM(IF("331"&amp;B52=KHC&amp;KH,TH))</f>
        <v>14667659500</v>
      </c>
      <c r="G52" s="86">
        <f t="shared" si="5"/>
        <v>0</v>
      </c>
      <c r="H52" s="86">
        <f t="shared" si="6"/>
        <v>0</v>
      </c>
      <c r="I52" s="10" t="str">
        <f t="shared" si="7"/>
        <v/>
      </c>
    </row>
    <row r="53" spans="1:9" s="10" customFormat="1" ht="16.5" customHeight="1">
      <c r="A53" s="6">
        <f t="shared" si="0"/>
        <v>50</v>
      </c>
      <c r="B53" s="72" t="s">
        <v>2323</v>
      </c>
      <c r="C53" s="8"/>
      <c r="D53" s="8"/>
      <c r="E53" s="8">
        <f t="array" ref="E53">SUM(IF("331"&amp;B53=KHN&amp;KH,TH))</f>
        <v>6625495500</v>
      </c>
      <c r="F53" s="8">
        <f t="array" ref="F53">SUM(IF("331"&amp;B53=KHC&amp;KH,TH))</f>
        <v>6625495500</v>
      </c>
      <c r="G53" s="86">
        <f t="shared" si="5"/>
        <v>0</v>
      </c>
      <c r="H53" s="86">
        <f t="shared" si="6"/>
        <v>0</v>
      </c>
      <c r="I53" s="10" t="str">
        <f t="shared" si="7"/>
        <v/>
      </c>
    </row>
    <row r="54" spans="1:9" s="10" customFormat="1" ht="16.5" customHeight="1">
      <c r="A54" s="6">
        <f t="shared" si="0"/>
        <v>51</v>
      </c>
      <c r="B54" s="72" t="s">
        <v>2374</v>
      </c>
      <c r="C54" s="8"/>
      <c r="D54" s="8"/>
      <c r="E54" s="8">
        <f t="array" ref="E54">SUM(IF("331"&amp;B54=KHN&amp;KH,TH))</f>
        <v>1094119000</v>
      </c>
      <c r="F54" s="8">
        <f t="array" ref="F54">SUM(IF("331"&amp;B54=KHC&amp;KH,TH))</f>
        <v>1094119000</v>
      </c>
      <c r="G54" s="86">
        <f t="shared" si="5"/>
        <v>0</v>
      </c>
      <c r="H54" s="86">
        <f t="shared" si="6"/>
        <v>0</v>
      </c>
      <c r="I54" s="10" t="str">
        <f t="shared" si="7"/>
        <v/>
      </c>
    </row>
    <row r="55" spans="1:9" s="10" customFormat="1" ht="16.5" customHeight="1">
      <c r="A55" s="6">
        <f t="shared" si="0"/>
        <v>52</v>
      </c>
      <c r="B55" s="72" t="s">
        <v>434</v>
      </c>
      <c r="C55" s="8"/>
      <c r="D55" s="8"/>
      <c r="E55" s="8">
        <f t="array" ref="E55">SUM(IF("331"&amp;B55=KHN&amp;KH,TH))</f>
        <v>377735000</v>
      </c>
      <c r="F55" s="8">
        <f t="array" ref="F55">SUM(IF("331"&amp;B55=KHC&amp;KH,TH))</f>
        <v>377735000</v>
      </c>
      <c r="G55" s="86">
        <f t="shared" ref="G55:G86" si="8">ROUND(MAX(C55+E55-D55-F55,0),2)</f>
        <v>0</v>
      </c>
      <c r="H55" s="86">
        <f t="shared" ref="H55:H86" si="9">ROUND(MAX(D55+F55-C55-E55,0),2)</f>
        <v>0</v>
      </c>
      <c r="I55" s="10" t="str">
        <f t="shared" ref="I55:I86" si="10">IF(ISNA(VLOOKUP(B55,DSNL,6,0)),"",VLOOKUP(B55,DSNL,6,0))</f>
        <v>Hai</v>
      </c>
    </row>
    <row r="56" spans="1:9" s="10" customFormat="1" ht="16.5" customHeight="1">
      <c r="A56" s="6">
        <f t="shared" si="0"/>
        <v>53</v>
      </c>
      <c r="B56" s="72" t="s">
        <v>427</v>
      </c>
      <c r="C56" s="8"/>
      <c r="D56" s="8"/>
      <c r="E56" s="8">
        <f t="array" ref="E56">SUM(IF("331"&amp;B56=KHN&amp;KH,TH))</f>
        <v>566122000</v>
      </c>
      <c r="F56" s="8">
        <f t="array" ref="F56">SUM(IF("331"&amp;B56=KHC&amp;KH,TH))</f>
        <v>566122000</v>
      </c>
      <c r="G56" s="86">
        <f t="shared" si="8"/>
        <v>0</v>
      </c>
      <c r="H56" s="86">
        <f t="shared" si="9"/>
        <v>0</v>
      </c>
      <c r="I56" s="10" t="str">
        <f t="shared" si="10"/>
        <v>Hai</v>
      </c>
    </row>
    <row r="57" spans="1:9" s="10" customFormat="1" ht="16.5" customHeight="1">
      <c r="A57" s="6">
        <f t="shared" si="0"/>
        <v>54</v>
      </c>
      <c r="B57" s="73" t="s">
        <v>376</v>
      </c>
      <c r="C57" s="8"/>
      <c r="D57" s="8"/>
      <c r="E57" s="8">
        <f t="array" ref="E57">SUM(IF("331"&amp;B57=KHN&amp;KH,TH))</f>
        <v>6996064500</v>
      </c>
      <c r="F57" s="8">
        <f t="array" ref="F57">SUM(IF("331"&amp;B57=KHC&amp;KH,TH))</f>
        <v>7093169500</v>
      </c>
      <c r="G57" s="86">
        <f t="shared" si="8"/>
        <v>0</v>
      </c>
      <c r="H57" s="86">
        <f t="shared" si="9"/>
        <v>97105000</v>
      </c>
      <c r="I57" s="10" t="str">
        <f t="shared" si="10"/>
        <v>Nhiên</v>
      </c>
    </row>
    <row r="58" spans="1:9" s="10" customFormat="1" ht="16.5" customHeight="1">
      <c r="A58" s="6">
        <f t="shared" si="0"/>
        <v>55</v>
      </c>
      <c r="B58" s="72" t="s">
        <v>1948</v>
      </c>
      <c r="C58" s="8"/>
      <c r="D58" s="8"/>
      <c r="E58" s="8">
        <f t="array" ref="E58">SUM(IF("331"&amp;B58=KHN&amp;KH,TH))</f>
        <v>463260000</v>
      </c>
      <c r="F58" s="8">
        <f t="array" ref="F58">SUM(IF("331"&amp;B58=KHC&amp;KH,TH))</f>
        <v>463260000</v>
      </c>
      <c r="G58" s="86">
        <f t="shared" si="8"/>
        <v>0</v>
      </c>
      <c r="H58" s="86">
        <f t="shared" si="9"/>
        <v>0</v>
      </c>
      <c r="I58" s="10" t="str">
        <f t="shared" si="10"/>
        <v>Hai</v>
      </c>
    </row>
    <row r="59" spans="1:9" s="10" customFormat="1" ht="16.5" customHeight="1">
      <c r="A59" s="6">
        <f t="shared" si="0"/>
        <v>56</v>
      </c>
      <c r="B59" s="72" t="s">
        <v>432</v>
      </c>
      <c r="C59" s="8"/>
      <c r="D59" s="8"/>
      <c r="E59" s="8">
        <f t="array" ref="E59">SUM(IF("331"&amp;B59=KHN&amp;KH,TH))</f>
        <v>801199500</v>
      </c>
      <c r="F59" s="8">
        <f t="array" ref="F59">SUM(IF("331"&amp;B59=KHC&amp;KH,TH))</f>
        <v>801199500</v>
      </c>
      <c r="G59" s="86">
        <f t="shared" si="8"/>
        <v>0</v>
      </c>
      <c r="H59" s="86">
        <f t="shared" si="9"/>
        <v>0</v>
      </c>
      <c r="I59" s="10" t="str">
        <f t="shared" si="10"/>
        <v>Hai</v>
      </c>
    </row>
    <row r="60" spans="1:9" s="10" customFormat="1" ht="16.5" customHeight="1">
      <c r="A60" s="6">
        <f t="shared" si="0"/>
        <v>57</v>
      </c>
      <c r="B60" s="72" t="s">
        <v>1947</v>
      </c>
      <c r="C60" s="8"/>
      <c r="D60" s="8"/>
      <c r="E60" s="8">
        <f t="array" ref="E60">SUM(IF("331"&amp;B60=KHN&amp;KH,TH))</f>
        <v>745605000</v>
      </c>
      <c r="F60" s="8">
        <f t="array" ref="F60">SUM(IF("331"&amp;B60=KHC&amp;KH,TH))</f>
        <v>745605000</v>
      </c>
      <c r="G60" s="86">
        <f t="shared" si="8"/>
        <v>0</v>
      </c>
      <c r="H60" s="86">
        <f t="shared" si="9"/>
        <v>0</v>
      </c>
      <c r="I60" s="10" t="str">
        <f t="shared" si="10"/>
        <v>Hai</v>
      </c>
    </row>
    <row r="61" spans="1:9" s="10" customFormat="1" ht="16.5" customHeight="1">
      <c r="A61" s="6">
        <f t="shared" si="0"/>
        <v>58</v>
      </c>
      <c r="B61" s="72" t="s">
        <v>381</v>
      </c>
      <c r="C61" s="8"/>
      <c r="D61" s="8"/>
      <c r="E61" s="8">
        <f t="array" ref="E61">SUM(IF("331"&amp;B61=KHN&amp;KH,TH))</f>
        <v>5789102000</v>
      </c>
      <c r="F61" s="8">
        <f t="array" ref="F61">SUM(IF("331"&amp;B61=KHC&amp;KH,TH))</f>
        <v>6806527000</v>
      </c>
      <c r="G61" s="86">
        <f t="shared" si="8"/>
        <v>0</v>
      </c>
      <c r="H61" s="86">
        <f t="shared" si="9"/>
        <v>1017425000</v>
      </c>
      <c r="I61" s="10" t="str">
        <f t="shared" si="10"/>
        <v>Nhiên</v>
      </c>
    </row>
    <row r="62" spans="1:9" s="10" customFormat="1" ht="16.5" customHeight="1">
      <c r="A62" s="6">
        <f t="shared" si="0"/>
        <v>59</v>
      </c>
      <c r="B62" s="329" t="s">
        <v>354</v>
      </c>
      <c r="C62" s="8"/>
      <c r="D62" s="8"/>
      <c r="E62" s="8">
        <f t="array" ref="E62">SUM(IF("331"&amp;B62=KHN&amp;KH,TH))</f>
        <v>1236110500</v>
      </c>
      <c r="F62" s="8">
        <f t="array" ref="F62">SUM(IF("331"&amp;B62=KHC&amp;KH,TH))</f>
        <v>1236110500</v>
      </c>
      <c r="G62" s="86">
        <f t="shared" si="8"/>
        <v>0</v>
      </c>
      <c r="H62" s="86">
        <f t="shared" si="9"/>
        <v>0</v>
      </c>
      <c r="I62" s="10" t="str">
        <f t="shared" si="10"/>
        <v>Nhiên</v>
      </c>
    </row>
    <row r="63" spans="1:9" s="10" customFormat="1" ht="16.5" customHeight="1">
      <c r="A63" s="6">
        <f t="shared" si="0"/>
        <v>60</v>
      </c>
      <c r="B63" s="329" t="s">
        <v>339</v>
      </c>
      <c r="C63" s="8"/>
      <c r="D63" s="8"/>
      <c r="E63" s="8">
        <f t="array" ref="E63">SUM(IF("331"&amp;B63=KHN&amp;KH,TH))</f>
        <v>853349000</v>
      </c>
      <c r="F63" s="8">
        <f t="array" ref="F63">SUM(IF("331"&amp;B63=KHC&amp;KH,TH))</f>
        <v>853349000</v>
      </c>
      <c r="G63" s="86">
        <f t="shared" si="8"/>
        <v>0</v>
      </c>
      <c r="H63" s="86">
        <f t="shared" si="9"/>
        <v>0</v>
      </c>
      <c r="I63" s="10" t="str">
        <f t="shared" si="10"/>
        <v>Nhiên</v>
      </c>
    </row>
    <row r="64" spans="1:9" s="10" customFormat="1" ht="16.5" customHeight="1">
      <c r="A64" s="6">
        <f t="shared" si="0"/>
        <v>61</v>
      </c>
      <c r="B64" s="72" t="s">
        <v>423</v>
      </c>
      <c r="C64" s="8"/>
      <c r="D64" s="8"/>
      <c r="E64" s="8">
        <f t="array" ref="E64">SUM(IF("331"&amp;B64=KHN&amp;KH,TH))</f>
        <v>2202073500</v>
      </c>
      <c r="F64" s="8">
        <f t="array" ref="F64">SUM(IF("331"&amp;B64=KHC&amp;KH,TH))</f>
        <v>2202073500</v>
      </c>
      <c r="G64" s="86">
        <f t="shared" si="8"/>
        <v>0</v>
      </c>
      <c r="H64" s="86">
        <f t="shared" si="9"/>
        <v>0</v>
      </c>
      <c r="I64" s="10" t="str">
        <f t="shared" si="10"/>
        <v>Hai</v>
      </c>
    </row>
    <row r="65" spans="1:9" s="10" customFormat="1" ht="16.5" customHeight="1">
      <c r="A65" s="6">
        <f t="shared" si="0"/>
        <v>62</v>
      </c>
      <c r="B65" s="72" t="s">
        <v>425</v>
      </c>
      <c r="C65" s="8"/>
      <c r="D65" s="8"/>
      <c r="E65" s="8">
        <f t="array" ref="E65">SUM(IF("331"&amp;B65=KHN&amp;KH,TH))</f>
        <v>744153000</v>
      </c>
      <c r="F65" s="8">
        <f t="array" ref="F65">SUM(IF("331"&amp;B65=KHC&amp;KH,TH))</f>
        <v>744153000</v>
      </c>
      <c r="G65" s="86">
        <f t="shared" si="8"/>
        <v>0</v>
      </c>
      <c r="H65" s="86">
        <f t="shared" si="9"/>
        <v>0</v>
      </c>
      <c r="I65" s="10" t="str">
        <f t="shared" si="10"/>
        <v>Hai</v>
      </c>
    </row>
    <row r="66" spans="1:9" s="10" customFormat="1" ht="16.5" customHeight="1">
      <c r="A66" s="6">
        <f t="shared" si="0"/>
        <v>63</v>
      </c>
      <c r="B66" s="72" t="s">
        <v>1953</v>
      </c>
      <c r="C66" s="8"/>
      <c r="D66" s="8"/>
      <c r="E66" s="8">
        <f t="array" ref="E66">SUM(IF("331"&amp;B66=KHN&amp;KH,TH))</f>
        <v>5904446500</v>
      </c>
      <c r="F66" s="8">
        <f t="array" ref="F66">SUM(IF("331"&amp;B66=KHC&amp;KH,TH))</f>
        <v>5904446500</v>
      </c>
      <c r="G66" s="86">
        <f t="shared" si="8"/>
        <v>0</v>
      </c>
      <c r="H66" s="86">
        <f t="shared" si="9"/>
        <v>0</v>
      </c>
      <c r="I66" s="10" t="s">
        <v>331</v>
      </c>
    </row>
    <row r="67" spans="1:9" s="10" customFormat="1" ht="16.5" customHeight="1">
      <c r="A67" s="6">
        <f t="shared" si="0"/>
        <v>64</v>
      </c>
      <c r="B67" s="329" t="s">
        <v>357</v>
      </c>
      <c r="C67" s="8"/>
      <c r="D67" s="8"/>
      <c r="E67" s="8">
        <f t="array" ref="E67">SUM(IF("331"&amp;B67=KHN&amp;KH,TH))</f>
        <v>1016822500</v>
      </c>
      <c r="F67" s="8">
        <f t="array" ref="F67">SUM(IF("331"&amp;B67=KHC&amp;KH,TH))</f>
        <v>1016822500</v>
      </c>
      <c r="G67" s="86">
        <f t="shared" si="8"/>
        <v>0</v>
      </c>
      <c r="H67" s="86">
        <f t="shared" si="9"/>
        <v>0</v>
      </c>
      <c r="I67" s="10" t="str">
        <f t="shared" si="10"/>
        <v>Nhiên</v>
      </c>
    </row>
    <row r="68" spans="1:9" s="10" customFormat="1" ht="16.5" customHeight="1">
      <c r="A68" s="6">
        <f t="shared" si="0"/>
        <v>65</v>
      </c>
      <c r="B68" s="72" t="s">
        <v>1950</v>
      </c>
      <c r="C68" s="8"/>
      <c r="D68" s="8"/>
      <c r="E68" s="8">
        <f t="array" ref="E68">SUM(IF("331"&amp;B68=KHN&amp;KH,TH))</f>
        <v>1726494500</v>
      </c>
      <c r="F68" s="8">
        <f t="array" ref="F68">SUM(IF("331"&amp;B68=KHC&amp;KH,TH))</f>
        <v>1726494500</v>
      </c>
      <c r="G68" s="86">
        <f t="shared" si="8"/>
        <v>0</v>
      </c>
      <c r="H68" s="86">
        <f t="shared" si="9"/>
        <v>0</v>
      </c>
      <c r="I68" s="10" t="str">
        <f t="shared" si="10"/>
        <v>Hai</v>
      </c>
    </row>
    <row r="69" spans="1:9" s="10" customFormat="1" ht="16.5" customHeight="1">
      <c r="A69" s="6">
        <f t="shared" si="0"/>
        <v>66</v>
      </c>
      <c r="B69" s="72" t="s">
        <v>384</v>
      </c>
      <c r="C69" s="8"/>
      <c r="D69" s="8"/>
      <c r="E69" s="8">
        <f t="array" ref="E69">SUM(IF("331"&amp;B69=KHN&amp;KH,TH))</f>
        <v>7398910000</v>
      </c>
      <c r="F69" s="8">
        <f t="array" ref="F69">SUM(IF("331"&amp;B69=KHC&amp;KH,TH))</f>
        <v>7483205000</v>
      </c>
      <c r="G69" s="86">
        <f t="shared" si="8"/>
        <v>0</v>
      </c>
      <c r="H69" s="86">
        <f t="shared" si="9"/>
        <v>84295000</v>
      </c>
      <c r="I69" s="10" t="str">
        <f t="shared" si="10"/>
        <v>Nhiên</v>
      </c>
    </row>
    <row r="70" spans="1:9" s="10" customFormat="1" ht="16.5" customHeight="1">
      <c r="A70" s="6">
        <f t="shared" ref="A70:A98" si="11">IF(B70&lt;&gt;"",ROW()-3,"")</f>
        <v>67</v>
      </c>
      <c r="B70" s="329" t="s">
        <v>342</v>
      </c>
      <c r="C70" s="8"/>
      <c r="D70" s="8"/>
      <c r="E70" s="8">
        <f t="array" ref="E70">SUM(IF("331"&amp;B70=KHN&amp;KH,TH))</f>
        <v>1878028000</v>
      </c>
      <c r="F70" s="8">
        <f t="array" ref="F70">SUM(IF("331"&amp;B70=KHC&amp;KH,TH))</f>
        <v>1878028000</v>
      </c>
      <c r="G70" s="86">
        <f t="shared" si="8"/>
        <v>0</v>
      </c>
      <c r="H70" s="86">
        <f t="shared" si="9"/>
        <v>0</v>
      </c>
      <c r="I70" s="10" t="str">
        <f t="shared" si="10"/>
        <v>Nhiên</v>
      </c>
    </row>
    <row r="71" spans="1:9" s="10" customFormat="1" ht="16.5" customHeight="1">
      <c r="A71" s="6">
        <f t="shared" si="11"/>
        <v>68</v>
      </c>
      <c r="B71" s="329" t="s">
        <v>360</v>
      </c>
      <c r="C71" s="8"/>
      <c r="D71" s="8"/>
      <c r="E71" s="8">
        <f t="array" ref="E71">SUM(IF("331"&amp;B71=KHN&amp;KH,TH))</f>
        <v>918715000</v>
      </c>
      <c r="F71" s="8">
        <f t="array" ref="F71">SUM(IF("331"&amp;B71=KHC&amp;KH,TH))</f>
        <v>918715000</v>
      </c>
      <c r="G71" s="86">
        <f t="shared" si="8"/>
        <v>0</v>
      </c>
      <c r="H71" s="86">
        <f t="shared" si="9"/>
        <v>0</v>
      </c>
      <c r="I71" s="10" t="str">
        <f t="shared" si="10"/>
        <v>Nhiên</v>
      </c>
    </row>
    <row r="72" spans="1:9" s="10" customFormat="1" ht="16.5" customHeight="1">
      <c r="A72" s="6">
        <f t="shared" si="11"/>
        <v>69</v>
      </c>
      <c r="B72" s="72" t="s">
        <v>1949</v>
      </c>
      <c r="C72" s="8"/>
      <c r="D72" s="8"/>
      <c r="E72" s="8">
        <f t="array" ref="E72">SUM(IF("331"&amp;B72=KHN&amp;KH,TH))</f>
        <v>1394239500</v>
      </c>
      <c r="F72" s="8">
        <f t="array" ref="F72">SUM(IF("331"&amp;B72=KHC&amp;KH,TH))</f>
        <v>1394239500</v>
      </c>
      <c r="G72" s="86">
        <f t="shared" si="8"/>
        <v>0</v>
      </c>
      <c r="H72" s="86">
        <f t="shared" si="9"/>
        <v>0</v>
      </c>
      <c r="I72" s="10" t="str">
        <f t="shared" si="10"/>
        <v>Hai</v>
      </c>
    </row>
    <row r="73" spans="1:9" s="10" customFormat="1" ht="16.5" customHeight="1">
      <c r="A73" s="6">
        <f t="shared" si="11"/>
        <v>70</v>
      </c>
      <c r="B73" s="329" t="s">
        <v>428</v>
      </c>
      <c r="C73" s="8"/>
      <c r="D73" s="8"/>
      <c r="E73" s="8">
        <f t="array" ref="E73">SUM(IF("331"&amp;B73=KHN&amp;KH,TH))</f>
        <v>1252985000</v>
      </c>
      <c r="F73" s="8">
        <f t="array" ref="F73">SUM(IF("331"&amp;B73=KHC&amp;KH,TH))</f>
        <v>1252985000</v>
      </c>
      <c r="G73" s="86">
        <f t="shared" si="8"/>
        <v>0</v>
      </c>
      <c r="H73" s="86">
        <f t="shared" si="9"/>
        <v>0</v>
      </c>
      <c r="I73" s="10" t="str">
        <f t="shared" si="10"/>
        <v>Hai</v>
      </c>
    </row>
    <row r="74" spans="1:9" s="10" customFormat="1" ht="16.5" customHeight="1">
      <c r="A74" s="6">
        <f t="shared" si="11"/>
        <v>71</v>
      </c>
      <c r="B74" s="329" t="s">
        <v>391</v>
      </c>
      <c r="C74" s="8"/>
      <c r="D74" s="8"/>
      <c r="E74" s="8">
        <f t="array" ref="E74">SUM(IF("331"&amp;B74=KHN&amp;KH,TH))</f>
        <v>254500000</v>
      </c>
      <c r="F74" s="8">
        <f t="array" ref="F74">SUM(IF("331"&amp;B74=KHC&amp;KH,TH))</f>
        <v>254500000</v>
      </c>
      <c r="G74" s="86">
        <f t="shared" si="8"/>
        <v>0</v>
      </c>
      <c r="H74" s="86">
        <f t="shared" si="9"/>
        <v>0</v>
      </c>
      <c r="I74" s="10" t="str">
        <f t="shared" si="10"/>
        <v>Hai</v>
      </c>
    </row>
    <row r="75" spans="1:9" s="10" customFormat="1" ht="16.5" customHeight="1">
      <c r="A75" s="6">
        <f t="shared" si="11"/>
        <v>72</v>
      </c>
      <c r="B75" s="72" t="s">
        <v>395</v>
      </c>
      <c r="C75" s="8"/>
      <c r="D75" s="8"/>
      <c r="E75" s="8">
        <f t="array" ref="E75">SUM(IF("331"&amp;B75=KHN&amp;KH,TH))</f>
        <v>404750000</v>
      </c>
      <c r="F75" s="8">
        <f t="array" ref="F75">SUM(IF("331"&amp;B75=KHC&amp;KH,TH))</f>
        <v>404750000</v>
      </c>
      <c r="G75" s="86">
        <f t="shared" si="8"/>
        <v>0</v>
      </c>
      <c r="H75" s="86">
        <f t="shared" si="9"/>
        <v>0</v>
      </c>
      <c r="I75" s="10" t="str">
        <f t="shared" si="10"/>
        <v>Hai</v>
      </c>
    </row>
    <row r="76" spans="1:9" s="10" customFormat="1" ht="16.5" customHeight="1">
      <c r="A76" s="6">
        <f t="shared" si="11"/>
        <v>73</v>
      </c>
      <c r="B76" s="72" t="s">
        <v>396</v>
      </c>
      <c r="C76" s="8"/>
      <c r="D76" s="8"/>
      <c r="E76" s="8">
        <f t="array" ref="E76">SUM(IF("331"&amp;B76=KHN&amp;KH,TH))</f>
        <v>320500000</v>
      </c>
      <c r="F76" s="8">
        <f t="array" ref="F76">SUM(IF("331"&amp;B76=KHC&amp;KH,TH))</f>
        <v>320500000</v>
      </c>
      <c r="G76" s="86">
        <f t="shared" si="8"/>
        <v>0</v>
      </c>
      <c r="H76" s="86">
        <f t="shared" si="9"/>
        <v>0</v>
      </c>
      <c r="I76" s="10" t="str">
        <f t="shared" si="10"/>
        <v>Hai</v>
      </c>
    </row>
    <row r="77" spans="1:9" s="10" customFormat="1" ht="16.5" customHeight="1">
      <c r="A77" s="6">
        <f t="shared" si="11"/>
        <v>74</v>
      </c>
      <c r="B77" s="72" t="s">
        <v>386</v>
      </c>
      <c r="C77" s="8"/>
      <c r="D77" s="8"/>
      <c r="E77" s="8">
        <f t="array" ref="E77">SUM(IF("331"&amp;B77=KHN&amp;KH,TH))</f>
        <v>6113790000</v>
      </c>
      <c r="F77" s="8">
        <f t="array" ref="F77">SUM(IF("331"&amp;B77=KHC&amp;KH,TH))</f>
        <v>7093190000</v>
      </c>
      <c r="G77" s="86">
        <f t="shared" si="8"/>
        <v>0</v>
      </c>
      <c r="H77" s="86">
        <f t="shared" si="9"/>
        <v>979400000</v>
      </c>
      <c r="I77" s="10" t="str">
        <f t="shared" si="10"/>
        <v>Nhiên</v>
      </c>
    </row>
    <row r="78" spans="1:9" s="10" customFormat="1" ht="16.5" customHeight="1">
      <c r="A78" s="6">
        <f t="shared" si="11"/>
        <v>75</v>
      </c>
      <c r="B78" s="72" t="s">
        <v>378</v>
      </c>
      <c r="C78" s="8"/>
      <c r="D78" s="8"/>
      <c r="E78" s="8">
        <f t="array" ref="E78">SUM(IF("331"&amp;B78=KHN&amp;KH,TH))</f>
        <v>7395265000</v>
      </c>
      <c r="F78" s="8">
        <f t="array" ref="F78">SUM(IF("331"&amp;B78=KHC&amp;KH,TH))</f>
        <v>8917077500</v>
      </c>
      <c r="G78" s="86">
        <f t="shared" si="8"/>
        <v>0</v>
      </c>
      <c r="H78" s="86">
        <f t="shared" si="9"/>
        <v>1521812500</v>
      </c>
      <c r="I78" s="10" t="str">
        <f t="shared" si="10"/>
        <v>Nhiên</v>
      </c>
    </row>
    <row r="79" spans="1:9" s="10" customFormat="1" ht="16.5" customHeight="1">
      <c r="A79" s="6">
        <f t="shared" si="11"/>
        <v>76</v>
      </c>
      <c r="B79" s="329" t="s">
        <v>436</v>
      </c>
      <c r="C79" s="8"/>
      <c r="D79" s="8"/>
      <c r="E79" s="8">
        <f t="array" ref="E79">SUM(IF("331"&amp;B79=KHN&amp;KH,TH))</f>
        <v>948096500</v>
      </c>
      <c r="F79" s="8">
        <f t="array" ref="F79">SUM(IF("331"&amp;B79=KHC&amp;KH,TH))</f>
        <v>948096500</v>
      </c>
      <c r="G79" s="86">
        <f t="shared" si="8"/>
        <v>0</v>
      </c>
      <c r="H79" s="86">
        <f t="shared" si="9"/>
        <v>0</v>
      </c>
      <c r="I79" s="10" t="str">
        <f t="shared" si="10"/>
        <v>Hai</v>
      </c>
    </row>
    <row r="80" spans="1:9" s="10" customFormat="1" ht="16.5" customHeight="1">
      <c r="A80" s="6">
        <f t="shared" si="11"/>
        <v>77</v>
      </c>
      <c r="B80" s="72" t="s">
        <v>418</v>
      </c>
      <c r="C80" s="8"/>
      <c r="D80" s="8"/>
      <c r="E80" s="8">
        <f t="array" ref="E80">SUM(IF("331"&amp;B80=KHN&amp;KH,TH))</f>
        <v>1175190000</v>
      </c>
      <c r="F80" s="8">
        <f t="array" ref="F80">SUM(IF("331"&amp;B80=KHC&amp;KH,TH))</f>
        <v>1175190000</v>
      </c>
      <c r="G80" s="86">
        <f t="shared" si="8"/>
        <v>0</v>
      </c>
      <c r="H80" s="86">
        <f t="shared" si="9"/>
        <v>0</v>
      </c>
      <c r="I80" s="10" t="str">
        <f t="shared" si="10"/>
        <v>Hai</v>
      </c>
    </row>
    <row r="81" spans="1:9" s="10" customFormat="1" ht="16.5" customHeight="1">
      <c r="A81" s="6">
        <f t="shared" si="11"/>
        <v>78</v>
      </c>
      <c r="B81" s="72" t="s">
        <v>421</v>
      </c>
      <c r="C81" s="8"/>
      <c r="D81" s="8"/>
      <c r="E81" s="8">
        <f t="array" ref="E81">SUM(IF("331"&amp;B81=KHN&amp;KH,TH))</f>
        <v>1802321500</v>
      </c>
      <c r="F81" s="8">
        <f t="array" ref="F81">SUM(IF("331"&amp;B81=KHC&amp;KH,TH))</f>
        <v>1802321500</v>
      </c>
      <c r="G81" s="86">
        <f t="shared" si="8"/>
        <v>0</v>
      </c>
      <c r="H81" s="86">
        <f t="shared" si="9"/>
        <v>0</v>
      </c>
      <c r="I81" s="10" t="str">
        <f t="shared" si="10"/>
        <v>Hai</v>
      </c>
    </row>
    <row r="82" spans="1:9" s="10" customFormat="1" ht="16.5" customHeight="1">
      <c r="A82" s="6">
        <f t="shared" si="11"/>
        <v>79</v>
      </c>
      <c r="B82" s="72" t="s">
        <v>402</v>
      </c>
      <c r="C82" s="8"/>
      <c r="D82" s="8"/>
      <c r="E82" s="8">
        <f t="array" ref="E82">SUM(IF("331"&amp;B82=KHN&amp;KH,TH))</f>
        <v>266200000</v>
      </c>
      <c r="F82" s="8">
        <f t="array" ref="F82">SUM(IF("331"&amp;B82=KHC&amp;KH,TH))</f>
        <v>266200000</v>
      </c>
      <c r="G82" s="86">
        <f t="shared" si="8"/>
        <v>0</v>
      </c>
      <c r="H82" s="86">
        <f t="shared" si="9"/>
        <v>0</v>
      </c>
      <c r="I82" s="10" t="str">
        <f t="shared" si="10"/>
        <v>Hai</v>
      </c>
    </row>
    <row r="83" spans="1:9" s="10" customFormat="1" ht="16.5" customHeight="1">
      <c r="A83" s="6">
        <f t="shared" si="11"/>
        <v>80</v>
      </c>
      <c r="B83" s="7" t="s">
        <v>371</v>
      </c>
      <c r="C83" s="8"/>
      <c r="D83" s="8"/>
      <c r="E83" s="8">
        <f t="array" ref="E83">SUM(IF("331"&amp;B83=KHN&amp;KH,TH))</f>
        <v>6432710000</v>
      </c>
      <c r="F83" s="8">
        <f t="array" ref="F83">SUM(IF("331"&amp;B83=KHC&amp;KH,TH))</f>
        <v>6695220000</v>
      </c>
      <c r="G83" s="86">
        <f t="shared" si="8"/>
        <v>0</v>
      </c>
      <c r="H83" s="86">
        <f t="shared" si="9"/>
        <v>262510000</v>
      </c>
      <c r="I83" s="10" t="str">
        <f t="shared" si="10"/>
        <v>Nhiên</v>
      </c>
    </row>
    <row r="84" spans="1:9" s="10" customFormat="1" ht="16.5" customHeight="1">
      <c r="A84" s="6">
        <f t="shared" si="11"/>
        <v>81</v>
      </c>
      <c r="B84" s="7" t="s">
        <v>388</v>
      </c>
      <c r="C84" s="8"/>
      <c r="D84" s="8"/>
      <c r="E84" s="8">
        <f t="array" ref="E84">SUM(IF("331"&amp;B84=KHN&amp;KH,TH))</f>
        <v>5384188000</v>
      </c>
      <c r="F84" s="8">
        <f t="array" ref="F84">SUM(IF("331"&amp;B84=KHC&amp;KH,TH))</f>
        <v>6871183000</v>
      </c>
      <c r="G84" s="86">
        <f>ROUND(MAX(C84+E84-D84-F84,0),2)</f>
        <v>0</v>
      </c>
      <c r="H84" s="86">
        <f>ROUND(MAX(D84+F84-C84-E84,0),2)</f>
        <v>1486995000</v>
      </c>
      <c r="I84" s="10" t="str">
        <f>IF(ISNA(VLOOKUP(B84,DSNL,6,0)),"",VLOOKUP(B84,DSNL,6,0))</f>
        <v>Nhiên</v>
      </c>
    </row>
    <row r="85" spans="1:9" s="10" customFormat="1" ht="16.5" customHeight="1">
      <c r="A85" s="6">
        <f t="shared" si="11"/>
        <v>82</v>
      </c>
      <c r="B85" s="7" t="s">
        <v>417</v>
      </c>
      <c r="C85" s="8"/>
      <c r="D85" s="8"/>
      <c r="E85" s="8">
        <f t="array" ref="E85">SUM(IF("331"&amp;B85=KHN&amp;KH,TH))</f>
        <v>1001937500</v>
      </c>
      <c r="F85" s="8">
        <f t="array" ref="F85">SUM(IF("331"&amp;B85=KHC&amp;KH,TH))</f>
        <v>1001937500</v>
      </c>
      <c r="G85" s="86">
        <f t="shared" si="8"/>
        <v>0</v>
      </c>
      <c r="H85" s="86">
        <f t="shared" si="9"/>
        <v>0</v>
      </c>
      <c r="I85" s="10" t="str">
        <f t="shared" si="10"/>
        <v>Hai</v>
      </c>
    </row>
    <row r="86" spans="1:9" s="10" customFormat="1" ht="16.5" customHeight="1">
      <c r="A86" s="6">
        <f t="shared" si="11"/>
        <v>83</v>
      </c>
      <c r="B86" s="7" t="s">
        <v>407</v>
      </c>
      <c r="C86" s="8"/>
      <c r="D86" s="8"/>
      <c r="E86" s="8">
        <f t="array" ref="E86">SUM(IF("331"&amp;B86=KHN&amp;KH,TH))</f>
        <v>1006770000</v>
      </c>
      <c r="F86" s="8">
        <f t="array" ref="F86">SUM(IF("331"&amp;B86=KHC&amp;KH,TH))</f>
        <v>1006770000</v>
      </c>
      <c r="G86" s="86">
        <f t="shared" si="8"/>
        <v>0</v>
      </c>
      <c r="H86" s="86">
        <f t="shared" si="9"/>
        <v>0</v>
      </c>
      <c r="I86" s="10" t="str">
        <f t="shared" si="10"/>
        <v>Hai</v>
      </c>
    </row>
    <row r="87" spans="1:9" s="10" customFormat="1" ht="16.5" customHeight="1">
      <c r="A87" s="6">
        <f t="shared" si="11"/>
        <v>84</v>
      </c>
      <c r="B87" s="7" t="s">
        <v>404</v>
      </c>
      <c r="C87" s="8"/>
      <c r="D87" s="8"/>
      <c r="E87" s="8">
        <f t="array" ref="E87">SUM(IF("331"&amp;B87=KHN&amp;KH,TH))</f>
        <v>757515000</v>
      </c>
      <c r="F87" s="8">
        <f t="array" ref="F87">SUM(IF("331"&amp;B87=KHC&amp;KH,TH))</f>
        <v>757515000</v>
      </c>
      <c r="G87" s="86">
        <f t="shared" ref="G87:G91" si="12">ROUND(MAX(C87+E87-D87-F87,0),2)</f>
        <v>0</v>
      </c>
      <c r="H87" s="86">
        <f t="shared" ref="H87:H91" si="13">ROUND(MAX(D87+F87-C87-E87,0),2)</f>
        <v>0</v>
      </c>
      <c r="I87" s="10" t="str">
        <f>IF(ISNA(VLOOKUP(B87,DSNL,6,0)),"",VLOOKUP(B87,DSNL,6,0))</f>
        <v>Hai</v>
      </c>
    </row>
    <row r="88" spans="1:9" s="10" customFormat="1" ht="16.5" customHeight="1">
      <c r="A88" s="6">
        <f t="shared" si="11"/>
        <v>85</v>
      </c>
      <c r="B88" s="7" t="s">
        <v>409</v>
      </c>
      <c r="C88" s="8"/>
      <c r="D88" s="8"/>
      <c r="E88" s="8">
        <f t="array" ref="E88">SUM(IF("331"&amp;B88=KHN&amp;KH,TH))</f>
        <v>858605000</v>
      </c>
      <c r="F88" s="8">
        <f t="array" ref="F88">SUM(IF("331"&amp;B88=KHC&amp;KH,TH))</f>
        <v>858605000</v>
      </c>
      <c r="G88" s="86">
        <f t="shared" si="12"/>
        <v>0</v>
      </c>
      <c r="H88" s="86">
        <f t="shared" si="13"/>
        <v>0</v>
      </c>
      <c r="I88" s="10" t="str">
        <f>IF(ISNA(VLOOKUP(B88,DSNL,6,0)),"",VLOOKUP(B88,DSNL,6,0))</f>
        <v>Hai</v>
      </c>
    </row>
    <row r="89" spans="1:9" s="10" customFormat="1" ht="16.5" customHeight="1">
      <c r="A89" s="6">
        <f t="shared" si="11"/>
        <v>86</v>
      </c>
      <c r="B89" s="7" t="s">
        <v>411</v>
      </c>
      <c r="C89" s="8"/>
      <c r="D89" s="8"/>
      <c r="E89" s="8">
        <f t="array" ref="E89">SUM(IF("331"&amp;B89=KHN&amp;KH,TH))</f>
        <v>828275000</v>
      </c>
      <c r="F89" s="8">
        <f t="array" ref="F89">SUM(IF("331"&amp;B89=KHC&amp;KH,TH))</f>
        <v>828275000</v>
      </c>
      <c r="G89" s="86">
        <f t="shared" si="12"/>
        <v>0</v>
      </c>
      <c r="H89" s="86">
        <f t="shared" si="13"/>
        <v>0</v>
      </c>
      <c r="I89" s="10" t="str">
        <f>IF(ISNA(VLOOKUP(B89,DSNL,6,0)),"",VLOOKUP(B89,DSNL,6,0))</f>
        <v>Hai</v>
      </c>
    </row>
    <row r="90" spans="1:9" s="10" customFormat="1" ht="16.5" customHeight="1">
      <c r="A90" s="6">
        <f t="shared" si="11"/>
        <v>87</v>
      </c>
      <c r="B90" s="7" t="s">
        <v>414</v>
      </c>
      <c r="C90" s="8"/>
      <c r="D90" s="8"/>
      <c r="E90" s="8">
        <f t="array" ref="E90">SUM(IF("331"&amp;B90=KHN&amp;KH,TH))</f>
        <v>379335000</v>
      </c>
      <c r="F90" s="8">
        <f t="array" ref="F90">SUM(IF("331"&amp;B90=KHC&amp;KH,TH))</f>
        <v>379335000</v>
      </c>
      <c r="G90" s="86">
        <f t="shared" si="12"/>
        <v>0</v>
      </c>
      <c r="H90" s="86">
        <f t="shared" si="13"/>
        <v>0</v>
      </c>
      <c r="I90" s="10" t="str">
        <f>IF(ISNA(VLOOKUP(B90,DSNL,6,0)),"",VLOOKUP(B90,DSNL,6,0))</f>
        <v>Hai</v>
      </c>
    </row>
    <row r="91" spans="1:9" s="10" customFormat="1" ht="16.5" customHeight="1">
      <c r="A91" s="6">
        <f t="shared" si="11"/>
        <v>88</v>
      </c>
      <c r="B91" s="7" t="s">
        <v>416</v>
      </c>
      <c r="C91" s="8"/>
      <c r="D91" s="8"/>
      <c r="E91" s="8">
        <f t="array" ref="E91">SUM(IF("331"&amp;B91=KHN&amp;KH,TH))</f>
        <v>177555000</v>
      </c>
      <c r="F91" s="8">
        <f t="array" ref="F91">SUM(IF("331"&amp;B91=KHC&amp;KH,TH))</f>
        <v>177555000</v>
      </c>
      <c r="G91" s="86">
        <f t="shared" si="12"/>
        <v>0</v>
      </c>
      <c r="H91" s="86">
        <f t="shared" si="13"/>
        <v>0</v>
      </c>
      <c r="I91" s="10" t="str">
        <f>IF(ISNA(VLOOKUP(B91,DSNL,6,0)),"",VLOOKUP(B91,DSNL,6,0))</f>
        <v>Hai</v>
      </c>
    </row>
    <row r="92" spans="1:9" s="10" customFormat="1" ht="16.5" customHeight="1">
      <c r="A92" s="6">
        <f t="shared" si="11"/>
        <v>89</v>
      </c>
      <c r="B92" s="308" t="s">
        <v>3014</v>
      </c>
      <c r="C92" s="8"/>
      <c r="D92" s="8"/>
      <c r="E92" s="8">
        <f t="array" ref="E92">SUM(IF("331"&amp;B92=KHN&amp;KH,TH))</f>
        <v>0</v>
      </c>
      <c r="F92" s="8">
        <f t="array" ref="F92">SUM(IF("331"&amp;B92=KHC&amp;KH,TH))</f>
        <v>2212425000</v>
      </c>
      <c r="G92" s="86">
        <f t="shared" ref="G92:G99" si="14">ROUND(MAX(C92+E92-D92-F92,0),2)</f>
        <v>0</v>
      </c>
      <c r="H92" s="86">
        <f t="shared" ref="H92:H99" si="15">ROUND(MAX(D92+F92-C92-E92,0),2)</f>
        <v>2212425000</v>
      </c>
    </row>
    <row r="93" spans="1:9" s="10" customFormat="1" ht="16.5" customHeight="1">
      <c r="A93" s="6">
        <f t="shared" si="11"/>
        <v>90</v>
      </c>
      <c r="B93" s="308" t="s">
        <v>3015</v>
      </c>
      <c r="C93" s="8"/>
      <c r="D93" s="8"/>
      <c r="E93" s="8">
        <f t="array" ref="E93">SUM(IF("331"&amp;B93=KHN&amp;KH,TH))</f>
        <v>0</v>
      </c>
      <c r="F93" s="8">
        <f t="array" ref="F93">SUM(IF("331"&amp;B93=KHC&amp;KH,TH))</f>
        <v>1203745000</v>
      </c>
      <c r="G93" s="86">
        <f t="shared" si="14"/>
        <v>0</v>
      </c>
      <c r="H93" s="86">
        <f t="shared" si="15"/>
        <v>1203745000</v>
      </c>
    </row>
    <row r="94" spans="1:9" s="10" customFormat="1" ht="16.5" customHeight="1">
      <c r="A94" s="6">
        <f t="shared" si="11"/>
        <v>91</v>
      </c>
      <c r="B94" s="308" t="s">
        <v>3016</v>
      </c>
      <c r="C94" s="8"/>
      <c r="D94" s="8"/>
      <c r="E94" s="8">
        <f t="array" ref="E94">SUM(IF("331"&amp;B94=KHN&amp;KH,TH))</f>
        <v>0</v>
      </c>
      <c r="F94" s="8">
        <f t="array" ref="F94">SUM(IF("331"&amp;B94=KHC&amp;KH,TH))</f>
        <v>2503606000</v>
      </c>
      <c r="G94" s="86">
        <f t="shared" si="14"/>
        <v>0</v>
      </c>
      <c r="H94" s="86">
        <f t="shared" si="15"/>
        <v>2503606000</v>
      </c>
    </row>
    <row r="95" spans="1:9" s="10" customFormat="1" ht="16.5" customHeight="1">
      <c r="A95" s="6">
        <f t="shared" si="11"/>
        <v>92</v>
      </c>
      <c r="B95" s="308" t="s">
        <v>3017</v>
      </c>
      <c r="C95" s="8"/>
      <c r="D95" s="8"/>
      <c r="E95" s="8">
        <f t="array" ref="E95">SUM(IF("331"&amp;B95=KHN&amp;KH,TH))</f>
        <v>0</v>
      </c>
      <c r="F95" s="8">
        <f t="array" ref="F95">SUM(IF("331"&amp;B95=KHC&amp;KH,TH))</f>
        <v>1453935000</v>
      </c>
      <c r="G95" s="86">
        <f t="shared" si="14"/>
        <v>0</v>
      </c>
      <c r="H95" s="86">
        <f t="shared" si="15"/>
        <v>1453935000</v>
      </c>
    </row>
    <row r="96" spans="1:9" s="10" customFormat="1" ht="16.5" customHeight="1">
      <c r="A96" s="6">
        <f t="shared" si="11"/>
        <v>93</v>
      </c>
      <c r="B96" s="308" t="s">
        <v>3018</v>
      </c>
      <c r="C96" s="8"/>
      <c r="D96" s="8"/>
      <c r="E96" s="8">
        <f t="array" ref="E96">SUM(IF("331"&amp;B96=KHN&amp;KH,TH))</f>
        <v>0</v>
      </c>
      <c r="F96" s="8">
        <f t="array" ref="F96">SUM(IF("331"&amp;B96=KHC&amp;KH,TH))</f>
        <v>1194969000</v>
      </c>
      <c r="G96" s="86">
        <f t="shared" si="14"/>
        <v>0</v>
      </c>
      <c r="H96" s="86">
        <f t="shared" si="15"/>
        <v>1194969000</v>
      </c>
    </row>
    <row r="97" spans="1:8" s="10" customFormat="1" ht="16.5" customHeight="1">
      <c r="A97" s="6">
        <f t="shared" si="11"/>
        <v>94</v>
      </c>
      <c r="B97" s="308" t="s">
        <v>3019</v>
      </c>
      <c r="C97" s="8"/>
      <c r="D97" s="8"/>
      <c r="E97" s="8">
        <f t="array" ref="E97">SUM(IF("331"&amp;B97=KHN&amp;KH,TH))</f>
        <v>0</v>
      </c>
      <c r="F97" s="8">
        <f t="array" ref="F97">SUM(IF("331"&amp;B97=KHC&amp;KH,TH))</f>
        <v>2476771000</v>
      </c>
      <c r="G97" s="86">
        <f t="shared" si="14"/>
        <v>0</v>
      </c>
      <c r="H97" s="86">
        <f t="shared" si="15"/>
        <v>2476771000</v>
      </c>
    </row>
    <row r="98" spans="1:8" s="10" customFormat="1" ht="16.5" customHeight="1">
      <c r="A98" s="6">
        <f t="shared" si="11"/>
        <v>95</v>
      </c>
      <c r="B98" s="308" t="s">
        <v>3020</v>
      </c>
      <c r="C98" s="8"/>
      <c r="D98" s="8"/>
      <c r="E98" s="8">
        <f t="array" ref="E98">SUM(IF("331"&amp;B98=KHN&amp;KH,TH))</f>
        <v>0</v>
      </c>
      <c r="F98" s="8">
        <f t="array" ref="F98">SUM(IF("331"&amp;B98=KHC&amp;KH,TH))</f>
        <v>2654935000</v>
      </c>
      <c r="G98" s="86">
        <f t="shared" si="14"/>
        <v>0</v>
      </c>
      <c r="H98" s="86">
        <f t="shared" si="15"/>
        <v>2654935000</v>
      </c>
    </row>
    <row r="99" spans="1:8" s="10" customFormat="1" ht="16.5" customHeight="1">
      <c r="A99" s="6"/>
      <c r="B99" s="7"/>
      <c r="C99" s="8"/>
      <c r="D99" s="8"/>
      <c r="E99" s="8">
        <f t="array" ref="E99">SUM(IF("331"&amp;B99=KHN&amp;KH,TH))</f>
        <v>0</v>
      </c>
      <c r="F99" s="8">
        <f t="array" ref="F99">SUM(IF("331"&amp;B99=KHC&amp;KH,TH))</f>
        <v>0</v>
      </c>
      <c r="G99" s="86">
        <f t="shared" si="14"/>
        <v>0</v>
      </c>
      <c r="H99" s="86">
        <f t="shared" si="15"/>
        <v>0</v>
      </c>
    </row>
    <row r="100" spans="1:8" s="14" customFormat="1" ht="14.25" customHeight="1">
      <c r="A100" s="11"/>
      <c r="B100" s="12" t="s">
        <v>39</v>
      </c>
      <c r="C100" s="13">
        <f t="shared" ref="C100:H100" si="16">SUM(C4:C99)</f>
        <v>60000000</v>
      </c>
      <c r="D100" s="13">
        <f t="shared" si="16"/>
        <v>536953252</v>
      </c>
      <c r="E100" s="13">
        <f t="shared" si="16"/>
        <v>117159457729</v>
      </c>
      <c r="F100" s="13">
        <f t="shared" si="16"/>
        <v>152407726076</v>
      </c>
      <c r="G100" s="13">
        <f t="shared" si="16"/>
        <v>810000</v>
      </c>
      <c r="H100" s="13">
        <f t="shared" si="16"/>
        <v>35726031599</v>
      </c>
    </row>
    <row r="102" spans="1:8">
      <c r="D102" s="225">
        <f>D100-CĐPS!D38-C100</f>
        <v>0</v>
      </c>
      <c r="E102" s="15">
        <f>E100-CĐPS!E38</f>
        <v>0</v>
      </c>
      <c r="F102" s="15">
        <f>F100-CĐPS!F38</f>
        <v>0</v>
      </c>
      <c r="H102" s="225">
        <f>H100-G100-CĐPS!H38</f>
        <v>0</v>
      </c>
    </row>
    <row r="104" spans="1:8">
      <c r="E104" s="225"/>
      <c r="F104" s="225"/>
    </row>
  </sheetData>
  <sortState ref="A39:I70">
    <sortCondition ref="B39:B70"/>
  </sortState>
  <mergeCells count="6">
    <mergeCell ref="A1:H1"/>
    <mergeCell ref="G2:H2"/>
    <mergeCell ref="A2:A3"/>
    <mergeCell ref="B2:B3"/>
    <mergeCell ref="C2:D2"/>
    <mergeCell ref="E2:F2"/>
  </mergeCells>
  <phoneticPr fontId="21" type="noConversion"/>
  <printOptions horizontalCentered="1"/>
  <pageMargins left="0.25" right="0.2" top="0.3" bottom="0.3" header="0.1" footer="0.1"/>
  <pageSetup paperSize="9" scale="75" orientation="portrait" verticalDpi="300" r:id="rId1"/>
  <headerFooter alignWithMargins="0"/>
</worksheet>
</file>

<file path=xl/worksheets/sheet13.xml><?xml version="1.0" encoding="utf-8"?>
<worksheet xmlns="http://schemas.openxmlformats.org/spreadsheetml/2006/main" xmlns:r="http://schemas.openxmlformats.org/officeDocument/2006/relationships">
  <sheetPr>
    <tabColor rgb="FFFF0000"/>
  </sheetPr>
  <dimension ref="A1:K82"/>
  <sheetViews>
    <sheetView workbookViewId="0">
      <selection activeCell="M18" sqref="M18"/>
    </sheetView>
  </sheetViews>
  <sheetFormatPr defaultRowHeight="12.75"/>
  <cols>
    <col min="1" max="1" width="8" customWidth="1"/>
    <col min="2" max="2" width="9.85546875" customWidth="1"/>
    <col min="3" max="3" width="7.85546875" customWidth="1"/>
    <col min="4" max="4" width="29" customWidth="1"/>
    <col min="5" max="5" width="6" customWidth="1"/>
    <col min="6" max="6" width="6.5703125" customWidth="1"/>
    <col min="7" max="7" width="14.7109375" customWidth="1"/>
    <col min="8" max="8" width="14.5703125" customWidth="1"/>
    <col min="9" max="9" width="13.5703125" customWidth="1"/>
    <col min="10" max="10" width="13.7109375" customWidth="1"/>
  </cols>
  <sheetData>
    <row r="1" spans="1:10" s="3" customFormat="1" ht="14.25" customHeight="1">
      <c r="A1" s="1331" t="s">
        <v>310</v>
      </c>
      <c r="B1" s="1332"/>
      <c r="C1" s="1333"/>
      <c r="D1" s="1334"/>
      <c r="G1" s="2"/>
      <c r="H1" s="1427" t="s">
        <v>47</v>
      </c>
      <c r="I1" s="1427"/>
      <c r="J1" s="1427"/>
    </row>
    <row r="2" spans="1:10" s="3" customFormat="1" ht="14.25" customHeight="1">
      <c r="A2" s="1434" t="s">
        <v>597</v>
      </c>
      <c r="B2" s="1434"/>
      <c r="C2" s="1434"/>
      <c r="D2" s="1434"/>
      <c r="G2" s="17"/>
      <c r="H2" s="1428" t="s">
        <v>48</v>
      </c>
      <c r="I2" s="1428"/>
      <c r="J2" s="1428"/>
    </row>
    <row r="3" spans="1:10" s="3" customFormat="1" ht="14.25" customHeight="1">
      <c r="A3" s="4"/>
      <c r="B3" s="16"/>
      <c r="C3" s="16"/>
      <c r="G3" s="17"/>
      <c r="H3" s="1428"/>
      <c r="I3" s="1428"/>
      <c r="J3" s="1428"/>
    </row>
    <row r="4" spans="1:10" s="5" customFormat="1" ht="24.75" customHeight="1">
      <c r="A4" s="1433" t="s">
        <v>3034</v>
      </c>
      <c r="B4" s="1433"/>
      <c r="C4" s="1433"/>
      <c r="D4" s="1433"/>
      <c r="E4" s="1433"/>
      <c r="F4" s="1433"/>
      <c r="G4" s="1433"/>
      <c r="H4" s="1433"/>
      <c r="I4" s="1433"/>
      <c r="J4" s="1433"/>
    </row>
    <row r="5" spans="1:10" s="18" customFormat="1" ht="14.25" customHeight="1">
      <c r="E5" s="19" t="s">
        <v>27</v>
      </c>
    </row>
    <row r="6" spans="1:10" s="18" customFormat="1" ht="14.25" customHeight="1">
      <c r="E6" s="19" t="s">
        <v>28</v>
      </c>
    </row>
    <row r="7" spans="1:10" s="18" customFormat="1" ht="14.25" customHeight="1">
      <c r="D7" s="20" t="s">
        <v>46</v>
      </c>
      <c r="E7" s="1384" t="s">
        <v>3020</v>
      </c>
      <c r="F7" s="1384"/>
      <c r="G7" s="1384"/>
      <c r="H7" s="1384"/>
      <c r="I7" s="1384"/>
    </row>
    <row r="8" spans="1:10" s="18" customFormat="1" ht="14.25" customHeight="1">
      <c r="E8" s="19" t="s">
        <v>29</v>
      </c>
    </row>
    <row r="9" spans="1:10" s="18" customFormat="1" ht="6.75" customHeight="1">
      <c r="B9" s="19"/>
      <c r="C9" s="1429"/>
      <c r="D9" s="1429"/>
      <c r="E9" s="1429"/>
      <c r="F9" s="1429"/>
      <c r="G9" s="1429"/>
      <c r="H9" s="1429"/>
      <c r="I9" s="1429"/>
      <c r="J9" s="1429"/>
    </row>
    <row r="10" spans="1:10" s="18" customFormat="1" ht="14.25" customHeight="1">
      <c r="A10" s="1395" t="s">
        <v>21</v>
      </c>
      <c r="B10" s="1430" t="s">
        <v>1</v>
      </c>
      <c r="C10" s="1430"/>
      <c r="D10" s="1395" t="s">
        <v>0</v>
      </c>
      <c r="E10" s="1395" t="s">
        <v>15</v>
      </c>
      <c r="F10" s="1395" t="s">
        <v>30</v>
      </c>
      <c r="G10" s="1431" t="s">
        <v>22</v>
      </c>
      <c r="H10" s="1432"/>
      <c r="I10" s="1431" t="s">
        <v>31</v>
      </c>
      <c r="J10" s="1432"/>
    </row>
    <row r="11" spans="1:10" s="18" customFormat="1" ht="43.5" customHeight="1">
      <c r="A11" s="1395"/>
      <c r="B11" s="30" t="s">
        <v>16</v>
      </c>
      <c r="C11" s="30" t="s">
        <v>32</v>
      </c>
      <c r="D11" s="1395"/>
      <c r="E11" s="1395"/>
      <c r="F11" s="1395"/>
      <c r="G11" s="30" t="s">
        <v>23</v>
      </c>
      <c r="H11" s="30" t="s">
        <v>24</v>
      </c>
      <c r="I11" s="30" t="s">
        <v>23</v>
      </c>
      <c r="J11" s="30" t="s">
        <v>24</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5.75" customHeight="1">
      <c r="A13" s="21"/>
      <c r="B13" s="21"/>
      <c r="C13" s="21"/>
      <c r="D13" s="23" t="s">
        <v>7</v>
      </c>
      <c r="E13" s="21"/>
      <c r="F13" s="24"/>
      <c r="G13" s="24"/>
      <c r="H13" s="24"/>
      <c r="I13" s="77">
        <f>VLOOKUP($E$7,'331'!$B$4:$H$100,2,0)</f>
        <v>0</v>
      </c>
      <c r="J13" s="77">
        <f>VLOOKUP($E$7,'331'!$B$4:$H$100,3,0)</f>
        <v>0</v>
      </c>
    </row>
    <row r="14" spans="1:10" s="18" customFormat="1" ht="24.75" customHeight="1">
      <c r="A14" s="9">
        <f ca="1">IF(ROWS($1:1)&gt;COUNT(Dong),"",OFFSET(TH!C$1,SMALL(Dong,ROWS($1:1)),))</f>
        <v>42711</v>
      </c>
      <c r="B14" s="9" t="str">
        <f ca="1">IF(ROWS($1:1)&gt;COUNT(Dong),"",OFFSET(TH!D$1,SMALL(Dong,ROWS($1:1)),))</f>
        <v>NL/N24</v>
      </c>
      <c r="C14" s="9">
        <f ca="1">IF(ROWS($1:1)&gt;COUNT(Dong),"",OFFSET(TH!E$1,SMALL(Dong,ROWS($1:1)),))</f>
        <v>42711</v>
      </c>
      <c r="D14" s="346" t="str">
        <f ca="1">IF(ROWS($1:1)&gt;COUNT(Dong),"",OFFSET(TH!F$1,SMALL(Dong,ROWS($1:1)),))</f>
        <v>Cá cơm NL</v>
      </c>
      <c r="E14" s="76" t="str">
        <f ca="1">IF(ROWS($1:1)&gt;COUNT(Dong),"",IF(OFFSET(TH!N$1,SMALL(Dong,ROWS($1:1)),)="331",OFFSET(TH!O$1,SMALL(Dong,ROWS($1:1)),),OFFSET(TH!N$1,SMALL(Dong,ROWS($1:1)),)))</f>
        <v>1521</v>
      </c>
      <c r="F14" s="76"/>
      <c r="G14" s="94">
        <f ca="1">IF(ROWS($1:1)&gt;COUNT(Dong),"",IF(OFFSET(TH!N$1,SMALL(Dong,ROWS($1:1)),)="331",OFFSET(TH!M$1,SMALL(Dong,ROWS($1:1)),),0))</f>
        <v>0</v>
      </c>
      <c r="H14" s="94">
        <f ca="1">IF(ROWS($1:1)&gt;COUNT(Dong),"",IF(OFFSET(TH!O$1,SMALL(Dong,ROWS($1:1)),)="331",OFFSET(TH!M$1,SMALL(Dong,ROWS($1:1)),),0))</f>
        <v>256025000</v>
      </c>
      <c r="I14" s="25">
        <f ca="1">IF(D14&lt;&gt;"",MAX(I13+G14-H14-J13,0),0)</f>
        <v>0</v>
      </c>
      <c r="J14" s="25">
        <f ca="1">IF(D14&lt;&gt;"",MAX(J13+H14-I13-G14,0),0)</f>
        <v>256025000</v>
      </c>
    </row>
    <row r="15" spans="1:10" s="18" customFormat="1" ht="24.75" customHeight="1">
      <c r="A15" s="9">
        <f ca="1">IF(ROWS($1:2)&gt;COUNT(Dong),"",OFFSET(TH!C$1,SMALL(Dong,ROWS($1:2)),))</f>
        <v>42713</v>
      </c>
      <c r="B15" s="9" t="str">
        <f ca="1">IF(ROWS($1:2)&gt;COUNT(Dong),"",OFFSET(TH!D$1,SMALL(Dong,ROWS($1:2)),))</f>
        <v>NL/N30</v>
      </c>
      <c r="C15" s="9">
        <f ca="1">IF(ROWS($1:2)&gt;COUNT(Dong),"",OFFSET(TH!E$1,SMALL(Dong,ROWS($1:2)),))</f>
        <v>42713</v>
      </c>
      <c r="D15" s="346" t="str">
        <f ca="1">IF(ROWS($1:2)&gt;COUNT(Dong),"",OFFSET(TH!F$1,SMALL(Dong,ROWS($1:2)),))</f>
        <v>Cá cơm NL</v>
      </c>
      <c r="E15" s="76" t="str">
        <f ca="1">IF(ROWS($1:2)&gt;COUNT(Dong),"",IF(OFFSET(TH!N$1,SMALL(Dong,ROWS($1:2)),)="331",OFFSET(TH!O$1,SMALL(Dong,ROWS($1:2)),),OFFSET(TH!N$1,SMALL(Dong,ROWS($1:2)),)))</f>
        <v>1521</v>
      </c>
      <c r="F15" s="76"/>
      <c r="G15" s="94">
        <f ca="1">IF(ROWS($1:2)&gt;COUNT(Dong),"",IF(OFFSET(TH!N$1,SMALL(Dong,ROWS($1:2)),)="331",OFFSET(TH!M$1,SMALL(Dong,ROWS($1:2)),),0))</f>
        <v>0</v>
      </c>
      <c r="H15" s="94">
        <f ca="1">IF(ROWS($1:2)&gt;COUNT(Dong),"",IF(OFFSET(TH!O$1,SMALL(Dong,ROWS($1:2)),)="331",OFFSET(TH!M$1,SMALL(Dong,ROWS($1:2)),),0))</f>
        <v>254100000</v>
      </c>
      <c r="I15" s="25">
        <f t="shared" ref="I15:I29" ca="1" si="0">IF(D15&lt;&gt;"",MAX(I14+G15-H15-J14,0),0)</f>
        <v>0</v>
      </c>
      <c r="J15" s="25">
        <f t="shared" ref="J15:J29" ca="1" si="1">IF(D15&lt;&gt;"",MAX(J14+H15-I14-G15,0),0)</f>
        <v>510125000</v>
      </c>
    </row>
    <row r="16" spans="1:10" s="18" customFormat="1" ht="24.75" customHeight="1">
      <c r="A16" s="9">
        <f ca="1">IF(ROWS($1:3)&gt;COUNT(Dong),"",OFFSET(TH!C$1,SMALL(Dong,ROWS($1:3)),))</f>
        <v>42716</v>
      </c>
      <c r="B16" s="9" t="str">
        <f ca="1">IF(ROWS($1:3)&gt;COUNT(Dong),"",OFFSET(TH!D$1,SMALL(Dong,ROWS($1:3)),))</f>
        <v>NL/N46</v>
      </c>
      <c r="C16" s="9">
        <f ca="1">IF(ROWS($1:3)&gt;COUNT(Dong),"",OFFSET(TH!E$1,SMALL(Dong,ROWS($1:3)),))</f>
        <v>42716</v>
      </c>
      <c r="D16" s="346" t="str">
        <f ca="1">IF(ROWS($1:3)&gt;COUNT(Dong),"",OFFSET(TH!F$1,SMALL(Dong,ROWS($1:3)),))</f>
        <v>Cá cơm NL</v>
      </c>
      <c r="E16" s="76" t="str">
        <f ca="1">IF(ROWS($1:3)&gt;COUNT(Dong),"",IF(OFFSET(TH!N$1,SMALL(Dong,ROWS($1:3)),)="331",OFFSET(TH!O$1,SMALL(Dong,ROWS($1:3)),),OFFSET(TH!N$1,SMALL(Dong,ROWS($1:3)),)))</f>
        <v>1521</v>
      </c>
      <c r="F16" s="76"/>
      <c r="G16" s="94">
        <f ca="1">IF(ROWS($1:3)&gt;COUNT(Dong),"",IF(OFFSET(TH!N$1,SMALL(Dong,ROWS($1:3)),)="331",OFFSET(TH!M$1,SMALL(Dong,ROWS($1:3)),),0))</f>
        <v>0</v>
      </c>
      <c r="H16" s="94">
        <f ca="1">IF(ROWS($1:3)&gt;COUNT(Dong),"",IF(OFFSET(TH!O$1,SMALL(Dong,ROWS($1:3)),)="331",OFFSET(TH!M$1,SMALL(Dong,ROWS($1:3)),),0))</f>
        <v>254100000</v>
      </c>
      <c r="I16" s="25">
        <f t="shared" ca="1" si="0"/>
        <v>0</v>
      </c>
      <c r="J16" s="25">
        <f t="shared" ca="1" si="1"/>
        <v>764225000</v>
      </c>
    </row>
    <row r="17" spans="1:10" s="18" customFormat="1" ht="24.75" customHeight="1">
      <c r="A17" s="9">
        <f ca="1">IF(ROWS($1:4)&gt;COUNT(Dong),"",OFFSET(TH!C$1,SMALL(Dong,ROWS($1:4)),))</f>
        <v>42718</v>
      </c>
      <c r="B17" s="9" t="str">
        <f ca="1">IF(ROWS($1:4)&gt;COUNT(Dong),"",OFFSET(TH!D$1,SMALL(Dong,ROWS($1:4)),))</f>
        <v>NL/N54</v>
      </c>
      <c r="C17" s="9">
        <f ca="1">IF(ROWS($1:4)&gt;COUNT(Dong),"",OFFSET(TH!E$1,SMALL(Dong,ROWS($1:4)),))</f>
        <v>42718</v>
      </c>
      <c r="D17" s="346" t="str">
        <f ca="1">IF(ROWS($1:4)&gt;COUNT(Dong),"",OFFSET(TH!F$1,SMALL(Dong,ROWS($1:4)),))</f>
        <v>Cá cơm NL</v>
      </c>
      <c r="E17" s="76" t="str">
        <f ca="1">IF(ROWS($1:4)&gt;COUNT(Dong),"",IF(OFFSET(TH!N$1,SMALL(Dong,ROWS($1:4)),)="331",OFFSET(TH!O$1,SMALL(Dong,ROWS($1:4)),),OFFSET(TH!N$1,SMALL(Dong,ROWS($1:4)),)))</f>
        <v>1521</v>
      </c>
      <c r="F17" s="76"/>
      <c r="G17" s="94">
        <f ca="1">IF(ROWS($1:4)&gt;COUNT(Dong),"",IF(OFFSET(TH!N$1,SMALL(Dong,ROWS($1:4)),)="331",OFFSET(TH!M$1,SMALL(Dong,ROWS($1:4)),),0))</f>
        <v>0</v>
      </c>
      <c r="H17" s="94">
        <f ca="1">IF(ROWS($1:4)&gt;COUNT(Dong),"",IF(OFFSET(TH!O$1,SMALL(Dong,ROWS($1:4)),)="331",OFFSET(TH!M$1,SMALL(Dong,ROWS($1:4)),),0))</f>
        <v>251300000</v>
      </c>
      <c r="I17" s="25">
        <f t="shared" ca="1" si="0"/>
        <v>0</v>
      </c>
      <c r="J17" s="25">
        <f t="shared" ca="1" si="1"/>
        <v>1015525000</v>
      </c>
    </row>
    <row r="18" spans="1:10" s="18" customFormat="1" ht="24.75" customHeight="1">
      <c r="A18" s="9">
        <f ca="1">IF(ROWS($1:5)&gt;COUNT(Dong),"",OFFSET(TH!C$1,SMALL(Dong,ROWS($1:5)),))</f>
        <v>42720</v>
      </c>
      <c r="B18" s="9" t="str">
        <f ca="1">IF(ROWS($1:5)&gt;COUNT(Dong),"",OFFSET(TH!D$1,SMALL(Dong,ROWS($1:5)),))</f>
        <v>NL/N64</v>
      </c>
      <c r="C18" s="9">
        <f ca="1">IF(ROWS($1:5)&gt;COUNT(Dong),"",OFFSET(TH!E$1,SMALL(Dong,ROWS($1:5)),))</f>
        <v>42720</v>
      </c>
      <c r="D18" s="346" t="str">
        <f ca="1">IF(ROWS($1:5)&gt;COUNT(Dong),"",OFFSET(TH!F$1,SMALL(Dong,ROWS($1:5)),))</f>
        <v>Cá cơm NL</v>
      </c>
      <c r="E18" s="76" t="str">
        <f ca="1">IF(ROWS($1:5)&gt;COUNT(Dong),"",IF(OFFSET(TH!N$1,SMALL(Dong,ROWS($1:5)),)="331",OFFSET(TH!O$1,SMALL(Dong,ROWS($1:5)),),OFFSET(TH!N$1,SMALL(Dong,ROWS($1:5)),)))</f>
        <v>1521</v>
      </c>
      <c r="F18" s="76"/>
      <c r="G18" s="94">
        <f ca="1">IF(ROWS($1:5)&gt;COUNT(Dong),"",IF(OFFSET(TH!N$1,SMALL(Dong,ROWS($1:5)),)="331",OFFSET(TH!M$1,SMALL(Dong,ROWS($1:5)),),0))</f>
        <v>0</v>
      </c>
      <c r="H18" s="94">
        <f ca="1">IF(ROWS($1:5)&gt;COUNT(Dong),"",IF(OFFSET(TH!O$1,SMALL(Dong,ROWS($1:5)),)="331",OFFSET(TH!M$1,SMALL(Dong,ROWS($1:5)),),0))</f>
        <v>251300000</v>
      </c>
      <c r="I18" s="25">
        <f t="shared" ca="1" si="0"/>
        <v>0</v>
      </c>
      <c r="J18" s="25">
        <f t="shared" ca="1" si="1"/>
        <v>1266825000</v>
      </c>
    </row>
    <row r="19" spans="1:10" s="18" customFormat="1" ht="24.75" customHeight="1">
      <c r="A19" s="9">
        <f ca="1">IF(ROWS($1:6)&gt;COUNT(Dong),"",OFFSET(TH!C$1,SMALL(Dong,ROWS($1:6)),))</f>
        <v>42723</v>
      </c>
      <c r="B19" s="9" t="str">
        <f ca="1">IF(ROWS($1:6)&gt;COUNT(Dong),"",OFFSET(TH!D$1,SMALL(Dong,ROWS($1:6)),))</f>
        <v>NL/N70</v>
      </c>
      <c r="C19" s="9">
        <f ca="1">IF(ROWS($1:6)&gt;COUNT(Dong),"",OFFSET(TH!E$1,SMALL(Dong,ROWS($1:6)),))</f>
        <v>42723</v>
      </c>
      <c r="D19" s="346" t="str">
        <f ca="1">IF(ROWS($1:6)&gt;COUNT(Dong),"",OFFSET(TH!F$1,SMALL(Dong,ROWS($1:6)),))</f>
        <v>Cá cơm NL</v>
      </c>
      <c r="E19" s="76" t="str">
        <f ca="1">IF(ROWS($1:6)&gt;COUNT(Dong),"",IF(OFFSET(TH!N$1,SMALL(Dong,ROWS($1:6)),)="331",OFFSET(TH!O$1,SMALL(Dong,ROWS($1:6)),),OFFSET(TH!N$1,SMALL(Dong,ROWS($1:6)),)))</f>
        <v>1521</v>
      </c>
      <c r="F19" s="76"/>
      <c r="G19" s="94">
        <f ca="1">IF(ROWS($1:6)&gt;COUNT(Dong),"",IF(OFFSET(TH!N$1,SMALL(Dong,ROWS($1:6)),)="331",OFFSET(TH!M$1,SMALL(Dong,ROWS($1:6)),),0))</f>
        <v>0</v>
      </c>
      <c r="H19" s="94">
        <f ca="1">IF(ROWS($1:6)&gt;COUNT(Dong),"",IF(OFFSET(TH!O$1,SMALL(Dong,ROWS($1:6)),)="331",OFFSET(TH!M$1,SMALL(Dong,ROWS($1:6)),),0))</f>
        <v>254765000</v>
      </c>
      <c r="I19" s="25">
        <f t="shared" ca="1" si="0"/>
        <v>0</v>
      </c>
      <c r="J19" s="25">
        <f t="shared" ca="1" si="1"/>
        <v>1521590000</v>
      </c>
    </row>
    <row r="20" spans="1:10" s="18" customFormat="1" ht="24.75" customHeight="1">
      <c r="A20" s="9">
        <f ca="1">IF(ROWS($1:7)&gt;COUNT(Dong),"",OFFSET(TH!C$1,SMALL(Dong,ROWS($1:7)),))</f>
        <v>42725</v>
      </c>
      <c r="B20" s="9" t="str">
        <f ca="1">IF(ROWS($1:7)&gt;COUNT(Dong),"",OFFSET(TH!D$1,SMALL(Dong,ROWS($1:7)),))</f>
        <v>NL/N80</v>
      </c>
      <c r="C20" s="9">
        <f ca="1">IF(ROWS($1:7)&gt;COUNT(Dong),"",OFFSET(TH!E$1,SMALL(Dong,ROWS($1:7)),))</f>
        <v>42725</v>
      </c>
      <c r="D20" s="346" t="str">
        <f ca="1">IF(ROWS($1:7)&gt;COUNT(Dong),"",OFFSET(TH!F$1,SMALL(Dong,ROWS($1:7)),))</f>
        <v>Cá cơm NL</v>
      </c>
      <c r="E20" s="76" t="str">
        <f ca="1">IF(ROWS($1:7)&gt;COUNT(Dong),"",IF(OFFSET(TH!N$1,SMALL(Dong,ROWS($1:7)),)="331",OFFSET(TH!O$1,SMALL(Dong,ROWS($1:7)),),OFFSET(TH!N$1,SMALL(Dong,ROWS($1:7)),)))</f>
        <v>1521</v>
      </c>
      <c r="F20" s="76"/>
      <c r="G20" s="94">
        <f ca="1">IF(ROWS($1:7)&gt;COUNT(Dong),"",IF(OFFSET(TH!N$1,SMALL(Dong,ROWS($1:7)),)="331",OFFSET(TH!M$1,SMALL(Dong,ROWS($1:7)),),0))</f>
        <v>0</v>
      </c>
      <c r="H20" s="94">
        <f ca="1">IF(ROWS($1:7)&gt;COUNT(Dong),"",IF(OFFSET(TH!O$1,SMALL(Dong,ROWS($1:7)),)="331",OFFSET(TH!M$1,SMALL(Dong,ROWS($1:7)),),0))</f>
        <v>259875000</v>
      </c>
      <c r="I20" s="25">
        <f t="shared" ca="1" si="0"/>
        <v>0</v>
      </c>
      <c r="J20" s="25">
        <f t="shared" ca="1" si="1"/>
        <v>1781465000</v>
      </c>
    </row>
    <row r="21" spans="1:10" s="18" customFormat="1" ht="24.75" customHeight="1">
      <c r="A21" s="9">
        <f ca="1">IF(ROWS($1:8)&gt;COUNT(Dong),"",OFFSET(TH!C$1,SMALL(Dong,ROWS($1:8)),))</f>
        <v>42727</v>
      </c>
      <c r="B21" s="9" t="str">
        <f ca="1">IF(ROWS($1:8)&gt;COUNT(Dong),"",OFFSET(TH!D$1,SMALL(Dong,ROWS($1:8)),))</f>
        <v>NL/N86</v>
      </c>
      <c r="C21" s="9">
        <f ca="1">IF(ROWS($1:8)&gt;COUNT(Dong),"",OFFSET(TH!E$1,SMALL(Dong,ROWS($1:8)),))</f>
        <v>42727</v>
      </c>
      <c r="D21" s="346" t="str">
        <f ca="1">IF(ROWS($1:8)&gt;COUNT(Dong),"",OFFSET(TH!F$1,SMALL(Dong,ROWS($1:8)),))</f>
        <v>Cá cơm NL</v>
      </c>
      <c r="E21" s="76" t="str">
        <f ca="1">IF(ROWS($1:8)&gt;COUNT(Dong),"",IF(OFFSET(TH!N$1,SMALL(Dong,ROWS($1:8)),)="331",OFFSET(TH!O$1,SMALL(Dong,ROWS($1:8)),),OFFSET(TH!N$1,SMALL(Dong,ROWS($1:8)),)))</f>
        <v>1521</v>
      </c>
      <c r="F21" s="76"/>
      <c r="G21" s="94">
        <f ca="1">IF(ROWS($1:8)&gt;COUNT(Dong),"",IF(OFFSET(TH!N$1,SMALL(Dong,ROWS($1:8)),)="331",OFFSET(TH!M$1,SMALL(Dong,ROWS($1:8)),),0))</f>
        <v>0</v>
      </c>
      <c r="H21" s="94">
        <f ca="1">IF(ROWS($1:8)&gt;COUNT(Dong),"",IF(OFFSET(TH!O$1,SMALL(Dong,ROWS($1:8)),)="331",OFFSET(TH!M$1,SMALL(Dong,ROWS($1:8)),),0))</f>
        <v>256025000</v>
      </c>
      <c r="I21" s="25">
        <f t="shared" ca="1" si="0"/>
        <v>0</v>
      </c>
      <c r="J21" s="25">
        <f t="shared" ca="1" si="1"/>
        <v>2037490000</v>
      </c>
    </row>
    <row r="22" spans="1:10" s="18" customFormat="1" ht="24.75" customHeight="1">
      <c r="A22" s="9">
        <f ca="1">IF(ROWS($1:9)&gt;COUNT(Dong),"",OFFSET(TH!C$1,SMALL(Dong,ROWS($1:9)),))</f>
        <v>42728</v>
      </c>
      <c r="B22" s="9" t="str">
        <f ca="1">IF(ROWS($1:9)&gt;COUNT(Dong),"",OFFSET(TH!D$1,SMALL(Dong,ROWS($1:9)),))</f>
        <v>NL/N92</v>
      </c>
      <c r="C22" s="9">
        <f ca="1">IF(ROWS($1:9)&gt;COUNT(Dong),"",OFFSET(TH!E$1,SMALL(Dong,ROWS($1:9)),))</f>
        <v>42728</v>
      </c>
      <c r="D22" s="346" t="str">
        <f ca="1">IF(ROWS($1:9)&gt;COUNT(Dong),"",OFFSET(TH!F$1,SMALL(Dong,ROWS($1:9)),))</f>
        <v>Cá cơm NL</v>
      </c>
      <c r="E22" s="76" t="str">
        <f ca="1">IF(ROWS($1:9)&gt;COUNT(Dong),"",IF(OFFSET(TH!N$1,SMALL(Dong,ROWS($1:9)),)="331",OFFSET(TH!O$1,SMALL(Dong,ROWS($1:9)),),OFFSET(TH!N$1,SMALL(Dong,ROWS($1:9)),)))</f>
        <v>1521</v>
      </c>
      <c r="F22" s="76"/>
      <c r="G22" s="94">
        <f ca="1">IF(ROWS($1:9)&gt;COUNT(Dong),"",IF(OFFSET(TH!N$1,SMALL(Dong,ROWS($1:9)),)="331",OFFSET(TH!M$1,SMALL(Dong,ROWS($1:9)),),0))</f>
        <v>0</v>
      </c>
      <c r="H22" s="94">
        <f ca="1">IF(ROWS($1:9)&gt;COUNT(Dong),"",IF(OFFSET(TH!O$1,SMALL(Dong,ROWS($1:9)),)="331",OFFSET(TH!M$1,SMALL(Dong,ROWS($1:9)),),0))</f>
        <v>256025000</v>
      </c>
      <c r="I22" s="25">
        <f t="shared" ca="1" si="0"/>
        <v>0</v>
      </c>
      <c r="J22" s="25">
        <f t="shared" ca="1" si="1"/>
        <v>2293515000</v>
      </c>
    </row>
    <row r="23" spans="1:10" s="18" customFormat="1" ht="24.75" customHeight="1">
      <c r="A23" s="9">
        <f ca="1">IF(ROWS($1:10)&gt;COUNT(Dong),"",OFFSET(TH!C$1,SMALL(Dong,ROWS($1:10)),))</f>
        <v>42730</v>
      </c>
      <c r="B23" s="9" t="str">
        <f ca="1">IF(ROWS($1:10)&gt;COUNT(Dong),"",OFFSET(TH!D$1,SMALL(Dong,ROWS($1:10)),))</f>
        <v>NL/N94</v>
      </c>
      <c r="C23" s="9">
        <f ca="1">IF(ROWS($1:10)&gt;COUNT(Dong),"",OFFSET(TH!E$1,SMALL(Dong,ROWS($1:10)),))</f>
        <v>42730</v>
      </c>
      <c r="D23" s="346" t="str">
        <f ca="1">IF(ROWS($1:10)&gt;COUNT(Dong),"",OFFSET(TH!F$1,SMALL(Dong,ROWS($1:10)),))</f>
        <v>Cá cơm NL</v>
      </c>
      <c r="E23" s="76" t="str">
        <f ca="1">IF(ROWS($1:10)&gt;COUNT(Dong),"",IF(OFFSET(TH!N$1,SMALL(Dong,ROWS($1:10)),)="331",OFFSET(TH!O$1,SMALL(Dong,ROWS($1:10)),),OFFSET(TH!N$1,SMALL(Dong,ROWS($1:10)),)))</f>
        <v>1521</v>
      </c>
      <c r="F23" s="76"/>
      <c r="G23" s="94">
        <f ca="1">IF(ROWS($1:10)&gt;COUNT(Dong),"",IF(OFFSET(TH!N$1,SMALL(Dong,ROWS($1:10)),)="331",OFFSET(TH!M$1,SMALL(Dong,ROWS($1:10)),),0))</f>
        <v>0</v>
      </c>
      <c r="H23" s="94">
        <f ca="1">IF(ROWS($1:10)&gt;COUNT(Dong),"",IF(OFFSET(TH!O$1,SMALL(Dong,ROWS($1:10)),)="331",OFFSET(TH!M$1,SMALL(Dong,ROWS($1:10)),),0))</f>
        <v>180710000</v>
      </c>
      <c r="I23" s="25">
        <f t="shared" ca="1" si="0"/>
        <v>0</v>
      </c>
      <c r="J23" s="25">
        <f t="shared" ca="1" si="1"/>
        <v>2474225000</v>
      </c>
    </row>
    <row r="24" spans="1:10" s="18" customFormat="1" ht="24.75" hidden="1" customHeight="1">
      <c r="A24" s="9">
        <f ca="1">IF(ROWS($1:11)&gt;COUNT(Dong),"",OFFSET(TH!C$1,SMALL(Dong,ROWS($1:11)),))</f>
        <v>42731</v>
      </c>
      <c r="B24" s="9" t="str">
        <f ca="1">IF(ROWS($1:11)&gt;COUNT(Dong),"",OFFSET(TH!D$1,SMALL(Dong,ROWS($1:11)),))</f>
        <v>NL/N100</v>
      </c>
      <c r="C24" s="9">
        <f ca="1">IF(ROWS($1:11)&gt;COUNT(Dong),"",OFFSET(TH!E$1,SMALL(Dong,ROWS($1:11)),))</f>
        <v>42731</v>
      </c>
      <c r="D24" s="346" t="str">
        <f ca="1">IF(ROWS($1:11)&gt;COUNT(Dong),"",OFFSET(TH!F$1,SMALL(Dong,ROWS($1:11)),))</f>
        <v>Cá cơm NL</v>
      </c>
      <c r="E24" s="76" t="str">
        <f ca="1">IF(ROWS($1:11)&gt;COUNT(Dong),"",IF(OFFSET(TH!N$1,SMALL(Dong,ROWS($1:11)),)="331",OFFSET(TH!O$1,SMALL(Dong,ROWS($1:11)),),OFFSET(TH!N$1,SMALL(Dong,ROWS($1:11)),)))</f>
        <v>1521</v>
      </c>
      <c r="F24" s="76"/>
      <c r="G24" s="94">
        <f ca="1">IF(ROWS($1:11)&gt;COUNT(Dong),"",IF(OFFSET(TH!N$1,SMALL(Dong,ROWS($1:11)),)="331",OFFSET(TH!M$1,SMALL(Dong,ROWS($1:11)),),0))</f>
        <v>0</v>
      </c>
      <c r="H24" s="94">
        <f ca="1">IF(ROWS($1:11)&gt;COUNT(Dong),"",IF(OFFSET(TH!O$1,SMALL(Dong,ROWS($1:11)),)="331",OFFSET(TH!M$1,SMALL(Dong,ROWS($1:11)),),0))</f>
        <v>180710000</v>
      </c>
      <c r="I24" s="25">
        <f t="shared" ca="1" si="0"/>
        <v>0</v>
      </c>
      <c r="J24" s="25">
        <f t="shared" ca="1" si="1"/>
        <v>2654935000</v>
      </c>
    </row>
    <row r="25" spans="1:10" s="18" customFormat="1" ht="24.75" hidden="1" customHeight="1">
      <c r="A25" s="9" t="str">
        <f ca="1">IF(ROWS($1:12)&gt;COUNT(Dong),"",OFFSET(TH!C$1,SMALL(Dong,ROWS($1:12)),))</f>
        <v/>
      </c>
      <c r="B25" s="9" t="str">
        <f ca="1">IF(ROWS($1:12)&gt;COUNT(Dong),"",OFFSET(TH!D$1,SMALL(Dong,ROWS($1:12)),))</f>
        <v/>
      </c>
      <c r="C25" s="9" t="str">
        <f ca="1">IF(ROWS($1:12)&gt;COUNT(Dong),"",OFFSET(TH!E$1,SMALL(Dong,ROWS($1:12)),))</f>
        <v/>
      </c>
      <c r="D25" s="346" t="str">
        <f ca="1">IF(ROWS($1:12)&gt;COUNT(Dong),"",OFFSET(TH!F$1,SMALL(Dong,ROWS($1:12)),))</f>
        <v/>
      </c>
      <c r="E25" s="76" t="str">
        <f ca="1">IF(ROWS($1:12)&gt;COUNT(Dong),"",IF(OFFSET(TH!N$1,SMALL(Dong,ROWS($1:12)),)="331",OFFSET(TH!O$1,SMALL(Dong,ROWS($1:12)),),OFFSET(TH!N$1,SMALL(Dong,ROWS($1:12)),)))</f>
        <v/>
      </c>
      <c r="F25" s="76"/>
      <c r="G25" s="94" t="str">
        <f ca="1">IF(ROWS($1:12)&gt;COUNT(Dong),"",IF(OFFSET(TH!N$1,SMALL(Dong,ROWS($1:12)),)="331",OFFSET(TH!M$1,SMALL(Dong,ROWS($1:12)),),0))</f>
        <v/>
      </c>
      <c r="H25" s="94" t="str">
        <f ca="1">IF(ROWS($1:12)&gt;COUNT(Dong),"",IF(OFFSET(TH!O$1,SMALL(Dong,ROWS($1:12)),)="331",OFFSET(TH!M$1,SMALL(Dong,ROWS($1:12)),),0))</f>
        <v/>
      </c>
      <c r="I25" s="25">
        <f t="shared" ca="1" si="0"/>
        <v>0</v>
      </c>
      <c r="J25" s="25">
        <f t="shared" ca="1" si="1"/>
        <v>0</v>
      </c>
    </row>
    <row r="26" spans="1:10" s="18" customFormat="1" ht="24.75" hidden="1" customHeight="1">
      <c r="A26" s="9" t="str">
        <f ca="1">IF(ROWS($1:13)&gt;COUNT(Dong),"",OFFSET(TH!C$1,SMALL(Dong,ROWS($1:13)),))</f>
        <v/>
      </c>
      <c r="B26" s="9" t="str">
        <f ca="1">IF(ROWS($1:13)&gt;COUNT(Dong),"",OFFSET(TH!D$1,SMALL(Dong,ROWS($1:13)),))</f>
        <v/>
      </c>
      <c r="C26" s="9" t="str">
        <f ca="1">IF(ROWS($1:13)&gt;COUNT(Dong),"",OFFSET(TH!E$1,SMALL(Dong,ROWS($1:13)),))</f>
        <v/>
      </c>
      <c r="D26" s="346" t="str">
        <f ca="1">IF(ROWS($1:13)&gt;COUNT(Dong),"",OFFSET(TH!F$1,SMALL(Dong,ROWS($1:13)),))</f>
        <v/>
      </c>
      <c r="E26" s="76" t="str">
        <f ca="1">IF(ROWS($1:13)&gt;COUNT(Dong),"",IF(OFFSET(TH!N$1,SMALL(Dong,ROWS($1:13)),)="331",OFFSET(TH!O$1,SMALL(Dong,ROWS($1:13)),),OFFSET(TH!N$1,SMALL(Dong,ROWS($1:13)),)))</f>
        <v/>
      </c>
      <c r="F26" s="76"/>
      <c r="G26" s="94" t="str">
        <f ca="1">IF(ROWS($1:13)&gt;COUNT(Dong),"",IF(OFFSET(TH!N$1,SMALL(Dong,ROWS($1:13)),)="331",OFFSET(TH!M$1,SMALL(Dong,ROWS($1:13)),),0))</f>
        <v/>
      </c>
      <c r="H26" s="94" t="str">
        <f ca="1">IF(ROWS($1:13)&gt;COUNT(Dong),"",IF(OFFSET(TH!O$1,SMALL(Dong,ROWS($1:13)),)="331",OFFSET(TH!M$1,SMALL(Dong,ROWS($1:13)),),0))</f>
        <v/>
      </c>
      <c r="I26" s="25">
        <f t="shared" ca="1" si="0"/>
        <v>0</v>
      </c>
      <c r="J26" s="25">
        <f t="shared" ca="1" si="1"/>
        <v>0</v>
      </c>
    </row>
    <row r="27" spans="1:10" s="18" customFormat="1" ht="24.75" hidden="1" customHeight="1">
      <c r="A27" s="9" t="str">
        <f ca="1">IF(ROWS($1:14)&gt;COUNT(Dong),"",OFFSET(TH!C$1,SMALL(Dong,ROWS($1:14)),))</f>
        <v/>
      </c>
      <c r="B27" s="9" t="str">
        <f ca="1">IF(ROWS($1:14)&gt;COUNT(Dong),"",OFFSET(TH!D$1,SMALL(Dong,ROWS($1:14)),))</f>
        <v/>
      </c>
      <c r="C27" s="9" t="str">
        <f ca="1">IF(ROWS($1:14)&gt;COUNT(Dong),"",OFFSET(TH!E$1,SMALL(Dong,ROWS($1:14)),))</f>
        <v/>
      </c>
      <c r="D27" s="346" t="str">
        <f ca="1">IF(ROWS($1:14)&gt;COUNT(Dong),"",OFFSET(TH!F$1,SMALL(Dong,ROWS($1:14)),))</f>
        <v/>
      </c>
      <c r="E27" s="76" t="str">
        <f ca="1">IF(ROWS($1:14)&gt;COUNT(Dong),"",IF(OFFSET(TH!N$1,SMALL(Dong,ROWS($1:14)),)="331",OFFSET(TH!O$1,SMALL(Dong,ROWS($1:14)),),OFFSET(TH!N$1,SMALL(Dong,ROWS($1:14)),)))</f>
        <v/>
      </c>
      <c r="F27" s="76"/>
      <c r="G27" s="94" t="str">
        <f ca="1">IF(ROWS($1:14)&gt;COUNT(Dong),"",IF(OFFSET(TH!N$1,SMALL(Dong,ROWS($1:14)),)="331",OFFSET(TH!M$1,SMALL(Dong,ROWS($1:14)),),0))</f>
        <v/>
      </c>
      <c r="H27" s="94" t="str">
        <f ca="1">IF(ROWS($1:14)&gt;COUNT(Dong),"",IF(OFFSET(TH!O$1,SMALL(Dong,ROWS($1:14)),)="331",OFFSET(TH!M$1,SMALL(Dong,ROWS($1:14)),),0))</f>
        <v/>
      </c>
      <c r="I27" s="25">
        <f t="shared" ca="1" si="0"/>
        <v>0</v>
      </c>
      <c r="J27" s="25">
        <f t="shared" ca="1" si="1"/>
        <v>0</v>
      </c>
    </row>
    <row r="28" spans="1:10" s="18" customFormat="1" ht="24.75" hidden="1" customHeight="1">
      <c r="A28" s="9" t="str">
        <f ca="1">IF(ROWS($1:15)&gt;COUNT(Dong),"",OFFSET(TH!C$1,SMALL(Dong,ROWS($1:15)),))</f>
        <v/>
      </c>
      <c r="B28" s="9" t="str">
        <f ca="1">IF(ROWS($1:15)&gt;COUNT(Dong),"",OFFSET(TH!D$1,SMALL(Dong,ROWS($1:15)),))</f>
        <v/>
      </c>
      <c r="C28" s="9" t="str">
        <f ca="1">IF(ROWS($1:15)&gt;COUNT(Dong),"",OFFSET(TH!E$1,SMALL(Dong,ROWS($1:15)),))</f>
        <v/>
      </c>
      <c r="D28" s="346" t="str">
        <f ca="1">IF(ROWS($1:15)&gt;COUNT(Dong),"",OFFSET(TH!F$1,SMALL(Dong,ROWS($1:15)),))</f>
        <v/>
      </c>
      <c r="E28" s="76" t="str">
        <f ca="1">IF(ROWS($1:15)&gt;COUNT(Dong),"",IF(OFFSET(TH!N$1,SMALL(Dong,ROWS($1:15)),)="331",OFFSET(TH!O$1,SMALL(Dong,ROWS($1:15)),),OFFSET(TH!N$1,SMALL(Dong,ROWS($1:15)),)))</f>
        <v/>
      </c>
      <c r="F28" s="76"/>
      <c r="G28" s="94" t="str">
        <f ca="1">IF(ROWS($1:15)&gt;COUNT(Dong),"",IF(OFFSET(TH!N$1,SMALL(Dong,ROWS($1:15)),)="331",OFFSET(TH!M$1,SMALL(Dong,ROWS($1:15)),),0))</f>
        <v/>
      </c>
      <c r="H28" s="94" t="str">
        <f ca="1">IF(ROWS($1:15)&gt;COUNT(Dong),"",IF(OFFSET(TH!O$1,SMALL(Dong,ROWS($1:15)),)="331",OFFSET(TH!M$1,SMALL(Dong,ROWS($1:15)),),0))</f>
        <v/>
      </c>
      <c r="I28" s="25">
        <f t="shared" ca="1" si="0"/>
        <v>0</v>
      </c>
      <c r="J28" s="25">
        <f t="shared" ca="1" si="1"/>
        <v>0</v>
      </c>
    </row>
    <row r="29" spans="1:10" s="18" customFormat="1" ht="24.75" hidden="1" customHeight="1">
      <c r="A29" s="9" t="str">
        <f ca="1">IF(ROWS($1:16)&gt;COUNT(Dong),"",OFFSET(TH!C$1,SMALL(Dong,ROWS($1:16)),))</f>
        <v/>
      </c>
      <c r="B29" s="9" t="str">
        <f ca="1">IF(ROWS($1:16)&gt;COUNT(Dong),"",OFFSET(TH!D$1,SMALL(Dong,ROWS($1:16)),))</f>
        <v/>
      </c>
      <c r="C29" s="9" t="str">
        <f ca="1">IF(ROWS($1:16)&gt;COUNT(Dong),"",OFFSET(TH!E$1,SMALL(Dong,ROWS($1:16)),))</f>
        <v/>
      </c>
      <c r="D29" s="346" t="str">
        <f ca="1">IF(ROWS($1:16)&gt;COUNT(Dong),"",OFFSET(TH!F$1,SMALL(Dong,ROWS($1:16)),))</f>
        <v/>
      </c>
      <c r="E29" s="76" t="str">
        <f ca="1">IF(ROWS($1:16)&gt;COUNT(Dong),"",IF(OFFSET(TH!N$1,SMALL(Dong,ROWS($1:16)),)="331",OFFSET(TH!O$1,SMALL(Dong,ROWS($1:16)),),OFFSET(TH!N$1,SMALL(Dong,ROWS($1:16)),)))</f>
        <v/>
      </c>
      <c r="F29" s="76"/>
      <c r="G29" s="94" t="str">
        <f ca="1">IF(ROWS($1:16)&gt;COUNT(Dong),"",IF(OFFSET(TH!N$1,SMALL(Dong,ROWS($1:16)),)="331",OFFSET(TH!M$1,SMALL(Dong,ROWS($1:16)),),0))</f>
        <v/>
      </c>
      <c r="H29" s="94" t="str">
        <f ca="1">IF(ROWS($1:16)&gt;COUNT(Dong),"",IF(OFFSET(TH!O$1,SMALL(Dong,ROWS($1:16)),)="331",OFFSET(TH!M$1,SMALL(Dong,ROWS($1:16)),),0))</f>
        <v/>
      </c>
      <c r="I29" s="25">
        <f t="shared" ca="1" si="0"/>
        <v>0</v>
      </c>
      <c r="J29" s="25">
        <f t="shared" ca="1" si="1"/>
        <v>0</v>
      </c>
    </row>
    <row r="30" spans="1:10" s="18" customFormat="1" ht="24.75" hidden="1" customHeight="1">
      <c r="A30" s="9" t="str">
        <f ca="1">IF(ROWS($1:17)&gt;COUNT(Dong),"",OFFSET(TH!C$1,SMALL(Dong,ROWS($1:17)),))</f>
        <v/>
      </c>
      <c r="B30" s="9" t="str">
        <f ca="1">IF(ROWS($1:17)&gt;COUNT(Dong),"",OFFSET(TH!D$1,SMALL(Dong,ROWS($1:17)),))</f>
        <v/>
      </c>
      <c r="C30" s="9" t="str">
        <f ca="1">IF(ROWS($1:17)&gt;COUNT(Dong),"",OFFSET(TH!E$1,SMALL(Dong,ROWS($1:17)),))</f>
        <v/>
      </c>
      <c r="D30" s="346" t="str">
        <f ca="1">IF(ROWS($1:17)&gt;COUNT(Dong),"",OFFSET(TH!F$1,SMALL(Dong,ROWS($1:17)),))</f>
        <v/>
      </c>
      <c r="E30" s="76" t="str">
        <f ca="1">IF(ROWS($1:17)&gt;COUNT(Dong),"",IF(OFFSET(TH!N$1,SMALL(Dong,ROWS($1:17)),)="331",OFFSET(TH!O$1,SMALL(Dong,ROWS($1:17)),),OFFSET(TH!N$1,SMALL(Dong,ROWS($1:17)),)))</f>
        <v/>
      </c>
      <c r="F30" s="76"/>
      <c r="G30" s="94" t="str">
        <f ca="1">IF(ROWS($1:17)&gt;COUNT(Dong),"",IF(OFFSET(TH!N$1,SMALL(Dong,ROWS($1:17)),)="331",OFFSET(TH!M$1,SMALL(Dong,ROWS($1:17)),),0))</f>
        <v/>
      </c>
      <c r="H30" s="94" t="str">
        <f ca="1">IF(ROWS($1:17)&gt;COUNT(Dong),"",IF(OFFSET(TH!O$1,SMALL(Dong,ROWS($1:17)),)="331",OFFSET(TH!M$1,SMALL(Dong,ROWS($1:17)),),0))</f>
        <v/>
      </c>
      <c r="I30" s="25">
        <f t="shared" ref="I30:I32" ca="1" si="2">IF(D30&lt;&gt;"",MAX(I29+G30-H30-J29,0),0)</f>
        <v>0</v>
      </c>
      <c r="J30" s="25">
        <f t="shared" ref="J30:J32" ca="1" si="3">IF(D30&lt;&gt;"",MAX(J29+H30-I29-G30,0),0)</f>
        <v>0</v>
      </c>
    </row>
    <row r="31" spans="1:10" s="18" customFormat="1" ht="24.75" hidden="1" customHeight="1">
      <c r="A31" s="9" t="str">
        <f ca="1">IF(ROWS($1:18)&gt;COUNT(Dong),"",OFFSET(TH!C$1,SMALL(Dong,ROWS($1:18)),))</f>
        <v/>
      </c>
      <c r="B31" s="9" t="str">
        <f ca="1">IF(ROWS($1:18)&gt;COUNT(Dong),"",OFFSET(TH!D$1,SMALL(Dong,ROWS($1:18)),))</f>
        <v/>
      </c>
      <c r="C31" s="9" t="str">
        <f ca="1">IF(ROWS($1:18)&gt;COUNT(Dong),"",OFFSET(TH!E$1,SMALL(Dong,ROWS($1:18)),))</f>
        <v/>
      </c>
      <c r="D31" s="346" t="str">
        <f ca="1">IF(ROWS($1:18)&gt;COUNT(Dong),"",OFFSET(TH!F$1,SMALL(Dong,ROWS($1:18)),))</f>
        <v/>
      </c>
      <c r="E31" s="76" t="str">
        <f ca="1">IF(ROWS($1:18)&gt;COUNT(Dong),"",IF(OFFSET(TH!N$1,SMALL(Dong,ROWS($1:18)),)="331",OFFSET(TH!O$1,SMALL(Dong,ROWS($1:18)),),OFFSET(TH!N$1,SMALL(Dong,ROWS($1:18)),)))</f>
        <v/>
      </c>
      <c r="F31" s="76"/>
      <c r="G31" s="94" t="str">
        <f ca="1">IF(ROWS($1:18)&gt;COUNT(Dong),"",IF(OFFSET(TH!N$1,SMALL(Dong,ROWS($1:18)),)="331",OFFSET(TH!M$1,SMALL(Dong,ROWS($1:18)),),0))</f>
        <v/>
      </c>
      <c r="H31" s="94" t="str">
        <f ca="1">IF(ROWS($1:18)&gt;COUNT(Dong),"",IF(OFFSET(TH!O$1,SMALL(Dong,ROWS($1:18)),)="331",OFFSET(TH!M$1,SMALL(Dong,ROWS($1:18)),),0))</f>
        <v/>
      </c>
      <c r="I31" s="25">
        <f t="shared" ca="1" si="2"/>
        <v>0</v>
      </c>
      <c r="J31" s="25">
        <f t="shared" ca="1" si="3"/>
        <v>0</v>
      </c>
    </row>
    <row r="32" spans="1:10" s="18" customFormat="1" ht="24.75" hidden="1" customHeight="1">
      <c r="A32" s="9" t="str">
        <f ca="1">IF(ROWS($1:19)&gt;COUNT(Dong),"",OFFSET(TH!C$1,SMALL(Dong,ROWS($1:19)),))</f>
        <v/>
      </c>
      <c r="B32" s="9" t="str">
        <f ca="1">IF(ROWS($1:19)&gt;COUNT(Dong),"",OFFSET(TH!D$1,SMALL(Dong,ROWS($1:19)),))</f>
        <v/>
      </c>
      <c r="C32" s="9" t="str">
        <f ca="1">IF(ROWS($1:19)&gt;COUNT(Dong),"",OFFSET(TH!E$1,SMALL(Dong,ROWS($1:19)),))</f>
        <v/>
      </c>
      <c r="D32" s="346" t="str">
        <f ca="1">IF(ROWS($1:19)&gt;COUNT(Dong),"",OFFSET(TH!F$1,SMALL(Dong,ROWS($1:19)),))</f>
        <v/>
      </c>
      <c r="E32" s="76" t="str">
        <f ca="1">IF(ROWS($1:19)&gt;COUNT(Dong),"",IF(OFFSET(TH!N$1,SMALL(Dong,ROWS($1:19)),)="331",OFFSET(TH!O$1,SMALL(Dong,ROWS($1:19)),),OFFSET(TH!N$1,SMALL(Dong,ROWS($1:19)),)))</f>
        <v/>
      </c>
      <c r="F32" s="76"/>
      <c r="G32" s="94" t="str">
        <f ca="1">IF(ROWS($1:19)&gt;COUNT(Dong),"",IF(OFFSET(TH!N$1,SMALL(Dong,ROWS($1:19)),)="331",OFFSET(TH!M$1,SMALL(Dong,ROWS($1:19)),),0))</f>
        <v/>
      </c>
      <c r="H32" s="94" t="str">
        <f ca="1">IF(ROWS($1:19)&gt;COUNT(Dong),"",IF(OFFSET(TH!O$1,SMALL(Dong,ROWS($1:19)),)="331",OFFSET(TH!M$1,SMALL(Dong,ROWS($1:19)),),0))</f>
        <v/>
      </c>
      <c r="I32" s="25">
        <f t="shared" ca="1" si="2"/>
        <v>0</v>
      </c>
      <c r="J32" s="25">
        <f t="shared" ca="1" si="3"/>
        <v>0</v>
      </c>
    </row>
    <row r="33" spans="1:10" s="18" customFormat="1" ht="24.75" hidden="1" customHeight="1">
      <c r="A33" s="9" t="str">
        <f ca="1">IF(ROWS($1:20)&gt;COUNT(Dong),"",OFFSET(TH!C$1,SMALL(Dong,ROWS($1:20)),))</f>
        <v/>
      </c>
      <c r="B33" s="9" t="str">
        <f ca="1">IF(ROWS($1:20)&gt;COUNT(Dong),"",OFFSET(TH!D$1,SMALL(Dong,ROWS($1:20)),))</f>
        <v/>
      </c>
      <c r="C33" s="9" t="str">
        <f ca="1">IF(ROWS($1:20)&gt;COUNT(Dong),"",OFFSET(TH!E$1,SMALL(Dong,ROWS($1:20)),))</f>
        <v/>
      </c>
      <c r="D33" s="346"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ref="I33" ca="1" si="4">IF(D33&lt;&gt;"",MAX(I32+G33-H33-J32,0),0)</f>
        <v>0</v>
      </c>
      <c r="J33" s="25">
        <f t="shared" ref="J33" ca="1" si="5">IF(D33&lt;&gt;"",MAX(J32+H33-I32-G33,0),0)</f>
        <v>0</v>
      </c>
    </row>
    <row r="34" spans="1:10" s="18" customFormat="1" ht="24.75" hidden="1" customHeight="1">
      <c r="A34" s="9" t="str">
        <f ca="1">IF(ROWS($1:21)&gt;COUNT(Dong),"",OFFSET(TH!C$1,SMALL(Dong,ROWS($1:21)),))</f>
        <v/>
      </c>
      <c r="B34" s="9" t="str">
        <f ca="1">IF(ROWS($1:21)&gt;COUNT(Dong),"",OFFSET(TH!D$1,SMALL(Dong,ROWS($1:21)),))</f>
        <v/>
      </c>
      <c r="C34" s="9" t="str">
        <f ca="1">IF(ROWS($1:21)&gt;COUNT(Dong),"",OFFSET(TH!E$1,SMALL(Dong,ROWS($1:21)),))</f>
        <v/>
      </c>
      <c r="D34" s="346"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t="shared" ref="I34:I50" ca="1" si="6">IF(D34&lt;&gt;"",MAX(I33+G34-H34-J33,0),0)</f>
        <v>0</v>
      </c>
      <c r="J34" s="25">
        <f t="shared" ref="J34:J50" ca="1" si="7">IF(D34&lt;&gt;"",MAX(J33+H34-I33-G34,0),0)</f>
        <v>0</v>
      </c>
    </row>
    <row r="35" spans="1:10" s="18" customFormat="1" ht="24.75" hidden="1" customHeight="1">
      <c r="A35" s="9" t="str">
        <f ca="1">IF(ROWS($1:22)&gt;COUNT(Dong),"",OFFSET(TH!C$1,SMALL(Dong,ROWS($1:22)),))</f>
        <v/>
      </c>
      <c r="B35" s="9" t="str">
        <f ca="1">IF(ROWS($1:22)&gt;COUNT(Dong),"",OFFSET(TH!D$1,SMALL(Dong,ROWS($1:22)),))</f>
        <v/>
      </c>
      <c r="C35" s="9" t="str">
        <f ca="1">IF(ROWS($1:22)&gt;COUNT(Dong),"",OFFSET(TH!E$1,SMALL(Dong,ROWS($1:22)),))</f>
        <v/>
      </c>
      <c r="D35" s="346"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t="shared" ca="1" si="6"/>
        <v>0</v>
      </c>
      <c r="J35" s="25">
        <f t="shared" ca="1" si="7"/>
        <v>0</v>
      </c>
    </row>
    <row r="36" spans="1:10" s="18" customFormat="1" ht="24.75" hidden="1" customHeight="1">
      <c r="A36" s="9" t="str">
        <f ca="1">IF(ROWS($1:23)&gt;COUNT(Dong),"",OFFSET(TH!C$1,SMALL(Dong,ROWS($1:23)),))</f>
        <v/>
      </c>
      <c r="B36" s="9" t="str">
        <f ca="1">IF(ROWS($1:23)&gt;COUNT(Dong),"",OFFSET(TH!D$1,SMALL(Dong,ROWS($1:23)),))</f>
        <v/>
      </c>
      <c r="C36" s="9" t="str">
        <f ca="1">IF(ROWS($1:23)&gt;COUNT(Dong),"",OFFSET(TH!E$1,SMALL(Dong,ROWS($1:23)),))</f>
        <v/>
      </c>
      <c r="D36" s="346"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ca="1" si="6"/>
        <v>0</v>
      </c>
      <c r="J36" s="25">
        <f t="shared" ca="1" si="7"/>
        <v>0</v>
      </c>
    </row>
    <row r="37" spans="1:10" s="18" customFormat="1" ht="24.75" hidden="1" customHeight="1">
      <c r="A37" s="9" t="str">
        <f ca="1">IF(ROWS($1:24)&gt;COUNT(Dong),"",OFFSET(TH!C$1,SMALL(Dong,ROWS($1:24)),))</f>
        <v/>
      </c>
      <c r="B37" s="9" t="str">
        <f ca="1">IF(ROWS($1:24)&gt;COUNT(Dong),"",OFFSET(TH!D$1,SMALL(Dong,ROWS($1:24)),))</f>
        <v/>
      </c>
      <c r="C37" s="9" t="str">
        <f ca="1">IF(ROWS($1:24)&gt;COUNT(Dong),"",OFFSET(TH!E$1,SMALL(Dong,ROWS($1:24)),))</f>
        <v/>
      </c>
      <c r="D37" s="346"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6"/>
        <v>0</v>
      </c>
      <c r="J37" s="25">
        <f t="shared" ca="1" si="7"/>
        <v>0</v>
      </c>
    </row>
    <row r="38" spans="1:10" s="18" customFormat="1" ht="24.75" hidden="1" customHeight="1">
      <c r="A38" s="9" t="str">
        <f ca="1">IF(ROWS($1:25)&gt;COUNT(Dong),"",OFFSET(TH!C$1,SMALL(Dong,ROWS($1:25)),))</f>
        <v/>
      </c>
      <c r="B38" s="9" t="str">
        <f ca="1">IF(ROWS($1:25)&gt;COUNT(Dong),"",OFFSET(TH!D$1,SMALL(Dong,ROWS($1:25)),))</f>
        <v/>
      </c>
      <c r="C38" s="9" t="str">
        <f ca="1">IF(ROWS($1:25)&gt;COUNT(Dong),"",OFFSET(TH!E$1,SMALL(Dong,ROWS($1:25)),))</f>
        <v/>
      </c>
      <c r="D38" s="346"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6"/>
        <v>0</v>
      </c>
      <c r="J38" s="25">
        <f t="shared" ca="1" si="7"/>
        <v>0</v>
      </c>
    </row>
    <row r="39" spans="1:10" s="18" customFormat="1" ht="24.75" hidden="1" customHeight="1">
      <c r="A39" s="9" t="str">
        <f ca="1">IF(ROWS($1:26)&gt;COUNT(Dong),"",OFFSET(TH!C$1,SMALL(Dong,ROWS($1:26)),))</f>
        <v/>
      </c>
      <c r="B39" s="9" t="str">
        <f ca="1">IF(ROWS($1:26)&gt;COUNT(Dong),"",OFFSET(TH!D$1,SMALL(Dong,ROWS($1:26)),))</f>
        <v/>
      </c>
      <c r="C39" s="9" t="str">
        <f ca="1">IF(ROWS($1:26)&gt;COUNT(Dong),"",OFFSET(TH!E$1,SMALL(Dong,ROWS($1:26)),))</f>
        <v/>
      </c>
      <c r="D39" s="346"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6"/>
        <v>0</v>
      </c>
      <c r="J39" s="25">
        <f t="shared" ca="1" si="7"/>
        <v>0</v>
      </c>
    </row>
    <row r="40" spans="1:10" s="18" customFormat="1" ht="24.75" hidden="1" customHeight="1">
      <c r="A40" s="9" t="str">
        <f ca="1">IF(ROWS($1:27)&gt;COUNT(Dong),"",OFFSET(TH!C$1,SMALL(Dong,ROWS($1:27)),))</f>
        <v/>
      </c>
      <c r="B40" s="9" t="str">
        <f ca="1">IF(ROWS($1:27)&gt;COUNT(Dong),"",OFFSET(TH!D$1,SMALL(Dong,ROWS($1:27)),))</f>
        <v/>
      </c>
      <c r="C40" s="9" t="str">
        <f ca="1">IF(ROWS($1:27)&gt;COUNT(Dong),"",OFFSET(TH!E$1,SMALL(Dong,ROWS($1:27)),))</f>
        <v/>
      </c>
      <c r="D40" s="346"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6"/>
        <v>0</v>
      </c>
      <c r="J40" s="25">
        <f t="shared" ca="1" si="7"/>
        <v>0</v>
      </c>
    </row>
    <row r="41" spans="1:10" s="18" customFormat="1" ht="24.75" hidden="1" customHeight="1">
      <c r="A41" s="9" t="str">
        <f ca="1">IF(ROWS($1:28)&gt;COUNT(Dong),"",OFFSET(TH!C$1,SMALL(Dong,ROWS($1:28)),))</f>
        <v/>
      </c>
      <c r="B41" s="9" t="str">
        <f ca="1">IF(ROWS($1:28)&gt;COUNT(Dong),"",OFFSET(TH!D$1,SMALL(Dong,ROWS($1:28)),))</f>
        <v/>
      </c>
      <c r="C41" s="9" t="str">
        <f ca="1">IF(ROWS($1:28)&gt;COUNT(Dong),"",OFFSET(TH!E$1,SMALL(Dong,ROWS($1:28)),))</f>
        <v/>
      </c>
      <c r="D41" s="346"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6"/>
        <v>0</v>
      </c>
      <c r="J41" s="25">
        <f t="shared" ca="1" si="7"/>
        <v>0</v>
      </c>
    </row>
    <row r="42" spans="1:10" s="18" customFormat="1" ht="24.75" hidden="1" customHeight="1">
      <c r="A42" s="9" t="str">
        <f ca="1">IF(ROWS($1:29)&gt;COUNT(Dong),"",OFFSET(TH!C$1,SMALL(Dong,ROWS($1:29)),))</f>
        <v/>
      </c>
      <c r="B42" s="9" t="str">
        <f ca="1">IF(ROWS($1:29)&gt;COUNT(Dong),"",OFFSET(TH!D$1,SMALL(Dong,ROWS($1:29)),))</f>
        <v/>
      </c>
      <c r="C42" s="9" t="str">
        <f ca="1">IF(ROWS($1:29)&gt;COUNT(Dong),"",OFFSET(TH!E$1,SMALL(Dong,ROWS($1:29)),))</f>
        <v/>
      </c>
      <c r="D42" s="346"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6"/>
        <v>0</v>
      </c>
      <c r="J42" s="25">
        <f t="shared" ca="1" si="7"/>
        <v>0</v>
      </c>
    </row>
    <row r="43" spans="1:10" s="18" customFormat="1" ht="24.75" hidden="1" customHeight="1">
      <c r="A43" s="9" t="str">
        <f ca="1">IF(ROWS($1:30)&gt;COUNT(Dong),"",OFFSET(TH!C$1,SMALL(Dong,ROWS($1:30)),))</f>
        <v/>
      </c>
      <c r="B43" s="9" t="str">
        <f ca="1">IF(ROWS($1:30)&gt;COUNT(Dong),"",OFFSET(TH!D$1,SMALL(Dong,ROWS($1:30)),))</f>
        <v/>
      </c>
      <c r="C43" s="9" t="str">
        <f ca="1">IF(ROWS($1:30)&gt;COUNT(Dong),"",OFFSET(TH!E$1,SMALL(Dong,ROWS($1:30)),))</f>
        <v/>
      </c>
      <c r="D43" s="346"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6"/>
        <v>0</v>
      </c>
      <c r="J43" s="25">
        <f t="shared" ca="1" si="7"/>
        <v>0</v>
      </c>
    </row>
    <row r="44" spans="1:10" s="18" customFormat="1" ht="24.75" hidden="1" customHeight="1">
      <c r="A44" s="9" t="str">
        <f ca="1">IF(ROWS($1:31)&gt;COUNT(Dong),"",OFFSET(TH!C$1,SMALL(Dong,ROWS($1:31)),))</f>
        <v/>
      </c>
      <c r="B44" s="9" t="str">
        <f ca="1">IF(ROWS($1:31)&gt;COUNT(Dong),"",OFFSET(TH!D$1,SMALL(Dong,ROWS($1:31)),))</f>
        <v/>
      </c>
      <c r="C44" s="9" t="str">
        <f ca="1">IF(ROWS($1:31)&gt;COUNT(Dong),"",OFFSET(TH!E$1,SMALL(Dong,ROWS($1:31)),))</f>
        <v/>
      </c>
      <c r="D44" s="346"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6"/>
        <v>0</v>
      </c>
      <c r="J44" s="25">
        <f t="shared" ca="1" si="7"/>
        <v>0</v>
      </c>
    </row>
    <row r="45" spans="1:10" s="18" customFormat="1" ht="24.75" hidden="1" customHeight="1">
      <c r="A45" s="9" t="str">
        <f ca="1">IF(ROWS($1:32)&gt;COUNT(Dong),"",OFFSET(TH!C$1,SMALL(Dong,ROWS($1:32)),))</f>
        <v/>
      </c>
      <c r="B45" s="9" t="str">
        <f ca="1">IF(ROWS($1:32)&gt;COUNT(Dong),"",OFFSET(TH!D$1,SMALL(Dong,ROWS($1:32)),))</f>
        <v/>
      </c>
      <c r="C45" s="9" t="str">
        <f ca="1">IF(ROWS($1:32)&gt;COUNT(Dong),"",OFFSET(TH!E$1,SMALL(Dong,ROWS($1:32)),))</f>
        <v/>
      </c>
      <c r="D45" s="346"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6"/>
        <v>0</v>
      </c>
      <c r="J45" s="25">
        <f t="shared" ca="1" si="7"/>
        <v>0</v>
      </c>
    </row>
    <row r="46" spans="1:10" s="18" customFormat="1" ht="24.75" hidden="1" customHeight="1">
      <c r="A46" s="9" t="str">
        <f ca="1">IF(ROWS($1:33)&gt;COUNT(Dong),"",OFFSET(TH!C$1,SMALL(Dong,ROWS($1:33)),))</f>
        <v/>
      </c>
      <c r="B46" s="9" t="str">
        <f ca="1">IF(ROWS($1:33)&gt;COUNT(Dong),"",OFFSET(TH!D$1,SMALL(Dong,ROWS($1:33)),))</f>
        <v/>
      </c>
      <c r="C46" s="9" t="str">
        <f ca="1">IF(ROWS($1:33)&gt;COUNT(Dong),"",OFFSET(TH!E$1,SMALL(Dong,ROWS($1:33)),))</f>
        <v/>
      </c>
      <c r="D46" s="346"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6"/>
        <v>0</v>
      </c>
      <c r="J46" s="25">
        <f t="shared" ca="1" si="7"/>
        <v>0</v>
      </c>
    </row>
    <row r="47" spans="1:10" s="18" customFormat="1" ht="24.75" hidden="1" customHeight="1">
      <c r="A47" s="9" t="str">
        <f ca="1">IF(ROWS($1:34)&gt;COUNT(Dong),"",OFFSET(TH!C$1,SMALL(Dong,ROWS($1:34)),))</f>
        <v/>
      </c>
      <c r="B47" s="9" t="str">
        <f ca="1">IF(ROWS($1:34)&gt;COUNT(Dong),"",OFFSET(TH!D$1,SMALL(Dong,ROWS($1:34)),))</f>
        <v/>
      </c>
      <c r="C47" s="9" t="str">
        <f ca="1">IF(ROWS($1:34)&gt;COUNT(Dong),"",OFFSET(TH!E$1,SMALL(Dong,ROWS($1:34)),))</f>
        <v/>
      </c>
      <c r="D47" s="346"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6"/>
        <v>0</v>
      </c>
      <c r="J47" s="25">
        <f t="shared" ca="1" si="7"/>
        <v>0</v>
      </c>
    </row>
    <row r="48" spans="1:10" s="18" customFormat="1" ht="24.75" hidden="1" customHeight="1">
      <c r="A48" s="9" t="str">
        <f ca="1">IF(ROWS($1:35)&gt;COUNT(Dong),"",OFFSET(TH!C$1,SMALL(Dong,ROWS($1:35)),))</f>
        <v/>
      </c>
      <c r="B48" s="9" t="str">
        <f ca="1">IF(ROWS($1:35)&gt;COUNT(Dong),"",OFFSET(TH!D$1,SMALL(Dong,ROWS($1:35)),))</f>
        <v/>
      </c>
      <c r="C48" s="9" t="str">
        <f ca="1">IF(ROWS($1:35)&gt;COUNT(Dong),"",OFFSET(TH!E$1,SMALL(Dong,ROWS($1:35)),))</f>
        <v/>
      </c>
      <c r="D48" s="346"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6"/>
        <v>0</v>
      </c>
      <c r="J48" s="25">
        <f t="shared" ca="1" si="7"/>
        <v>0</v>
      </c>
    </row>
    <row r="49" spans="1:10" s="18" customFormat="1" ht="24.75" hidden="1" customHeight="1">
      <c r="A49" s="9" t="str">
        <f ca="1">IF(ROWS($1:36)&gt;COUNT(Dong),"",OFFSET(TH!C$1,SMALL(Dong,ROWS($1:36)),))</f>
        <v/>
      </c>
      <c r="B49" s="9" t="str">
        <f ca="1">IF(ROWS($1:36)&gt;COUNT(Dong),"",OFFSET(TH!D$1,SMALL(Dong,ROWS($1:36)),))</f>
        <v/>
      </c>
      <c r="C49" s="9" t="str">
        <f ca="1">IF(ROWS($1:36)&gt;COUNT(Dong),"",OFFSET(TH!E$1,SMALL(Dong,ROWS($1:36)),))</f>
        <v/>
      </c>
      <c r="D49" s="346"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6"/>
        <v>0</v>
      </c>
      <c r="J49" s="25">
        <f t="shared" ca="1" si="7"/>
        <v>0</v>
      </c>
    </row>
    <row r="50" spans="1:10" s="18" customFormat="1" ht="24.75" hidden="1" customHeight="1">
      <c r="A50" s="9" t="str">
        <f ca="1">IF(ROWS($1:37)&gt;COUNT(Dong),"",OFFSET(TH!C$1,SMALL(Dong,ROWS($1:37)),))</f>
        <v/>
      </c>
      <c r="B50" s="9" t="str">
        <f ca="1">IF(ROWS($1:37)&gt;COUNT(Dong),"",OFFSET(TH!D$1,SMALL(Dong,ROWS($1:37)),))</f>
        <v/>
      </c>
      <c r="C50" s="9" t="str">
        <f ca="1">IF(ROWS($1:37)&gt;COUNT(Dong),"",OFFSET(TH!E$1,SMALL(Dong,ROWS($1:37)),))</f>
        <v/>
      </c>
      <c r="D50" s="346"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6"/>
        <v>0</v>
      </c>
      <c r="J50" s="25">
        <f t="shared" ca="1" si="7"/>
        <v>0</v>
      </c>
    </row>
    <row r="51" spans="1:10" s="18" customFormat="1" ht="24.75" hidden="1" customHeight="1">
      <c r="A51" s="9" t="str">
        <f ca="1">IF(ROWS($1:38)&gt;COUNT(Dong),"",OFFSET(TH!C$1,SMALL(Dong,ROWS($1:38)),))</f>
        <v/>
      </c>
      <c r="B51" s="9" t="str">
        <f ca="1">IF(ROWS($1:38)&gt;COUNT(Dong),"",OFFSET(TH!D$1,SMALL(Dong,ROWS($1:38)),))</f>
        <v/>
      </c>
      <c r="C51" s="9" t="str">
        <f ca="1">IF(ROWS($1:38)&gt;COUNT(Dong),"",OFFSET(TH!E$1,SMALL(Dong,ROWS($1:38)),))</f>
        <v/>
      </c>
      <c r="D51" s="346"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ref="I51:I67" ca="1" si="8">IF(D51&lt;&gt;"",MAX(I50+G51-H51-J50,0),0)</f>
        <v>0</v>
      </c>
      <c r="J51" s="25">
        <f t="shared" ref="J51:J67" ca="1" si="9">IF(D51&lt;&gt;"",MAX(J50+H51-I50-G51,0),0)</f>
        <v>0</v>
      </c>
    </row>
    <row r="52" spans="1:10" s="18" customFormat="1" ht="21.75" hidden="1" customHeight="1">
      <c r="A52" s="9" t="str">
        <f ca="1">IF(ROWS($1:39)&gt;COUNT(Dong),"",OFFSET(TH!C$1,SMALL(Dong,ROWS($1:39)),))</f>
        <v/>
      </c>
      <c r="B52" s="9" t="str">
        <f ca="1">IF(ROWS($1:39)&gt;COUNT(Dong),"",OFFSET(TH!D$1,SMALL(Dong,ROWS($1:39)),))</f>
        <v/>
      </c>
      <c r="C52" s="9" t="str">
        <f ca="1">IF(ROWS($1:39)&gt;COUNT(Dong),"",OFFSET(TH!E$1,SMALL(Dong,ROWS($1:39)),))</f>
        <v/>
      </c>
      <c r="D52" s="346"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8"/>
        <v>0</v>
      </c>
      <c r="J52" s="25">
        <f t="shared" ca="1" si="9"/>
        <v>0</v>
      </c>
    </row>
    <row r="53" spans="1:10" s="18" customFormat="1" ht="21.75" hidden="1" customHeight="1">
      <c r="A53" s="9" t="str">
        <f ca="1">IF(ROWS($1:40)&gt;COUNT(Dong),"",OFFSET(TH!C$1,SMALL(Dong,ROWS($1:40)),))</f>
        <v/>
      </c>
      <c r="B53" s="9" t="str">
        <f ca="1">IF(ROWS($1:40)&gt;COUNT(Dong),"",OFFSET(TH!D$1,SMALL(Dong,ROWS($1:40)),))</f>
        <v/>
      </c>
      <c r="C53" s="9" t="str">
        <f ca="1">IF(ROWS($1:40)&gt;COUNT(Dong),"",OFFSET(TH!E$1,SMALL(Dong,ROWS($1:40)),))</f>
        <v/>
      </c>
      <c r="D53" s="346"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8"/>
        <v>0</v>
      </c>
      <c r="J53" s="25">
        <f t="shared" ca="1" si="9"/>
        <v>0</v>
      </c>
    </row>
    <row r="54" spans="1:10" s="18" customFormat="1" ht="21.75" hidden="1" customHeight="1">
      <c r="A54" s="9" t="str">
        <f ca="1">IF(ROWS($1:41)&gt;COUNT(Dong),"",OFFSET(TH!C$1,SMALL(Dong,ROWS($1:41)),))</f>
        <v/>
      </c>
      <c r="B54" s="9" t="str">
        <f ca="1">IF(ROWS($1:41)&gt;COUNT(Dong),"",OFFSET(TH!D$1,SMALL(Dong,ROWS($1:41)),))</f>
        <v/>
      </c>
      <c r="C54" s="9" t="str">
        <f ca="1">IF(ROWS($1:41)&gt;COUNT(Dong),"",OFFSET(TH!E$1,SMALL(Dong,ROWS($1:41)),))</f>
        <v/>
      </c>
      <c r="D54" s="346"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8"/>
        <v>0</v>
      </c>
      <c r="J54" s="25">
        <f t="shared" ca="1" si="9"/>
        <v>0</v>
      </c>
    </row>
    <row r="55" spans="1:10" s="18" customFormat="1" ht="21.75" hidden="1" customHeight="1">
      <c r="A55" s="9" t="str">
        <f ca="1">IF(ROWS($1:42)&gt;COUNT(Dong),"",OFFSET(TH!C$1,SMALL(Dong,ROWS($1:42)),))</f>
        <v/>
      </c>
      <c r="B55" s="9" t="str">
        <f ca="1">IF(ROWS($1:42)&gt;COUNT(Dong),"",OFFSET(TH!D$1,SMALL(Dong,ROWS($1:42)),))</f>
        <v/>
      </c>
      <c r="C55" s="9" t="str">
        <f ca="1">IF(ROWS($1:42)&gt;COUNT(Dong),"",OFFSET(TH!E$1,SMALL(Dong,ROWS($1:42)),))</f>
        <v/>
      </c>
      <c r="D55" s="346"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8"/>
        <v>0</v>
      </c>
      <c r="J55" s="25">
        <f t="shared" ca="1" si="9"/>
        <v>0</v>
      </c>
    </row>
    <row r="56" spans="1:10" s="18" customFormat="1" ht="21.75" hidden="1" customHeight="1">
      <c r="A56" s="9" t="str">
        <f ca="1">IF(ROWS($1:43)&gt;COUNT(Dong),"",OFFSET(TH!C$1,SMALL(Dong,ROWS($1:43)),))</f>
        <v/>
      </c>
      <c r="B56" s="9" t="str">
        <f ca="1">IF(ROWS($1:43)&gt;COUNT(Dong),"",OFFSET(TH!D$1,SMALL(Dong,ROWS($1:43)),))</f>
        <v/>
      </c>
      <c r="C56" s="9" t="str">
        <f ca="1">IF(ROWS($1:43)&gt;COUNT(Dong),"",OFFSET(TH!E$1,SMALL(Dong,ROWS($1:43)),))</f>
        <v/>
      </c>
      <c r="D56" s="346"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8"/>
        <v>0</v>
      </c>
      <c r="J56" s="25">
        <f t="shared" ca="1" si="9"/>
        <v>0</v>
      </c>
    </row>
    <row r="57" spans="1:10" s="18" customFormat="1" ht="21.75" hidden="1" customHeight="1">
      <c r="A57" s="9" t="str">
        <f ca="1">IF(ROWS($1:44)&gt;COUNT(Dong),"",OFFSET(TH!C$1,SMALL(Dong,ROWS($1:44)),))</f>
        <v/>
      </c>
      <c r="B57" s="9" t="str">
        <f ca="1">IF(ROWS($1:44)&gt;COUNT(Dong),"",OFFSET(TH!D$1,SMALL(Dong,ROWS($1:44)),))</f>
        <v/>
      </c>
      <c r="C57" s="9" t="str">
        <f ca="1">IF(ROWS($1:44)&gt;COUNT(Dong),"",OFFSET(TH!E$1,SMALL(Dong,ROWS($1:44)),))</f>
        <v/>
      </c>
      <c r="D57" s="346"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8"/>
        <v>0</v>
      </c>
      <c r="J57" s="25">
        <f t="shared" ca="1" si="9"/>
        <v>0</v>
      </c>
    </row>
    <row r="58" spans="1:10" s="18" customFormat="1" ht="21.75" hidden="1" customHeight="1">
      <c r="A58" s="9" t="str">
        <f ca="1">IF(ROWS($1:45)&gt;COUNT(Dong),"",OFFSET(TH!C$1,SMALL(Dong,ROWS($1:45)),))</f>
        <v/>
      </c>
      <c r="B58" s="9" t="str">
        <f ca="1">IF(ROWS($1:45)&gt;COUNT(Dong),"",OFFSET(TH!D$1,SMALL(Dong,ROWS($1:45)),))</f>
        <v/>
      </c>
      <c r="C58" s="9" t="str">
        <f ca="1">IF(ROWS($1:45)&gt;COUNT(Dong),"",OFFSET(TH!E$1,SMALL(Dong,ROWS($1:45)),))</f>
        <v/>
      </c>
      <c r="D58" s="346"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8"/>
        <v>0</v>
      </c>
      <c r="J58" s="25">
        <f t="shared" ca="1" si="9"/>
        <v>0</v>
      </c>
    </row>
    <row r="59" spans="1:10" s="18" customFormat="1" ht="21.75" hidden="1" customHeight="1">
      <c r="A59" s="9" t="str">
        <f ca="1">IF(ROWS($1:46)&gt;COUNT(Dong),"",OFFSET(TH!C$1,SMALL(Dong,ROWS($1:46)),))</f>
        <v/>
      </c>
      <c r="B59" s="9" t="str">
        <f ca="1">IF(ROWS($1:46)&gt;COUNT(Dong),"",OFFSET(TH!D$1,SMALL(Dong,ROWS($1:46)),))</f>
        <v/>
      </c>
      <c r="C59" s="9" t="str">
        <f ca="1">IF(ROWS($1:46)&gt;COUNT(Dong),"",OFFSET(TH!E$1,SMALL(Dong,ROWS($1:46)),))</f>
        <v/>
      </c>
      <c r="D59" s="346"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8"/>
        <v>0</v>
      </c>
      <c r="J59" s="25">
        <f t="shared" ca="1" si="9"/>
        <v>0</v>
      </c>
    </row>
    <row r="60" spans="1:10" s="18" customFormat="1" ht="21.75" hidden="1" customHeight="1">
      <c r="A60" s="9" t="str">
        <f ca="1">IF(ROWS($1:47)&gt;COUNT(Dong),"",OFFSET(TH!C$1,SMALL(Dong,ROWS($1:47)),))</f>
        <v/>
      </c>
      <c r="B60" s="9" t="str">
        <f ca="1">IF(ROWS($1:47)&gt;COUNT(Dong),"",OFFSET(TH!D$1,SMALL(Dong,ROWS($1:47)),))</f>
        <v/>
      </c>
      <c r="C60" s="9" t="str">
        <f ca="1">IF(ROWS($1:47)&gt;COUNT(Dong),"",OFFSET(TH!E$1,SMALL(Dong,ROWS($1:47)),))</f>
        <v/>
      </c>
      <c r="D60" s="346"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8"/>
        <v>0</v>
      </c>
      <c r="J60" s="25">
        <f t="shared" ca="1" si="9"/>
        <v>0</v>
      </c>
    </row>
    <row r="61" spans="1:10" s="18" customFormat="1" ht="21.75" hidden="1" customHeight="1">
      <c r="A61" s="9" t="str">
        <f ca="1">IF(ROWS($1:48)&gt;COUNT(Dong),"",OFFSET(TH!C$1,SMALL(Dong,ROWS($1:48)),))</f>
        <v/>
      </c>
      <c r="B61" s="9" t="str">
        <f ca="1">IF(ROWS($1:48)&gt;COUNT(Dong),"",OFFSET(TH!D$1,SMALL(Dong,ROWS($1:48)),))</f>
        <v/>
      </c>
      <c r="C61" s="9" t="str">
        <f ca="1">IF(ROWS($1:48)&gt;COUNT(Dong),"",OFFSET(TH!E$1,SMALL(Dong,ROWS($1:48)),))</f>
        <v/>
      </c>
      <c r="D61" s="346"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8"/>
        <v>0</v>
      </c>
      <c r="J61" s="25">
        <f t="shared" ca="1" si="9"/>
        <v>0</v>
      </c>
    </row>
    <row r="62" spans="1:10" s="18" customFormat="1" ht="21.75" hidden="1" customHeight="1">
      <c r="A62" s="9" t="str">
        <f ca="1">IF(ROWS($1:49)&gt;COUNT(Dong),"",OFFSET(TH!C$1,SMALL(Dong,ROWS($1:49)),))</f>
        <v/>
      </c>
      <c r="B62" s="9" t="str">
        <f ca="1">IF(ROWS($1:49)&gt;COUNT(Dong),"",OFFSET(TH!D$1,SMALL(Dong,ROWS($1:49)),))</f>
        <v/>
      </c>
      <c r="C62" s="9" t="str">
        <f ca="1">IF(ROWS($1:49)&gt;COUNT(Dong),"",OFFSET(TH!E$1,SMALL(Dong,ROWS($1:49)),))</f>
        <v/>
      </c>
      <c r="D62" s="346"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8"/>
        <v>0</v>
      </c>
      <c r="J62" s="25">
        <f t="shared" ca="1" si="9"/>
        <v>0</v>
      </c>
    </row>
    <row r="63" spans="1:10" s="18" customFormat="1" ht="21.75" hidden="1" customHeight="1">
      <c r="A63" s="9" t="str">
        <f ca="1">IF(ROWS($1:50)&gt;COUNT(Dong),"",OFFSET(TH!C$1,SMALL(Dong,ROWS($1:50)),))</f>
        <v/>
      </c>
      <c r="B63" s="9" t="str">
        <f ca="1">IF(ROWS($1:50)&gt;COUNT(Dong),"",OFFSET(TH!D$1,SMALL(Dong,ROWS($1:50)),))</f>
        <v/>
      </c>
      <c r="C63" s="9" t="str">
        <f ca="1">IF(ROWS($1:50)&gt;COUNT(Dong),"",OFFSET(TH!E$1,SMALL(Dong,ROWS($1:50)),))</f>
        <v/>
      </c>
      <c r="D63" s="346"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8"/>
        <v>0</v>
      </c>
      <c r="J63" s="25">
        <f t="shared" ca="1" si="9"/>
        <v>0</v>
      </c>
    </row>
    <row r="64" spans="1:10" s="18" customFormat="1" ht="21.75" hidden="1" customHeight="1">
      <c r="A64" s="9" t="str">
        <f ca="1">IF(ROWS($1:51)&gt;COUNT(Dong),"",OFFSET(TH!C$1,SMALL(Dong,ROWS($1:51)),))</f>
        <v/>
      </c>
      <c r="B64" s="9" t="str">
        <f ca="1">IF(ROWS($1:51)&gt;COUNT(Dong),"",OFFSET(TH!D$1,SMALL(Dong,ROWS($1:51)),))</f>
        <v/>
      </c>
      <c r="C64" s="9" t="str">
        <f ca="1">IF(ROWS($1:51)&gt;COUNT(Dong),"",OFFSET(TH!E$1,SMALL(Dong,ROWS($1:51)),))</f>
        <v/>
      </c>
      <c r="D64" s="346"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ref="I64:I66" ca="1" si="10">IF(D64&lt;&gt;"",MAX(I63+G64-H64-J63,0),0)</f>
        <v>0</v>
      </c>
      <c r="J64" s="25">
        <f t="shared" ref="J64:J66" ca="1" si="11">IF(D64&lt;&gt;"",MAX(J63+H64-I63-G64,0),0)</f>
        <v>0</v>
      </c>
    </row>
    <row r="65" spans="1:11" s="18" customFormat="1" ht="21.75" hidden="1" customHeight="1">
      <c r="A65" s="9" t="str">
        <f ca="1">IF(ROWS($1:52)&gt;COUNT(Dong),"",OFFSET(TH!C$1,SMALL(Dong,ROWS($1:52)),))</f>
        <v/>
      </c>
      <c r="B65" s="9" t="str">
        <f ca="1">IF(ROWS($1:52)&gt;COUNT(Dong),"",OFFSET(TH!D$1,SMALL(Dong,ROWS($1:52)),))</f>
        <v/>
      </c>
      <c r="C65" s="9" t="str">
        <f ca="1">IF(ROWS($1:52)&gt;COUNT(Dong),"",OFFSET(TH!E$1,SMALL(Dong,ROWS($1:52)),))</f>
        <v/>
      </c>
      <c r="D65" s="346"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10"/>
        <v>0</v>
      </c>
      <c r="J65" s="25">
        <f t="shared" ca="1" si="11"/>
        <v>0</v>
      </c>
    </row>
    <row r="66" spans="1:11" s="18" customFormat="1" ht="21.75" hidden="1" customHeight="1">
      <c r="A66" s="9" t="str">
        <f ca="1">IF(ROWS($1:53)&gt;COUNT(Dong),"",OFFSET(TH!C$1,SMALL(Dong,ROWS($1:53)),))</f>
        <v/>
      </c>
      <c r="B66" s="9" t="str">
        <f ca="1">IF(ROWS($1:53)&gt;COUNT(Dong),"",OFFSET(TH!D$1,SMALL(Dong,ROWS($1:53)),))</f>
        <v/>
      </c>
      <c r="C66" s="9" t="str">
        <f ca="1">IF(ROWS($1:53)&gt;COUNT(Dong),"",OFFSET(TH!E$1,SMALL(Dong,ROWS($1:53)),))</f>
        <v/>
      </c>
      <c r="D66" s="346"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10"/>
        <v>0</v>
      </c>
      <c r="J66" s="25">
        <f t="shared" ca="1" si="11"/>
        <v>0</v>
      </c>
    </row>
    <row r="67" spans="1:11" s="18" customFormat="1" ht="21.75" customHeight="1">
      <c r="A67" s="9" t="str">
        <f ca="1">IF(ROWS($1:54)&gt;COUNT(Dong),"",OFFSET(TH!C$1,SMALL(Dong,ROWS($1:54)),))</f>
        <v/>
      </c>
      <c r="B67" s="9" t="str">
        <f ca="1">IF(ROWS($1:54)&gt;COUNT(Dong),"",OFFSET(TH!D$1,SMALL(Dong,ROWS($1:54)),))</f>
        <v/>
      </c>
      <c r="C67" s="9" t="str">
        <f ca="1">IF(ROWS($1:54)&gt;COUNT(Dong),"",OFFSET(TH!E$1,SMALL(Dong,ROWS($1:54)),))</f>
        <v/>
      </c>
      <c r="D67" s="346"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8"/>
        <v>0</v>
      </c>
      <c r="J67" s="25">
        <f t="shared" ca="1" si="9"/>
        <v>0</v>
      </c>
    </row>
    <row r="68" spans="1:11" s="18" customFormat="1" ht="18" customHeight="1">
      <c r="A68" s="24"/>
      <c r="B68" s="21"/>
      <c r="C68" s="26"/>
      <c r="D68" s="23" t="s">
        <v>33</v>
      </c>
      <c r="E68" s="21" t="s">
        <v>20</v>
      </c>
      <c r="F68" s="21" t="s">
        <v>20</v>
      </c>
      <c r="G68" s="27">
        <f ca="1">SUM(G14:G67)</f>
        <v>0</v>
      </c>
      <c r="H68" s="27">
        <f ca="1">SUM(H14:H67)</f>
        <v>2654935000</v>
      </c>
      <c r="I68" s="27" t="s">
        <v>20</v>
      </c>
      <c r="J68" s="27" t="s">
        <v>20</v>
      </c>
    </row>
    <row r="69" spans="1:11" s="18" customFormat="1" ht="18" customHeight="1">
      <c r="A69" s="24"/>
      <c r="B69" s="21"/>
      <c r="C69" s="21"/>
      <c r="D69" s="23" t="s">
        <v>10</v>
      </c>
      <c r="E69" s="21" t="s">
        <v>20</v>
      </c>
      <c r="F69" s="21" t="s">
        <v>20</v>
      </c>
      <c r="G69" s="27" t="s">
        <v>20</v>
      </c>
      <c r="H69" s="27" t="s">
        <v>20</v>
      </c>
      <c r="I69" s="27">
        <f ca="1">MAX(I13+G68-H68-J13,0)</f>
        <v>0</v>
      </c>
      <c r="J69" s="27">
        <f ca="1">MAX(J13+H68-G68-I13,0)</f>
        <v>2654935000</v>
      </c>
    </row>
    <row r="70" spans="1:11" s="18" customFormat="1" ht="6" customHeight="1">
      <c r="B70" s="19"/>
      <c r="C70" s="19"/>
      <c r="E70" s="19"/>
    </row>
    <row r="71" spans="1:11" s="18" customFormat="1" ht="14.25" customHeight="1">
      <c r="A71" s="28" t="s">
        <v>227</v>
      </c>
      <c r="B71" s="19"/>
      <c r="C71" s="19"/>
      <c r="E71" s="19"/>
      <c r="K71" s="28" t="s">
        <v>227</v>
      </c>
    </row>
    <row r="72" spans="1:11" s="18" customFormat="1" ht="14.25" customHeight="1">
      <c r="A72" s="28" t="s">
        <v>3003</v>
      </c>
      <c r="B72" s="19"/>
      <c r="C72" s="19"/>
      <c r="E72" s="19"/>
      <c r="K72" s="28" t="s">
        <v>34</v>
      </c>
    </row>
    <row r="73" spans="1:11" s="18" customFormat="1" ht="14.25" customHeight="1">
      <c r="B73" s="19"/>
      <c r="C73" s="19"/>
      <c r="E73" s="1384" t="s">
        <v>2449</v>
      </c>
      <c r="F73" s="1384"/>
      <c r="G73" s="1384"/>
      <c r="H73" s="1384"/>
      <c r="I73" s="1384"/>
      <c r="J73" s="1384"/>
    </row>
    <row r="74" spans="1:11" s="18" customFormat="1" ht="14.25" customHeight="1">
      <c r="C74" s="337" t="s">
        <v>11</v>
      </c>
      <c r="E74" s="1384" t="s">
        <v>12</v>
      </c>
      <c r="F74" s="1384"/>
      <c r="G74" s="1384"/>
      <c r="H74" s="1384"/>
      <c r="I74" s="1384"/>
      <c r="J74" s="1384"/>
    </row>
    <row r="75" spans="1:11" s="18" customFormat="1" ht="14.25" customHeight="1">
      <c r="C75" s="337" t="s">
        <v>13</v>
      </c>
      <c r="E75" s="1384" t="s">
        <v>13</v>
      </c>
      <c r="F75" s="1384"/>
      <c r="G75" s="1384"/>
      <c r="H75" s="1384"/>
      <c r="I75" s="1384"/>
      <c r="J75" s="1384"/>
    </row>
    <row r="76" spans="1:11" s="29" customFormat="1" ht="38.25" customHeight="1"/>
    <row r="79" spans="1:11" hidden="1"/>
    <row r="80" spans="1:11" ht="19.5" hidden="1" customHeight="1"/>
    <row r="81" spans="3:3" hidden="1"/>
    <row r="82" spans="3:3" ht="15">
      <c r="C82" s="345" t="s">
        <v>223</v>
      </c>
    </row>
  </sheetData>
  <autoFilter ref="A12:L67"/>
  <mergeCells count="16">
    <mergeCell ref="E7:I7"/>
    <mergeCell ref="E74:J74"/>
    <mergeCell ref="E75:J75"/>
    <mergeCell ref="A10:A11"/>
    <mergeCell ref="H1:J1"/>
    <mergeCell ref="H2:J3"/>
    <mergeCell ref="E73:J73"/>
    <mergeCell ref="C9:J9"/>
    <mergeCell ref="B10:C10"/>
    <mergeCell ref="D10:D11"/>
    <mergeCell ref="E10:E11"/>
    <mergeCell ref="F10:F11"/>
    <mergeCell ref="G10:H10"/>
    <mergeCell ref="I10:J10"/>
    <mergeCell ref="A4:J4"/>
    <mergeCell ref="A2:D2"/>
  </mergeCells>
  <dataValidations count="1">
    <dataValidation type="list" allowBlank="1" showInputMessage="1" showErrorMessage="1" sqref="E7:G7">
      <formula1>DSKH</formula1>
    </dataValidation>
  </dataValidations>
  <printOptions horizontalCentered="1"/>
  <pageMargins left="0.4" right="0.05" top="0.3" bottom="0.4" header="0.1" footer="0.1"/>
  <pageSetup paperSize="9" scale="80" orientation="portrait" horizontalDpi="300" verticalDpi="300" r:id="rId1"/>
  <headerFooter>
    <oddFooter xml:space="preserve">&amp;R&amp;"Times New Roman,Regular"Trang &amp;P/&amp;N </oddFooter>
  </headerFooter>
</worksheet>
</file>

<file path=xl/worksheets/sheet14.xml><?xml version="1.0" encoding="utf-8"?>
<worksheet xmlns="http://schemas.openxmlformats.org/spreadsheetml/2006/main" xmlns:r="http://schemas.openxmlformats.org/officeDocument/2006/relationships">
  <sheetPr>
    <tabColor rgb="FF00B0F0"/>
  </sheetPr>
  <dimension ref="A1:N29"/>
  <sheetViews>
    <sheetView workbookViewId="0">
      <pane xSplit="2" ySplit="4" topLeftCell="C5" activePane="bottomRight" state="frozen"/>
      <selection activeCell="B5" sqref="B5"/>
      <selection pane="topRight" activeCell="B5" sqref="B5"/>
      <selection pane="bottomLeft" activeCell="B5" sqref="B5"/>
      <selection pane="bottomRight" activeCell="G21" sqref="G21"/>
    </sheetView>
  </sheetViews>
  <sheetFormatPr defaultColWidth="8" defaultRowHeight="13.5"/>
  <cols>
    <col min="1" max="1" width="4.28515625" style="838" customWidth="1"/>
    <col min="2" max="2" width="36.5703125" style="838" customWidth="1"/>
    <col min="3" max="3" width="10.5703125" style="218" customWidth="1"/>
    <col min="4" max="4" width="15.5703125" style="839" customWidth="1"/>
    <col min="5" max="5" width="6.28515625" style="218" customWidth="1"/>
    <col min="6" max="6" width="8.42578125" style="839" customWidth="1"/>
    <col min="7" max="7" width="12.7109375" style="218" customWidth="1"/>
    <col min="8" max="8" width="15.7109375" style="839" customWidth="1"/>
    <col min="9" max="9" width="15.5703125" style="218" customWidth="1"/>
    <col min="10" max="10" width="14.7109375" style="839" customWidth="1"/>
    <col min="11" max="11" width="12.28515625" style="218" customWidth="1"/>
    <col min="12" max="12" width="15.42578125" style="839" customWidth="1"/>
    <col min="13" max="13" width="8.28515625" style="218" customWidth="1"/>
    <col min="14" max="14" width="8.42578125" style="839" customWidth="1"/>
    <col min="15" max="16384" width="8" style="838"/>
  </cols>
  <sheetData>
    <row r="1" spans="1:14" ht="21" customHeight="1">
      <c r="A1" s="1420" t="s">
        <v>3028</v>
      </c>
      <c r="B1" s="1420"/>
      <c r="C1" s="1420"/>
      <c r="D1" s="1420"/>
      <c r="E1" s="1420"/>
      <c r="F1" s="1420"/>
      <c r="G1" s="1420"/>
      <c r="H1" s="1420"/>
      <c r="I1" s="1420"/>
      <c r="J1" s="1420"/>
      <c r="K1" s="1420"/>
      <c r="L1" s="1420"/>
      <c r="M1" s="1420"/>
      <c r="N1" s="1420"/>
    </row>
    <row r="2" spans="1:14" s="10" customFormat="1" ht="15.75" customHeight="1">
      <c r="A2" s="1437" t="s">
        <v>35</v>
      </c>
      <c r="B2" s="1436" t="s">
        <v>36</v>
      </c>
      <c r="C2" s="849" t="s">
        <v>37</v>
      </c>
      <c r="D2" s="848"/>
      <c r="E2" s="849"/>
      <c r="F2" s="848"/>
      <c r="G2" s="849" t="s">
        <v>38</v>
      </c>
      <c r="H2" s="848"/>
      <c r="I2" s="849"/>
      <c r="J2" s="848"/>
      <c r="K2" s="849" t="s">
        <v>42</v>
      </c>
      <c r="L2" s="848"/>
      <c r="M2" s="849"/>
      <c r="N2" s="848"/>
    </row>
    <row r="3" spans="1:14" s="10" customFormat="1" ht="15.75" customHeight="1">
      <c r="A3" s="1437"/>
      <c r="B3" s="1436"/>
      <c r="C3" s="1436" t="s">
        <v>43</v>
      </c>
      <c r="D3" s="1436"/>
      <c r="E3" s="1436" t="s">
        <v>44</v>
      </c>
      <c r="F3" s="1436"/>
      <c r="G3" s="1436" t="s">
        <v>43</v>
      </c>
      <c r="H3" s="1436"/>
      <c r="I3" s="1436" t="s">
        <v>44</v>
      </c>
      <c r="J3" s="1436"/>
      <c r="K3" s="1436" t="s">
        <v>43</v>
      </c>
      <c r="L3" s="1436"/>
      <c r="M3" s="1436" t="s">
        <v>44</v>
      </c>
      <c r="N3" s="1436"/>
    </row>
    <row r="4" spans="1:14" s="10" customFormat="1" ht="35.25" customHeight="1">
      <c r="A4" s="1437"/>
      <c r="B4" s="1436"/>
      <c r="C4" s="1325" t="s">
        <v>240</v>
      </c>
      <c r="D4" s="847" t="s">
        <v>591</v>
      </c>
      <c r="E4" s="1325" t="s">
        <v>240</v>
      </c>
      <c r="F4" s="847" t="s">
        <v>591</v>
      </c>
      <c r="G4" s="1325" t="s">
        <v>240</v>
      </c>
      <c r="H4" s="847" t="s">
        <v>591</v>
      </c>
      <c r="I4" s="1325" t="s">
        <v>240</v>
      </c>
      <c r="J4" s="847" t="s">
        <v>591</v>
      </c>
      <c r="K4" s="1325" t="s">
        <v>240</v>
      </c>
      <c r="L4" s="847" t="s">
        <v>591</v>
      </c>
      <c r="M4" s="1325" t="s">
        <v>240</v>
      </c>
      <c r="N4" s="847" t="s">
        <v>591</v>
      </c>
    </row>
    <row r="5" spans="1:14" s="10" customFormat="1" ht="18" customHeight="1">
      <c r="A5" s="846">
        <f t="shared" ref="A5:A18" si="0">IF(B5&lt;&gt;"",ROW()-4,"")</f>
        <v>1</v>
      </c>
      <c r="B5" s="7" t="s">
        <v>590</v>
      </c>
      <c r="C5" s="844">
        <v>44066.42</v>
      </c>
      <c r="D5" s="843">
        <v>986296391</v>
      </c>
      <c r="E5" s="844">
        <v>0</v>
      </c>
      <c r="F5" s="843">
        <v>0</v>
      </c>
      <c r="G5" s="844">
        <f t="array" ref="G5">SUM(IF("131"&amp;B5=KHN&amp;KH,_TH))</f>
        <v>0</v>
      </c>
      <c r="H5" s="843">
        <f t="array" ref="H5">SUM(IF("131"&amp;B5=KHN&amp;KH,TH))</f>
        <v>0</v>
      </c>
      <c r="I5" s="844">
        <f t="array" ref="I5">SUM(IF("131"&amp;B5=KHC&amp;KH,_TH))</f>
        <v>4997</v>
      </c>
      <c r="J5" s="843">
        <f t="array" ref="J5">SUM(IF("131"&amp;B5=KHC&amp;KH,TH))</f>
        <v>111333160</v>
      </c>
      <c r="K5" s="842">
        <f>ROUND(MAX(C5+G5-E5-I5,0),2)</f>
        <v>39069.42</v>
      </c>
      <c r="L5" s="385">
        <f>ROUND(MAX(D5+H5-F5-J5,0),0)</f>
        <v>874963231</v>
      </c>
      <c r="M5" s="842">
        <f>ROUND(MAX(E5+I5-C5-G5,0),2)</f>
        <v>0</v>
      </c>
      <c r="N5" s="385">
        <f>ROUND(MAX(F5+J5-D5-H5,0),0)</f>
        <v>0</v>
      </c>
    </row>
    <row r="6" spans="1:14" s="10" customFormat="1" ht="18" customHeight="1">
      <c r="A6" s="846">
        <f t="shared" si="0"/>
        <v>2</v>
      </c>
      <c r="B6" s="7" t="s">
        <v>589</v>
      </c>
      <c r="C6" s="844">
        <v>0</v>
      </c>
      <c r="D6" s="844">
        <v>0</v>
      </c>
      <c r="E6" s="844">
        <v>0</v>
      </c>
      <c r="F6" s="843">
        <v>0</v>
      </c>
      <c r="G6" s="844">
        <f t="array" ref="G6">SUM(IF("131"&amp;B6=KHN&amp;KH,_TH))</f>
        <v>281381</v>
      </c>
      <c r="H6" s="843">
        <f t="array" ref="H6">SUM(IF("131"&amp;B6=KHN&amp;KH,TH))</f>
        <v>6281279351</v>
      </c>
      <c r="I6" s="844">
        <f t="array" ref="I6">SUM(IF("131"&amp;B6=KHC&amp;KH,_TH))</f>
        <v>281381.00000000006</v>
      </c>
      <c r="J6" s="843">
        <f t="array" ref="J6">SUM(IF("131"&amp;B6=KHC&amp;KH,TH))</f>
        <v>6281279351</v>
      </c>
      <c r="K6" s="842">
        <f>ROUND(MAX(C6+G6-E6-I6,0),2)</f>
        <v>0</v>
      </c>
      <c r="L6" s="385">
        <f>ROUND(MAX(D6+H6-F6-J6,0),0)</f>
        <v>0</v>
      </c>
      <c r="M6" s="842">
        <f>ROUND(MAX(E6+I6-C6-G6,0),2)</f>
        <v>0</v>
      </c>
      <c r="N6" s="385">
        <f>ROUND(MAX(F6+J6-D6-H6,0),0)</f>
        <v>0</v>
      </c>
    </row>
    <row r="7" spans="1:14" s="10" customFormat="1" ht="18" customHeight="1">
      <c r="A7" s="846">
        <f t="shared" si="0"/>
        <v>3</v>
      </c>
      <c r="B7" s="7" t="s">
        <v>588</v>
      </c>
      <c r="C7" s="844">
        <v>103545</v>
      </c>
      <c r="D7" s="844">
        <v>2233983375</v>
      </c>
      <c r="E7" s="844">
        <v>0</v>
      </c>
      <c r="F7" s="844">
        <v>0</v>
      </c>
      <c r="G7" s="844">
        <f t="array" ref="G7">SUM(IF("131"&amp;B7=KHN&amp;KH,_TH))</f>
        <v>0</v>
      </c>
      <c r="H7" s="843">
        <f t="array" ref="H7">SUM(IF("131"&amp;B7=KHN&amp;KH,TH))</f>
        <v>0</v>
      </c>
      <c r="I7" s="844">
        <f t="array" ref="I7">SUM(IF("131"&amp;B7=KHC&amp;KH,_TH))</f>
        <v>0</v>
      </c>
      <c r="J7" s="843">
        <f t="array" ref="J7">SUM(IF("131"&amp;B7=KHC&amp;KH,TH))</f>
        <v>0</v>
      </c>
      <c r="K7" s="842">
        <f>ROUND(MAX(C7+G7-E7-I7,0),2)</f>
        <v>103545</v>
      </c>
      <c r="L7" s="385">
        <f>ROUND(MAX(D7+H7-F7-J7,0),0)</f>
        <v>2233983375</v>
      </c>
      <c r="M7" s="842">
        <f>ROUND(MAX(E7+I7-C7-G7,0),2)</f>
        <v>0</v>
      </c>
      <c r="N7" s="385">
        <f>ROUND(MAX(F7+J7-D7-H7,0),0)</f>
        <v>0</v>
      </c>
    </row>
    <row r="8" spans="1:14" s="10" customFormat="1" ht="18" customHeight="1">
      <c r="A8" s="846">
        <f t="shared" si="0"/>
        <v>4</v>
      </c>
      <c r="B8" s="7" t="s">
        <v>587</v>
      </c>
      <c r="C8" s="844">
        <v>5219.6400000000003</v>
      </c>
      <c r="D8" s="844">
        <v>123101834</v>
      </c>
      <c r="E8" s="844">
        <v>0</v>
      </c>
      <c r="F8" s="844">
        <v>0</v>
      </c>
      <c r="G8" s="844">
        <f t="array" ref="G8">SUM(IF("131"&amp;B8=KHN&amp;KH,_TH))</f>
        <v>208335</v>
      </c>
      <c r="H8" s="843">
        <f t="array" ref="H8">SUM(IF("131"&amp;B8=KHN&amp;KH,TH))</f>
        <v>4640606700</v>
      </c>
      <c r="I8" s="844">
        <f t="array" ref="I8">SUM(IF("131"&amp;B8=KHC&amp;KH,_TH))</f>
        <v>213554.64</v>
      </c>
      <c r="J8" s="843">
        <f t="array" ref="J8">SUM(IF("131"&amp;B8=KHC&amp;KH,TH))</f>
        <v>4763708534</v>
      </c>
      <c r="K8" s="842">
        <f>ROUND(MAX(C8+G8-E8-I8,0),2)</f>
        <v>0</v>
      </c>
      <c r="L8" s="385">
        <f>ROUND(MAX(D8+H8-F8-J8,0),0)</f>
        <v>0</v>
      </c>
      <c r="M8" s="842">
        <f>ROUND(MAX(E8+I8-C8-G8,0),2)</f>
        <v>0</v>
      </c>
      <c r="N8" s="385">
        <f>ROUND(MAX(F8+J8-D8-H8,0),0)</f>
        <v>0</v>
      </c>
    </row>
    <row r="9" spans="1:14" s="10" customFormat="1" ht="18" customHeight="1">
      <c r="A9" s="846">
        <f t="shared" si="0"/>
        <v>5</v>
      </c>
      <c r="B9" s="845" t="s">
        <v>586</v>
      </c>
      <c r="C9" s="844">
        <v>0</v>
      </c>
      <c r="D9" s="844">
        <v>0</v>
      </c>
      <c r="E9" s="844">
        <v>0</v>
      </c>
      <c r="F9" s="844">
        <v>0</v>
      </c>
      <c r="G9" s="844">
        <f t="array" ref="G9">SUM(IF("131"&amp;B9=KHN&amp;KH,_TH))</f>
        <v>167040</v>
      </c>
      <c r="H9" s="843">
        <f t="array" ref="H9">SUM(IF("131"&amp;B9=KHN&amp;KH,TH))</f>
        <v>3744763199</v>
      </c>
      <c r="I9" s="844">
        <f t="array" ref="I9">SUM(IF("131"&amp;B9=KHC&amp;KH,_TH))</f>
        <v>167040</v>
      </c>
      <c r="J9" s="843">
        <f t="array" ref="J9">SUM(IF("131"&amp;B9=KHC&amp;KH,TH))</f>
        <v>3744763199</v>
      </c>
      <c r="K9" s="842">
        <f>ROUND(MAX(C9+G9-E9-I9,0),2)</f>
        <v>0</v>
      </c>
      <c r="L9" s="385">
        <f>ROUND(MAX(D9+H9-F9-J9,0),0)</f>
        <v>0</v>
      </c>
      <c r="M9" s="842">
        <f>ROUND(MAX(E9+I9-C9-G9,0),2)</f>
        <v>0</v>
      </c>
      <c r="N9" s="385">
        <f>ROUND(MAX(F9+J9-D9-H9,0),0)</f>
        <v>0</v>
      </c>
    </row>
    <row r="10" spans="1:14" s="10" customFormat="1" ht="18" customHeight="1">
      <c r="A10" s="846">
        <f t="shared" si="0"/>
        <v>6</v>
      </c>
      <c r="B10" s="845" t="s">
        <v>1350</v>
      </c>
      <c r="C10" s="844">
        <v>0</v>
      </c>
      <c r="D10" s="844">
        <v>0</v>
      </c>
      <c r="E10" s="844">
        <v>0</v>
      </c>
      <c r="F10" s="844">
        <v>0</v>
      </c>
      <c r="G10" s="844">
        <f t="array" ref="G10">SUM(IF("131"&amp;B10=KHN&amp;KH,_TH))</f>
        <v>118320</v>
      </c>
      <c r="H10" s="843">
        <f t="array" ref="H10">SUM(IF("131"&amp;B10=KHN&amp;KH,TH))</f>
        <v>2635056000</v>
      </c>
      <c r="I10" s="844">
        <f t="array" ref="I10">SUM(IF("131"&amp;B10=KHC&amp;KH,_TH))</f>
        <v>118320.00000000001</v>
      </c>
      <c r="J10" s="843">
        <f t="array" ref="J10">SUM(IF("131"&amp;B10=KHC&amp;KH,TH))</f>
        <v>2635056000</v>
      </c>
      <c r="K10" s="842">
        <f t="shared" ref="K10:K17" si="1">ROUND(MAX(C10+G10-E10-I10,0),2)</f>
        <v>0</v>
      </c>
      <c r="L10" s="385">
        <f t="shared" ref="L10:L17" si="2">ROUND(MAX(D10+H10-F10-J10,0),0)</f>
        <v>0</v>
      </c>
      <c r="M10" s="842">
        <f t="shared" ref="M10:M17" si="3">ROUND(MAX(E10+I10-C10-G10,0),2)</f>
        <v>0</v>
      </c>
      <c r="N10" s="385">
        <f t="shared" ref="N10:N17" si="4">ROUND(MAX(F10+J10-D10-H10,0),0)</f>
        <v>0</v>
      </c>
    </row>
    <row r="11" spans="1:14" s="10" customFormat="1" ht="18" customHeight="1">
      <c r="A11" s="846">
        <f t="shared" si="0"/>
        <v>7</v>
      </c>
      <c r="B11" s="845" t="s">
        <v>1525</v>
      </c>
      <c r="C11" s="844">
        <v>0</v>
      </c>
      <c r="D11" s="844">
        <v>0</v>
      </c>
      <c r="E11" s="844">
        <v>0</v>
      </c>
      <c r="F11" s="844">
        <v>0</v>
      </c>
      <c r="G11" s="844">
        <f t="array" ref="G11">SUM(IF("131"&amp;B11=KHN&amp;KH,_TH))</f>
        <v>20528.09</v>
      </c>
      <c r="H11" s="843">
        <f t="array" ref="H11">SUM(IF("131"&amp;B11=KHN&amp;KH,TH))</f>
        <v>457874564</v>
      </c>
      <c r="I11" s="844">
        <f t="array" ref="I11">SUM(IF("131"&amp;B11=KHC&amp;KH,_TH))</f>
        <v>20528.09</v>
      </c>
      <c r="J11" s="843">
        <f t="array" ref="J11">SUM(IF("131"&amp;B11=KHC&amp;KH,TH))</f>
        <v>457874564</v>
      </c>
      <c r="K11" s="842">
        <f t="shared" si="1"/>
        <v>0</v>
      </c>
      <c r="L11" s="385">
        <f t="shared" si="2"/>
        <v>0</v>
      </c>
      <c r="M11" s="842">
        <f t="shared" si="3"/>
        <v>0</v>
      </c>
      <c r="N11" s="385">
        <f t="shared" si="4"/>
        <v>0</v>
      </c>
    </row>
    <row r="12" spans="1:14" s="10" customFormat="1" ht="18" customHeight="1">
      <c r="A12" s="846">
        <f t="shared" si="0"/>
        <v>8</v>
      </c>
      <c r="B12" s="72" t="s">
        <v>1538</v>
      </c>
      <c r="C12" s="844">
        <v>0</v>
      </c>
      <c r="D12" s="844">
        <v>0</v>
      </c>
      <c r="E12" s="844">
        <v>0</v>
      </c>
      <c r="F12" s="844">
        <v>0</v>
      </c>
      <c r="G12" s="844">
        <f t="array" ref="G12">SUM(IF("131"&amp;B12=KHN&amp;KH,_TH))</f>
        <v>224500</v>
      </c>
      <c r="H12" s="843">
        <f t="array" ref="H12">SUM(IF("131"&amp;B12=KHN&amp;KH,TH))</f>
        <v>5014312500</v>
      </c>
      <c r="I12" s="844">
        <f t="array" ref="I12">SUM(IF("131"&amp;B12=KHC&amp;KH,_TH))</f>
        <v>224500</v>
      </c>
      <c r="J12" s="843">
        <f t="array" ref="J12">SUM(IF("131"&amp;B12=KHC&amp;KH,TH))</f>
        <v>5014312500</v>
      </c>
      <c r="K12" s="842">
        <f t="shared" si="1"/>
        <v>0</v>
      </c>
      <c r="L12" s="385">
        <f t="shared" si="2"/>
        <v>0</v>
      </c>
      <c r="M12" s="842">
        <f t="shared" si="3"/>
        <v>0</v>
      </c>
      <c r="N12" s="385">
        <f t="shared" si="4"/>
        <v>0</v>
      </c>
    </row>
    <row r="13" spans="1:14" s="10" customFormat="1" ht="18" customHeight="1">
      <c r="A13" s="846">
        <f t="shared" si="0"/>
        <v>9</v>
      </c>
      <c r="B13" s="72" t="s">
        <v>1672</v>
      </c>
      <c r="C13" s="844">
        <v>0</v>
      </c>
      <c r="D13" s="844">
        <v>0</v>
      </c>
      <c r="E13" s="844">
        <v>0</v>
      </c>
      <c r="F13" s="844">
        <v>0</v>
      </c>
      <c r="G13" s="844">
        <f t="array" ref="G13">SUM(IF("131"&amp;B13=KHN&amp;KH,_TH))</f>
        <v>174900</v>
      </c>
      <c r="H13" s="843">
        <f t="array" ref="H13">SUM(IF("131"&amp;B13=KHN&amp;KH,TH))</f>
        <v>3906746722</v>
      </c>
      <c r="I13" s="844">
        <f t="array" ref="I13">SUM(IF("131"&amp;B13=KHC&amp;KH,_TH))</f>
        <v>174900.00100000002</v>
      </c>
      <c r="J13" s="843">
        <f t="array" ref="J13">SUM(IF("131"&amp;B13=KHC&amp;KH,TH))</f>
        <v>3906746722</v>
      </c>
      <c r="K13" s="842">
        <f t="shared" si="1"/>
        <v>0</v>
      </c>
      <c r="L13" s="385">
        <f t="shared" si="2"/>
        <v>0</v>
      </c>
      <c r="M13" s="842">
        <f t="shared" si="3"/>
        <v>0</v>
      </c>
      <c r="N13" s="385">
        <f t="shared" si="4"/>
        <v>0</v>
      </c>
    </row>
    <row r="14" spans="1:14" s="10" customFormat="1" ht="18" customHeight="1">
      <c r="A14" s="846">
        <f t="shared" si="0"/>
        <v>10</v>
      </c>
      <c r="B14" s="72" t="s">
        <v>1751</v>
      </c>
      <c r="C14" s="941"/>
      <c r="D14" s="941"/>
      <c r="E14" s="844"/>
      <c r="F14" s="844"/>
      <c r="G14" s="844">
        <f t="array" ref="G14">SUM(IF("131"&amp;B14=KHN&amp;KH,_TH))</f>
        <v>0</v>
      </c>
      <c r="H14" s="843">
        <f t="array" ref="H14">SUM(IF("131"&amp;B14=KHN&amp;KH,TH))</f>
        <v>1334903691</v>
      </c>
      <c r="I14" s="844">
        <f t="array" ref="I14">SUM(IF("131"&amp;B14=KHC&amp;KH,_TH))</f>
        <v>0</v>
      </c>
      <c r="J14" s="843">
        <f t="array" ref="J14">SUM(IF("131"&amp;B14=KHC&amp;KH,TH))</f>
        <v>1334903691</v>
      </c>
      <c r="K14" s="842">
        <f t="shared" si="1"/>
        <v>0</v>
      </c>
      <c r="L14" s="385">
        <f t="shared" si="2"/>
        <v>0</v>
      </c>
      <c r="M14" s="842">
        <f t="shared" si="3"/>
        <v>0</v>
      </c>
      <c r="N14" s="385">
        <f t="shared" si="4"/>
        <v>0</v>
      </c>
    </row>
    <row r="15" spans="1:14" s="10" customFormat="1" ht="18" customHeight="1">
      <c r="A15" s="846">
        <f t="shared" si="0"/>
        <v>11</v>
      </c>
      <c r="B15" s="72" t="s">
        <v>1862</v>
      </c>
      <c r="C15" s="941"/>
      <c r="D15" s="941"/>
      <c r="E15" s="844"/>
      <c r="F15" s="844"/>
      <c r="G15" s="844">
        <f t="array" ref="G15">SUM(IF("131"&amp;B15=KHN&amp;KH,_TH))</f>
        <v>6000</v>
      </c>
      <c r="H15" s="843">
        <f t="array" ref="H15">SUM(IF("131"&amp;B15=KHN&amp;KH,TH))</f>
        <v>133560000</v>
      </c>
      <c r="I15" s="844">
        <f t="array" ref="I15">SUM(IF("131"&amp;B15=KHC&amp;KH,_TH))</f>
        <v>6000</v>
      </c>
      <c r="J15" s="843">
        <f t="array" ref="J15">SUM(IF("131"&amp;B15=KHC&amp;KH,TH))</f>
        <v>133560000</v>
      </c>
      <c r="K15" s="842">
        <f t="shared" si="1"/>
        <v>0</v>
      </c>
      <c r="L15" s="385">
        <f t="shared" si="2"/>
        <v>0</v>
      </c>
      <c r="M15" s="842">
        <f t="shared" si="3"/>
        <v>0</v>
      </c>
      <c r="N15" s="385">
        <f t="shared" si="4"/>
        <v>0</v>
      </c>
    </row>
    <row r="16" spans="1:14" s="10" customFormat="1" ht="18" customHeight="1">
      <c r="A16" s="846">
        <f t="shared" si="0"/>
        <v>12</v>
      </c>
      <c r="B16" s="72" t="s">
        <v>1875</v>
      </c>
      <c r="C16" s="941"/>
      <c r="D16" s="941"/>
      <c r="E16" s="844"/>
      <c r="F16" s="844"/>
      <c r="G16" s="844">
        <f t="array" ref="G16">SUM(IF("131"&amp;B16=KHN&amp;KH,_TH))</f>
        <v>547115</v>
      </c>
      <c r="H16" s="843">
        <f t="array" ref="H16">SUM(IF("131"&amp;B16=KHN&amp;KH,TH))</f>
        <v>12184251050</v>
      </c>
      <c r="I16" s="844">
        <f t="array" ref="I16">SUM(IF("131"&amp;B16=KHC&amp;KH,_TH))</f>
        <v>547115</v>
      </c>
      <c r="J16" s="843">
        <f t="array" ref="J16">SUM(IF("131"&amp;B16=KHC&amp;KH,TH))</f>
        <v>12184251050</v>
      </c>
      <c r="K16" s="842">
        <f t="shared" si="1"/>
        <v>0</v>
      </c>
      <c r="L16" s="385">
        <f t="shared" si="2"/>
        <v>0</v>
      </c>
      <c r="M16" s="842">
        <f t="shared" si="3"/>
        <v>0</v>
      </c>
      <c r="N16" s="385">
        <f t="shared" si="4"/>
        <v>0</v>
      </c>
    </row>
    <row r="17" spans="1:14" s="10" customFormat="1" ht="18" customHeight="1">
      <c r="A17" s="846">
        <f t="shared" si="0"/>
        <v>13</v>
      </c>
      <c r="B17" s="72" t="s">
        <v>1887</v>
      </c>
      <c r="C17" s="941"/>
      <c r="D17" s="941"/>
      <c r="E17" s="844"/>
      <c r="F17" s="844"/>
      <c r="G17" s="844">
        <f t="array" ref="G17">SUM(IF("131"&amp;B17=KHN&amp;KH,_TH))</f>
        <v>5278056.8800000008</v>
      </c>
      <c r="H17" s="843">
        <f t="array" ref="H17">SUM(IF("131"&amp;B17=KHN&amp;KH,TH))</f>
        <v>119477059988</v>
      </c>
      <c r="I17" s="844">
        <f t="array" ref="I17">SUM(IF("131"&amp;B17=KHC&amp;KH,_TH))</f>
        <v>2902242.7199999997</v>
      </c>
      <c r="J17" s="843">
        <f t="array" ref="J17">SUM(IF("131"&amp;B17=KHC&amp;KH,TH))</f>
        <v>65602410598.400002</v>
      </c>
      <c r="K17" s="842">
        <f t="shared" si="1"/>
        <v>2375814.16</v>
      </c>
      <c r="L17" s="385">
        <f t="shared" si="2"/>
        <v>53874649390</v>
      </c>
      <c r="M17" s="842">
        <f t="shared" si="3"/>
        <v>0</v>
      </c>
      <c r="N17" s="385">
        <f t="shared" si="4"/>
        <v>0</v>
      </c>
    </row>
    <row r="18" spans="1:14" s="10" customFormat="1" ht="18" customHeight="1">
      <c r="A18" s="846">
        <f t="shared" si="0"/>
        <v>14</v>
      </c>
      <c r="B18" s="72" t="s">
        <v>2181</v>
      </c>
      <c r="C18" s="941"/>
      <c r="D18" s="941"/>
      <c r="E18" s="844"/>
      <c r="F18" s="844"/>
      <c r="G18" s="844">
        <f t="array" ref="G18">SUM(IF("131"&amp;B18=KHN&amp;KH,_TH))</f>
        <v>85000</v>
      </c>
      <c r="H18" s="843">
        <f t="array" ref="H18">SUM(IF("131"&amp;B18=KHN&amp;KH,TH))</f>
        <v>1899450000</v>
      </c>
      <c r="I18" s="844">
        <f t="array" ref="I18">SUM(IF("131"&amp;B18=KHC&amp;KH,_TH))</f>
        <v>85000</v>
      </c>
      <c r="J18" s="843">
        <f t="array" ref="J18">SUM(IF("131"&amp;B18=KHC&amp;KH,TH))</f>
        <v>1899450000</v>
      </c>
      <c r="K18" s="842">
        <f>ROUND(MAX(C18+G18-E18-I18,0),2)</f>
        <v>0</v>
      </c>
      <c r="L18" s="385">
        <f>ROUND(MAX(D18+H18-F18-J18,0),0)</f>
        <v>0</v>
      </c>
      <c r="M18" s="842">
        <f>ROUND(MAX(E18+I18-C18-G18,0),2)</f>
        <v>0</v>
      </c>
      <c r="N18" s="385">
        <f>ROUND(MAX(F18+J18-D18-H18,0),0)</f>
        <v>0</v>
      </c>
    </row>
    <row r="19" spans="1:14" s="10" customFormat="1" ht="18" customHeight="1">
      <c r="A19" s="846">
        <f>IF(B19&lt;&gt;"",ROW()-4,"")</f>
        <v>15</v>
      </c>
      <c r="B19" s="329" t="s">
        <v>2366</v>
      </c>
      <c r="C19" s="941"/>
      <c r="D19" s="941"/>
      <c r="E19" s="844"/>
      <c r="F19" s="844"/>
      <c r="G19" s="844">
        <f t="array" ref="G19">SUM(IF("131"&amp;B19=KHN&amp;KH,_TH))</f>
        <v>0</v>
      </c>
      <c r="H19" s="843">
        <f t="array" ref="H19">SUM(IF("131"&amp;B19=KHN&amp;KH,TH))</f>
        <v>1456477600</v>
      </c>
      <c r="I19" s="844">
        <f t="array" ref="I19">SUM(IF("131"&amp;B19=KHC&amp;KH,_TH))</f>
        <v>0</v>
      </c>
      <c r="J19" s="843">
        <f t="array" ref="J19">SUM(IF("131"&amp;B19=KHC&amp;KH,TH))</f>
        <v>1456477600</v>
      </c>
      <c r="K19" s="842">
        <f>ROUND(MAX(C19+G19-E19-I19,0),2)</f>
        <v>0</v>
      </c>
      <c r="L19" s="385">
        <f>ROUND(MAX(D19+H19-F19-J19,0),0)</f>
        <v>0</v>
      </c>
      <c r="M19" s="842">
        <f>ROUND(MAX(E19+I19-C19-G19,0),2)</f>
        <v>0</v>
      </c>
      <c r="N19" s="385">
        <f>ROUND(MAX(F19+J19-D19-H19,0),0)</f>
        <v>0</v>
      </c>
    </row>
    <row r="20" spans="1:14" s="10" customFormat="1" ht="18" customHeight="1">
      <c r="A20" s="846">
        <v>16</v>
      </c>
      <c r="B20" s="329" t="s">
        <v>2543</v>
      </c>
      <c r="C20" s="941"/>
      <c r="D20" s="941"/>
      <c r="E20" s="844"/>
      <c r="F20" s="844"/>
      <c r="G20" s="844">
        <f t="array" ref="G20">SUM(IF("131"&amp;B20=KHN&amp;KH,_TH))</f>
        <v>0</v>
      </c>
      <c r="H20" s="843">
        <f t="array" ref="H20">SUM(IF("131"&amp;B20=KHN&amp;KH,TH))</f>
        <v>169362600</v>
      </c>
      <c r="I20" s="844">
        <f t="array" ref="I20">SUM(IF("131"&amp;B20=KHC&amp;KH,_TH))</f>
        <v>0</v>
      </c>
      <c r="J20" s="843">
        <f t="array" ref="J20">SUM(IF("131"&amp;B20=KHC&amp;KH,TH))</f>
        <v>114165700</v>
      </c>
      <c r="K20" s="842">
        <f>ROUND(MAX(C20+G20-E20-I20,0),2)</f>
        <v>0</v>
      </c>
      <c r="L20" s="385">
        <f>ROUND(MAX(D20+H20-F20-J20,0),0)</f>
        <v>55196900</v>
      </c>
      <c r="M20" s="842">
        <f>ROUND(MAX(E20+I20-C20-G20,0),2)</f>
        <v>0</v>
      </c>
      <c r="N20" s="385">
        <f>ROUND(MAX(F20+J20-D20-H20,0),0)</f>
        <v>0</v>
      </c>
    </row>
    <row r="21" spans="1:14" s="10" customFormat="1" ht="18" customHeight="1">
      <c r="A21" s="846">
        <f>IF(B21&lt;&gt;"",ROW()-4,"")</f>
        <v>17</v>
      </c>
      <c r="B21" s="329" t="s">
        <v>2718</v>
      </c>
      <c r="C21" s="941"/>
      <c r="D21" s="941"/>
      <c r="E21" s="844"/>
      <c r="F21" s="844"/>
      <c r="G21" s="844">
        <f t="array" ref="G21">SUM(IF("131"&amp;B21=KHN&amp;KH,_TH))</f>
        <v>0</v>
      </c>
      <c r="H21" s="843">
        <f t="array" ref="H21">SUM(IF("131"&amp;B21=KHN&amp;KH,TH))</f>
        <v>599306000</v>
      </c>
      <c r="I21" s="844">
        <f t="array" ref="I21">SUM(IF("131"&amp;B21=KHC&amp;KH,_TH))</f>
        <v>0</v>
      </c>
      <c r="J21" s="843">
        <f t="array" ref="J21">SUM(IF("131"&amp;B21=KHC&amp;KH,TH))</f>
        <v>599306000</v>
      </c>
      <c r="K21" s="842">
        <f>ROUND(MAX(C21+G21-E21-I21,0),2)</f>
        <v>0</v>
      </c>
      <c r="L21" s="385">
        <f>ROUND(MAX(D21+H21-F21-J21,0),0)</f>
        <v>0</v>
      </c>
      <c r="M21" s="842">
        <f>ROUND(MAX(E21+I21-C21-G21,0),2)</f>
        <v>0</v>
      </c>
      <c r="N21" s="385">
        <f>ROUND(MAX(F21+J21-D21-H21,0),0)</f>
        <v>0</v>
      </c>
    </row>
    <row r="22" spans="1:14" ht="18" customHeight="1">
      <c r="A22" s="11"/>
      <c r="B22" s="12" t="s">
        <v>39</v>
      </c>
      <c r="C22" s="841">
        <f t="shared" ref="C22:N22" si="5">SUM(C5:C20)</f>
        <v>152831.06</v>
      </c>
      <c r="D22" s="840">
        <f t="shared" si="5"/>
        <v>3343381600</v>
      </c>
      <c r="E22" s="841">
        <f t="shared" si="5"/>
        <v>0</v>
      </c>
      <c r="F22" s="840">
        <f t="shared" si="5"/>
        <v>0</v>
      </c>
      <c r="G22" s="841">
        <f t="shared" si="5"/>
        <v>7111175.9700000007</v>
      </c>
      <c r="H22" s="840">
        <f>SUM(H5:H21)</f>
        <v>163935009965</v>
      </c>
      <c r="I22" s="1101">
        <f>SUM(I5:I21)</f>
        <v>4745578.4509999994</v>
      </c>
      <c r="J22" s="840">
        <f>SUM(J5:J21)</f>
        <v>110239598669.39999</v>
      </c>
      <c r="K22" s="841">
        <f t="shared" si="5"/>
        <v>2518428.58</v>
      </c>
      <c r="L22" s="840">
        <f t="shared" si="5"/>
        <v>57038792896</v>
      </c>
      <c r="M22" s="841">
        <f t="shared" si="5"/>
        <v>0</v>
      </c>
      <c r="N22" s="840">
        <f t="shared" si="5"/>
        <v>0</v>
      </c>
    </row>
    <row r="24" spans="1:14">
      <c r="D24" s="839">
        <f>D22-CĐPS!C15</f>
        <v>0</v>
      </c>
      <c r="H24" s="839">
        <f>H22-CĐPS!E15</f>
        <v>0</v>
      </c>
      <c r="J24" s="839">
        <f>J22-CĐPS!F15</f>
        <v>0</v>
      </c>
      <c r="N24" s="839">
        <f>L22-N22-CĐPS!G15</f>
        <v>0.399993896484375</v>
      </c>
    </row>
    <row r="25" spans="1:14" ht="15">
      <c r="L25" s="1435" t="s">
        <v>449</v>
      </c>
      <c r="M25" s="1435"/>
      <c r="N25" s="1435"/>
    </row>
    <row r="26" spans="1:14" ht="15">
      <c r="I26" s="839"/>
      <c r="L26" s="1435" t="s">
        <v>128</v>
      </c>
      <c r="M26" s="1435"/>
      <c r="N26" s="1435"/>
    </row>
    <row r="27" spans="1:14" ht="15">
      <c r="L27" s="1435" t="s">
        <v>158</v>
      </c>
      <c r="M27" s="1435"/>
      <c r="N27" s="1435"/>
    </row>
    <row r="28" spans="1:14">
      <c r="L28" s="472"/>
      <c r="M28" s="472"/>
      <c r="N28" s="472"/>
    </row>
    <row r="29" spans="1:14">
      <c r="L29" s="472"/>
      <c r="M29" s="472"/>
      <c r="N29" s="472"/>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12">
    <mergeCell ref="A1:N1"/>
    <mergeCell ref="I3:J3"/>
    <mergeCell ref="K3:L3"/>
    <mergeCell ref="M3:N3"/>
    <mergeCell ref="A2:A4"/>
    <mergeCell ref="B2:B4"/>
    <mergeCell ref="L25:N25"/>
    <mergeCell ref="L26:N26"/>
    <mergeCell ref="L27:N27"/>
    <mergeCell ref="C3:D3"/>
    <mergeCell ref="E3:F3"/>
    <mergeCell ref="G3:H3"/>
  </mergeCells>
  <pageMargins left="0.16" right="0" top="0" bottom="0" header="0" footer="0"/>
  <pageSetup paperSize="9" scale="80" orientation="landscape" r:id="rId1"/>
  <headerFooter alignWithMargins="0"/>
</worksheet>
</file>

<file path=xl/worksheets/sheet15.xml><?xml version="1.0" encoding="utf-8"?>
<worksheet xmlns="http://schemas.openxmlformats.org/spreadsheetml/2006/main" xmlns:r="http://schemas.openxmlformats.org/officeDocument/2006/relationships">
  <sheetPr>
    <tabColor rgb="FF00B0F0"/>
  </sheetPr>
  <dimension ref="A2:Q130"/>
  <sheetViews>
    <sheetView zoomScale="90" zoomScaleNormal="90" workbookViewId="0">
      <selection activeCell="A2" sqref="A2:D3"/>
    </sheetView>
  </sheetViews>
  <sheetFormatPr defaultRowHeight="14.25"/>
  <cols>
    <col min="1" max="1" width="8.85546875" style="142" customWidth="1"/>
    <col min="2" max="2" width="8" style="142" customWidth="1"/>
    <col min="3" max="3" width="9.85546875" style="142" customWidth="1"/>
    <col min="4" max="4" width="24.5703125" style="142" customWidth="1"/>
    <col min="5" max="5" width="7" style="142" customWidth="1"/>
    <col min="6" max="7" width="7.5703125" style="142" customWidth="1"/>
    <col min="8" max="8" width="12.7109375" style="142" customWidth="1"/>
    <col min="9" max="9" width="15.85546875" style="142" customWidth="1"/>
    <col min="10" max="10" width="13" style="142" customWidth="1"/>
    <col min="11" max="11" width="15.140625" style="142" customWidth="1"/>
    <col min="12" max="12" width="12.5703125" style="142" customWidth="1"/>
    <col min="13" max="13" width="14.85546875" style="142" customWidth="1"/>
    <col min="14" max="14" width="11.42578125" style="142" customWidth="1"/>
    <col min="15" max="15" width="14.28515625" style="142" customWidth="1"/>
    <col min="16" max="16" width="11" style="142" bestFit="1" customWidth="1"/>
    <col min="17" max="17" width="12" style="142" bestFit="1" customWidth="1"/>
    <col min="18" max="16384" width="9.140625" style="142"/>
  </cols>
  <sheetData>
    <row r="2" spans="1:15" s="826" customFormat="1" ht="16.5" customHeight="1">
      <c r="A2" s="892" t="s">
        <v>310</v>
      </c>
      <c r="B2" s="891"/>
      <c r="C2" s="890"/>
      <c r="D2" s="452"/>
      <c r="E2" s="884"/>
      <c r="G2" s="883"/>
      <c r="H2" s="882"/>
      <c r="I2" s="889"/>
      <c r="J2" s="888"/>
      <c r="K2" s="2"/>
      <c r="L2" s="2"/>
      <c r="M2" s="825" t="s">
        <v>598</v>
      </c>
      <c r="N2" s="2"/>
      <c r="O2" s="2"/>
    </row>
    <row r="3" spans="1:15" s="826" customFormat="1" ht="16.5" customHeight="1">
      <c r="A3" s="1438" t="s">
        <v>597</v>
      </c>
      <c r="B3" s="1438"/>
      <c r="C3" s="1438"/>
      <c r="D3" s="1438"/>
      <c r="E3" s="884"/>
      <c r="G3" s="883"/>
      <c r="H3" s="882"/>
      <c r="I3" s="881"/>
      <c r="J3" s="880"/>
      <c r="K3" s="17"/>
      <c r="L3" s="17"/>
      <c r="M3" s="886" t="s">
        <v>313</v>
      </c>
      <c r="N3" s="17"/>
      <c r="O3" s="17"/>
    </row>
    <row r="4" spans="1:15" s="826" customFormat="1" ht="16.5" customHeight="1">
      <c r="A4" s="887"/>
      <c r="B4" s="887"/>
      <c r="C4" s="887"/>
      <c r="D4" s="887"/>
      <c r="E4" s="884"/>
      <c r="G4" s="883" t="s">
        <v>596</v>
      </c>
      <c r="H4" s="882"/>
      <c r="I4" s="881"/>
      <c r="J4" s="880"/>
      <c r="K4" s="17"/>
      <c r="L4" s="17"/>
      <c r="M4" s="886" t="s">
        <v>314</v>
      </c>
      <c r="N4" s="17"/>
      <c r="O4" s="17"/>
    </row>
    <row r="5" spans="1:15" s="826" customFormat="1" ht="6.75" hidden="1" customHeight="1">
      <c r="A5" s="885"/>
      <c r="B5" s="885"/>
      <c r="C5" s="885"/>
      <c r="E5" s="884"/>
      <c r="G5" s="883"/>
      <c r="H5" s="882"/>
      <c r="I5" s="881"/>
      <c r="J5" s="880"/>
      <c r="K5" s="879"/>
      <c r="L5" s="823"/>
      <c r="M5" s="823"/>
      <c r="N5" s="823"/>
      <c r="O5" s="823"/>
    </row>
    <row r="6" spans="1:15" s="5" customFormat="1" ht="23.25" customHeight="1">
      <c r="A6" s="1439" t="s">
        <v>595</v>
      </c>
      <c r="B6" s="1439"/>
      <c r="C6" s="1439"/>
      <c r="D6" s="1439"/>
      <c r="E6" s="1439"/>
      <c r="F6" s="1439"/>
      <c r="G6" s="1439"/>
      <c r="H6" s="1439"/>
      <c r="I6" s="1439"/>
      <c r="J6" s="1439"/>
      <c r="K6" s="1439"/>
      <c r="L6" s="1439"/>
      <c r="M6" s="1439"/>
      <c r="N6" s="1439"/>
      <c r="O6" s="1439"/>
    </row>
    <row r="7" spans="1:15" s="5" customFormat="1" ht="15">
      <c r="H7" s="824" t="s">
        <v>27</v>
      </c>
    </row>
    <row r="8" spans="1:15" s="5" customFormat="1" ht="15">
      <c r="H8" s="824" t="s">
        <v>594</v>
      </c>
    </row>
    <row r="9" spans="1:15" s="5" customFormat="1" ht="15">
      <c r="G9" s="235" t="s">
        <v>593</v>
      </c>
      <c r="H9" s="1440" t="s">
        <v>2718</v>
      </c>
      <c r="I9" s="1440"/>
      <c r="J9" s="1440"/>
    </row>
    <row r="10" spans="1:15" s="5" customFormat="1" ht="15">
      <c r="H10" s="824" t="s">
        <v>238</v>
      </c>
    </row>
    <row r="11" spans="1:15" s="5" customFormat="1" ht="15">
      <c r="A11" s="4"/>
      <c r="B11" s="4"/>
      <c r="C11" s="878"/>
      <c r="D11" s="878"/>
      <c r="E11" s="878"/>
      <c r="F11" s="878"/>
      <c r="G11" s="878"/>
      <c r="H11" s="878"/>
      <c r="I11" s="878"/>
      <c r="J11" s="878"/>
      <c r="K11" s="878"/>
      <c r="L11" s="878"/>
      <c r="M11" s="878"/>
      <c r="N11" s="878"/>
      <c r="O11" s="878"/>
    </row>
    <row r="12" spans="1:15" s="824" customFormat="1" ht="15.75" customHeight="1">
      <c r="A12" s="1441" t="s">
        <v>21</v>
      </c>
      <c r="B12" s="1444" t="s">
        <v>1</v>
      </c>
      <c r="C12" s="1445"/>
      <c r="D12" s="1441" t="s">
        <v>0</v>
      </c>
      <c r="E12" s="1441" t="s">
        <v>15</v>
      </c>
      <c r="F12" s="1441" t="s">
        <v>239</v>
      </c>
      <c r="G12" s="1446" t="s">
        <v>592</v>
      </c>
      <c r="H12" s="1444" t="s">
        <v>22</v>
      </c>
      <c r="I12" s="1449"/>
      <c r="J12" s="1449"/>
      <c r="K12" s="1445"/>
      <c r="L12" s="1444" t="s">
        <v>31</v>
      </c>
      <c r="M12" s="1450"/>
      <c r="N12" s="1450"/>
      <c r="O12" s="1451"/>
    </row>
    <row r="13" spans="1:15" s="824" customFormat="1" ht="15.75" customHeight="1">
      <c r="A13" s="1442"/>
      <c r="B13" s="1452" t="s">
        <v>16</v>
      </c>
      <c r="C13" s="1452" t="s">
        <v>32</v>
      </c>
      <c r="D13" s="1442"/>
      <c r="E13" s="1442"/>
      <c r="F13" s="1442"/>
      <c r="G13" s="1447"/>
      <c r="H13" s="1454" t="s">
        <v>23</v>
      </c>
      <c r="I13" s="1455"/>
      <c r="J13" s="1454" t="s">
        <v>24</v>
      </c>
      <c r="K13" s="1455"/>
      <c r="L13" s="1454" t="s">
        <v>23</v>
      </c>
      <c r="M13" s="1451"/>
      <c r="N13" s="1454" t="s">
        <v>24</v>
      </c>
      <c r="O13" s="1451"/>
    </row>
    <row r="14" spans="1:15" s="824" customFormat="1" ht="41.25" customHeight="1">
      <c r="A14" s="1443"/>
      <c r="B14" s="1453"/>
      <c r="C14" s="1453"/>
      <c r="D14" s="1443"/>
      <c r="E14" s="1443"/>
      <c r="F14" s="1443"/>
      <c r="G14" s="1448"/>
      <c r="H14" s="877" t="s">
        <v>240</v>
      </c>
      <c r="I14" s="875" t="s">
        <v>241</v>
      </c>
      <c r="J14" s="876" t="s">
        <v>240</v>
      </c>
      <c r="K14" s="875" t="s">
        <v>241</v>
      </c>
      <c r="L14" s="874" t="s">
        <v>240</v>
      </c>
      <c r="M14" s="874" t="s">
        <v>241</v>
      </c>
      <c r="N14" s="874" t="s">
        <v>240</v>
      </c>
      <c r="O14" s="874" t="s">
        <v>241</v>
      </c>
    </row>
    <row r="15" spans="1:15" s="824" customFormat="1" ht="9.75" customHeight="1">
      <c r="A15" s="856" t="s">
        <v>2</v>
      </c>
      <c r="B15" s="873" t="s">
        <v>3</v>
      </c>
      <c r="C15" s="856" t="s">
        <v>4</v>
      </c>
      <c r="D15" s="856" t="s">
        <v>5</v>
      </c>
      <c r="E15" s="856" t="s">
        <v>6</v>
      </c>
      <c r="F15" s="856">
        <v>1</v>
      </c>
      <c r="G15" s="856">
        <v>2</v>
      </c>
      <c r="H15" s="856">
        <v>3</v>
      </c>
      <c r="I15" s="856">
        <v>4</v>
      </c>
      <c r="J15" s="856">
        <v>5</v>
      </c>
      <c r="K15" s="856">
        <v>6</v>
      </c>
      <c r="L15" s="856">
        <v>7</v>
      </c>
      <c r="M15" s="856">
        <v>8</v>
      </c>
      <c r="N15" s="856">
        <v>9</v>
      </c>
      <c r="O15" s="856">
        <v>10</v>
      </c>
    </row>
    <row r="16" spans="1:15" s="5" customFormat="1" ht="16.5" customHeight="1">
      <c r="A16" s="858"/>
      <c r="B16" s="858"/>
      <c r="C16" s="858"/>
      <c r="D16" s="857" t="s">
        <v>7</v>
      </c>
      <c r="E16" s="858"/>
      <c r="F16" s="856"/>
      <c r="G16" s="871"/>
      <c r="H16" s="870"/>
      <c r="I16" s="871"/>
      <c r="J16" s="872"/>
      <c r="K16" s="871"/>
      <c r="L16" s="870">
        <f>VLOOKUP($H$9,'131'!$B$5:$F$21,2,0)</f>
        <v>0</v>
      </c>
      <c r="M16" s="869">
        <f>VLOOKUP($H$9,'131'!$B$5:$F$21,3,0)</f>
        <v>0</v>
      </c>
      <c r="N16" s="870">
        <f>VLOOKUP($H$9,'131'!$B$5:$F$21,4,0)</f>
        <v>0</v>
      </c>
      <c r="O16" s="869">
        <f>VLOOKUP($H$9,'131'!$B$5:$F$21,5,0)</f>
        <v>0</v>
      </c>
    </row>
    <row r="17" spans="1:15" s="5" customFormat="1" ht="24" customHeight="1">
      <c r="A17" s="214">
        <f t="shared" ref="A17:A48" ca="1" si="0">IF(C17&lt;&gt;"",C17,"")</f>
        <v>42725</v>
      </c>
      <c r="B17" s="217" t="str">
        <f ca="1">IF(ROWS($1:1)&gt;COUNT(Dong14),"",OFFSET(TH!D$1,SMALL(Dong14,ROWS($1:1)),))</f>
        <v>TP/X14</v>
      </c>
      <c r="C17" s="214">
        <f ca="1">IF(ROWS($1:1)&gt;COUNT(Dong14),"",OFFSET(TH!E$1,SMALL(Dong14,ROWS($1:1)),))</f>
        <v>42725</v>
      </c>
      <c r="D17" s="868" t="str">
        <f ca="1">IF(ROWS($1:1)&gt;COUNT(Dong14),"",OFFSET(TH!F$1,SMALL(Dong14,ROWS($1:1)),))</f>
        <v>Khô cá chỉ vàng TP</v>
      </c>
      <c r="E17" s="866" t="str">
        <f ca="1">IF(ROWS($1:1)&gt;COUNT(Dong14),"",IF(OFFSET(TH!N$1,SMALL(Dong14,ROWS($1:1)),)="131",OFFSET(TH!O$1,SMALL(Dong14,ROWS($1:1)),),OFFSET(TH!N$1,SMALL(Dong14,ROWS($1:1)),)))</f>
        <v>5112N</v>
      </c>
      <c r="F17" s="866">
        <f ca="1">IF(ROWS($1:1)&gt;COUNT(Dong14),0,OFFSET(TH!L$1,SMALL(Dong14,ROWS($1:1)),))</f>
        <v>0</v>
      </c>
      <c r="G17" s="866"/>
      <c r="H17" s="867">
        <f ca="1">IF(ROWS($1:1)&gt;COUNT(Dong14),0,IF(OFFSET(TH!N$1,SMALL(Dong14,ROWS($1:1)),)="131",OFFSET(TH!K$1,SMALL(Dong14,ROWS($1:1)),),0))</f>
        <v>0</v>
      </c>
      <c r="I17" s="866">
        <f ca="1">IF(ROWS($1:1)&gt;COUNT(Dong14),0,IF(OFFSET(TH!N$1,SMALL(Dong14,ROWS($1:1)),)="131",OFFSET(TH!M$1,SMALL(Dong14,ROWS($1:1)),),0))</f>
        <v>327236000</v>
      </c>
      <c r="J17" s="867">
        <f ca="1">IF(ROWS($1:1)&gt;COUNT(Dong14),0,IF(OFFSET(TH!O$1,SMALL(Dong14,ROWS($1:1)),)="131",OFFSET(TH!K$1,SMALL(Dong14,ROWS($1:1)),),0))</f>
        <v>0</v>
      </c>
      <c r="K17" s="866">
        <f ca="1">IF(ROWS($1:1)&gt;COUNT(Dong14),0,IF(OFFSET(TH!O$1,SMALL(Dong14,ROWS($1:1)),)="131",OFFSET(TH!M$1,SMALL(Dong14,ROWS($1:1)),),0))</f>
        <v>0</v>
      </c>
      <c r="L17" s="860">
        <f t="shared" ref="L17:L48" ca="1" si="1">IF(D17&lt;&gt;"",ROUND(MAX(L16+H17-J17-N16,0),2),0)</f>
        <v>0</v>
      </c>
      <c r="M17" s="859">
        <f t="shared" ref="M17:M48" ca="1" si="2">IF(D17&lt;&gt;"",MAX(M16-O16+I17-K17,0),0)</f>
        <v>327236000</v>
      </c>
      <c r="N17" s="860">
        <f t="shared" ref="N17:N48" ca="1" si="3">IF(D17&lt;&gt;"",ROUND(MAX(N16+J17-H17-L16,0),2),0)</f>
        <v>0</v>
      </c>
      <c r="O17" s="859">
        <f t="shared" ref="O17:O48" ca="1" si="4">IF(D17&lt;&gt;"",MAX(O16-M16+K17-I17,0),0)</f>
        <v>0</v>
      </c>
    </row>
    <row r="18" spans="1:15" s="5" customFormat="1" ht="24" customHeight="1">
      <c r="A18" s="214">
        <f t="shared" ca="1" si="0"/>
        <v>42725</v>
      </c>
      <c r="B18" s="217" t="str">
        <f ca="1">IF(ROWS($1:2)&gt;COUNT(Dong14),"",OFFSET(TH!D$1,SMALL(Dong14,ROWS($1:2)),))</f>
        <v>TP/X14</v>
      </c>
      <c r="C18" s="214">
        <f ca="1">IF(ROWS($1:2)&gt;COUNT(Dong14),"",OFFSET(TH!E$1,SMALL(Dong14,ROWS($1:2)),))</f>
        <v>42725</v>
      </c>
      <c r="D18" s="868" t="str">
        <f ca="1">IF(ROWS($1:2)&gt;COUNT(Dong14),"",OFFSET(TH!F$1,SMALL(Dong14,ROWS($1:2)),))</f>
        <v>Khô cá ngân</v>
      </c>
      <c r="E18" s="866" t="str">
        <f ca="1">IF(ROWS($1:2)&gt;COUNT(Dong14),"",IF(OFFSET(TH!N$1,SMALL(Dong14,ROWS($1:2)),)="131",OFFSET(TH!O$1,SMALL(Dong14,ROWS($1:2)),),OFFSET(TH!N$1,SMALL(Dong14,ROWS($1:2)),)))</f>
        <v>5112N</v>
      </c>
      <c r="F18" s="866">
        <f ca="1">IF(ROWS($1:2)&gt;COUNT(Dong14),0,OFFSET(TH!L$1,SMALL(Dong14,ROWS($1:2)),))</f>
        <v>0</v>
      </c>
      <c r="G18" s="866"/>
      <c r="H18" s="867">
        <f ca="1">IF(ROWS($1:2)&gt;COUNT(Dong14),0,IF(OFFSET(TH!N$1,SMALL(Dong14,ROWS($1:2)),)="131",OFFSET(TH!K$1,SMALL(Dong14,ROWS($1:2)),),0))</f>
        <v>0</v>
      </c>
      <c r="I18" s="866">
        <f ca="1">IF(ROWS($1:2)&gt;COUNT(Dong14),0,IF(OFFSET(TH!N$1,SMALL(Dong14,ROWS($1:2)),)="131",OFFSET(TH!M$1,SMALL(Dong14,ROWS($1:2)),),0))</f>
        <v>193500000</v>
      </c>
      <c r="J18" s="867">
        <f ca="1">IF(ROWS($1:2)&gt;COUNT(Dong14),0,IF(OFFSET(TH!O$1,SMALL(Dong14,ROWS($1:2)),)="131",OFFSET(TH!K$1,SMALL(Dong14,ROWS($1:2)),),0))</f>
        <v>0</v>
      </c>
      <c r="K18" s="866">
        <f ca="1">IF(ROWS($1:2)&gt;COUNT(Dong14),0,IF(OFFSET(TH!O$1,SMALL(Dong14,ROWS($1:2)),)="131",OFFSET(TH!M$1,SMALL(Dong14,ROWS($1:2)),),0))</f>
        <v>0</v>
      </c>
      <c r="L18" s="860">
        <f t="shared" ca="1" si="1"/>
        <v>0</v>
      </c>
      <c r="M18" s="859">
        <f t="shared" ca="1" si="2"/>
        <v>520736000</v>
      </c>
      <c r="N18" s="860">
        <f t="shared" ca="1" si="3"/>
        <v>0</v>
      </c>
      <c r="O18" s="859">
        <f t="shared" ca="1" si="4"/>
        <v>0</v>
      </c>
    </row>
    <row r="19" spans="1:15" s="5" customFormat="1" ht="24" customHeight="1">
      <c r="A19" s="214">
        <f t="shared" ca="1" si="0"/>
        <v>42725</v>
      </c>
      <c r="B19" s="217" t="str">
        <f ca="1">IF(ROWS($1:3)&gt;COUNT(Dong14),"",OFFSET(TH!D$1,SMALL(Dong14,ROWS($1:3)),))</f>
        <v>TP/X14</v>
      </c>
      <c r="C19" s="214">
        <f ca="1">IF(ROWS($1:3)&gt;COUNT(Dong14),"",OFFSET(TH!E$1,SMALL(Dong14,ROWS($1:3)),))</f>
        <v>42725</v>
      </c>
      <c r="D19" s="868" t="str">
        <f ca="1">IF(ROWS($1:3)&gt;COUNT(Dong14),"",OFFSET(TH!F$1,SMALL(Dong14,ROWS($1:3)),))</f>
        <v>Khô cá đù</v>
      </c>
      <c r="E19" s="866" t="str">
        <f ca="1">IF(ROWS($1:3)&gt;COUNT(Dong14),"",IF(OFFSET(TH!N$1,SMALL(Dong14,ROWS($1:3)),)="131",OFFSET(TH!O$1,SMALL(Dong14,ROWS($1:3)),),OFFSET(TH!N$1,SMALL(Dong14,ROWS($1:3)),)))</f>
        <v>5112N</v>
      </c>
      <c r="F19" s="866">
        <f ca="1">IF(ROWS($1:3)&gt;COUNT(Dong14),0,OFFSET(TH!L$1,SMALL(Dong14,ROWS($1:3)),))</f>
        <v>0</v>
      </c>
      <c r="G19" s="866"/>
      <c r="H19" s="867">
        <f ca="1">IF(ROWS($1:3)&gt;COUNT(Dong14),0,IF(OFFSET(TH!N$1,SMALL(Dong14,ROWS($1:3)),)="131",OFFSET(TH!K$1,SMALL(Dong14,ROWS($1:3)),),0))</f>
        <v>0</v>
      </c>
      <c r="I19" s="866">
        <f ca="1">IF(ROWS($1:3)&gt;COUNT(Dong14),0,IF(OFFSET(TH!N$1,SMALL(Dong14,ROWS($1:3)),)="131",OFFSET(TH!M$1,SMALL(Dong14,ROWS($1:3)),),0))</f>
        <v>78570000</v>
      </c>
      <c r="J19" s="867">
        <f ca="1">IF(ROWS($1:3)&gt;COUNT(Dong14),0,IF(OFFSET(TH!O$1,SMALL(Dong14,ROWS($1:3)),)="131",OFFSET(TH!K$1,SMALL(Dong14,ROWS($1:3)),),0))</f>
        <v>0</v>
      </c>
      <c r="K19" s="866">
        <f ca="1">IF(ROWS($1:3)&gt;COUNT(Dong14),0,IF(OFFSET(TH!O$1,SMALL(Dong14,ROWS($1:3)),)="131",OFFSET(TH!M$1,SMALL(Dong14,ROWS($1:3)),),0))</f>
        <v>0</v>
      </c>
      <c r="L19" s="860">
        <f t="shared" ca="1" si="1"/>
        <v>0</v>
      </c>
      <c r="M19" s="859">
        <f t="shared" ca="1" si="2"/>
        <v>599306000</v>
      </c>
      <c r="N19" s="860">
        <f t="shared" ca="1" si="3"/>
        <v>0</v>
      </c>
      <c r="O19" s="859">
        <f t="shared" ca="1" si="4"/>
        <v>0</v>
      </c>
    </row>
    <row r="20" spans="1:15" s="5" customFormat="1" ht="24" customHeight="1">
      <c r="A20" s="214">
        <f t="shared" ca="1" si="0"/>
        <v>42734</v>
      </c>
      <c r="B20" s="217" t="str">
        <f ca="1">IF(ROWS($1:4)&gt;COUNT(Dong14),"",OFFSET(TH!D$1,SMALL(Dong14,ROWS($1:4)),))</f>
        <v>GBC</v>
      </c>
      <c r="C20" s="214">
        <f ca="1">IF(ROWS($1:4)&gt;COUNT(Dong14),"",OFFSET(TH!E$1,SMALL(Dong14,ROWS($1:4)),))</f>
        <v>42734</v>
      </c>
      <c r="D20" s="868" t="str">
        <f ca="1">IF(ROWS($1:4)&gt;COUNT(Dong14),"",OFFSET(TH!F$1,SMALL(Dong14,ROWS($1:4)),))</f>
        <v>Thu tiền hàng</v>
      </c>
      <c r="E20" s="866" t="str">
        <f ca="1">IF(ROWS($1:4)&gt;COUNT(Dong14),"",IF(OFFSET(TH!N$1,SMALL(Dong14,ROWS($1:4)),)="131",OFFSET(TH!O$1,SMALL(Dong14,ROWS($1:4)),),OFFSET(TH!N$1,SMALL(Dong14,ROWS($1:4)),)))</f>
        <v>1121</v>
      </c>
      <c r="F20" s="866">
        <f ca="1">IF(ROWS($1:4)&gt;COUNT(Dong14),0,OFFSET(TH!L$1,SMALL(Dong14,ROWS($1:4)),))</f>
        <v>0</v>
      </c>
      <c r="G20" s="866"/>
      <c r="H20" s="867">
        <f ca="1">IF(ROWS($1:4)&gt;COUNT(Dong14),0,IF(OFFSET(TH!N$1,SMALL(Dong14,ROWS($1:4)),)="131",OFFSET(TH!K$1,SMALL(Dong14,ROWS($1:4)),),0))</f>
        <v>0</v>
      </c>
      <c r="I20" s="866">
        <f ca="1">IF(ROWS($1:4)&gt;COUNT(Dong14),0,IF(OFFSET(TH!N$1,SMALL(Dong14,ROWS($1:4)),)="131",OFFSET(TH!M$1,SMALL(Dong14,ROWS($1:4)),),0))</f>
        <v>0</v>
      </c>
      <c r="J20" s="867">
        <f ca="1">IF(ROWS($1:4)&gt;COUNT(Dong14),0,IF(OFFSET(TH!O$1,SMALL(Dong14,ROWS($1:4)),)="131",OFFSET(TH!K$1,SMALL(Dong14,ROWS($1:4)),),0))</f>
        <v>0</v>
      </c>
      <c r="K20" s="866">
        <f ca="1">IF(ROWS($1:4)&gt;COUNT(Dong14),0,IF(OFFSET(TH!O$1,SMALL(Dong14,ROWS($1:4)),)="131",OFFSET(TH!M$1,SMALL(Dong14,ROWS($1:4)),),0))</f>
        <v>599306000</v>
      </c>
      <c r="L20" s="860">
        <f t="shared" ca="1" si="1"/>
        <v>0</v>
      </c>
      <c r="M20" s="859">
        <f t="shared" ca="1" si="2"/>
        <v>0</v>
      </c>
      <c r="N20" s="860">
        <f t="shared" ca="1" si="3"/>
        <v>0</v>
      </c>
      <c r="O20" s="859">
        <f t="shared" ca="1" si="4"/>
        <v>0</v>
      </c>
    </row>
    <row r="21" spans="1:15" s="5" customFormat="1" ht="24" customHeight="1">
      <c r="A21" s="214" t="str">
        <f t="shared" ca="1" si="0"/>
        <v/>
      </c>
      <c r="B21" s="217" t="str">
        <f ca="1">IF(ROWS($1:5)&gt;COUNT(Dong14),"",OFFSET(TH!D$1,SMALL(Dong14,ROWS($1:5)),))</f>
        <v/>
      </c>
      <c r="C21" s="214" t="str">
        <f ca="1">IF(ROWS($1:5)&gt;COUNT(Dong14),"",OFFSET(TH!E$1,SMALL(Dong14,ROWS($1:5)),))</f>
        <v/>
      </c>
      <c r="D21" s="868" t="str">
        <f ca="1">IF(ROWS($1:5)&gt;COUNT(Dong14),"",OFFSET(TH!F$1,SMALL(Dong14,ROWS($1:5)),))</f>
        <v/>
      </c>
      <c r="E21" s="866" t="str">
        <f ca="1">IF(ROWS($1:5)&gt;COUNT(Dong14),"",IF(OFFSET(TH!N$1,SMALL(Dong14,ROWS($1:5)),)="131",OFFSET(TH!O$1,SMALL(Dong14,ROWS($1:5)),),OFFSET(TH!N$1,SMALL(Dong14,ROWS($1:5)),)))</f>
        <v/>
      </c>
      <c r="F21" s="866">
        <f ca="1">IF(ROWS($1:5)&gt;COUNT(Dong14),0,OFFSET(TH!L$1,SMALL(Dong14,ROWS($1:5)),))</f>
        <v>0</v>
      </c>
      <c r="G21" s="866"/>
      <c r="H21" s="867">
        <f ca="1">IF(ROWS($1:5)&gt;COUNT(Dong14),0,IF(OFFSET(TH!N$1,SMALL(Dong14,ROWS($1:5)),)="131",OFFSET(TH!K$1,SMALL(Dong14,ROWS($1:5)),),0))</f>
        <v>0</v>
      </c>
      <c r="I21" s="866">
        <f ca="1">IF(ROWS($1:5)&gt;COUNT(Dong14),0,IF(OFFSET(TH!N$1,SMALL(Dong14,ROWS($1:5)),)="131",OFFSET(TH!M$1,SMALL(Dong14,ROWS($1:5)),),0))</f>
        <v>0</v>
      </c>
      <c r="J21" s="867">
        <f ca="1">IF(ROWS($1:5)&gt;COUNT(Dong14),0,IF(OFFSET(TH!O$1,SMALL(Dong14,ROWS($1:5)),)="131",OFFSET(TH!K$1,SMALL(Dong14,ROWS($1:5)),),0))</f>
        <v>0</v>
      </c>
      <c r="K21" s="866">
        <f ca="1">IF(ROWS($1:5)&gt;COUNT(Dong14),0,IF(OFFSET(TH!O$1,SMALL(Dong14,ROWS($1:5)),)="131",OFFSET(TH!M$1,SMALL(Dong14,ROWS($1:5)),),0))</f>
        <v>0</v>
      </c>
      <c r="L21" s="860">
        <f t="shared" ca="1" si="1"/>
        <v>0</v>
      </c>
      <c r="M21" s="859">
        <f t="shared" ca="1" si="2"/>
        <v>0</v>
      </c>
      <c r="N21" s="860">
        <f t="shared" ca="1" si="3"/>
        <v>0</v>
      </c>
      <c r="O21" s="859">
        <f t="shared" ca="1" si="4"/>
        <v>0</v>
      </c>
    </row>
    <row r="22" spans="1:15" s="5" customFormat="1" ht="24" customHeight="1">
      <c r="A22" s="214" t="str">
        <f t="shared" ca="1" si="0"/>
        <v/>
      </c>
      <c r="B22" s="217" t="str">
        <f ca="1">IF(ROWS($1:6)&gt;COUNT(Dong14),"",OFFSET(TH!D$1,SMALL(Dong14,ROWS($1:6)),))</f>
        <v/>
      </c>
      <c r="C22" s="214" t="str">
        <f ca="1">IF(ROWS($1:6)&gt;COUNT(Dong14),"",OFFSET(TH!E$1,SMALL(Dong14,ROWS($1:6)),))</f>
        <v/>
      </c>
      <c r="D22" s="868" t="str">
        <f ca="1">IF(ROWS($1:6)&gt;COUNT(Dong14),"",OFFSET(TH!F$1,SMALL(Dong14,ROWS($1:6)),))</f>
        <v/>
      </c>
      <c r="E22" s="866" t="str">
        <f ca="1">IF(ROWS($1:6)&gt;COUNT(Dong14),"",IF(OFFSET(TH!N$1,SMALL(Dong14,ROWS($1:6)),)="131",OFFSET(TH!O$1,SMALL(Dong14,ROWS($1:6)),),OFFSET(TH!N$1,SMALL(Dong14,ROWS($1:6)),)))</f>
        <v/>
      </c>
      <c r="F22" s="866">
        <f ca="1">IF(ROWS($1:6)&gt;COUNT(Dong14),0,OFFSET(TH!L$1,SMALL(Dong14,ROWS($1:6)),))</f>
        <v>0</v>
      </c>
      <c r="G22" s="866"/>
      <c r="H22" s="867">
        <f ca="1">IF(ROWS($1:6)&gt;COUNT(Dong14),0,IF(OFFSET(TH!N$1,SMALL(Dong14,ROWS($1:6)),)="131",OFFSET(TH!K$1,SMALL(Dong14,ROWS($1:6)),),0))</f>
        <v>0</v>
      </c>
      <c r="I22" s="866">
        <f ca="1">IF(ROWS($1:6)&gt;COUNT(Dong14),0,IF(OFFSET(TH!N$1,SMALL(Dong14,ROWS($1:6)),)="131",OFFSET(TH!M$1,SMALL(Dong14,ROWS($1:6)),),0))</f>
        <v>0</v>
      </c>
      <c r="J22" s="867">
        <f ca="1">IF(ROWS($1:6)&gt;COUNT(Dong14),0,IF(OFFSET(TH!O$1,SMALL(Dong14,ROWS($1:6)),)="131",OFFSET(TH!K$1,SMALL(Dong14,ROWS($1:6)),),0))</f>
        <v>0</v>
      </c>
      <c r="K22" s="866">
        <f ca="1">IF(ROWS($1:6)&gt;COUNT(Dong14),0,IF(OFFSET(TH!O$1,SMALL(Dong14,ROWS($1:6)),)="131",OFFSET(TH!M$1,SMALL(Dong14,ROWS($1:6)),),0))</f>
        <v>0</v>
      </c>
      <c r="L22" s="860">
        <f t="shared" ca="1" si="1"/>
        <v>0</v>
      </c>
      <c r="M22" s="859">
        <f t="shared" ca="1" si="2"/>
        <v>0</v>
      </c>
      <c r="N22" s="860">
        <f t="shared" ca="1" si="3"/>
        <v>0</v>
      </c>
      <c r="O22" s="859">
        <f t="shared" ca="1" si="4"/>
        <v>0</v>
      </c>
    </row>
    <row r="23" spans="1:15" s="5" customFormat="1" ht="24" hidden="1" customHeight="1">
      <c r="A23" s="214" t="str">
        <f t="shared" ca="1" si="0"/>
        <v/>
      </c>
      <c r="B23" s="217" t="str">
        <f ca="1">IF(ROWS($1:7)&gt;COUNT(Dong14),"",OFFSET(TH!D$1,SMALL(Dong14,ROWS($1:7)),))</f>
        <v/>
      </c>
      <c r="C23" s="214" t="str">
        <f ca="1">IF(ROWS($1:7)&gt;COUNT(Dong14),"",OFFSET(TH!E$1,SMALL(Dong14,ROWS($1:7)),))</f>
        <v/>
      </c>
      <c r="D23" s="868" t="str">
        <f ca="1">IF(ROWS($1:7)&gt;COUNT(Dong14),"",OFFSET(TH!F$1,SMALL(Dong14,ROWS($1:7)),))</f>
        <v/>
      </c>
      <c r="E23" s="866" t="str">
        <f ca="1">IF(ROWS($1:7)&gt;COUNT(Dong14),"",IF(OFFSET(TH!N$1,SMALL(Dong14,ROWS($1:7)),)="131",OFFSET(TH!O$1,SMALL(Dong14,ROWS($1:7)),),OFFSET(TH!N$1,SMALL(Dong14,ROWS($1:7)),)))</f>
        <v/>
      </c>
      <c r="F23" s="866">
        <f ca="1">IF(ROWS($1:7)&gt;COUNT(Dong14),0,OFFSET(TH!L$1,SMALL(Dong14,ROWS($1:7)),))</f>
        <v>0</v>
      </c>
      <c r="G23" s="866"/>
      <c r="H23" s="867">
        <f ca="1">IF(ROWS($1:7)&gt;COUNT(Dong14),0,IF(OFFSET(TH!N$1,SMALL(Dong14,ROWS($1:7)),)="131",OFFSET(TH!K$1,SMALL(Dong14,ROWS($1:7)),),0))</f>
        <v>0</v>
      </c>
      <c r="I23" s="866">
        <f ca="1">IF(ROWS($1:7)&gt;COUNT(Dong14),0,IF(OFFSET(TH!N$1,SMALL(Dong14,ROWS($1:7)),)="131",OFFSET(TH!M$1,SMALL(Dong14,ROWS($1:7)),),0))</f>
        <v>0</v>
      </c>
      <c r="J23" s="867">
        <f ca="1">IF(ROWS($1:7)&gt;COUNT(Dong14),0,IF(OFFSET(TH!O$1,SMALL(Dong14,ROWS($1:7)),)="131",OFFSET(TH!K$1,SMALL(Dong14,ROWS($1:7)),),0))</f>
        <v>0</v>
      </c>
      <c r="K23" s="866">
        <f ca="1">IF(ROWS($1:7)&gt;COUNT(Dong14),0,IF(OFFSET(TH!O$1,SMALL(Dong14,ROWS($1:7)),)="131",OFFSET(TH!M$1,SMALL(Dong14,ROWS($1:7)),),0))</f>
        <v>0</v>
      </c>
      <c r="L23" s="860">
        <f t="shared" ca="1" si="1"/>
        <v>0</v>
      </c>
      <c r="M23" s="859">
        <f t="shared" ca="1" si="2"/>
        <v>0</v>
      </c>
      <c r="N23" s="860">
        <f t="shared" ca="1" si="3"/>
        <v>0</v>
      </c>
      <c r="O23" s="859">
        <f t="shared" ca="1" si="4"/>
        <v>0</v>
      </c>
    </row>
    <row r="24" spans="1:15" s="5" customFormat="1" ht="24" hidden="1" customHeight="1">
      <c r="A24" s="214" t="str">
        <f t="shared" ca="1" si="0"/>
        <v/>
      </c>
      <c r="B24" s="217" t="str">
        <f ca="1">IF(ROWS($1:8)&gt;COUNT(Dong14),"",OFFSET(TH!D$1,SMALL(Dong14,ROWS($1:8)),))</f>
        <v/>
      </c>
      <c r="C24" s="214" t="str">
        <f ca="1">IF(ROWS($1:8)&gt;COUNT(Dong14),"",OFFSET(TH!E$1,SMALL(Dong14,ROWS($1:8)),))</f>
        <v/>
      </c>
      <c r="D24" s="868" t="str">
        <f ca="1">IF(ROWS($1:8)&gt;COUNT(Dong14),"",OFFSET(TH!F$1,SMALL(Dong14,ROWS($1:8)),))</f>
        <v/>
      </c>
      <c r="E24" s="866" t="str">
        <f ca="1">IF(ROWS($1:8)&gt;COUNT(Dong14),"",IF(OFFSET(TH!N$1,SMALL(Dong14,ROWS($1:8)),)="131",OFFSET(TH!O$1,SMALL(Dong14,ROWS($1:8)),),OFFSET(TH!N$1,SMALL(Dong14,ROWS($1:8)),)))</f>
        <v/>
      </c>
      <c r="F24" s="866">
        <f ca="1">IF(ROWS($1:8)&gt;COUNT(Dong14),0,OFFSET(TH!L$1,SMALL(Dong14,ROWS($1:8)),))</f>
        <v>0</v>
      </c>
      <c r="G24" s="866"/>
      <c r="H24" s="867">
        <f ca="1">IF(ROWS($1:8)&gt;COUNT(Dong14),0,IF(OFFSET(TH!N$1,SMALL(Dong14,ROWS($1:8)),)="131",OFFSET(TH!K$1,SMALL(Dong14,ROWS($1:8)),),0))</f>
        <v>0</v>
      </c>
      <c r="I24" s="866">
        <f ca="1">IF(ROWS($1:8)&gt;COUNT(Dong14),0,IF(OFFSET(TH!N$1,SMALL(Dong14,ROWS($1:8)),)="131",OFFSET(TH!M$1,SMALL(Dong14,ROWS($1:8)),),0))</f>
        <v>0</v>
      </c>
      <c r="J24" s="867">
        <f ca="1">IF(ROWS($1:8)&gt;COUNT(Dong14),0,IF(OFFSET(TH!O$1,SMALL(Dong14,ROWS($1:8)),)="131",OFFSET(TH!K$1,SMALL(Dong14,ROWS($1:8)),),0))</f>
        <v>0</v>
      </c>
      <c r="K24" s="866">
        <f ca="1">IF(ROWS($1:8)&gt;COUNT(Dong14),0,IF(OFFSET(TH!O$1,SMALL(Dong14,ROWS($1:8)),)="131",OFFSET(TH!M$1,SMALL(Dong14,ROWS($1:8)),),0))</f>
        <v>0</v>
      </c>
      <c r="L24" s="860">
        <f t="shared" ca="1" si="1"/>
        <v>0</v>
      </c>
      <c r="M24" s="859">
        <f t="shared" ca="1" si="2"/>
        <v>0</v>
      </c>
      <c r="N24" s="860">
        <f t="shared" ca="1" si="3"/>
        <v>0</v>
      </c>
      <c r="O24" s="859">
        <f t="shared" ca="1" si="4"/>
        <v>0</v>
      </c>
    </row>
    <row r="25" spans="1:15" s="5" customFormat="1" ht="24" hidden="1" customHeight="1">
      <c r="A25" s="214" t="str">
        <f t="shared" ca="1" si="0"/>
        <v/>
      </c>
      <c r="B25" s="217" t="str">
        <f ca="1">IF(ROWS($1:9)&gt;COUNT(Dong14),"",OFFSET(TH!D$1,SMALL(Dong14,ROWS($1:9)),))</f>
        <v/>
      </c>
      <c r="C25" s="214" t="str">
        <f ca="1">IF(ROWS($1:9)&gt;COUNT(Dong14),"",OFFSET(TH!E$1,SMALL(Dong14,ROWS($1:9)),))</f>
        <v/>
      </c>
      <c r="D25" s="868" t="str">
        <f ca="1">IF(ROWS($1:9)&gt;COUNT(Dong14),"",OFFSET(TH!F$1,SMALL(Dong14,ROWS($1:9)),))</f>
        <v/>
      </c>
      <c r="E25" s="866" t="str">
        <f ca="1">IF(ROWS($1:9)&gt;COUNT(Dong14),"",IF(OFFSET(TH!N$1,SMALL(Dong14,ROWS($1:9)),)="131",OFFSET(TH!O$1,SMALL(Dong14,ROWS($1:9)),),OFFSET(TH!N$1,SMALL(Dong14,ROWS($1:9)),)))</f>
        <v/>
      </c>
      <c r="F25" s="866">
        <f ca="1">IF(ROWS($1:9)&gt;COUNT(Dong14),0,OFFSET(TH!L$1,SMALL(Dong14,ROWS($1:9)),))</f>
        <v>0</v>
      </c>
      <c r="G25" s="866"/>
      <c r="H25" s="867">
        <f ca="1">IF(ROWS($1:9)&gt;COUNT(Dong14),0,IF(OFFSET(TH!N$1,SMALL(Dong14,ROWS($1:9)),)="131",OFFSET(TH!K$1,SMALL(Dong14,ROWS($1:9)),),0))</f>
        <v>0</v>
      </c>
      <c r="I25" s="866">
        <f ca="1">IF(ROWS($1:9)&gt;COUNT(Dong14),0,IF(OFFSET(TH!N$1,SMALL(Dong14,ROWS($1:9)),)="131",OFFSET(TH!M$1,SMALL(Dong14,ROWS($1:9)),),0))</f>
        <v>0</v>
      </c>
      <c r="J25" s="867">
        <f ca="1">IF(ROWS($1:9)&gt;COUNT(Dong14),0,IF(OFFSET(TH!O$1,SMALL(Dong14,ROWS($1:9)),)="131",OFFSET(TH!K$1,SMALL(Dong14,ROWS($1:9)),),0))</f>
        <v>0</v>
      </c>
      <c r="K25" s="866">
        <f ca="1">IF(ROWS($1:9)&gt;COUNT(Dong14),0,IF(OFFSET(TH!O$1,SMALL(Dong14,ROWS($1:9)),)="131",OFFSET(TH!M$1,SMALL(Dong14,ROWS($1:9)),),0))</f>
        <v>0</v>
      </c>
      <c r="L25" s="860">
        <f t="shared" ca="1" si="1"/>
        <v>0</v>
      </c>
      <c r="M25" s="859">
        <f t="shared" ca="1" si="2"/>
        <v>0</v>
      </c>
      <c r="N25" s="860">
        <f t="shared" ca="1" si="3"/>
        <v>0</v>
      </c>
      <c r="O25" s="859">
        <f t="shared" ca="1" si="4"/>
        <v>0</v>
      </c>
    </row>
    <row r="26" spans="1:15" s="5" customFormat="1" ht="24" hidden="1" customHeight="1">
      <c r="A26" s="214" t="str">
        <f t="shared" ca="1" si="0"/>
        <v/>
      </c>
      <c r="B26" s="217" t="str">
        <f ca="1">IF(ROWS($1:10)&gt;COUNT(Dong14),"",OFFSET(TH!D$1,SMALL(Dong14,ROWS($1:10)),))</f>
        <v/>
      </c>
      <c r="C26" s="214" t="str">
        <f ca="1">IF(ROWS($1:10)&gt;COUNT(Dong14),"",OFFSET(TH!E$1,SMALL(Dong14,ROWS($1:10)),))</f>
        <v/>
      </c>
      <c r="D26" s="868" t="str">
        <f ca="1">IF(ROWS($1:10)&gt;COUNT(Dong14),"",OFFSET(TH!F$1,SMALL(Dong14,ROWS($1:10)),))</f>
        <v/>
      </c>
      <c r="E26" s="866" t="str">
        <f ca="1">IF(ROWS($1:10)&gt;COUNT(Dong14),"",IF(OFFSET(TH!N$1,SMALL(Dong14,ROWS($1:10)),)="131",OFFSET(TH!O$1,SMALL(Dong14,ROWS($1:10)),),OFFSET(TH!N$1,SMALL(Dong14,ROWS($1:10)),)))</f>
        <v/>
      </c>
      <c r="F26" s="866">
        <f ca="1">IF(ROWS($1:10)&gt;COUNT(Dong14),0,OFFSET(TH!L$1,SMALL(Dong14,ROWS($1:10)),))</f>
        <v>0</v>
      </c>
      <c r="G26" s="866"/>
      <c r="H26" s="867">
        <f ca="1">IF(ROWS($1:10)&gt;COUNT(Dong14),0,IF(OFFSET(TH!N$1,SMALL(Dong14,ROWS($1:10)),)="131",OFFSET(TH!K$1,SMALL(Dong14,ROWS($1:10)),),0))</f>
        <v>0</v>
      </c>
      <c r="I26" s="866">
        <f ca="1">IF(ROWS($1:10)&gt;COUNT(Dong14),0,IF(OFFSET(TH!N$1,SMALL(Dong14,ROWS($1:10)),)="131",OFFSET(TH!M$1,SMALL(Dong14,ROWS($1:10)),),0))</f>
        <v>0</v>
      </c>
      <c r="J26" s="867">
        <f ca="1">IF(ROWS($1:10)&gt;COUNT(Dong14),0,IF(OFFSET(TH!O$1,SMALL(Dong14,ROWS($1:10)),)="131",OFFSET(TH!K$1,SMALL(Dong14,ROWS($1:10)),),0))</f>
        <v>0</v>
      </c>
      <c r="K26" s="866">
        <f ca="1">IF(ROWS($1:10)&gt;COUNT(Dong14),0,IF(OFFSET(TH!O$1,SMALL(Dong14,ROWS($1:10)),)="131",OFFSET(TH!M$1,SMALL(Dong14,ROWS($1:10)),),0))</f>
        <v>0</v>
      </c>
      <c r="L26" s="860">
        <f t="shared" ca="1" si="1"/>
        <v>0</v>
      </c>
      <c r="M26" s="859">
        <f t="shared" ca="1" si="2"/>
        <v>0</v>
      </c>
      <c r="N26" s="860">
        <f t="shared" ca="1" si="3"/>
        <v>0</v>
      </c>
      <c r="O26" s="859">
        <f t="shared" ca="1" si="4"/>
        <v>0</v>
      </c>
    </row>
    <row r="27" spans="1:15" s="5" customFormat="1" ht="24" hidden="1" customHeight="1">
      <c r="A27" s="214" t="str">
        <f t="shared" ca="1" si="0"/>
        <v/>
      </c>
      <c r="B27" s="217" t="str">
        <f ca="1">IF(ROWS($1:11)&gt;COUNT(Dong14),"",OFFSET(TH!D$1,SMALL(Dong14,ROWS($1:11)),))</f>
        <v/>
      </c>
      <c r="C27" s="214" t="str">
        <f ca="1">IF(ROWS($1:11)&gt;COUNT(Dong14),"",OFFSET(TH!E$1,SMALL(Dong14,ROWS($1:11)),))</f>
        <v/>
      </c>
      <c r="D27" s="868" t="str">
        <f ca="1">IF(ROWS($1:11)&gt;COUNT(Dong14),"",OFFSET(TH!F$1,SMALL(Dong14,ROWS($1:11)),))</f>
        <v/>
      </c>
      <c r="E27" s="866" t="str">
        <f ca="1">IF(ROWS($1:11)&gt;COUNT(Dong14),"",IF(OFFSET(TH!N$1,SMALL(Dong14,ROWS($1:11)),)="131",OFFSET(TH!O$1,SMALL(Dong14,ROWS($1:11)),),OFFSET(TH!N$1,SMALL(Dong14,ROWS($1:11)),)))</f>
        <v/>
      </c>
      <c r="F27" s="866">
        <f ca="1">IF(ROWS($1:11)&gt;COUNT(Dong14),0,OFFSET(TH!L$1,SMALL(Dong14,ROWS($1:11)),))</f>
        <v>0</v>
      </c>
      <c r="G27" s="866"/>
      <c r="H27" s="867">
        <f ca="1">IF(ROWS($1:11)&gt;COUNT(Dong14),0,IF(OFFSET(TH!N$1,SMALL(Dong14,ROWS($1:11)),)="131",OFFSET(TH!K$1,SMALL(Dong14,ROWS($1:11)),),0))</f>
        <v>0</v>
      </c>
      <c r="I27" s="866">
        <f ca="1">IF(ROWS($1:11)&gt;COUNT(Dong14),0,IF(OFFSET(TH!N$1,SMALL(Dong14,ROWS($1:11)),)="131",OFFSET(TH!M$1,SMALL(Dong14,ROWS($1:11)),),0))</f>
        <v>0</v>
      </c>
      <c r="J27" s="867">
        <f ca="1">IF(ROWS($1:11)&gt;COUNT(Dong14),0,IF(OFFSET(TH!O$1,SMALL(Dong14,ROWS($1:11)),)="131",OFFSET(TH!K$1,SMALL(Dong14,ROWS($1:11)),),0))</f>
        <v>0</v>
      </c>
      <c r="K27" s="866">
        <f ca="1">IF(ROWS($1:11)&gt;COUNT(Dong14),0,IF(OFFSET(TH!O$1,SMALL(Dong14,ROWS($1:11)),)="131",OFFSET(TH!M$1,SMALL(Dong14,ROWS($1:11)),),0))</f>
        <v>0</v>
      </c>
      <c r="L27" s="860">
        <f t="shared" ca="1" si="1"/>
        <v>0</v>
      </c>
      <c r="M27" s="859">
        <f t="shared" ca="1" si="2"/>
        <v>0</v>
      </c>
      <c r="N27" s="860">
        <f t="shared" ca="1" si="3"/>
        <v>0</v>
      </c>
      <c r="O27" s="859">
        <f t="shared" ca="1" si="4"/>
        <v>0</v>
      </c>
    </row>
    <row r="28" spans="1:15" s="5" customFormat="1" ht="24" hidden="1" customHeight="1">
      <c r="A28" s="214" t="str">
        <f t="shared" ca="1" si="0"/>
        <v/>
      </c>
      <c r="B28" s="217" t="str">
        <f ca="1">IF(ROWS($1:12)&gt;COUNT(Dong14),"",OFFSET(TH!D$1,SMALL(Dong14,ROWS($1:12)),))</f>
        <v/>
      </c>
      <c r="C28" s="214" t="str">
        <f ca="1">IF(ROWS($1:12)&gt;COUNT(Dong14),"",OFFSET(TH!E$1,SMALL(Dong14,ROWS($1:12)),))</f>
        <v/>
      </c>
      <c r="D28" s="868" t="str">
        <f ca="1">IF(ROWS($1:12)&gt;COUNT(Dong14),"",OFFSET(TH!F$1,SMALL(Dong14,ROWS($1:12)),))</f>
        <v/>
      </c>
      <c r="E28" s="866" t="str">
        <f ca="1">IF(ROWS($1:12)&gt;COUNT(Dong14),"",IF(OFFSET(TH!N$1,SMALL(Dong14,ROWS($1:12)),)="131",OFFSET(TH!O$1,SMALL(Dong14,ROWS($1:12)),),OFFSET(TH!N$1,SMALL(Dong14,ROWS($1:12)),)))</f>
        <v/>
      </c>
      <c r="F28" s="866">
        <f ca="1">IF(ROWS($1:12)&gt;COUNT(Dong14),0,OFFSET(TH!L$1,SMALL(Dong14,ROWS($1:12)),))</f>
        <v>0</v>
      </c>
      <c r="G28" s="866"/>
      <c r="H28" s="867">
        <f ca="1">IF(ROWS($1:12)&gt;COUNT(Dong14),0,IF(OFFSET(TH!N$1,SMALL(Dong14,ROWS($1:12)),)="131",OFFSET(TH!K$1,SMALL(Dong14,ROWS($1:12)),),0))</f>
        <v>0</v>
      </c>
      <c r="I28" s="866">
        <f ca="1">IF(ROWS($1:12)&gt;COUNT(Dong14),0,IF(OFFSET(TH!N$1,SMALL(Dong14,ROWS($1:12)),)="131",OFFSET(TH!M$1,SMALL(Dong14,ROWS($1:12)),),0))</f>
        <v>0</v>
      </c>
      <c r="J28" s="867">
        <f ca="1">IF(ROWS($1:12)&gt;COUNT(Dong14),0,IF(OFFSET(TH!O$1,SMALL(Dong14,ROWS($1:12)),)="131",OFFSET(TH!K$1,SMALL(Dong14,ROWS($1:12)),),0))</f>
        <v>0</v>
      </c>
      <c r="K28" s="866">
        <f ca="1">IF(ROWS($1:12)&gt;COUNT(Dong14),0,IF(OFFSET(TH!O$1,SMALL(Dong14,ROWS($1:12)),)="131",OFFSET(TH!M$1,SMALL(Dong14,ROWS($1:12)),),0))</f>
        <v>0</v>
      </c>
      <c r="L28" s="860">
        <f t="shared" ca="1" si="1"/>
        <v>0</v>
      </c>
      <c r="M28" s="859">
        <f t="shared" ca="1" si="2"/>
        <v>0</v>
      </c>
      <c r="N28" s="860">
        <f t="shared" ca="1" si="3"/>
        <v>0</v>
      </c>
      <c r="O28" s="859">
        <f t="shared" ca="1" si="4"/>
        <v>0</v>
      </c>
    </row>
    <row r="29" spans="1:15" s="5" customFormat="1" ht="24.75" hidden="1" customHeight="1">
      <c r="A29" s="214" t="str">
        <f t="shared" ca="1" si="0"/>
        <v/>
      </c>
      <c r="B29" s="217" t="str">
        <f ca="1">IF(ROWS($1:13)&gt;COUNT(Dong14),"",OFFSET(TH!D$1,SMALL(Dong14,ROWS($1:13)),))</f>
        <v/>
      </c>
      <c r="C29" s="214" t="str">
        <f ca="1">IF(ROWS($1:13)&gt;COUNT(Dong14),"",OFFSET(TH!E$1,SMALL(Dong14,ROWS($1:13)),))</f>
        <v/>
      </c>
      <c r="D29" s="868" t="str">
        <f ca="1">IF(ROWS($1:13)&gt;COUNT(Dong14),"",OFFSET(TH!F$1,SMALL(Dong14,ROWS($1:13)),))</f>
        <v/>
      </c>
      <c r="E29" s="866" t="str">
        <f ca="1">IF(ROWS($1:13)&gt;COUNT(Dong14),"",IF(OFFSET(TH!N$1,SMALL(Dong14,ROWS($1:13)),)="131",OFFSET(TH!O$1,SMALL(Dong14,ROWS($1:13)),),OFFSET(TH!N$1,SMALL(Dong14,ROWS($1:13)),)))</f>
        <v/>
      </c>
      <c r="F29" s="866">
        <f ca="1">IF(ROWS($1:13)&gt;COUNT(Dong14),0,OFFSET(TH!L$1,SMALL(Dong14,ROWS($1:13)),))</f>
        <v>0</v>
      </c>
      <c r="G29" s="866"/>
      <c r="H29" s="867">
        <f ca="1">IF(ROWS($1:13)&gt;COUNT(Dong14),0,IF(OFFSET(TH!N$1,SMALL(Dong14,ROWS($1:13)),)="131",OFFSET(TH!K$1,SMALL(Dong14,ROWS($1:13)),),0))</f>
        <v>0</v>
      </c>
      <c r="I29" s="866">
        <f ca="1">IF(ROWS($1:13)&gt;COUNT(Dong14),0,IF(OFFSET(TH!N$1,SMALL(Dong14,ROWS($1:13)),)="131",OFFSET(TH!M$1,SMALL(Dong14,ROWS($1:13)),),0))</f>
        <v>0</v>
      </c>
      <c r="J29" s="867">
        <f ca="1">IF(ROWS($1:13)&gt;COUNT(Dong14),0,IF(OFFSET(TH!O$1,SMALL(Dong14,ROWS($1:13)),)="131",OFFSET(TH!K$1,SMALL(Dong14,ROWS($1:13)),),0))</f>
        <v>0</v>
      </c>
      <c r="K29" s="866">
        <f ca="1">IF(ROWS($1:13)&gt;COUNT(Dong14),0,IF(OFFSET(TH!O$1,SMALL(Dong14,ROWS($1:13)),)="131",OFFSET(TH!M$1,SMALL(Dong14,ROWS($1:13)),),0))</f>
        <v>0</v>
      </c>
      <c r="L29" s="860">
        <f t="shared" ca="1" si="1"/>
        <v>0</v>
      </c>
      <c r="M29" s="859">
        <f t="shared" ca="1" si="2"/>
        <v>0</v>
      </c>
      <c r="N29" s="860">
        <f t="shared" ca="1" si="3"/>
        <v>0</v>
      </c>
      <c r="O29" s="859">
        <f t="shared" ca="1" si="4"/>
        <v>0</v>
      </c>
    </row>
    <row r="30" spans="1:15" s="5" customFormat="1" ht="24.75" hidden="1" customHeight="1">
      <c r="A30" s="214" t="str">
        <f t="shared" ca="1" si="0"/>
        <v/>
      </c>
      <c r="B30" s="217" t="str">
        <f ca="1">IF(ROWS($1:14)&gt;COUNT(Dong14),"",OFFSET(TH!D$1,SMALL(Dong14,ROWS($1:14)),))</f>
        <v/>
      </c>
      <c r="C30" s="214" t="str">
        <f ca="1">IF(ROWS($1:14)&gt;COUNT(Dong14),"",OFFSET(TH!E$1,SMALL(Dong14,ROWS($1:14)),))</f>
        <v/>
      </c>
      <c r="D30" s="868" t="str">
        <f ca="1">IF(ROWS($1:14)&gt;COUNT(Dong14),"",OFFSET(TH!F$1,SMALL(Dong14,ROWS($1:14)),))</f>
        <v/>
      </c>
      <c r="E30" s="866" t="str">
        <f ca="1">IF(ROWS($1:14)&gt;COUNT(Dong14),"",IF(OFFSET(TH!N$1,SMALL(Dong14,ROWS($1:14)),)="131",OFFSET(TH!O$1,SMALL(Dong14,ROWS($1:14)),),OFFSET(TH!N$1,SMALL(Dong14,ROWS($1:14)),)))</f>
        <v/>
      </c>
      <c r="F30" s="866">
        <f ca="1">IF(ROWS($1:14)&gt;COUNT(Dong14),0,OFFSET(TH!L$1,SMALL(Dong14,ROWS($1:14)),))</f>
        <v>0</v>
      </c>
      <c r="G30" s="866"/>
      <c r="H30" s="867">
        <f ca="1">IF(ROWS($1:14)&gt;COUNT(Dong14),0,IF(OFFSET(TH!N$1,SMALL(Dong14,ROWS($1:14)),)="131",OFFSET(TH!K$1,SMALL(Dong14,ROWS($1:14)),),0))</f>
        <v>0</v>
      </c>
      <c r="I30" s="866">
        <f ca="1">IF(ROWS($1:14)&gt;COUNT(Dong14),0,IF(OFFSET(TH!N$1,SMALL(Dong14,ROWS($1:14)),)="131",OFFSET(TH!M$1,SMALL(Dong14,ROWS($1:14)),),0))</f>
        <v>0</v>
      </c>
      <c r="J30" s="867">
        <f ca="1">IF(ROWS($1:14)&gt;COUNT(Dong14),0,IF(OFFSET(TH!O$1,SMALL(Dong14,ROWS($1:14)),)="131",OFFSET(TH!K$1,SMALL(Dong14,ROWS($1:14)),),0))</f>
        <v>0</v>
      </c>
      <c r="K30" s="866">
        <f ca="1">IF(ROWS($1:14)&gt;COUNT(Dong14),0,IF(OFFSET(TH!O$1,SMALL(Dong14,ROWS($1:14)),)="131",OFFSET(TH!M$1,SMALL(Dong14,ROWS($1:14)),),0))</f>
        <v>0</v>
      </c>
      <c r="L30" s="860">
        <f t="shared" ca="1" si="1"/>
        <v>0</v>
      </c>
      <c r="M30" s="859">
        <f t="shared" ca="1" si="2"/>
        <v>0</v>
      </c>
      <c r="N30" s="860">
        <f t="shared" ca="1" si="3"/>
        <v>0</v>
      </c>
      <c r="O30" s="859">
        <f t="shared" ca="1" si="4"/>
        <v>0</v>
      </c>
    </row>
    <row r="31" spans="1:15" s="5" customFormat="1" ht="24.75" hidden="1" customHeight="1">
      <c r="A31" s="214" t="str">
        <f t="shared" ca="1" si="0"/>
        <v/>
      </c>
      <c r="B31" s="217" t="str">
        <f ca="1">IF(ROWS($1:15)&gt;COUNT(Dong14),"",OFFSET(TH!D$1,SMALL(Dong14,ROWS($1:15)),))</f>
        <v/>
      </c>
      <c r="C31" s="214" t="str">
        <f ca="1">IF(ROWS($1:15)&gt;COUNT(Dong14),"",OFFSET(TH!E$1,SMALL(Dong14,ROWS($1:15)),))</f>
        <v/>
      </c>
      <c r="D31" s="868" t="str">
        <f ca="1">IF(ROWS($1:15)&gt;COUNT(Dong14),"",OFFSET(TH!F$1,SMALL(Dong14,ROWS($1:15)),))</f>
        <v/>
      </c>
      <c r="E31" s="866" t="str">
        <f ca="1">IF(ROWS($1:15)&gt;COUNT(Dong14),"",IF(OFFSET(TH!N$1,SMALL(Dong14,ROWS($1:15)),)="131",OFFSET(TH!O$1,SMALL(Dong14,ROWS($1:15)),),OFFSET(TH!N$1,SMALL(Dong14,ROWS($1:15)),)))</f>
        <v/>
      </c>
      <c r="F31" s="866">
        <f ca="1">IF(ROWS($1:15)&gt;COUNT(Dong14),0,OFFSET(TH!L$1,SMALL(Dong14,ROWS($1:15)),))</f>
        <v>0</v>
      </c>
      <c r="G31" s="866"/>
      <c r="H31" s="867">
        <f ca="1">IF(ROWS($1:15)&gt;COUNT(Dong14),0,IF(OFFSET(TH!N$1,SMALL(Dong14,ROWS($1:15)),)="131",OFFSET(TH!K$1,SMALL(Dong14,ROWS($1:15)),),0))</f>
        <v>0</v>
      </c>
      <c r="I31" s="866">
        <f ca="1">IF(ROWS($1:15)&gt;COUNT(Dong14),0,IF(OFFSET(TH!N$1,SMALL(Dong14,ROWS($1:15)),)="131",OFFSET(TH!M$1,SMALL(Dong14,ROWS($1:15)),),0))</f>
        <v>0</v>
      </c>
      <c r="J31" s="867">
        <f ca="1">IF(ROWS($1:15)&gt;COUNT(Dong14),0,IF(OFFSET(TH!O$1,SMALL(Dong14,ROWS($1:15)),)="131",OFFSET(TH!K$1,SMALL(Dong14,ROWS($1:15)),),0))</f>
        <v>0</v>
      </c>
      <c r="K31" s="866">
        <f ca="1">IF(ROWS($1:15)&gt;COUNT(Dong14),0,IF(OFFSET(TH!O$1,SMALL(Dong14,ROWS($1:15)),)="131",OFFSET(TH!M$1,SMALL(Dong14,ROWS($1:15)),),0))</f>
        <v>0</v>
      </c>
      <c r="L31" s="860">
        <f t="shared" ca="1" si="1"/>
        <v>0</v>
      </c>
      <c r="M31" s="859">
        <f t="shared" ca="1" si="2"/>
        <v>0</v>
      </c>
      <c r="N31" s="860">
        <f t="shared" ca="1" si="3"/>
        <v>0</v>
      </c>
      <c r="O31" s="859">
        <f t="shared" ca="1" si="4"/>
        <v>0</v>
      </c>
    </row>
    <row r="32" spans="1:15" s="5" customFormat="1" ht="24.75" hidden="1" customHeight="1">
      <c r="A32" s="214" t="str">
        <f t="shared" ca="1" si="0"/>
        <v/>
      </c>
      <c r="B32" s="217" t="str">
        <f ca="1">IF(ROWS($1:16)&gt;COUNT(Dong14),"",OFFSET(TH!D$1,SMALL(Dong14,ROWS($1:16)),))</f>
        <v/>
      </c>
      <c r="C32" s="214" t="str">
        <f ca="1">IF(ROWS($1:16)&gt;COUNT(Dong14),"",OFFSET(TH!E$1,SMALL(Dong14,ROWS($1:16)),))</f>
        <v/>
      </c>
      <c r="D32" s="868" t="str">
        <f ca="1">IF(ROWS($1:16)&gt;COUNT(Dong14),"",OFFSET(TH!F$1,SMALL(Dong14,ROWS($1:16)),))</f>
        <v/>
      </c>
      <c r="E32" s="866" t="str">
        <f ca="1">IF(ROWS($1:16)&gt;COUNT(Dong14),"",IF(OFFSET(TH!N$1,SMALL(Dong14,ROWS($1:16)),)="131",OFFSET(TH!O$1,SMALL(Dong14,ROWS($1:16)),),OFFSET(TH!N$1,SMALL(Dong14,ROWS($1:16)),)))</f>
        <v/>
      </c>
      <c r="F32" s="866">
        <f ca="1">IF(ROWS($1:16)&gt;COUNT(Dong14),0,OFFSET(TH!L$1,SMALL(Dong14,ROWS($1:16)),))</f>
        <v>0</v>
      </c>
      <c r="G32" s="866"/>
      <c r="H32" s="867">
        <f ca="1">IF(ROWS($1:16)&gt;COUNT(Dong14),0,IF(OFFSET(TH!N$1,SMALL(Dong14,ROWS($1:16)),)="131",OFFSET(TH!K$1,SMALL(Dong14,ROWS($1:16)),),0))</f>
        <v>0</v>
      </c>
      <c r="I32" s="866">
        <f ca="1">IF(ROWS($1:16)&gt;COUNT(Dong14),0,IF(OFFSET(TH!N$1,SMALL(Dong14,ROWS($1:16)),)="131",OFFSET(TH!M$1,SMALL(Dong14,ROWS($1:16)),),0))</f>
        <v>0</v>
      </c>
      <c r="J32" s="867">
        <f ca="1">IF(ROWS($1:16)&gt;COUNT(Dong14),0,IF(OFFSET(TH!O$1,SMALL(Dong14,ROWS($1:16)),)="131",OFFSET(TH!K$1,SMALL(Dong14,ROWS($1:16)),),0))</f>
        <v>0</v>
      </c>
      <c r="K32" s="866">
        <f ca="1">IF(ROWS($1:16)&gt;COUNT(Dong14),0,IF(OFFSET(TH!O$1,SMALL(Dong14,ROWS($1:16)),)="131",OFFSET(TH!M$1,SMALL(Dong14,ROWS($1:16)),),0))</f>
        <v>0</v>
      </c>
      <c r="L32" s="860">
        <f t="shared" ca="1" si="1"/>
        <v>0</v>
      </c>
      <c r="M32" s="859">
        <f t="shared" ca="1" si="2"/>
        <v>0</v>
      </c>
      <c r="N32" s="860">
        <f t="shared" ca="1" si="3"/>
        <v>0</v>
      </c>
      <c r="O32" s="859">
        <f t="shared" ca="1" si="4"/>
        <v>0</v>
      </c>
    </row>
    <row r="33" spans="1:15" s="5" customFormat="1" ht="24.75" hidden="1" customHeight="1">
      <c r="A33" s="214" t="str">
        <f t="shared" ca="1" si="0"/>
        <v/>
      </c>
      <c r="B33" s="217" t="str">
        <f ca="1">IF(ROWS($1:17)&gt;COUNT(Dong14),"",OFFSET(TH!D$1,SMALL(Dong14,ROWS($1:17)),))</f>
        <v/>
      </c>
      <c r="C33" s="214" t="str">
        <f ca="1">IF(ROWS($1:17)&gt;COUNT(Dong14),"",OFFSET(TH!E$1,SMALL(Dong14,ROWS($1:17)),))</f>
        <v/>
      </c>
      <c r="D33" s="868" t="str">
        <f ca="1">IF(ROWS($1:17)&gt;COUNT(Dong14),"",OFFSET(TH!F$1,SMALL(Dong14,ROWS($1:17)),))</f>
        <v/>
      </c>
      <c r="E33" s="866" t="str">
        <f ca="1">IF(ROWS($1:17)&gt;COUNT(Dong14),"",IF(OFFSET(TH!N$1,SMALL(Dong14,ROWS($1:17)),)="131",OFFSET(TH!O$1,SMALL(Dong14,ROWS($1:17)),),OFFSET(TH!N$1,SMALL(Dong14,ROWS($1:17)),)))</f>
        <v/>
      </c>
      <c r="F33" s="866">
        <f ca="1">IF(ROWS($1:17)&gt;COUNT(Dong14),0,OFFSET(TH!L$1,SMALL(Dong14,ROWS($1:17)),))</f>
        <v>0</v>
      </c>
      <c r="G33" s="866"/>
      <c r="H33" s="867">
        <f ca="1">IF(ROWS($1:17)&gt;COUNT(Dong14),0,IF(OFFSET(TH!N$1,SMALL(Dong14,ROWS($1:17)),)="131",OFFSET(TH!K$1,SMALL(Dong14,ROWS($1:17)),),0))</f>
        <v>0</v>
      </c>
      <c r="I33" s="866">
        <f ca="1">IF(ROWS($1:17)&gt;COUNT(Dong14),0,IF(OFFSET(TH!N$1,SMALL(Dong14,ROWS($1:17)),)="131",OFFSET(TH!M$1,SMALL(Dong14,ROWS($1:17)),),0))</f>
        <v>0</v>
      </c>
      <c r="J33" s="867">
        <f ca="1">IF(ROWS($1:17)&gt;COUNT(Dong14),0,IF(OFFSET(TH!O$1,SMALL(Dong14,ROWS($1:17)),)="131",OFFSET(TH!K$1,SMALL(Dong14,ROWS($1:17)),),0))</f>
        <v>0</v>
      </c>
      <c r="K33" s="866">
        <f ca="1">IF(ROWS($1:17)&gt;COUNT(Dong14),0,IF(OFFSET(TH!O$1,SMALL(Dong14,ROWS($1:17)),)="131",OFFSET(TH!M$1,SMALL(Dong14,ROWS($1:17)),),0))</f>
        <v>0</v>
      </c>
      <c r="L33" s="860">
        <f t="shared" ca="1" si="1"/>
        <v>0</v>
      </c>
      <c r="M33" s="859">
        <f t="shared" ca="1" si="2"/>
        <v>0</v>
      </c>
      <c r="N33" s="860">
        <f t="shared" ca="1" si="3"/>
        <v>0</v>
      </c>
      <c r="O33" s="859">
        <f t="shared" ca="1" si="4"/>
        <v>0</v>
      </c>
    </row>
    <row r="34" spans="1:15" s="5" customFormat="1" ht="24.75" hidden="1" customHeight="1">
      <c r="A34" s="214" t="str">
        <f t="shared" ca="1" si="0"/>
        <v/>
      </c>
      <c r="B34" s="217" t="str">
        <f ca="1">IF(ROWS($1:18)&gt;COUNT(Dong14),"",OFFSET(TH!D$1,SMALL(Dong14,ROWS($1:18)),))</f>
        <v/>
      </c>
      <c r="C34" s="214" t="str">
        <f ca="1">IF(ROWS($1:18)&gt;COUNT(Dong14),"",OFFSET(TH!E$1,SMALL(Dong14,ROWS($1:18)),))</f>
        <v/>
      </c>
      <c r="D34" s="868" t="str">
        <f ca="1">IF(ROWS($1:18)&gt;COUNT(Dong14),"",OFFSET(TH!F$1,SMALL(Dong14,ROWS($1:18)),))</f>
        <v/>
      </c>
      <c r="E34" s="866" t="str">
        <f ca="1">IF(ROWS($1:18)&gt;COUNT(Dong14),"",IF(OFFSET(TH!N$1,SMALL(Dong14,ROWS($1:18)),)="131",OFFSET(TH!O$1,SMALL(Dong14,ROWS($1:18)),),OFFSET(TH!N$1,SMALL(Dong14,ROWS($1:18)),)))</f>
        <v/>
      </c>
      <c r="F34" s="866">
        <f ca="1">IF(ROWS($1:18)&gt;COUNT(Dong14),0,OFFSET(TH!L$1,SMALL(Dong14,ROWS($1:18)),))</f>
        <v>0</v>
      </c>
      <c r="G34" s="866"/>
      <c r="H34" s="867">
        <f ca="1">IF(ROWS($1:18)&gt;COUNT(Dong14),0,IF(OFFSET(TH!N$1,SMALL(Dong14,ROWS($1:18)),)="131",OFFSET(TH!K$1,SMALL(Dong14,ROWS($1:18)),),0))</f>
        <v>0</v>
      </c>
      <c r="I34" s="866">
        <f ca="1">IF(ROWS($1:18)&gt;COUNT(Dong14),0,IF(OFFSET(TH!N$1,SMALL(Dong14,ROWS($1:18)),)="131",OFFSET(TH!M$1,SMALL(Dong14,ROWS($1:18)),),0))</f>
        <v>0</v>
      </c>
      <c r="J34" s="867">
        <f ca="1">IF(ROWS($1:18)&gt;COUNT(Dong14),0,IF(OFFSET(TH!O$1,SMALL(Dong14,ROWS($1:18)),)="131",OFFSET(TH!K$1,SMALL(Dong14,ROWS($1:18)),),0))</f>
        <v>0</v>
      </c>
      <c r="K34" s="866">
        <f ca="1">IF(ROWS($1:18)&gt;COUNT(Dong14),0,IF(OFFSET(TH!O$1,SMALL(Dong14,ROWS($1:18)),)="131",OFFSET(TH!M$1,SMALL(Dong14,ROWS($1:18)),),0))</f>
        <v>0</v>
      </c>
      <c r="L34" s="860">
        <f t="shared" ca="1" si="1"/>
        <v>0</v>
      </c>
      <c r="M34" s="859">
        <f t="shared" ca="1" si="2"/>
        <v>0</v>
      </c>
      <c r="N34" s="860">
        <f t="shared" ca="1" si="3"/>
        <v>0</v>
      </c>
      <c r="O34" s="859">
        <f t="shared" ca="1" si="4"/>
        <v>0</v>
      </c>
    </row>
    <row r="35" spans="1:15" s="5" customFormat="1" ht="24.75" hidden="1" customHeight="1">
      <c r="A35" s="214" t="str">
        <f t="shared" ca="1" si="0"/>
        <v/>
      </c>
      <c r="B35" s="217" t="str">
        <f ca="1">IF(ROWS($1:19)&gt;COUNT(Dong14),"",OFFSET(TH!D$1,SMALL(Dong14,ROWS($1:19)),))</f>
        <v/>
      </c>
      <c r="C35" s="214" t="str">
        <f ca="1">IF(ROWS($1:19)&gt;COUNT(Dong14),"",OFFSET(TH!E$1,SMALL(Dong14,ROWS($1:19)),))</f>
        <v/>
      </c>
      <c r="D35" s="868" t="str">
        <f ca="1">IF(ROWS($1:19)&gt;COUNT(Dong14),"",OFFSET(TH!F$1,SMALL(Dong14,ROWS($1:19)),))</f>
        <v/>
      </c>
      <c r="E35" s="866" t="str">
        <f ca="1">IF(ROWS($1:19)&gt;COUNT(Dong14),"",IF(OFFSET(TH!N$1,SMALL(Dong14,ROWS($1:19)),)="131",OFFSET(TH!O$1,SMALL(Dong14,ROWS($1:19)),),OFFSET(TH!N$1,SMALL(Dong14,ROWS($1:19)),)))</f>
        <v/>
      </c>
      <c r="F35" s="866">
        <f ca="1">IF(ROWS($1:19)&gt;COUNT(Dong14),0,OFFSET(TH!L$1,SMALL(Dong14,ROWS($1:19)),))</f>
        <v>0</v>
      </c>
      <c r="G35" s="866"/>
      <c r="H35" s="867">
        <f ca="1">IF(ROWS($1:19)&gt;COUNT(Dong14),0,IF(OFFSET(TH!N$1,SMALL(Dong14,ROWS($1:19)),)="131",OFFSET(TH!K$1,SMALL(Dong14,ROWS($1:19)),),0))</f>
        <v>0</v>
      </c>
      <c r="I35" s="866">
        <f ca="1">IF(ROWS($1:19)&gt;COUNT(Dong14),0,IF(OFFSET(TH!N$1,SMALL(Dong14,ROWS($1:19)),)="131",OFFSET(TH!M$1,SMALL(Dong14,ROWS($1:19)),),0))</f>
        <v>0</v>
      </c>
      <c r="J35" s="867">
        <f ca="1">IF(ROWS($1:19)&gt;COUNT(Dong14),0,IF(OFFSET(TH!O$1,SMALL(Dong14,ROWS($1:19)),)="131",OFFSET(TH!K$1,SMALL(Dong14,ROWS($1:19)),),0))</f>
        <v>0</v>
      </c>
      <c r="K35" s="866">
        <f ca="1">IF(ROWS($1:19)&gt;COUNT(Dong14),0,IF(OFFSET(TH!O$1,SMALL(Dong14,ROWS($1:19)),)="131",OFFSET(TH!M$1,SMALL(Dong14,ROWS($1:19)),),0))</f>
        <v>0</v>
      </c>
      <c r="L35" s="860">
        <f t="shared" ca="1" si="1"/>
        <v>0</v>
      </c>
      <c r="M35" s="859">
        <f t="shared" ca="1" si="2"/>
        <v>0</v>
      </c>
      <c r="N35" s="860">
        <f t="shared" ca="1" si="3"/>
        <v>0</v>
      </c>
      <c r="O35" s="859">
        <f t="shared" ca="1" si="4"/>
        <v>0</v>
      </c>
    </row>
    <row r="36" spans="1:15" s="5" customFormat="1" ht="24.75" hidden="1" customHeight="1">
      <c r="A36" s="214" t="str">
        <f t="shared" ca="1" si="0"/>
        <v/>
      </c>
      <c r="B36" s="217" t="str">
        <f ca="1">IF(ROWS($1:20)&gt;COUNT(Dong14),"",OFFSET(TH!D$1,SMALL(Dong14,ROWS($1:20)),))</f>
        <v/>
      </c>
      <c r="C36" s="214" t="str">
        <f ca="1">IF(ROWS($1:20)&gt;COUNT(Dong14),"",OFFSET(TH!E$1,SMALL(Dong14,ROWS($1:20)),))</f>
        <v/>
      </c>
      <c r="D36" s="868" t="str">
        <f ca="1">IF(ROWS($1:20)&gt;COUNT(Dong14),"",OFFSET(TH!F$1,SMALL(Dong14,ROWS($1:20)),))</f>
        <v/>
      </c>
      <c r="E36" s="866" t="str">
        <f ca="1">IF(ROWS($1:20)&gt;COUNT(Dong14),"",IF(OFFSET(TH!N$1,SMALL(Dong14,ROWS($1:20)),)="131",OFFSET(TH!O$1,SMALL(Dong14,ROWS($1:20)),),OFFSET(TH!N$1,SMALL(Dong14,ROWS($1:20)),)))</f>
        <v/>
      </c>
      <c r="F36" s="866">
        <f ca="1">IF(ROWS($1:20)&gt;COUNT(Dong14),0,OFFSET(TH!L$1,SMALL(Dong14,ROWS($1:20)),))</f>
        <v>0</v>
      </c>
      <c r="G36" s="866"/>
      <c r="H36" s="867">
        <f ca="1">IF(ROWS($1:20)&gt;COUNT(Dong14),0,IF(OFFSET(TH!N$1,SMALL(Dong14,ROWS($1:20)),)="131",OFFSET(TH!K$1,SMALL(Dong14,ROWS($1:20)),),0))</f>
        <v>0</v>
      </c>
      <c r="I36" s="866">
        <f ca="1">IF(ROWS($1:20)&gt;COUNT(Dong14),0,IF(OFFSET(TH!N$1,SMALL(Dong14,ROWS($1:20)),)="131",OFFSET(TH!M$1,SMALL(Dong14,ROWS($1:20)),),0))</f>
        <v>0</v>
      </c>
      <c r="J36" s="867">
        <f ca="1">IF(ROWS($1:20)&gt;COUNT(Dong14),0,IF(OFFSET(TH!O$1,SMALL(Dong14,ROWS($1:20)),)="131",OFFSET(TH!K$1,SMALL(Dong14,ROWS($1:20)),),0))</f>
        <v>0</v>
      </c>
      <c r="K36" s="866">
        <f ca="1">IF(ROWS($1:20)&gt;COUNT(Dong14),0,IF(OFFSET(TH!O$1,SMALL(Dong14,ROWS($1:20)),)="131",OFFSET(TH!M$1,SMALL(Dong14,ROWS($1:20)),),0))</f>
        <v>0</v>
      </c>
      <c r="L36" s="860">
        <f t="shared" ca="1" si="1"/>
        <v>0</v>
      </c>
      <c r="M36" s="859">
        <f t="shared" ca="1" si="2"/>
        <v>0</v>
      </c>
      <c r="N36" s="860">
        <f t="shared" ca="1" si="3"/>
        <v>0</v>
      </c>
      <c r="O36" s="859">
        <f t="shared" ca="1" si="4"/>
        <v>0</v>
      </c>
    </row>
    <row r="37" spans="1:15" s="5" customFormat="1" ht="24.75" hidden="1" customHeight="1">
      <c r="A37" s="214" t="str">
        <f t="shared" ca="1" si="0"/>
        <v/>
      </c>
      <c r="B37" s="217" t="str">
        <f ca="1">IF(ROWS($1:21)&gt;COUNT(Dong14),"",OFFSET(TH!D$1,SMALL(Dong14,ROWS($1:21)),))</f>
        <v/>
      </c>
      <c r="C37" s="214" t="str">
        <f ca="1">IF(ROWS($1:21)&gt;COUNT(Dong14),"",OFFSET(TH!E$1,SMALL(Dong14,ROWS($1:21)),))</f>
        <v/>
      </c>
      <c r="D37" s="868" t="str">
        <f ca="1">IF(ROWS($1:21)&gt;COUNT(Dong14),"",OFFSET(TH!F$1,SMALL(Dong14,ROWS($1:21)),))</f>
        <v/>
      </c>
      <c r="E37" s="866" t="str">
        <f ca="1">IF(ROWS($1:21)&gt;COUNT(Dong14),"",IF(OFFSET(TH!N$1,SMALL(Dong14,ROWS($1:21)),)="131",OFFSET(TH!O$1,SMALL(Dong14,ROWS($1:21)),),OFFSET(TH!N$1,SMALL(Dong14,ROWS($1:21)),)))</f>
        <v/>
      </c>
      <c r="F37" s="866">
        <f ca="1">IF(ROWS($1:21)&gt;COUNT(Dong14),0,OFFSET(TH!L$1,SMALL(Dong14,ROWS($1:21)),))</f>
        <v>0</v>
      </c>
      <c r="G37" s="866"/>
      <c r="H37" s="867">
        <f ca="1">IF(ROWS($1:21)&gt;COUNT(Dong14),0,IF(OFFSET(TH!N$1,SMALL(Dong14,ROWS($1:21)),)="131",OFFSET(TH!K$1,SMALL(Dong14,ROWS($1:21)),),0))</f>
        <v>0</v>
      </c>
      <c r="I37" s="866">
        <f ca="1">IF(ROWS($1:21)&gt;COUNT(Dong14),0,IF(OFFSET(TH!N$1,SMALL(Dong14,ROWS($1:21)),)="131",OFFSET(TH!M$1,SMALL(Dong14,ROWS($1:21)),),0))</f>
        <v>0</v>
      </c>
      <c r="J37" s="867">
        <f ca="1">IF(ROWS($1:21)&gt;COUNT(Dong14),0,IF(OFFSET(TH!O$1,SMALL(Dong14,ROWS($1:21)),)="131",OFFSET(TH!K$1,SMALL(Dong14,ROWS($1:21)),),0))</f>
        <v>0</v>
      </c>
      <c r="K37" s="866">
        <f ca="1">IF(ROWS($1:21)&gt;COUNT(Dong14),0,IF(OFFSET(TH!O$1,SMALL(Dong14,ROWS($1:21)),)="131",OFFSET(TH!M$1,SMALL(Dong14,ROWS($1:21)),),0))</f>
        <v>0</v>
      </c>
      <c r="L37" s="860">
        <f t="shared" ca="1" si="1"/>
        <v>0</v>
      </c>
      <c r="M37" s="859">
        <f t="shared" ca="1" si="2"/>
        <v>0</v>
      </c>
      <c r="N37" s="860">
        <f t="shared" ca="1" si="3"/>
        <v>0</v>
      </c>
      <c r="O37" s="859">
        <f t="shared" ca="1" si="4"/>
        <v>0</v>
      </c>
    </row>
    <row r="38" spans="1:15" s="5" customFormat="1" ht="24.75" hidden="1" customHeight="1">
      <c r="A38" s="214" t="str">
        <f t="shared" ca="1" si="0"/>
        <v/>
      </c>
      <c r="B38" s="217" t="str">
        <f ca="1">IF(ROWS($1:22)&gt;COUNT(Dong14),"",OFFSET(TH!D$1,SMALL(Dong14,ROWS($1:22)),))</f>
        <v/>
      </c>
      <c r="C38" s="214" t="str">
        <f ca="1">IF(ROWS($1:22)&gt;COUNT(Dong14),"",OFFSET(TH!E$1,SMALL(Dong14,ROWS($1:22)),))</f>
        <v/>
      </c>
      <c r="D38" s="868" t="str">
        <f ca="1">IF(ROWS($1:22)&gt;COUNT(Dong14),"",OFFSET(TH!F$1,SMALL(Dong14,ROWS($1:22)),))</f>
        <v/>
      </c>
      <c r="E38" s="866" t="str">
        <f ca="1">IF(ROWS($1:22)&gt;COUNT(Dong14),"",IF(OFFSET(TH!N$1,SMALL(Dong14,ROWS($1:22)),)="131",OFFSET(TH!O$1,SMALL(Dong14,ROWS($1:22)),),OFFSET(TH!N$1,SMALL(Dong14,ROWS($1:22)),)))</f>
        <v/>
      </c>
      <c r="F38" s="866">
        <f ca="1">IF(ROWS($1:22)&gt;COUNT(Dong14),0,OFFSET(TH!L$1,SMALL(Dong14,ROWS($1:22)),))</f>
        <v>0</v>
      </c>
      <c r="G38" s="866"/>
      <c r="H38" s="867">
        <f ca="1">IF(ROWS($1:22)&gt;COUNT(Dong14),0,IF(OFFSET(TH!N$1,SMALL(Dong14,ROWS($1:22)),)="131",OFFSET(TH!K$1,SMALL(Dong14,ROWS($1:22)),),0))</f>
        <v>0</v>
      </c>
      <c r="I38" s="866">
        <f ca="1">IF(ROWS($1:22)&gt;COUNT(Dong14),0,IF(OFFSET(TH!N$1,SMALL(Dong14,ROWS($1:22)),)="131",OFFSET(TH!M$1,SMALL(Dong14,ROWS($1:22)),),0))</f>
        <v>0</v>
      </c>
      <c r="J38" s="867">
        <f ca="1">IF(ROWS($1:22)&gt;COUNT(Dong14),0,IF(OFFSET(TH!O$1,SMALL(Dong14,ROWS($1:22)),)="131",OFFSET(TH!K$1,SMALL(Dong14,ROWS($1:22)),),0))</f>
        <v>0</v>
      </c>
      <c r="K38" s="866">
        <f ca="1">IF(ROWS($1:22)&gt;COUNT(Dong14),0,IF(OFFSET(TH!O$1,SMALL(Dong14,ROWS($1:22)),)="131",OFFSET(TH!M$1,SMALL(Dong14,ROWS($1:22)),),0))</f>
        <v>0</v>
      </c>
      <c r="L38" s="860">
        <f t="shared" ca="1" si="1"/>
        <v>0</v>
      </c>
      <c r="M38" s="859">
        <f t="shared" ca="1" si="2"/>
        <v>0</v>
      </c>
      <c r="N38" s="860">
        <f t="shared" ca="1" si="3"/>
        <v>0</v>
      </c>
      <c r="O38" s="859">
        <f t="shared" ca="1" si="4"/>
        <v>0</v>
      </c>
    </row>
    <row r="39" spans="1:15" s="5" customFormat="1" ht="24.75" hidden="1" customHeight="1">
      <c r="A39" s="214" t="str">
        <f t="shared" ca="1" si="0"/>
        <v/>
      </c>
      <c r="B39" s="217" t="str">
        <f ca="1">IF(ROWS($1:23)&gt;COUNT(Dong14),"",OFFSET(TH!D$1,SMALL(Dong14,ROWS($1:23)),))</f>
        <v/>
      </c>
      <c r="C39" s="214" t="str">
        <f ca="1">IF(ROWS($1:23)&gt;COUNT(Dong14),"",OFFSET(TH!E$1,SMALL(Dong14,ROWS($1:23)),))</f>
        <v/>
      </c>
      <c r="D39" s="868" t="str">
        <f ca="1">IF(ROWS($1:23)&gt;COUNT(Dong14),"",OFFSET(TH!F$1,SMALL(Dong14,ROWS($1:23)),))</f>
        <v/>
      </c>
      <c r="E39" s="866" t="str">
        <f ca="1">IF(ROWS($1:23)&gt;COUNT(Dong14),"",IF(OFFSET(TH!N$1,SMALL(Dong14,ROWS($1:23)),)="131",OFFSET(TH!O$1,SMALL(Dong14,ROWS($1:23)),),OFFSET(TH!N$1,SMALL(Dong14,ROWS($1:23)),)))</f>
        <v/>
      </c>
      <c r="F39" s="866">
        <f ca="1">IF(ROWS($1:23)&gt;COUNT(Dong14),0,OFFSET(TH!L$1,SMALL(Dong14,ROWS($1:23)),))</f>
        <v>0</v>
      </c>
      <c r="G39" s="866"/>
      <c r="H39" s="867">
        <f ca="1">IF(ROWS($1:23)&gt;COUNT(Dong14),0,IF(OFFSET(TH!N$1,SMALL(Dong14,ROWS($1:23)),)="131",OFFSET(TH!K$1,SMALL(Dong14,ROWS($1:23)),),0))</f>
        <v>0</v>
      </c>
      <c r="I39" s="866">
        <f ca="1">IF(ROWS($1:23)&gt;COUNT(Dong14),0,IF(OFFSET(TH!N$1,SMALL(Dong14,ROWS($1:23)),)="131",OFFSET(TH!M$1,SMALL(Dong14,ROWS($1:23)),),0))</f>
        <v>0</v>
      </c>
      <c r="J39" s="867">
        <f ca="1">IF(ROWS($1:23)&gt;COUNT(Dong14),0,IF(OFFSET(TH!O$1,SMALL(Dong14,ROWS($1:23)),)="131",OFFSET(TH!K$1,SMALL(Dong14,ROWS($1:23)),),0))</f>
        <v>0</v>
      </c>
      <c r="K39" s="866">
        <f ca="1">IF(ROWS($1:23)&gt;COUNT(Dong14),0,IF(OFFSET(TH!O$1,SMALL(Dong14,ROWS($1:23)),)="131",OFFSET(TH!M$1,SMALL(Dong14,ROWS($1:23)),),0))</f>
        <v>0</v>
      </c>
      <c r="L39" s="860">
        <f t="shared" ca="1" si="1"/>
        <v>0</v>
      </c>
      <c r="M39" s="859">
        <f t="shared" ca="1" si="2"/>
        <v>0</v>
      </c>
      <c r="N39" s="860">
        <f t="shared" ca="1" si="3"/>
        <v>0</v>
      </c>
      <c r="O39" s="859">
        <f t="shared" ca="1" si="4"/>
        <v>0</v>
      </c>
    </row>
    <row r="40" spans="1:15" s="5" customFormat="1" ht="24.75" hidden="1" customHeight="1">
      <c r="A40" s="214" t="str">
        <f t="shared" ca="1" si="0"/>
        <v/>
      </c>
      <c r="B40" s="217" t="str">
        <f ca="1">IF(ROWS($1:24)&gt;COUNT(Dong14),"",OFFSET(TH!D$1,SMALL(Dong14,ROWS($1:24)),))</f>
        <v/>
      </c>
      <c r="C40" s="214" t="str">
        <f ca="1">IF(ROWS($1:24)&gt;COUNT(Dong14),"",OFFSET(TH!E$1,SMALL(Dong14,ROWS($1:24)),))</f>
        <v/>
      </c>
      <c r="D40" s="868" t="str">
        <f ca="1">IF(ROWS($1:24)&gt;COUNT(Dong14),"",OFFSET(TH!F$1,SMALL(Dong14,ROWS($1:24)),))</f>
        <v/>
      </c>
      <c r="E40" s="866" t="str">
        <f ca="1">IF(ROWS($1:24)&gt;COUNT(Dong14),"",IF(OFFSET(TH!N$1,SMALL(Dong14,ROWS($1:24)),)="131",OFFSET(TH!O$1,SMALL(Dong14,ROWS($1:24)),),OFFSET(TH!N$1,SMALL(Dong14,ROWS($1:24)),)))</f>
        <v/>
      </c>
      <c r="F40" s="866">
        <f ca="1">IF(ROWS($1:24)&gt;COUNT(Dong14),0,OFFSET(TH!L$1,SMALL(Dong14,ROWS($1:24)),))</f>
        <v>0</v>
      </c>
      <c r="G40" s="866"/>
      <c r="H40" s="867">
        <f ca="1">IF(ROWS($1:24)&gt;COUNT(Dong14),0,IF(OFFSET(TH!N$1,SMALL(Dong14,ROWS($1:24)),)="131",OFFSET(TH!K$1,SMALL(Dong14,ROWS($1:24)),),0))</f>
        <v>0</v>
      </c>
      <c r="I40" s="866">
        <f ca="1">IF(ROWS($1:24)&gt;COUNT(Dong14),0,IF(OFFSET(TH!N$1,SMALL(Dong14,ROWS($1:24)),)="131",OFFSET(TH!M$1,SMALL(Dong14,ROWS($1:24)),),0))</f>
        <v>0</v>
      </c>
      <c r="J40" s="867">
        <f ca="1">IF(ROWS($1:24)&gt;COUNT(Dong14),0,IF(OFFSET(TH!O$1,SMALL(Dong14,ROWS($1:24)),)="131",OFFSET(TH!K$1,SMALL(Dong14,ROWS($1:24)),),0))</f>
        <v>0</v>
      </c>
      <c r="K40" s="866">
        <f ca="1">IF(ROWS($1:24)&gt;COUNT(Dong14),0,IF(OFFSET(TH!O$1,SMALL(Dong14,ROWS($1:24)),)="131",OFFSET(TH!M$1,SMALL(Dong14,ROWS($1:24)),),0))</f>
        <v>0</v>
      </c>
      <c r="L40" s="860">
        <f t="shared" ca="1" si="1"/>
        <v>0</v>
      </c>
      <c r="M40" s="859">
        <f t="shared" ca="1" si="2"/>
        <v>0</v>
      </c>
      <c r="N40" s="860">
        <f t="shared" ca="1" si="3"/>
        <v>0</v>
      </c>
      <c r="O40" s="859">
        <f t="shared" ca="1" si="4"/>
        <v>0</v>
      </c>
    </row>
    <row r="41" spans="1:15" s="5" customFormat="1" ht="24.75" hidden="1" customHeight="1">
      <c r="A41" s="214" t="str">
        <f t="shared" ca="1" si="0"/>
        <v/>
      </c>
      <c r="B41" s="217" t="str">
        <f ca="1">IF(ROWS($1:25)&gt;COUNT(Dong14),"",OFFSET(TH!D$1,SMALL(Dong14,ROWS($1:25)),))</f>
        <v/>
      </c>
      <c r="C41" s="214" t="str">
        <f ca="1">IF(ROWS($1:25)&gt;COUNT(Dong14),"",OFFSET(TH!E$1,SMALL(Dong14,ROWS($1:25)),))</f>
        <v/>
      </c>
      <c r="D41" s="868" t="str">
        <f ca="1">IF(ROWS($1:25)&gt;COUNT(Dong14),"",OFFSET(TH!F$1,SMALL(Dong14,ROWS($1:25)),))</f>
        <v/>
      </c>
      <c r="E41" s="866" t="str">
        <f ca="1">IF(ROWS($1:25)&gt;COUNT(Dong14),"",IF(OFFSET(TH!N$1,SMALL(Dong14,ROWS($1:25)),)="131",OFFSET(TH!O$1,SMALL(Dong14,ROWS($1:25)),),OFFSET(TH!N$1,SMALL(Dong14,ROWS($1:25)),)))</f>
        <v/>
      </c>
      <c r="F41" s="866">
        <f ca="1">IF(ROWS($1:25)&gt;COUNT(Dong14),0,OFFSET(TH!L$1,SMALL(Dong14,ROWS($1:25)),))</f>
        <v>0</v>
      </c>
      <c r="G41" s="866"/>
      <c r="H41" s="867">
        <f ca="1">IF(ROWS($1:25)&gt;COUNT(Dong14),0,IF(OFFSET(TH!N$1,SMALL(Dong14,ROWS($1:25)),)="131",OFFSET(TH!K$1,SMALL(Dong14,ROWS($1:25)),),0))</f>
        <v>0</v>
      </c>
      <c r="I41" s="866">
        <f ca="1">IF(ROWS($1:25)&gt;COUNT(Dong14),0,IF(OFFSET(TH!N$1,SMALL(Dong14,ROWS($1:25)),)="131",OFFSET(TH!M$1,SMALL(Dong14,ROWS($1:25)),),0))</f>
        <v>0</v>
      </c>
      <c r="J41" s="867">
        <f ca="1">IF(ROWS($1:25)&gt;COUNT(Dong14),0,IF(OFFSET(TH!O$1,SMALL(Dong14,ROWS($1:25)),)="131",OFFSET(TH!K$1,SMALL(Dong14,ROWS($1:25)),),0))</f>
        <v>0</v>
      </c>
      <c r="K41" s="866">
        <f ca="1">IF(ROWS($1:25)&gt;COUNT(Dong14),0,IF(OFFSET(TH!O$1,SMALL(Dong14,ROWS($1:25)),)="131",OFFSET(TH!M$1,SMALL(Dong14,ROWS($1:25)),),0))</f>
        <v>0</v>
      </c>
      <c r="L41" s="860">
        <f t="shared" ca="1" si="1"/>
        <v>0</v>
      </c>
      <c r="M41" s="859">
        <f t="shared" ca="1" si="2"/>
        <v>0</v>
      </c>
      <c r="N41" s="860">
        <f t="shared" ca="1" si="3"/>
        <v>0</v>
      </c>
      <c r="O41" s="859">
        <f t="shared" ca="1" si="4"/>
        <v>0</v>
      </c>
    </row>
    <row r="42" spans="1:15" s="5" customFormat="1" ht="24.75" hidden="1" customHeight="1">
      <c r="A42" s="214" t="str">
        <f t="shared" ca="1" si="0"/>
        <v/>
      </c>
      <c r="B42" s="217" t="str">
        <f ca="1">IF(ROWS($1:26)&gt;COUNT(Dong14),"",OFFSET(TH!D$1,SMALL(Dong14,ROWS($1:26)),))</f>
        <v/>
      </c>
      <c r="C42" s="214" t="str">
        <f ca="1">IF(ROWS($1:26)&gt;COUNT(Dong14),"",OFFSET(TH!E$1,SMALL(Dong14,ROWS($1:26)),))</f>
        <v/>
      </c>
      <c r="D42" s="868" t="str">
        <f ca="1">IF(ROWS($1:26)&gt;COUNT(Dong14),"",OFFSET(TH!F$1,SMALL(Dong14,ROWS($1:26)),))</f>
        <v/>
      </c>
      <c r="E42" s="866" t="str">
        <f ca="1">IF(ROWS($1:26)&gt;COUNT(Dong14),"",IF(OFFSET(TH!N$1,SMALL(Dong14,ROWS($1:26)),)="131",OFFSET(TH!O$1,SMALL(Dong14,ROWS($1:26)),),OFFSET(TH!N$1,SMALL(Dong14,ROWS($1:26)),)))</f>
        <v/>
      </c>
      <c r="F42" s="866">
        <f ca="1">IF(ROWS($1:26)&gt;COUNT(Dong14),0,OFFSET(TH!L$1,SMALL(Dong14,ROWS($1:26)),))</f>
        <v>0</v>
      </c>
      <c r="G42" s="866"/>
      <c r="H42" s="867">
        <f ca="1">IF(ROWS($1:26)&gt;COUNT(Dong14),0,IF(OFFSET(TH!N$1,SMALL(Dong14,ROWS($1:26)),)="131",OFFSET(TH!K$1,SMALL(Dong14,ROWS($1:26)),),0))</f>
        <v>0</v>
      </c>
      <c r="I42" s="866">
        <f ca="1">IF(ROWS($1:26)&gt;COUNT(Dong14),0,IF(OFFSET(TH!N$1,SMALL(Dong14,ROWS($1:26)),)="131",OFFSET(TH!M$1,SMALL(Dong14,ROWS($1:26)),),0))</f>
        <v>0</v>
      </c>
      <c r="J42" s="867">
        <f ca="1">IF(ROWS($1:26)&gt;COUNT(Dong14),0,IF(OFFSET(TH!O$1,SMALL(Dong14,ROWS($1:26)),)="131",OFFSET(TH!K$1,SMALL(Dong14,ROWS($1:26)),),0))</f>
        <v>0</v>
      </c>
      <c r="K42" s="866">
        <f ca="1">IF(ROWS($1:26)&gt;COUNT(Dong14),0,IF(OFFSET(TH!O$1,SMALL(Dong14,ROWS($1:26)),)="131",OFFSET(TH!M$1,SMALL(Dong14,ROWS($1:26)),),0))</f>
        <v>0</v>
      </c>
      <c r="L42" s="860">
        <f t="shared" ca="1" si="1"/>
        <v>0</v>
      </c>
      <c r="M42" s="859">
        <f t="shared" ca="1" si="2"/>
        <v>0</v>
      </c>
      <c r="N42" s="860">
        <f t="shared" ca="1" si="3"/>
        <v>0</v>
      </c>
      <c r="O42" s="859">
        <f t="shared" ca="1" si="4"/>
        <v>0</v>
      </c>
    </row>
    <row r="43" spans="1:15" s="5" customFormat="1" ht="24.75" hidden="1" customHeight="1">
      <c r="A43" s="214" t="str">
        <f t="shared" ca="1" si="0"/>
        <v/>
      </c>
      <c r="B43" s="217" t="str">
        <f ca="1">IF(ROWS($1:27)&gt;COUNT(Dong14),"",OFFSET(TH!D$1,SMALL(Dong14,ROWS($1:27)),))</f>
        <v/>
      </c>
      <c r="C43" s="214" t="str">
        <f ca="1">IF(ROWS($1:27)&gt;COUNT(Dong14),"",OFFSET(TH!E$1,SMALL(Dong14,ROWS($1:27)),))</f>
        <v/>
      </c>
      <c r="D43" s="868" t="str">
        <f ca="1">IF(ROWS($1:27)&gt;COUNT(Dong14),"",OFFSET(TH!F$1,SMALL(Dong14,ROWS($1:27)),))</f>
        <v/>
      </c>
      <c r="E43" s="866" t="str">
        <f ca="1">IF(ROWS($1:27)&gt;COUNT(Dong14),"",IF(OFFSET(TH!N$1,SMALL(Dong14,ROWS($1:27)),)="131",OFFSET(TH!O$1,SMALL(Dong14,ROWS($1:27)),),OFFSET(TH!N$1,SMALL(Dong14,ROWS($1:27)),)))</f>
        <v/>
      </c>
      <c r="F43" s="866">
        <f ca="1">IF(ROWS($1:27)&gt;COUNT(Dong14),0,OFFSET(TH!L$1,SMALL(Dong14,ROWS($1:27)),))</f>
        <v>0</v>
      </c>
      <c r="G43" s="866"/>
      <c r="H43" s="867">
        <f ca="1">IF(ROWS($1:27)&gt;COUNT(Dong14),0,IF(OFFSET(TH!N$1,SMALL(Dong14,ROWS($1:27)),)="131",OFFSET(TH!K$1,SMALL(Dong14,ROWS($1:27)),),0))</f>
        <v>0</v>
      </c>
      <c r="I43" s="866">
        <f ca="1">IF(ROWS($1:27)&gt;COUNT(Dong14),0,IF(OFFSET(TH!N$1,SMALL(Dong14,ROWS($1:27)),)="131",OFFSET(TH!M$1,SMALL(Dong14,ROWS($1:27)),),0))</f>
        <v>0</v>
      </c>
      <c r="J43" s="867">
        <f ca="1">IF(ROWS($1:27)&gt;COUNT(Dong14),0,IF(OFFSET(TH!O$1,SMALL(Dong14,ROWS($1:27)),)="131",OFFSET(TH!K$1,SMALL(Dong14,ROWS($1:27)),),0))</f>
        <v>0</v>
      </c>
      <c r="K43" s="866">
        <f ca="1">IF(ROWS($1:27)&gt;COUNT(Dong14),0,IF(OFFSET(TH!O$1,SMALL(Dong14,ROWS($1:27)),)="131",OFFSET(TH!M$1,SMALL(Dong14,ROWS($1:27)),),0))</f>
        <v>0</v>
      </c>
      <c r="L43" s="860">
        <f t="shared" ca="1" si="1"/>
        <v>0</v>
      </c>
      <c r="M43" s="859">
        <f t="shared" ca="1" si="2"/>
        <v>0</v>
      </c>
      <c r="N43" s="860">
        <f t="shared" ca="1" si="3"/>
        <v>0</v>
      </c>
      <c r="O43" s="859">
        <f t="shared" ca="1" si="4"/>
        <v>0</v>
      </c>
    </row>
    <row r="44" spans="1:15" s="5" customFormat="1" ht="24.75" hidden="1" customHeight="1">
      <c r="A44" s="214" t="str">
        <f t="shared" ca="1" si="0"/>
        <v/>
      </c>
      <c r="B44" s="217" t="str">
        <f ca="1">IF(ROWS($1:28)&gt;COUNT(Dong14),"",OFFSET(TH!D$1,SMALL(Dong14,ROWS($1:28)),))</f>
        <v/>
      </c>
      <c r="C44" s="214" t="str">
        <f ca="1">IF(ROWS($1:28)&gt;COUNT(Dong14),"",OFFSET(TH!E$1,SMALL(Dong14,ROWS($1:28)),))</f>
        <v/>
      </c>
      <c r="D44" s="868" t="str">
        <f ca="1">IF(ROWS($1:28)&gt;COUNT(Dong14),"",OFFSET(TH!F$1,SMALL(Dong14,ROWS($1:28)),))</f>
        <v/>
      </c>
      <c r="E44" s="866" t="str">
        <f ca="1">IF(ROWS($1:28)&gt;COUNT(Dong14),"",IF(OFFSET(TH!N$1,SMALL(Dong14,ROWS($1:28)),)="131",OFFSET(TH!O$1,SMALL(Dong14,ROWS($1:28)),),OFFSET(TH!N$1,SMALL(Dong14,ROWS($1:28)),)))</f>
        <v/>
      </c>
      <c r="F44" s="866">
        <f ca="1">IF(ROWS($1:28)&gt;COUNT(Dong14),0,OFFSET(TH!L$1,SMALL(Dong14,ROWS($1:28)),))</f>
        <v>0</v>
      </c>
      <c r="G44" s="866"/>
      <c r="H44" s="867">
        <f ca="1">IF(ROWS($1:28)&gt;COUNT(Dong14),0,IF(OFFSET(TH!N$1,SMALL(Dong14,ROWS($1:28)),)="131",OFFSET(TH!K$1,SMALL(Dong14,ROWS($1:28)),),0))</f>
        <v>0</v>
      </c>
      <c r="I44" s="866">
        <f ca="1">IF(ROWS($1:28)&gt;COUNT(Dong14),0,IF(OFFSET(TH!N$1,SMALL(Dong14,ROWS($1:28)),)="131",OFFSET(TH!M$1,SMALL(Dong14,ROWS($1:28)),),0))</f>
        <v>0</v>
      </c>
      <c r="J44" s="867">
        <f ca="1">IF(ROWS($1:28)&gt;COUNT(Dong14),0,IF(OFFSET(TH!O$1,SMALL(Dong14,ROWS($1:28)),)="131",OFFSET(TH!K$1,SMALL(Dong14,ROWS($1:28)),),0))</f>
        <v>0</v>
      </c>
      <c r="K44" s="866">
        <f ca="1">IF(ROWS($1:28)&gt;COUNT(Dong14),0,IF(OFFSET(TH!O$1,SMALL(Dong14,ROWS($1:28)),)="131",OFFSET(TH!M$1,SMALL(Dong14,ROWS($1:28)),),0))</f>
        <v>0</v>
      </c>
      <c r="L44" s="860">
        <f t="shared" ca="1" si="1"/>
        <v>0</v>
      </c>
      <c r="M44" s="859">
        <f t="shared" ca="1" si="2"/>
        <v>0</v>
      </c>
      <c r="N44" s="860">
        <f t="shared" ca="1" si="3"/>
        <v>0</v>
      </c>
      <c r="O44" s="859">
        <f t="shared" ca="1" si="4"/>
        <v>0</v>
      </c>
    </row>
    <row r="45" spans="1:15" s="5" customFormat="1" ht="24.75" hidden="1" customHeight="1">
      <c r="A45" s="214" t="str">
        <f t="shared" ca="1" si="0"/>
        <v/>
      </c>
      <c r="B45" s="217" t="str">
        <f ca="1">IF(ROWS($1:29)&gt;COUNT(Dong14),"",OFFSET(TH!D$1,SMALL(Dong14,ROWS($1:29)),))</f>
        <v/>
      </c>
      <c r="C45" s="214" t="str">
        <f ca="1">IF(ROWS($1:29)&gt;COUNT(Dong14),"",OFFSET(TH!E$1,SMALL(Dong14,ROWS($1:29)),))</f>
        <v/>
      </c>
      <c r="D45" s="868" t="str">
        <f ca="1">IF(ROWS($1:29)&gt;COUNT(Dong14),"",OFFSET(TH!F$1,SMALL(Dong14,ROWS($1:29)),))</f>
        <v/>
      </c>
      <c r="E45" s="866" t="str">
        <f ca="1">IF(ROWS($1:29)&gt;COUNT(Dong14),"",IF(OFFSET(TH!N$1,SMALL(Dong14,ROWS($1:29)),)="131",OFFSET(TH!O$1,SMALL(Dong14,ROWS($1:29)),),OFFSET(TH!N$1,SMALL(Dong14,ROWS($1:29)),)))</f>
        <v/>
      </c>
      <c r="F45" s="866">
        <f ca="1">IF(ROWS($1:29)&gt;COUNT(Dong14),0,OFFSET(TH!L$1,SMALL(Dong14,ROWS($1:29)),))</f>
        <v>0</v>
      </c>
      <c r="G45" s="866"/>
      <c r="H45" s="867">
        <f ca="1">IF(ROWS($1:29)&gt;COUNT(Dong14),0,IF(OFFSET(TH!N$1,SMALL(Dong14,ROWS($1:29)),)="131",OFFSET(TH!K$1,SMALL(Dong14,ROWS($1:29)),),0))</f>
        <v>0</v>
      </c>
      <c r="I45" s="866">
        <f ca="1">IF(ROWS($1:29)&gt;COUNT(Dong14),0,IF(OFFSET(TH!N$1,SMALL(Dong14,ROWS($1:29)),)="131",OFFSET(TH!M$1,SMALL(Dong14,ROWS($1:29)),),0))</f>
        <v>0</v>
      </c>
      <c r="J45" s="867">
        <f ca="1">IF(ROWS($1:29)&gt;COUNT(Dong14),0,IF(OFFSET(TH!O$1,SMALL(Dong14,ROWS($1:29)),)="131",OFFSET(TH!K$1,SMALL(Dong14,ROWS($1:29)),),0))</f>
        <v>0</v>
      </c>
      <c r="K45" s="866">
        <f ca="1">IF(ROWS($1:29)&gt;COUNT(Dong14),0,IF(OFFSET(TH!O$1,SMALL(Dong14,ROWS($1:29)),)="131",OFFSET(TH!M$1,SMALL(Dong14,ROWS($1:29)),),0))</f>
        <v>0</v>
      </c>
      <c r="L45" s="860">
        <f t="shared" ca="1" si="1"/>
        <v>0</v>
      </c>
      <c r="M45" s="859">
        <f t="shared" ca="1" si="2"/>
        <v>0</v>
      </c>
      <c r="N45" s="860">
        <f t="shared" ca="1" si="3"/>
        <v>0</v>
      </c>
      <c r="O45" s="859">
        <f t="shared" ca="1" si="4"/>
        <v>0</v>
      </c>
    </row>
    <row r="46" spans="1:15" s="5" customFormat="1" ht="24.75" hidden="1" customHeight="1">
      <c r="A46" s="214" t="str">
        <f t="shared" ca="1" si="0"/>
        <v/>
      </c>
      <c r="B46" s="217" t="str">
        <f ca="1">IF(ROWS($1:30)&gt;COUNT(Dong14),"",OFFSET(TH!D$1,SMALL(Dong14,ROWS($1:30)),))</f>
        <v/>
      </c>
      <c r="C46" s="214" t="str">
        <f ca="1">IF(ROWS($1:30)&gt;COUNT(Dong14),"",OFFSET(TH!E$1,SMALL(Dong14,ROWS($1:30)),))</f>
        <v/>
      </c>
      <c r="D46" s="868" t="str">
        <f ca="1">IF(ROWS($1:30)&gt;COUNT(Dong14),"",OFFSET(TH!F$1,SMALL(Dong14,ROWS($1:30)),))</f>
        <v/>
      </c>
      <c r="E46" s="866" t="str">
        <f ca="1">IF(ROWS($1:30)&gt;COUNT(Dong14),"",IF(OFFSET(TH!N$1,SMALL(Dong14,ROWS($1:30)),)="131",OFFSET(TH!O$1,SMALL(Dong14,ROWS($1:30)),),OFFSET(TH!N$1,SMALL(Dong14,ROWS($1:30)),)))</f>
        <v/>
      </c>
      <c r="F46" s="866">
        <f ca="1">IF(ROWS($1:30)&gt;COUNT(Dong14),0,OFFSET(TH!L$1,SMALL(Dong14,ROWS($1:30)),))</f>
        <v>0</v>
      </c>
      <c r="G46" s="866"/>
      <c r="H46" s="867">
        <f ca="1">IF(ROWS($1:30)&gt;COUNT(Dong14),0,IF(OFFSET(TH!N$1,SMALL(Dong14,ROWS($1:30)),)="131",OFFSET(TH!K$1,SMALL(Dong14,ROWS($1:30)),),0))</f>
        <v>0</v>
      </c>
      <c r="I46" s="866">
        <f ca="1">IF(ROWS($1:30)&gt;COUNT(Dong14),0,IF(OFFSET(TH!N$1,SMALL(Dong14,ROWS($1:30)),)="131",OFFSET(TH!M$1,SMALL(Dong14,ROWS($1:30)),),0))</f>
        <v>0</v>
      </c>
      <c r="J46" s="867">
        <f ca="1">IF(ROWS($1:30)&gt;COUNT(Dong14),0,IF(OFFSET(TH!O$1,SMALL(Dong14,ROWS($1:30)),)="131",OFFSET(TH!K$1,SMALL(Dong14,ROWS($1:30)),),0))</f>
        <v>0</v>
      </c>
      <c r="K46" s="866">
        <f ca="1">IF(ROWS($1:30)&gt;COUNT(Dong14),0,IF(OFFSET(TH!O$1,SMALL(Dong14,ROWS($1:30)),)="131",OFFSET(TH!M$1,SMALL(Dong14,ROWS($1:30)),),0))</f>
        <v>0</v>
      </c>
      <c r="L46" s="860">
        <f t="shared" ca="1" si="1"/>
        <v>0</v>
      </c>
      <c r="M46" s="859">
        <f t="shared" ca="1" si="2"/>
        <v>0</v>
      </c>
      <c r="N46" s="860">
        <f t="shared" ca="1" si="3"/>
        <v>0</v>
      </c>
      <c r="O46" s="859">
        <f t="shared" ca="1" si="4"/>
        <v>0</v>
      </c>
    </row>
    <row r="47" spans="1:15" s="5" customFormat="1" ht="24.75" hidden="1" customHeight="1">
      <c r="A47" s="214" t="str">
        <f t="shared" ca="1" si="0"/>
        <v/>
      </c>
      <c r="B47" s="217" t="str">
        <f ca="1">IF(ROWS($1:31)&gt;COUNT(Dong14),"",OFFSET(TH!D$1,SMALL(Dong14,ROWS($1:31)),))</f>
        <v/>
      </c>
      <c r="C47" s="214" t="str">
        <f ca="1">IF(ROWS($1:31)&gt;COUNT(Dong14),"",OFFSET(TH!E$1,SMALL(Dong14,ROWS($1:31)),))</f>
        <v/>
      </c>
      <c r="D47" s="868" t="str">
        <f ca="1">IF(ROWS($1:31)&gt;COUNT(Dong14),"",OFFSET(TH!F$1,SMALL(Dong14,ROWS($1:31)),))</f>
        <v/>
      </c>
      <c r="E47" s="866" t="str">
        <f ca="1">IF(ROWS($1:31)&gt;COUNT(Dong14),"",IF(OFFSET(TH!N$1,SMALL(Dong14,ROWS($1:31)),)="131",OFFSET(TH!O$1,SMALL(Dong14,ROWS($1:31)),),OFFSET(TH!N$1,SMALL(Dong14,ROWS($1:31)),)))</f>
        <v/>
      </c>
      <c r="F47" s="866">
        <f ca="1">IF(ROWS($1:31)&gt;COUNT(Dong14),0,OFFSET(TH!L$1,SMALL(Dong14,ROWS($1:31)),))</f>
        <v>0</v>
      </c>
      <c r="G47" s="866"/>
      <c r="H47" s="867">
        <f ca="1">IF(ROWS($1:31)&gt;COUNT(Dong14),0,IF(OFFSET(TH!N$1,SMALL(Dong14,ROWS($1:31)),)="131",OFFSET(TH!K$1,SMALL(Dong14,ROWS($1:31)),),0))</f>
        <v>0</v>
      </c>
      <c r="I47" s="866">
        <f ca="1">IF(ROWS($1:31)&gt;COUNT(Dong14),0,IF(OFFSET(TH!N$1,SMALL(Dong14,ROWS($1:31)),)="131",OFFSET(TH!M$1,SMALL(Dong14,ROWS($1:31)),),0))</f>
        <v>0</v>
      </c>
      <c r="J47" s="867">
        <f ca="1">IF(ROWS($1:31)&gt;COUNT(Dong14),0,IF(OFFSET(TH!O$1,SMALL(Dong14,ROWS($1:31)),)="131",OFFSET(TH!K$1,SMALL(Dong14,ROWS($1:31)),),0))</f>
        <v>0</v>
      </c>
      <c r="K47" s="866">
        <f ca="1">IF(ROWS($1:31)&gt;COUNT(Dong14),0,IF(OFFSET(TH!O$1,SMALL(Dong14,ROWS($1:31)),)="131",OFFSET(TH!M$1,SMALL(Dong14,ROWS($1:31)),),0))</f>
        <v>0</v>
      </c>
      <c r="L47" s="860">
        <f t="shared" ca="1" si="1"/>
        <v>0</v>
      </c>
      <c r="M47" s="859">
        <f t="shared" ca="1" si="2"/>
        <v>0</v>
      </c>
      <c r="N47" s="860">
        <f t="shared" ca="1" si="3"/>
        <v>0</v>
      </c>
      <c r="O47" s="859">
        <f t="shared" ca="1" si="4"/>
        <v>0</v>
      </c>
    </row>
    <row r="48" spans="1:15" s="5" customFormat="1" ht="24.75" hidden="1" customHeight="1">
      <c r="A48" s="214" t="str">
        <f t="shared" ca="1" si="0"/>
        <v/>
      </c>
      <c r="B48" s="217" t="str">
        <f ca="1">IF(ROWS($1:32)&gt;COUNT(Dong14),"",OFFSET(TH!D$1,SMALL(Dong14,ROWS($1:32)),))</f>
        <v/>
      </c>
      <c r="C48" s="214" t="str">
        <f ca="1">IF(ROWS($1:32)&gt;COUNT(Dong14),"",OFFSET(TH!E$1,SMALL(Dong14,ROWS($1:32)),))</f>
        <v/>
      </c>
      <c r="D48" s="868" t="str">
        <f ca="1">IF(ROWS($1:32)&gt;COUNT(Dong14),"",OFFSET(TH!F$1,SMALL(Dong14,ROWS($1:32)),))</f>
        <v/>
      </c>
      <c r="E48" s="866" t="str">
        <f ca="1">IF(ROWS($1:32)&gt;COUNT(Dong14),"",IF(OFFSET(TH!N$1,SMALL(Dong14,ROWS($1:32)),)="131",OFFSET(TH!O$1,SMALL(Dong14,ROWS($1:32)),),OFFSET(TH!N$1,SMALL(Dong14,ROWS($1:32)),)))</f>
        <v/>
      </c>
      <c r="F48" s="866">
        <f ca="1">IF(ROWS($1:32)&gt;COUNT(Dong14),0,OFFSET(TH!L$1,SMALL(Dong14,ROWS($1:32)),))</f>
        <v>0</v>
      </c>
      <c r="G48" s="866"/>
      <c r="H48" s="867">
        <f ca="1">IF(ROWS($1:32)&gt;COUNT(Dong14),0,IF(OFFSET(TH!N$1,SMALL(Dong14,ROWS($1:32)),)="131",OFFSET(TH!K$1,SMALL(Dong14,ROWS($1:32)),),0))</f>
        <v>0</v>
      </c>
      <c r="I48" s="866">
        <f ca="1">IF(ROWS($1:32)&gt;COUNT(Dong14),0,IF(OFFSET(TH!N$1,SMALL(Dong14,ROWS($1:32)),)="131",OFFSET(TH!M$1,SMALL(Dong14,ROWS($1:32)),),0))</f>
        <v>0</v>
      </c>
      <c r="J48" s="867">
        <f ca="1">IF(ROWS($1:32)&gt;COUNT(Dong14),0,IF(OFFSET(TH!O$1,SMALL(Dong14,ROWS($1:32)),)="131",OFFSET(TH!K$1,SMALL(Dong14,ROWS($1:32)),),0))</f>
        <v>0</v>
      </c>
      <c r="K48" s="866">
        <f ca="1">IF(ROWS($1:32)&gt;COUNT(Dong14),0,IF(OFFSET(TH!O$1,SMALL(Dong14,ROWS($1:32)),)="131",OFFSET(TH!M$1,SMALL(Dong14,ROWS($1:32)),),0))</f>
        <v>0</v>
      </c>
      <c r="L48" s="860">
        <f t="shared" ca="1" si="1"/>
        <v>0</v>
      </c>
      <c r="M48" s="859">
        <f t="shared" ca="1" si="2"/>
        <v>0</v>
      </c>
      <c r="N48" s="860">
        <f t="shared" ca="1" si="3"/>
        <v>0</v>
      </c>
      <c r="O48" s="859">
        <f t="shared" ca="1" si="4"/>
        <v>0</v>
      </c>
    </row>
    <row r="49" spans="1:15" s="5" customFormat="1" ht="24.75" hidden="1" customHeight="1">
      <c r="A49" s="214" t="str">
        <f t="shared" ref="A49:A78" ca="1" si="5">IF(C49&lt;&gt;"",C49,"")</f>
        <v/>
      </c>
      <c r="B49" s="217" t="str">
        <f ca="1">IF(ROWS($1:33)&gt;COUNT(Dong14),"",OFFSET(TH!D$1,SMALL(Dong14,ROWS($1:33)),))</f>
        <v/>
      </c>
      <c r="C49" s="214" t="str">
        <f ca="1">IF(ROWS($1:33)&gt;COUNT(Dong14),"",OFFSET(TH!E$1,SMALL(Dong14,ROWS($1:33)),))</f>
        <v/>
      </c>
      <c r="D49" s="868" t="str">
        <f ca="1">IF(ROWS($1:33)&gt;COUNT(Dong14),"",OFFSET(TH!F$1,SMALL(Dong14,ROWS($1:33)),))</f>
        <v/>
      </c>
      <c r="E49" s="866" t="str">
        <f ca="1">IF(ROWS($1:33)&gt;COUNT(Dong14),"",IF(OFFSET(TH!N$1,SMALL(Dong14,ROWS($1:33)),)="131",OFFSET(TH!O$1,SMALL(Dong14,ROWS($1:33)),),OFFSET(TH!N$1,SMALL(Dong14,ROWS($1:33)),)))</f>
        <v/>
      </c>
      <c r="F49" s="866">
        <f ca="1">IF(ROWS($1:33)&gt;COUNT(Dong14),0,OFFSET(TH!L$1,SMALL(Dong14,ROWS($1:33)),))</f>
        <v>0</v>
      </c>
      <c r="G49" s="866"/>
      <c r="H49" s="867">
        <f ca="1">IF(ROWS($1:33)&gt;COUNT(Dong14),0,IF(OFFSET(TH!N$1,SMALL(Dong14,ROWS($1:33)),)="131",OFFSET(TH!K$1,SMALL(Dong14,ROWS($1:33)),),0))</f>
        <v>0</v>
      </c>
      <c r="I49" s="866">
        <f ca="1">IF(ROWS($1:33)&gt;COUNT(Dong14),0,IF(OFFSET(TH!N$1,SMALL(Dong14,ROWS($1:33)),)="131",OFFSET(TH!M$1,SMALL(Dong14,ROWS($1:33)),),0))</f>
        <v>0</v>
      </c>
      <c r="J49" s="867">
        <f ca="1">IF(ROWS($1:33)&gt;COUNT(Dong14),0,IF(OFFSET(TH!O$1,SMALL(Dong14,ROWS($1:33)),)="131",OFFSET(TH!K$1,SMALL(Dong14,ROWS($1:33)),),0))</f>
        <v>0</v>
      </c>
      <c r="K49" s="866">
        <f ca="1">IF(ROWS($1:33)&gt;COUNT(Dong14),0,IF(OFFSET(TH!O$1,SMALL(Dong14,ROWS($1:33)),)="131",OFFSET(TH!M$1,SMALL(Dong14,ROWS($1:33)),),0))</f>
        <v>0</v>
      </c>
      <c r="L49" s="860">
        <f t="shared" ref="L49:L78" ca="1" si="6">IF(D49&lt;&gt;"",ROUND(MAX(L48+H49-J49-N48,0),2),0)</f>
        <v>0</v>
      </c>
      <c r="M49" s="859">
        <f t="shared" ref="M49:M78" ca="1" si="7">IF(D49&lt;&gt;"",MAX(M48-O48+I49-K49,0),0)</f>
        <v>0</v>
      </c>
      <c r="N49" s="860">
        <f t="shared" ref="N49:N78" ca="1" si="8">IF(D49&lt;&gt;"",ROUND(MAX(N48+J49-H49-L48,0),2),0)</f>
        <v>0</v>
      </c>
      <c r="O49" s="859">
        <f t="shared" ref="O49:O78" ca="1" si="9">IF(D49&lt;&gt;"",MAX(O48-M48+K49-I49,0),0)</f>
        <v>0</v>
      </c>
    </row>
    <row r="50" spans="1:15" s="5" customFormat="1" ht="24.75" hidden="1" customHeight="1">
      <c r="A50" s="214" t="str">
        <f t="shared" ca="1" si="5"/>
        <v/>
      </c>
      <c r="B50" s="217" t="str">
        <f ca="1">IF(ROWS($1:34)&gt;COUNT(Dong14),"",OFFSET(TH!D$1,SMALL(Dong14,ROWS($1:34)),))</f>
        <v/>
      </c>
      <c r="C50" s="214" t="str">
        <f ca="1">IF(ROWS($1:34)&gt;COUNT(Dong14),"",OFFSET(TH!E$1,SMALL(Dong14,ROWS($1:34)),))</f>
        <v/>
      </c>
      <c r="D50" s="868" t="str">
        <f ca="1">IF(ROWS($1:34)&gt;COUNT(Dong14),"",OFFSET(TH!F$1,SMALL(Dong14,ROWS($1:34)),))</f>
        <v/>
      </c>
      <c r="E50" s="866" t="str">
        <f ca="1">IF(ROWS($1:34)&gt;COUNT(Dong14),"",IF(OFFSET(TH!N$1,SMALL(Dong14,ROWS($1:34)),)="131",OFFSET(TH!O$1,SMALL(Dong14,ROWS($1:34)),),OFFSET(TH!N$1,SMALL(Dong14,ROWS($1:34)),)))</f>
        <v/>
      </c>
      <c r="F50" s="866">
        <f ca="1">IF(ROWS($1:34)&gt;COUNT(Dong14),0,OFFSET(TH!L$1,SMALL(Dong14,ROWS($1:34)),))</f>
        <v>0</v>
      </c>
      <c r="G50" s="866"/>
      <c r="H50" s="867">
        <f ca="1">IF(ROWS($1:34)&gt;COUNT(Dong14),0,IF(OFFSET(TH!N$1,SMALL(Dong14,ROWS($1:34)),)="131",OFFSET(TH!K$1,SMALL(Dong14,ROWS($1:34)),),0))</f>
        <v>0</v>
      </c>
      <c r="I50" s="866">
        <f ca="1">IF(ROWS($1:34)&gt;COUNT(Dong14),0,IF(OFFSET(TH!N$1,SMALL(Dong14,ROWS($1:34)),)="131",OFFSET(TH!M$1,SMALL(Dong14,ROWS($1:34)),),0))</f>
        <v>0</v>
      </c>
      <c r="J50" s="867">
        <f ca="1">IF(ROWS($1:34)&gt;COUNT(Dong14),0,IF(OFFSET(TH!O$1,SMALL(Dong14,ROWS($1:34)),)="131",OFFSET(TH!K$1,SMALL(Dong14,ROWS($1:34)),),0))</f>
        <v>0</v>
      </c>
      <c r="K50" s="866">
        <f ca="1">IF(ROWS($1:34)&gt;COUNT(Dong14),0,IF(OFFSET(TH!O$1,SMALL(Dong14,ROWS($1:34)),)="131",OFFSET(TH!M$1,SMALL(Dong14,ROWS($1:34)),),0))</f>
        <v>0</v>
      </c>
      <c r="L50" s="860">
        <f t="shared" ca="1" si="6"/>
        <v>0</v>
      </c>
      <c r="M50" s="859">
        <f t="shared" ca="1" si="7"/>
        <v>0</v>
      </c>
      <c r="N50" s="860">
        <f t="shared" ca="1" si="8"/>
        <v>0</v>
      </c>
      <c r="O50" s="859">
        <f t="shared" ca="1" si="9"/>
        <v>0</v>
      </c>
    </row>
    <row r="51" spans="1:15" s="5" customFormat="1" ht="24.75" hidden="1" customHeight="1">
      <c r="A51" s="214" t="str">
        <f t="shared" ca="1" si="5"/>
        <v/>
      </c>
      <c r="B51" s="217" t="str">
        <f ca="1">IF(ROWS($1:35)&gt;COUNT(Dong14),"",OFFSET(TH!D$1,SMALL(Dong14,ROWS($1:35)),))</f>
        <v/>
      </c>
      <c r="C51" s="214" t="str">
        <f ca="1">IF(ROWS($1:35)&gt;COUNT(Dong14),"",OFFSET(TH!E$1,SMALL(Dong14,ROWS($1:35)),))</f>
        <v/>
      </c>
      <c r="D51" s="868" t="str">
        <f ca="1">IF(ROWS($1:35)&gt;COUNT(Dong14),"",OFFSET(TH!F$1,SMALL(Dong14,ROWS($1:35)),))</f>
        <v/>
      </c>
      <c r="E51" s="866" t="str">
        <f ca="1">IF(ROWS($1:35)&gt;COUNT(Dong14),"",IF(OFFSET(TH!N$1,SMALL(Dong14,ROWS($1:35)),)="131",OFFSET(TH!O$1,SMALL(Dong14,ROWS($1:35)),),OFFSET(TH!N$1,SMALL(Dong14,ROWS($1:35)),)))</f>
        <v/>
      </c>
      <c r="F51" s="866">
        <f ca="1">IF(ROWS($1:35)&gt;COUNT(Dong14),0,OFFSET(TH!L$1,SMALL(Dong14,ROWS($1:35)),))</f>
        <v>0</v>
      </c>
      <c r="G51" s="866"/>
      <c r="H51" s="867">
        <f ca="1">IF(ROWS($1:35)&gt;COUNT(Dong14),0,IF(OFFSET(TH!N$1,SMALL(Dong14,ROWS($1:35)),)="131",OFFSET(TH!K$1,SMALL(Dong14,ROWS($1:35)),),0))</f>
        <v>0</v>
      </c>
      <c r="I51" s="866">
        <f ca="1">IF(ROWS($1:35)&gt;COUNT(Dong14),0,IF(OFFSET(TH!N$1,SMALL(Dong14,ROWS($1:35)),)="131",OFFSET(TH!M$1,SMALL(Dong14,ROWS($1:35)),),0))</f>
        <v>0</v>
      </c>
      <c r="J51" s="867">
        <f ca="1">IF(ROWS($1:35)&gt;COUNT(Dong14),0,IF(OFFSET(TH!O$1,SMALL(Dong14,ROWS($1:35)),)="131",OFFSET(TH!K$1,SMALL(Dong14,ROWS($1:35)),),0))</f>
        <v>0</v>
      </c>
      <c r="K51" s="866">
        <f ca="1">IF(ROWS($1:35)&gt;COUNT(Dong14),0,IF(OFFSET(TH!O$1,SMALL(Dong14,ROWS($1:35)),)="131",OFFSET(TH!M$1,SMALL(Dong14,ROWS($1:35)),),0))</f>
        <v>0</v>
      </c>
      <c r="L51" s="860">
        <f t="shared" ca="1" si="6"/>
        <v>0</v>
      </c>
      <c r="M51" s="859">
        <f t="shared" ca="1" si="7"/>
        <v>0</v>
      </c>
      <c r="N51" s="860">
        <f t="shared" ca="1" si="8"/>
        <v>0</v>
      </c>
      <c r="O51" s="859">
        <f t="shared" ca="1" si="9"/>
        <v>0</v>
      </c>
    </row>
    <row r="52" spans="1:15" s="5" customFormat="1" ht="24.75" hidden="1" customHeight="1">
      <c r="A52" s="214" t="str">
        <f t="shared" ca="1" si="5"/>
        <v/>
      </c>
      <c r="B52" s="217" t="str">
        <f ca="1">IF(ROWS($1:36)&gt;COUNT(Dong14),"",OFFSET(TH!D$1,SMALL(Dong14,ROWS($1:36)),))</f>
        <v/>
      </c>
      <c r="C52" s="214" t="str">
        <f ca="1">IF(ROWS($1:36)&gt;COUNT(Dong14),"",OFFSET(TH!E$1,SMALL(Dong14,ROWS($1:36)),))</f>
        <v/>
      </c>
      <c r="D52" s="868" t="str">
        <f ca="1">IF(ROWS($1:36)&gt;COUNT(Dong14),"",OFFSET(TH!F$1,SMALL(Dong14,ROWS($1:36)),))</f>
        <v/>
      </c>
      <c r="E52" s="866" t="str">
        <f ca="1">IF(ROWS($1:36)&gt;COUNT(Dong14),"",IF(OFFSET(TH!N$1,SMALL(Dong14,ROWS($1:36)),)="131",OFFSET(TH!O$1,SMALL(Dong14,ROWS($1:36)),),OFFSET(TH!N$1,SMALL(Dong14,ROWS($1:36)),)))</f>
        <v/>
      </c>
      <c r="F52" s="866">
        <f ca="1">IF(ROWS($1:36)&gt;COUNT(Dong14),0,OFFSET(TH!L$1,SMALL(Dong14,ROWS($1:36)),))</f>
        <v>0</v>
      </c>
      <c r="G52" s="866"/>
      <c r="H52" s="867">
        <f ca="1">IF(ROWS($1:36)&gt;COUNT(Dong14),0,IF(OFFSET(TH!N$1,SMALL(Dong14,ROWS($1:36)),)="131",OFFSET(TH!K$1,SMALL(Dong14,ROWS($1:36)),),0))</f>
        <v>0</v>
      </c>
      <c r="I52" s="866">
        <f ca="1">IF(ROWS($1:36)&gt;COUNT(Dong14),0,IF(OFFSET(TH!N$1,SMALL(Dong14,ROWS($1:36)),)="131",OFFSET(TH!M$1,SMALL(Dong14,ROWS($1:36)),),0))</f>
        <v>0</v>
      </c>
      <c r="J52" s="867">
        <f ca="1">IF(ROWS($1:36)&gt;COUNT(Dong14),0,IF(OFFSET(TH!O$1,SMALL(Dong14,ROWS($1:36)),)="131",OFFSET(TH!K$1,SMALL(Dong14,ROWS($1:36)),),0))</f>
        <v>0</v>
      </c>
      <c r="K52" s="866">
        <f ca="1">IF(ROWS($1:36)&gt;COUNT(Dong14),0,IF(OFFSET(TH!O$1,SMALL(Dong14,ROWS($1:36)),)="131",OFFSET(TH!M$1,SMALL(Dong14,ROWS($1:36)),),0))</f>
        <v>0</v>
      </c>
      <c r="L52" s="860">
        <f t="shared" ca="1" si="6"/>
        <v>0</v>
      </c>
      <c r="M52" s="859">
        <f t="shared" ca="1" si="7"/>
        <v>0</v>
      </c>
      <c r="N52" s="860">
        <f t="shared" ca="1" si="8"/>
        <v>0</v>
      </c>
      <c r="O52" s="859">
        <f t="shared" ca="1" si="9"/>
        <v>0</v>
      </c>
    </row>
    <row r="53" spans="1:15" s="5" customFormat="1" ht="24.75" hidden="1" customHeight="1">
      <c r="A53" s="214" t="str">
        <f t="shared" ca="1" si="5"/>
        <v/>
      </c>
      <c r="B53" s="217" t="str">
        <f ca="1">IF(ROWS($1:37)&gt;COUNT(Dong14),"",OFFSET(TH!D$1,SMALL(Dong14,ROWS($1:37)),))</f>
        <v/>
      </c>
      <c r="C53" s="214" t="str">
        <f ca="1">IF(ROWS($1:37)&gt;COUNT(Dong14),"",OFFSET(TH!E$1,SMALL(Dong14,ROWS($1:37)),))</f>
        <v/>
      </c>
      <c r="D53" s="868" t="str">
        <f ca="1">IF(ROWS($1:37)&gt;COUNT(Dong14),"",OFFSET(TH!F$1,SMALL(Dong14,ROWS($1:37)),))</f>
        <v/>
      </c>
      <c r="E53" s="866" t="str">
        <f ca="1">IF(ROWS($1:37)&gt;COUNT(Dong14),"",IF(OFFSET(TH!N$1,SMALL(Dong14,ROWS($1:37)),)="131",OFFSET(TH!O$1,SMALL(Dong14,ROWS($1:37)),),OFFSET(TH!N$1,SMALL(Dong14,ROWS($1:37)),)))</f>
        <v/>
      </c>
      <c r="F53" s="866">
        <f ca="1">IF(ROWS($1:37)&gt;COUNT(Dong14),0,OFFSET(TH!L$1,SMALL(Dong14,ROWS($1:37)),))</f>
        <v>0</v>
      </c>
      <c r="G53" s="866"/>
      <c r="H53" s="867">
        <f ca="1">IF(ROWS($1:37)&gt;COUNT(Dong14),0,IF(OFFSET(TH!N$1,SMALL(Dong14,ROWS($1:37)),)="131",OFFSET(TH!K$1,SMALL(Dong14,ROWS($1:37)),),0))</f>
        <v>0</v>
      </c>
      <c r="I53" s="866">
        <f ca="1">IF(ROWS($1:37)&gt;COUNT(Dong14),0,IF(OFFSET(TH!N$1,SMALL(Dong14,ROWS($1:37)),)="131",OFFSET(TH!M$1,SMALL(Dong14,ROWS($1:37)),),0))</f>
        <v>0</v>
      </c>
      <c r="J53" s="867">
        <f ca="1">IF(ROWS($1:37)&gt;COUNT(Dong14),0,IF(OFFSET(TH!O$1,SMALL(Dong14,ROWS($1:37)),)="131",OFFSET(TH!K$1,SMALL(Dong14,ROWS($1:37)),),0))</f>
        <v>0</v>
      </c>
      <c r="K53" s="866">
        <f ca="1">IF(ROWS($1:37)&gt;COUNT(Dong14),0,IF(OFFSET(TH!O$1,SMALL(Dong14,ROWS($1:37)),)="131",OFFSET(TH!M$1,SMALL(Dong14,ROWS($1:37)),),0))</f>
        <v>0</v>
      </c>
      <c r="L53" s="860">
        <f t="shared" ca="1" si="6"/>
        <v>0</v>
      </c>
      <c r="M53" s="859">
        <f t="shared" ca="1" si="7"/>
        <v>0</v>
      </c>
      <c r="N53" s="860">
        <f t="shared" ca="1" si="8"/>
        <v>0</v>
      </c>
      <c r="O53" s="859">
        <f t="shared" ca="1" si="9"/>
        <v>0</v>
      </c>
    </row>
    <row r="54" spans="1:15" s="5" customFormat="1" ht="24.75" hidden="1" customHeight="1">
      <c r="A54" s="214" t="str">
        <f t="shared" ca="1" si="5"/>
        <v/>
      </c>
      <c r="B54" s="217" t="str">
        <f ca="1">IF(ROWS($1:38)&gt;COUNT(Dong14),"",OFFSET(TH!D$1,SMALL(Dong14,ROWS($1:38)),))</f>
        <v/>
      </c>
      <c r="C54" s="214" t="str">
        <f ca="1">IF(ROWS($1:38)&gt;COUNT(Dong14),"",OFFSET(TH!E$1,SMALL(Dong14,ROWS($1:38)),))</f>
        <v/>
      </c>
      <c r="D54" s="868" t="str">
        <f ca="1">IF(ROWS($1:38)&gt;COUNT(Dong14),"",OFFSET(TH!F$1,SMALL(Dong14,ROWS($1:38)),))</f>
        <v/>
      </c>
      <c r="E54" s="866" t="str">
        <f ca="1">IF(ROWS($1:38)&gt;COUNT(Dong14),"",IF(OFFSET(TH!N$1,SMALL(Dong14,ROWS($1:38)),)="131",OFFSET(TH!O$1,SMALL(Dong14,ROWS($1:38)),),OFFSET(TH!N$1,SMALL(Dong14,ROWS($1:38)),)))</f>
        <v/>
      </c>
      <c r="F54" s="866">
        <f ca="1">IF(ROWS($1:38)&gt;COUNT(Dong14),0,OFFSET(TH!L$1,SMALL(Dong14,ROWS($1:38)),))</f>
        <v>0</v>
      </c>
      <c r="G54" s="866"/>
      <c r="H54" s="867">
        <f ca="1">IF(ROWS($1:38)&gt;COUNT(Dong14),0,IF(OFFSET(TH!N$1,SMALL(Dong14,ROWS($1:38)),)="131",OFFSET(TH!K$1,SMALL(Dong14,ROWS($1:38)),),0))</f>
        <v>0</v>
      </c>
      <c r="I54" s="866">
        <f ca="1">IF(ROWS($1:38)&gt;COUNT(Dong14),0,IF(OFFSET(TH!N$1,SMALL(Dong14,ROWS($1:38)),)="131",OFFSET(TH!M$1,SMALL(Dong14,ROWS($1:38)),),0))</f>
        <v>0</v>
      </c>
      <c r="J54" s="867">
        <f ca="1">IF(ROWS($1:38)&gt;COUNT(Dong14),0,IF(OFFSET(TH!O$1,SMALL(Dong14,ROWS($1:38)),)="131",OFFSET(TH!K$1,SMALL(Dong14,ROWS($1:38)),),0))</f>
        <v>0</v>
      </c>
      <c r="K54" s="866">
        <f ca="1">IF(ROWS($1:38)&gt;COUNT(Dong14),0,IF(OFFSET(TH!O$1,SMALL(Dong14,ROWS($1:38)),)="131",OFFSET(TH!M$1,SMALL(Dong14,ROWS($1:38)),),0))</f>
        <v>0</v>
      </c>
      <c r="L54" s="860">
        <f t="shared" ca="1" si="6"/>
        <v>0</v>
      </c>
      <c r="M54" s="859">
        <f t="shared" ca="1" si="7"/>
        <v>0</v>
      </c>
      <c r="N54" s="860">
        <f t="shared" ca="1" si="8"/>
        <v>0</v>
      </c>
      <c r="O54" s="859">
        <f t="shared" ca="1" si="9"/>
        <v>0</v>
      </c>
    </row>
    <row r="55" spans="1:15" s="5" customFormat="1" ht="24.75" hidden="1" customHeight="1">
      <c r="A55" s="214" t="str">
        <f t="shared" ca="1" si="5"/>
        <v/>
      </c>
      <c r="B55" s="217" t="str">
        <f ca="1">IF(ROWS($1:39)&gt;COUNT(Dong14),"",OFFSET(TH!D$1,SMALL(Dong14,ROWS($1:39)),))</f>
        <v/>
      </c>
      <c r="C55" s="214" t="str">
        <f ca="1">IF(ROWS($1:39)&gt;COUNT(Dong14),"",OFFSET(TH!E$1,SMALL(Dong14,ROWS($1:39)),))</f>
        <v/>
      </c>
      <c r="D55" s="868" t="str">
        <f ca="1">IF(ROWS($1:39)&gt;COUNT(Dong14),"",OFFSET(TH!F$1,SMALL(Dong14,ROWS($1:39)),))</f>
        <v/>
      </c>
      <c r="E55" s="866" t="str">
        <f ca="1">IF(ROWS($1:39)&gt;COUNT(Dong14),"",IF(OFFSET(TH!N$1,SMALL(Dong14,ROWS($1:39)),)="131",OFFSET(TH!O$1,SMALL(Dong14,ROWS($1:39)),),OFFSET(TH!N$1,SMALL(Dong14,ROWS($1:39)),)))</f>
        <v/>
      </c>
      <c r="F55" s="866">
        <f ca="1">IF(ROWS($1:39)&gt;COUNT(Dong14),0,OFFSET(TH!L$1,SMALL(Dong14,ROWS($1:39)),))</f>
        <v>0</v>
      </c>
      <c r="G55" s="866"/>
      <c r="H55" s="867">
        <f ca="1">IF(ROWS($1:39)&gt;COUNT(Dong14),0,IF(OFFSET(TH!N$1,SMALL(Dong14,ROWS($1:39)),)="131",OFFSET(TH!K$1,SMALL(Dong14,ROWS($1:39)),),0))</f>
        <v>0</v>
      </c>
      <c r="I55" s="866">
        <f ca="1">IF(ROWS($1:39)&gt;COUNT(Dong14),0,IF(OFFSET(TH!N$1,SMALL(Dong14,ROWS($1:39)),)="131",OFFSET(TH!M$1,SMALL(Dong14,ROWS($1:39)),),0))</f>
        <v>0</v>
      </c>
      <c r="J55" s="867">
        <f ca="1">IF(ROWS($1:39)&gt;COUNT(Dong14),0,IF(OFFSET(TH!O$1,SMALL(Dong14,ROWS($1:39)),)="131",OFFSET(TH!K$1,SMALL(Dong14,ROWS($1:39)),),0))</f>
        <v>0</v>
      </c>
      <c r="K55" s="866">
        <f ca="1">IF(ROWS($1:39)&gt;COUNT(Dong14),0,IF(OFFSET(TH!O$1,SMALL(Dong14,ROWS($1:39)),)="131",OFFSET(TH!M$1,SMALL(Dong14,ROWS($1:39)),),0))</f>
        <v>0</v>
      </c>
      <c r="L55" s="860">
        <f t="shared" ca="1" si="6"/>
        <v>0</v>
      </c>
      <c r="M55" s="859">
        <f t="shared" ca="1" si="7"/>
        <v>0</v>
      </c>
      <c r="N55" s="860">
        <f t="shared" ca="1" si="8"/>
        <v>0</v>
      </c>
      <c r="O55" s="859">
        <f t="shared" ca="1" si="9"/>
        <v>0</v>
      </c>
    </row>
    <row r="56" spans="1:15" s="5" customFormat="1" ht="24.75" hidden="1" customHeight="1">
      <c r="A56" s="214" t="str">
        <f t="shared" ca="1" si="5"/>
        <v/>
      </c>
      <c r="B56" s="217" t="str">
        <f ca="1">IF(ROWS($1:40)&gt;COUNT(Dong14),"",OFFSET(TH!D$1,SMALL(Dong14,ROWS($1:40)),))</f>
        <v/>
      </c>
      <c r="C56" s="214" t="str">
        <f ca="1">IF(ROWS($1:40)&gt;COUNT(Dong14),"",OFFSET(TH!E$1,SMALL(Dong14,ROWS($1:40)),))</f>
        <v/>
      </c>
      <c r="D56" s="868" t="str">
        <f ca="1">IF(ROWS($1:40)&gt;COUNT(Dong14),"",OFFSET(TH!F$1,SMALL(Dong14,ROWS($1:40)),))</f>
        <v/>
      </c>
      <c r="E56" s="866" t="str">
        <f ca="1">IF(ROWS($1:40)&gt;COUNT(Dong14),"",IF(OFFSET(TH!N$1,SMALL(Dong14,ROWS($1:40)),)="131",OFFSET(TH!O$1,SMALL(Dong14,ROWS($1:40)),),OFFSET(TH!N$1,SMALL(Dong14,ROWS($1:40)),)))</f>
        <v/>
      </c>
      <c r="F56" s="866">
        <f ca="1">IF(ROWS($1:40)&gt;COUNT(Dong14),0,OFFSET(TH!L$1,SMALL(Dong14,ROWS($1:40)),))</f>
        <v>0</v>
      </c>
      <c r="G56" s="866"/>
      <c r="H56" s="867">
        <f ca="1">IF(ROWS($1:40)&gt;COUNT(Dong14),0,IF(OFFSET(TH!N$1,SMALL(Dong14,ROWS($1:40)),)="131",OFFSET(TH!K$1,SMALL(Dong14,ROWS($1:40)),),0))</f>
        <v>0</v>
      </c>
      <c r="I56" s="866">
        <f ca="1">IF(ROWS($1:40)&gt;COUNT(Dong14),0,IF(OFFSET(TH!N$1,SMALL(Dong14,ROWS($1:40)),)="131",OFFSET(TH!M$1,SMALL(Dong14,ROWS($1:40)),),0))</f>
        <v>0</v>
      </c>
      <c r="J56" s="867">
        <f ca="1">IF(ROWS($1:40)&gt;COUNT(Dong14),0,IF(OFFSET(TH!O$1,SMALL(Dong14,ROWS($1:40)),)="131",OFFSET(TH!K$1,SMALL(Dong14,ROWS($1:40)),),0))</f>
        <v>0</v>
      </c>
      <c r="K56" s="866">
        <f ca="1">IF(ROWS($1:40)&gt;COUNT(Dong14),0,IF(OFFSET(TH!O$1,SMALL(Dong14,ROWS($1:40)),)="131",OFFSET(TH!M$1,SMALL(Dong14,ROWS($1:40)),),0))</f>
        <v>0</v>
      </c>
      <c r="L56" s="860">
        <f t="shared" ca="1" si="6"/>
        <v>0</v>
      </c>
      <c r="M56" s="859">
        <f t="shared" ca="1" si="7"/>
        <v>0</v>
      </c>
      <c r="N56" s="860">
        <f t="shared" ca="1" si="8"/>
        <v>0</v>
      </c>
      <c r="O56" s="859">
        <f t="shared" ca="1" si="9"/>
        <v>0</v>
      </c>
    </row>
    <row r="57" spans="1:15" s="5" customFormat="1" ht="24.75" hidden="1" customHeight="1">
      <c r="A57" s="214" t="str">
        <f t="shared" ca="1" si="5"/>
        <v/>
      </c>
      <c r="B57" s="217" t="str">
        <f ca="1">IF(ROWS($1:41)&gt;COUNT(Dong14),"",OFFSET(TH!D$1,SMALL(Dong14,ROWS($1:41)),))</f>
        <v/>
      </c>
      <c r="C57" s="214" t="str">
        <f ca="1">IF(ROWS($1:41)&gt;COUNT(Dong14),"",OFFSET(TH!E$1,SMALL(Dong14,ROWS($1:41)),))</f>
        <v/>
      </c>
      <c r="D57" s="868" t="str">
        <f ca="1">IF(ROWS($1:41)&gt;COUNT(Dong14),"",OFFSET(TH!F$1,SMALL(Dong14,ROWS($1:41)),))</f>
        <v/>
      </c>
      <c r="E57" s="866" t="str">
        <f ca="1">IF(ROWS($1:41)&gt;COUNT(Dong14),"",IF(OFFSET(TH!N$1,SMALL(Dong14,ROWS($1:41)),)="131",OFFSET(TH!O$1,SMALL(Dong14,ROWS($1:41)),),OFFSET(TH!N$1,SMALL(Dong14,ROWS($1:41)),)))</f>
        <v/>
      </c>
      <c r="F57" s="866">
        <f ca="1">IF(ROWS($1:41)&gt;COUNT(Dong14),0,OFFSET(TH!L$1,SMALL(Dong14,ROWS($1:41)),))</f>
        <v>0</v>
      </c>
      <c r="G57" s="866"/>
      <c r="H57" s="867">
        <f ca="1">IF(ROWS($1:41)&gt;COUNT(Dong14),0,IF(OFFSET(TH!N$1,SMALL(Dong14,ROWS($1:41)),)="131",OFFSET(TH!K$1,SMALL(Dong14,ROWS($1:41)),),0))</f>
        <v>0</v>
      </c>
      <c r="I57" s="866">
        <f ca="1">IF(ROWS($1:41)&gt;COUNT(Dong14),0,IF(OFFSET(TH!N$1,SMALL(Dong14,ROWS($1:41)),)="131",OFFSET(TH!M$1,SMALL(Dong14,ROWS($1:41)),),0))</f>
        <v>0</v>
      </c>
      <c r="J57" s="867">
        <f ca="1">IF(ROWS($1:41)&gt;COUNT(Dong14),0,IF(OFFSET(TH!O$1,SMALL(Dong14,ROWS($1:41)),)="131",OFFSET(TH!K$1,SMALL(Dong14,ROWS($1:41)),),0))</f>
        <v>0</v>
      </c>
      <c r="K57" s="866">
        <f ca="1">IF(ROWS($1:41)&gt;COUNT(Dong14),0,IF(OFFSET(TH!O$1,SMALL(Dong14,ROWS($1:41)),)="131",OFFSET(TH!M$1,SMALL(Dong14,ROWS($1:41)),),0))</f>
        <v>0</v>
      </c>
      <c r="L57" s="860">
        <f t="shared" ca="1" si="6"/>
        <v>0</v>
      </c>
      <c r="M57" s="859">
        <f t="shared" ca="1" si="7"/>
        <v>0</v>
      </c>
      <c r="N57" s="860">
        <f t="shared" ca="1" si="8"/>
        <v>0</v>
      </c>
      <c r="O57" s="859">
        <f t="shared" ca="1" si="9"/>
        <v>0</v>
      </c>
    </row>
    <row r="58" spans="1:15" s="5" customFormat="1" ht="24.75" hidden="1" customHeight="1">
      <c r="A58" s="214" t="str">
        <f t="shared" ca="1" si="5"/>
        <v/>
      </c>
      <c r="B58" s="217" t="str">
        <f ca="1">IF(ROWS($1:42)&gt;COUNT(Dong14),"",OFFSET(TH!D$1,SMALL(Dong14,ROWS($1:42)),))</f>
        <v/>
      </c>
      <c r="C58" s="214" t="str">
        <f ca="1">IF(ROWS($1:42)&gt;COUNT(Dong14),"",OFFSET(TH!E$1,SMALL(Dong14,ROWS($1:42)),))</f>
        <v/>
      </c>
      <c r="D58" s="868" t="str">
        <f ca="1">IF(ROWS($1:42)&gt;COUNT(Dong14),"",OFFSET(TH!F$1,SMALL(Dong14,ROWS($1:42)),))</f>
        <v/>
      </c>
      <c r="E58" s="866" t="str">
        <f ca="1">IF(ROWS($1:42)&gt;COUNT(Dong14),"",IF(OFFSET(TH!N$1,SMALL(Dong14,ROWS($1:42)),)="131",OFFSET(TH!O$1,SMALL(Dong14,ROWS($1:42)),),OFFSET(TH!N$1,SMALL(Dong14,ROWS($1:42)),)))</f>
        <v/>
      </c>
      <c r="F58" s="866">
        <f ca="1">IF(ROWS($1:42)&gt;COUNT(Dong14),0,OFFSET(TH!L$1,SMALL(Dong14,ROWS($1:42)),))</f>
        <v>0</v>
      </c>
      <c r="G58" s="866"/>
      <c r="H58" s="867">
        <f ca="1">IF(ROWS($1:42)&gt;COUNT(Dong14),0,IF(OFFSET(TH!N$1,SMALL(Dong14,ROWS($1:42)),)="131",OFFSET(TH!K$1,SMALL(Dong14,ROWS($1:42)),),0))</f>
        <v>0</v>
      </c>
      <c r="I58" s="866">
        <f ca="1">IF(ROWS($1:42)&gt;COUNT(Dong14),0,IF(OFFSET(TH!N$1,SMALL(Dong14,ROWS($1:42)),)="131",OFFSET(TH!M$1,SMALL(Dong14,ROWS($1:42)),),0))</f>
        <v>0</v>
      </c>
      <c r="J58" s="867">
        <f ca="1">IF(ROWS($1:42)&gt;COUNT(Dong14),0,IF(OFFSET(TH!O$1,SMALL(Dong14,ROWS($1:42)),)="131",OFFSET(TH!K$1,SMALL(Dong14,ROWS($1:42)),),0))</f>
        <v>0</v>
      </c>
      <c r="K58" s="866">
        <f ca="1">IF(ROWS($1:42)&gt;COUNT(Dong14),0,IF(OFFSET(TH!O$1,SMALL(Dong14,ROWS($1:42)),)="131",OFFSET(TH!M$1,SMALL(Dong14,ROWS($1:42)),),0))</f>
        <v>0</v>
      </c>
      <c r="L58" s="860">
        <f t="shared" ca="1" si="6"/>
        <v>0</v>
      </c>
      <c r="M58" s="859">
        <f t="shared" ca="1" si="7"/>
        <v>0</v>
      </c>
      <c r="N58" s="860">
        <f t="shared" ca="1" si="8"/>
        <v>0</v>
      </c>
      <c r="O58" s="859">
        <f t="shared" ca="1" si="9"/>
        <v>0</v>
      </c>
    </row>
    <row r="59" spans="1:15" s="5" customFormat="1" ht="24.75" hidden="1" customHeight="1">
      <c r="A59" s="214" t="str">
        <f t="shared" ca="1" si="5"/>
        <v/>
      </c>
      <c r="B59" s="217" t="str">
        <f ca="1">IF(ROWS($1:43)&gt;COUNT(Dong14),"",OFFSET(TH!D$1,SMALL(Dong14,ROWS($1:43)),))</f>
        <v/>
      </c>
      <c r="C59" s="214" t="str">
        <f ca="1">IF(ROWS($1:43)&gt;COUNT(Dong14),"",OFFSET(TH!E$1,SMALL(Dong14,ROWS($1:43)),))</f>
        <v/>
      </c>
      <c r="D59" s="868" t="str">
        <f ca="1">IF(ROWS($1:43)&gt;COUNT(Dong14),"",OFFSET(TH!F$1,SMALL(Dong14,ROWS($1:43)),))</f>
        <v/>
      </c>
      <c r="E59" s="866" t="str">
        <f ca="1">IF(ROWS($1:43)&gt;COUNT(Dong14),"",IF(OFFSET(TH!N$1,SMALL(Dong14,ROWS($1:43)),)="131",OFFSET(TH!O$1,SMALL(Dong14,ROWS($1:43)),),OFFSET(TH!N$1,SMALL(Dong14,ROWS($1:43)),)))</f>
        <v/>
      </c>
      <c r="F59" s="866">
        <f ca="1">IF(ROWS($1:43)&gt;COUNT(Dong14),0,OFFSET(TH!L$1,SMALL(Dong14,ROWS($1:43)),))</f>
        <v>0</v>
      </c>
      <c r="G59" s="866"/>
      <c r="H59" s="867">
        <f ca="1">IF(ROWS($1:43)&gt;COUNT(Dong14),0,IF(OFFSET(TH!N$1,SMALL(Dong14,ROWS($1:43)),)="131",OFFSET(TH!K$1,SMALL(Dong14,ROWS($1:43)),),0))</f>
        <v>0</v>
      </c>
      <c r="I59" s="866">
        <f ca="1">IF(ROWS($1:43)&gt;COUNT(Dong14),0,IF(OFFSET(TH!N$1,SMALL(Dong14,ROWS($1:43)),)="131",OFFSET(TH!M$1,SMALL(Dong14,ROWS($1:43)),),0))</f>
        <v>0</v>
      </c>
      <c r="J59" s="867">
        <f ca="1">IF(ROWS($1:43)&gt;COUNT(Dong14),0,IF(OFFSET(TH!O$1,SMALL(Dong14,ROWS($1:43)),)="131",OFFSET(TH!K$1,SMALL(Dong14,ROWS($1:43)),),0))</f>
        <v>0</v>
      </c>
      <c r="K59" s="866">
        <f ca="1">IF(ROWS($1:43)&gt;COUNT(Dong14),0,IF(OFFSET(TH!O$1,SMALL(Dong14,ROWS($1:43)),)="131",OFFSET(TH!M$1,SMALL(Dong14,ROWS($1:43)),),0))</f>
        <v>0</v>
      </c>
      <c r="L59" s="860">
        <f t="shared" ca="1" si="6"/>
        <v>0</v>
      </c>
      <c r="M59" s="859">
        <f t="shared" ca="1" si="7"/>
        <v>0</v>
      </c>
      <c r="N59" s="860">
        <f t="shared" ca="1" si="8"/>
        <v>0</v>
      </c>
      <c r="O59" s="859">
        <f t="shared" ca="1" si="9"/>
        <v>0</v>
      </c>
    </row>
    <row r="60" spans="1:15" s="5" customFormat="1" ht="24.75" hidden="1" customHeight="1">
      <c r="A60" s="214" t="str">
        <f t="shared" ca="1" si="5"/>
        <v/>
      </c>
      <c r="B60" s="217" t="str">
        <f ca="1">IF(ROWS($1:44)&gt;COUNT(Dong14),"",OFFSET(TH!D$1,SMALL(Dong14,ROWS($1:44)),))</f>
        <v/>
      </c>
      <c r="C60" s="214" t="str">
        <f ca="1">IF(ROWS($1:44)&gt;COUNT(Dong14),"",OFFSET(TH!E$1,SMALL(Dong14,ROWS($1:44)),))</f>
        <v/>
      </c>
      <c r="D60" s="868" t="str">
        <f ca="1">IF(ROWS($1:44)&gt;COUNT(Dong14),"",OFFSET(TH!F$1,SMALL(Dong14,ROWS($1:44)),))</f>
        <v/>
      </c>
      <c r="E60" s="866" t="str">
        <f ca="1">IF(ROWS($1:44)&gt;COUNT(Dong14),"",IF(OFFSET(TH!N$1,SMALL(Dong14,ROWS($1:44)),)="131",OFFSET(TH!O$1,SMALL(Dong14,ROWS($1:44)),),OFFSET(TH!N$1,SMALL(Dong14,ROWS($1:44)),)))</f>
        <v/>
      </c>
      <c r="F60" s="866">
        <f ca="1">IF(ROWS($1:44)&gt;COUNT(Dong14),0,OFFSET(TH!L$1,SMALL(Dong14,ROWS($1:44)),))</f>
        <v>0</v>
      </c>
      <c r="G60" s="866"/>
      <c r="H60" s="867">
        <f ca="1">IF(ROWS($1:44)&gt;COUNT(Dong14),0,IF(OFFSET(TH!N$1,SMALL(Dong14,ROWS($1:44)),)="131",OFFSET(TH!K$1,SMALL(Dong14,ROWS($1:44)),),0))</f>
        <v>0</v>
      </c>
      <c r="I60" s="866">
        <f ca="1">IF(ROWS($1:44)&gt;COUNT(Dong14),0,IF(OFFSET(TH!N$1,SMALL(Dong14,ROWS($1:44)),)="131",OFFSET(TH!M$1,SMALL(Dong14,ROWS($1:44)),),0))</f>
        <v>0</v>
      </c>
      <c r="J60" s="867">
        <f ca="1">IF(ROWS($1:44)&gt;COUNT(Dong14),0,IF(OFFSET(TH!O$1,SMALL(Dong14,ROWS($1:44)),)="131",OFFSET(TH!K$1,SMALL(Dong14,ROWS($1:44)),),0))</f>
        <v>0</v>
      </c>
      <c r="K60" s="866">
        <f ca="1">IF(ROWS($1:44)&gt;COUNT(Dong14),0,IF(OFFSET(TH!O$1,SMALL(Dong14,ROWS($1:44)),)="131",OFFSET(TH!M$1,SMALL(Dong14,ROWS($1:44)),),0))</f>
        <v>0</v>
      </c>
      <c r="L60" s="860">
        <f t="shared" ca="1" si="6"/>
        <v>0</v>
      </c>
      <c r="M60" s="859">
        <f t="shared" ca="1" si="7"/>
        <v>0</v>
      </c>
      <c r="N60" s="860">
        <f t="shared" ca="1" si="8"/>
        <v>0</v>
      </c>
      <c r="O60" s="859">
        <f t="shared" ca="1" si="9"/>
        <v>0</v>
      </c>
    </row>
    <row r="61" spans="1:15" s="5" customFormat="1" ht="24.75" hidden="1" customHeight="1">
      <c r="A61" s="214" t="str">
        <f t="shared" ca="1" si="5"/>
        <v/>
      </c>
      <c r="B61" s="217" t="str">
        <f ca="1">IF(ROWS($1:45)&gt;COUNT(Dong14),"",OFFSET(TH!D$1,SMALL(Dong14,ROWS($1:45)),))</f>
        <v/>
      </c>
      <c r="C61" s="214" t="str">
        <f ca="1">IF(ROWS($1:45)&gt;COUNT(Dong14),"",OFFSET(TH!E$1,SMALL(Dong14,ROWS($1:45)),))</f>
        <v/>
      </c>
      <c r="D61" s="868" t="str">
        <f ca="1">IF(ROWS($1:45)&gt;COUNT(Dong14),"",OFFSET(TH!F$1,SMALL(Dong14,ROWS($1:45)),))</f>
        <v/>
      </c>
      <c r="E61" s="866" t="str">
        <f ca="1">IF(ROWS($1:45)&gt;COUNT(Dong14),"",IF(OFFSET(TH!N$1,SMALL(Dong14,ROWS($1:45)),)="131",OFFSET(TH!O$1,SMALL(Dong14,ROWS($1:45)),),OFFSET(TH!N$1,SMALL(Dong14,ROWS($1:45)),)))</f>
        <v/>
      </c>
      <c r="F61" s="866">
        <f ca="1">IF(ROWS($1:45)&gt;COUNT(Dong14),0,OFFSET(TH!L$1,SMALL(Dong14,ROWS($1:45)),))</f>
        <v>0</v>
      </c>
      <c r="G61" s="866"/>
      <c r="H61" s="867">
        <f ca="1">IF(ROWS($1:45)&gt;COUNT(Dong14),0,IF(OFFSET(TH!N$1,SMALL(Dong14,ROWS($1:45)),)="131",OFFSET(TH!K$1,SMALL(Dong14,ROWS($1:45)),),0))</f>
        <v>0</v>
      </c>
      <c r="I61" s="866">
        <f ca="1">IF(ROWS($1:45)&gt;COUNT(Dong14),0,IF(OFFSET(TH!N$1,SMALL(Dong14,ROWS($1:45)),)="131",OFFSET(TH!M$1,SMALL(Dong14,ROWS($1:45)),),0))</f>
        <v>0</v>
      </c>
      <c r="J61" s="867">
        <f ca="1">IF(ROWS($1:45)&gt;COUNT(Dong14),0,IF(OFFSET(TH!O$1,SMALL(Dong14,ROWS($1:45)),)="131",OFFSET(TH!K$1,SMALL(Dong14,ROWS($1:45)),),0))</f>
        <v>0</v>
      </c>
      <c r="K61" s="866">
        <f ca="1">IF(ROWS($1:45)&gt;COUNT(Dong14),0,IF(OFFSET(TH!O$1,SMALL(Dong14,ROWS($1:45)),)="131",OFFSET(TH!M$1,SMALL(Dong14,ROWS($1:45)),),0))</f>
        <v>0</v>
      </c>
      <c r="L61" s="860">
        <f t="shared" ca="1" si="6"/>
        <v>0</v>
      </c>
      <c r="M61" s="859">
        <f t="shared" ca="1" si="7"/>
        <v>0</v>
      </c>
      <c r="N61" s="860">
        <f t="shared" ca="1" si="8"/>
        <v>0</v>
      </c>
      <c r="O61" s="859">
        <f t="shared" ca="1" si="9"/>
        <v>0</v>
      </c>
    </row>
    <row r="62" spans="1:15" s="5" customFormat="1" ht="24.75" hidden="1" customHeight="1">
      <c r="A62" s="214" t="str">
        <f t="shared" ca="1" si="5"/>
        <v/>
      </c>
      <c r="B62" s="217" t="str">
        <f ca="1">IF(ROWS($1:46)&gt;COUNT(Dong14),"",OFFSET(TH!D$1,SMALL(Dong14,ROWS($1:46)),))</f>
        <v/>
      </c>
      <c r="C62" s="214" t="str">
        <f ca="1">IF(ROWS($1:46)&gt;COUNT(Dong14),"",OFFSET(TH!E$1,SMALL(Dong14,ROWS($1:46)),))</f>
        <v/>
      </c>
      <c r="D62" s="868" t="str">
        <f ca="1">IF(ROWS($1:46)&gt;COUNT(Dong14),"",OFFSET(TH!F$1,SMALL(Dong14,ROWS($1:46)),))</f>
        <v/>
      </c>
      <c r="E62" s="866" t="str">
        <f ca="1">IF(ROWS($1:46)&gt;COUNT(Dong14),"",IF(OFFSET(TH!N$1,SMALL(Dong14,ROWS($1:46)),)="131",OFFSET(TH!O$1,SMALL(Dong14,ROWS($1:46)),),OFFSET(TH!N$1,SMALL(Dong14,ROWS($1:46)),)))</f>
        <v/>
      </c>
      <c r="F62" s="866">
        <f ca="1">IF(ROWS($1:46)&gt;COUNT(Dong14),0,OFFSET(TH!L$1,SMALL(Dong14,ROWS($1:46)),))</f>
        <v>0</v>
      </c>
      <c r="G62" s="866"/>
      <c r="H62" s="867">
        <f ca="1">IF(ROWS($1:46)&gt;COUNT(Dong14),0,IF(OFFSET(TH!N$1,SMALL(Dong14,ROWS($1:46)),)="131",OFFSET(TH!K$1,SMALL(Dong14,ROWS($1:46)),),0))</f>
        <v>0</v>
      </c>
      <c r="I62" s="866">
        <f ca="1">IF(ROWS($1:46)&gt;COUNT(Dong14),0,IF(OFFSET(TH!N$1,SMALL(Dong14,ROWS($1:46)),)="131",OFFSET(TH!M$1,SMALL(Dong14,ROWS($1:46)),),0))</f>
        <v>0</v>
      </c>
      <c r="J62" s="867">
        <f ca="1">IF(ROWS($1:46)&gt;COUNT(Dong14),0,IF(OFFSET(TH!O$1,SMALL(Dong14,ROWS($1:46)),)="131",OFFSET(TH!K$1,SMALL(Dong14,ROWS($1:46)),),0))</f>
        <v>0</v>
      </c>
      <c r="K62" s="866">
        <f ca="1">IF(ROWS($1:46)&gt;COUNT(Dong14),0,IF(OFFSET(TH!O$1,SMALL(Dong14,ROWS($1:46)),)="131",OFFSET(TH!M$1,SMALL(Dong14,ROWS($1:46)),),0))</f>
        <v>0</v>
      </c>
      <c r="L62" s="860">
        <f t="shared" ca="1" si="6"/>
        <v>0</v>
      </c>
      <c r="M62" s="859">
        <f t="shared" ca="1" si="7"/>
        <v>0</v>
      </c>
      <c r="N62" s="860">
        <f t="shared" ca="1" si="8"/>
        <v>0</v>
      </c>
      <c r="O62" s="859">
        <f t="shared" ca="1" si="9"/>
        <v>0</v>
      </c>
    </row>
    <row r="63" spans="1:15" s="5" customFormat="1" ht="24.75" hidden="1" customHeight="1">
      <c r="A63" s="214" t="str">
        <f t="shared" ca="1" si="5"/>
        <v/>
      </c>
      <c r="B63" s="217" t="str">
        <f ca="1">IF(ROWS($1:47)&gt;COUNT(Dong14),"",OFFSET(TH!D$1,SMALL(Dong14,ROWS($1:47)),))</f>
        <v/>
      </c>
      <c r="C63" s="214" t="str">
        <f ca="1">IF(ROWS($1:47)&gt;COUNT(Dong14),"",OFFSET(TH!E$1,SMALL(Dong14,ROWS($1:47)),))</f>
        <v/>
      </c>
      <c r="D63" s="868" t="str">
        <f ca="1">IF(ROWS($1:47)&gt;COUNT(Dong14),"",OFFSET(TH!F$1,SMALL(Dong14,ROWS($1:47)),))</f>
        <v/>
      </c>
      <c r="E63" s="866" t="str">
        <f ca="1">IF(ROWS($1:47)&gt;COUNT(Dong14),"",IF(OFFSET(TH!N$1,SMALL(Dong14,ROWS($1:47)),)="131",OFFSET(TH!O$1,SMALL(Dong14,ROWS($1:47)),),OFFSET(TH!N$1,SMALL(Dong14,ROWS($1:47)),)))</f>
        <v/>
      </c>
      <c r="F63" s="866">
        <f ca="1">IF(ROWS($1:47)&gt;COUNT(Dong14),0,OFFSET(TH!L$1,SMALL(Dong14,ROWS($1:47)),))</f>
        <v>0</v>
      </c>
      <c r="G63" s="866"/>
      <c r="H63" s="867">
        <f ca="1">IF(ROWS($1:47)&gt;COUNT(Dong14),0,IF(OFFSET(TH!N$1,SMALL(Dong14,ROWS($1:47)),)="131",OFFSET(TH!K$1,SMALL(Dong14,ROWS($1:47)),),0))</f>
        <v>0</v>
      </c>
      <c r="I63" s="866">
        <f ca="1">IF(ROWS($1:47)&gt;COUNT(Dong14),0,IF(OFFSET(TH!N$1,SMALL(Dong14,ROWS($1:47)),)="131",OFFSET(TH!M$1,SMALL(Dong14,ROWS($1:47)),),0))</f>
        <v>0</v>
      </c>
      <c r="J63" s="867">
        <f ca="1">IF(ROWS($1:47)&gt;COUNT(Dong14),0,IF(OFFSET(TH!O$1,SMALL(Dong14,ROWS($1:47)),)="131",OFFSET(TH!K$1,SMALL(Dong14,ROWS($1:47)),),0))</f>
        <v>0</v>
      </c>
      <c r="K63" s="866">
        <f ca="1">IF(ROWS($1:47)&gt;COUNT(Dong14),0,IF(OFFSET(TH!O$1,SMALL(Dong14,ROWS($1:47)),)="131",OFFSET(TH!M$1,SMALL(Dong14,ROWS($1:47)),),0))</f>
        <v>0</v>
      </c>
      <c r="L63" s="860">
        <f t="shared" ca="1" si="6"/>
        <v>0</v>
      </c>
      <c r="M63" s="859">
        <f t="shared" ca="1" si="7"/>
        <v>0</v>
      </c>
      <c r="N63" s="860">
        <f t="shared" ca="1" si="8"/>
        <v>0</v>
      </c>
      <c r="O63" s="859">
        <f t="shared" ca="1" si="9"/>
        <v>0</v>
      </c>
    </row>
    <row r="64" spans="1:15" s="5" customFormat="1" ht="24.75" hidden="1" customHeight="1">
      <c r="A64" s="214" t="str">
        <f t="shared" ca="1" si="5"/>
        <v/>
      </c>
      <c r="B64" s="217" t="str">
        <f ca="1">IF(ROWS($1:48)&gt;COUNT(Dong14),"",OFFSET(TH!D$1,SMALL(Dong14,ROWS($1:48)),))</f>
        <v/>
      </c>
      <c r="C64" s="214" t="str">
        <f ca="1">IF(ROWS($1:48)&gt;COUNT(Dong14),"",OFFSET(TH!E$1,SMALL(Dong14,ROWS($1:48)),))</f>
        <v/>
      </c>
      <c r="D64" s="868" t="str">
        <f ca="1">IF(ROWS($1:48)&gt;COUNT(Dong14),"",OFFSET(TH!F$1,SMALL(Dong14,ROWS($1:48)),))</f>
        <v/>
      </c>
      <c r="E64" s="866" t="str">
        <f ca="1">IF(ROWS($1:48)&gt;COUNT(Dong14),"",IF(OFFSET(TH!N$1,SMALL(Dong14,ROWS($1:48)),)="131",OFFSET(TH!O$1,SMALL(Dong14,ROWS($1:48)),),OFFSET(TH!N$1,SMALL(Dong14,ROWS($1:48)),)))</f>
        <v/>
      </c>
      <c r="F64" s="866">
        <f ca="1">IF(ROWS($1:48)&gt;COUNT(Dong14),0,OFFSET(TH!L$1,SMALL(Dong14,ROWS($1:48)),))</f>
        <v>0</v>
      </c>
      <c r="G64" s="866"/>
      <c r="H64" s="867">
        <f ca="1">IF(ROWS($1:48)&gt;COUNT(Dong14),0,IF(OFFSET(TH!N$1,SMALL(Dong14,ROWS($1:48)),)="131",OFFSET(TH!K$1,SMALL(Dong14,ROWS($1:48)),),0))</f>
        <v>0</v>
      </c>
      <c r="I64" s="866">
        <f ca="1">IF(ROWS($1:48)&gt;COUNT(Dong14),0,IF(OFFSET(TH!N$1,SMALL(Dong14,ROWS($1:48)),)="131",OFFSET(TH!M$1,SMALL(Dong14,ROWS($1:48)),),0))</f>
        <v>0</v>
      </c>
      <c r="J64" s="867">
        <f ca="1">IF(ROWS($1:48)&gt;COUNT(Dong14),0,IF(OFFSET(TH!O$1,SMALL(Dong14,ROWS($1:48)),)="131",OFFSET(TH!K$1,SMALL(Dong14,ROWS($1:48)),),0))</f>
        <v>0</v>
      </c>
      <c r="K64" s="866">
        <f ca="1">IF(ROWS($1:48)&gt;COUNT(Dong14),0,IF(OFFSET(TH!O$1,SMALL(Dong14,ROWS($1:48)),)="131",OFFSET(TH!M$1,SMALL(Dong14,ROWS($1:48)),),0))</f>
        <v>0</v>
      </c>
      <c r="L64" s="860">
        <f t="shared" ca="1" si="6"/>
        <v>0</v>
      </c>
      <c r="M64" s="859">
        <f t="shared" ca="1" si="7"/>
        <v>0</v>
      </c>
      <c r="N64" s="860">
        <f t="shared" ca="1" si="8"/>
        <v>0</v>
      </c>
      <c r="O64" s="859">
        <f t="shared" ca="1" si="9"/>
        <v>0</v>
      </c>
    </row>
    <row r="65" spans="1:17" s="5" customFormat="1" ht="24.75" hidden="1" customHeight="1">
      <c r="A65" s="214" t="str">
        <f t="shared" ca="1" si="5"/>
        <v/>
      </c>
      <c r="B65" s="217" t="str">
        <f ca="1">IF(ROWS($1:49)&gt;COUNT(Dong14),"",OFFSET(TH!D$1,SMALL(Dong14,ROWS($1:49)),))</f>
        <v/>
      </c>
      <c r="C65" s="214" t="str">
        <f ca="1">IF(ROWS($1:49)&gt;COUNT(Dong14),"",OFFSET(TH!E$1,SMALL(Dong14,ROWS($1:49)),))</f>
        <v/>
      </c>
      <c r="D65" s="868" t="str">
        <f ca="1">IF(ROWS($1:49)&gt;COUNT(Dong14),"",OFFSET(TH!F$1,SMALL(Dong14,ROWS($1:49)),))</f>
        <v/>
      </c>
      <c r="E65" s="866" t="str">
        <f ca="1">IF(ROWS($1:49)&gt;COUNT(Dong14),"",IF(OFFSET(TH!N$1,SMALL(Dong14,ROWS($1:49)),)="131",OFFSET(TH!O$1,SMALL(Dong14,ROWS($1:49)),),OFFSET(TH!N$1,SMALL(Dong14,ROWS($1:49)),)))</f>
        <v/>
      </c>
      <c r="F65" s="866">
        <f ca="1">IF(ROWS($1:49)&gt;COUNT(Dong14),0,OFFSET(TH!L$1,SMALL(Dong14,ROWS($1:49)),))</f>
        <v>0</v>
      </c>
      <c r="G65" s="866"/>
      <c r="H65" s="867">
        <f ca="1">IF(ROWS($1:49)&gt;COUNT(Dong14),0,IF(OFFSET(TH!N$1,SMALL(Dong14,ROWS($1:49)),)="131",OFFSET(TH!K$1,SMALL(Dong14,ROWS($1:49)),),0))</f>
        <v>0</v>
      </c>
      <c r="I65" s="866">
        <f ca="1">IF(ROWS($1:49)&gt;COUNT(Dong14),0,IF(OFFSET(TH!N$1,SMALL(Dong14,ROWS($1:49)),)="131",OFFSET(TH!M$1,SMALL(Dong14,ROWS($1:49)),),0))</f>
        <v>0</v>
      </c>
      <c r="J65" s="867">
        <f ca="1">IF(ROWS($1:49)&gt;COUNT(Dong14),0,IF(OFFSET(TH!O$1,SMALL(Dong14,ROWS($1:49)),)="131",OFFSET(TH!K$1,SMALL(Dong14,ROWS($1:49)),),0))</f>
        <v>0</v>
      </c>
      <c r="K65" s="866">
        <f ca="1">IF(ROWS($1:49)&gt;COUNT(Dong14),0,IF(OFFSET(TH!O$1,SMALL(Dong14,ROWS($1:49)),)="131",OFFSET(TH!M$1,SMALL(Dong14,ROWS($1:49)),),0))</f>
        <v>0</v>
      </c>
      <c r="L65" s="860">
        <f t="shared" ca="1" si="6"/>
        <v>0</v>
      </c>
      <c r="M65" s="859">
        <f t="shared" ca="1" si="7"/>
        <v>0</v>
      </c>
      <c r="N65" s="860">
        <f t="shared" ca="1" si="8"/>
        <v>0</v>
      </c>
      <c r="O65" s="859">
        <f t="shared" ca="1" si="9"/>
        <v>0</v>
      </c>
    </row>
    <row r="66" spans="1:17" s="5" customFormat="1" ht="24.75" hidden="1" customHeight="1">
      <c r="A66" s="214" t="str">
        <f t="shared" ca="1" si="5"/>
        <v/>
      </c>
      <c r="B66" s="217" t="str">
        <f ca="1">IF(ROWS($1:50)&gt;COUNT(Dong14),"",OFFSET(TH!D$1,SMALL(Dong14,ROWS($1:50)),))</f>
        <v/>
      </c>
      <c r="C66" s="214" t="str">
        <f ca="1">IF(ROWS($1:50)&gt;COUNT(Dong14),"",OFFSET(TH!E$1,SMALL(Dong14,ROWS($1:50)),))</f>
        <v/>
      </c>
      <c r="D66" s="868" t="str">
        <f ca="1">IF(ROWS($1:50)&gt;COUNT(Dong14),"",OFFSET(TH!F$1,SMALL(Dong14,ROWS($1:50)),))</f>
        <v/>
      </c>
      <c r="E66" s="866" t="str">
        <f ca="1">IF(ROWS($1:50)&gt;COUNT(Dong14),"",IF(OFFSET(TH!N$1,SMALL(Dong14,ROWS($1:50)),)="131",OFFSET(TH!O$1,SMALL(Dong14,ROWS($1:50)),),OFFSET(TH!N$1,SMALL(Dong14,ROWS($1:50)),)))</f>
        <v/>
      </c>
      <c r="F66" s="866">
        <f ca="1">IF(ROWS($1:50)&gt;COUNT(Dong14),0,OFFSET(TH!L$1,SMALL(Dong14,ROWS($1:50)),))</f>
        <v>0</v>
      </c>
      <c r="G66" s="866"/>
      <c r="H66" s="867">
        <f ca="1">IF(ROWS($1:50)&gt;COUNT(Dong14),0,IF(OFFSET(TH!N$1,SMALL(Dong14,ROWS($1:50)),)="131",OFFSET(TH!K$1,SMALL(Dong14,ROWS($1:50)),),0))</f>
        <v>0</v>
      </c>
      <c r="I66" s="866">
        <f ca="1">IF(ROWS($1:50)&gt;COUNT(Dong14),0,IF(OFFSET(TH!N$1,SMALL(Dong14,ROWS($1:50)),)="131",OFFSET(TH!M$1,SMALL(Dong14,ROWS($1:50)),),0))</f>
        <v>0</v>
      </c>
      <c r="J66" s="867">
        <f ca="1">IF(ROWS($1:50)&gt;COUNT(Dong14),0,IF(OFFSET(TH!O$1,SMALL(Dong14,ROWS($1:50)),)="131",OFFSET(TH!K$1,SMALL(Dong14,ROWS($1:50)),),0))</f>
        <v>0</v>
      </c>
      <c r="K66" s="866">
        <f ca="1">IF(ROWS($1:50)&gt;COUNT(Dong14),0,IF(OFFSET(TH!O$1,SMALL(Dong14,ROWS($1:50)),)="131",OFFSET(TH!M$1,SMALL(Dong14,ROWS($1:50)),),0))</f>
        <v>0</v>
      </c>
      <c r="L66" s="860">
        <f t="shared" ca="1" si="6"/>
        <v>0</v>
      </c>
      <c r="M66" s="859">
        <f t="shared" ca="1" si="7"/>
        <v>0</v>
      </c>
      <c r="N66" s="860">
        <f t="shared" ca="1" si="8"/>
        <v>0</v>
      </c>
      <c r="O66" s="859">
        <f t="shared" ca="1" si="9"/>
        <v>0</v>
      </c>
      <c r="Q66" s="238"/>
    </row>
    <row r="67" spans="1:17" s="5" customFormat="1" ht="31.5" hidden="1" customHeight="1">
      <c r="A67" s="214" t="str">
        <f t="shared" ca="1" si="5"/>
        <v/>
      </c>
      <c r="B67" s="217" t="str">
        <f ca="1">IF(ROWS($1:51)&gt;COUNT(Dong14),"",OFFSET(TH!D$1,SMALL(Dong14,ROWS($1:51)),))</f>
        <v/>
      </c>
      <c r="C67" s="214" t="str">
        <f ca="1">IF(ROWS($1:51)&gt;COUNT(Dong14),"",OFFSET(TH!E$1,SMALL(Dong14,ROWS($1:51)),))</f>
        <v/>
      </c>
      <c r="D67" s="868" t="str">
        <f ca="1">IF(ROWS($1:51)&gt;COUNT(Dong14),"",OFFSET(TH!F$1,SMALL(Dong14,ROWS($1:51)),))</f>
        <v/>
      </c>
      <c r="E67" s="866" t="str">
        <f ca="1">IF(ROWS($1:51)&gt;COUNT(Dong14),"",IF(OFFSET(TH!N$1,SMALL(Dong14,ROWS($1:51)),)="131",OFFSET(TH!O$1,SMALL(Dong14,ROWS($1:51)),),OFFSET(TH!N$1,SMALL(Dong14,ROWS($1:51)),)))</f>
        <v/>
      </c>
      <c r="F67" s="866">
        <f ca="1">IF(ROWS($1:51)&gt;COUNT(Dong14),0,OFFSET(TH!L$1,SMALL(Dong14,ROWS($1:51)),))</f>
        <v>0</v>
      </c>
      <c r="G67" s="866"/>
      <c r="H67" s="867">
        <f ca="1">IF(ROWS($1:51)&gt;COUNT(Dong14),0,IF(OFFSET(TH!N$1,SMALL(Dong14,ROWS($1:51)),)="131",OFFSET(TH!K$1,SMALL(Dong14,ROWS($1:51)),),0))</f>
        <v>0</v>
      </c>
      <c r="I67" s="866">
        <f ca="1">IF(ROWS($1:51)&gt;COUNT(Dong14),0,IF(OFFSET(TH!N$1,SMALL(Dong14,ROWS($1:51)),)="131",OFFSET(TH!M$1,SMALL(Dong14,ROWS($1:51)),),0))</f>
        <v>0</v>
      </c>
      <c r="J67" s="867">
        <f ca="1">IF(ROWS($1:51)&gt;COUNT(Dong14),0,IF(OFFSET(TH!O$1,SMALL(Dong14,ROWS($1:51)),)="131",OFFSET(TH!K$1,SMALL(Dong14,ROWS($1:51)),),0))</f>
        <v>0</v>
      </c>
      <c r="K67" s="866">
        <f ca="1">IF(ROWS($1:51)&gt;COUNT(Dong14),0,IF(OFFSET(TH!O$1,SMALL(Dong14,ROWS($1:51)),)="131",OFFSET(TH!M$1,SMALL(Dong14,ROWS($1:51)),),0))</f>
        <v>0</v>
      </c>
      <c r="L67" s="860">
        <f t="shared" ca="1" si="6"/>
        <v>0</v>
      </c>
      <c r="M67" s="859">
        <f t="shared" ca="1" si="7"/>
        <v>0</v>
      </c>
      <c r="N67" s="860">
        <f t="shared" ca="1" si="8"/>
        <v>0</v>
      </c>
      <c r="O67" s="859">
        <f t="shared" ca="1" si="9"/>
        <v>0</v>
      </c>
    </row>
    <row r="68" spans="1:17" s="5" customFormat="1" ht="24.75" hidden="1" customHeight="1">
      <c r="A68" s="214" t="str">
        <f t="shared" ca="1" si="5"/>
        <v/>
      </c>
      <c r="B68" s="217" t="str">
        <f ca="1">IF(ROWS($1:52)&gt;COUNT(Dong14),"",OFFSET(TH!D$1,SMALL(Dong14,ROWS($1:52)),))</f>
        <v/>
      </c>
      <c r="C68" s="214" t="str">
        <f ca="1">IF(ROWS($1:52)&gt;COUNT(Dong14),"",OFFSET(TH!E$1,SMALL(Dong14,ROWS($1:52)),))</f>
        <v/>
      </c>
      <c r="D68" s="868" t="str">
        <f ca="1">IF(ROWS($1:52)&gt;COUNT(Dong14),"",OFFSET(TH!F$1,SMALL(Dong14,ROWS($1:52)),))</f>
        <v/>
      </c>
      <c r="E68" s="866" t="str">
        <f ca="1">IF(ROWS($1:52)&gt;COUNT(Dong14),"",IF(OFFSET(TH!N$1,SMALL(Dong14,ROWS($1:52)),)="131",OFFSET(TH!O$1,SMALL(Dong14,ROWS($1:52)),),OFFSET(TH!N$1,SMALL(Dong14,ROWS($1:52)),)))</f>
        <v/>
      </c>
      <c r="F68" s="866">
        <f ca="1">IF(ROWS($1:52)&gt;COUNT(Dong14),0,OFFSET(TH!L$1,SMALL(Dong14,ROWS($1:52)),))</f>
        <v>0</v>
      </c>
      <c r="G68" s="866"/>
      <c r="H68" s="867">
        <f ca="1">IF(ROWS($1:52)&gt;COUNT(Dong14),0,IF(OFFSET(TH!N$1,SMALL(Dong14,ROWS($1:52)),)="131",OFFSET(TH!K$1,SMALL(Dong14,ROWS($1:52)),),0))</f>
        <v>0</v>
      </c>
      <c r="I68" s="866">
        <f ca="1">IF(ROWS($1:52)&gt;COUNT(Dong14),0,IF(OFFSET(TH!N$1,SMALL(Dong14,ROWS($1:52)),)="131",OFFSET(TH!M$1,SMALL(Dong14,ROWS($1:52)),),0))</f>
        <v>0</v>
      </c>
      <c r="J68" s="867">
        <f ca="1">IF(ROWS($1:52)&gt;COUNT(Dong14),0,IF(OFFSET(TH!O$1,SMALL(Dong14,ROWS($1:52)),)="131",OFFSET(TH!K$1,SMALL(Dong14,ROWS($1:52)),),0))</f>
        <v>0</v>
      </c>
      <c r="K68" s="866">
        <f ca="1">IF(ROWS($1:52)&gt;COUNT(Dong14),0,IF(OFFSET(TH!O$1,SMALL(Dong14,ROWS($1:52)),)="131",OFFSET(TH!M$1,SMALL(Dong14,ROWS($1:52)),),0))</f>
        <v>0</v>
      </c>
      <c r="L68" s="860">
        <f t="shared" ca="1" si="6"/>
        <v>0</v>
      </c>
      <c r="M68" s="859">
        <f t="shared" ca="1" si="7"/>
        <v>0</v>
      </c>
      <c r="N68" s="860">
        <f t="shared" ca="1" si="8"/>
        <v>0</v>
      </c>
      <c r="O68" s="859">
        <f t="shared" ca="1" si="9"/>
        <v>0</v>
      </c>
    </row>
    <row r="69" spans="1:17" s="5" customFormat="1" ht="24.75" hidden="1" customHeight="1">
      <c r="A69" s="214" t="str">
        <f t="shared" ca="1" si="5"/>
        <v/>
      </c>
      <c r="B69" s="217" t="str">
        <f ca="1">IF(ROWS($1:53)&gt;COUNT(Dong14),"",OFFSET(TH!D$1,SMALL(Dong14,ROWS($1:53)),))</f>
        <v/>
      </c>
      <c r="C69" s="214" t="str">
        <f ca="1">IF(ROWS($1:53)&gt;COUNT(Dong14),"",OFFSET(TH!E$1,SMALL(Dong14,ROWS($1:53)),))</f>
        <v/>
      </c>
      <c r="D69" s="868" t="str">
        <f ca="1">IF(ROWS($1:53)&gt;COUNT(Dong14),"",OFFSET(TH!F$1,SMALL(Dong14,ROWS($1:53)),))</f>
        <v/>
      </c>
      <c r="E69" s="866" t="str">
        <f ca="1">IF(ROWS($1:53)&gt;COUNT(Dong14),"",IF(OFFSET(TH!N$1,SMALL(Dong14,ROWS($1:53)),)="131",OFFSET(TH!O$1,SMALL(Dong14,ROWS($1:53)),),OFFSET(TH!N$1,SMALL(Dong14,ROWS($1:53)),)))</f>
        <v/>
      </c>
      <c r="F69" s="866">
        <f ca="1">IF(ROWS($1:53)&gt;COUNT(Dong14),0,OFFSET(TH!L$1,SMALL(Dong14,ROWS($1:53)),))</f>
        <v>0</v>
      </c>
      <c r="G69" s="866"/>
      <c r="H69" s="867">
        <f ca="1">IF(ROWS($1:53)&gt;COUNT(Dong14),0,IF(OFFSET(TH!N$1,SMALL(Dong14,ROWS($1:53)),)="131",OFFSET(TH!K$1,SMALL(Dong14,ROWS($1:53)),),0))</f>
        <v>0</v>
      </c>
      <c r="I69" s="866">
        <f ca="1">IF(ROWS($1:53)&gt;COUNT(Dong14),0,IF(OFFSET(TH!N$1,SMALL(Dong14,ROWS($1:53)),)="131",OFFSET(TH!M$1,SMALL(Dong14,ROWS($1:53)),),0))</f>
        <v>0</v>
      </c>
      <c r="J69" s="867">
        <f ca="1">IF(ROWS($1:53)&gt;COUNT(Dong14),0,IF(OFFSET(TH!O$1,SMALL(Dong14,ROWS($1:53)),)="131",OFFSET(TH!K$1,SMALL(Dong14,ROWS($1:53)),),0))</f>
        <v>0</v>
      </c>
      <c r="K69" s="866">
        <f ca="1">IF(ROWS($1:53)&gt;COUNT(Dong14),0,IF(OFFSET(TH!O$1,SMALL(Dong14,ROWS($1:53)),)="131",OFFSET(TH!M$1,SMALL(Dong14,ROWS($1:53)),),0))</f>
        <v>0</v>
      </c>
      <c r="L69" s="860">
        <f t="shared" ca="1" si="6"/>
        <v>0</v>
      </c>
      <c r="M69" s="859">
        <f t="shared" ca="1" si="7"/>
        <v>0</v>
      </c>
      <c r="N69" s="860">
        <f t="shared" ca="1" si="8"/>
        <v>0</v>
      </c>
      <c r="O69" s="859">
        <f t="shared" ca="1" si="9"/>
        <v>0</v>
      </c>
    </row>
    <row r="70" spans="1:17" s="5" customFormat="1" ht="24.75" hidden="1" customHeight="1">
      <c r="A70" s="214" t="str">
        <f t="shared" ca="1" si="5"/>
        <v/>
      </c>
      <c r="B70" s="217" t="str">
        <f ca="1">IF(ROWS($1:54)&gt;COUNT(Dong14),"",OFFSET(TH!D$1,SMALL(Dong14,ROWS($1:54)),))</f>
        <v/>
      </c>
      <c r="C70" s="214" t="str">
        <f ca="1">IF(ROWS($1:54)&gt;COUNT(Dong14),"",OFFSET(TH!E$1,SMALL(Dong14,ROWS($1:54)),))</f>
        <v/>
      </c>
      <c r="D70" s="868" t="str">
        <f ca="1">IF(ROWS($1:54)&gt;COUNT(Dong14),"",OFFSET(TH!F$1,SMALL(Dong14,ROWS($1:54)),))</f>
        <v/>
      </c>
      <c r="E70" s="866" t="str">
        <f ca="1">IF(ROWS($1:54)&gt;COUNT(Dong14),"",IF(OFFSET(TH!N$1,SMALL(Dong14,ROWS($1:54)),)="131",OFFSET(TH!O$1,SMALL(Dong14,ROWS($1:54)),),OFFSET(TH!N$1,SMALL(Dong14,ROWS($1:54)),)))</f>
        <v/>
      </c>
      <c r="F70" s="866">
        <f ca="1">IF(ROWS($1:54)&gt;COUNT(Dong14),0,OFFSET(TH!L$1,SMALL(Dong14,ROWS($1:54)),))</f>
        <v>0</v>
      </c>
      <c r="G70" s="866"/>
      <c r="H70" s="867">
        <f ca="1">IF(ROWS($1:54)&gt;COUNT(Dong14),0,IF(OFFSET(TH!N$1,SMALL(Dong14,ROWS($1:54)),)="131",OFFSET(TH!K$1,SMALL(Dong14,ROWS($1:54)),),0))</f>
        <v>0</v>
      </c>
      <c r="I70" s="866">
        <f ca="1">IF(ROWS($1:54)&gt;COUNT(Dong14),0,IF(OFFSET(TH!N$1,SMALL(Dong14,ROWS($1:54)),)="131",OFFSET(TH!M$1,SMALL(Dong14,ROWS($1:54)),),0))</f>
        <v>0</v>
      </c>
      <c r="J70" s="867">
        <f ca="1">IF(ROWS($1:54)&gt;COUNT(Dong14),0,IF(OFFSET(TH!O$1,SMALL(Dong14,ROWS($1:54)),)="131",OFFSET(TH!K$1,SMALL(Dong14,ROWS($1:54)),),0))</f>
        <v>0</v>
      </c>
      <c r="K70" s="866">
        <f ca="1">IF(ROWS($1:54)&gt;COUNT(Dong14),0,IF(OFFSET(TH!O$1,SMALL(Dong14,ROWS($1:54)),)="131",OFFSET(TH!M$1,SMALL(Dong14,ROWS($1:54)),),0))</f>
        <v>0</v>
      </c>
      <c r="L70" s="860">
        <f t="shared" ca="1" si="6"/>
        <v>0</v>
      </c>
      <c r="M70" s="859">
        <f t="shared" ca="1" si="7"/>
        <v>0</v>
      </c>
      <c r="N70" s="860">
        <f t="shared" ca="1" si="8"/>
        <v>0</v>
      </c>
      <c r="O70" s="859">
        <f t="shared" ca="1" si="9"/>
        <v>0</v>
      </c>
    </row>
    <row r="71" spans="1:17" s="5" customFormat="1" ht="24.75" hidden="1" customHeight="1">
      <c r="A71" s="214" t="str">
        <f t="shared" ca="1" si="5"/>
        <v/>
      </c>
      <c r="B71" s="217" t="str">
        <f ca="1">IF(ROWS($1:55)&gt;COUNT(Dong14),"",OFFSET(TH!D$1,SMALL(Dong14,ROWS($1:55)),))</f>
        <v/>
      </c>
      <c r="C71" s="214" t="str">
        <f ca="1">IF(ROWS($1:55)&gt;COUNT(Dong14),"",OFFSET(TH!E$1,SMALL(Dong14,ROWS($1:55)),))</f>
        <v/>
      </c>
      <c r="D71" s="868" t="str">
        <f ca="1">IF(ROWS($1:55)&gt;COUNT(Dong14),"",OFFSET(TH!F$1,SMALL(Dong14,ROWS($1:55)),))</f>
        <v/>
      </c>
      <c r="E71" s="866" t="str">
        <f ca="1">IF(ROWS($1:55)&gt;COUNT(Dong14),"",IF(OFFSET(TH!N$1,SMALL(Dong14,ROWS($1:55)),)="131",OFFSET(TH!O$1,SMALL(Dong14,ROWS($1:55)),),OFFSET(TH!N$1,SMALL(Dong14,ROWS($1:55)),)))</f>
        <v/>
      </c>
      <c r="F71" s="866">
        <f ca="1">IF(ROWS($1:55)&gt;COUNT(Dong14),0,OFFSET(TH!L$1,SMALL(Dong14,ROWS($1:55)),))</f>
        <v>0</v>
      </c>
      <c r="G71" s="866"/>
      <c r="H71" s="867">
        <f ca="1">IF(ROWS($1:55)&gt;COUNT(Dong14),0,IF(OFFSET(TH!N$1,SMALL(Dong14,ROWS($1:55)),)="131",OFFSET(TH!K$1,SMALL(Dong14,ROWS($1:55)),),0))</f>
        <v>0</v>
      </c>
      <c r="I71" s="866">
        <f ca="1">IF(ROWS($1:55)&gt;COUNT(Dong14),0,IF(OFFSET(TH!N$1,SMALL(Dong14,ROWS($1:55)),)="131",OFFSET(TH!M$1,SMALL(Dong14,ROWS($1:55)),),0))</f>
        <v>0</v>
      </c>
      <c r="J71" s="867">
        <f ca="1">IF(ROWS($1:55)&gt;COUNT(Dong14),0,IF(OFFSET(TH!O$1,SMALL(Dong14,ROWS($1:55)),)="131",OFFSET(TH!K$1,SMALL(Dong14,ROWS($1:55)),),0))</f>
        <v>0</v>
      </c>
      <c r="K71" s="866">
        <f ca="1">IF(ROWS($1:55)&gt;COUNT(Dong14),0,IF(OFFSET(TH!O$1,SMALL(Dong14,ROWS($1:55)),)="131",OFFSET(TH!M$1,SMALL(Dong14,ROWS($1:55)),),0))</f>
        <v>0</v>
      </c>
      <c r="L71" s="860">
        <f t="shared" ca="1" si="6"/>
        <v>0</v>
      </c>
      <c r="M71" s="859">
        <f t="shared" ca="1" si="7"/>
        <v>0</v>
      </c>
      <c r="N71" s="860">
        <f t="shared" ca="1" si="8"/>
        <v>0</v>
      </c>
      <c r="O71" s="859">
        <f t="shared" ca="1" si="9"/>
        <v>0</v>
      </c>
    </row>
    <row r="72" spans="1:17" s="5" customFormat="1" ht="24.75" hidden="1" customHeight="1">
      <c r="A72" s="214" t="str">
        <f t="shared" ca="1" si="5"/>
        <v/>
      </c>
      <c r="B72" s="217" t="str">
        <f ca="1">IF(ROWS($1:56)&gt;COUNT(Dong14),"",OFFSET(TH!D$1,SMALL(Dong14,ROWS($1:56)),))</f>
        <v/>
      </c>
      <c r="C72" s="214" t="str">
        <f ca="1">IF(ROWS($1:56)&gt;COUNT(Dong14),"",OFFSET(TH!E$1,SMALL(Dong14,ROWS($1:56)),))</f>
        <v/>
      </c>
      <c r="D72" s="868" t="str">
        <f ca="1">IF(ROWS($1:56)&gt;COUNT(Dong14),"",OFFSET(TH!F$1,SMALL(Dong14,ROWS($1:56)),))</f>
        <v/>
      </c>
      <c r="E72" s="866" t="str">
        <f ca="1">IF(ROWS($1:56)&gt;COUNT(Dong14),"",IF(OFFSET(TH!N$1,SMALL(Dong14,ROWS($1:56)),)="131",OFFSET(TH!O$1,SMALL(Dong14,ROWS($1:56)),),OFFSET(TH!N$1,SMALL(Dong14,ROWS($1:56)),)))</f>
        <v/>
      </c>
      <c r="F72" s="866">
        <f ca="1">IF(ROWS($1:56)&gt;COUNT(Dong14),0,OFFSET(TH!L$1,SMALL(Dong14,ROWS($1:56)),))</f>
        <v>0</v>
      </c>
      <c r="G72" s="866"/>
      <c r="H72" s="867">
        <f ca="1">IF(ROWS($1:56)&gt;COUNT(Dong14),0,IF(OFFSET(TH!N$1,SMALL(Dong14,ROWS($1:56)),)="131",OFFSET(TH!K$1,SMALL(Dong14,ROWS($1:56)),),0))</f>
        <v>0</v>
      </c>
      <c r="I72" s="866">
        <f ca="1">IF(ROWS($1:56)&gt;COUNT(Dong14),0,IF(OFFSET(TH!N$1,SMALL(Dong14,ROWS($1:56)),)="131",OFFSET(TH!M$1,SMALL(Dong14,ROWS($1:56)),),0))</f>
        <v>0</v>
      </c>
      <c r="J72" s="867">
        <f ca="1">IF(ROWS($1:56)&gt;COUNT(Dong14),0,IF(OFFSET(TH!O$1,SMALL(Dong14,ROWS($1:56)),)="131",OFFSET(TH!K$1,SMALL(Dong14,ROWS($1:56)),),0))</f>
        <v>0</v>
      </c>
      <c r="K72" s="866">
        <f ca="1">IF(ROWS($1:56)&gt;COUNT(Dong14),0,IF(OFFSET(TH!O$1,SMALL(Dong14,ROWS($1:56)),)="131",OFFSET(TH!M$1,SMALL(Dong14,ROWS($1:56)),),0))</f>
        <v>0</v>
      </c>
      <c r="L72" s="860">
        <f t="shared" ca="1" si="6"/>
        <v>0</v>
      </c>
      <c r="M72" s="859">
        <f t="shared" ca="1" si="7"/>
        <v>0</v>
      </c>
      <c r="N72" s="860">
        <f t="shared" ca="1" si="8"/>
        <v>0</v>
      </c>
      <c r="O72" s="859">
        <f t="shared" ca="1" si="9"/>
        <v>0</v>
      </c>
    </row>
    <row r="73" spans="1:17" s="5" customFormat="1" ht="24.75" hidden="1" customHeight="1">
      <c r="A73" s="214" t="str">
        <f t="shared" ca="1" si="5"/>
        <v/>
      </c>
      <c r="B73" s="217" t="str">
        <f ca="1">IF(ROWS($1:57)&gt;COUNT(Dong14),"",OFFSET(TH!D$1,SMALL(Dong14,ROWS($1:57)),))</f>
        <v/>
      </c>
      <c r="C73" s="214" t="str">
        <f ca="1">IF(ROWS($1:57)&gt;COUNT(Dong14),"",OFFSET(TH!E$1,SMALL(Dong14,ROWS($1:57)),))</f>
        <v/>
      </c>
      <c r="D73" s="868" t="str">
        <f ca="1">IF(ROWS($1:57)&gt;COUNT(Dong14),"",OFFSET(TH!F$1,SMALL(Dong14,ROWS($1:57)),))</f>
        <v/>
      </c>
      <c r="E73" s="866" t="str">
        <f ca="1">IF(ROWS($1:57)&gt;COUNT(Dong14),"",IF(OFFSET(TH!N$1,SMALL(Dong14,ROWS($1:57)),)="131",OFFSET(TH!O$1,SMALL(Dong14,ROWS($1:57)),),OFFSET(TH!N$1,SMALL(Dong14,ROWS($1:57)),)))</f>
        <v/>
      </c>
      <c r="F73" s="866">
        <f ca="1">IF(ROWS($1:57)&gt;COUNT(Dong14),0,OFFSET(TH!L$1,SMALL(Dong14,ROWS($1:57)),))</f>
        <v>0</v>
      </c>
      <c r="G73" s="866"/>
      <c r="H73" s="867">
        <f ca="1">IF(ROWS($1:57)&gt;COUNT(Dong14),0,IF(OFFSET(TH!N$1,SMALL(Dong14,ROWS($1:57)),)="131",OFFSET(TH!K$1,SMALL(Dong14,ROWS($1:57)),),0))</f>
        <v>0</v>
      </c>
      <c r="I73" s="866">
        <f ca="1">IF(ROWS($1:57)&gt;COUNT(Dong14),0,IF(OFFSET(TH!N$1,SMALL(Dong14,ROWS($1:57)),)="131",OFFSET(TH!M$1,SMALL(Dong14,ROWS($1:57)),),0))</f>
        <v>0</v>
      </c>
      <c r="J73" s="867">
        <f ca="1">IF(ROWS($1:57)&gt;COUNT(Dong14),0,IF(OFFSET(TH!O$1,SMALL(Dong14,ROWS($1:57)),)="131",OFFSET(TH!K$1,SMALL(Dong14,ROWS($1:57)),),0))</f>
        <v>0</v>
      </c>
      <c r="K73" s="866">
        <f ca="1">IF(ROWS($1:57)&gt;COUNT(Dong14),0,IF(OFFSET(TH!O$1,SMALL(Dong14,ROWS($1:57)),)="131",OFFSET(TH!M$1,SMALL(Dong14,ROWS($1:57)),),0))</f>
        <v>0</v>
      </c>
      <c r="L73" s="860">
        <f t="shared" ca="1" si="6"/>
        <v>0</v>
      </c>
      <c r="M73" s="859">
        <f t="shared" ca="1" si="7"/>
        <v>0</v>
      </c>
      <c r="N73" s="860">
        <f t="shared" ca="1" si="8"/>
        <v>0</v>
      </c>
      <c r="O73" s="859">
        <f t="shared" ca="1" si="9"/>
        <v>0</v>
      </c>
    </row>
    <row r="74" spans="1:17" s="5" customFormat="1" ht="24.75" hidden="1" customHeight="1">
      <c r="A74" s="214" t="str">
        <f t="shared" ca="1" si="5"/>
        <v/>
      </c>
      <c r="B74" s="217" t="str">
        <f ca="1">IF(ROWS($1:58)&gt;COUNT(Dong14),"",OFFSET(TH!D$1,SMALL(Dong14,ROWS($1:58)),))</f>
        <v/>
      </c>
      <c r="C74" s="214" t="str">
        <f ca="1">IF(ROWS($1:58)&gt;COUNT(Dong14),"",OFFSET(TH!E$1,SMALL(Dong14,ROWS($1:58)),))</f>
        <v/>
      </c>
      <c r="D74" s="868" t="str">
        <f ca="1">IF(ROWS($1:58)&gt;COUNT(Dong14),"",OFFSET(TH!F$1,SMALL(Dong14,ROWS($1:58)),))</f>
        <v/>
      </c>
      <c r="E74" s="866" t="str">
        <f ca="1">IF(ROWS($1:58)&gt;COUNT(Dong14),"",IF(OFFSET(TH!N$1,SMALL(Dong14,ROWS($1:58)),)="131",OFFSET(TH!O$1,SMALL(Dong14,ROWS($1:58)),),OFFSET(TH!N$1,SMALL(Dong14,ROWS($1:58)),)))</f>
        <v/>
      </c>
      <c r="F74" s="866">
        <f ca="1">IF(ROWS($1:58)&gt;COUNT(Dong14),0,OFFSET(TH!L$1,SMALL(Dong14,ROWS($1:58)),))</f>
        <v>0</v>
      </c>
      <c r="G74" s="866"/>
      <c r="H74" s="867">
        <f ca="1">IF(ROWS($1:58)&gt;COUNT(Dong14),0,IF(OFFSET(TH!N$1,SMALL(Dong14,ROWS($1:58)),)="131",OFFSET(TH!K$1,SMALL(Dong14,ROWS($1:58)),),0))</f>
        <v>0</v>
      </c>
      <c r="I74" s="866">
        <f ca="1">IF(ROWS($1:58)&gt;COUNT(Dong14),0,IF(OFFSET(TH!N$1,SMALL(Dong14,ROWS($1:58)),)="131",OFFSET(TH!M$1,SMALL(Dong14,ROWS($1:58)),),0))</f>
        <v>0</v>
      </c>
      <c r="J74" s="867">
        <f ca="1">IF(ROWS($1:58)&gt;COUNT(Dong14),0,IF(OFFSET(TH!O$1,SMALL(Dong14,ROWS($1:58)),)="131",OFFSET(TH!K$1,SMALL(Dong14,ROWS($1:58)),),0))</f>
        <v>0</v>
      </c>
      <c r="K74" s="866">
        <f ca="1">IF(ROWS($1:58)&gt;COUNT(Dong14),0,IF(OFFSET(TH!O$1,SMALL(Dong14,ROWS($1:58)),)="131",OFFSET(TH!M$1,SMALL(Dong14,ROWS($1:58)),),0))</f>
        <v>0</v>
      </c>
      <c r="L74" s="860">
        <f t="shared" ca="1" si="6"/>
        <v>0</v>
      </c>
      <c r="M74" s="859">
        <f t="shared" ca="1" si="7"/>
        <v>0</v>
      </c>
      <c r="N74" s="860">
        <f t="shared" ca="1" si="8"/>
        <v>0</v>
      </c>
      <c r="O74" s="859">
        <f t="shared" ca="1" si="9"/>
        <v>0</v>
      </c>
    </row>
    <row r="75" spans="1:17" s="5" customFormat="1" ht="24.75" hidden="1" customHeight="1">
      <c r="A75" s="214" t="str">
        <f t="shared" ca="1" si="5"/>
        <v/>
      </c>
      <c r="B75" s="217" t="str">
        <f ca="1">IF(ROWS($1:59)&gt;COUNT(Dong14),"",OFFSET(TH!D$1,SMALL(Dong14,ROWS($1:59)),))</f>
        <v/>
      </c>
      <c r="C75" s="214" t="str">
        <f ca="1">IF(ROWS($1:59)&gt;COUNT(Dong14),"",OFFSET(TH!E$1,SMALL(Dong14,ROWS($1:59)),))</f>
        <v/>
      </c>
      <c r="D75" s="868" t="str">
        <f ca="1">IF(ROWS($1:59)&gt;COUNT(Dong14),"",OFFSET(TH!F$1,SMALL(Dong14,ROWS($1:59)),))</f>
        <v/>
      </c>
      <c r="E75" s="866" t="str">
        <f ca="1">IF(ROWS($1:59)&gt;COUNT(Dong14),"",IF(OFFSET(TH!N$1,SMALL(Dong14,ROWS($1:59)),)="131",OFFSET(TH!O$1,SMALL(Dong14,ROWS($1:59)),),OFFSET(TH!N$1,SMALL(Dong14,ROWS($1:59)),)))</f>
        <v/>
      </c>
      <c r="F75" s="866">
        <f ca="1">IF(ROWS($1:59)&gt;COUNT(Dong14),0,OFFSET(TH!L$1,SMALL(Dong14,ROWS($1:59)),))</f>
        <v>0</v>
      </c>
      <c r="G75" s="866"/>
      <c r="H75" s="867">
        <f ca="1">IF(ROWS($1:59)&gt;COUNT(Dong14),0,IF(OFFSET(TH!N$1,SMALL(Dong14,ROWS($1:59)),)="131",OFFSET(TH!K$1,SMALL(Dong14,ROWS($1:59)),),0))</f>
        <v>0</v>
      </c>
      <c r="I75" s="866">
        <f ca="1">IF(ROWS($1:59)&gt;COUNT(Dong14),0,IF(OFFSET(TH!N$1,SMALL(Dong14,ROWS($1:59)),)="131",OFFSET(TH!M$1,SMALL(Dong14,ROWS($1:59)),),0))</f>
        <v>0</v>
      </c>
      <c r="J75" s="867">
        <f ca="1">IF(ROWS($1:59)&gt;COUNT(Dong14),0,IF(OFFSET(TH!O$1,SMALL(Dong14,ROWS($1:59)),)="131",OFFSET(TH!K$1,SMALL(Dong14,ROWS($1:59)),),0))</f>
        <v>0</v>
      </c>
      <c r="K75" s="866">
        <f ca="1">IF(ROWS($1:59)&gt;COUNT(Dong14),0,IF(OFFSET(TH!O$1,SMALL(Dong14,ROWS($1:59)),)="131",OFFSET(TH!M$1,SMALL(Dong14,ROWS($1:59)),),0))</f>
        <v>0</v>
      </c>
      <c r="L75" s="860">
        <f t="shared" ca="1" si="6"/>
        <v>0</v>
      </c>
      <c r="M75" s="859">
        <f t="shared" ca="1" si="7"/>
        <v>0</v>
      </c>
      <c r="N75" s="860">
        <f t="shared" ca="1" si="8"/>
        <v>0</v>
      </c>
      <c r="O75" s="859">
        <f t="shared" ca="1" si="9"/>
        <v>0</v>
      </c>
    </row>
    <row r="76" spans="1:17" s="5" customFormat="1" ht="24.75" hidden="1" customHeight="1">
      <c r="A76" s="214" t="str">
        <f t="shared" ca="1" si="5"/>
        <v/>
      </c>
      <c r="B76" s="217" t="str">
        <f ca="1">IF(ROWS($1:60)&gt;COUNT(Dong14),"",OFFSET(TH!D$1,SMALL(Dong14,ROWS($1:60)),))</f>
        <v/>
      </c>
      <c r="C76" s="214" t="str">
        <f ca="1">IF(ROWS($1:60)&gt;COUNT(Dong14),"",OFFSET(TH!E$1,SMALL(Dong14,ROWS($1:60)),))</f>
        <v/>
      </c>
      <c r="D76" s="868" t="str">
        <f ca="1">IF(ROWS($1:60)&gt;COUNT(Dong14),"",OFFSET(TH!F$1,SMALL(Dong14,ROWS($1:60)),))</f>
        <v/>
      </c>
      <c r="E76" s="866" t="str">
        <f ca="1">IF(ROWS($1:60)&gt;COUNT(Dong14),"",IF(OFFSET(TH!N$1,SMALL(Dong14,ROWS($1:60)),)="131",OFFSET(TH!O$1,SMALL(Dong14,ROWS($1:60)),),OFFSET(TH!N$1,SMALL(Dong14,ROWS($1:60)),)))</f>
        <v/>
      </c>
      <c r="F76" s="866">
        <f ca="1">IF(ROWS($1:60)&gt;COUNT(Dong14),0,OFFSET(TH!L$1,SMALL(Dong14,ROWS($1:60)),))</f>
        <v>0</v>
      </c>
      <c r="G76" s="866"/>
      <c r="H76" s="867">
        <f ca="1">IF(ROWS($1:60)&gt;COUNT(Dong14),0,IF(OFFSET(TH!N$1,SMALL(Dong14,ROWS($1:60)),)="131",OFFSET(TH!K$1,SMALL(Dong14,ROWS($1:60)),),0))</f>
        <v>0</v>
      </c>
      <c r="I76" s="866">
        <f ca="1">IF(ROWS($1:60)&gt;COUNT(Dong14),0,IF(OFFSET(TH!N$1,SMALL(Dong14,ROWS($1:60)),)="131",OFFSET(TH!M$1,SMALL(Dong14,ROWS($1:60)),),0))</f>
        <v>0</v>
      </c>
      <c r="J76" s="867">
        <f ca="1">IF(ROWS($1:60)&gt;COUNT(Dong14),0,IF(OFFSET(TH!O$1,SMALL(Dong14,ROWS($1:60)),)="131",OFFSET(TH!K$1,SMALL(Dong14,ROWS($1:60)),),0))</f>
        <v>0</v>
      </c>
      <c r="K76" s="866">
        <f ca="1">IF(ROWS($1:60)&gt;COUNT(Dong14),0,IF(OFFSET(TH!O$1,SMALL(Dong14,ROWS($1:60)),)="131",OFFSET(TH!M$1,SMALL(Dong14,ROWS($1:60)),),0))</f>
        <v>0</v>
      </c>
      <c r="L76" s="860">
        <f t="shared" ca="1" si="6"/>
        <v>0</v>
      </c>
      <c r="M76" s="859">
        <f t="shared" ca="1" si="7"/>
        <v>0</v>
      </c>
      <c r="N76" s="860">
        <f t="shared" ca="1" si="8"/>
        <v>0</v>
      </c>
      <c r="O76" s="859">
        <f t="shared" ca="1" si="9"/>
        <v>0</v>
      </c>
    </row>
    <row r="77" spans="1:17" s="5" customFormat="1" ht="24.75" hidden="1" customHeight="1">
      <c r="A77" s="214" t="str">
        <f t="shared" ca="1" si="5"/>
        <v/>
      </c>
      <c r="B77" s="217" t="str">
        <f ca="1">IF(ROWS($1:61)&gt;COUNT(Dong14),"",OFFSET(TH!D$1,SMALL(Dong14,ROWS($1:61)),))</f>
        <v/>
      </c>
      <c r="C77" s="214" t="str">
        <f ca="1">IF(ROWS($1:61)&gt;COUNT(Dong14),"",OFFSET(TH!E$1,SMALL(Dong14,ROWS($1:61)),))</f>
        <v/>
      </c>
      <c r="D77" s="868" t="str">
        <f ca="1">IF(ROWS($1:61)&gt;COUNT(Dong14),"",OFFSET(TH!F$1,SMALL(Dong14,ROWS($1:61)),))</f>
        <v/>
      </c>
      <c r="E77" s="866" t="str">
        <f ca="1">IF(ROWS($1:61)&gt;COUNT(Dong14),"",IF(OFFSET(TH!N$1,SMALL(Dong14,ROWS($1:61)),)="131",OFFSET(TH!O$1,SMALL(Dong14,ROWS($1:61)),),OFFSET(TH!N$1,SMALL(Dong14,ROWS($1:61)),)))</f>
        <v/>
      </c>
      <c r="F77" s="866">
        <f ca="1">IF(ROWS($1:61)&gt;COUNT(Dong14),0,OFFSET(TH!L$1,SMALL(Dong14,ROWS($1:61)),))</f>
        <v>0</v>
      </c>
      <c r="G77" s="866"/>
      <c r="H77" s="867">
        <f ca="1">IF(ROWS($1:61)&gt;COUNT(Dong14),0,IF(OFFSET(TH!N$1,SMALL(Dong14,ROWS($1:61)),)="131",OFFSET(TH!K$1,SMALL(Dong14,ROWS($1:61)),),0))</f>
        <v>0</v>
      </c>
      <c r="I77" s="866">
        <f ca="1">IF(ROWS($1:61)&gt;COUNT(Dong14),0,IF(OFFSET(TH!N$1,SMALL(Dong14,ROWS($1:61)),)="131",OFFSET(TH!M$1,SMALL(Dong14,ROWS($1:61)),),0))</f>
        <v>0</v>
      </c>
      <c r="J77" s="867">
        <f ca="1">IF(ROWS($1:61)&gt;COUNT(Dong14),0,IF(OFFSET(TH!O$1,SMALL(Dong14,ROWS($1:61)),)="131",OFFSET(TH!K$1,SMALL(Dong14,ROWS($1:61)),),0))</f>
        <v>0</v>
      </c>
      <c r="K77" s="866">
        <f ca="1">IF(ROWS($1:61)&gt;COUNT(Dong14),0,IF(OFFSET(TH!O$1,SMALL(Dong14,ROWS($1:61)),)="131",OFFSET(TH!M$1,SMALL(Dong14,ROWS($1:61)),),0))</f>
        <v>0</v>
      </c>
      <c r="L77" s="860">
        <f t="shared" ca="1" si="6"/>
        <v>0</v>
      </c>
      <c r="M77" s="859">
        <f t="shared" ca="1" si="7"/>
        <v>0</v>
      </c>
      <c r="N77" s="860">
        <f t="shared" ca="1" si="8"/>
        <v>0</v>
      </c>
      <c r="O77" s="859">
        <f t="shared" ca="1" si="9"/>
        <v>0</v>
      </c>
    </row>
    <row r="78" spans="1:17" s="5" customFormat="1" ht="24.75" hidden="1" customHeight="1">
      <c r="A78" s="214" t="str">
        <f t="shared" ca="1" si="5"/>
        <v/>
      </c>
      <c r="B78" s="217" t="str">
        <f ca="1">IF(ROWS($1:62)&gt;COUNT(Dong14),"",OFFSET(TH!D$1,SMALL(Dong14,ROWS($1:62)),))</f>
        <v/>
      </c>
      <c r="C78" s="214" t="str">
        <f ca="1">IF(ROWS($1:62)&gt;COUNT(Dong14),"",OFFSET(TH!E$1,SMALL(Dong14,ROWS($1:62)),))</f>
        <v/>
      </c>
      <c r="D78" s="868" t="str">
        <f ca="1">IF(ROWS($1:62)&gt;COUNT(Dong14),"",OFFSET(TH!F$1,SMALL(Dong14,ROWS($1:62)),))</f>
        <v/>
      </c>
      <c r="E78" s="866" t="str">
        <f ca="1">IF(ROWS($1:62)&gt;COUNT(Dong14),"",IF(OFFSET(TH!N$1,SMALL(Dong14,ROWS($1:62)),)="131",OFFSET(TH!O$1,SMALL(Dong14,ROWS($1:62)),),OFFSET(TH!N$1,SMALL(Dong14,ROWS($1:62)),)))</f>
        <v/>
      </c>
      <c r="F78" s="866">
        <f ca="1">IF(ROWS($1:62)&gt;COUNT(Dong14),0,OFFSET(TH!L$1,SMALL(Dong14,ROWS($1:62)),))</f>
        <v>0</v>
      </c>
      <c r="G78" s="866"/>
      <c r="H78" s="867">
        <f ca="1">IF(ROWS($1:62)&gt;COUNT(Dong14),0,IF(OFFSET(TH!N$1,SMALL(Dong14,ROWS($1:62)),)="131",OFFSET(TH!K$1,SMALL(Dong14,ROWS($1:62)),),0))</f>
        <v>0</v>
      </c>
      <c r="I78" s="866">
        <f ca="1">IF(ROWS($1:62)&gt;COUNT(Dong14),0,IF(OFFSET(TH!N$1,SMALL(Dong14,ROWS($1:62)),)="131",OFFSET(TH!M$1,SMALL(Dong14,ROWS($1:62)),),0))</f>
        <v>0</v>
      </c>
      <c r="J78" s="867">
        <f ca="1">IF(ROWS($1:62)&gt;COUNT(Dong14),0,IF(OFFSET(TH!O$1,SMALL(Dong14,ROWS($1:62)),)="131",OFFSET(TH!K$1,SMALL(Dong14,ROWS($1:62)),),0))</f>
        <v>0</v>
      </c>
      <c r="K78" s="866">
        <f ca="1">IF(ROWS($1:62)&gt;COUNT(Dong14),0,IF(OFFSET(TH!O$1,SMALL(Dong14,ROWS($1:62)),)="131",OFFSET(TH!M$1,SMALL(Dong14,ROWS($1:62)),),0))</f>
        <v>0</v>
      </c>
      <c r="L78" s="860">
        <f t="shared" ca="1" si="6"/>
        <v>0</v>
      </c>
      <c r="M78" s="859">
        <f t="shared" ca="1" si="7"/>
        <v>0</v>
      </c>
      <c r="N78" s="860">
        <f t="shared" ca="1" si="8"/>
        <v>0</v>
      </c>
      <c r="O78" s="859">
        <f t="shared" ca="1" si="9"/>
        <v>0</v>
      </c>
    </row>
    <row r="79" spans="1:17" s="5" customFormat="1" ht="24.75" hidden="1" customHeight="1">
      <c r="A79" s="214" t="str">
        <f t="shared" ref="A79" ca="1" si="10">IF(C79&lt;&gt;"",C79,"")</f>
        <v/>
      </c>
      <c r="B79" s="217" t="str">
        <f ca="1">IF(ROWS($1:63)&gt;COUNT(Dong14),"",OFFSET(TH!D$1,SMALL(Dong14,ROWS($1:63)),))</f>
        <v/>
      </c>
      <c r="C79" s="214" t="str">
        <f ca="1">IF(ROWS($1:63)&gt;COUNT(Dong14),"",OFFSET(TH!E$1,SMALL(Dong14,ROWS($1:63)),))</f>
        <v/>
      </c>
      <c r="D79" s="868" t="str">
        <f ca="1">IF(ROWS($1:63)&gt;COUNT(Dong14),"",OFFSET(TH!F$1,SMALL(Dong14,ROWS($1:63)),))</f>
        <v/>
      </c>
      <c r="E79" s="866" t="str">
        <f ca="1">IF(ROWS($1:63)&gt;COUNT(Dong14),"",IF(OFFSET(TH!N$1,SMALL(Dong14,ROWS($1:63)),)="131",OFFSET(TH!O$1,SMALL(Dong14,ROWS($1:63)),),OFFSET(TH!N$1,SMALL(Dong14,ROWS($1:63)),)))</f>
        <v/>
      </c>
      <c r="F79" s="866">
        <f ca="1">IF(ROWS($1:63)&gt;COUNT(Dong14),0,OFFSET(TH!L$1,SMALL(Dong14,ROWS($1:63)),))</f>
        <v>0</v>
      </c>
      <c r="G79" s="866"/>
      <c r="H79" s="867">
        <f ca="1">IF(ROWS($1:63)&gt;COUNT(Dong14),0,IF(OFFSET(TH!N$1,SMALL(Dong14,ROWS($1:63)),)="131",OFFSET(TH!K$1,SMALL(Dong14,ROWS($1:63)),),0))</f>
        <v>0</v>
      </c>
      <c r="I79" s="866">
        <f ca="1">IF(ROWS($1:63)&gt;COUNT(Dong14),0,IF(OFFSET(TH!N$1,SMALL(Dong14,ROWS($1:63)),)="131",OFFSET(TH!M$1,SMALL(Dong14,ROWS($1:63)),),0))</f>
        <v>0</v>
      </c>
      <c r="J79" s="867">
        <f ca="1">IF(ROWS($1:63)&gt;COUNT(Dong14),0,IF(OFFSET(TH!O$1,SMALL(Dong14,ROWS($1:63)),)="131",OFFSET(TH!K$1,SMALL(Dong14,ROWS($1:63)),),0))</f>
        <v>0</v>
      </c>
      <c r="K79" s="866">
        <f ca="1">IF(ROWS($1:63)&gt;COUNT(Dong14),0,IF(OFFSET(TH!O$1,SMALL(Dong14,ROWS($1:63)),)="131",OFFSET(TH!M$1,SMALL(Dong14,ROWS($1:63)),),0))</f>
        <v>0</v>
      </c>
      <c r="L79" s="860">
        <f t="shared" ref="L79" ca="1" si="11">IF(D79&lt;&gt;"",ROUND(MAX(L78+H79-J79-N78,0),2),0)</f>
        <v>0</v>
      </c>
      <c r="M79" s="859">
        <f t="shared" ref="M79" ca="1" si="12">IF(D79&lt;&gt;"",MAX(M78-O78+I79-K79,0),0)</f>
        <v>0</v>
      </c>
      <c r="N79" s="860">
        <f t="shared" ref="N79" ca="1" si="13">IF(D79&lt;&gt;"",ROUND(MAX(N78+J79-H79-L78,0),2),0)</f>
        <v>0</v>
      </c>
      <c r="O79" s="859">
        <f t="shared" ref="O79" ca="1" si="14">IF(D79&lt;&gt;"",MAX(O78-M78+K79-I79,0),0)</f>
        <v>0</v>
      </c>
    </row>
    <row r="80" spans="1:17" s="5" customFormat="1" ht="24.75" hidden="1" customHeight="1">
      <c r="A80" s="214" t="str">
        <f t="shared" ref="A80:A87" ca="1" si="15">IF(C80&lt;&gt;"",C80,"")</f>
        <v/>
      </c>
      <c r="B80" s="217" t="str">
        <f ca="1">IF(ROWS($1:64)&gt;COUNT(Dong14),"",OFFSET(TH!D$1,SMALL(Dong14,ROWS($1:64)),))</f>
        <v/>
      </c>
      <c r="C80" s="214" t="str">
        <f ca="1">IF(ROWS($1:64)&gt;COUNT(Dong14),"",OFFSET(TH!E$1,SMALL(Dong14,ROWS($1:64)),))</f>
        <v/>
      </c>
      <c r="D80" s="868" t="str">
        <f ca="1">IF(ROWS($1:64)&gt;COUNT(Dong14),"",OFFSET(TH!F$1,SMALL(Dong14,ROWS($1:64)),))</f>
        <v/>
      </c>
      <c r="E80" s="866" t="str">
        <f ca="1">IF(ROWS($1:64)&gt;COUNT(Dong14),"",IF(OFFSET(TH!N$1,SMALL(Dong14,ROWS($1:64)),)="131",OFFSET(TH!O$1,SMALL(Dong14,ROWS($1:64)),),OFFSET(TH!N$1,SMALL(Dong14,ROWS($1:64)),)))</f>
        <v/>
      </c>
      <c r="F80" s="866">
        <f ca="1">IF(ROWS($1:64)&gt;COUNT(Dong14),0,OFFSET(TH!L$1,SMALL(Dong14,ROWS($1:64)),))</f>
        <v>0</v>
      </c>
      <c r="G80" s="866"/>
      <c r="H80" s="867">
        <f ca="1">IF(ROWS($1:64)&gt;COUNT(Dong14),0,IF(OFFSET(TH!N$1,SMALL(Dong14,ROWS($1:64)),)="131",OFFSET(TH!K$1,SMALL(Dong14,ROWS($1:64)),),0))</f>
        <v>0</v>
      </c>
      <c r="I80" s="866">
        <f ca="1">IF(ROWS($1:64)&gt;COUNT(Dong14),0,IF(OFFSET(TH!N$1,SMALL(Dong14,ROWS($1:64)),)="131",OFFSET(TH!M$1,SMALL(Dong14,ROWS($1:64)),),0))</f>
        <v>0</v>
      </c>
      <c r="J80" s="867">
        <f ca="1">IF(ROWS($1:64)&gt;COUNT(Dong14),0,IF(OFFSET(TH!O$1,SMALL(Dong14,ROWS($1:64)),)="131",OFFSET(TH!K$1,SMALL(Dong14,ROWS($1:64)),),0))</f>
        <v>0</v>
      </c>
      <c r="K80" s="866">
        <f ca="1">IF(ROWS($1:64)&gt;COUNT(Dong14),0,IF(OFFSET(TH!O$1,SMALL(Dong14,ROWS($1:64)),)="131",OFFSET(TH!M$1,SMALL(Dong14,ROWS($1:64)),),0))</f>
        <v>0</v>
      </c>
      <c r="L80" s="860">
        <f t="shared" ref="L80:L87" ca="1" si="16">IF(D80&lt;&gt;"",ROUND(MAX(L79+H80-J80-N79,0),2),0)</f>
        <v>0</v>
      </c>
      <c r="M80" s="859">
        <f t="shared" ref="M80:M87" ca="1" si="17">IF(D80&lt;&gt;"",MAX(M79-O79+I80-K80,0),0)</f>
        <v>0</v>
      </c>
      <c r="N80" s="860">
        <f t="shared" ref="N80:N87" ca="1" si="18">IF(D80&lt;&gt;"",ROUND(MAX(N79+J80-H80-L79,0),2),0)</f>
        <v>0</v>
      </c>
      <c r="O80" s="859">
        <f t="shared" ref="O80:O87" ca="1" si="19">IF(D80&lt;&gt;"",MAX(O79-M79+K80-I80,0),0)</f>
        <v>0</v>
      </c>
    </row>
    <row r="81" spans="1:15" s="5" customFormat="1" ht="24.75" hidden="1" customHeight="1">
      <c r="A81" s="214" t="str">
        <f t="shared" ca="1" si="15"/>
        <v/>
      </c>
      <c r="B81" s="217" t="str">
        <f ca="1">IF(ROWS($1:65)&gt;COUNT(Dong14),"",OFFSET(TH!D$1,SMALL(Dong14,ROWS($1:65)),))</f>
        <v/>
      </c>
      <c r="C81" s="214" t="str">
        <f ca="1">IF(ROWS($1:65)&gt;COUNT(Dong14),"",OFFSET(TH!E$1,SMALL(Dong14,ROWS($1:65)),))</f>
        <v/>
      </c>
      <c r="D81" s="868" t="str">
        <f ca="1">IF(ROWS($1:65)&gt;COUNT(Dong14),"",OFFSET(TH!F$1,SMALL(Dong14,ROWS($1:65)),))</f>
        <v/>
      </c>
      <c r="E81" s="866" t="str">
        <f ca="1">IF(ROWS($1:65)&gt;COUNT(Dong14),"",IF(OFFSET(TH!N$1,SMALL(Dong14,ROWS($1:65)),)="131",OFFSET(TH!O$1,SMALL(Dong14,ROWS($1:65)),),OFFSET(TH!N$1,SMALL(Dong14,ROWS($1:65)),)))</f>
        <v/>
      </c>
      <c r="F81" s="866">
        <f ca="1">IF(ROWS($1:65)&gt;COUNT(Dong14),0,OFFSET(TH!L$1,SMALL(Dong14,ROWS($1:65)),))</f>
        <v>0</v>
      </c>
      <c r="G81" s="866"/>
      <c r="H81" s="867">
        <f ca="1">IF(ROWS($1:65)&gt;COUNT(Dong14),0,IF(OFFSET(TH!N$1,SMALL(Dong14,ROWS($1:65)),)="131",OFFSET(TH!K$1,SMALL(Dong14,ROWS($1:65)),),0))</f>
        <v>0</v>
      </c>
      <c r="I81" s="866">
        <f ca="1">IF(ROWS($1:65)&gt;COUNT(Dong14),0,IF(OFFSET(TH!N$1,SMALL(Dong14,ROWS($1:65)),)="131",OFFSET(TH!M$1,SMALL(Dong14,ROWS($1:65)),),0))</f>
        <v>0</v>
      </c>
      <c r="J81" s="867">
        <f ca="1">IF(ROWS($1:65)&gt;COUNT(Dong14),0,IF(OFFSET(TH!O$1,SMALL(Dong14,ROWS($1:65)),)="131",OFFSET(TH!K$1,SMALL(Dong14,ROWS($1:65)),),0))</f>
        <v>0</v>
      </c>
      <c r="K81" s="866">
        <f ca="1">IF(ROWS($1:65)&gt;COUNT(Dong14),0,IF(OFFSET(TH!O$1,SMALL(Dong14,ROWS($1:65)),)="131",OFFSET(TH!M$1,SMALL(Dong14,ROWS($1:65)),),0))</f>
        <v>0</v>
      </c>
      <c r="L81" s="860">
        <f t="shared" ca="1" si="16"/>
        <v>0</v>
      </c>
      <c r="M81" s="859">
        <f t="shared" ca="1" si="17"/>
        <v>0</v>
      </c>
      <c r="N81" s="860">
        <f t="shared" ca="1" si="18"/>
        <v>0</v>
      </c>
      <c r="O81" s="859">
        <f t="shared" ca="1" si="19"/>
        <v>0</v>
      </c>
    </row>
    <row r="82" spans="1:15" s="5" customFormat="1" ht="24.75" hidden="1" customHeight="1">
      <c r="A82" s="214" t="str">
        <f t="shared" ca="1" si="15"/>
        <v/>
      </c>
      <c r="B82" s="217" t="str">
        <f ca="1">IF(ROWS($1:66)&gt;COUNT(Dong14),"",OFFSET(TH!D$1,SMALL(Dong14,ROWS($1:66)),))</f>
        <v/>
      </c>
      <c r="C82" s="214" t="str">
        <f ca="1">IF(ROWS($1:66)&gt;COUNT(Dong14),"",OFFSET(TH!E$1,SMALL(Dong14,ROWS($1:66)),))</f>
        <v/>
      </c>
      <c r="D82" s="868" t="str">
        <f ca="1">IF(ROWS($1:66)&gt;COUNT(Dong14),"",OFFSET(TH!F$1,SMALL(Dong14,ROWS($1:66)),))</f>
        <v/>
      </c>
      <c r="E82" s="866" t="str">
        <f ca="1">IF(ROWS($1:66)&gt;COUNT(Dong14),"",IF(OFFSET(TH!N$1,SMALL(Dong14,ROWS($1:66)),)="131",OFFSET(TH!O$1,SMALL(Dong14,ROWS($1:66)),),OFFSET(TH!N$1,SMALL(Dong14,ROWS($1:66)),)))</f>
        <v/>
      </c>
      <c r="F82" s="866">
        <f ca="1">IF(ROWS($1:66)&gt;COUNT(Dong14),0,OFFSET(TH!L$1,SMALL(Dong14,ROWS($1:66)),))</f>
        <v>0</v>
      </c>
      <c r="G82" s="866"/>
      <c r="H82" s="867">
        <f ca="1">IF(ROWS($1:66)&gt;COUNT(Dong14),0,IF(OFFSET(TH!N$1,SMALL(Dong14,ROWS($1:66)),)="131",OFFSET(TH!K$1,SMALL(Dong14,ROWS($1:66)),),0))</f>
        <v>0</v>
      </c>
      <c r="I82" s="866">
        <f ca="1">IF(ROWS($1:66)&gt;COUNT(Dong14),0,IF(OFFSET(TH!N$1,SMALL(Dong14,ROWS($1:66)),)="131",OFFSET(TH!M$1,SMALL(Dong14,ROWS($1:66)),),0))</f>
        <v>0</v>
      </c>
      <c r="J82" s="867">
        <f ca="1">IF(ROWS($1:66)&gt;COUNT(Dong14),0,IF(OFFSET(TH!O$1,SMALL(Dong14,ROWS($1:66)),)="131",OFFSET(TH!K$1,SMALL(Dong14,ROWS($1:66)),),0))</f>
        <v>0</v>
      </c>
      <c r="K82" s="866">
        <f ca="1">IF(ROWS($1:66)&gt;COUNT(Dong14),0,IF(OFFSET(TH!O$1,SMALL(Dong14,ROWS($1:66)),)="131",OFFSET(TH!M$1,SMALL(Dong14,ROWS($1:66)),),0))</f>
        <v>0</v>
      </c>
      <c r="L82" s="860">
        <f t="shared" ca="1" si="16"/>
        <v>0</v>
      </c>
      <c r="M82" s="859">
        <f t="shared" ca="1" si="17"/>
        <v>0</v>
      </c>
      <c r="N82" s="860">
        <f t="shared" ca="1" si="18"/>
        <v>0</v>
      </c>
      <c r="O82" s="859">
        <f t="shared" ca="1" si="19"/>
        <v>0</v>
      </c>
    </row>
    <row r="83" spans="1:15" s="5" customFormat="1" ht="24.75" hidden="1" customHeight="1">
      <c r="A83" s="214" t="str">
        <f t="shared" ca="1" si="15"/>
        <v/>
      </c>
      <c r="B83" s="217" t="str">
        <f ca="1">IF(ROWS($1:67)&gt;COUNT(Dong14),"",OFFSET(TH!D$1,SMALL(Dong14,ROWS($1:67)),))</f>
        <v/>
      </c>
      <c r="C83" s="214" t="str">
        <f ca="1">IF(ROWS($1:67)&gt;COUNT(Dong14),"",OFFSET(TH!E$1,SMALL(Dong14,ROWS($1:67)),))</f>
        <v/>
      </c>
      <c r="D83" s="868" t="str">
        <f ca="1">IF(ROWS($1:67)&gt;COUNT(Dong14),"",OFFSET(TH!F$1,SMALL(Dong14,ROWS($1:67)),))</f>
        <v/>
      </c>
      <c r="E83" s="866" t="str">
        <f ca="1">IF(ROWS($1:67)&gt;COUNT(Dong14),"",IF(OFFSET(TH!N$1,SMALL(Dong14,ROWS($1:67)),)="131",OFFSET(TH!O$1,SMALL(Dong14,ROWS($1:67)),),OFFSET(TH!N$1,SMALL(Dong14,ROWS($1:67)),)))</f>
        <v/>
      </c>
      <c r="F83" s="866">
        <f ca="1">IF(ROWS($1:67)&gt;COUNT(Dong14),0,OFFSET(TH!L$1,SMALL(Dong14,ROWS($1:67)),))</f>
        <v>0</v>
      </c>
      <c r="G83" s="866"/>
      <c r="H83" s="867">
        <f ca="1">IF(ROWS($1:67)&gt;COUNT(Dong14),0,IF(OFFSET(TH!N$1,SMALL(Dong14,ROWS($1:67)),)="131",OFFSET(TH!K$1,SMALL(Dong14,ROWS($1:67)),),0))</f>
        <v>0</v>
      </c>
      <c r="I83" s="866">
        <f ca="1">IF(ROWS($1:67)&gt;COUNT(Dong14),0,IF(OFFSET(TH!N$1,SMALL(Dong14,ROWS($1:67)),)="131",OFFSET(TH!M$1,SMALL(Dong14,ROWS($1:67)),),0))</f>
        <v>0</v>
      </c>
      <c r="J83" s="867">
        <f ca="1">IF(ROWS($1:67)&gt;COUNT(Dong14),0,IF(OFFSET(TH!O$1,SMALL(Dong14,ROWS($1:67)),)="131",OFFSET(TH!K$1,SMALL(Dong14,ROWS($1:67)),),0))</f>
        <v>0</v>
      </c>
      <c r="K83" s="866">
        <f ca="1">IF(ROWS($1:67)&gt;COUNT(Dong14),0,IF(OFFSET(TH!O$1,SMALL(Dong14,ROWS($1:67)),)="131",OFFSET(TH!M$1,SMALL(Dong14,ROWS($1:67)),),0))</f>
        <v>0</v>
      </c>
      <c r="L83" s="860">
        <f t="shared" ca="1" si="16"/>
        <v>0</v>
      </c>
      <c r="M83" s="859">
        <f t="shared" ca="1" si="17"/>
        <v>0</v>
      </c>
      <c r="N83" s="860">
        <f t="shared" ca="1" si="18"/>
        <v>0</v>
      </c>
      <c r="O83" s="859">
        <f t="shared" ca="1" si="19"/>
        <v>0</v>
      </c>
    </row>
    <row r="84" spans="1:15" s="5" customFormat="1" ht="24.75" hidden="1" customHeight="1">
      <c r="A84" s="214" t="str">
        <f t="shared" ca="1" si="15"/>
        <v/>
      </c>
      <c r="B84" s="217" t="str">
        <f ca="1">IF(ROWS($1:68)&gt;COUNT(Dong14),"",OFFSET(TH!D$1,SMALL(Dong14,ROWS($1:68)),))</f>
        <v/>
      </c>
      <c r="C84" s="214" t="str">
        <f ca="1">IF(ROWS($1:68)&gt;COUNT(Dong14),"",OFFSET(TH!E$1,SMALL(Dong14,ROWS($1:68)),))</f>
        <v/>
      </c>
      <c r="D84" s="868" t="str">
        <f ca="1">IF(ROWS($1:68)&gt;COUNT(Dong14),"",OFFSET(TH!F$1,SMALL(Dong14,ROWS($1:68)),))</f>
        <v/>
      </c>
      <c r="E84" s="866" t="str">
        <f ca="1">IF(ROWS($1:68)&gt;COUNT(Dong14),"",IF(OFFSET(TH!N$1,SMALL(Dong14,ROWS($1:68)),)="131",OFFSET(TH!O$1,SMALL(Dong14,ROWS($1:68)),),OFFSET(TH!N$1,SMALL(Dong14,ROWS($1:68)),)))</f>
        <v/>
      </c>
      <c r="F84" s="866">
        <f ca="1">IF(ROWS($1:68)&gt;COUNT(Dong14),0,OFFSET(TH!L$1,SMALL(Dong14,ROWS($1:68)),))</f>
        <v>0</v>
      </c>
      <c r="G84" s="866"/>
      <c r="H84" s="867">
        <f ca="1">IF(ROWS($1:68)&gt;COUNT(Dong14),0,IF(OFFSET(TH!N$1,SMALL(Dong14,ROWS($1:68)),)="131",OFFSET(TH!K$1,SMALL(Dong14,ROWS($1:68)),),0))</f>
        <v>0</v>
      </c>
      <c r="I84" s="866">
        <f ca="1">IF(ROWS($1:68)&gt;COUNT(Dong14),0,IF(OFFSET(TH!N$1,SMALL(Dong14,ROWS($1:68)),)="131",OFFSET(TH!M$1,SMALL(Dong14,ROWS($1:68)),),0))</f>
        <v>0</v>
      </c>
      <c r="J84" s="867">
        <f ca="1">IF(ROWS($1:68)&gt;COUNT(Dong14),0,IF(OFFSET(TH!O$1,SMALL(Dong14,ROWS($1:68)),)="131",OFFSET(TH!K$1,SMALL(Dong14,ROWS($1:68)),),0))</f>
        <v>0</v>
      </c>
      <c r="K84" s="866">
        <f ca="1">IF(ROWS($1:68)&gt;COUNT(Dong14),0,IF(OFFSET(TH!O$1,SMALL(Dong14,ROWS($1:68)),)="131",OFFSET(TH!M$1,SMALL(Dong14,ROWS($1:68)),),0))</f>
        <v>0</v>
      </c>
      <c r="L84" s="860">
        <f t="shared" ca="1" si="16"/>
        <v>0</v>
      </c>
      <c r="M84" s="859">
        <f t="shared" ca="1" si="17"/>
        <v>0</v>
      </c>
      <c r="N84" s="860">
        <f t="shared" ca="1" si="18"/>
        <v>0</v>
      </c>
      <c r="O84" s="859">
        <f t="shared" ca="1" si="19"/>
        <v>0</v>
      </c>
    </row>
    <row r="85" spans="1:15" s="5" customFormat="1" ht="24.75" hidden="1" customHeight="1">
      <c r="A85" s="214" t="str">
        <f t="shared" ca="1" si="15"/>
        <v/>
      </c>
      <c r="B85" s="217" t="str">
        <f ca="1">IF(ROWS($1:69)&gt;COUNT(Dong14),"",OFFSET(TH!D$1,SMALL(Dong14,ROWS($1:69)),))</f>
        <v/>
      </c>
      <c r="C85" s="214" t="str">
        <f ca="1">IF(ROWS($1:69)&gt;COUNT(Dong14),"",OFFSET(TH!E$1,SMALL(Dong14,ROWS($1:69)),))</f>
        <v/>
      </c>
      <c r="D85" s="868" t="str">
        <f ca="1">IF(ROWS($1:69)&gt;COUNT(Dong14),"",OFFSET(TH!F$1,SMALL(Dong14,ROWS($1:69)),))</f>
        <v/>
      </c>
      <c r="E85" s="866" t="str">
        <f ca="1">IF(ROWS($1:69)&gt;COUNT(Dong14),"",IF(OFFSET(TH!N$1,SMALL(Dong14,ROWS($1:69)),)="131",OFFSET(TH!O$1,SMALL(Dong14,ROWS($1:69)),),OFFSET(TH!N$1,SMALL(Dong14,ROWS($1:69)),)))</f>
        <v/>
      </c>
      <c r="F85" s="866">
        <f ca="1">IF(ROWS($1:69)&gt;COUNT(Dong14),0,OFFSET(TH!L$1,SMALL(Dong14,ROWS($1:69)),))</f>
        <v>0</v>
      </c>
      <c r="G85" s="866"/>
      <c r="H85" s="867">
        <f ca="1">IF(ROWS($1:69)&gt;COUNT(Dong14),0,IF(OFFSET(TH!N$1,SMALL(Dong14,ROWS($1:69)),)="131",OFFSET(TH!K$1,SMALL(Dong14,ROWS($1:69)),),0))</f>
        <v>0</v>
      </c>
      <c r="I85" s="866">
        <f ca="1">IF(ROWS($1:69)&gt;COUNT(Dong14),0,IF(OFFSET(TH!N$1,SMALL(Dong14,ROWS($1:69)),)="131",OFFSET(TH!M$1,SMALL(Dong14,ROWS($1:69)),),0))</f>
        <v>0</v>
      </c>
      <c r="J85" s="867">
        <f ca="1">IF(ROWS($1:69)&gt;COUNT(Dong14),0,IF(OFFSET(TH!O$1,SMALL(Dong14,ROWS($1:69)),)="131",OFFSET(TH!K$1,SMALL(Dong14,ROWS($1:69)),),0))</f>
        <v>0</v>
      </c>
      <c r="K85" s="866">
        <f ca="1">IF(ROWS($1:69)&gt;COUNT(Dong14),0,IF(OFFSET(TH!O$1,SMALL(Dong14,ROWS($1:69)),)="131",OFFSET(TH!M$1,SMALL(Dong14,ROWS($1:69)),),0))</f>
        <v>0</v>
      </c>
      <c r="L85" s="860">
        <f t="shared" ca="1" si="16"/>
        <v>0</v>
      </c>
      <c r="M85" s="859">
        <f t="shared" ca="1" si="17"/>
        <v>0</v>
      </c>
      <c r="N85" s="860">
        <f t="shared" ca="1" si="18"/>
        <v>0</v>
      </c>
      <c r="O85" s="859">
        <f t="shared" ca="1" si="19"/>
        <v>0</v>
      </c>
    </row>
    <row r="86" spans="1:15" s="5" customFormat="1" ht="24.75" hidden="1" customHeight="1">
      <c r="A86" s="214" t="str">
        <f t="shared" ca="1" si="15"/>
        <v/>
      </c>
      <c r="B86" s="217" t="str">
        <f ca="1">IF(ROWS($1:70)&gt;COUNT(Dong14),"",OFFSET(TH!D$1,SMALL(Dong14,ROWS($1:70)),))</f>
        <v/>
      </c>
      <c r="C86" s="214" t="str">
        <f ca="1">IF(ROWS($1:70)&gt;COUNT(Dong14),"",OFFSET(TH!E$1,SMALL(Dong14,ROWS($1:70)),))</f>
        <v/>
      </c>
      <c r="D86" s="868" t="str">
        <f ca="1">IF(ROWS($1:70)&gt;COUNT(Dong14),"",OFFSET(TH!F$1,SMALL(Dong14,ROWS($1:70)),))</f>
        <v/>
      </c>
      <c r="E86" s="866" t="str">
        <f ca="1">IF(ROWS($1:70)&gt;COUNT(Dong14),"",IF(OFFSET(TH!N$1,SMALL(Dong14,ROWS($1:70)),)="131",OFFSET(TH!O$1,SMALL(Dong14,ROWS($1:70)),),OFFSET(TH!N$1,SMALL(Dong14,ROWS($1:70)),)))</f>
        <v/>
      </c>
      <c r="F86" s="866">
        <f ca="1">IF(ROWS($1:70)&gt;COUNT(Dong14),0,OFFSET(TH!L$1,SMALL(Dong14,ROWS($1:70)),))</f>
        <v>0</v>
      </c>
      <c r="G86" s="866"/>
      <c r="H86" s="867">
        <f ca="1">IF(ROWS($1:70)&gt;COUNT(Dong14),0,IF(OFFSET(TH!N$1,SMALL(Dong14,ROWS($1:70)),)="131",OFFSET(TH!K$1,SMALL(Dong14,ROWS($1:70)),),0))</f>
        <v>0</v>
      </c>
      <c r="I86" s="866">
        <f ca="1">IF(ROWS($1:70)&gt;COUNT(Dong14),0,IF(OFFSET(TH!N$1,SMALL(Dong14,ROWS($1:70)),)="131",OFFSET(TH!M$1,SMALL(Dong14,ROWS($1:70)),),0))</f>
        <v>0</v>
      </c>
      <c r="J86" s="867">
        <f ca="1">IF(ROWS($1:70)&gt;COUNT(Dong14),0,IF(OFFSET(TH!O$1,SMALL(Dong14,ROWS($1:70)),)="131",OFFSET(TH!K$1,SMALL(Dong14,ROWS($1:70)),),0))</f>
        <v>0</v>
      </c>
      <c r="K86" s="866">
        <f ca="1">IF(ROWS($1:70)&gt;COUNT(Dong14),0,IF(OFFSET(TH!O$1,SMALL(Dong14,ROWS($1:70)),)="131",OFFSET(TH!M$1,SMALL(Dong14,ROWS($1:70)),),0))</f>
        <v>0</v>
      </c>
      <c r="L86" s="860">
        <f t="shared" ca="1" si="16"/>
        <v>0</v>
      </c>
      <c r="M86" s="859">
        <f t="shared" ca="1" si="17"/>
        <v>0</v>
      </c>
      <c r="N86" s="860">
        <f t="shared" ca="1" si="18"/>
        <v>0</v>
      </c>
      <c r="O86" s="859">
        <f t="shared" ca="1" si="19"/>
        <v>0</v>
      </c>
    </row>
    <row r="87" spans="1:15" s="5" customFormat="1" ht="24.75" hidden="1" customHeight="1">
      <c r="A87" s="214" t="str">
        <f t="shared" ca="1" si="15"/>
        <v/>
      </c>
      <c r="B87" s="217" t="str">
        <f ca="1">IF(ROWS($1:71)&gt;COUNT(Dong14),"",OFFSET(TH!D$1,SMALL(Dong14,ROWS($1:71)),))</f>
        <v/>
      </c>
      <c r="C87" s="214" t="str">
        <f ca="1">IF(ROWS($1:71)&gt;COUNT(Dong14),"",OFFSET(TH!E$1,SMALL(Dong14,ROWS($1:71)),))</f>
        <v/>
      </c>
      <c r="D87" s="868" t="str">
        <f ca="1">IF(ROWS($1:71)&gt;COUNT(Dong14),"",OFFSET(TH!F$1,SMALL(Dong14,ROWS($1:71)),))</f>
        <v/>
      </c>
      <c r="E87" s="866" t="str">
        <f ca="1">IF(ROWS($1:71)&gt;COUNT(Dong14),"",IF(OFFSET(TH!N$1,SMALL(Dong14,ROWS($1:71)),)="131",OFFSET(TH!O$1,SMALL(Dong14,ROWS($1:71)),),OFFSET(TH!N$1,SMALL(Dong14,ROWS($1:71)),)))</f>
        <v/>
      </c>
      <c r="F87" s="866">
        <f ca="1">IF(ROWS($1:71)&gt;COUNT(Dong14),0,OFFSET(TH!L$1,SMALL(Dong14,ROWS($1:71)),))</f>
        <v>0</v>
      </c>
      <c r="G87" s="866"/>
      <c r="H87" s="867">
        <f ca="1">IF(ROWS($1:71)&gt;COUNT(Dong14),0,IF(OFFSET(TH!N$1,SMALL(Dong14,ROWS($1:71)),)="131",OFFSET(TH!K$1,SMALL(Dong14,ROWS($1:71)),),0))</f>
        <v>0</v>
      </c>
      <c r="I87" s="866">
        <f ca="1">IF(ROWS($1:71)&gt;COUNT(Dong14),0,IF(OFFSET(TH!N$1,SMALL(Dong14,ROWS($1:71)),)="131",OFFSET(TH!M$1,SMALL(Dong14,ROWS($1:71)),),0))</f>
        <v>0</v>
      </c>
      <c r="J87" s="867">
        <f ca="1">IF(ROWS($1:71)&gt;COUNT(Dong14),0,IF(OFFSET(TH!O$1,SMALL(Dong14,ROWS($1:71)),)="131",OFFSET(TH!K$1,SMALL(Dong14,ROWS($1:71)),),0))</f>
        <v>0</v>
      </c>
      <c r="K87" s="866">
        <f ca="1">IF(ROWS($1:71)&gt;COUNT(Dong14),0,IF(OFFSET(TH!O$1,SMALL(Dong14,ROWS($1:71)),)="131",OFFSET(TH!M$1,SMALL(Dong14,ROWS($1:71)),),0))</f>
        <v>0</v>
      </c>
      <c r="L87" s="860">
        <f t="shared" ca="1" si="16"/>
        <v>0</v>
      </c>
      <c r="M87" s="859">
        <f t="shared" ca="1" si="17"/>
        <v>0</v>
      </c>
      <c r="N87" s="860">
        <f t="shared" ca="1" si="18"/>
        <v>0</v>
      </c>
      <c r="O87" s="859">
        <f t="shared" ca="1" si="19"/>
        <v>0</v>
      </c>
    </row>
    <row r="88" spans="1:15" s="5" customFormat="1" ht="24.75" hidden="1" customHeight="1">
      <c r="A88" s="214" t="str">
        <f t="shared" ref="A88:A96" ca="1" si="20">IF(C88&lt;&gt;"",C88,"")</f>
        <v/>
      </c>
      <c r="B88" s="217" t="str">
        <f ca="1">IF(ROWS($1:72)&gt;COUNT(Dong14),"",OFFSET(TH!D$1,SMALL(Dong14,ROWS($1:72)),))</f>
        <v/>
      </c>
      <c r="C88" s="214" t="str">
        <f ca="1">IF(ROWS($1:72)&gt;COUNT(Dong14),"",OFFSET(TH!E$1,SMALL(Dong14,ROWS($1:72)),))</f>
        <v/>
      </c>
      <c r="D88" s="868" t="str">
        <f ca="1">IF(ROWS($1:72)&gt;COUNT(Dong14),"",OFFSET(TH!F$1,SMALL(Dong14,ROWS($1:72)),))</f>
        <v/>
      </c>
      <c r="E88" s="866" t="str">
        <f ca="1">IF(ROWS($1:72)&gt;COUNT(Dong14),"",IF(OFFSET(TH!N$1,SMALL(Dong14,ROWS($1:72)),)="131",OFFSET(TH!O$1,SMALL(Dong14,ROWS($1:72)),),OFFSET(TH!N$1,SMALL(Dong14,ROWS($1:72)),)))</f>
        <v/>
      </c>
      <c r="F88" s="866">
        <f ca="1">IF(ROWS($1:72)&gt;COUNT(Dong14),0,OFFSET(TH!L$1,SMALL(Dong14,ROWS($1:72)),))</f>
        <v>0</v>
      </c>
      <c r="G88" s="866"/>
      <c r="H88" s="867">
        <f ca="1">IF(ROWS($1:72)&gt;COUNT(Dong14),0,IF(OFFSET(TH!N$1,SMALL(Dong14,ROWS($1:72)),)="131",OFFSET(TH!K$1,SMALL(Dong14,ROWS($1:72)),),0))</f>
        <v>0</v>
      </c>
      <c r="I88" s="866">
        <f ca="1">IF(ROWS($1:72)&gt;COUNT(Dong14),0,IF(OFFSET(TH!N$1,SMALL(Dong14,ROWS($1:72)),)="131",OFFSET(TH!M$1,SMALL(Dong14,ROWS($1:72)),),0))</f>
        <v>0</v>
      </c>
      <c r="J88" s="867">
        <f ca="1">IF(ROWS($1:72)&gt;COUNT(Dong14),0,IF(OFFSET(TH!O$1,SMALL(Dong14,ROWS($1:72)),)="131",OFFSET(TH!K$1,SMALL(Dong14,ROWS($1:72)),),0))</f>
        <v>0</v>
      </c>
      <c r="K88" s="866">
        <f ca="1">IF(ROWS($1:72)&gt;COUNT(Dong14),0,IF(OFFSET(TH!O$1,SMALL(Dong14,ROWS($1:72)),)="131",OFFSET(TH!M$1,SMALL(Dong14,ROWS($1:72)),),0))</f>
        <v>0</v>
      </c>
      <c r="L88" s="860">
        <f t="shared" ref="L88:L96" ca="1" si="21">IF(D88&lt;&gt;"",ROUND(MAX(L87+H88-J88-N87,0),2),0)</f>
        <v>0</v>
      </c>
      <c r="M88" s="859">
        <f t="shared" ref="M88:M96" ca="1" si="22">IF(D88&lt;&gt;"",MAX(M87-O87+I88-K88,0),0)</f>
        <v>0</v>
      </c>
      <c r="N88" s="860">
        <f t="shared" ref="N88:N96" ca="1" si="23">IF(D88&lt;&gt;"",ROUND(MAX(N87+J88-H88-L87,0),2),0)</f>
        <v>0</v>
      </c>
      <c r="O88" s="859">
        <f t="shared" ref="O88:O96" ca="1" si="24">IF(D88&lt;&gt;"",MAX(O87-M87+K88-I88,0),0)</f>
        <v>0</v>
      </c>
    </row>
    <row r="89" spans="1:15" s="5" customFormat="1" ht="24.75" hidden="1" customHeight="1">
      <c r="A89" s="214" t="str">
        <f t="shared" ca="1" si="20"/>
        <v/>
      </c>
      <c r="B89" s="217" t="str">
        <f ca="1">IF(ROWS($1:73)&gt;COUNT(Dong14),"",OFFSET(TH!D$1,SMALL(Dong14,ROWS($1:73)),))</f>
        <v/>
      </c>
      <c r="C89" s="214" t="str">
        <f ca="1">IF(ROWS($1:73)&gt;COUNT(Dong14),"",OFFSET(TH!E$1,SMALL(Dong14,ROWS($1:73)),))</f>
        <v/>
      </c>
      <c r="D89" s="868" t="str">
        <f ca="1">IF(ROWS($1:73)&gt;COUNT(Dong14),"",OFFSET(TH!F$1,SMALL(Dong14,ROWS($1:73)),))</f>
        <v/>
      </c>
      <c r="E89" s="866" t="str">
        <f ca="1">IF(ROWS($1:73)&gt;COUNT(Dong14),"",IF(OFFSET(TH!N$1,SMALL(Dong14,ROWS($1:73)),)="131",OFFSET(TH!O$1,SMALL(Dong14,ROWS($1:73)),),OFFSET(TH!N$1,SMALL(Dong14,ROWS($1:73)),)))</f>
        <v/>
      </c>
      <c r="F89" s="866">
        <f ca="1">IF(ROWS($1:73)&gt;COUNT(Dong14),0,OFFSET(TH!L$1,SMALL(Dong14,ROWS($1:73)),))</f>
        <v>0</v>
      </c>
      <c r="G89" s="866"/>
      <c r="H89" s="867">
        <f ca="1">IF(ROWS($1:73)&gt;COUNT(Dong14),0,IF(OFFSET(TH!N$1,SMALL(Dong14,ROWS($1:73)),)="131",OFFSET(TH!K$1,SMALL(Dong14,ROWS($1:73)),),0))</f>
        <v>0</v>
      </c>
      <c r="I89" s="866">
        <f ca="1">IF(ROWS($1:73)&gt;COUNT(Dong14),0,IF(OFFSET(TH!N$1,SMALL(Dong14,ROWS($1:73)),)="131",OFFSET(TH!M$1,SMALL(Dong14,ROWS($1:73)),),0))</f>
        <v>0</v>
      </c>
      <c r="J89" s="867">
        <f ca="1">IF(ROWS($1:73)&gt;COUNT(Dong14),0,IF(OFFSET(TH!O$1,SMALL(Dong14,ROWS($1:73)),)="131",OFFSET(TH!K$1,SMALL(Dong14,ROWS($1:73)),),0))</f>
        <v>0</v>
      </c>
      <c r="K89" s="866">
        <f ca="1">IF(ROWS($1:73)&gt;COUNT(Dong14),0,IF(OFFSET(TH!O$1,SMALL(Dong14,ROWS($1:73)),)="131",OFFSET(TH!M$1,SMALL(Dong14,ROWS($1:73)),),0))</f>
        <v>0</v>
      </c>
      <c r="L89" s="860">
        <f t="shared" ca="1" si="21"/>
        <v>0</v>
      </c>
      <c r="M89" s="859">
        <f t="shared" ca="1" si="22"/>
        <v>0</v>
      </c>
      <c r="N89" s="860">
        <f t="shared" ca="1" si="23"/>
        <v>0</v>
      </c>
      <c r="O89" s="859">
        <f t="shared" ca="1" si="24"/>
        <v>0</v>
      </c>
    </row>
    <row r="90" spans="1:15" s="5" customFormat="1" ht="24.75" hidden="1" customHeight="1">
      <c r="A90" s="214" t="str">
        <f t="shared" ca="1" si="20"/>
        <v/>
      </c>
      <c r="B90" s="217" t="str">
        <f ca="1">IF(ROWS($1:74)&gt;COUNT(Dong14),"",OFFSET(TH!D$1,SMALL(Dong14,ROWS($1:74)),))</f>
        <v/>
      </c>
      <c r="C90" s="214" t="str">
        <f ca="1">IF(ROWS($1:74)&gt;COUNT(Dong14),"",OFFSET(TH!E$1,SMALL(Dong14,ROWS($1:74)),))</f>
        <v/>
      </c>
      <c r="D90" s="868" t="str">
        <f ca="1">IF(ROWS($1:74)&gt;COUNT(Dong14),"",OFFSET(TH!F$1,SMALL(Dong14,ROWS($1:74)),))</f>
        <v/>
      </c>
      <c r="E90" s="866" t="str">
        <f ca="1">IF(ROWS($1:74)&gt;COUNT(Dong14),"",IF(OFFSET(TH!N$1,SMALL(Dong14,ROWS($1:74)),)="131",OFFSET(TH!O$1,SMALL(Dong14,ROWS($1:74)),),OFFSET(TH!N$1,SMALL(Dong14,ROWS($1:74)),)))</f>
        <v/>
      </c>
      <c r="F90" s="866">
        <f ca="1">IF(ROWS($1:74)&gt;COUNT(Dong14),0,OFFSET(TH!L$1,SMALL(Dong14,ROWS($1:74)),))</f>
        <v>0</v>
      </c>
      <c r="G90" s="866"/>
      <c r="H90" s="867">
        <f ca="1">IF(ROWS($1:74)&gt;COUNT(Dong14),0,IF(OFFSET(TH!N$1,SMALL(Dong14,ROWS($1:74)),)="131",OFFSET(TH!K$1,SMALL(Dong14,ROWS($1:74)),),0))</f>
        <v>0</v>
      </c>
      <c r="I90" s="866">
        <f ca="1">IF(ROWS($1:74)&gt;COUNT(Dong14),0,IF(OFFSET(TH!N$1,SMALL(Dong14,ROWS($1:74)),)="131",OFFSET(TH!M$1,SMALL(Dong14,ROWS($1:74)),),0))</f>
        <v>0</v>
      </c>
      <c r="J90" s="867">
        <f ca="1">IF(ROWS($1:74)&gt;COUNT(Dong14),0,IF(OFFSET(TH!O$1,SMALL(Dong14,ROWS($1:74)),)="131",OFFSET(TH!K$1,SMALL(Dong14,ROWS($1:74)),),0))</f>
        <v>0</v>
      </c>
      <c r="K90" s="866">
        <f ca="1">IF(ROWS($1:74)&gt;COUNT(Dong14),0,IF(OFFSET(TH!O$1,SMALL(Dong14,ROWS($1:74)),)="131",OFFSET(TH!M$1,SMALL(Dong14,ROWS($1:74)),),0))</f>
        <v>0</v>
      </c>
      <c r="L90" s="860">
        <f t="shared" ca="1" si="21"/>
        <v>0</v>
      </c>
      <c r="M90" s="859">
        <f t="shared" ca="1" si="22"/>
        <v>0</v>
      </c>
      <c r="N90" s="860">
        <f t="shared" ca="1" si="23"/>
        <v>0</v>
      </c>
      <c r="O90" s="859">
        <f t="shared" ca="1" si="24"/>
        <v>0</v>
      </c>
    </row>
    <row r="91" spans="1:15" s="5" customFormat="1" ht="24.75" hidden="1" customHeight="1">
      <c r="A91" s="214" t="str">
        <f t="shared" ca="1" si="20"/>
        <v/>
      </c>
      <c r="B91" s="217" t="str">
        <f ca="1">IF(ROWS($1:75)&gt;COUNT(Dong14),"",OFFSET(TH!D$1,SMALL(Dong14,ROWS($1:75)),))</f>
        <v/>
      </c>
      <c r="C91" s="214" t="str">
        <f ca="1">IF(ROWS($1:75)&gt;COUNT(Dong14),"",OFFSET(TH!E$1,SMALL(Dong14,ROWS($1:75)),))</f>
        <v/>
      </c>
      <c r="D91" s="868" t="str">
        <f ca="1">IF(ROWS($1:75)&gt;COUNT(Dong14),"",OFFSET(TH!F$1,SMALL(Dong14,ROWS($1:75)),))</f>
        <v/>
      </c>
      <c r="E91" s="866" t="str">
        <f ca="1">IF(ROWS($1:75)&gt;COUNT(Dong14),"",IF(OFFSET(TH!N$1,SMALL(Dong14,ROWS($1:75)),)="131",OFFSET(TH!O$1,SMALL(Dong14,ROWS($1:75)),),OFFSET(TH!N$1,SMALL(Dong14,ROWS($1:75)),)))</f>
        <v/>
      </c>
      <c r="F91" s="866">
        <f ca="1">IF(ROWS($1:75)&gt;COUNT(Dong14),0,OFFSET(TH!L$1,SMALL(Dong14,ROWS($1:75)),))</f>
        <v>0</v>
      </c>
      <c r="G91" s="866"/>
      <c r="H91" s="867">
        <f ca="1">IF(ROWS($1:75)&gt;COUNT(Dong14),0,IF(OFFSET(TH!N$1,SMALL(Dong14,ROWS($1:75)),)="131",OFFSET(TH!K$1,SMALL(Dong14,ROWS($1:75)),),0))</f>
        <v>0</v>
      </c>
      <c r="I91" s="866">
        <f ca="1">IF(ROWS($1:75)&gt;COUNT(Dong14),0,IF(OFFSET(TH!N$1,SMALL(Dong14,ROWS($1:75)),)="131",OFFSET(TH!M$1,SMALL(Dong14,ROWS($1:75)),),0))</f>
        <v>0</v>
      </c>
      <c r="J91" s="867">
        <f ca="1">IF(ROWS($1:75)&gt;COUNT(Dong14),0,IF(OFFSET(TH!O$1,SMALL(Dong14,ROWS($1:75)),)="131",OFFSET(TH!K$1,SMALL(Dong14,ROWS($1:75)),),0))</f>
        <v>0</v>
      </c>
      <c r="K91" s="866">
        <f ca="1">IF(ROWS($1:75)&gt;COUNT(Dong14),0,IF(OFFSET(TH!O$1,SMALL(Dong14,ROWS($1:75)),)="131",OFFSET(TH!M$1,SMALL(Dong14,ROWS($1:75)),),0))</f>
        <v>0</v>
      </c>
      <c r="L91" s="860">
        <f t="shared" ca="1" si="21"/>
        <v>0</v>
      </c>
      <c r="M91" s="859">
        <f t="shared" ca="1" si="22"/>
        <v>0</v>
      </c>
      <c r="N91" s="860">
        <f t="shared" ca="1" si="23"/>
        <v>0</v>
      </c>
      <c r="O91" s="859">
        <f t="shared" ca="1" si="24"/>
        <v>0</v>
      </c>
    </row>
    <row r="92" spans="1:15" s="5" customFormat="1" ht="24.75" hidden="1" customHeight="1">
      <c r="A92" s="214" t="str">
        <f t="shared" ca="1" si="20"/>
        <v/>
      </c>
      <c r="B92" s="217" t="str">
        <f ca="1">IF(ROWS($1:76)&gt;COUNT(Dong14),"",OFFSET(TH!D$1,SMALL(Dong14,ROWS($1:76)),))</f>
        <v/>
      </c>
      <c r="C92" s="214" t="str">
        <f ca="1">IF(ROWS($1:76)&gt;COUNT(Dong14),"",OFFSET(TH!E$1,SMALL(Dong14,ROWS($1:76)),))</f>
        <v/>
      </c>
      <c r="D92" s="868" t="str">
        <f ca="1">IF(ROWS($1:76)&gt;COUNT(Dong14),"",OFFSET(TH!F$1,SMALL(Dong14,ROWS($1:76)),))</f>
        <v/>
      </c>
      <c r="E92" s="866" t="str">
        <f ca="1">IF(ROWS($1:76)&gt;COUNT(Dong14),"",IF(OFFSET(TH!N$1,SMALL(Dong14,ROWS($1:76)),)="131",OFFSET(TH!O$1,SMALL(Dong14,ROWS($1:76)),),OFFSET(TH!N$1,SMALL(Dong14,ROWS($1:76)),)))</f>
        <v/>
      </c>
      <c r="F92" s="866">
        <f ca="1">IF(ROWS($1:76)&gt;COUNT(Dong14),0,OFFSET(TH!L$1,SMALL(Dong14,ROWS($1:76)),))</f>
        <v>0</v>
      </c>
      <c r="G92" s="866"/>
      <c r="H92" s="867">
        <f ca="1">IF(ROWS($1:76)&gt;COUNT(Dong14),0,IF(OFFSET(TH!N$1,SMALL(Dong14,ROWS($1:76)),)="131",OFFSET(TH!K$1,SMALL(Dong14,ROWS($1:76)),),0))</f>
        <v>0</v>
      </c>
      <c r="I92" s="866">
        <f ca="1">IF(ROWS($1:76)&gt;COUNT(Dong14),0,IF(OFFSET(TH!N$1,SMALL(Dong14,ROWS($1:76)),)="131",OFFSET(TH!M$1,SMALL(Dong14,ROWS($1:76)),),0))</f>
        <v>0</v>
      </c>
      <c r="J92" s="867">
        <f ca="1">IF(ROWS($1:76)&gt;COUNT(Dong14),0,IF(OFFSET(TH!O$1,SMALL(Dong14,ROWS($1:76)),)="131",OFFSET(TH!K$1,SMALL(Dong14,ROWS($1:76)),),0))</f>
        <v>0</v>
      </c>
      <c r="K92" s="866">
        <f ca="1">IF(ROWS($1:76)&gt;COUNT(Dong14),0,IF(OFFSET(TH!O$1,SMALL(Dong14,ROWS($1:76)),)="131",OFFSET(TH!M$1,SMALL(Dong14,ROWS($1:76)),),0))</f>
        <v>0</v>
      </c>
      <c r="L92" s="860">
        <f t="shared" ca="1" si="21"/>
        <v>0</v>
      </c>
      <c r="M92" s="859">
        <f t="shared" ca="1" si="22"/>
        <v>0</v>
      </c>
      <c r="N92" s="860">
        <f t="shared" ca="1" si="23"/>
        <v>0</v>
      </c>
      <c r="O92" s="859">
        <f t="shared" ca="1" si="24"/>
        <v>0</v>
      </c>
    </row>
    <row r="93" spans="1:15" s="5" customFormat="1" ht="24.75" hidden="1" customHeight="1">
      <c r="A93" s="214" t="str">
        <f t="shared" ca="1" si="20"/>
        <v/>
      </c>
      <c r="B93" s="217" t="str">
        <f ca="1">IF(ROWS($1:77)&gt;COUNT(Dong14),"",OFFSET(TH!D$1,SMALL(Dong14,ROWS($1:77)),))</f>
        <v/>
      </c>
      <c r="C93" s="214" t="str">
        <f ca="1">IF(ROWS($1:77)&gt;COUNT(Dong14),"",OFFSET(TH!E$1,SMALL(Dong14,ROWS($1:77)),))</f>
        <v/>
      </c>
      <c r="D93" s="868" t="str">
        <f ca="1">IF(ROWS($1:77)&gt;COUNT(Dong14),"",OFFSET(TH!F$1,SMALL(Dong14,ROWS($1:77)),))</f>
        <v/>
      </c>
      <c r="E93" s="866" t="str">
        <f ca="1">IF(ROWS($1:77)&gt;COUNT(Dong14),"",IF(OFFSET(TH!N$1,SMALL(Dong14,ROWS($1:77)),)="131",OFFSET(TH!O$1,SMALL(Dong14,ROWS($1:77)),),OFFSET(TH!N$1,SMALL(Dong14,ROWS($1:77)),)))</f>
        <v/>
      </c>
      <c r="F93" s="866">
        <f ca="1">IF(ROWS($1:77)&gt;COUNT(Dong14),0,OFFSET(TH!L$1,SMALL(Dong14,ROWS($1:77)),))</f>
        <v>0</v>
      </c>
      <c r="G93" s="866"/>
      <c r="H93" s="867">
        <f ca="1">IF(ROWS($1:77)&gt;COUNT(Dong14),0,IF(OFFSET(TH!N$1,SMALL(Dong14,ROWS($1:77)),)="131",OFFSET(TH!K$1,SMALL(Dong14,ROWS($1:77)),),0))</f>
        <v>0</v>
      </c>
      <c r="I93" s="866">
        <f ca="1">IF(ROWS($1:77)&gt;COUNT(Dong14),0,IF(OFFSET(TH!N$1,SMALL(Dong14,ROWS($1:77)),)="131",OFFSET(TH!M$1,SMALL(Dong14,ROWS($1:77)),),0))</f>
        <v>0</v>
      </c>
      <c r="J93" s="867">
        <f ca="1">IF(ROWS($1:77)&gt;COUNT(Dong14),0,IF(OFFSET(TH!O$1,SMALL(Dong14,ROWS($1:77)),)="131",OFFSET(TH!K$1,SMALL(Dong14,ROWS($1:77)),),0))</f>
        <v>0</v>
      </c>
      <c r="K93" s="866">
        <f ca="1">IF(ROWS($1:77)&gt;COUNT(Dong14),0,IF(OFFSET(TH!O$1,SMALL(Dong14,ROWS($1:77)),)="131",OFFSET(TH!M$1,SMALL(Dong14,ROWS($1:77)),),0))</f>
        <v>0</v>
      </c>
      <c r="L93" s="860">
        <f t="shared" ca="1" si="21"/>
        <v>0</v>
      </c>
      <c r="M93" s="859">
        <f t="shared" ca="1" si="22"/>
        <v>0</v>
      </c>
      <c r="N93" s="860">
        <f t="shared" ca="1" si="23"/>
        <v>0</v>
      </c>
      <c r="O93" s="859">
        <f t="shared" ca="1" si="24"/>
        <v>0</v>
      </c>
    </row>
    <row r="94" spans="1:15" s="5" customFormat="1" ht="24.75" hidden="1" customHeight="1">
      <c r="A94" s="214" t="str">
        <f t="shared" ca="1" si="20"/>
        <v/>
      </c>
      <c r="B94" s="217" t="str">
        <f ca="1">IF(ROWS($1:78)&gt;COUNT(Dong14),"",OFFSET(TH!D$1,SMALL(Dong14,ROWS($1:78)),))</f>
        <v/>
      </c>
      <c r="C94" s="214" t="str">
        <f ca="1">IF(ROWS($1:78)&gt;COUNT(Dong14),"",OFFSET(TH!E$1,SMALL(Dong14,ROWS($1:78)),))</f>
        <v/>
      </c>
      <c r="D94" s="868" t="str">
        <f ca="1">IF(ROWS($1:78)&gt;COUNT(Dong14),"",OFFSET(TH!F$1,SMALL(Dong14,ROWS($1:78)),))</f>
        <v/>
      </c>
      <c r="E94" s="866" t="str">
        <f ca="1">IF(ROWS($1:78)&gt;COUNT(Dong14),"",IF(OFFSET(TH!N$1,SMALL(Dong14,ROWS($1:78)),)="131",OFFSET(TH!O$1,SMALL(Dong14,ROWS($1:78)),),OFFSET(TH!N$1,SMALL(Dong14,ROWS($1:78)),)))</f>
        <v/>
      </c>
      <c r="F94" s="866">
        <f ca="1">IF(ROWS($1:78)&gt;COUNT(Dong14),0,OFFSET(TH!L$1,SMALL(Dong14,ROWS($1:78)),))</f>
        <v>0</v>
      </c>
      <c r="G94" s="866"/>
      <c r="H94" s="867">
        <f ca="1">IF(ROWS($1:78)&gt;COUNT(Dong14),0,IF(OFFSET(TH!N$1,SMALL(Dong14,ROWS($1:78)),)="131",OFFSET(TH!K$1,SMALL(Dong14,ROWS($1:78)),),0))</f>
        <v>0</v>
      </c>
      <c r="I94" s="866">
        <f ca="1">IF(ROWS($1:78)&gt;COUNT(Dong14),0,IF(OFFSET(TH!N$1,SMALL(Dong14,ROWS($1:78)),)="131",OFFSET(TH!M$1,SMALL(Dong14,ROWS($1:78)),),0))</f>
        <v>0</v>
      </c>
      <c r="J94" s="867">
        <f ca="1">IF(ROWS($1:78)&gt;COUNT(Dong14),0,IF(OFFSET(TH!O$1,SMALL(Dong14,ROWS($1:78)),)="131",OFFSET(TH!K$1,SMALL(Dong14,ROWS($1:78)),),0))</f>
        <v>0</v>
      </c>
      <c r="K94" s="866">
        <f ca="1">IF(ROWS($1:78)&gt;COUNT(Dong14),0,IF(OFFSET(TH!O$1,SMALL(Dong14,ROWS($1:78)),)="131",OFFSET(TH!M$1,SMALL(Dong14,ROWS($1:78)),),0))</f>
        <v>0</v>
      </c>
      <c r="L94" s="860">
        <f t="shared" ca="1" si="21"/>
        <v>0</v>
      </c>
      <c r="M94" s="859">
        <f t="shared" ca="1" si="22"/>
        <v>0</v>
      </c>
      <c r="N94" s="860">
        <f t="shared" ca="1" si="23"/>
        <v>0</v>
      </c>
      <c r="O94" s="859">
        <f t="shared" ca="1" si="24"/>
        <v>0</v>
      </c>
    </row>
    <row r="95" spans="1:15" s="5" customFormat="1" ht="24.75" hidden="1" customHeight="1">
      <c r="A95" s="214" t="str">
        <f t="shared" ca="1" si="20"/>
        <v/>
      </c>
      <c r="B95" s="217" t="str">
        <f ca="1">IF(ROWS($1:79)&gt;COUNT(Dong14),"",OFFSET(TH!D$1,SMALL(Dong14,ROWS($1:79)),))</f>
        <v/>
      </c>
      <c r="C95" s="214" t="str">
        <f ca="1">IF(ROWS($1:79)&gt;COUNT(Dong14),"",OFFSET(TH!E$1,SMALL(Dong14,ROWS($1:79)),))</f>
        <v/>
      </c>
      <c r="D95" s="868" t="str">
        <f ca="1">IF(ROWS($1:79)&gt;COUNT(Dong14),"",OFFSET(TH!F$1,SMALL(Dong14,ROWS($1:79)),))</f>
        <v/>
      </c>
      <c r="E95" s="866" t="str">
        <f ca="1">IF(ROWS($1:79)&gt;COUNT(Dong14),"",IF(OFFSET(TH!N$1,SMALL(Dong14,ROWS($1:79)),)="131",OFFSET(TH!O$1,SMALL(Dong14,ROWS($1:79)),),OFFSET(TH!N$1,SMALL(Dong14,ROWS($1:79)),)))</f>
        <v/>
      </c>
      <c r="F95" s="866">
        <f ca="1">IF(ROWS($1:79)&gt;COUNT(Dong14),0,OFFSET(TH!L$1,SMALL(Dong14,ROWS($1:79)),))</f>
        <v>0</v>
      </c>
      <c r="G95" s="866"/>
      <c r="H95" s="867">
        <f ca="1">IF(ROWS($1:79)&gt;COUNT(Dong14),0,IF(OFFSET(TH!N$1,SMALL(Dong14,ROWS($1:79)),)="131",OFFSET(TH!K$1,SMALL(Dong14,ROWS($1:79)),),0))</f>
        <v>0</v>
      </c>
      <c r="I95" s="866">
        <f ca="1">IF(ROWS($1:79)&gt;COUNT(Dong14),0,IF(OFFSET(TH!N$1,SMALL(Dong14,ROWS($1:79)),)="131",OFFSET(TH!M$1,SMALL(Dong14,ROWS($1:79)),),0))</f>
        <v>0</v>
      </c>
      <c r="J95" s="867">
        <f ca="1">IF(ROWS($1:79)&gt;COUNT(Dong14),0,IF(OFFSET(TH!O$1,SMALL(Dong14,ROWS($1:79)),)="131",OFFSET(TH!K$1,SMALL(Dong14,ROWS($1:79)),),0))</f>
        <v>0</v>
      </c>
      <c r="K95" s="866">
        <f ca="1">IF(ROWS($1:79)&gt;COUNT(Dong14),0,IF(OFFSET(TH!O$1,SMALL(Dong14,ROWS($1:79)),)="131",OFFSET(TH!M$1,SMALL(Dong14,ROWS($1:79)),),0))</f>
        <v>0</v>
      </c>
      <c r="L95" s="860">
        <f t="shared" ca="1" si="21"/>
        <v>0</v>
      </c>
      <c r="M95" s="859">
        <f t="shared" ca="1" si="22"/>
        <v>0</v>
      </c>
      <c r="N95" s="860">
        <f t="shared" ca="1" si="23"/>
        <v>0</v>
      </c>
      <c r="O95" s="859">
        <f t="shared" ca="1" si="24"/>
        <v>0</v>
      </c>
    </row>
    <row r="96" spans="1:15" s="5" customFormat="1" ht="24.75" hidden="1" customHeight="1">
      <c r="A96" s="214" t="str">
        <f t="shared" ca="1" si="20"/>
        <v/>
      </c>
      <c r="B96" s="217" t="str">
        <f ca="1">IF(ROWS($1:80)&gt;COUNT(Dong14),"",OFFSET(TH!D$1,SMALL(Dong14,ROWS($1:80)),))</f>
        <v/>
      </c>
      <c r="C96" s="214" t="str">
        <f ca="1">IF(ROWS($1:80)&gt;COUNT(Dong14),"",OFFSET(TH!E$1,SMALL(Dong14,ROWS($1:80)),))</f>
        <v/>
      </c>
      <c r="D96" s="868" t="str">
        <f ca="1">IF(ROWS($1:80)&gt;COUNT(Dong14),"",OFFSET(TH!F$1,SMALL(Dong14,ROWS($1:80)),))</f>
        <v/>
      </c>
      <c r="E96" s="866" t="str">
        <f ca="1">IF(ROWS($1:80)&gt;COUNT(Dong14),"",IF(OFFSET(TH!N$1,SMALL(Dong14,ROWS($1:80)),)="131",OFFSET(TH!O$1,SMALL(Dong14,ROWS($1:80)),),OFFSET(TH!N$1,SMALL(Dong14,ROWS($1:80)),)))</f>
        <v/>
      </c>
      <c r="F96" s="866">
        <f ca="1">IF(ROWS($1:80)&gt;COUNT(Dong14),0,OFFSET(TH!L$1,SMALL(Dong14,ROWS($1:80)),))</f>
        <v>0</v>
      </c>
      <c r="G96" s="866"/>
      <c r="H96" s="867">
        <f ca="1">IF(ROWS($1:80)&gt;COUNT(Dong14),0,IF(OFFSET(TH!N$1,SMALL(Dong14,ROWS($1:80)),)="131",OFFSET(TH!K$1,SMALL(Dong14,ROWS($1:80)),),0))</f>
        <v>0</v>
      </c>
      <c r="I96" s="866">
        <f ca="1">IF(ROWS($1:80)&gt;COUNT(Dong14),0,IF(OFFSET(TH!N$1,SMALL(Dong14,ROWS($1:80)),)="131",OFFSET(TH!M$1,SMALL(Dong14,ROWS($1:80)),),0))</f>
        <v>0</v>
      </c>
      <c r="J96" s="867">
        <f ca="1">IF(ROWS($1:80)&gt;COUNT(Dong14),0,IF(OFFSET(TH!O$1,SMALL(Dong14,ROWS($1:80)),)="131",OFFSET(TH!K$1,SMALL(Dong14,ROWS($1:80)),),0))</f>
        <v>0</v>
      </c>
      <c r="K96" s="866">
        <f ca="1">IF(ROWS($1:80)&gt;COUNT(Dong14),0,IF(OFFSET(TH!O$1,SMALL(Dong14,ROWS($1:80)),)="131",OFFSET(TH!M$1,SMALL(Dong14,ROWS($1:80)),),0))</f>
        <v>0</v>
      </c>
      <c r="L96" s="860">
        <f t="shared" ca="1" si="21"/>
        <v>0</v>
      </c>
      <c r="M96" s="859">
        <f t="shared" ca="1" si="22"/>
        <v>0</v>
      </c>
      <c r="N96" s="860">
        <f t="shared" ca="1" si="23"/>
        <v>0</v>
      </c>
      <c r="O96" s="859">
        <f t="shared" ca="1" si="24"/>
        <v>0</v>
      </c>
    </row>
    <row r="97" spans="1:17" s="5" customFormat="1" ht="16.5" customHeight="1">
      <c r="A97" s="214" t="str">
        <f>IF(C97&lt;&gt;"",C97,"")</f>
        <v/>
      </c>
      <c r="B97" s="864"/>
      <c r="C97" s="864"/>
      <c r="D97" s="865"/>
      <c r="E97" s="864"/>
      <c r="F97" s="863"/>
      <c r="G97" s="861"/>
      <c r="H97" s="862"/>
      <c r="I97" s="859"/>
      <c r="J97" s="862"/>
      <c r="K97" s="861"/>
      <c r="L97" s="860"/>
      <c r="M97" s="859"/>
      <c r="N97" s="860"/>
      <c r="O97" s="859"/>
    </row>
    <row r="98" spans="1:17" s="5" customFormat="1" ht="16.5" customHeight="1">
      <c r="A98" s="858"/>
      <c r="B98" s="858"/>
      <c r="C98" s="858"/>
      <c r="D98" s="857" t="s">
        <v>33</v>
      </c>
      <c r="E98" s="856" t="s">
        <v>20</v>
      </c>
      <c r="F98" s="856"/>
      <c r="G98" s="853" t="s">
        <v>20</v>
      </c>
      <c r="H98" s="854">
        <f ca="1">SUM(H17:H97)</f>
        <v>0</v>
      </c>
      <c r="I98" s="853">
        <f ca="1">SUM(I17:I97)</f>
        <v>599306000</v>
      </c>
      <c r="J98" s="855">
        <f ca="1">SUM(J17:J97)</f>
        <v>0</v>
      </c>
      <c r="K98" s="853">
        <f ca="1">ROUND(SUM(K17:K97),0)</f>
        <v>599306000</v>
      </c>
      <c r="L98" s="854" t="s">
        <v>20</v>
      </c>
      <c r="M98" s="853" t="s">
        <v>20</v>
      </c>
      <c r="N98" s="853" t="s">
        <v>20</v>
      </c>
      <c r="O98" s="853" t="s">
        <v>20</v>
      </c>
    </row>
    <row r="99" spans="1:17" s="5" customFormat="1" ht="16.5" customHeight="1">
      <c r="A99" s="858"/>
      <c r="B99" s="858"/>
      <c r="C99" s="858"/>
      <c r="D99" s="857" t="s">
        <v>10</v>
      </c>
      <c r="E99" s="856" t="s">
        <v>20</v>
      </c>
      <c r="F99" s="856"/>
      <c r="G99" s="853" t="s">
        <v>20</v>
      </c>
      <c r="H99" s="854" t="s">
        <v>20</v>
      </c>
      <c r="I99" s="853" t="s">
        <v>20</v>
      </c>
      <c r="J99" s="855" t="s">
        <v>20</v>
      </c>
      <c r="K99" s="853" t="s">
        <v>20</v>
      </c>
      <c r="L99" s="854">
        <f ca="1">ROUND(MAX(L16+H98-N16-J98,0),2)</f>
        <v>0</v>
      </c>
      <c r="M99" s="853">
        <f ca="1">ROUND(MAX(M16+I98-O16-K98,0),0)</f>
        <v>0</v>
      </c>
      <c r="N99" s="853">
        <f ca="1">ROUND(MAX(N16+J98-L16-H98,0),2)</f>
        <v>0</v>
      </c>
      <c r="O99" s="853">
        <f ca="1">ROUND(MAX(O16+K98-M16-I98,0),-1)</f>
        <v>0</v>
      </c>
    </row>
    <row r="100" spans="1:17" s="5" customFormat="1" ht="15">
      <c r="A100" s="390" t="s">
        <v>246</v>
      </c>
      <c r="B100" s="4"/>
      <c r="C100" s="4"/>
      <c r="E100" s="4"/>
      <c r="F100" s="824"/>
      <c r="G100" s="850"/>
      <c r="H100" s="852"/>
      <c r="I100" s="850"/>
      <c r="J100" s="237"/>
      <c r="K100" s="850"/>
    </row>
    <row r="101" spans="1:17" s="5" customFormat="1" ht="15">
      <c r="A101" s="215" t="s">
        <v>3033</v>
      </c>
      <c r="B101" s="4"/>
      <c r="C101" s="4"/>
      <c r="E101" s="4"/>
      <c r="F101" s="824"/>
      <c r="G101" s="850"/>
      <c r="H101" s="852"/>
      <c r="I101" s="850"/>
      <c r="J101" s="237"/>
      <c r="K101" s="850"/>
      <c r="Q101" s="390"/>
    </row>
    <row r="102" spans="1:17" s="5" customFormat="1" ht="15">
      <c r="A102" s="4"/>
      <c r="B102" s="4"/>
      <c r="C102" s="4"/>
      <c r="E102" s="4"/>
      <c r="F102" s="824"/>
      <c r="G102" s="850"/>
      <c r="H102" s="851"/>
      <c r="I102" s="850"/>
      <c r="J102" s="1391" t="s">
        <v>3032</v>
      </c>
      <c r="K102" s="1391"/>
      <c r="L102" s="1391"/>
      <c r="M102" s="1391"/>
      <c r="N102" s="1391"/>
      <c r="O102" s="1391"/>
      <c r="Q102" s="390"/>
    </row>
    <row r="103" spans="1:17" s="5" customFormat="1" ht="15">
      <c r="A103" s="4"/>
      <c r="C103" s="4"/>
      <c r="D103" s="1028" t="s">
        <v>11</v>
      </c>
      <c r="E103" s="4"/>
      <c r="F103" s="824"/>
      <c r="G103" s="850"/>
      <c r="H103" s="851"/>
      <c r="I103" s="850"/>
      <c r="J103" s="237"/>
      <c r="K103" s="850"/>
      <c r="L103" s="1391" t="s">
        <v>12</v>
      </c>
      <c r="M103" s="1391"/>
      <c r="Q103" s="390"/>
    </row>
    <row r="104" spans="1:17" s="5" customFormat="1" ht="15">
      <c r="A104" s="4"/>
      <c r="C104" s="4"/>
      <c r="D104" s="1028" t="s">
        <v>13</v>
      </c>
      <c r="E104" s="4"/>
      <c r="F104" s="824"/>
      <c r="G104" s="850"/>
      <c r="H104" s="851"/>
      <c r="I104" s="850"/>
      <c r="J104" s="237"/>
      <c r="K104" s="850"/>
      <c r="L104" s="1391" t="s">
        <v>13</v>
      </c>
      <c r="M104" s="1391"/>
      <c r="Q104" s="390"/>
    </row>
    <row r="105" spans="1:17">
      <c r="D105" s="1062"/>
    </row>
    <row r="106" spans="1:17">
      <c r="D106" s="1062"/>
    </row>
    <row r="107" spans="1:17">
      <c r="D107" s="1062"/>
    </row>
    <row r="108" spans="1:17">
      <c r="D108" s="1062"/>
    </row>
    <row r="109" spans="1:17" hidden="1">
      <c r="D109" s="1062"/>
    </row>
    <row r="110" spans="1:17">
      <c r="D110" s="1062"/>
    </row>
    <row r="111" spans="1:17">
      <c r="D111" s="1062"/>
    </row>
    <row r="112" spans="1:17" ht="15">
      <c r="C112" s="1031"/>
      <c r="D112" s="1063" t="s">
        <v>223</v>
      </c>
    </row>
    <row r="120" spans="1:2" ht="15">
      <c r="B120" s="151"/>
    </row>
    <row r="121" spans="1:2" ht="15">
      <c r="B121" s="151"/>
    </row>
    <row r="122" spans="1:2" ht="15">
      <c r="B122" s="151"/>
    </row>
    <row r="123" spans="1:2" ht="15">
      <c r="B123" s="151"/>
    </row>
    <row r="127" spans="1:2">
      <c r="A127" s="390"/>
    </row>
    <row r="128" spans="1:2">
      <c r="A128" s="390"/>
    </row>
    <row r="129" spans="1:1">
      <c r="A129" s="390"/>
    </row>
    <row r="130" spans="1:1">
      <c r="A130" s="390"/>
    </row>
  </sheetData>
  <sortState ref="A17:Q78">
    <sortCondition ref="A17:A78"/>
    <sortCondition descending="1" ref="B17:B78"/>
  </sortState>
  <mergeCells count="20">
    <mergeCell ref="J102:O102"/>
    <mergeCell ref="L103:M103"/>
    <mergeCell ref="L104:M104"/>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rintOptions horizontalCentered="1"/>
  <pageMargins left="0.18" right="0.15" top="0.33" bottom="0.3" header="0.3" footer="0"/>
  <pageSetup scale="75" orientation="landscape" r:id="rId1"/>
  <headerFooter>
    <oddFooter>&amp;RTrang &amp;P/&amp;N</oddFooter>
  </headerFooter>
</worksheet>
</file>

<file path=xl/worksheets/sheet16.xml><?xml version="1.0" encoding="utf-8"?>
<worksheet xmlns="http://schemas.openxmlformats.org/spreadsheetml/2006/main" xmlns:r="http://schemas.openxmlformats.org/officeDocument/2006/relationships">
  <sheetPr>
    <tabColor indexed="28"/>
  </sheetPr>
  <dimension ref="A1:T130"/>
  <sheetViews>
    <sheetView topLeftCell="A6" workbookViewId="0">
      <pane xSplit="3" ySplit="6" topLeftCell="D12" activePane="bottomRight" state="frozen"/>
      <selection activeCell="C33" sqref="C33"/>
      <selection pane="topRight" activeCell="C33" sqref="C33"/>
      <selection pane="bottomLeft" activeCell="C33" sqref="C33"/>
      <selection pane="bottomRight" activeCell="H19" sqref="H19"/>
    </sheetView>
  </sheetViews>
  <sheetFormatPr defaultRowHeight="11.25" customHeight="1"/>
  <cols>
    <col min="1" max="1" width="3.140625" style="463" customWidth="1"/>
    <col min="2" max="2" width="3.42578125" style="463" customWidth="1"/>
    <col min="3" max="3" width="25.85546875" style="463" customWidth="1"/>
    <col min="4" max="4" width="7.7109375" style="468" customWidth="1"/>
    <col min="5" max="5" width="9.42578125" style="500" customWidth="1"/>
    <col min="6" max="6" width="12.5703125" style="500" customWidth="1"/>
    <col min="7" max="7" width="11.85546875" style="472" customWidth="1"/>
    <col min="8" max="8" width="15.42578125" style="472" customWidth="1"/>
    <col min="9" max="9" width="11.7109375" style="472" customWidth="1"/>
    <col min="10" max="10" width="16.42578125" style="472" customWidth="1"/>
    <col min="11" max="12" width="12.85546875" style="472" customWidth="1"/>
    <col min="13" max="13" width="3.28515625" style="464" customWidth="1"/>
    <col min="14" max="14" width="24.140625" style="463" customWidth="1"/>
    <col min="15" max="15" width="10.5703125" style="463" customWidth="1"/>
    <col min="16" max="16" width="10.42578125" style="463" customWidth="1"/>
    <col min="17" max="17" width="22.28515625" style="463" customWidth="1"/>
    <col min="18" max="18" width="12" style="463" customWidth="1"/>
    <col min="19" max="19" width="4.85546875" style="463" customWidth="1"/>
    <col min="20" max="16384" width="9.140625" style="463"/>
  </cols>
  <sheetData>
    <row r="1" spans="1:19" s="419" customFormat="1" ht="11.25" customHeight="1">
      <c r="B1" s="450" t="s">
        <v>310</v>
      </c>
      <c r="C1" s="451"/>
      <c r="D1" s="451"/>
      <c r="E1" s="451"/>
      <c r="F1" s="452"/>
      <c r="G1" s="452"/>
      <c r="H1" s="1427" t="s">
        <v>311</v>
      </c>
      <c r="I1" s="1427"/>
      <c r="J1" s="1427"/>
      <c r="K1" s="1427"/>
      <c r="L1" s="1427"/>
      <c r="M1" s="453"/>
      <c r="N1" s="227"/>
      <c r="O1" s="417"/>
    </row>
    <row r="2" spans="1:19" s="419" customFormat="1" ht="11.25" customHeight="1">
      <c r="B2" s="454" t="s">
        <v>312</v>
      </c>
      <c r="C2" s="455"/>
      <c r="D2" s="455"/>
      <c r="E2" s="455"/>
      <c r="F2" s="455"/>
      <c r="G2" s="455"/>
      <c r="H2" s="1428" t="s">
        <v>313</v>
      </c>
      <c r="I2" s="1428"/>
      <c r="J2" s="1428"/>
      <c r="K2" s="1428"/>
      <c r="L2" s="1428"/>
      <c r="M2" s="456"/>
      <c r="N2" s="228"/>
      <c r="O2" s="418"/>
    </row>
    <row r="3" spans="1:19" s="419" customFormat="1" ht="11.25" customHeight="1">
      <c r="B3" s="455"/>
      <c r="C3" s="455"/>
      <c r="D3" s="455"/>
      <c r="E3" s="455"/>
      <c r="F3" s="455"/>
      <c r="G3" s="455"/>
      <c r="H3" s="1467" t="s">
        <v>314</v>
      </c>
      <c r="I3" s="1467"/>
      <c r="J3" s="1467"/>
      <c r="K3" s="1467"/>
      <c r="L3" s="1467"/>
      <c r="M3" s="457"/>
      <c r="N3" s="458"/>
      <c r="O3" s="418"/>
    </row>
    <row r="4" spans="1:19" s="459" customFormat="1" ht="11.25" customHeight="1">
      <c r="B4" s="1468" t="s">
        <v>315</v>
      </c>
      <c r="C4" s="1468"/>
      <c r="D4" s="1468"/>
      <c r="E4" s="1468"/>
      <c r="F4" s="1468"/>
      <c r="G4" s="1468"/>
      <c r="H4" s="1468"/>
      <c r="I4" s="1468"/>
      <c r="J4" s="1468"/>
      <c r="K4" s="1468"/>
      <c r="L4" s="1468"/>
      <c r="M4" s="460"/>
    </row>
    <row r="5" spans="1:19" s="459" customFormat="1" ht="11.25" customHeight="1">
      <c r="B5" s="1466" t="s">
        <v>316</v>
      </c>
      <c r="C5" s="1466"/>
      <c r="D5" s="1466"/>
      <c r="E5" s="1466"/>
      <c r="F5" s="1466"/>
      <c r="G5" s="1466"/>
      <c r="H5" s="1466"/>
      <c r="I5" s="1466"/>
      <c r="J5" s="1466"/>
      <c r="K5" s="1466"/>
      <c r="L5" s="1466"/>
      <c r="M5" s="460"/>
    </row>
    <row r="6" spans="1:19" s="459" customFormat="1" ht="11.25" customHeight="1">
      <c r="B6" s="1466" t="s">
        <v>317</v>
      </c>
      <c r="C6" s="1466"/>
      <c r="D6" s="1466"/>
      <c r="E6" s="1466"/>
      <c r="F6" s="1466"/>
      <c r="G6" s="1466"/>
      <c r="H6" s="1466"/>
      <c r="I6" s="1466"/>
      <c r="J6" s="1466"/>
      <c r="K6" s="1466"/>
      <c r="L6" s="1466"/>
      <c r="M6" s="460"/>
    </row>
    <row r="7" spans="1:19" s="461" customFormat="1" ht="35.25" customHeight="1">
      <c r="C7" s="1459" t="s">
        <v>3029</v>
      </c>
      <c r="D7" s="1459"/>
      <c r="E7" s="1459"/>
      <c r="F7" s="1459"/>
      <c r="G7" s="1459"/>
      <c r="H7" s="1459"/>
      <c r="I7" s="1459"/>
      <c r="J7" s="1459"/>
      <c r="K7" s="1459"/>
      <c r="L7" s="1459"/>
      <c r="M7" s="462"/>
    </row>
    <row r="8" spans="1:19" ht="11.25" customHeight="1">
      <c r="B8" s="1460" t="s">
        <v>35</v>
      </c>
      <c r="C8" s="1461" t="s">
        <v>318</v>
      </c>
      <c r="D8" s="1462" t="s">
        <v>319</v>
      </c>
      <c r="E8" s="1464" t="s">
        <v>164</v>
      </c>
      <c r="F8" s="1464"/>
      <c r="G8" s="1464"/>
      <c r="H8" s="1464"/>
      <c r="I8" s="1464"/>
      <c r="J8" s="1464"/>
      <c r="K8" s="1464"/>
      <c r="L8" s="1464"/>
      <c r="N8" s="1456" t="s">
        <v>320</v>
      </c>
      <c r="O8" s="1456" t="s">
        <v>321</v>
      </c>
      <c r="P8" s="1456" t="s">
        <v>322</v>
      </c>
      <c r="Q8" s="1456" t="s">
        <v>323</v>
      </c>
      <c r="R8" s="1456" t="s">
        <v>324</v>
      </c>
      <c r="S8" s="1456" t="s">
        <v>325</v>
      </c>
    </row>
    <row r="9" spans="1:19" ht="11.25" customHeight="1">
      <c r="B9" s="1460"/>
      <c r="C9" s="1461"/>
      <c r="D9" s="1463"/>
      <c r="E9" s="1464" t="s">
        <v>326</v>
      </c>
      <c r="F9" s="1464"/>
      <c r="G9" s="1465" t="s">
        <v>327</v>
      </c>
      <c r="H9" s="1465"/>
      <c r="I9" s="1465" t="s">
        <v>328</v>
      </c>
      <c r="J9" s="1465"/>
      <c r="K9" s="1465" t="s">
        <v>329</v>
      </c>
      <c r="L9" s="1465"/>
      <c r="N9" s="1457"/>
      <c r="O9" s="1457"/>
      <c r="P9" s="1457"/>
      <c r="Q9" s="1457"/>
      <c r="R9" s="1457"/>
      <c r="S9" s="1457"/>
    </row>
    <row r="10" spans="1:19" ht="11.25" customHeight="1">
      <c r="B10" s="1460"/>
      <c r="C10" s="1461"/>
      <c r="D10" s="465"/>
      <c r="E10" s="466" t="s">
        <v>330</v>
      </c>
      <c r="F10" s="466" t="s">
        <v>331</v>
      </c>
      <c r="G10" s="466" t="s">
        <v>330</v>
      </c>
      <c r="H10" s="466" t="s">
        <v>331</v>
      </c>
      <c r="I10" s="466" t="s">
        <v>330</v>
      </c>
      <c r="J10" s="466" t="s">
        <v>331</v>
      </c>
      <c r="K10" s="466" t="s">
        <v>330</v>
      </c>
      <c r="L10" s="466" t="s">
        <v>331</v>
      </c>
      <c r="N10" s="1458"/>
      <c r="O10" s="1458"/>
      <c r="P10" s="1458"/>
      <c r="Q10" s="1458"/>
      <c r="R10" s="467"/>
      <c r="S10" s="1458"/>
    </row>
    <row r="11" spans="1:19" s="468" customFormat="1" ht="11.25" customHeight="1">
      <c r="B11" s="469" t="s">
        <v>2</v>
      </c>
      <c r="C11" s="465" t="s">
        <v>3</v>
      </c>
      <c r="D11" s="465"/>
      <c r="E11" s="466">
        <v>1</v>
      </c>
      <c r="F11" s="466">
        <v>1</v>
      </c>
      <c r="G11" s="466">
        <v>2</v>
      </c>
      <c r="H11" s="466">
        <v>2</v>
      </c>
      <c r="I11" s="466">
        <v>3</v>
      </c>
      <c r="J11" s="466">
        <v>3</v>
      </c>
      <c r="K11" s="466">
        <v>4</v>
      </c>
      <c r="L11" s="466">
        <v>4</v>
      </c>
      <c r="M11" s="470"/>
      <c r="N11" s="471"/>
      <c r="O11" s="471"/>
      <c r="P11" s="471"/>
      <c r="Q11" s="471"/>
      <c r="R11" s="471"/>
      <c r="S11" s="471"/>
    </row>
    <row r="12" spans="1:19" ht="21" customHeight="1">
      <c r="A12" s="472" t="str">
        <f>IF(B12&lt;&gt;"","VL","")</f>
        <v>VL</v>
      </c>
      <c r="B12" s="473">
        <f>IF(C12&lt;&gt;"",ROW()-11,"")</f>
        <v>1</v>
      </c>
      <c r="C12" s="474" t="s">
        <v>332</v>
      </c>
      <c r="D12" s="475" t="s">
        <v>333</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76"/>
      <c r="N12" s="477" t="s">
        <v>334</v>
      </c>
      <c r="O12" s="474" t="s">
        <v>335</v>
      </c>
      <c r="P12" s="478">
        <v>330593933</v>
      </c>
      <c r="Q12" s="478" t="s">
        <v>336</v>
      </c>
      <c r="R12" s="478"/>
      <c r="S12" s="478" t="s">
        <v>3021</v>
      </c>
    </row>
    <row r="13" spans="1:19" ht="21" customHeight="1">
      <c r="A13" s="472" t="str">
        <f t="shared" ref="A13:A53" si="1">IF(B13&lt;&gt;"","VL","")</f>
        <v>VL</v>
      </c>
      <c r="B13" s="473">
        <f t="shared" ref="B13:B33" si="2">IF(C13&lt;&gt;"",ROW()-11,"")</f>
        <v>2</v>
      </c>
      <c r="C13" s="479" t="s">
        <v>338</v>
      </c>
      <c r="D13" s="480" t="s">
        <v>333</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76"/>
      <c r="N13" s="479" t="s">
        <v>339</v>
      </c>
      <c r="O13" s="478" t="s">
        <v>335</v>
      </c>
      <c r="P13" s="478">
        <v>320775664</v>
      </c>
      <c r="Q13" s="478" t="s">
        <v>340</v>
      </c>
      <c r="R13" s="478"/>
      <c r="S13" s="478" t="s">
        <v>3021</v>
      </c>
    </row>
    <row r="14" spans="1:19" ht="21" customHeight="1">
      <c r="A14" s="472" t="str">
        <f t="shared" si="1"/>
        <v>VL</v>
      </c>
      <c r="B14" s="473">
        <f t="shared" si="2"/>
        <v>3</v>
      </c>
      <c r="C14" s="479" t="s">
        <v>341</v>
      </c>
      <c r="D14" s="480" t="s">
        <v>333</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76"/>
      <c r="N14" s="479" t="s">
        <v>342</v>
      </c>
      <c r="O14" s="481" t="s">
        <v>335</v>
      </c>
      <c r="P14" s="478">
        <v>320892558</v>
      </c>
      <c r="Q14" s="478" t="s">
        <v>343</v>
      </c>
      <c r="R14" s="478"/>
      <c r="S14" s="478" t="s">
        <v>3021</v>
      </c>
    </row>
    <row r="15" spans="1:19" ht="21" customHeight="1">
      <c r="A15" s="472" t="str">
        <f t="shared" si="1"/>
        <v>VL</v>
      </c>
      <c r="B15" s="473">
        <f t="shared" si="2"/>
        <v>4</v>
      </c>
      <c r="C15" s="72" t="s">
        <v>2567</v>
      </c>
      <c r="D15" s="480" t="s">
        <v>333</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76"/>
      <c r="N15" s="479" t="s">
        <v>344</v>
      </c>
      <c r="O15" s="481" t="s">
        <v>335</v>
      </c>
      <c r="P15" s="478">
        <v>320892578</v>
      </c>
      <c r="Q15" s="478" t="s">
        <v>345</v>
      </c>
      <c r="R15" s="478"/>
      <c r="S15" s="478" t="s">
        <v>3021</v>
      </c>
    </row>
    <row r="16" spans="1:19" ht="21" customHeight="1">
      <c r="A16" s="472" t="str">
        <f t="shared" si="1"/>
        <v>VL</v>
      </c>
      <c r="B16" s="473">
        <f t="shared" si="2"/>
        <v>5</v>
      </c>
      <c r="C16" s="479" t="s">
        <v>218</v>
      </c>
      <c r="D16" s="480" t="s">
        <v>333</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76"/>
      <c r="N16" s="479" t="s">
        <v>347</v>
      </c>
      <c r="O16" s="481" t="s">
        <v>335</v>
      </c>
      <c r="P16" s="478">
        <v>321179471</v>
      </c>
      <c r="Q16" s="478" t="s">
        <v>348</v>
      </c>
      <c r="R16" s="478"/>
      <c r="S16" s="478" t="s">
        <v>3021</v>
      </c>
    </row>
    <row r="17" spans="1:20" ht="21" customHeight="1">
      <c r="A17" s="472" t="str">
        <f t="shared" si="1"/>
        <v>VL</v>
      </c>
      <c r="B17" s="473">
        <f t="shared" si="2"/>
        <v>6</v>
      </c>
      <c r="C17" s="479" t="s">
        <v>346</v>
      </c>
      <c r="D17" s="480" t="s">
        <v>333</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76"/>
      <c r="N17" s="479" t="s">
        <v>350</v>
      </c>
      <c r="O17" s="481" t="s">
        <v>335</v>
      </c>
      <c r="P17" s="478">
        <v>324478047</v>
      </c>
      <c r="Q17" s="478" t="s">
        <v>351</v>
      </c>
      <c r="R17" s="478"/>
      <c r="S17" s="478" t="s">
        <v>3021</v>
      </c>
    </row>
    <row r="18" spans="1:20" ht="21" customHeight="1">
      <c r="A18" s="472" t="str">
        <f t="shared" si="1"/>
        <v>VL</v>
      </c>
      <c r="B18" s="473">
        <f t="shared" si="2"/>
        <v>7</v>
      </c>
      <c r="C18" s="482" t="s">
        <v>349</v>
      </c>
      <c r="D18" s="483" t="s">
        <v>333</v>
      </c>
      <c r="E18" s="410">
        <v>5400</v>
      </c>
      <c r="F18" s="410">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76"/>
      <c r="N18" s="479" t="s">
        <v>354</v>
      </c>
      <c r="O18" s="481" t="s">
        <v>335</v>
      </c>
      <c r="P18" s="478">
        <v>321413712</v>
      </c>
      <c r="Q18" s="478" t="s">
        <v>355</v>
      </c>
      <c r="R18" s="478"/>
      <c r="S18" s="478" t="s">
        <v>3021</v>
      </c>
    </row>
    <row r="19" spans="1:20" ht="21" customHeight="1">
      <c r="A19" s="472" t="str">
        <f t="shared" si="1"/>
        <v>VL</v>
      </c>
      <c r="B19" s="473">
        <f t="shared" si="2"/>
        <v>8</v>
      </c>
      <c r="C19" s="482" t="s">
        <v>1389</v>
      </c>
      <c r="D19" s="484" t="s">
        <v>333</v>
      </c>
      <c r="E19" s="410"/>
      <c r="F19" s="410"/>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76"/>
      <c r="N19" s="479" t="s">
        <v>357</v>
      </c>
      <c r="O19" s="474" t="s">
        <v>335</v>
      </c>
      <c r="P19" s="478">
        <v>320744085</v>
      </c>
      <c r="Q19" s="478" t="s">
        <v>340</v>
      </c>
      <c r="R19" s="478"/>
      <c r="S19" s="478" t="s">
        <v>3021</v>
      </c>
    </row>
    <row r="20" spans="1:20" ht="21" customHeight="1">
      <c r="A20" s="472" t="str">
        <f t="shared" si="1"/>
        <v>VL</v>
      </c>
      <c r="B20" s="473">
        <f t="shared" si="2"/>
        <v>9</v>
      </c>
      <c r="C20" s="482" t="s">
        <v>352</v>
      </c>
      <c r="D20" s="484" t="s">
        <v>353</v>
      </c>
      <c r="E20" s="410">
        <v>950</v>
      </c>
      <c r="F20" s="410">
        <v>8075000</v>
      </c>
      <c r="G20" s="25">
        <f t="array" ref="G20">SUM(IF("1522"&amp;C20=KHN&amp;MH,SL))</f>
        <v>1800</v>
      </c>
      <c r="H20" s="25">
        <f t="array" ref="H20">SUM(IF("1522"&amp;C20=KHN&amp;MH,TH))</f>
        <v>14700000</v>
      </c>
      <c r="I20" s="25">
        <f t="array" ref="I20">SUM(IF("1522"&amp;C20=KHC&amp;MH,SL))</f>
        <v>2550</v>
      </c>
      <c r="J20" s="25">
        <f t="array" ref="J20">SUM(IF("1522"&amp;C20=KHC&amp;MH,TH))</f>
        <v>21175000</v>
      </c>
      <c r="K20" s="410">
        <f t="shared" si="0"/>
        <v>200</v>
      </c>
      <c r="L20" s="410">
        <f t="shared" si="0"/>
        <v>1600000</v>
      </c>
      <c r="M20" s="476"/>
      <c r="N20" s="479" t="s">
        <v>360</v>
      </c>
      <c r="O20" s="474" t="s">
        <v>335</v>
      </c>
      <c r="P20" s="478">
        <v>320807672</v>
      </c>
      <c r="Q20" s="478" t="s">
        <v>361</v>
      </c>
      <c r="R20" s="478"/>
      <c r="S20" s="478" t="s">
        <v>3021</v>
      </c>
    </row>
    <row r="21" spans="1:20" ht="21" customHeight="1">
      <c r="A21" s="472" t="str">
        <f t="shared" si="1"/>
        <v>VL</v>
      </c>
      <c r="B21" s="473">
        <f t="shared" si="2"/>
        <v>10</v>
      </c>
      <c r="C21" s="482" t="s">
        <v>356</v>
      </c>
      <c r="D21" s="484" t="s">
        <v>333</v>
      </c>
      <c r="E21" s="410">
        <v>1647</v>
      </c>
      <c r="F21" s="410">
        <v>531969</v>
      </c>
      <c r="G21" s="25">
        <f t="array" ref="G21">SUM(IF("1522"&amp;C21=KHN&amp;MH,SL))</f>
        <v>1000</v>
      </c>
      <c r="H21" s="25">
        <f t="array" ref="H21">SUM(IF("1522"&amp;C21=KHN&amp;MH,TH))</f>
        <v>33000000</v>
      </c>
      <c r="I21" s="25">
        <f t="array" ref="I21">SUM(IF("1522"&amp;C21=KHC&amp;MH,SL))</f>
        <v>2647</v>
      </c>
      <c r="J21" s="25">
        <f t="array" ref="J21">SUM(IF("1522"&amp;C21=KHC&amp;MH,TH))</f>
        <v>33531969</v>
      </c>
      <c r="K21" s="410">
        <f t="shared" ref="K21:L26" si="3">E21+G21-I21</f>
        <v>0</v>
      </c>
      <c r="L21" s="410">
        <f t="shared" si="3"/>
        <v>0</v>
      </c>
      <c r="M21" s="476"/>
      <c r="N21" s="479" t="s">
        <v>363</v>
      </c>
      <c r="O21" s="474" t="s">
        <v>335</v>
      </c>
      <c r="P21" s="478">
        <v>320044169</v>
      </c>
      <c r="Q21" s="478" t="s">
        <v>364</v>
      </c>
      <c r="R21" s="478"/>
      <c r="S21" s="478" t="s">
        <v>3021</v>
      </c>
    </row>
    <row r="22" spans="1:20" ht="21" customHeight="1">
      <c r="A22" s="472" t="str">
        <f t="shared" si="1"/>
        <v>VL</v>
      </c>
      <c r="B22" s="473">
        <f t="shared" si="2"/>
        <v>11</v>
      </c>
      <c r="C22" s="67" t="s">
        <v>1821</v>
      </c>
      <c r="D22" s="484" t="s">
        <v>333</v>
      </c>
      <c r="E22" s="410"/>
      <c r="F22" s="410"/>
      <c r="G22" s="25">
        <f t="array" ref="G22">SUM(IF("1522"&amp;C22=KHN&amp;MH,SL))</f>
        <v>70500</v>
      </c>
      <c r="H22" s="25">
        <f t="array" ref="H22">SUM(IF("1522"&amp;C22=KHN&amp;MH,TH))</f>
        <v>81075000</v>
      </c>
      <c r="I22" s="25">
        <f t="array" ref="I22">SUM(IF("1522"&amp;C22=KHC&amp;MH,SL))</f>
        <v>70500</v>
      </c>
      <c r="J22" s="25">
        <f t="array" ref="J22">SUM(IF("1522"&amp;C22=KHC&amp;MH,TH))</f>
        <v>81075000</v>
      </c>
      <c r="K22" s="410">
        <f t="shared" si="3"/>
        <v>0</v>
      </c>
      <c r="L22" s="410">
        <f t="shared" si="3"/>
        <v>0</v>
      </c>
      <c r="M22" s="476"/>
      <c r="N22" s="485" t="s">
        <v>366</v>
      </c>
      <c r="O22" s="474" t="s">
        <v>335</v>
      </c>
      <c r="P22" s="478">
        <v>320881573</v>
      </c>
      <c r="Q22" s="478" t="s">
        <v>361</v>
      </c>
      <c r="R22" s="478"/>
      <c r="S22" s="478" t="s">
        <v>3021</v>
      </c>
    </row>
    <row r="23" spans="1:20" ht="21" customHeight="1">
      <c r="A23" s="472" t="str">
        <f t="shared" si="1"/>
        <v>VL</v>
      </c>
      <c r="B23" s="473">
        <f t="shared" si="2"/>
        <v>12</v>
      </c>
      <c r="C23" s="67" t="s">
        <v>1822</v>
      </c>
      <c r="D23" s="484" t="s">
        <v>333</v>
      </c>
      <c r="E23" s="410"/>
      <c r="F23" s="410"/>
      <c r="G23" s="25">
        <f t="array" ref="G23">SUM(IF("1522"&amp;C23=KHN&amp;MH,SL))</f>
        <v>200</v>
      </c>
      <c r="H23" s="25">
        <f t="array" ref="H23">SUM(IF("1522"&amp;C23=KHN&amp;MH,TH))</f>
        <v>7400000</v>
      </c>
      <c r="I23" s="25">
        <f t="array" ref="I23">SUM(IF("1522"&amp;C23=KHC&amp;MH,SL))</f>
        <v>200</v>
      </c>
      <c r="J23" s="25">
        <f t="array" ref="J23">SUM(IF("1522"&amp;C23=KHC&amp;MH,TH))</f>
        <v>7400000</v>
      </c>
      <c r="K23" s="410">
        <f>E23+G23-I23</f>
        <v>0</v>
      </c>
      <c r="L23" s="410">
        <f>F23+H23-J23</f>
        <v>0</v>
      </c>
      <c r="M23" s="476"/>
      <c r="N23" s="479" t="s">
        <v>368</v>
      </c>
      <c r="O23" s="474" t="s">
        <v>335</v>
      </c>
      <c r="P23" s="478">
        <v>320876558</v>
      </c>
      <c r="Q23" s="478" t="s">
        <v>369</v>
      </c>
      <c r="R23" s="478"/>
      <c r="S23" s="478" t="s">
        <v>3021</v>
      </c>
    </row>
    <row r="24" spans="1:20" ht="21" customHeight="1">
      <c r="A24" s="472" t="str">
        <f t="shared" si="1"/>
        <v>VL</v>
      </c>
      <c r="B24" s="473">
        <f t="shared" si="2"/>
        <v>13</v>
      </c>
      <c r="C24" s="67" t="s">
        <v>1823</v>
      </c>
      <c r="D24" s="484" t="s">
        <v>333</v>
      </c>
      <c r="E24" s="410"/>
      <c r="F24" s="410"/>
      <c r="G24" s="25">
        <f t="array" ref="G24">SUM(IF("1522"&amp;C24=KHN&amp;MH,SL))</f>
        <v>111</v>
      </c>
      <c r="H24" s="25">
        <f t="array" ref="H24">SUM(IF("1522"&amp;C24=KHN&amp;MH,TH))</f>
        <v>4107000</v>
      </c>
      <c r="I24" s="25">
        <f t="array" ref="I24">SUM(IF("1522"&amp;C24=KHC&amp;MH,SL))</f>
        <v>111</v>
      </c>
      <c r="J24" s="25">
        <f t="array" ref="J24">SUM(IF("1522"&amp;C24=KHC&amp;MH,TH))</f>
        <v>4107000</v>
      </c>
      <c r="K24" s="410">
        <f t="shared" si="3"/>
        <v>0</v>
      </c>
      <c r="L24" s="410">
        <f t="shared" si="3"/>
        <v>0</v>
      </c>
      <c r="M24" s="476"/>
      <c r="N24" s="479" t="s">
        <v>371</v>
      </c>
      <c r="O24" s="481" t="s">
        <v>372</v>
      </c>
      <c r="P24" s="478">
        <v>250746332</v>
      </c>
      <c r="Q24" s="478" t="s">
        <v>373</v>
      </c>
      <c r="R24" s="478"/>
      <c r="S24" s="478" t="s">
        <v>3021</v>
      </c>
    </row>
    <row r="25" spans="1:20" ht="21" customHeight="1">
      <c r="A25" s="472" t="str">
        <f t="shared" si="1"/>
        <v>VL</v>
      </c>
      <c r="B25" s="473">
        <f t="shared" si="2"/>
        <v>14</v>
      </c>
      <c r="C25" s="67" t="s">
        <v>1824</v>
      </c>
      <c r="D25" s="484" t="s">
        <v>333</v>
      </c>
      <c r="E25" s="410"/>
      <c r="F25" s="410"/>
      <c r="G25" s="25">
        <f t="array" ref="G25">SUM(IF("1522"&amp;C25=KHN&amp;MH,SL))</f>
        <v>306</v>
      </c>
      <c r="H25" s="25">
        <f t="array" ref="H25">SUM(IF("1522"&amp;C25=KHN&amp;MH,TH))</f>
        <v>11322000</v>
      </c>
      <c r="I25" s="25">
        <f t="array" ref="I25">SUM(IF("1522"&amp;C25=KHC&amp;MH,SL))</f>
        <v>306</v>
      </c>
      <c r="J25" s="25">
        <f t="array" ref="J25">SUM(IF("1522"&amp;C25=KHC&amp;MH,TH))</f>
        <v>11322000</v>
      </c>
      <c r="K25" s="410">
        <f t="shared" si="3"/>
        <v>0</v>
      </c>
      <c r="L25" s="410">
        <f t="shared" si="3"/>
        <v>0</v>
      </c>
      <c r="M25" s="476"/>
      <c r="N25" s="479" t="s">
        <v>376</v>
      </c>
      <c r="O25" s="481" t="s">
        <v>372</v>
      </c>
      <c r="P25" s="478">
        <v>260682094</v>
      </c>
      <c r="Q25" s="478" t="s">
        <v>373</v>
      </c>
      <c r="R25" s="478"/>
      <c r="S25" s="478" t="s">
        <v>3021</v>
      </c>
    </row>
    <row r="26" spans="1:20" ht="21" customHeight="1">
      <c r="A26" s="472" t="str">
        <f t="shared" si="1"/>
        <v>VL</v>
      </c>
      <c r="B26" s="473">
        <f t="shared" si="2"/>
        <v>15</v>
      </c>
      <c r="C26" s="917" t="s">
        <v>367</v>
      </c>
      <c r="D26" s="913" t="s">
        <v>359</v>
      </c>
      <c r="E26" s="914">
        <v>295214</v>
      </c>
      <c r="F26" s="914">
        <v>102435290</v>
      </c>
      <c r="G26" s="915">
        <f t="array" ref="G26">SUM(IF("1522"&amp;C26=KHN&amp;MH,SL))</f>
        <v>0</v>
      </c>
      <c r="H26" s="915">
        <f t="array" ref="H26">SUM(IF("1522"&amp;C26=KHN&amp;MH,TH))</f>
        <v>0</v>
      </c>
      <c r="I26" s="915">
        <f t="array" ref="I26">SUM(IF("1522"&amp;C26=KHC&amp;MH,SL))</f>
        <v>295214</v>
      </c>
      <c r="J26" s="915">
        <f t="array" ref="J26">SUM(IF("1522"&amp;C26=KHC&amp;MH,TH))</f>
        <v>102435290</v>
      </c>
      <c r="K26" s="916">
        <f t="shared" si="3"/>
        <v>0</v>
      </c>
      <c r="L26" s="916">
        <f t="shared" si="3"/>
        <v>0</v>
      </c>
      <c r="M26" s="476"/>
      <c r="N26" s="479" t="s">
        <v>378</v>
      </c>
      <c r="O26" s="481" t="s">
        <v>372</v>
      </c>
      <c r="P26" s="478">
        <v>260690910</v>
      </c>
      <c r="Q26" s="478" t="s">
        <v>379</v>
      </c>
      <c r="R26" s="478"/>
      <c r="S26" s="478" t="s">
        <v>3021</v>
      </c>
    </row>
    <row r="27" spans="1:20" ht="21" customHeight="1">
      <c r="A27" s="472" t="str">
        <f t="shared" si="1"/>
        <v>VL</v>
      </c>
      <c r="B27" s="473">
        <f t="shared" si="2"/>
        <v>16</v>
      </c>
      <c r="C27" s="917" t="s">
        <v>370</v>
      </c>
      <c r="D27" s="913" t="s">
        <v>359</v>
      </c>
      <c r="E27" s="914">
        <v>6600</v>
      </c>
      <c r="F27" s="914">
        <v>3597000</v>
      </c>
      <c r="G27" s="915">
        <f t="array" ref="G27">SUM(IF("1522"&amp;C27=KHN&amp;MH,SL))</f>
        <v>0</v>
      </c>
      <c r="H27" s="915">
        <f t="array" ref="H27">SUM(IF("1522"&amp;C27=KHN&amp;MH,TH))</f>
        <v>0</v>
      </c>
      <c r="I27" s="915">
        <f t="array" ref="I27">SUM(IF("1522"&amp;C27=KHC&amp;MH,SL))</f>
        <v>6600</v>
      </c>
      <c r="J27" s="915">
        <f t="array" ref="J27">SUM(IF("1522"&amp;C27=KHC&amp;MH,TH))</f>
        <v>3597000</v>
      </c>
      <c r="K27" s="916">
        <f t="shared" si="0"/>
        <v>0</v>
      </c>
      <c r="L27" s="916">
        <f t="shared" si="0"/>
        <v>0</v>
      </c>
      <c r="M27" s="476"/>
      <c r="N27" s="479" t="s">
        <v>381</v>
      </c>
      <c r="O27" s="481" t="s">
        <v>372</v>
      </c>
      <c r="P27" s="478">
        <v>260178873</v>
      </c>
      <c r="Q27" s="478" t="s">
        <v>382</v>
      </c>
      <c r="R27" s="478"/>
      <c r="S27" s="478" t="s">
        <v>3021</v>
      </c>
    </row>
    <row r="28" spans="1:20" ht="21" customHeight="1">
      <c r="A28" s="472" t="str">
        <f t="shared" si="1"/>
        <v>VL</v>
      </c>
      <c r="B28" s="473">
        <f t="shared" si="2"/>
        <v>17</v>
      </c>
      <c r="C28" s="912" t="s">
        <v>358</v>
      </c>
      <c r="D28" s="913" t="s">
        <v>359</v>
      </c>
      <c r="E28" s="914">
        <v>93800</v>
      </c>
      <c r="F28" s="914">
        <v>28140000</v>
      </c>
      <c r="G28" s="915">
        <f t="array" ref="G28">SUM(IF("1522"&amp;C28=KHN&amp;MH,SL))</f>
        <v>0</v>
      </c>
      <c r="H28" s="915">
        <f t="array" ref="H28">SUM(IF("1522"&amp;C28=KHN&amp;MH,TH))</f>
        <v>0</v>
      </c>
      <c r="I28" s="915">
        <f t="array" ref="I28">SUM(IF("1522"&amp;C28=KHC&amp;MH,SL))</f>
        <v>0</v>
      </c>
      <c r="J28" s="915">
        <f t="array" ref="J28">SUM(IF("1522"&amp;C28=KHC&amp;MH,TH))</f>
        <v>0</v>
      </c>
      <c r="K28" s="914">
        <f t="shared" si="0"/>
        <v>93800</v>
      </c>
      <c r="L28" s="914">
        <f t="shared" si="0"/>
        <v>28140000</v>
      </c>
      <c r="M28" s="476"/>
      <c r="N28" s="479" t="s">
        <v>384</v>
      </c>
      <c r="O28" s="481" t="s">
        <v>372</v>
      </c>
      <c r="P28" s="478">
        <v>260850613</v>
      </c>
      <c r="Q28" s="478" t="s">
        <v>382</v>
      </c>
      <c r="R28" s="478"/>
      <c r="S28" s="478" t="s">
        <v>3021</v>
      </c>
      <c r="T28" s="490"/>
    </row>
    <row r="29" spans="1:20" s="490" customFormat="1" ht="21" customHeight="1">
      <c r="A29" s="472" t="str">
        <f t="shared" si="1"/>
        <v>VL</v>
      </c>
      <c r="B29" s="473">
        <f t="shared" si="2"/>
        <v>18</v>
      </c>
      <c r="C29" s="917" t="s">
        <v>362</v>
      </c>
      <c r="D29" s="913" t="s">
        <v>359</v>
      </c>
      <c r="E29" s="914">
        <v>48700</v>
      </c>
      <c r="F29" s="914">
        <v>19480000</v>
      </c>
      <c r="G29" s="915">
        <f t="array" ref="G29">SUM(IF("1522"&amp;C29=KHN&amp;MH,SL))</f>
        <v>0</v>
      </c>
      <c r="H29" s="915">
        <f t="array" ref="H29">SUM(IF("1522"&amp;C29=KHN&amp;MH,TH))</f>
        <v>0</v>
      </c>
      <c r="I29" s="915">
        <f t="array" ref="I29">SUM(IF("1522"&amp;C29=KHC&amp;MH,SL))</f>
        <v>0</v>
      </c>
      <c r="J29" s="915">
        <f t="array" ref="J29">SUM(IF("1522"&amp;C29=KHC&amp;MH,TH))</f>
        <v>0</v>
      </c>
      <c r="K29" s="914">
        <f t="shared" si="0"/>
        <v>48700</v>
      </c>
      <c r="L29" s="914">
        <f t="shared" si="0"/>
        <v>19480000</v>
      </c>
      <c r="M29" s="476"/>
      <c r="N29" s="479" t="s">
        <v>386</v>
      </c>
      <c r="O29" s="481" t="s">
        <v>372</v>
      </c>
      <c r="P29" s="478">
        <v>280853616</v>
      </c>
      <c r="Q29" s="478" t="s">
        <v>382</v>
      </c>
      <c r="R29" s="478"/>
      <c r="S29" s="478" t="s">
        <v>3021</v>
      </c>
    </row>
    <row r="30" spans="1:20" s="490" customFormat="1" ht="21" customHeight="1">
      <c r="A30" s="472" t="str">
        <f t="shared" si="1"/>
        <v>VL</v>
      </c>
      <c r="B30" s="473">
        <f t="shared" si="2"/>
        <v>19</v>
      </c>
      <c r="C30" s="917" t="s">
        <v>365</v>
      </c>
      <c r="D30" s="913" t="s">
        <v>359</v>
      </c>
      <c r="E30" s="914">
        <v>12300</v>
      </c>
      <c r="F30" s="914">
        <v>2890500</v>
      </c>
      <c r="G30" s="915">
        <f t="array" ref="G30">SUM(IF("1522"&amp;C30=KHN&amp;MH,SL))</f>
        <v>0</v>
      </c>
      <c r="H30" s="915">
        <f t="array" ref="H30">SUM(IF("1522"&amp;C30=KHN&amp;MH,TH))</f>
        <v>0</v>
      </c>
      <c r="I30" s="915">
        <f t="array" ref="I30">SUM(IF("1522"&amp;C30=KHC&amp;MH,SL))</f>
        <v>12300</v>
      </c>
      <c r="J30" s="915">
        <f t="array" ref="J30">SUM(IF("1522"&amp;C30=KHC&amp;MH,TH))</f>
        <v>2890500</v>
      </c>
      <c r="K30" s="914">
        <f t="shared" si="0"/>
        <v>0</v>
      </c>
      <c r="L30" s="914">
        <f t="shared" si="0"/>
        <v>0</v>
      </c>
      <c r="M30" s="476"/>
      <c r="N30" s="479" t="s">
        <v>388</v>
      </c>
      <c r="O30" s="481" t="s">
        <v>372</v>
      </c>
      <c r="P30" s="478">
        <v>261005222</v>
      </c>
      <c r="Q30" s="478" t="s">
        <v>389</v>
      </c>
      <c r="R30" s="478"/>
      <c r="S30" s="478" t="s">
        <v>3021</v>
      </c>
    </row>
    <row r="31" spans="1:20" s="490" customFormat="1" ht="21" customHeight="1">
      <c r="A31" s="472" t="str">
        <f t="shared" si="1"/>
        <v>VL</v>
      </c>
      <c r="B31" s="473">
        <f t="shared" si="2"/>
        <v>20</v>
      </c>
      <c r="C31" s="308" t="s">
        <v>1611</v>
      </c>
      <c r="D31" s="487" t="s">
        <v>375</v>
      </c>
      <c r="E31" s="488"/>
      <c r="F31" s="488"/>
      <c r="G31" s="25">
        <f t="array" ref="G31">SUM(IF("1522"&amp;C31=KHN&amp;MH,SL))</f>
        <v>600</v>
      </c>
      <c r="H31" s="25">
        <f t="array" ref="H31">SUM(IF("1522"&amp;C31=KHN&amp;MH,TH))</f>
        <v>1440000</v>
      </c>
      <c r="I31" s="25">
        <f t="array" ref="I31">SUM(IF("1522"&amp;C31=KHC&amp;MH,SL))</f>
        <v>600</v>
      </c>
      <c r="J31" s="25">
        <f t="array" ref="J31">SUM(IF("1522"&amp;C31=KHC&amp;MH,TH))</f>
        <v>1440000</v>
      </c>
      <c r="K31" s="488">
        <f t="shared" ref="K31:K51" si="4">E31+G31-I31</f>
        <v>0</v>
      </c>
      <c r="L31" s="488">
        <f t="shared" ref="L31:L51" si="5">F31+H31-J31</f>
        <v>0</v>
      </c>
      <c r="M31" s="476"/>
      <c r="N31" s="479" t="s">
        <v>391</v>
      </c>
      <c r="O31" s="481" t="s">
        <v>392</v>
      </c>
      <c r="P31" s="478">
        <v>370047763</v>
      </c>
      <c r="Q31" s="478" t="s">
        <v>393</v>
      </c>
      <c r="R31" s="478"/>
      <c r="S31" s="478" t="s">
        <v>337</v>
      </c>
      <c r="T31" s="463"/>
    </row>
    <row r="32" spans="1:20" ht="21" customHeight="1">
      <c r="A32" s="472" t="str">
        <f t="shared" si="1"/>
        <v>VL</v>
      </c>
      <c r="B32" s="473">
        <f t="shared" si="2"/>
        <v>21</v>
      </c>
      <c r="C32" s="482" t="s">
        <v>638</v>
      </c>
      <c r="D32" s="487" t="s">
        <v>375</v>
      </c>
      <c r="E32" s="410"/>
      <c r="F32" s="410"/>
      <c r="G32" s="25">
        <f t="array" ref="G32">SUM(IF("1522"&amp;C32=KHN&amp;MH,SL))</f>
        <v>16168</v>
      </c>
      <c r="H32" s="25">
        <f t="array" ref="H32">SUM(IF("1522"&amp;C32=KHN&amp;MH,TH))</f>
        <v>220682000</v>
      </c>
      <c r="I32" s="25">
        <f t="array" ref="I32">SUM(IF("1522"&amp;C32=KHC&amp;MH,SL))</f>
        <v>16168</v>
      </c>
      <c r="J32" s="25">
        <f t="array" ref="J32">SUM(IF("1522"&amp;C32=KHC&amp;MH,TH))</f>
        <v>220682000</v>
      </c>
      <c r="K32" s="488">
        <f t="shared" si="4"/>
        <v>0</v>
      </c>
      <c r="L32" s="488">
        <f t="shared" si="5"/>
        <v>0</v>
      </c>
      <c r="M32" s="476"/>
      <c r="N32" s="479" t="s">
        <v>395</v>
      </c>
      <c r="O32" s="481" t="s">
        <v>392</v>
      </c>
      <c r="P32" s="478">
        <v>370054438</v>
      </c>
      <c r="Q32" s="478" t="s">
        <v>393</v>
      </c>
      <c r="R32" s="478"/>
      <c r="S32" s="478" t="s">
        <v>337</v>
      </c>
    </row>
    <row r="33" spans="1:19" ht="21" customHeight="1">
      <c r="A33" s="472" t="str">
        <f t="shared" si="1"/>
        <v>VL</v>
      </c>
      <c r="B33" s="473">
        <f t="shared" si="2"/>
        <v>22</v>
      </c>
      <c r="C33" s="486" t="s">
        <v>1072</v>
      </c>
      <c r="D33" s="487" t="s">
        <v>375</v>
      </c>
      <c r="E33" s="488"/>
      <c r="F33" s="488"/>
      <c r="G33" s="25">
        <f t="array" ref="G33">SUM(IF("1522"&amp;C33=KHN&amp;MH,SL))</f>
        <v>400</v>
      </c>
      <c r="H33" s="25">
        <f t="array" ref="H33">SUM(IF("1522"&amp;C33=KHN&amp;MH,TH))</f>
        <v>1000000</v>
      </c>
      <c r="I33" s="25">
        <f t="array" ref="I33">SUM(IF("1522"&amp;C33=KHC&amp;MH,SL))</f>
        <v>400</v>
      </c>
      <c r="J33" s="25">
        <f t="array" ref="J33">SUM(IF("1522"&amp;C33=KHC&amp;MH,TH))</f>
        <v>1000000</v>
      </c>
      <c r="K33" s="488">
        <f t="shared" si="4"/>
        <v>0</v>
      </c>
      <c r="L33" s="488">
        <f t="shared" si="5"/>
        <v>0</v>
      </c>
      <c r="M33" s="476"/>
      <c r="N33" s="479" t="s">
        <v>396</v>
      </c>
      <c r="O33" s="481" t="s">
        <v>392</v>
      </c>
      <c r="P33" s="478">
        <v>370615318</v>
      </c>
      <c r="Q33" s="478" t="s">
        <v>397</v>
      </c>
      <c r="R33" s="478"/>
      <c r="S33" s="478" t="s">
        <v>337</v>
      </c>
    </row>
    <row r="34" spans="1:19" ht="21" customHeight="1">
      <c r="A34" s="472" t="str">
        <f t="shared" si="1"/>
        <v>VL</v>
      </c>
      <c r="B34" s="473">
        <f>IF(C34&lt;&gt;"",ROW()-11,"")</f>
        <v>23</v>
      </c>
      <c r="C34" s="486" t="s">
        <v>374</v>
      </c>
      <c r="D34" s="487" t="s">
        <v>375</v>
      </c>
      <c r="E34" s="488">
        <v>9928</v>
      </c>
      <c r="F34" s="488">
        <v>57392400</v>
      </c>
      <c r="G34" s="25">
        <f t="array" ref="G34">SUM(IF("1522"&amp;C34=KHN&amp;MH,SL))</f>
        <v>0</v>
      </c>
      <c r="H34" s="25">
        <f t="array" ref="H34">SUM(IF("1522"&amp;C34=KHN&amp;MH,TH))</f>
        <v>0</v>
      </c>
      <c r="I34" s="25">
        <f t="array" ref="I34">SUM(IF("1522"&amp;C34=KHC&amp;MH,SL))</f>
        <v>9928</v>
      </c>
      <c r="J34" s="25">
        <f t="array" ref="J34">SUM(IF("1522"&amp;C34=KHC&amp;MH,TH))</f>
        <v>57392400</v>
      </c>
      <c r="K34" s="489">
        <f t="shared" si="4"/>
        <v>0</v>
      </c>
      <c r="L34" s="489">
        <f t="shared" si="5"/>
        <v>0</v>
      </c>
      <c r="M34" s="476"/>
      <c r="N34" s="479" t="s">
        <v>398</v>
      </c>
      <c r="O34" s="481" t="s">
        <v>392</v>
      </c>
      <c r="P34" s="478">
        <v>370825748</v>
      </c>
      <c r="Q34" s="478" t="s">
        <v>397</v>
      </c>
      <c r="R34" s="478"/>
      <c r="S34" s="478" t="s">
        <v>337</v>
      </c>
    </row>
    <row r="35" spans="1:19" ht="21" customHeight="1">
      <c r="A35" s="472" t="str">
        <f t="shared" si="1"/>
        <v>VL</v>
      </c>
      <c r="B35" s="473">
        <f>IF(C35&lt;&gt;"",ROW()-11,"")</f>
        <v>24</v>
      </c>
      <c r="C35" s="486" t="s">
        <v>377</v>
      </c>
      <c r="D35" s="487" t="s">
        <v>375</v>
      </c>
      <c r="E35" s="488">
        <v>13938</v>
      </c>
      <c r="F35" s="488">
        <v>62251600</v>
      </c>
      <c r="G35" s="25">
        <f t="array" ref="G35">SUM(IF("1522"&amp;C35=KHN&amp;MH,SL))</f>
        <v>0</v>
      </c>
      <c r="H35" s="25">
        <f t="array" ref="H35">SUM(IF("1522"&amp;C35=KHN&amp;MH,TH))</f>
        <v>0</v>
      </c>
      <c r="I35" s="25">
        <f t="array" ref="I35">SUM(IF("1522"&amp;C35=KHC&amp;MH,SL))</f>
        <v>13938</v>
      </c>
      <c r="J35" s="25">
        <f t="array" ref="J35">SUM(IF("1522"&amp;C35=KHC&amp;MH,TH))</f>
        <v>62251600</v>
      </c>
      <c r="K35" s="489">
        <f t="shared" si="4"/>
        <v>0</v>
      </c>
      <c r="L35" s="489">
        <f t="shared" si="5"/>
        <v>0</v>
      </c>
      <c r="M35" s="476"/>
      <c r="N35" s="479" t="s">
        <v>399</v>
      </c>
      <c r="O35" s="481" t="s">
        <v>392</v>
      </c>
      <c r="P35" s="478">
        <v>370698949</v>
      </c>
      <c r="Q35" s="478" t="s">
        <v>400</v>
      </c>
      <c r="R35" s="478" t="s">
        <v>401</v>
      </c>
      <c r="S35" s="478" t="s">
        <v>337</v>
      </c>
    </row>
    <row r="36" spans="1:19" ht="21" customHeight="1">
      <c r="A36" s="472" t="str">
        <f t="shared" si="1"/>
        <v>VL</v>
      </c>
      <c r="B36" s="473">
        <f>IF(C36&lt;&gt;"",ROW()-11,"")</f>
        <v>25</v>
      </c>
      <c r="C36" s="308" t="s">
        <v>1813</v>
      </c>
      <c r="D36" s="487" t="s">
        <v>375</v>
      </c>
      <c r="E36" s="488"/>
      <c r="F36" s="488"/>
      <c r="G36" s="25">
        <f t="array" ref="G36">SUM(IF("1522"&amp;C36=KHN&amp;MH,SL))</f>
        <v>120</v>
      </c>
      <c r="H36" s="25">
        <f t="array" ref="H36">SUM(IF("1522"&amp;C36=KHN&amp;MH,TH))</f>
        <v>1320000</v>
      </c>
      <c r="I36" s="25">
        <f t="array" ref="I36">SUM(IF("1522"&amp;C36=KHC&amp;MH,SL))</f>
        <v>120</v>
      </c>
      <c r="J36" s="25">
        <f t="array" ref="J36">SUM(IF("1522"&amp;C36=KHC&amp;MH,TH))</f>
        <v>1320000</v>
      </c>
      <c r="K36" s="488">
        <f t="shared" si="4"/>
        <v>0</v>
      </c>
      <c r="L36" s="488">
        <f t="shared" si="5"/>
        <v>0</v>
      </c>
      <c r="M36" s="476"/>
      <c r="N36" s="479" t="s">
        <v>402</v>
      </c>
      <c r="O36" s="481" t="s">
        <v>392</v>
      </c>
      <c r="P36" s="478">
        <v>370803567</v>
      </c>
      <c r="Q36" s="478" t="s">
        <v>403</v>
      </c>
      <c r="R36" s="478"/>
      <c r="S36" s="478" t="s">
        <v>337</v>
      </c>
    </row>
    <row r="37" spans="1:19" ht="21" customHeight="1">
      <c r="A37" s="472" t="str">
        <f t="shared" si="1"/>
        <v>VL</v>
      </c>
      <c r="B37" s="473">
        <f t="shared" ref="B37:B48" si="6">IF(C37&lt;&gt;"",ROW()-11,"")</f>
        <v>26</v>
      </c>
      <c r="C37" s="486" t="s">
        <v>385</v>
      </c>
      <c r="D37" s="487" t="s">
        <v>375</v>
      </c>
      <c r="E37" s="488"/>
      <c r="F37" s="488"/>
      <c r="G37" s="25">
        <f t="array" ref="G37">SUM(IF("1522"&amp;C37=KHN&amp;MH,SL))</f>
        <v>1155</v>
      </c>
      <c r="H37" s="25">
        <f t="array" ref="H37">SUM(IF("1522"&amp;C37=KHN&amp;MH,TH))</f>
        <v>10972500</v>
      </c>
      <c r="I37" s="25">
        <f t="array" ref="I37">SUM(IF("1522"&amp;C37=KHC&amp;MH,SL))</f>
        <v>525</v>
      </c>
      <c r="J37" s="25">
        <f t="array" ref="J37">SUM(IF("1522"&amp;C37=KHC&amp;MH,TH))</f>
        <v>4987500</v>
      </c>
      <c r="K37" s="488">
        <f t="shared" si="4"/>
        <v>630</v>
      </c>
      <c r="L37" s="488">
        <f t="shared" si="5"/>
        <v>5985000</v>
      </c>
      <c r="M37" s="476"/>
      <c r="N37" s="479" t="s">
        <v>404</v>
      </c>
      <c r="O37" s="481" t="s">
        <v>392</v>
      </c>
      <c r="P37" s="478">
        <v>370004125</v>
      </c>
      <c r="Q37" s="478" t="s">
        <v>393</v>
      </c>
      <c r="R37" s="478"/>
      <c r="S37" s="478" t="s">
        <v>337</v>
      </c>
    </row>
    <row r="38" spans="1:19" ht="21" customHeight="1">
      <c r="A38" s="472" t="str">
        <f t="shared" si="1"/>
        <v>VL</v>
      </c>
      <c r="B38" s="473">
        <f t="shared" si="6"/>
        <v>27</v>
      </c>
      <c r="C38" s="486" t="s">
        <v>394</v>
      </c>
      <c r="D38" s="487" t="s">
        <v>375</v>
      </c>
      <c r="E38" s="488"/>
      <c r="F38" s="488"/>
      <c r="G38" s="25">
        <f t="array" ref="G38">SUM(IF("1522"&amp;C38=KHN&amp;MH,SL))</f>
        <v>5304</v>
      </c>
      <c r="H38" s="25">
        <f t="array" ref="H38">SUM(IF("1522"&amp;C38=KHN&amp;MH,TH))</f>
        <v>91172000</v>
      </c>
      <c r="I38" s="25">
        <f t="array" ref="I38">SUM(IF("1522"&amp;C38=KHC&amp;MH,SL))</f>
        <v>4228</v>
      </c>
      <c r="J38" s="25">
        <f t="array" ref="J38">SUM(IF("1522"&amp;C38=KHC&amp;MH,TH))</f>
        <v>76646000</v>
      </c>
      <c r="K38" s="488">
        <f t="shared" si="4"/>
        <v>1076</v>
      </c>
      <c r="L38" s="488">
        <f t="shared" si="5"/>
        <v>14526000</v>
      </c>
      <c r="M38" s="476"/>
      <c r="N38" s="479" t="s">
        <v>407</v>
      </c>
      <c r="O38" s="481" t="s">
        <v>405</v>
      </c>
      <c r="P38" s="478">
        <v>311704830</v>
      </c>
      <c r="Q38" s="478" t="s">
        <v>408</v>
      </c>
      <c r="R38" s="478"/>
      <c r="S38" s="478" t="s">
        <v>337</v>
      </c>
    </row>
    <row r="39" spans="1:19" ht="21" customHeight="1">
      <c r="A39" s="472" t="str">
        <f t="shared" si="1"/>
        <v>VL</v>
      </c>
      <c r="B39" s="473">
        <f>IF(C39&lt;&gt;"",ROW()-11,"")</f>
        <v>28</v>
      </c>
      <c r="C39" s="486" t="s">
        <v>2004</v>
      </c>
      <c r="D39" s="487" t="s">
        <v>375</v>
      </c>
      <c r="E39" s="488"/>
      <c r="F39" s="488"/>
      <c r="G39" s="25">
        <f t="array" ref="G39">SUM(IF("1522"&amp;C39=KHN&amp;MH,SL))</f>
        <v>204</v>
      </c>
      <c r="H39" s="25">
        <f t="array" ref="H39">SUM(IF("1522"&amp;C39=KHN&amp;MH,TH))</f>
        <v>2754000</v>
      </c>
      <c r="I39" s="25">
        <f t="array" ref="I39">SUM(IF("1522"&amp;C39=KHC&amp;MH,SL))</f>
        <v>95</v>
      </c>
      <c r="J39" s="25">
        <f t="array" ref="J39">SUM(IF("1522"&amp;C39=KHC&amp;MH,TH))</f>
        <v>1282500</v>
      </c>
      <c r="K39" s="488">
        <f>E39+G39-I39</f>
        <v>109</v>
      </c>
      <c r="L39" s="488">
        <f>F39+H39-J39</f>
        <v>1471500</v>
      </c>
      <c r="M39" s="476"/>
      <c r="N39" s="479" t="s">
        <v>409</v>
      </c>
      <c r="O39" s="481" t="s">
        <v>405</v>
      </c>
      <c r="P39" s="478">
        <v>311318331</v>
      </c>
      <c r="Q39" s="478" t="s">
        <v>410</v>
      </c>
      <c r="R39" s="478"/>
      <c r="S39" s="478" t="s">
        <v>337</v>
      </c>
    </row>
    <row r="40" spans="1:19" ht="21" customHeight="1">
      <c r="A40" s="472" t="str">
        <f t="shared" si="1"/>
        <v>VL</v>
      </c>
      <c r="B40" s="473">
        <f>IF(C40&lt;&gt;"",ROW()-11,"")</f>
        <v>29</v>
      </c>
      <c r="C40" s="486" t="s">
        <v>2005</v>
      </c>
      <c r="D40" s="487" t="s">
        <v>375</v>
      </c>
      <c r="E40" s="488"/>
      <c r="F40" s="488"/>
      <c r="G40" s="25">
        <f t="array" ref="G40">SUM(IF("1522"&amp;C40=KHN&amp;MH,SL))</f>
        <v>4468</v>
      </c>
      <c r="H40" s="25">
        <f t="array" ref="H40">SUM(IF("1522"&amp;C40=KHN&amp;MH,TH))</f>
        <v>46020400</v>
      </c>
      <c r="I40" s="25">
        <f t="array" ref="I40">SUM(IF("1522"&amp;C40=KHC&amp;MH,SL))</f>
        <v>2665</v>
      </c>
      <c r="J40" s="25">
        <f t="array" ref="J40">SUM(IF("1522"&amp;C40=KHC&amp;MH,TH))</f>
        <v>27449500</v>
      </c>
      <c r="K40" s="488">
        <f>E40+G40-I40</f>
        <v>1803</v>
      </c>
      <c r="L40" s="488">
        <f>F40+H40-J40</f>
        <v>18570900</v>
      </c>
      <c r="M40" s="476"/>
      <c r="N40" s="479" t="s">
        <v>411</v>
      </c>
      <c r="O40" s="481" t="s">
        <v>405</v>
      </c>
      <c r="P40" s="478">
        <v>310882191</v>
      </c>
      <c r="Q40" s="478" t="s">
        <v>412</v>
      </c>
      <c r="R40" s="478"/>
      <c r="S40" s="478" t="s">
        <v>337</v>
      </c>
    </row>
    <row r="41" spans="1:19" ht="21" customHeight="1">
      <c r="A41" s="472" t="str">
        <f t="shared" si="1"/>
        <v>VL</v>
      </c>
      <c r="B41" s="473">
        <f t="shared" si="6"/>
        <v>30</v>
      </c>
      <c r="C41" s="486" t="s">
        <v>383</v>
      </c>
      <c r="D41" s="487" t="s">
        <v>375</v>
      </c>
      <c r="E41" s="488"/>
      <c r="F41" s="488"/>
      <c r="G41" s="25">
        <f t="array" ref="G41">SUM(IF("1522"&amp;C41=KHN&amp;MH,SL))</f>
        <v>4309</v>
      </c>
      <c r="H41" s="25">
        <f t="array" ref="H41">SUM(IF("1522"&amp;C41=KHN&amp;MH,TH))</f>
        <v>62017688</v>
      </c>
      <c r="I41" s="25">
        <f t="array" ref="I41">SUM(IF("1522"&amp;C41=KHC&amp;MH,SL))</f>
        <v>3702</v>
      </c>
      <c r="J41" s="25">
        <f t="array" ref="J41">SUM(IF("1522"&amp;C41=KHC&amp;MH,TH))</f>
        <v>53823188</v>
      </c>
      <c r="K41" s="488">
        <f t="shared" si="4"/>
        <v>607</v>
      </c>
      <c r="L41" s="488">
        <f t="shared" si="5"/>
        <v>8194500</v>
      </c>
      <c r="M41" s="476"/>
      <c r="N41" s="479" t="s">
        <v>414</v>
      </c>
      <c r="O41" s="481" t="s">
        <v>405</v>
      </c>
      <c r="P41" s="478">
        <v>310882158</v>
      </c>
      <c r="Q41" s="478" t="s">
        <v>415</v>
      </c>
      <c r="R41" s="478"/>
      <c r="S41" s="478" t="s">
        <v>337</v>
      </c>
    </row>
    <row r="42" spans="1:19" ht="21" customHeight="1">
      <c r="A42" s="472" t="str">
        <f t="shared" si="1"/>
        <v>VL</v>
      </c>
      <c r="B42" s="473">
        <f t="shared" si="6"/>
        <v>31</v>
      </c>
      <c r="C42" s="308" t="s">
        <v>1815</v>
      </c>
      <c r="D42" s="487" t="s">
        <v>375</v>
      </c>
      <c r="E42" s="488"/>
      <c r="F42" s="488"/>
      <c r="G42" s="25">
        <f t="array" ref="G42">SUM(IF("1522"&amp;C42=KHN&amp;MH,SL))</f>
        <v>1009</v>
      </c>
      <c r="H42" s="25">
        <f t="array" ref="H42">SUM(IF("1522"&amp;C42=KHN&amp;MH,TH))</f>
        <v>15135000</v>
      </c>
      <c r="I42" s="25">
        <f t="array" ref="I42">SUM(IF("1522"&amp;C42=KHC&amp;MH,SL))</f>
        <v>1009</v>
      </c>
      <c r="J42" s="25">
        <f t="array" ref="J42">SUM(IF("1522"&amp;C42=KHC&amp;MH,TH))</f>
        <v>15135000</v>
      </c>
      <c r="K42" s="488">
        <f t="shared" si="4"/>
        <v>0</v>
      </c>
      <c r="L42" s="488">
        <f t="shared" si="5"/>
        <v>0</v>
      </c>
      <c r="M42" s="476"/>
      <c r="N42" s="479" t="s">
        <v>414</v>
      </c>
      <c r="O42" s="481" t="s">
        <v>405</v>
      </c>
      <c r="P42" s="478">
        <v>310882158</v>
      </c>
      <c r="Q42" s="478" t="s">
        <v>415</v>
      </c>
      <c r="R42" s="478"/>
      <c r="S42" s="478" t="s">
        <v>337</v>
      </c>
    </row>
    <row r="43" spans="1:19" ht="21" customHeight="1">
      <c r="A43" s="472" t="str">
        <f t="shared" si="1"/>
        <v>VL</v>
      </c>
      <c r="B43" s="473">
        <f t="shared" si="6"/>
        <v>32</v>
      </c>
      <c r="C43" s="67" t="s">
        <v>1819</v>
      </c>
      <c r="D43" s="487" t="s">
        <v>375</v>
      </c>
      <c r="E43" s="488"/>
      <c r="F43" s="488"/>
      <c r="G43" s="25">
        <f t="array" ref="G43">SUM(IF("1522"&amp;C43=KHN&amp;MH,SL))</f>
        <v>2000</v>
      </c>
      <c r="H43" s="25">
        <f t="array" ref="H43">SUM(IF("1522"&amp;C43=KHN&amp;MH,TH))</f>
        <v>23000000</v>
      </c>
      <c r="I43" s="25">
        <f t="array" ref="I43">SUM(IF("1522"&amp;C43=KHC&amp;MH,SL))</f>
        <v>2000</v>
      </c>
      <c r="J43" s="25">
        <f t="array" ref="J43">SUM(IF("1522"&amp;C43=KHC&amp;MH,TH))</f>
        <v>23000000</v>
      </c>
      <c r="K43" s="488">
        <f t="shared" si="4"/>
        <v>0</v>
      </c>
      <c r="L43" s="488">
        <f t="shared" si="5"/>
        <v>0</v>
      </c>
      <c r="M43" s="476"/>
      <c r="N43" s="479" t="s">
        <v>416</v>
      </c>
      <c r="O43" s="481" t="s">
        <v>405</v>
      </c>
      <c r="P43" s="478">
        <v>310526150</v>
      </c>
      <c r="Q43" s="478" t="s">
        <v>406</v>
      </c>
      <c r="R43" s="478"/>
      <c r="S43" s="478" t="s">
        <v>337</v>
      </c>
    </row>
    <row r="44" spans="1:19" ht="21" customHeight="1">
      <c r="A44" s="472" t="str">
        <f t="shared" si="1"/>
        <v>VL</v>
      </c>
      <c r="B44" s="473">
        <f>IF(C44&lt;&gt;"",ROW()-11,"")</f>
        <v>33</v>
      </c>
      <c r="C44" s="308" t="s">
        <v>1814</v>
      </c>
      <c r="D44" s="487" t="s">
        <v>375</v>
      </c>
      <c r="E44" s="488"/>
      <c r="F44" s="488"/>
      <c r="G44" s="25">
        <f t="array" ref="G44">SUM(IF("1522"&amp;C44=KHN&amp;MH,SL))</f>
        <v>4987</v>
      </c>
      <c r="H44" s="25">
        <f t="array" ref="H44">SUM(IF("1522"&amp;C44=KHN&amp;MH,TH))</f>
        <v>50846100</v>
      </c>
      <c r="I44" s="25">
        <f t="array" ref="I44">SUM(IF("1522"&amp;C44=KHC&amp;MH,SL))</f>
        <v>1560</v>
      </c>
      <c r="J44" s="25">
        <f t="array" ref="J44">SUM(IF("1522"&amp;C44=KHC&amp;MH,TH))</f>
        <v>15600000</v>
      </c>
      <c r="K44" s="488">
        <f t="shared" si="4"/>
        <v>3427</v>
      </c>
      <c r="L44" s="488">
        <f t="shared" si="5"/>
        <v>35246100</v>
      </c>
      <c r="M44" s="476"/>
      <c r="N44" s="479" t="s">
        <v>417</v>
      </c>
      <c r="O44" s="481" t="s">
        <v>405</v>
      </c>
      <c r="P44" s="478">
        <v>311514350</v>
      </c>
      <c r="Q44" s="478" t="s">
        <v>408</v>
      </c>
      <c r="R44" s="478"/>
      <c r="S44" s="478" t="s">
        <v>337</v>
      </c>
    </row>
    <row r="45" spans="1:19" ht="21" customHeight="1">
      <c r="A45" s="472" t="str">
        <f t="shared" si="1"/>
        <v>VL</v>
      </c>
      <c r="B45" s="473">
        <f>IF(C45&lt;&gt;"",ROW()-11,"")</f>
        <v>34</v>
      </c>
      <c r="C45" s="308" t="s">
        <v>2006</v>
      </c>
      <c r="D45" s="487" t="s">
        <v>375</v>
      </c>
      <c r="E45" s="488"/>
      <c r="F45" s="488"/>
      <c r="G45" s="25">
        <f t="array" ref="G45">SUM(IF("1522"&amp;C45=KHN&amp;MH,SL))</f>
        <v>2117</v>
      </c>
      <c r="H45" s="25">
        <f t="array" ref="H45">SUM(IF("1522"&amp;C45=KHN&amp;MH,TH))</f>
        <v>28579500</v>
      </c>
      <c r="I45" s="25">
        <f t="array" ref="I45">SUM(IF("1522"&amp;C45=KHC&amp;MH,SL))</f>
        <v>1077</v>
      </c>
      <c r="J45" s="25">
        <f t="array" ref="J45">SUM(IF("1522"&amp;C45=KHC&amp;MH,TH))</f>
        <v>14539500</v>
      </c>
      <c r="K45" s="488">
        <f>E45+G45-I45</f>
        <v>1040</v>
      </c>
      <c r="L45" s="488">
        <f>F45+H45-J45</f>
        <v>14040000</v>
      </c>
      <c r="M45" s="476"/>
      <c r="N45" s="479" t="s">
        <v>418</v>
      </c>
      <c r="O45" s="481" t="s">
        <v>419</v>
      </c>
      <c r="P45" s="478">
        <v>270106056</v>
      </c>
      <c r="Q45" s="478" t="s">
        <v>419</v>
      </c>
      <c r="R45" s="478" t="s">
        <v>420</v>
      </c>
      <c r="S45" s="478" t="s">
        <v>337</v>
      </c>
    </row>
    <row r="46" spans="1:19" ht="21" customHeight="1">
      <c r="A46" s="472" t="str">
        <f t="shared" si="1"/>
        <v>VL</v>
      </c>
      <c r="B46" s="473">
        <f>IF(C46&lt;&gt;"",ROW()-11,"")</f>
        <v>35</v>
      </c>
      <c r="C46" s="308" t="s">
        <v>1494</v>
      </c>
      <c r="D46" s="487" t="s">
        <v>375</v>
      </c>
      <c r="E46" s="488"/>
      <c r="F46" s="488"/>
      <c r="G46" s="25">
        <f t="array" ref="G46">SUM(IF("1522"&amp;C46=KHN&amp;MH,SL))</f>
        <v>72</v>
      </c>
      <c r="H46" s="25">
        <f t="array" ref="H46">SUM(IF("1522"&amp;C46=KHN&amp;MH,TH))</f>
        <v>1536984</v>
      </c>
      <c r="I46" s="25">
        <f t="array" ref="I46">SUM(IF("1522"&amp;C46=KHC&amp;MH,SL))</f>
        <v>72</v>
      </c>
      <c r="J46" s="25">
        <f t="array" ref="J46">SUM(IF("1522"&amp;C46=KHC&amp;MH,TH))</f>
        <v>1536984</v>
      </c>
      <c r="K46" s="488">
        <f t="shared" si="4"/>
        <v>0</v>
      </c>
      <c r="L46" s="488">
        <f t="shared" si="5"/>
        <v>0</v>
      </c>
      <c r="M46" s="476"/>
      <c r="N46" s="479" t="s">
        <v>421</v>
      </c>
      <c r="O46" s="481" t="s">
        <v>419</v>
      </c>
      <c r="P46" s="478">
        <v>270176684</v>
      </c>
      <c r="Q46" s="478" t="s">
        <v>419</v>
      </c>
      <c r="R46" s="478" t="s">
        <v>422</v>
      </c>
      <c r="S46" s="478" t="s">
        <v>337</v>
      </c>
    </row>
    <row r="47" spans="1:19" ht="21" customHeight="1">
      <c r="A47" s="472" t="str">
        <f t="shared" si="1"/>
        <v>VL</v>
      </c>
      <c r="B47" s="473">
        <f>IF(C47&lt;&gt;"",ROW()-11,"")</f>
        <v>36</v>
      </c>
      <c r="C47" s="486" t="s">
        <v>380</v>
      </c>
      <c r="D47" s="487" t="s">
        <v>375</v>
      </c>
      <c r="E47" s="488">
        <v>7380</v>
      </c>
      <c r="F47" s="488">
        <v>106222000</v>
      </c>
      <c r="G47" s="25">
        <f t="array" ref="G47">SUM(IF("1522"&amp;C47=KHN&amp;MH,SL))</f>
        <v>0</v>
      </c>
      <c r="H47" s="25">
        <f t="array" ref="H47">SUM(IF("1522"&amp;C47=KHN&amp;MH,TH))</f>
        <v>0</v>
      </c>
      <c r="I47" s="25">
        <f t="array" ref="I47">SUM(IF("1522"&amp;C47=KHC&amp;MH,SL))</f>
        <v>7380</v>
      </c>
      <c r="J47" s="25">
        <f t="array" ref="J47">SUM(IF("1522"&amp;C47=KHC&amp;MH,TH))</f>
        <v>106222000</v>
      </c>
      <c r="K47" s="488">
        <f t="shared" si="4"/>
        <v>0</v>
      </c>
      <c r="L47" s="488">
        <f t="shared" si="5"/>
        <v>0</v>
      </c>
      <c r="M47" s="476"/>
      <c r="N47" s="479" t="s">
        <v>423</v>
      </c>
      <c r="O47" s="481" t="s">
        <v>419</v>
      </c>
      <c r="P47" s="478">
        <v>270176960</v>
      </c>
      <c r="Q47" s="478" t="s">
        <v>419</v>
      </c>
      <c r="R47" s="478" t="s">
        <v>424</v>
      </c>
      <c r="S47" s="478" t="s">
        <v>337</v>
      </c>
    </row>
    <row r="48" spans="1:19" ht="21" customHeight="1">
      <c r="A48" s="472" t="str">
        <f t="shared" si="1"/>
        <v>VL</v>
      </c>
      <c r="B48" s="473">
        <f t="shared" si="6"/>
        <v>37</v>
      </c>
      <c r="C48" s="308" t="s">
        <v>1493</v>
      </c>
      <c r="D48" s="487" t="s">
        <v>375</v>
      </c>
      <c r="E48" s="488"/>
      <c r="F48" s="488"/>
      <c r="G48" s="25">
        <f t="array" ref="G48">SUM(IF("1522"&amp;C48=KHN&amp;MH,SL))</f>
        <v>62</v>
      </c>
      <c r="H48" s="25">
        <f t="array" ref="H48">SUM(IF("1522"&amp;C48=KHN&amp;MH,TH))</f>
        <v>806000</v>
      </c>
      <c r="I48" s="25">
        <f t="array" ref="I48">SUM(IF("1522"&amp;C48=KHC&amp;MH,SL))</f>
        <v>62</v>
      </c>
      <c r="J48" s="25">
        <f t="array" ref="J48">SUM(IF("1522"&amp;C48=KHC&amp;MH,TH))</f>
        <v>806000</v>
      </c>
      <c r="K48" s="488">
        <f t="shared" si="4"/>
        <v>0</v>
      </c>
      <c r="L48" s="488">
        <f t="shared" si="5"/>
        <v>0</v>
      </c>
      <c r="M48" s="476"/>
      <c r="N48" s="479" t="s">
        <v>425</v>
      </c>
      <c r="O48" s="481" t="s">
        <v>419</v>
      </c>
      <c r="P48" s="478">
        <v>271181056</v>
      </c>
      <c r="Q48" s="478" t="s">
        <v>419</v>
      </c>
      <c r="R48" s="478"/>
      <c r="S48" s="478" t="s">
        <v>337</v>
      </c>
    </row>
    <row r="49" spans="1:19" ht="21" customHeight="1">
      <c r="A49" s="472" t="str">
        <f t="shared" si="1"/>
        <v>VL</v>
      </c>
      <c r="B49" s="473">
        <f t="shared" ref="B49:B55" si="7">IF(C49&lt;&gt;"",ROW()-11,"")</f>
        <v>38</v>
      </c>
      <c r="C49" s="308" t="s">
        <v>1495</v>
      </c>
      <c r="D49" s="487" t="s">
        <v>375</v>
      </c>
      <c r="E49" s="488"/>
      <c r="F49" s="488"/>
      <c r="G49" s="25">
        <f t="array" ref="G49">SUM(IF("1522"&amp;C49=KHN&amp;MH,SL))</f>
        <v>132</v>
      </c>
      <c r="H49" s="25">
        <f t="array" ref="H49">SUM(IF("1522"&amp;C49=KHN&amp;MH,TH))</f>
        <v>2817804</v>
      </c>
      <c r="I49" s="25">
        <f t="array" ref="I49">SUM(IF("1522"&amp;C49=KHC&amp;MH,SL))</f>
        <v>132</v>
      </c>
      <c r="J49" s="25">
        <f t="array" ref="J49">SUM(IF("1522"&amp;C49=KHC&amp;MH,TH))</f>
        <v>2817804</v>
      </c>
      <c r="K49" s="488">
        <f t="shared" si="4"/>
        <v>0</v>
      </c>
      <c r="L49" s="488">
        <f t="shared" si="5"/>
        <v>0</v>
      </c>
      <c r="M49" s="476"/>
      <c r="N49" s="479" t="s">
        <v>427</v>
      </c>
      <c r="O49" s="481" t="s">
        <v>419</v>
      </c>
      <c r="P49" s="478">
        <v>270986506</v>
      </c>
      <c r="Q49" s="478" t="s">
        <v>419</v>
      </c>
      <c r="R49" s="478"/>
      <c r="S49" s="478" t="s">
        <v>337</v>
      </c>
    </row>
    <row r="50" spans="1:19" ht="21" customHeight="1">
      <c r="A50" s="472" t="str">
        <f t="shared" si="1"/>
        <v>VL</v>
      </c>
      <c r="B50" s="473">
        <f t="shared" si="7"/>
        <v>39</v>
      </c>
      <c r="C50" s="486" t="s">
        <v>387</v>
      </c>
      <c r="D50" s="487" t="s">
        <v>375</v>
      </c>
      <c r="E50" s="488"/>
      <c r="F50" s="488"/>
      <c r="G50" s="25">
        <f t="array" ref="G50">SUM(IF("1522"&amp;C50=KHN&amp;MH,SL))</f>
        <v>1000</v>
      </c>
      <c r="H50" s="25">
        <f t="array" ref="H50">SUM(IF("1522"&amp;C50=KHN&amp;MH,TH))</f>
        <v>17600000</v>
      </c>
      <c r="I50" s="25">
        <f t="array" ref="I50">SUM(IF("1522"&amp;C50=KHC&amp;MH,SL))</f>
        <v>1000</v>
      </c>
      <c r="J50" s="25">
        <f t="array" ref="J50">SUM(IF("1522"&amp;C50=KHC&amp;MH,TH))</f>
        <v>17600000</v>
      </c>
      <c r="K50" s="488">
        <f t="shared" si="4"/>
        <v>0</v>
      </c>
      <c r="L50" s="488">
        <f t="shared" si="5"/>
        <v>0</v>
      </c>
      <c r="M50" s="476"/>
      <c r="N50" s="479" t="s">
        <v>428</v>
      </c>
      <c r="O50" s="481" t="s">
        <v>419</v>
      </c>
      <c r="P50" s="478">
        <v>273042454</v>
      </c>
      <c r="Q50" s="478" t="s">
        <v>429</v>
      </c>
      <c r="R50" s="478" t="s">
        <v>430</v>
      </c>
      <c r="S50" s="478" t="s">
        <v>337</v>
      </c>
    </row>
    <row r="51" spans="1:19" ht="21" customHeight="1">
      <c r="A51" s="472" t="str">
        <f t="shared" si="1"/>
        <v>VL</v>
      </c>
      <c r="B51" s="473">
        <f t="shared" si="7"/>
        <v>40</v>
      </c>
      <c r="C51" s="308" t="s">
        <v>1492</v>
      </c>
      <c r="D51" s="487" t="s">
        <v>375</v>
      </c>
      <c r="E51" s="488"/>
      <c r="F51" s="488"/>
      <c r="G51" s="25">
        <f t="array" ref="G51">SUM(IF("1522"&amp;C51=KHN&amp;MH,SL))</f>
        <v>939</v>
      </c>
      <c r="H51" s="25">
        <f t="array" ref="H51">SUM(IF("1522"&amp;C51=KHN&amp;MH,TH))</f>
        <v>12207000</v>
      </c>
      <c r="I51" s="25">
        <f t="array" ref="I51">SUM(IF("1522"&amp;C51=KHC&amp;MH,SL))</f>
        <v>636</v>
      </c>
      <c r="J51" s="25">
        <f t="array" ref="J51">SUM(IF("1522"&amp;C51=KHC&amp;MH,TH))</f>
        <v>8268000</v>
      </c>
      <c r="K51" s="488">
        <f t="shared" si="4"/>
        <v>303</v>
      </c>
      <c r="L51" s="488">
        <f t="shared" si="5"/>
        <v>3939000</v>
      </c>
      <c r="M51" s="476"/>
      <c r="N51" s="479" t="s">
        <v>432</v>
      </c>
      <c r="O51" s="481" t="s">
        <v>419</v>
      </c>
      <c r="P51" s="478">
        <v>273249576</v>
      </c>
      <c r="Q51" s="478" t="s">
        <v>419</v>
      </c>
      <c r="R51" s="478"/>
      <c r="S51" s="478" t="s">
        <v>337</v>
      </c>
    </row>
    <row r="52" spans="1:19" ht="21" customHeight="1">
      <c r="A52" s="472" t="str">
        <f t="shared" si="1"/>
        <v>VL</v>
      </c>
      <c r="B52" s="473">
        <f t="shared" si="7"/>
        <v>41</v>
      </c>
      <c r="C52" s="92" t="s">
        <v>2495</v>
      </c>
      <c r="D52" s="487" t="s">
        <v>375</v>
      </c>
      <c r="E52" s="488"/>
      <c r="F52" s="488"/>
      <c r="G52" s="25">
        <f t="array" ref="G52">SUM(IF("1522"&amp;C52=KHN&amp;MH,SL))</f>
        <v>113462</v>
      </c>
      <c r="H52" s="25">
        <f t="array" ref="H52">SUM(IF("1522"&amp;C52=KHN&amp;MH,TH))</f>
        <v>740106000</v>
      </c>
      <c r="I52" s="25">
        <f t="array" ref="I52">SUM(IF("1522"&amp;C52=KHC&amp;MH,SL))</f>
        <v>111627</v>
      </c>
      <c r="J52" s="25">
        <f t="array" ref="J52">SUM(IF("1522"&amp;C52=KHC&amp;MH,TH))</f>
        <v>726343500</v>
      </c>
      <c r="K52" s="488">
        <f t="shared" ref="K52:L54" si="8">E52+G52-I52</f>
        <v>1835</v>
      </c>
      <c r="L52" s="488">
        <f t="shared" si="8"/>
        <v>13762500</v>
      </c>
      <c r="M52" s="476"/>
      <c r="N52" s="479" t="s">
        <v>434</v>
      </c>
      <c r="O52" s="481" t="s">
        <v>419</v>
      </c>
      <c r="P52" s="478">
        <v>271642418</v>
      </c>
      <c r="Q52" s="478" t="s">
        <v>419</v>
      </c>
      <c r="R52" s="478"/>
      <c r="S52" s="478" t="s">
        <v>337</v>
      </c>
    </row>
    <row r="53" spans="1:19" ht="21" customHeight="1">
      <c r="A53" s="472" t="str">
        <f t="shared" si="1"/>
        <v>VL</v>
      </c>
      <c r="B53" s="473">
        <f t="shared" si="7"/>
        <v>42</v>
      </c>
      <c r="C53" s="72" t="s">
        <v>2593</v>
      </c>
      <c r="D53" s="487" t="s">
        <v>375</v>
      </c>
      <c r="E53" s="488"/>
      <c r="F53" s="488"/>
      <c r="G53" s="25">
        <f t="array" ref="G53">SUM(IF("1522"&amp;C53=KHN&amp;MH,SL))</f>
        <v>84000</v>
      </c>
      <c r="H53" s="25">
        <f t="array" ref="H53">SUM(IF("1522"&amp;C53=KHN&amp;MH,TH))</f>
        <v>25200000</v>
      </c>
      <c r="I53" s="25">
        <f t="array" ref="I53">SUM(IF("1522"&amp;C53=KHC&amp;MH,SL))</f>
        <v>84000</v>
      </c>
      <c r="J53" s="25">
        <f t="array" ref="J53">SUM(IF("1522"&amp;C53=KHC&amp;MH,TH))</f>
        <v>25200000</v>
      </c>
      <c r="K53" s="488">
        <f t="shared" si="8"/>
        <v>0</v>
      </c>
      <c r="L53" s="488">
        <f t="shared" si="8"/>
        <v>0</v>
      </c>
      <c r="M53" s="476"/>
      <c r="N53" s="485" t="s">
        <v>436</v>
      </c>
      <c r="O53" s="481" t="s">
        <v>419</v>
      </c>
      <c r="P53" s="478">
        <v>273017840</v>
      </c>
      <c r="Q53" s="478" t="s">
        <v>3024</v>
      </c>
      <c r="R53" s="478"/>
      <c r="S53" s="478" t="s">
        <v>337</v>
      </c>
    </row>
    <row r="54" spans="1:19" ht="21" customHeight="1">
      <c r="A54" s="472" t="str">
        <f>IF(B54&lt;&gt;"","VL","")</f>
        <v>VL</v>
      </c>
      <c r="B54" s="473">
        <f t="shared" si="7"/>
        <v>43</v>
      </c>
      <c r="C54" s="80" t="s">
        <v>2887</v>
      </c>
      <c r="D54" s="487" t="s">
        <v>375</v>
      </c>
      <c r="E54" s="488"/>
      <c r="F54" s="488"/>
      <c r="G54" s="25">
        <f t="array" ref="G54">SUM(IF("1522"&amp;C54=KHN&amp;MH,SL))</f>
        <v>760</v>
      </c>
      <c r="H54" s="25">
        <f t="array" ref="H54">SUM(IF("1522"&amp;C54=KHN&amp;MH,TH))</f>
        <v>7772000</v>
      </c>
      <c r="I54" s="25">
        <f t="array" ref="I54">SUM(IF("1522"&amp;C54=KHC&amp;MH,SL))</f>
        <v>0</v>
      </c>
      <c r="J54" s="25">
        <f t="array" ref="J54">SUM(IF("1522"&amp;C54=KHC&amp;MH,TH))</f>
        <v>0</v>
      </c>
      <c r="K54" s="488">
        <f t="shared" si="8"/>
        <v>760</v>
      </c>
      <c r="L54" s="488">
        <f t="shared" si="8"/>
        <v>7772000</v>
      </c>
      <c r="M54" s="476"/>
      <c r="N54" s="479" t="s">
        <v>1949</v>
      </c>
      <c r="O54" s="478" t="s">
        <v>419</v>
      </c>
      <c r="P54" s="481">
        <v>260456563</v>
      </c>
      <c r="Q54" s="478" t="s">
        <v>419</v>
      </c>
      <c r="R54" s="478"/>
      <c r="S54" s="478" t="s">
        <v>337</v>
      </c>
    </row>
    <row r="55" spans="1:19" ht="21" customHeight="1">
      <c r="A55" s="472" t="str">
        <f>IF(B55&lt;&gt;"","VL","")</f>
        <v/>
      </c>
      <c r="B55" s="473" t="str">
        <f t="shared" si="7"/>
        <v/>
      </c>
      <c r="C55" s="80"/>
      <c r="D55" s="487"/>
      <c r="E55" s="488"/>
      <c r="F55" s="488"/>
      <c r="G55" s="25"/>
      <c r="H55" s="25"/>
      <c r="I55" s="25"/>
      <c r="J55" s="25"/>
      <c r="K55" s="488"/>
      <c r="L55" s="488"/>
      <c r="M55" s="476"/>
      <c r="N55" s="479" t="s">
        <v>1949</v>
      </c>
      <c r="O55" s="478" t="s">
        <v>419</v>
      </c>
      <c r="P55" s="481">
        <v>260456563</v>
      </c>
      <c r="Q55" s="478" t="s">
        <v>419</v>
      </c>
      <c r="R55" s="478"/>
      <c r="S55" s="478" t="s">
        <v>337</v>
      </c>
    </row>
    <row r="56" spans="1:19" ht="21" customHeight="1">
      <c r="A56" s="472"/>
      <c r="B56" s="469"/>
      <c r="C56" s="492" t="s">
        <v>413</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76"/>
      <c r="N56" s="485" t="s">
        <v>1950</v>
      </c>
      <c r="O56" s="478" t="s">
        <v>419</v>
      </c>
      <c r="P56" s="481">
        <v>261183075</v>
      </c>
      <c r="Q56" s="478" t="s">
        <v>419</v>
      </c>
      <c r="R56" s="478"/>
      <c r="S56" s="478" t="s">
        <v>337</v>
      </c>
    </row>
    <row r="57" spans="1:19" ht="21" customHeight="1">
      <c r="A57" s="472" t="str">
        <f>IF(B57&lt;&gt;"","NL","")</f>
        <v/>
      </c>
      <c r="B57" s="909"/>
      <c r="C57" s="910"/>
      <c r="D57" s="911"/>
      <c r="E57" s="911"/>
      <c r="F57" s="911">
        <f>F56-CĐPS!C22</f>
        <v>0</v>
      </c>
      <c r="G57" s="911"/>
      <c r="H57" s="911">
        <f>H56-CĐPS!E22</f>
        <v>0</v>
      </c>
      <c r="I57" s="911"/>
      <c r="J57" s="911">
        <f>J56-CĐPS!F22</f>
        <v>0</v>
      </c>
      <c r="K57" s="911"/>
      <c r="L57" s="911">
        <f>L56-CĐPS!G22</f>
        <v>0</v>
      </c>
      <c r="M57" s="476"/>
      <c r="N57" s="486" t="s">
        <v>1947</v>
      </c>
      <c r="O57" s="488" t="s">
        <v>2201</v>
      </c>
      <c r="P57" s="487">
        <v>273017843</v>
      </c>
      <c r="Q57" s="488" t="s">
        <v>419</v>
      </c>
      <c r="R57" s="478" t="s">
        <v>2202</v>
      </c>
      <c r="S57" s="478" t="s">
        <v>337</v>
      </c>
    </row>
    <row r="58" spans="1:19" ht="21" customHeight="1">
      <c r="A58" s="472" t="str">
        <f t="shared" ref="A58:A76" si="10">IF(B58&lt;&gt;"","NL","")</f>
        <v>NL</v>
      </c>
      <c r="B58" s="908">
        <f>IF(C58&lt;&gt;"",ROW()-(ROW()-1),"")</f>
        <v>1</v>
      </c>
      <c r="C58" s="474" t="s">
        <v>668</v>
      </c>
      <c r="D58" s="475" t="s">
        <v>333</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76"/>
      <c r="N58" s="486" t="s">
        <v>1948</v>
      </c>
      <c r="O58" s="488" t="s">
        <v>419</v>
      </c>
      <c r="P58" s="487">
        <v>190253143</v>
      </c>
      <c r="Q58" s="488" t="s">
        <v>419</v>
      </c>
      <c r="R58" s="478" t="s">
        <v>2203</v>
      </c>
      <c r="S58" s="478" t="s">
        <v>337</v>
      </c>
    </row>
    <row r="59" spans="1:19" ht="21" customHeight="1">
      <c r="A59" s="472" t="str">
        <f t="shared" si="10"/>
        <v>NL</v>
      </c>
      <c r="B59" s="473">
        <f>IF(C59&lt;&gt;"",B58+1,"")</f>
        <v>2</v>
      </c>
      <c r="C59" s="479" t="s">
        <v>669</v>
      </c>
      <c r="D59" s="475" t="s">
        <v>333</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76"/>
      <c r="N59" s="486" t="s">
        <v>1953</v>
      </c>
      <c r="O59" s="488" t="s">
        <v>372</v>
      </c>
      <c r="P59" s="1273" t="s">
        <v>2992</v>
      </c>
      <c r="Q59" s="488" t="s">
        <v>2991</v>
      </c>
      <c r="R59" s="478"/>
      <c r="S59" s="478" t="s">
        <v>3021</v>
      </c>
    </row>
    <row r="60" spans="1:19" ht="21" customHeight="1">
      <c r="A60" s="472" t="str">
        <f t="shared" si="10"/>
        <v>NL</v>
      </c>
      <c r="B60" s="473">
        <f t="shared" ref="B60:B68" si="12">IF(C60&lt;&gt;"",B59+1,"")</f>
        <v>3</v>
      </c>
      <c r="C60" s="479" t="s">
        <v>2225</v>
      </c>
      <c r="D60" s="475" t="s">
        <v>333</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76"/>
      <c r="N60" s="310" t="s">
        <v>3014</v>
      </c>
      <c r="O60" s="488" t="s">
        <v>372</v>
      </c>
      <c r="P60" s="1273"/>
      <c r="Q60" s="488" t="s">
        <v>372</v>
      </c>
      <c r="R60" s="478"/>
      <c r="S60" s="478" t="s">
        <v>3021</v>
      </c>
    </row>
    <row r="61" spans="1:19" ht="21" customHeight="1">
      <c r="A61" s="472" t="str">
        <f t="shared" si="10"/>
        <v>NL</v>
      </c>
      <c r="B61" s="473">
        <f t="shared" si="12"/>
        <v>4</v>
      </c>
      <c r="C61" s="479" t="s">
        <v>1931</v>
      </c>
      <c r="D61" s="475" t="s">
        <v>333</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76"/>
      <c r="N61" s="310" t="s">
        <v>3015</v>
      </c>
      <c r="O61" s="488" t="s">
        <v>372</v>
      </c>
      <c r="P61" s="1273"/>
      <c r="Q61" s="488" t="s">
        <v>372</v>
      </c>
      <c r="R61" s="478"/>
      <c r="S61" s="478" t="s">
        <v>3021</v>
      </c>
    </row>
    <row r="62" spans="1:19" ht="21" customHeight="1">
      <c r="A62" s="472" t="str">
        <f t="shared" si="10"/>
        <v>NL</v>
      </c>
      <c r="B62" s="473">
        <f t="shared" si="12"/>
        <v>5</v>
      </c>
      <c r="C62" s="479" t="s">
        <v>1932</v>
      </c>
      <c r="D62" s="475" t="s">
        <v>333</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76"/>
      <c r="N62" s="310" t="s">
        <v>3016</v>
      </c>
      <c r="O62" s="488" t="s">
        <v>372</v>
      </c>
      <c r="P62" s="1273"/>
      <c r="Q62" s="488" t="s">
        <v>372</v>
      </c>
      <c r="R62" s="478"/>
      <c r="S62" s="478" t="s">
        <v>3021</v>
      </c>
    </row>
    <row r="63" spans="1:19" ht="21" customHeight="1">
      <c r="A63" s="472" t="str">
        <f t="shared" si="10"/>
        <v>NL</v>
      </c>
      <c r="B63" s="473">
        <f t="shared" si="12"/>
        <v>6</v>
      </c>
      <c r="C63" s="479" t="s">
        <v>1933</v>
      </c>
      <c r="D63" s="475" t="s">
        <v>333</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76"/>
      <c r="N63" s="310" t="s">
        <v>3017</v>
      </c>
      <c r="O63" s="488" t="s">
        <v>372</v>
      </c>
      <c r="P63" s="1273"/>
      <c r="Q63" s="488" t="s">
        <v>372</v>
      </c>
      <c r="R63" s="478"/>
      <c r="S63" s="478" t="s">
        <v>3021</v>
      </c>
    </row>
    <row r="64" spans="1:19" ht="21" customHeight="1">
      <c r="A64" s="472" t="str">
        <f t="shared" si="10"/>
        <v>NL</v>
      </c>
      <c r="B64" s="473">
        <f t="shared" si="12"/>
        <v>7</v>
      </c>
      <c r="C64" s="479" t="s">
        <v>1934</v>
      </c>
      <c r="D64" s="475" t="s">
        <v>333</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76"/>
      <c r="N64" s="310" t="s">
        <v>3018</v>
      </c>
      <c r="O64" s="488" t="s">
        <v>372</v>
      </c>
      <c r="P64" s="1273"/>
      <c r="Q64" s="488" t="s">
        <v>372</v>
      </c>
      <c r="R64" s="478"/>
      <c r="S64" s="478" t="s">
        <v>337</v>
      </c>
    </row>
    <row r="65" spans="1:20" ht="21" customHeight="1">
      <c r="A65" s="472" t="str">
        <f t="shared" si="10"/>
        <v>NL</v>
      </c>
      <c r="B65" s="473">
        <f t="shared" si="12"/>
        <v>8</v>
      </c>
      <c r="C65" s="479" t="s">
        <v>1935</v>
      </c>
      <c r="D65" s="475" t="s">
        <v>333</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76"/>
      <c r="N65" s="310" t="s">
        <v>3019</v>
      </c>
      <c r="O65" s="488" t="s">
        <v>372</v>
      </c>
      <c r="P65" s="1273"/>
      <c r="Q65" s="488" t="s">
        <v>372</v>
      </c>
      <c r="R65" s="478"/>
      <c r="S65" s="478" t="s">
        <v>337</v>
      </c>
    </row>
    <row r="66" spans="1:20" ht="21" customHeight="1">
      <c r="A66" s="472" t="str">
        <f t="shared" si="10"/>
        <v>NL</v>
      </c>
      <c r="B66" s="473">
        <f t="shared" si="12"/>
        <v>9</v>
      </c>
      <c r="C66" s="479" t="s">
        <v>1936</v>
      </c>
      <c r="D66" s="475" t="s">
        <v>333</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76"/>
      <c r="N66" s="310" t="s">
        <v>3020</v>
      </c>
      <c r="O66" s="488" t="s">
        <v>372</v>
      </c>
      <c r="P66" s="1273"/>
      <c r="Q66" s="488" t="s">
        <v>372</v>
      </c>
      <c r="R66" s="478"/>
      <c r="S66" s="478" t="s">
        <v>337</v>
      </c>
    </row>
    <row r="67" spans="1:20" ht="21" customHeight="1">
      <c r="A67" s="472" t="str">
        <f t="shared" si="10"/>
        <v>NL</v>
      </c>
      <c r="B67" s="473">
        <f t="shared" si="12"/>
        <v>10</v>
      </c>
      <c r="C67" s="479" t="s">
        <v>1951</v>
      </c>
      <c r="D67" s="475" t="s">
        <v>333</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497"/>
      <c r="N67" s="486"/>
      <c r="O67" s="488"/>
      <c r="P67" s="1273"/>
      <c r="Q67" s="488"/>
      <c r="R67" s="478"/>
      <c r="S67" s="478"/>
    </row>
    <row r="68" spans="1:20" ht="21" customHeight="1">
      <c r="A68" s="472" t="str">
        <f t="shared" si="10"/>
        <v>NL</v>
      </c>
      <c r="B68" s="473">
        <f t="shared" si="12"/>
        <v>11</v>
      </c>
      <c r="C68" s="479" t="s">
        <v>1952</v>
      </c>
      <c r="D68" s="475" t="s">
        <v>333</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63"/>
      <c r="N68" s="486"/>
      <c r="O68" s="487"/>
      <c r="P68" s="487"/>
      <c r="Q68" s="488"/>
      <c r="R68" s="478"/>
      <c r="S68" s="478"/>
    </row>
    <row r="69" spans="1:20" ht="21" customHeight="1">
      <c r="A69" s="472" t="str">
        <f t="shared" si="10"/>
        <v>NL</v>
      </c>
      <c r="B69" s="473">
        <f t="shared" ref="B69:B75" si="14">IF(C69&lt;&gt;"",B68+1,"")</f>
        <v>12</v>
      </c>
      <c r="C69" s="479" t="s">
        <v>1937</v>
      </c>
      <c r="D69" s="475" t="s">
        <v>333</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63"/>
      <c r="N69" s="497"/>
      <c r="O69" s="497"/>
      <c r="P69" s="497"/>
      <c r="Q69" s="497"/>
      <c r="R69" s="497"/>
      <c r="S69" s="497"/>
    </row>
    <row r="70" spans="1:20" ht="21" customHeight="1">
      <c r="A70" s="472" t="str">
        <f t="shared" si="10"/>
        <v>NL</v>
      </c>
      <c r="B70" s="473">
        <f t="shared" si="14"/>
        <v>13</v>
      </c>
      <c r="C70" s="479" t="s">
        <v>1938</v>
      </c>
      <c r="D70" s="475" t="s">
        <v>333</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63"/>
      <c r="N70" s="497"/>
      <c r="O70" s="497"/>
      <c r="P70" s="497"/>
      <c r="Q70" s="497"/>
      <c r="R70" s="497"/>
      <c r="S70" s="497"/>
      <c r="T70" s="497"/>
    </row>
    <row r="71" spans="1:20" ht="21" customHeight="1">
      <c r="A71" s="472" t="str">
        <f>IF(B71&lt;&gt;"","NL","")</f>
        <v>NL</v>
      </c>
      <c r="B71" s="473">
        <f t="shared" si="14"/>
        <v>14</v>
      </c>
      <c r="C71" s="479" t="s">
        <v>2832</v>
      </c>
      <c r="D71" s="475" t="s">
        <v>333</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63"/>
      <c r="N71" s="497"/>
      <c r="O71" s="497"/>
      <c r="P71" s="497"/>
      <c r="Q71" s="497"/>
      <c r="R71" s="497"/>
      <c r="S71" s="497"/>
      <c r="T71" s="497"/>
    </row>
    <row r="72" spans="1:20" ht="21" customHeight="1">
      <c r="A72" s="472" t="str">
        <f>IF(B72&lt;&gt;"","NL","")</f>
        <v>NL</v>
      </c>
      <c r="B72" s="473">
        <f t="shared" si="14"/>
        <v>15</v>
      </c>
      <c r="C72" s="479" t="s">
        <v>2831</v>
      </c>
      <c r="D72" s="475" t="s">
        <v>333</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63"/>
      <c r="N72" s="497"/>
      <c r="O72" s="497"/>
      <c r="P72" s="497"/>
      <c r="Q72" s="497"/>
      <c r="R72" s="497"/>
      <c r="S72" s="497"/>
      <c r="T72" s="497"/>
    </row>
    <row r="73" spans="1:20" ht="21" customHeight="1">
      <c r="A73" s="472" t="str">
        <f>IF(B73&lt;&gt;"","NL","")</f>
        <v>NL</v>
      </c>
      <c r="B73" s="473">
        <f t="shared" si="14"/>
        <v>16</v>
      </c>
      <c r="C73" s="479" t="s">
        <v>2833</v>
      </c>
      <c r="D73" s="475" t="s">
        <v>333</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63"/>
      <c r="N73" s="497"/>
      <c r="O73" s="497"/>
      <c r="P73" s="497"/>
      <c r="Q73" s="497"/>
      <c r="R73" s="497"/>
      <c r="S73" s="497"/>
      <c r="T73" s="497"/>
    </row>
    <row r="74" spans="1:20" ht="21" customHeight="1">
      <c r="A74" s="472" t="str">
        <f>IF(B74&lt;&gt;"","NL","")</f>
        <v>NL</v>
      </c>
      <c r="B74" s="473">
        <f t="shared" si="14"/>
        <v>17</v>
      </c>
      <c r="C74" s="479" t="s">
        <v>2834</v>
      </c>
      <c r="D74" s="475" t="s">
        <v>333</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63"/>
      <c r="N74" s="497"/>
      <c r="O74" s="497"/>
      <c r="P74" s="497"/>
      <c r="Q74" s="497"/>
      <c r="R74" s="497"/>
      <c r="S74" s="497"/>
      <c r="T74" s="497"/>
    </row>
    <row r="75" spans="1:20" ht="21" customHeight="1">
      <c r="A75" s="472" t="str">
        <f>IF(B75&lt;&gt;"","NL","")</f>
        <v>NL</v>
      </c>
      <c r="B75" s="473">
        <f t="shared" si="14"/>
        <v>18</v>
      </c>
      <c r="C75" s="479" t="s">
        <v>2836</v>
      </c>
      <c r="D75" s="475" t="s">
        <v>333</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63"/>
      <c r="N75" s="497"/>
      <c r="O75" s="497"/>
      <c r="P75" s="497"/>
      <c r="Q75" s="497"/>
      <c r="R75" s="497"/>
      <c r="S75" s="497"/>
      <c r="T75" s="497"/>
    </row>
    <row r="76" spans="1:20" ht="21" customHeight="1">
      <c r="A76" s="472" t="str">
        <f t="shared" si="10"/>
        <v/>
      </c>
      <c r="B76" s="473" t="str">
        <f>IF(C76&lt;&gt;"",B70+1,"")</f>
        <v/>
      </c>
      <c r="C76" s="493"/>
      <c r="D76" s="494"/>
      <c r="E76" s="495"/>
      <c r="F76" s="495"/>
      <c r="G76" s="495"/>
      <c r="H76" s="495"/>
      <c r="I76" s="495"/>
      <c r="J76" s="495"/>
      <c r="K76" s="8"/>
      <c r="L76" s="8"/>
      <c r="M76" s="463"/>
      <c r="P76" s="497"/>
      <c r="Q76" s="497"/>
      <c r="R76" s="497"/>
      <c r="S76" s="497"/>
      <c r="T76" s="497"/>
    </row>
    <row r="77" spans="1:20" ht="21" customHeight="1">
      <c r="A77" s="472"/>
      <c r="B77" s="469"/>
      <c r="C77" s="492" t="s">
        <v>426</v>
      </c>
      <c r="D77" s="469"/>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63"/>
      <c r="P77" s="497"/>
      <c r="Q77" s="497"/>
      <c r="R77" s="497"/>
      <c r="S77" s="497"/>
    </row>
    <row r="78" spans="1:20" ht="21" customHeight="1">
      <c r="A78" s="472" t="str">
        <f>IF(B78&lt;&gt;"","TP","")</f>
        <v/>
      </c>
      <c r="B78" s="909"/>
      <c r="C78" s="910"/>
      <c r="D78" s="909"/>
      <c r="E78" s="911"/>
      <c r="F78" s="911">
        <f>F77-CĐPS!C21</f>
        <v>0</v>
      </c>
      <c r="G78" s="911"/>
      <c r="H78" s="911">
        <f>H77-CĐPS!E21</f>
        <v>0</v>
      </c>
      <c r="I78" s="911"/>
      <c r="J78" s="911">
        <f>J77-CĐPS!F21</f>
        <v>0</v>
      </c>
      <c r="K78" s="911"/>
      <c r="L78" s="911">
        <f>L77-CĐPS!G21</f>
        <v>0</v>
      </c>
      <c r="M78" s="463"/>
      <c r="Q78" s="498"/>
      <c r="R78" s="498"/>
      <c r="S78" s="498"/>
    </row>
    <row r="79" spans="1:20" ht="21" customHeight="1">
      <c r="A79" s="472" t="str">
        <f t="shared" ref="A79:A121" si="17">IF(B79&lt;&gt;"","TP","")</f>
        <v>TP</v>
      </c>
      <c r="B79" s="908">
        <f>IF(C79&lt;&gt;"",ROW()-(ROW()-1),"")</f>
        <v>1</v>
      </c>
      <c r="C79" s="474" t="s">
        <v>431</v>
      </c>
      <c r="D79" s="496" t="s">
        <v>333</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4" si="18">E79+G79-I79</f>
        <v>0</v>
      </c>
      <c r="L79" s="25">
        <f t="shared" si="18"/>
        <v>0</v>
      </c>
      <c r="M79" s="463"/>
      <c r="Q79" s="474" t="s">
        <v>431</v>
      </c>
      <c r="R79" s="474"/>
      <c r="S79" s="496">
        <v>4.5</v>
      </c>
    </row>
    <row r="80" spans="1:20" ht="21" customHeight="1">
      <c r="A80" s="472" t="str">
        <f t="shared" si="17"/>
        <v>TP</v>
      </c>
      <c r="B80" s="473">
        <f>IF(C80&lt;&gt;"",B79+1,"")</f>
        <v>2</v>
      </c>
      <c r="C80" s="474" t="s">
        <v>455</v>
      </c>
      <c r="D80" s="496" t="s">
        <v>333</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63"/>
      <c r="Q80" s="479" t="s">
        <v>433</v>
      </c>
      <c r="R80" s="474"/>
      <c r="S80" s="496">
        <v>5</v>
      </c>
    </row>
    <row r="81" spans="1:19" ht="21" customHeight="1">
      <c r="A81" s="472" t="str">
        <f t="shared" si="17"/>
        <v>TP</v>
      </c>
      <c r="B81" s="473">
        <f>IF(C81&lt;&gt;"",B80+1,"")</f>
        <v>3</v>
      </c>
      <c r="C81" s="479" t="s">
        <v>2364</v>
      </c>
      <c r="D81" s="496" t="s">
        <v>333</v>
      </c>
      <c r="E81" s="8">
        <v>7209.2</v>
      </c>
      <c r="F81" s="8">
        <v>1022046172</v>
      </c>
      <c r="G81" s="25">
        <f t="array" ref="G81">SUM(IF("155"&amp;C81=KHN&amp;MH,SL))</f>
        <v>0</v>
      </c>
      <c r="H81" s="25">
        <f t="array" ref="H81">SUM(IF("155"&amp;C81=KHN&amp;MH,TH))</f>
        <v>0</v>
      </c>
      <c r="I81" s="25">
        <f t="array" ref="I81">SUM(IF("155"&amp;C81=KHC&amp;MH,SL))</f>
        <v>7209.2</v>
      </c>
      <c r="J81" s="25">
        <f t="array" ref="J81">SUM(IF("155"&amp;C81=KHC&amp;MH,TH))</f>
        <v>1022046172</v>
      </c>
      <c r="K81" s="8">
        <f t="shared" si="18"/>
        <v>0</v>
      </c>
      <c r="L81" s="8">
        <f t="shared" si="18"/>
        <v>0</v>
      </c>
      <c r="M81" s="463"/>
      <c r="N81" s="472"/>
      <c r="Q81" s="479" t="s">
        <v>435</v>
      </c>
      <c r="R81" s="474"/>
      <c r="S81" s="496">
        <v>5</v>
      </c>
    </row>
    <row r="82" spans="1:19" ht="21" customHeight="1">
      <c r="A82" s="472" t="str">
        <f t="shared" ref="A82" si="19">IF(B82&lt;&gt;"","TP","")</f>
        <v>TP</v>
      </c>
      <c r="B82" s="473">
        <f t="shared" ref="B82:B84" si="20">IF(C82&lt;&gt;"",B81+1,"")</f>
        <v>4</v>
      </c>
      <c r="C82" s="479" t="s">
        <v>3026</v>
      </c>
      <c r="D82" s="496" t="s">
        <v>333</v>
      </c>
      <c r="E82" s="8">
        <v>24465.8</v>
      </c>
      <c r="F82" s="8">
        <v>3468509299</v>
      </c>
      <c r="G82" s="25">
        <f t="array" ref="G82">SUM(IF("155"&amp;C82=KHN&amp;MH,SL))</f>
        <v>0</v>
      </c>
      <c r="H82" s="25">
        <f t="array" ref="H82">SUM(IF("155"&amp;C82=KHN&amp;MH,TH))</f>
        <v>0</v>
      </c>
      <c r="I82" s="25">
        <f t="array" ref="I82">SUM(IF("155"&amp;C82=KHC&amp;MH,SL))</f>
        <v>0</v>
      </c>
      <c r="J82" s="25">
        <f t="array" ref="J82">SUM(IF("155"&amp;C82=KHC&amp;MH,TH))</f>
        <v>0</v>
      </c>
      <c r="K82" s="8">
        <f t="shared" ref="K82" si="21">E82+G82-I82</f>
        <v>24465.8</v>
      </c>
      <c r="L82" s="8">
        <f t="shared" ref="L82" si="22">F82+H82-J82</f>
        <v>3468509299</v>
      </c>
      <c r="M82" s="463"/>
      <c r="N82" s="472"/>
      <c r="Q82" s="479" t="s">
        <v>435</v>
      </c>
      <c r="R82" s="474"/>
      <c r="S82" s="496">
        <v>5</v>
      </c>
    </row>
    <row r="83" spans="1:19" ht="21" customHeight="1">
      <c r="A83" s="472" t="str">
        <f t="shared" si="17"/>
        <v>TP</v>
      </c>
      <c r="B83" s="473">
        <f t="shared" si="20"/>
        <v>5</v>
      </c>
      <c r="C83" s="479" t="s">
        <v>435</v>
      </c>
      <c r="D83" s="496" t="s">
        <v>333</v>
      </c>
      <c r="E83" s="8">
        <v>20987</v>
      </c>
      <c r="F83" s="8">
        <v>3171039713</v>
      </c>
      <c r="G83" s="25">
        <f t="array" ref="G83">SUM(IF("155"&amp;C83=KHN&amp;MH,SL))</f>
        <v>35308</v>
      </c>
      <c r="H83" s="25">
        <f t="array" ref="H83">SUM(IF("155"&amp;C83=KHN&amp;MH,TH))</f>
        <v>5123178890</v>
      </c>
      <c r="I83" s="25">
        <f t="array" ref="I83">SUM(IF("155"&amp;C83=KHC&amp;MH,SL))</f>
        <v>56295</v>
      </c>
      <c r="J83" s="25">
        <f t="array" ref="J83">SUM(IF("155"&amp;C83=KHC&amp;MH,TH))</f>
        <v>8294218603</v>
      </c>
      <c r="K83" s="8">
        <f t="shared" si="18"/>
        <v>0</v>
      </c>
      <c r="L83" s="8">
        <f t="shared" si="18"/>
        <v>0</v>
      </c>
      <c r="M83" s="463"/>
      <c r="N83" s="1090"/>
      <c r="Q83" s="479" t="s">
        <v>438</v>
      </c>
      <c r="R83" s="474"/>
      <c r="S83" s="496">
        <v>5</v>
      </c>
    </row>
    <row r="84" spans="1:19" ht="21" customHeight="1">
      <c r="A84" s="472" t="str">
        <f t="shared" si="17"/>
        <v>TP</v>
      </c>
      <c r="B84" s="473">
        <f t="shared" si="20"/>
        <v>6</v>
      </c>
      <c r="C84" s="479" t="s">
        <v>2716</v>
      </c>
      <c r="D84" s="496" t="s">
        <v>333</v>
      </c>
      <c r="E84" s="8">
        <v>122</v>
      </c>
      <c r="F84" s="8">
        <v>17080000</v>
      </c>
      <c r="G84" s="25">
        <f t="array" ref="G84">SUM(IF("155"&amp;C84=KHN&amp;MH,SL))</f>
        <v>688</v>
      </c>
      <c r="H84" s="25">
        <f t="array" ref="H84">SUM(IF("155"&amp;C84=KHN&amp;MH,TH))</f>
        <v>61762862</v>
      </c>
      <c r="I84" s="25">
        <f t="array" ref="I84">SUM(IF("155"&amp;C84=KHC&amp;MH,SL))</f>
        <v>810</v>
      </c>
      <c r="J84" s="25">
        <f t="array" ref="J84">SUM(IF("155"&amp;C84=KHC&amp;MH,TH))</f>
        <v>78842862</v>
      </c>
      <c r="K84" s="8">
        <f t="shared" si="18"/>
        <v>0</v>
      </c>
      <c r="L84" s="8">
        <f t="shared" si="18"/>
        <v>0</v>
      </c>
      <c r="M84" s="463"/>
      <c r="N84" s="1159">
        <f>L81-3354455174</f>
        <v>-3354455174</v>
      </c>
      <c r="Q84" s="479" t="s">
        <v>440</v>
      </c>
      <c r="R84" s="479"/>
      <c r="S84" s="499"/>
    </row>
    <row r="85" spans="1:19" ht="21" customHeight="1">
      <c r="A85" s="472" t="str">
        <f t="shared" si="17"/>
        <v>TP</v>
      </c>
      <c r="B85" s="473">
        <f>IF(C85&lt;&gt;"",B84+1,"")</f>
        <v>7</v>
      </c>
      <c r="C85" s="479" t="s">
        <v>440</v>
      </c>
      <c r="D85" s="496" t="s">
        <v>333</v>
      </c>
      <c r="E85" s="8">
        <v>16075</v>
      </c>
      <c r="F85" s="8">
        <v>1107185105</v>
      </c>
      <c r="G85" s="25">
        <f t="array" ref="G85">SUM(IF("155"&amp;C85=KHN&amp;MH,SL))</f>
        <v>0</v>
      </c>
      <c r="H85" s="25">
        <f t="array" ref="H85">SUM(IF("155"&amp;C85=KHN&amp;MH,TH))</f>
        <v>0</v>
      </c>
      <c r="I85" s="25">
        <f t="array" ref="I85">SUM(IF("155"&amp;C85=KHC&amp;MH,SL))</f>
        <v>16075</v>
      </c>
      <c r="J85" s="25">
        <f t="array" ref="J85">SUM(IF("155"&amp;C85=KHC&amp;MH,TH))</f>
        <v>1107185105</v>
      </c>
      <c r="K85" s="8">
        <f t="shared" ref="K85:K108" si="23">E85+G85-I85</f>
        <v>0</v>
      </c>
      <c r="L85" s="8">
        <f t="shared" ref="L85:L108" si="24">F85+H85-J85</f>
        <v>0</v>
      </c>
      <c r="M85" s="463"/>
      <c r="N85" s="463">
        <f>N84/8125</f>
        <v>-412856.0214153846</v>
      </c>
      <c r="Q85" s="479" t="s">
        <v>444</v>
      </c>
      <c r="R85" s="479"/>
      <c r="S85" s="499">
        <v>8</v>
      </c>
    </row>
    <row r="86" spans="1:19" ht="21" customHeight="1">
      <c r="A86" s="472" t="str">
        <f t="shared" si="17"/>
        <v>TP</v>
      </c>
      <c r="B86" s="473">
        <f t="shared" ref="B86:B108" si="25">IF(C86&lt;&gt;"",B85+1,"")</f>
        <v>8</v>
      </c>
      <c r="C86" s="479" t="s">
        <v>441</v>
      </c>
      <c r="D86" s="496" t="s">
        <v>333</v>
      </c>
      <c r="E86" s="8">
        <v>0</v>
      </c>
      <c r="F86" s="8">
        <v>0</v>
      </c>
      <c r="G86" s="25">
        <f t="array" ref="G86">SUM(IF("155"&amp;C86=KHN&amp;MH,SL))</f>
        <v>14880</v>
      </c>
      <c r="H86" s="25">
        <f t="array" ref="H86">SUM(IF("155"&amp;C86=KHN&amp;MH,TH))</f>
        <v>3504554380</v>
      </c>
      <c r="I86" s="25">
        <f t="array" ref="I86">SUM(IF("155"&amp;C86=KHC&amp;MH,SL))</f>
        <v>14880</v>
      </c>
      <c r="J86" s="25">
        <f t="array" ref="J86">SUM(IF("155"&amp;C86=KHC&amp;MH,TH))</f>
        <v>3504554380</v>
      </c>
      <c r="K86" s="8">
        <f t="shared" si="23"/>
        <v>0</v>
      </c>
      <c r="L86" s="8">
        <f t="shared" si="24"/>
        <v>0</v>
      </c>
      <c r="M86" s="463"/>
      <c r="N86" s="463">
        <f>N85*3000</f>
        <v>-1238568064.2461538</v>
      </c>
      <c r="Q86" s="479" t="s">
        <v>446</v>
      </c>
      <c r="R86" s="479"/>
      <c r="S86" s="499">
        <v>9</v>
      </c>
    </row>
    <row r="87" spans="1:19" ht="21" customHeight="1">
      <c r="A87" s="472" t="str">
        <f t="shared" si="17"/>
        <v>TP</v>
      </c>
      <c r="B87" s="473">
        <f t="shared" si="25"/>
        <v>9</v>
      </c>
      <c r="C87" s="479" t="s">
        <v>442</v>
      </c>
      <c r="D87" s="496" t="s">
        <v>333</v>
      </c>
      <c r="E87" s="8">
        <v>0</v>
      </c>
      <c r="F87" s="8">
        <v>0</v>
      </c>
      <c r="G87" s="25">
        <f t="array" ref="G87">SUM(IF("155"&amp;C87=KHN&amp;MH,SL))</f>
        <v>52500</v>
      </c>
      <c r="H87" s="25">
        <f t="array" ref="H87">SUM(IF("155"&amp;C87=KHN&amp;MH,TH))</f>
        <v>9782235198</v>
      </c>
      <c r="I87" s="25">
        <f t="array" ref="I87">SUM(IF("155"&amp;C87=KHC&amp;MH,SL))</f>
        <v>52500</v>
      </c>
      <c r="J87" s="25">
        <f t="array" ref="J87">SUM(IF("155"&amp;C87=KHC&amp;MH,TH))</f>
        <v>9782235198</v>
      </c>
      <c r="K87" s="8">
        <f t="shared" si="23"/>
        <v>0</v>
      </c>
      <c r="L87" s="8">
        <f t="shared" si="24"/>
        <v>0</v>
      </c>
      <c r="M87" s="463"/>
      <c r="Q87" s="479" t="s">
        <v>447</v>
      </c>
      <c r="R87" s="479"/>
      <c r="S87" s="499">
        <v>8</v>
      </c>
    </row>
    <row r="88" spans="1:19" ht="21" customHeight="1">
      <c r="A88" s="472" t="str">
        <f t="shared" si="17"/>
        <v>TP</v>
      </c>
      <c r="B88" s="473">
        <f t="shared" si="25"/>
        <v>10</v>
      </c>
      <c r="C88" s="479" t="s">
        <v>1501</v>
      </c>
      <c r="D88" s="496" t="s">
        <v>333</v>
      </c>
      <c r="E88" s="8">
        <v>0</v>
      </c>
      <c r="F88" s="8">
        <v>0</v>
      </c>
      <c r="G88" s="25">
        <f t="array" ref="G88">SUM(IF("155"&amp;C88=KHN&amp;MH,SL))</f>
        <v>3420</v>
      </c>
      <c r="H88" s="25">
        <f t="array" ref="H88">SUM(IF("155"&amp;C88=KHN&amp;MH,TH))</f>
        <v>507862825</v>
      </c>
      <c r="I88" s="25">
        <f t="array" ref="I88">SUM(IF("155"&amp;C88=KHC&amp;MH,SL))</f>
        <v>3420</v>
      </c>
      <c r="J88" s="25">
        <f t="array" ref="J88">SUM(IF("155"&amp;C88=KHC&amp;MH,TH))</f>
        <v>507862825</v>
      </c>
      <c r="K88" s="8">
        <f t="shared" si="23"/>
        <v>0</v>
      </c>
      <c r="L88" s="8">
        <f t="shared" si="24"/>
        <v>0</v>
      </c>
      <c r="M88" s="463"/>
      <c r="Q88" s="479" t="s">
        <v>443</v>
      </c>
      <c r="R88" s="479"/>
      <c r="S88" s="499">
        <v>8</v>
      </c>
    </row>
    <row r="89" spans="1:19" ht="21" customHeight="1">
      <c r="A89" s="472" t="str">
        <f t="shared" si="17"/>
        <v>TP</v>
      </c>
      <c r="B89" s="473">
        <f t="shared" si="25"/>
        <v>11</v>
      </c>
      <c r="C89" s="479" t="s">
        <v>1930</v>
      </c>
      <c r="D89" s="496" t="s">
        <v>333</v>
      </c>
      <c r="E89" s="8">
        <v>0</v>
      </c>
      <c r="F89" s="8">
        <v>0</v>
      </c>
      <c r="G89" s="25">
        <f t="array" ref="G89">SUM(IF("155"&amp;C89=KHN&amp;MH,SL))</f>
        <v>1330</v>
      </c>
      <c r="H89" s="25">
        <f t="array" ref="H89">SUM(IF("155"&amp;C89=KHN&amp;MH,TH))</f>
        <v>240688879</v>
      </c>
      <c r="I89" s="25">
        <f t="array" ref="I89">SUM(IF("155"&amp;C89=KHC&amp;MH,SL))</f>
        <v>1330</v>
      </c>
      <c r="J89" s="25">
        <f t="array" ref="J89">SUM(IF("155"&amp;C89=KHC&amp;MH,TH))</f>
        <v>240688879</v>
      </c>
      <c r="K89" s="8">
        <f t="shared" si="23"/>
        <v>0</v>
      </c>
      <c r="L89" s="8">
        <f t="shared" si="24"/>
        <v>0</v>
      </c>
      <c r="M89" s="463"/>
      <c r="Q89" s="479" t="s">
        <v>448</v>
      </c>
      <c r="R89" s="479"/>
      <c r="S89" s="499">
        <v>5</v>
      </c>
    </row>
    <row r="90" spans="1:19" ht="21" customHeight="1">
      <c r="A90" s="472" t="str">
        <f t="shared" si="17"/>
        <v>TP</v>
      </c>
      <c r="B90" s="473">
        <f t="shared" si="25"/>
        <v>12</v>
      </c>
      <c r="C90" s="479" t="s">
        <v>1502</v>
      </c>
      <c r="D90" s="496" t="s">
        <v>333</v>
      </c>
      <c r="E90" s="8">
        <v>0</v>
      </c>
      <c r="F90" s="8">
        <v>0</v>
      </c>
      <c r="G90" s="25">
        <f t="array" ref="G90">SUM(IF("155"&amp;C90=KHN&amp;MH,SL))</f>
        <v>600</v>
      </c>
      <c r="H90" s="25">
        <f t="array" ref="H90">SUM(IF("155"&amp;C90=KHN&amp;MH,TH))</f>
        <v>93918180</v>
      </c>
      <c r="I90" s="25">
        <f t="array" ref="I90">SUM(IF("155"&amp;C90=KHC&amp;MH,SL))</f>
        <v>600</v>
      </c>
      <c r="J90" s="25">
        <f t="array" ref="J90">SUM(IF("155"&amp;C90=KHC&amp;MH,TH))</f>
        <v>93918180</v>
      </c>
      <c r="K90" s="8">
        <f t="shared" si="23"/>
        <v>0</v>
      </c>
      <c r="L90" s="8">
        <f t="shared" si="24"/>
        <v>0</v>
      </c>
      <c r="M90" s="463"/>
      <c r="Q90" s="479" t="s">
        <v>450</v>
      </c>
      <c r="R90" s="479"/>
      <c r="S90" s="499">
        <v>5</v>
      </c>
    </row>
    <row r="91" spans="1:19" ht="21" customHeight="1">
      <c r="A91" s="472" t="str">
        <f t="shared" si="17"/>
        <v>TP</v>
      </c>
      <c r="B91" s="473">
        <f t="shared" si="25"/>
        <v>13</v>
      </c>
      <c r="C91" s="479" t="s">
        <v>1896</v>
      </c>
      <c r="D91" s="496" t="s">
        <v>333</v>
      </c>
      <c r="E91" s="8">
        <v>0</v>
      </c>
      <c r="F91" s="8">
        <v>0</v>
      </c>
      <c r="G91" s="25">
        <f t="array" ref="G91">SUM(IF("155"&amp;C91=KHN&amp;MH,SL))</f>
        <v>500</v>
      </c>
      <c r="H91" s="25">
        <f t="array" ref="H91">SUM(IF("155"&amp;C91=KHN&amp;MH,TH))</f>
        <v>120888719</v>
      </c>
      <c r="I91" s="25">
        <f t="array" ref="I91">SUM(IF("155"&amp;C91=KHC&amp;MH,SL))</f>
        <v>500</v>
      </c>
      <c r="J91" s="25">
        <f t="array" ref="J91">SUM(IF("155"&amp;C91=KHC&amp;MH,TH))</f>
        <v>120888719</v>
      </c>
      <c r="K91" s="8">
        <f t="shared" si="23"/>
        <v>0</v>
      </c>
      <c r="L91" s="8">
        <f t="shared" si="24"/>
        <v>0</v>
      </c>
      <c r="M91" s="463"/>
      <c r="Q91" s="479" t="s">
        <v>451</v>
      </c>
      <c r="R91" s="479"/>
      <c r="S91" s="499">
        <v>5</v>
      </c>
    </row>
    <row r="92" spans="1:19" ht="21" customHeight="1">
      <c r="A92" s="472" t="str">
        <f t="shared" si="17"/>
        <v>TP</v>
      </c>
      <c r="B92" s="473">
        <f t="shared" si="25"/>
        <v>14</v>
      </c>
      <c r="C92" s="479" t="s">
        <v>1659</v>
      </c>
      <c r="D92" s="496" t="s">
        <v>333</v>
      </c>
      <c r="E92" s="8">
        <v>0</v>
      </c>
      <c r="F92" s="8">
        <v>0</v>
      </c>
      <c r="G92" s="25">
        <f t="array" ref="G92">SUM(IF("155"&amp;C92=KHN&amp;MH,SL))</f>
        <v>5390</v>
      </c>
      <c r="H92" s="25">
        <f t="array" ref="H92">SUM(IF("155"&amp;C92=KHN&amp;MH,TH))</f>
        <v>71534853</v>
      </c>
      <c r="I92" s="25">
        <f t="array" ref="I92">SUM(IF("155"&amp;C92=KHC&amp;MH,SL))</f>
        <v>5390</v>
      </c>
      <c r="J92" s="25">
        <f t="array" ref="J92">SUM(IF("155"&amp;C92=KHC&amp;MH,TH))</f>
        <v>71534853</v>
      </c>
      <c r="K92" s="8">
        <f t="shared" si="23"/>
        <v>0</v>
      </c>
      <c r="L92" s="8">
        <f t="shared" si="24"/>
        <v>0</v>
      </c>
      <c r="M92" s="463"/>
      <c r="Q92" s="479" t="s">
        <v>452</v>
      </c>
      <c r="R92" s="479"/>
      <c r="S92" s="499">
        <v>4.5</v>
      </c>
    </row>
    <row r="93" spans="1:19" ht="21" customHeight="1">
      <c r="A93" s="472" t="str">
        <f t="shared" si="17"/>
        <v>TP</v>
      </c>
      <c r="B93" s="473">
        <f t="shared" si="25"/>
        <v>15</v>
      </c>
      <c r="C93" s="479" t="s">
        <v>443</v>
      </c>
      <c r="D93" s="496" t="s">
        <v>333</v>
      </c>
      <c r="E93" s="8">
        <v>0</v>
      </c>
      <c r="F93" s="8">
        <v>0</v>
      </c>
      <c r="G93" s="25">
        <f t="array" ref="G93">SUM(IF("155"&amp;C93=KHN&amp;MH,SL))</f>
        <v>37800</v>
      </c>
      <c r="H93" s="25">
        <f t="array" ref="H93">SUM(IF("155"&amp;C93=KHN&amp;MH,TH))</f>
        <v>6554043045.5</v>
      </c>
      <c r="I93" s="25">
        <f t="array" ref="I93">SUM(IF("155"&amp;C93=KHC&amp;MH,SL))</f>
        <v>37800</v>
      </c>
      <c r="J93" s="25">
        <f t="array" ref="J93">SUM(IF("155"&amp;C93=KHC&amp;MH,TH))</f>
        <v>6554043045.5</v>
      </c>
      <c r="K93" s="8">
        <f t="shared" si="23"/>
        <v>0</v>
      </c>
      <c r="L93" s="8">
        <f t="shared" si="24"/>
        <v>0</v>
      </c>
      <c r="M93" s="463"/>
      <c r="Q93" s="479" t="s">
        <v>453</v>
      </c>
      <c r="R93" s="479"/>
      <c r="S93" s="499">
        <v>4.5</v>
      </c>
    </row>
    <row r="94" spans="1:19" ht="21" customHeight="1">
      <c r="A94" s="472" t="str">
        <f t="shared" si="17"/>
        <v>TP</v>
      </c>
      <c r="B94" s="473">
        <f t="shared" si="25"/>
        <v>16</v>
      </c>
      <c r="C94" s="479" t="s">
        <v>1503</v>
      </c>
      <c r="D94" s="496" t="s">
        <v>333</v>
      </c>
      <c r="E94" s="8">
        <v>0</v>
      </c>
      <c r="F94" s="8">
        <v>0</v>
      </c>
      <c r="G94" s="25">
        <f t="array" ref="G94">SUM(IF("155"&amp;C94=KHN&amp;MH,SL))</f>
        <v>7400</v>
      </c>
      <c r="H94" s="25">
        <f t="array" ref="H94">SUM(IF("155"&amp;C94=KHN&amp;MH,TH))</f>
        <v>1283200481</v>
      </c>
      <c r="I94" s="25">
        <f t="array" ref="I94">SUM(IF("155"&amp;C94=KHC&amp;MH,SL))</f>
        <v>7400</v>
      </c>
      <c r="J94" s="25">
        <f t="array" ref="J94">SUM(IF("155"&amp;C94=KHC&amp;MH,TH))</f>
        <v>1283200481</v>
      </c>
      <c r="K94" s="8">
        <f t="shared" si="23"/>
        <v>0</v>
      </c>
      <c r="L94" s="8">
        <f t="shared" si="24"/>
        <v>0</v>
      </c>
      <c r="M94" s="463"/>
      <c r="Q94" s="479" t="s">
        <v>441</v>
      </c>
      <c r="R94" s="479"/>
      <c r="S94" s="499">
        <v>13</v>
      </c>
    </row>
    <row r="95" spans="1:19" ht="21" customHeight="1">
      <c r="A95" s="472" t="str">
        <f t="shared" si="17"/>
        <v>TP</v>
      </c>
      <c r="B95" s="473">
        <f t="shared" si="25"/>
        <v>17</v>
      </c>
      <c r="C95" s="479" t="s">
        <v>1889</v>
      </c>
      <c r="D95" s="496" t="s">
        <v>333</v>
      </c>
      <c r="E95" s="8">
        <v>0</v>
      </c>
      <c r="F95" s="8">
        <v>0</v>
      </c>
      <c r="G95" s="25">
        <f t="array" ref="G95">SUM(IF("155"&amp;C95=KHN&amp;MH,SL))</f>
        <v>20000</v>
      </c>
      <c r="H95" s="25">
        <f t="array" ref="H95">SUM(IF("155"&amp;C95=KHN&amp;MH,TH))</f>
        <v>3040891232</v>
      </c>
      <c r="I95" s="25">
        <f t="array" ref="I95">SUM(IF("155"&amp;C95=KHC&amp;MH,SL))</f>
        <v>20000</v>
      </c>
      <c r="J95" s="25">
        <f t="array" ref="J95">SUM(IF("155"&amp;C95=KHC&amp;MH,TH))</f>
        <v>3040891232</v>
      </c>
      <c r="K95" s="8">
        <f t="shared" si="23"/>
        <v>0</v>
      </c>
      <c r="L95" s="8">
        <f t="shared" si="24"/>
        <v>0</v>
      </c>
      <c r="M95" s="463"/>
      <c r="Q95" s="479" t="s">
        <v>442</v>
      </c>
      <c r="R95" s="479"/>
      <c r="S95" s="499">
        <v>11</v>
      </c>
    </row>
    <row r="96" spans="1:19" ht="21" customHeight="1">
      <c r="A96" s="472" t="str">
        <f t="shared" si="17"/>
        <v>TP</v>
      </c>
      <c r="B96" s="473">
        <f t="shared" si="25"/>
        <v>18</v>
      </c>
      <c r="C96" s="479" t="s">
        <v>1771</v>
      </c>
      <c r="D96" s="496" t="s">
        <v>333</v>
      </c>
      <c r="E96" s="8">
        <v>0</v>
      </c>
      <c r="F96" s="8">
        <v>0</v>
      </c>
      <c r="G96" s="25">
        <f t="array" ref="G96">SUM(IF("155"&amp;C96=KHN&amp;MH,SL))</f>
        <v>4770</v>
      </c>
      <c r="H96" s="25">
        <f t="array" ref="H96">SUM(IF("155"&amp;C96=KHN&amp;MH,TH))</f>
        <v>1107143879</v>
      </c>
      <c r="I96" s="25">
        <f t="array" ref="I96">SUM(IF("155"&amp;C96=KHC&amp;MH,SL))</f>
        <v>4770</v>
      </c>
      <c r="J96" s="25">
        <f t="array" ref="J96">SUM(IF("155"&amp;C96=KHC&amp;MH,TH))</f>
        <v>1107143879</v>
      </c>
      <c r="K96" s="8">
        <f t="shared" si="23"/>
        <v>0</v>
      </c>
      <c r="L96" s="8">
        <f t="shared" si="24"/>
        <v>0</v>
      </c>
      <c r="M96" s="463"/>
      <c r="Q96" s="479" t="s">
        <v>454</v>
      </c>
      <c r="R96" s="479"/>
      <c r="S96" s="499">
        <v>4.4000000000000004</v>
      </c>
    </row>
    <row r="97" spans="1:19" ht="21" customHeight="1">
      <c r="A97" s="472" t="str">
        <f t="shared" si="17"/>
        <v>TP</v>
      </c>
      <c r="B97" s="473">
        <f t="shared" si="25"/>
        <v>19</v>
      </c>
      <c r="C97" s="479" t="s">
        <v>1658</v>
      </c>
      <c r="D97" s="496" t="s">
        <v>333</v>
      </c>
      <c r="E97" s="8">
        <v>0</v>
      </c>
      <c r="F97" s="8">
        <v>0</v>
      </c>
      <c r="G97" s="25">
        <f t="array" ref="G97">SUM(IF("155"&amp;C97=KHN&amp;MH,SL))</f>
        <v>2650</v>
      </c>
      <c r="H97" s="25">
        <f t="array" ref="H97">SUM(IF("155"&amp;C97=KHN&amp;MH,TH))</f>
        <v>34682250</v>
      </c>
      <c r="I97" s="25">
        <f t="array" ref="I97">SUM(IF("155"&amp;C97=KHC&amp;MH,SL))</f>
        <v>2650</v>
      </c>
      <c r="J97" s="25">
        <f t="array" ref="J97">SUM(IF("155"&amp;C97=KHC&amp;MH,TH))</f>
        <v>34682250</v>
      </c>
      <c r="K97" s="8">
        <f t="shared" si="23"/>
        <v>0</v>
      </c>
      <c r="L97" s="8">
        <f t="shared" si="24"/>
        <v>0</v>
      </c>
      <c r="M97" s="463"/>
      <c r="Q97" s="479" t="s">
        <v>455</v>
      </c>
      <c r="R97" s="479"/>
      <c r="S97" s="499">
        <v>3</v>
      </c>
    </row>
    <row r="98" spans="1:19" ht="21" customHeight="1">
      <c r="A98" s="472" t="str">
        <f t="shared" si="17"/>
        <v>TP</v>
      </c>
      <c r="B98" s="473">
        <f t="shared" si="25"/>
        <v>20</v>
      </c>
      <c r="C98" s="479" t="s">
        <v>1892</v>
      </c>
      <c r="D98" s="496" t="s">
        <v>333</v>
      </c>
      <c r="E98" s="8">
        <v>0</v>
      </c>
      <c r="F98" s="8">
        <v>0</v>
      </c>
      <c r="G98" s="25">
        <f t="array" ref="G98">SUM(IF("155"&amp;C98=KHN&amp;MH,SL))</f>
        <v>8100</v>
      </c>
      <c r="H98" s="25">
        <f t="array" ref="H98">SUM(IF("155"&amp;C98=KHN&amp;MH,TH))</f>
        <v>107939150</v>
      </c>
      <c r="I98" s="25">
        <f t="array" ref="I98">SUM(IF("155"&amp;C98=KHC&amp;MH,SL))</f>
        <v>8100</v>
      </c>
      <c r="J98" s="25">
        <f t="array" ref="J98">SUM(IF("155"&amp;C98=KHC&amp;MH,TH))</f>
        <v>107939150</v>
      </c>
      <c r="K98" s="8">
        <f t="shared" si="23"/>
        <v>0</v>
      </c>
      <c r="L98" s="8">
        <f t="shared" si="24"/>
        <v>0</v>
      </c>
      <c r="M98" s="463"/>
      <c r="Q98" s="479" t="s">
        <v>2371</v>
      </c>
      <c r="R98" s="479"/>
      <c r="S98" s="499">
        <v>7</v>
      </c>
    </row>
    <row r="99" spans="1:19" ht="21" customHeight="1">
      <c r="A99" s="472" t="str">
        <f t="shared" si="17"/>
        <v>TP</v>
      </c>
      <c r="B99" s="473">
        <f t="shared" si="25"/>
        <v>21</v>
      </c>
      <c r="C99" s="479" t="s">
        <v>1893</v>
      </c>
      <c r="D99" s="496" t="s">
        <v>333</v>
      </c>
      <c r="E99" s="8">
        <v>0</v>
      </c>
      <c r="F99" s="8">
        <v>0</v>
      </c>
      <c r="G99" s="25">
        <f t="array" ref="G99">SUM(IF("155"&amp;C99=KHN&amp;MH,SL))</f>
        <v>3150</v>
      </c>
      <c r="H99" s="25">
        <f t="array" ref="H99">SUM(IF("155"&amp;C99=KHN&amp;MH,TH))</f>
        <v>41026336</v>
      </c>
      <c r="I99" s="25">
        <f t="array" ref="I99">SUM(IF("155"&amp;C99=KHC&amp;MH,SL))</f>
        <v>3150</v>
      </c>
      <c r="J99" s="25">
        <f t="array" ref="J99">SUM(IF("155"&amp;C99=KHC&amp;MH,TH))</f>
        <v>41026336</v>
      </c>
      <c r="K99" s="8">
        <f t="shared" si="23"/>
        <v>0</v>
      </c>
      <c r="L99" s="8">
        <f t="shared" si="24"/>
        <v>0</v>
      </c>
      <c r="M99" s="463"/>
    </row>
    <row r="100" spans="1:19" ht="21" customHeight="1">
      <c r="A100" s="472" t="str">
        <f t="shared" si="17"/>
        <v>TP</v>
      </c>
      <c r="B100" s="473">
        <f t="shared" si="25"/>
        <v>22</v>
      </c>
      <c r="C100" s="479" t="s">
        <v>1669</v>
      </c>
      <c r="D100" s="496" t="s">
        <v>333</v>
      </c>
      <c r="E100" s="8">
        <v>0</v>
      </c>
      <c r="F100" s="8">
        <v>0</v>
      </c>
      <c r="G100" s="25">
        <f t="array" ref="G100">SUM(IF("155"&amp;C100=KHN&amp;MH,SL))</f>
        <v>320</v>
      </c>
      <c r="H100" s="25">
        <f t="array" ref="H100">SUM(IF("155"&amp;C100=KHN&amp;MH,TH))</f>
        <v>188497324</v>
      </c>
      <c r="I100" s="25">
        <f t="array" ref="I100">SUM(IF("155"&amp;C100=KHC&amp;MH,SL))</f>
        <v>320</v>
      </c>
      <c r="J100" s="25">
        <f t="array" ref="J100">SUM(IF("155"&amp;C100=KHC&amp;MH,TH))</f>
        <v>188497324</v>
      </c>
      <c r="K100" s="8">
        <f t="shared" si="23"/>
        <v>0</v>
      </c>
      <c r="L100" s="8">
        <f>F100+H100-J100</f>
        <v>0</v>
      </c>
      <c r="M100" s="463"/>
    </row>
    <row r="101" spans="1:19" ht="21" customHeight="1">
      <c r="A101" s="472" t="str">
        <f t="shared" si="17"/>
        <v>TP</v>
      </c>
      <c r="B101" s="473">
        <f t="shared" si="25"/>
        <v>23</v>
      </c>
      <c r="C101" s="479" t="s">
        <v>1665</v>
      </c>
      <c r="D101" s="496" t="s">
        <v>333</v>
      </c>
      <c r="E101" s="8">
        <v>0</v>
      </c>
      <c r="F101" s="8">
        <v>0</v>
      </c>
      <c r="G101" s="25">
        <f t="array" ref="G101">SUM(IF("155"&amp;C101=KHN&amp;MH,SL))</f>
        <v>870</v>
      </c>
      <c r="H101" s="25">
        <f t="array" ref="H101">SUM(IF("155"&amp;C101=KHN&amp;MH,TH))</f>
        <v>512477100</v>
      </c>
      <c r="I101" s="25">
        <f t="array" ref="I101">SUM(IF("155"&amp;C101=KHC&amp;MH,SL))</f>
        <v>870</v>
      </c>
      <c r="J101" s="25">
        <f t="array" ref="J101">SUM(IF("155"&amp;C101=KHC&amp;MH,TH))</f>
        <v>512477100</v>
      </c>
      <c r="K101" s="8">
        <f t="shared" si="23"/>
        <v>0</v>
      </c>
      <c r="L101" s="8">
        <f t="shared" si="24"/>
        <v>0</v>
      </c>
      <c r="M101" s="463"/>
    </row>
    <row r="102" spans="1:19" ht="21" customHeight="1">
      <c r="A102" s="472" t="str">
        <f t="shared" si="17"/>
        <v>TP</v>
      </c>
      <c r="B102" s="473">
        <f t="shared" si="25"/>
        <v>24</v>
      </c>
      <c r="C102" s="479" t="s">
        <v>1666</v>
      </c>
      <c r="D102" s="496" t="s">
        <v>333</v>
      </c>
      <c r="E102" s="8">
        <v>0</v>
      </c>
      <c r="F102" s="8">
        <v>0</v>
      </c>
      <c r="G102" s="25">
        <f t="array" ref="G102">SUM(IF("155"&amp;C102=KHN&amp;MH,SL))</f>
        <v>130</v>
      </c>
      <c r="H102" s="25">
        <f t="array" ref="H102">SUM(IF("155"&amp;C102=KHN&amp;MH,TH))</f>
        <v>76577038</v>
      </c>
      <c r="I102" s="25">
        <f t="array" ref="I102">SUM(IF("155"&amp;C102=KHC&amp;MH,SL))</f>
        <v>130</v>
      </c>
      <c r="J102" s="25">
        <f t="array" ref="J102">SUM(IF("155"&amp;C102=KHC&amp;MH,TH))</f>
        <v>76577038</v>
      </c>
      <c r="K102" s="8">
        <f t="shared" si="23"/>
        <v>0</v>
      </c>
      <c r="L102" s="8">
        <f t="shared" si="24"/>
        <v>0</v>
      </c>
      <c r="M102" s="463"/>
    </row>
    <row r="103" spans="1:19" ht="21" customHeight="1">
      <c r="A103" s="472" t="str">
        <f t="shared" si="17"/>
        <v>TP</v>
      </c>
      <c r="B103" s="473">
        <f t="shared" si="25"/>
        <v>25</v>
      </c>
      <c r="C103" s="479" t="s">
        <v>1661</v>
      </c>
      <c r="D103" s="496" t="s">
        <v>333</v>
      </c>
      <c r="E103" s="8">
        <v>0</v>
      </c>
      <c r="F103" s="8">
        <v>0</v>
      </c>
      <c r="G103" s="25">
        <f t="array" ref="G103">SUM(IF("155"&amp;C103=KHN&amp;MH,SL))</f>
        <v>690</v>
      </c>
      <c r="H103" s="25">
        <f t="array" ref="H103">SUM(IF("155"&amp;C103=KHN&amp;MH,TH))</f>
        <v>406447355</v>
      </c>
      <c r="I103" s="25">
        <f t="array" ref="I103">SUM(IF("155"&amp;C103=KHC&amp;MH,SL))</f>
        <v>690</v>
      </c>
      <c r="J103" s="25">
        <f t="array" ref="J103">SUM(IF("155"&amp;C103=KHC&amp;MH,TH))</f>
        <v>406447355</v>
      </c>
      <c r="K103" s="8">
        <f t="shared" si="23"/>
        <v>0</v>
      </c>
      <c r="L103" s="8">
        <f t="shared" si="24"/>
        <v>0</v>
      </c>
      <c r="M103" s="463"/>
      <c r="N103" s="497"/>
    </row>
    <row r="104" spans="1:19" ht="21" customHeight="1">
      <c r="A104" s="472" t="str">
        <f t="shared" si="17"/>
        <v>TP</v>
      </c>
      <c r="B104" s="473">
        <f t="shared" si="25"/>
        <v>26</v>
      </c>
      <c r="C104" s="479" t="s">
        <v>1667</v>
      </c>
      <c r="D104" s="496" t="s">
        <v>333</v>
      </c>
      <c r="E104" s="8">
        <v>0</v>
      </c>
      <c r="F104" s="8">
        <v>0</v>
      </c>
      <c r="G104" s="25">
        <f t="array" ref="G104">SUM(IF("155"&amp;C104=KHN&amp;MH,SL))</f>
        <v>250</v>
      </c>
      <c r="H104" s="25">
        <f t="array" ref="H104">SUM(IF("155"&amp;C104=KHN&amp;MH,TH))</f>
        <v>147263534</v>
      </c>
      <c r="I104" s="25">
        <f t="array" ref="I104">SUM(IF("155"&amp;C104=KHC&amp;MH,SL))</f>
        <v>250</v>
      </c>
      <c r="J104" s="25">
        <f t="array" ref="J104">SUM(IF("155"&amp;C104=KHC&amp;MH,TH))</f>
        <v>147263534</v>
      </c>
      <c r="K104" s="8">
        <f t="shared" si="23"/>
        <v>0</v>
      </c>
      <c r="L104" s="8">
        <f t="shared" si="24"/>
        <v>0</v>
      </c>
      <c r="M104" s="463"/>
      <c r="N104" s="497"/>
    </row>
    <row r="105" spans="1:19" ht="21" customHeight="1">
      <c r="A105" s="472" t="str">
        <f t="shared" si="17"/>
        <v>TP</v>
      </c>
      <c r="B105" s="473">
        <f t="shared" si="25"/>
        <v>27</v>
      </c>
      <c r="C105" s="479" t="s">
        <v>1662</v>
      </c>
      <c r="D105" s="496" t="s">
        <v>333</v>
      </c>
      <c r="E105" s="8">
        <v>0</v>
      </c>
      <c r="F105" s="8">
        <v>0</v>
      </c>
      <c r="G105" s="25">
        <f t="array" ref="G105">SUM(IF("155"&amp;C105=KHN&amp;MH,SL))</f>
        <v>500</v>
      </c>
      <c r="H105" s="25">
        <f t="array" ref="H105">SUM(IF("155"&amp;C105=KHN&amp;MH,TH))</f>
        <v>294527068</v>
      </c>
      <c r="I105" s="25">
        <f t="array" ref="I105">SUM(IF("155"&amp;C105=KHC&amp;MH,SL))</f>
        <v>500</v>
      </c>
      <c r="J105" s="25">
        <f t="array" ref="J105">SUM(IF("155"&amp;C105=KHC&amp;MH,TH))</f>
        <v>294527068</v>
      </c>
      <c r="K105" s="8">
        <f t="shared" si="23"/>
        <v>0</v>
      </c>
      <c r="L105" s="8">
        <f t="shared" si="24"/>
        <v>0</v>
      </c>
      <c r="M105" s="463"/>
      <c r="N105" s="497"/>
    </row>
    <row r="106" spans="1:19" ht="21" customHeight="1">
      <c r="A106" s="472" t="str">
        <f t="shared" si="17"/>
        <v>TP</v>
      </c>
      <c r="B106" s="473">
        <f t="shared" si="25"/>
        <v>28</v>
      </c>
      <c r="C106" s="479" t="s">
        <v>1663</v>
      </c>
      <c r="D106" s="496" t="s">
        <v>333</v>
      </c>
      <c r="E106" s="8">
        <v>0</v>
      </c>
      <c r="F106" s="8">
        <v>0</v>
      </c>
      <c r="G106" s="25">
        <f t="array" ref="G106">SUM(IF("155"&amp;C106=KHN&amp;MH,SL))</f>
        <v>560</v>
      </c>
      <c r="H106" s="25">
        <f t="array" ref="H106">SUM(IF("155"&amp;C106=KHN&amp;MH,TH))</f>
        <v>329870317</v>
      </c>
      <c r="I106" s="25">
        <f t="array" ref="I106">SUM(IF("155"&amp;C106=KHC&amp;MH,SL))</f>
        <v>560</v>
      </c>
      <c r="J106" s="25">
        <f t="array" ref="J106">SUM(IF("155"&amp;C106=KHC&amp;MH,TH))</f>
        <v>329870317</v>
      </c>
      <c r="K106" s="8">
        <f t="shared" si="23"/>
        <v>0</v>
      </c>
      <c r="L106" s="8">
        <f t="shared" si="24"/>
        <v>0</v>
      </c>
      <c r="M106" s="463"/>
    </row>
    <row r="107" spans="1:19" ht="21" customHeight="1">
      <c r="A107" s="472" t="str">
        <f t="shared" si="17"/>
        <v>TP</v>
      </c>
      <c r="B107" s="473">
        <f t="shared" si="25"/>
        <v>29</v>
      </c>
      <c r="C107" s="479" t="s">
        <v>1668</v>
      </c>
      <c r="D107" s="496" t="s">
        <v>333</v>
      </c>
      <c r="E107" s="8">
        <v>0</v>
      </c>
      <c r="F107" s="8">
        <v>0</v>
      </c>
      <c r="G107" s="25">
        <f t="array" ref="G107">SUM(IF("155"&amp;C107=KHN&amp;MH,SL))</f>
        <v>660</v>
      </c>
      <c r="H107" s="25">
        <f t="array" ref="H107">SUM(IF("155"&amp;C107=KHN&amp;MH,TH))</f>
        <v>388775730</v>
      </c>
      <c r="I107" s="25">
        <f t="array" ref="I107">SUM(IF("155"&amp;C107=KHC&amp;MH,SL))</f>
        <v>660</v>
      </c>
      <c r="J107" s="25">
        <f t="array" ref="J107">SUM(IF("155"&amp;C107=KHC&amp;MH,TH))</f>
        <v>388775730</v>
      </c>
      <c r="K107" s="8">
        <f t="shared" si="23"/>
        <v>0</v>
      </c>
      <c r="L107" s="8">
        <f t="shared" si="24"/>
        <v>0</v>
      </c>
      <c r="M107" s="463"/>
      <c r="N107" s="497"/>
    </row>
    <row r="108" spans="1:19" ht="21" customHeight="1">
      <c r="A108" s="472" t="str">
        <f t="shared" si="17"/>
        <v>TP</v>
      </c>
      <c r="B108" s="473">
        <f t="shared" si="25"/>
        <v>30</v>
      </c>
      <c r="C108" s="479" t="s">
        <v>1664</v>
      </c>
      <c r="D108" s="496" t="s">
        <v>333</v>
      </c>
      <c r="E108" s="8">
        <v>0</v>
      </c>
      <c r="F108" s="8">
        <v>0</v>
      </c>
      <c r="G108" s="25">
        <f t="array" ref="G108">SUM(IF("155"&amp;C108=KHN&amp;MH,SL))</f>
        <v>580</v>
      </c>
      <c r="H108" s="25">
        <f t="array" ref="H108">SUM(IF("155"&amp;C108=KHN&amp;MH,TH))</f>
        <v>341651400</v>
      </c>
      <c r="I108" s="25">
        <f t="array" ref="I108">SUM(IF("155"&amp;C108=KHC&amp;MH,SL))</f>
        <v>580</v>
      </c>
      <c r="J108" s="25">
        <f t="array" ref="J108">SUM(IF("155"&amp;C108=KHC&amp;MH,TH))</f>
        <v>341651400</v>
      </c>
      <c r="K108" s="8">
        <f t="shared" si="23"/>
        <v>0</v>
      </c>
      <c r="L108" s="8">
        <f t="shared" si="24"/>
        <v>0</v>
      </c>
      <c r="M108" s="463"/>
    </row>
    <row r="109" spans="1:19" ht="21" customHeight="1">
      <c r="A109" s="472" t="str">
        <f t="shared" si="17"/>
        <v>TP</v>
      </c>
      <c r="B109" s="473">
        <f>IF(C109&lt;&gt;"",B108+1,"")</f>
        <v>31</v>
      </c>
      <c r="C109" s="479" t="s">
        <v>1670</v>
      </c>
      <c r="D109" s="496" t="s">
        <v>333</v>
      </c>
      <c r="E109" s="8">
        <v>0</v>
      </c>
      <c r="F109" s="8">
        <v>0</v>
      </c>
      <c r="G109" s="25">
        <f t="array" ref="G109">SUM(IF("155"&amp;C109=KHN&amp;MH,SL))</f>
        <v>2000</v>
      </c>
      <c r="H109" s="25">
        <f t="array" ref="H109">SUM(IF("155"&amp;C109=KHN&amp;MH,TH))</f>
        <v>1181644051</v>
      </c>
      <c r="I109" s="25">
        <f t="array" ref="I109">SUM(IF("155"&amp;C109=KHC&amp;MH,SL))</f>
        <v>2000</v>
      </c>
      <c r="J109" s="25">
        <f t="array" ref="J109">SUM(IF("155"&amp;C109=KHC&amp;MH,TH))</f>
        <v>1181644051</v>
      </c>
      <c r="K109" s="8">
        <f>E109+G109-I109</f>
        <v>0</v>
      </c>
      <c r="L109" s="8">
        <f>F109+H109-J109</f>
        <v>0</v>
      </c>
      <c r="M109" s="463"/>
    </row>
    <row r="110" spans="1:19" ht="21" customHeight="1">
      <c r="A110" s="472" t="str">
        <f t="shared" si="17"/>
        <v>TP</v>
      </c>
      <c r="B110" s="473">
        <f t="shared" ref="B110:B118" si="26">IF(C110&lt;&gt;"",B109+1,"")</f>
        <v>32</v>
      </c>
      <c r="C110" s="479" t="s">
        <v>2534</v>
      </c>
      <c r="D110" s="496" t="s">
        <v>333</v>
      </c>
      <c r="E110" s="8">
        <v>0</v>
      </c>
      <c r="F110" s="8">
        <v>0</v>
      </c>
      <c r="G110" s="25">
        <f t="array" ref="G110">SUM(IF("155"&amp;C110=KHN&amp;MH,SL))</f>
        <v>110</v>
      </c>
      <c r="H110" s="25">
        <f t="array" ref="H110">SUM(IF("155"&amp;C110=KHN&amp;MH,TH))</f>
        <v>23374820</v>
      </c>
      <c r="I110" s="25">
        <f t="array" ref="I110">SUM(IF("155"&amp;C110=KHC&amp;MH,SL))</f>
        <v>110</v>
      </c>
      <c r="J110" s="25">
        <f t="array" ref="J110">SUM(IF("155"&amp;C110=KHC&amp;MH,TH))</f>
        <v>23374820</v>
      </c>
      <c r="K110" s="8">
        <f t="shared" ref="K110:K118" si="27">E110+G110-I110</f>
        <v>0</v>
      </c>
      <c r="L110" s="8">
        <f t="shared" ref="L110:L118" si="28">F110+H110-J110</f>
        <v>0</v>
      </c>
      <c r="M110" s="463"/>
    </row>
    <row r="111" spans="1:19" ht="21" customHeight="1">
      <c r="A111" s="472" t="str">
        <f t="shared" si="17"/>
        <v>TP</v>
      </c>
      <c r="B111" s="473">
        <f t="shared" si="26"/>
        <v>33</v>
      </c>
      <c r="C111" s="479" t="s">
        <v>2536</v>
      </c>
      <c r="D111" s="496" t="s">
        <v>333</v>
      </c>
      <c r="E111" s="8">
        <v>0</v>
      </c>
      <c r="F111" s="8">
        <v>0</v>
      </c>
      <c r="G111" s="25">
        <f t="array" ref="G111">SUM(IF("155"&amp;C111=KHN&amp;MH,SL))</f>
        <v>100</v>
      </c>
      <c r="H111" s="25">
        <f t="array" ref="H111">SUM(IF("155"&amp;C111=KHN&amp;MH,TH))</f>
        <v>19449836</v>
      </c>
      <c r="I111" s="25">
        <f t="array" ref="I111">SUM(IF("155"&amp;C111=KHC&amp;MH,SL))</f>
        <v>100</v>
      </c>
      <c r="J111" s="25">
        <f t="array" ref="J111">SUM(IF("155"&amp;C111=KHC&amp;MH,TH))</f>
        <v>19449836</v>
      </c>
      <c r="K111" s="8">
        <f t="shared" si="27"/>
        <v>0</v>
      </c>
      <c r="L111" s="8">
        <f t="shared" si="28"/>
        <v>0</v>
      </c>
      <c r="M111" s="463"/>
    </row>
    <row r="112" spans="1:19" ht="21" customHeight="1">
      <c r="A112" s="472" t="str">
        <f t="shared" si="17"/>
        <v>TP</v>
      </c>
      <c r="B112" s="473">
        <f t="shared" si="26"/>
        <v>34</v>
      </c>
      <c r="C112" s="479" t="s">
        <v>2535</v>
      </c>
      <c r="D112" s="496" t="s">
        <v>333</v>
      </c>
      <c r="E112" s="8">
        <v>0</v>
      </c>
      <c r="F112" s="8">
        <v>0</v>
      </c>
      <c r="G112" s="25">
        <f t="array" ref="G112">SUM(IF("155"&amp;C112=KHN&amp;MH,SL))</f>
        <v>100</v>
      </c>
      <c r="H112" s="25">
        <f t="array" ref="H112">SUM(IF("155"&amp;C112=KHN&amp;MH,TH))</f>
        <v>13225364</v>
      </c>
      <c r="I112" s="25">
        <f t="array" ref="I112">SUM(IF("155"&amp;C112=KHC&amp;MH,SL))</f>
        <v>100</v>
      </c>
      <c r="J112" s="25">
        <f t="array" ref="J112">SUM(IF("155"&amp;C112=KHC&amp;MH,TH))</f>
        <v>13225364</v>
      </c>
      <c r="K112" s="8">
        <f t="shared" si="27"/>
        <v>0</v>
      </c>
      <c r="L112" s="8">
        <f t="shared" si="28"/>
        <v>0</v>
      </c>
      <c r="M112" s="463"/>
    </row>
    <row r="113" spans="1:13" ht="21" customHeight="1">
      <c r="A113" s="472" t="str">
        <f t="shared" si="17"/>
        <v>TP</v>
      </c>
      <c r="B113" s="473">
        <f t="shared" si="26"/>
        <v>35</v>
      </c>
      <c r="C113" s="479" t="s">
        <v>2537</v>
      </c>
      <c r="D113" s="496" t="s">
        <v>333</v>
      </c>
      <c r="E113" s="8">
        <v>0</v>
      </c>
      <c r="F113" s="8">
        <v>0</v>
      </c>
      <c r="G113" s="25">
        <f t="array" ref="G113">SUM(IF("155"&amp;C113=KHN&amp;MH,SL))</f>
        <v>70</v>
      </c>
      <c r="H113" s="25">
        <f t="array" ref="H113">SUM(IF("155"&amp;C113=KHN&amp;MH,TH))</f>
        <v>9257755</v>
      </c>
      <c r="I113" s="25">
        <f t="array" ref="I113">SUM(IF("155"&amp;C113=KHC&amp;MH,SL))</f>
        <v>70</v>
      </c>
      <c r="J113" s="25">
        <f t="array" ref="J113">SUM(IF("155"&amp;C113=KHC&amp;MH,TH))</f>
        <v>9257755</v>
      </c>
      <c r="K113" s="8">
        <f t="shared" si="27"/>
        <v>0</v>
      </c>
      <c r="L113" s="8">
        <f t="shared" si="28"/>
        <v>0</v>
      </c>
      <c r="M113" s="463"/>
    </row>
    <row r="114" spans="1:13" ht="21" customHeight="1">
      <c r="A114" s="472" t="str">
        <f t="shared" si="17"/>
        <v>TP</v>
      </c>
      <c r="B114" s="473">
        <f t="shared" si="26"/>
        <v>36</v>
      </c>
      <c r="C114" s="479" t="s">
        <v>2538</v>
      </c>
      <c r="D114" s="496" t="s">
        <v>333</v>
      </c>
      <c r="E114" s="8">
        <v>0</v>
      </c>
      <c r="F114" s="8">
        <v>0</v>
      </c>
      <c r="G114" s="25">
        <f t="array" ref="G114">SUM(IF("155"&amp;C114=KHN&amp;MH,SL))</f>
        <v>30</v>
      </c>
      <c r="H114" s="25">
        <f t="array" ref="H114">SUM(IF("155"&amp;C114=KHN&amp;MH,TH))</f>
        <v>2804318</v>
      </c>
      <c r="I114" s="25">
        <f t="array" ref="I114">SUM(IF("155"&amp;C114=KHC&amp;MH,SL))</f>
        <v>30</v>
      </c>
      <c r="J114" s="25">
        <f t="array" ref="J114">SUM(IF("155"&amp;C114=KHC&amp;MH,TH))</f>
        <v>2804318</v>
      </c>
      <c r="K114" s="8">
        <f t="shared" si="27"/>
        <v>0</v>
      </c>
      <c r="L114" s="8">
        <f t="shared" si="28"/>
        <v>0</v>
      </c>
      <c r="M114" s="463"/>
    </row>
    <row r="115" spans="1:13" ht="21" customHeight="1">
      <c r="A115" s="472" t="str">
        <f t="shared" si="17"/>
        <v>TP</v>
      </c>
      <c r="B115" s="473">
        <f t="shared" si="26"/>
        <v>37</v>
      </c>
      <c r="C115" s="479" t="s">
        <v>2539</v>
      </c>
      <c r="D115" s="496" t="s">
        <v>333</v>
      </c>
      <c r="E115" s="8">
        <v>0</v>
      </c>
      <c r="F115" s="8">
        <v>0</v>
      </c>
      <c r="G115" s="25">
        <f t="array" ref="G115">SUM(IF("155"&amp;C115=KHN&amp;MH,SL))</f>
        <v>50</v>
      </c>
      <c r="H115" s="25">
        <f t="array" ref="H115">SUM(IF("155"&amp;C115=KHN&amp;MH,TH))</f>
        <v>26519327</v>
      </c>
      <c r="I115" s="25">
        <f t="array" ref="I115">SUM(IF("155"&amp;C115=KHC&amp;MH,SL))</f>
        <v>50</v>
      </c>
      <c r="J115" s="25">
        <f t="array" ref="J115">SUM(IF("155"&amp;C115=KHC&amp;MH,TH))</f>
        <v>26519327</v>
      </c>
      <c r="K115" s="8">
        <f t="shared" si="27"/>
        <v>0</v>
      </c>
      <c r="L115" s="8">
        <f t="shared" si="28"/>
        <v>0</v>
      </c>
      <c r="M115" s="463"/>
    </row>
    <row r="116" spans="1:13" ht="21" customHeight="1">
      <c r="A116" s="472" t="str">
        <f t="shared" si="17"/>
        <v>TP</v>
      </c>
      <c r="B116" s="473">
        <f t="shared" si="26"/>
        <v>38</v>
      </c>
      <c r="C116" s="479" t="s">
        <v>2540</v>
      </c>
      <c r="D116" s="496" t="s">
        <v>333</v>
      </c>
      <c r="E116" s="8">
        <v>0</v>
      </c>
      <c r="F116" s="8">
        <v>0</v>
      </c>
      <c r="G116" s="25">
        <f t="array" ref="G116">SUM(IF("155"&amp;C116=KHN&amp;MH,SL))</f>
        <v>3</v>
      </c>
      <c r="H116" s="25">
        <f t="array" ref="H116">SUM(IF("155"&amp;C116=KHN&amp;MH,TH))</f>
        <v>1167992</v>
      </c>
      <c r="I116" s="25">
        <f t="array" ref="I116">SUM(IF("155"&amp;C116=KHC&amp;MH,SL))</f>
        <v>3</v>
      </c>
      <c r="J116" s="25">
        <f t="array" ref="J116">SUM(IF("155"&amp;C116=KHC&amp;MH,TH))</f>
        <v>1167992</v>
      </c>
      <c r="K116" s="8">
        <f t="shared" si="27"/>
        <v>0</v>
      </c>
      <c r="L116" s="8">
        <f t="shared" si="28"/>
        <v>0</v>
      </c>
      <c r="M116" s="463"/>
    </row>
    <row r="117" spans="1:13" ht="21" customHeight="1">
      <c r="A117" s="472" t="str">
        <f t="shared" si="17"/>
        <v>TP</v>
      </c>
      <c r="B117" s="473">
        <f t="shared" si="26"/>
        <v>39</v>
      </c>
      <c r="C117" s="479" t="s">
        <v>2541</v>
      </c>
      <c r="D117" s="496" t="s">
        <v>333</v>
      </c>
      <c r="E117" s="8">
        <v>0</v>
      </c>
      <c r="F117" s="8">
        <v>0</v>
      </c>
      <c r="G117" s="25">
        <f t="array" ref="G117">SUM(IF("155"&amp;C117=KHN&amp;MH,SL))</f>
        <v>223</v>
      </c>
      <c r="H117" s="25">
        <f t="array" ref="H117">SUM(IF("155"&amp;C117=KHN&amp;MH,TH))</f>
        <v>29489471</v>
      </c>
      <c r="I117" s="25">
        <f t="array" ref="I117">SUM(IF("155"&amp;C117=KHC&amp;MH,SL))</f>
        <v>223</v>
      </c>
      <c r="J117" s="25">
        <f t="array" ref="J117">SUM(IF("155"&amp;C117=KHC&amp;MH,TH))</f>
        <v>29489471</v>
      </c>
      <c r="K117" s="8">
        <f t="shared" si="27"/>
        <v>0</v>
      </c>
      <c r="L117" s="8">
        <f t="shared" si="28"/>
        <v>0</v>
      </c>
      <c r="M117" s="463"/>
    </row>
    <row r="118" spans="1:13" ht="21" customHeight="1">
      <c r="A118" s="472" t="str">
        <f t="shared" si="17"/>
        <v>TP</v>
      </c>
      <c r="B118" s="473">
        <f t="shared" si="26"/>
        <v>40</v>
      </c>
      <c r="C118" s="479" t="s">
        <v>2905</v>
      </c>
      <c r="D118" s="496" t="s">
        <v>333</v>
      </c>
      <c r="E118" s="8">
        <v>0</v>
      </c>
      <c r="F118" s="8">
        <v>0</v>
      </c>
      <c r="G118" s="25">
        <f t="array" ref="G118">SUM(IF("155"&amp;C118=KHN&amp;MH,SL))</f>
        <v>113</v>
      </c>
      <c r="H118" s="25">
        <f t="array" ref="H118">SUM(IF("155"&amp;C118=KHN&amp;MH,TH))</f>
        <v>14941571</v>
      </c>
      <c r="I118" s="25">
        <f t="array" ref="I118">SUM(IF("155"&amp;C118=KHC&amp;MH,SL))</f>
        <v>113</v>
      </c>
      <c r="J118" s="25">
        <f t="array" ref="J118">SUM(IF("155"&amp;C118=KHC&amp;MH,TH))</f>
        <v>14941571</v>
      </c>
      <c r="K118" s="8">
        <f t="shared" si="27"/>
        <v>0</v>
      </c>
      <c r="L118" s="8">
        <f t="shared" si="28"/>
        <v>0</v>
      </c>
      <c r="M118" s="463"/>
    </row>
    <row r="119" spans="1:13" ht="18.75" customHeight="1">
      <c r="A119" s="472" t="str">
        <f t="shared" si="17"/>
        <v/>
      </c>
      <c r="B119" s="473"/>
      <c r="C119" s="479"/>
      <c r="D119" s="496"/>
      <c r="E119" s="8"/>
      <c r="F119" s="8"/>
      <c r="G119" s="25"/>
      <c r="H119" s="25"/>
      <c r="I119" s="25"/>
      <c r="J119" s="25"/>
      <c r="K119" s="8"/>
      <c r="L119" s="8"/>
      <c r="M119" s="463"/>
    </row>
    <row r="120" spans="1:13" ht="18.75" customHeight="1">
      <c r="A120" s="472" t="str">
        <f t="shared" si="17"/>
        <v/>
      </c>
      <c r="B120" s="469"/>
      <c r="C120" s="492" t="s">
        <v>445</v>
      </c>
      <c r="D120" s="469"/>
      <c r="E120" s="13">
        <f t="shared" ref="E120:L120" si="29">SUM(E79:E119)</f>
        <v>73584</v>
      </c>
      <c r="F120" s="13">
        <f t="shared" si="29"/>
        <v>9386323824</v>
      </c>
      <c r="G120" s="13">
        <f t="shared" si="29"/>
        <v>2618858.5</v>
      </c>
      <c r="H120" s="13">
        <f t="shared" si="29"/>
        <v>184759580679.5</v>
      </c>
      <c r="I120" s="13">
        <f t="shared" si="29"/>
        <v>2667976.7000000002</v>
      </c>
      <c r="J120" s="13">
        <f t="shared" si="29"/>
        <v>190677395204.5</v>
      </c>
      <c r="K120" s="13">
        <f t="shared" si="29"/>
        <v>24465.8</v>
      </c>
      <c r="L120" s="13">
        <f t="shared" si="29"/>
        <v>3468509299</v>
      </c>
      <c r="M120" s="463"/>
    </row>
    <row r="121" spans="1:13" ht="18.75" customHeight="1">
      <c r="A121" s="472" t="str">
        <f t="shared" si="17"/>
        <v/>
      </c>
      <c r="B121" s="910"/>
      <c r="C121" s="910"/>
      <c r="D121" s="909"/>
      <c r="E121" s="911"/>
      <c r="F121" s="911">
        <f>F120-CĐPS!C26</f>
        <v>0</v>
      </c>
      <c r="G121" s="911"/>
      <c r="H121" s="911">
        <f>H120-CĐPS!E26</f>
        <v>0</v>
      </c>
      <c r="I121" s="911"/>
      <c r="J121" s="911">
        <f>J120-CĐPS!F26</f>
        <v>0</v>
      </c>
      <c r="K121" s="911"/>
      <c r="L121" s="911">
        <f>L120-CĐPS!G26</f>
        <v>0</v>
      </c>
      <c r="M121" s="463"/>
    </row>
    <row r="122" spans="1:13" ht="11.25" customHeight="1">
      <c r="M122" s="463"/>
    </row>
    <row r="123" spans="1:13" ht="11.25" customHeight="1">
      <c r="M123" s="463"/>
    </row>
    <row r="124" spans="1:13" ht="11.25" customHeight="1">
      <c r="C124" s="1435"/>
      <c r="D124" s="1435"/>
      <c r="E124" s="1435"/>
      <c r="F124" s="501"/>
      <c r="G124" s="501"/>
      <c r="H124" s="501"/>
      <c r="I124" s="501"/>
      <c r="J124" s="1435" t="s">
        <v>449</v>
      </c>
      <c r="K124" s="1435"/>
      <c r="L124" s="1435"/>
      <c r="M124" s="463"/>
    </row>
    <row r="125" spans="1:13" ht="11.25" customHeight="1">
      <c r="C125" s="502"/>
      <c r="D125" s="502"/>
      <c r="E125" s="502"/>
      <c r="F125" s="1435"/>
      <c r="G125" s="1435"/>
      <c r="H125" s="1435"/>
      <c r="I125" s="501"/>
      <c r="J125" s="1435" t="s">
        <v>128</v>
      </c>
      <c r="K125" s="1435"/>
      <c r="L125" s="1435"/>
      <c r="M125" s="463"/>
    </row>
    <row r="126" spans="1:13" ht="11.25" customHeight="1">
      <c r="C126" s="502"/>
      <c r="D126" s="502"/>
      <c r="E126" s="502"/>
      <c r="F126" s="1435"/>
      <c r="G126" s="1435"/>
      <c r="H126" s="1435"/>
      <c r="I126" s="463"/>
      <c r="J126" s="1435" t="s">
        <v>158</v>
      </c>
      <c r="K126" s="1435"/>
      <c r="L126" s="1435"/>
      <c r="M126" s="463"/>
    </row>
    <row r="127" spans="1:13" ht="11.25" customHeight="1">
      <c r="M127" s="463"/>
    </row>
    <row r="128" spans="1:13" ht="11.25" customHeight="1">
      <c r="M128" s="463"/>
    </row>
    <row r="129" spans="13:13" ht="11.25" customHeight="1">
      <c r="M129" s="463"/>
    </row>
    <row r="130" spans="13:13" ht="11.25" customHeight="1">
      <c r="M130" s="463"/>
    </row>
  </sheetData>
  <autoFilter ref="B11:O121"/>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6:H126"/>
    <mergeCell ref="J126:L126"/>
    <mergeCell ref="S8:S10"/>
    <mergeCell ref="C124:E124"/>
    <mergeCell ref="J124:L124"/>
    <mergeCell ref="F125:H125"/>
    <mergeCell ref="J125:L125"/>
  </mergeCells>
  <printOptions horizontalCentered="1"/>
  <pageMargins left="0" right="0" top="0" bottom="0" header="0" footer="0"/>
  <pageSetup scale="75" orientation="portrait" r:id="rId1"/>
  <headerFooter alignWithMargins="0"/>
</worksheet>
</file>

<file path=xl/worksheets/sheet17.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41" customWidth="1"/>
    <col min="2" max="2" width="8.5703125" style="541" customWidth="1"/>
    <col min="3" max="3" width="11" style="541" customWidth="1"/>
    <col min="4" max="4" width="41.7109375" style="541" customWidth="1"/>
    <col min="5" max="5" width="8" style="554" customWidth="1"/>
    <col min="6" max="6" width="8.85546875" style="541" customWidth="1"/>
    <col min="7" max="7" width="9" style="541" customWidth="1"/>
    <col min="8" max="8" width="14.140625" style="541" customWidth="1"/>
    <col min="9" max="9" width="8.85546875" style="541" customWidth="1"/>
    <col min="10" max="10" width="13.42578125" style="541" customWidth="1"/>
    <col min="11" max="11" width="10.140625" style="541" customWidth="1"/>
    <col min="12" max="12" width="14.140625" style="541" customWidth="1"/>
    <col min="13" max="13" width="7.140625" style="541" customWidth="1"/>
    <col min="14" max="14" width="2" style="541" customWidth="1"/>
    <col min="15" max="15" width="5.5703125" style="541" customWidth="1"/>
    <col min="16" max="16" width="4.42578125" style="541" customWidth="1"/>
    <col min="17" max="16384" width="23.85546875" style="541"/>
  </cols>
  <sheetData>
    <row r="1" spans="1:17">
      <c r="A1" s="540" t="s">
        <v>467</v>
      </c>
      <c r="E1" s="541"/>
      <c r="O1" s="542"/>
    </row>
    <row r="2" spans="1:17" s="419" customFormat="1" ht="16.5" customHeight="1">
      <c r="B2" s="543" t="s">
        <v>310</v>
      </c>
      <c r="C2" s="544"/>
      <c r="D2" s="545"/>
      <c r="E2" s="546"/>
      <c r="F2" s="2"/>
      <c r="J2" s="1469" t="s">
        <v>468</v>
      </c>
      <c r="K2" s="1469"/>
      <c r="L2" s="1469"/>
      <c r="M2" s="1469"/>
      <c r="N2" s="547"/>
    </row>
    <row r="3" spans="1:17" s="419" customFormat="1" ht="16.5" customHeight="1">
      <c r="B3" s="543" t="s">
        <v>312</v>
      </c>
      <c r="C3" s="543"/>
      <c r="D3" s="543"/>
      <c r="E3" s="548"/>
      <c r="F3" s="543"/>
      <c r="J3" s="1470" t="s">
        <v>48</v>
      </c>
      <c r="K3" s="1470"/>
      <c r="L3" s="1470"/>
      <c r="M3" s="1470"/>
      <c r="N3" s="549"/>
    </row>
    <row r="4" spans="1:17" s="419" customFormat="1" ht="16.5" customHeight="1">
      <c r="B4" s="543"/>
      <c r="C4" s="543"/>
      <c r="D4" s="543"/>
      <c r="E4" s="548"/>
      <c r="F4" s="543"/>
      <c r="J4" s="1470"/>
      <c r="K4" s="1470"/>
      <c r="L4" s="1470"/>
      <c r="M4" s="1470"/>
      <c r="N4" s="549"/>
    </row>
    <row r="5" spans="1:17" ht="18.75" customHeight="1">
      <c r="B5" s="1471" t="s">
        <v>469</v>
      </c>
      <c r="C5" s="1471"/>
      <c r="D5" s="1471"/>
      <c r="E5" s="1471"/>
      <c r="F5" s="1471"/>
      <c r="G5" s="1471"/>
      <c r="H5" s="1471"/>
      <c r="I5" s="1471"/>
      <c r="J5" s="1471"/>
      <c r="K5" s="1471"/>
      <c r="L5" s="1471"/>
      <c r="M5" s="1471"/>
      <c r="N5" s="550"/>
    </row>
    <row r="6" spans="1:17" s="551" customFormat="1" ht="12.75">
      <c r="B6" s="1472" t="s">
        <v>470</v>
      </c>
      <c r="C6" s="1472"/>
      <c r="D6" s="1472"/>
      <c r="E6" s="1472"/>
      <c r="F6" s="1472"/>
      <c r="G6" s="1472"/>
      <c r="H6" s="1472"/>
      <c r="I6" s="1472"/>
      <c r="J6" s="1472"/>
      <c r="K6" s="1472"/>
      <c r="L6" s="1472"/>
      <c r="M6" s="1472"/>
      <c r="N6" s="552"/>
    </row>
    <row r="7" spans="1:17">
      <c r="C7" s="553"/>
      <c r="D7" s="553"/>
      <c r="F7" s="555" t="s">
        <v>909</v>
      </c>
      <c r="G7" s="893" t="str">
        <f>IF($O$10="VL","1522",IF($O$10="NL","1521",IF($O$10="TP","155","")))</f>
        <v>1522</v>
      </c>
      <c r="H7" s="555" t="s">
        <v>471</v>
      </c>
      <c r="I7" s="553" t="str">
        <f>IF($O$10="NL","Nguyên Liệu",IF($O$10="TP","Thành Phẩm",IF($O$10="VL","Vật Liệu","")))</f>
        <v>Vật Liệu</v>
      </c>
      <c r="J7" s="553"/>
      <c r="K7" s="553"/>
      <c r="L7" s="553"/>
      <c r="M7" s="553"/>
      <c r="N7" s="554"/>
    </row>
    <row r="8" spans="1:17">
      <c r="B8" s="554"/>
      <c r="C8" s="553"/>
      <c r="D8" s="553"/>
      <c r="F8" s="554" t="s">
        <v>472</v>
      </c>
      <c r="H8" s="553"/>
      <c r="I8" s="553"/>
      <c r="J8" s="1473" t="s">
        <v>2495</v>
      </c>
      <c r="K8" s="1473"/>
      <c r="L8" s="1473"/>
      <c r="M8" s="553"/>
      <c r="N8" s="553"/>
    </row>
    <row r="9" spans="1:17">
      <c r="D9" s="556"/>
      <c r="E9" s="557"/>
      <c r="F9" s="556"/>
      <c r="G9" s="556"/>
      <c r="H9" s="556"/>
      <c r="I9" s="556"/>
      <c r="J9" s="556"/>
      <c r="K9" s="556" t="s">
        <v>145</v>
      </c>
      <c r="M9" s="558"/>
      <c r="N9" s="559"/>
    </row>
    <row r="10" spans="1:17" ht="15.75" customHeight="1">
      <c r="A10" s="1475" t="s">
        <v>35</v>
      </c>
      <c r="B10" s="1476" t="s">
        <v>1</v>
      </c>
      <c r="C10" s="1476"/>
      <c r="D10" s="1477" t="s">
        <v>0</v>
      </c>
      <c r="E10" s="1477" t="s">
        <v>473</v>
      </c>
      <c r="F10" s="1477" t="s">
        <v>460</v>
      </c>
      <c r="G10" s="1479" t="s">
        <v>474</v>
      </c>
      <c r="H10" s="1480"/>
      <c r="I10" s="1479" t="s">
        <v>475</v>
      </c>
      <c r="J10" s="1480"/>
      <c r="K10" s="1479" t="s">
        <v>476</v>
      </c>
      <c r="L10" s="1480"/>
      <c r="M10" s="1477" t="s">
        <v>149</v>
      </c>
      <c r="N10" s="560"/>
      <c r="O10" s="561" t="s">
        <v>477</v>
      </c>
    </row>
    <row r="11" spans="1:17" ht="31.5" customHeight="1">
      <c r="A11" s="1475"/>
      <c r="B11" s="562" t="s">
        <v>16</v>
      </c>
      <c r="C11" s="562" t="s">
        <v>32</v>
      </c>
      <c r="D11" s="1477"/>
      <c r="E11" s="1477"/>
      <c r="F11" s="1477"/>
      <c r="G11" s="562" t="s">
        <v>459</v>
      </c>
      <c r="H11" s="562" t="s">
        <v>461</v>
      </c>
      <c r="I11" s="562" t="s">
        <v>459</v>
      </c>
      <c r="J11" s="562" t="s">
        <v>461</v>
      </c>
      <c r="K11" s="562" t="s">
        <v>459</v>
      </c>
      <c r="L11" s="562" t="s">
        <v>461</v>
      </c>
      <c r="M11" s="1477"/>
      <c r="N11" s="560"/>
    </row>
    <row r="12" spans="1:17" s="554" customFormat="1">
      <c r="A12" s="563"/>
      <c r="B12" s="564" t="s">
        <v>2</v>
      </c>
      <c r="C12" s="565" t="s">
        <v>3</v>
      </c>
      <c r="D12" s="565" t="s">
        <v>4</v>
      </c>
      <c r="E12" s="564" t="s">
        <v>5</v>
      </c>
      <c r="F12" s="564">
        <v>1</v>
      </c>
      <c r="G12" s="564">
        <v>2</v>
      </c>
      <c r="H12" s="564" t="s">
        <v>478</v>
      </c>
      <c r="I12" s="564">
        <v>4</v>
      </c>
      <c r="J12" s="564" t="s">
        <v>479</v>
      </c>
      <c r="K12" s="564">
        <v>6</v>
      </c>
      <c r="L12" s="564" t="s">
        <v>480</v>
      </c>
      <c r="M12" s="564"/>
      <c r="N12" s="566"/>
    </row>
    <row r="13" spans="1:17">
      <c r="A13" s="567"/>
      <c r="B13" s="567"/>
      <c r="C13" s="567"/>
      <c r="D13" s="568" t="s">
        <v>170</v>
      </c>
      <c r="E13" s="569"/>
      <c r="F13" s="570"/>
      <c r="G13" s="570"/>
      <c r="H13" s="570"/>
      <c r="I13" s="570"/>
      <c r="J13" s="570"/>
      <c r="K13" s="571">
        <f>VLOOKUP($J$8,NXT!$C$12:$L$119,3,0)</f>
        <v>0</v>
      </c>
      <c r="L13" s="571">
        <f>VLOOKUP($J$8,NXT!$C$12:$L$119,4,0)</f>
        <v>0</v>
      </c>
      <c r="M13" s="570"/>
      <c r="N13" s="566"/>
    </row>
    <row r="14" spans="1:17">
      <c r="A14" s="524">
        <f ca="1">IF(B14="","",ROW()-13)</f>
        <v>1</v>
      </c>
      <c r="B14" s="572" t="str">
        <f ca="1">IF(ROWS($1:1)&gt;COUNT(Dong11),"",OFFSET(TH!D$1,SMALL(Dong11,ROWS($1:1)),))</f>
        <v>VL/N03</v>
      </c>
      <c r="C14" s="573">
        <f ca="1">IF(ROWS($1:1)&gt;COUNT(Dong11),"",OFFSET(TH!E$1,SMALL(Dong11,ROWS($1:1)),))</f>
        <v>42683</v>
      </c>
      <c r="D14" s="574" t="str">
        <f ca="1">IF(ROWS($1:1)&gt;COUNT(Dong11),"",OFFSET(TH!F$1,SMALL(Dong11,ROWS($1:1)),)&amp;" - "&amp;OFFSET(TH!H$1,SMALL(Dong11,ROWS($1:1)),))</f>
        <v>Thùng carton 50x29.5x19 - Cty TNHH Bao Bì Giấy Kim Dung Phát</v>
      </c>
      <c r="E14" s="572" t="str">
        <f ca="1">IF(ROWS($1:1)&gt;COUNT(Dong11),"",IF(OFFSET(TH!N$1,SMALL(Dong11,ROWS($1:1)),)=$G$7,OFFSET(TH!O$1,SMALL(Dong11,ROWS($1:1)),),OFFSET(TH!N$1,SMALL(Dong11,ROWS($1:1)),)))</f>
        <v>331</v>
      </c>
      <c r="F14" s="575">
        <f ca="1">IF(ROWS($1:1)&gt;COUNT(Dong11),0,OFFSET(TH!J$1,SMALL(Dong11,ROWS($1:1)),))</f>
        <v>4500</v>
      </c>
      <c r="G14" s="575">
        <f ca="1">IF(ROWS($1:1)&gt;COUNT(Dong11),0,IF(MID(OFFSET(TH!D$1,SMALL(Dong11,ROWS($1:1)),),4,1)="N",OFFSET(TH!I$1,SMALL(Dong11,ROWS($1:1)),),0))</f>
        <v>4000</v>
      </c>
      <c r="H14" s="576">
        <f ca="1">ROUND(F14*G14,0)</f>
        <v>18000000</v>
      </c>
      <c r="I14" s="575">
        <f ca="1">IF(ROWS($1:1)&gt;COUNT(Dong11),0,IF(MID(OFFSET(TH!D$1,SMALL(Dong11,ROWS($1:1)),),4,1)="X",OFFSET(TH!I$1,SMALL(Dong11,ROWS($1:1)),),0))</f>
        <v>0</v>
      </c>
      <c r="J14" s="576">
        <f ca="1">ROUND(F14*I14,0)</f>
        <v>0</v>
      </c>
      <c r="K14" s="576">
        <f ca="1">IF(D14&lt;&gt;"",K13+G14-I14,0)</f>
        <v>4000</v>
      </c>
      <c r="L14" s="576">
        <f ca="1">IF(D14&lt;&gt;"",L13+H14-J14,0)</f>
        <v>18000000</v>
      </c>
      <c r="M14" s="576"/>
      <c r="N14" s="566"/>
    </row>
    <row r="15" spans="1:17">
      <c r="A15" s="524">
        <f t="shared" ref="A15:A30" ca="1" si="0">IF(B15="","",A14+1)</f>
        <v>2</v>
      </c>
      <c r="B15" s="572" t="str">
        <f ca="1">IF(ROWS($1:2)&gt;COUNT(Dong11),"",OFFSET(TH!D$1,SMALL(Dong11,ROWS($1:2)),))</f>
        <v>VL/N04</v>
      </c>
      <c r="C15" s="573">
        <f ca="1">IF(ROWS($1:2)&gt;COUNT(Dong11),"",OFFSET(TH!E$1,SMALL(Dong11,ROWS($1:2)),))</f>
        <v>42684</v>
      </c>
      <c r="D15" s="574" t="str">
        <f ca="1">IF(ROWS($1:2)&gt;COUNT(Dong11),"",OFFSET(TH!F$1,SMALL(Dong11,ROWS($1:2)),)&amp;" - "&amp;OFFSET(TH!H$1,SMALL(Dong11,ROWS($1:2)),))</f>
        <v>Thùng carton 50x29.5x19 - Cty TNHH Bao Bì Giấy Kim Dung Phát</v>
      </c>
      <c r="E15" s="572" t="str">
        <f ca="1">IF(ROWS($1:2)&gt;COUNT(Dong11),"",IF(OFFSET(TH!N$1,SMALL(Dong11,ROWS($1:2)),)=$G$7,OFFSET(TH!O$1,SMALL(Dong11,ROWS($1:2)),),OFFSET(TH!N$1,SMALL(Dong11,ROWS($1:2)),)))</f>
        <v>331</v>
      </c>
      <c r="F15" s="575">
        <f ca="1">IF(ROWS($1:2)&gt;COUNT(Dong11),0,OFFSET(TH!J$1,SMALL(Dong11,ROWS($1:2)),))</f>
        <v>4500</v>
      </c>
      <c r="G15" s="575">
        <f ca="1">IF(ROWS($1:2)&gt;COUNT(Dong11),0,IF(MID(OFFSET(TH!D$1,SMALL(Dong11,ROWS($1:2)),),4,1)="N",OFFSET(TH!I$1,SMALL(Dong11,ROWS($1:2)),),0))</f>
        <v>4000</v>
      </c>
      <c r="H15" s="576">
        <f t="shared" ref="H15:H30" ca="1" si="1">ROUND(F15*G15,0)</f>
        <v>18000000</v>
      </c>
      <c r="I15" s="575">
        <f ca="1">IF(ROWS($1:2)&gt;COUNT(Dong11),0,IF(MID(OFFSET(TH!D$1,SMALL(Dong11,ROWS($1:2)),),4,1)="X",OFFSET(TH!I$1,SMALL(Dong11,ROWS($1:2)),),0))</f>
        <v>0</v>
      </c>
      <c r="J15" s="576">
        <f t="shared" ref="J15:J30" ca="1" si="2">ROUND(F15*I15,0)</f>
        <v>0</v>
      </c>
      <c r="K15" s="576">
        <f ca="1">IF(D15&lt;&gt;"",K14+G15-I15,0)</f>
        <v>8000</v>
      </c>
      <c r="L15" s="576">
        <f ca="1">IF(D15&lt;&gt;"",L14+H15-J15,0)</f>
        <v>36000000</v>
      </c>
      <c r="M15" s="576"/>
      <c r="N15" s="566"/>
      <c r="Q15" s="577"/>
    </row>
    <row r="16" spans="1:17">
      <c r="A16" s="524">
        <f t="shared" ca="1" si="0"/>
        <v>3</v>
      </c>
      <c r="B16" s="572" t="str">
        <f ca="1">IF(ROWS($1:3)&gt;COUNT(Dong11),"",OFFSET(TH!D$1,SMALL(Dong11,ROWS($1:3)),))</f>
        <v>VL/N08</v>
      </c>
      <c r="C16" s="573">
        <f ca="1">IF(ROWS($1:3)&gt;COUNT(Dong11),"",OFFSET(TH!E$1,SMALL(Dong11,ROWS($1:3)),))</f>
        <v>42689</v>
      </c>
      <c r="D16" s="574" t="str">
        <f ca="1">IF(ROWS($1:3)&gt;COUNT(Dong11),"",OFFSET(TH!F$1,SMALL(Dong11,ROWS($1:3)),)&amp;" - "&amp;OFFSET(TH!H$1,SMALL(Dong11,ROWS($1:3)),))</f>
        <v xml:space="preserve">Thùng carton 50x29.5x19 - Cty TNHH SX TM Kim Dung Phát </v>
      </c>
      <c r="E16" s="572" t="str">
        <f ca="1">IF(ROWS($1:3)&gt;COUNT(Dong11),"",IF(OFFSET(TH!N$1,SMALL(Dong11,ROWS($1:3)),)=$G$7,OFFSET(TH!O$1,SMALL(Dong11,ROWS($1:3)),),OFFSET(TH!N$1,SMALL(Dong11,ROWS($1:3)),)))</f>
        <v>331</v>
      </c>
      <c r="F16" s="575">
        <f ca="1">IF(ROWS($1:3)&gt;COUNT(Dong11),0,OFFSET(TH!J$1,SMALL(Dong11,ROWS($1:3)),))</f>
        <v>4500</v>
      </c>
      <c r="G16" s="575">
        <f ca="1">IF(ROWS($1:3)&gt;COUNT(Dong11),0,IF(MID(OFFSET(TH!D$1,SMALL(Dong11,ROWS($1:3)),),4,1)="N",OFFSET(TH!I$1,SMALL(Dong11,ROWS($1:3)),),0))</f>
        <v>3900</v>
      </c>
      <c r="H16" s="576">
        <f t="shared" ca="1" si="1"/>
        <v>17550000</v>
      </c>
      <c r="I16" s="575">
        <f ca="1">IF(ROWS($1:3)&gt;COUNT(Dong11),0,IF(MID(OFFSET(TH!D$1,SMALL(Dong11,ROWS($1:3)),),4,1)="X",OFFSET(TH!I$1,SMALL(Dong11,ROWS($1:3)),),0))</f>
        <v>0</v>
      </c>
      <c r="J16" s="576">
        <f t="shared" ca="1" si="2"/>
        <v>0</v>
      </c>
      <c r="K16" s="576">
        <f ca="1">IF(D16&lt;&gt;"",K15+G16-I16,0)</f>
        <v>11900</v>
      </c>
      <c r="L16" s="576">
        <f ca="1">IF(D16&lt;&gt;"",L15+H16-J16,0)</f>
        <v>53550000</v>
      </c>
      <c r="M16" s="576"/>
      <c r="N16" s="566"/>
    </row>
    <row r="17" spans="1:18">
      <c r="A17" s="524">
        <f t="shared" ca="1" si="0"/>
        <v>4</v>
      </c>
      <c r="B17" s="572" t="str">
        <f ca="1">IF(ROWS($1:4)&gt;COUNT(Dong11),"",OFFSET(TH!D$1,SMALL(Dong11,ROWS($1:4)),))</f>
        <v>VL/N10</v>
      </c>
      <c r="C17" s="573">
        <f ca="1">IF(ROWS($1:4)&gt;COUNT(Dong11),"",OFFSET(TH!E$1,SMALL(Dong11,ROWS($1:4)),))</f>
        <v>42693</v>
      </c>
      <c r="D17" s="574" t="str">
        <f ca="1">IF(ROWS($1:4)&gt;COUNT(Dong11),"",OFFSET(TH!F$1,SMALL(Dong11,ROWS($1:4)),)&amp;" - "&amp;OFFSET(TH!H$1,SMALL(Dong11,ROWS($1:4)),))</f>
        <v>Thùng carton 50x29.5x19 - Cty TNHH Bao Bì Giấy Kim Dung Phát</v>
      </c>
      <c r="E17" s="572" t="str">
        <f ca="1">IF(ROWS($1:4)&gt;COUNT(Dong11),"",IF(OFFSET(TH!N$1,SMALL(Dong11,ROWS($1:4)),)=$G$7,OFFSET(TH!O$1,SMALL(Dong11,ROWS($1:4)),),OFFSET(TH!N$1,SMALL(Dong11,ROWS($1:4)),)))</f>
        <v>331</v>
      </c>
      <c r="F17" s="575">
        <f ca="1">IF(ROWS($1:4)&gt;COUNT(Dong11),0,OFFSET(TH!J$1,SMALL(Dong11,ROWS($1:4)),))</f>
        <v>4500</v>
      </c>
      <c r="G17" s="575">
        <f ca="1">IF(ROWS($1:4)&gt;COUNT(Dong11),0,IF(MID(OFFSET(TH!D$1,SMALL(Dong11,ROWS($1:4)),),4,1)="N",OFFSET(TH!I$1,SMALL(Dong11,ROWS($1:4)),),0))</f>
        <v>4000</v>
      </c>
      <c r="H17" s="576">
        <f t="shared" ca="1" si="1"/>
        <v>18000000</v>
      </c>
      <c r="I17" s="575">
        <f ca="1">IF(ROWS($1:4)&gt;COUNT(Dong11),0,IF(MID(OFFSET(TH!D$1,SMALL(Dong11,ROWS($1:4)),),4,1)="X",OFFSET(TH!I$1,SMALL(Dong11,ROWS($1:4)),),0))</f>
        <v>0</v>
      </c>
      <c r="J17" s="576">
        <f t="shared" ca="1" si="2"/>
        <v>0</v>
      </c>
      <c r="K17" s="576">
        <f t="shared" ref="K17:K55" ca="1" si="3">IF(D17&lt;&gt;"",K16+G17-I17,0)</f>
        <v>15900</v>
      </c>
      <c r="L17" s="576">
        <f t="shared" ref="L17:L55" ca="1" si="4">IF(D17&lt;&gt;"",L16+H17-J17,0)</f>
        <v>71550000</v>
      </c>
      <c r="M17" s="576"/>
      <c r="N17" s="566"/>
      <c r="P17" s="578"/>
    </row>
    <row r="18" spans="1:18">
      <c r="A18" s="524">
        <f t="shared" ca="1" si="0"/>
        <v>5</v>
      </c>
      <c r="B18" s="572" t="str">
        <f ca="1">IF(ROWS($1:5)&gt;COUNT(Dong11),"",OFFSET(TH!D$1,SMALL(Dong11,ROWS($1:5)),))</f>
        <v>VL/N12</v>
      </c>
      <c r="C18" s="573">
        <f ca="1">IF(ROWS($1:5)&gt;COUNT(Dong11),"",OFFSET(TH!E$1,SMALL(Dong11,ROWS($1:5)),))</f>
        <v>42701</v>
      </c>
      <c r="D18" s="574" t="str">
        <f ca="1">IF(ROWS($1:5)&gt;COUNT(Dong11),"",OFFSET(TH!F$1,SMALL(Dong11,ROWS($1:5)),)&amp;" - "&amp;OFFSET(TH!H$1,SMALL(Dong11,ROWS($1:5)),))</f>
        <v xml:space="preserve">Thùng carton 50x29.5x19 - Cty TNHH SX TM Kim Dung Phát </v>
      </c>
      <c r="E18" s="572" t="str">
        <f ca="1">IF(ROWS($1:5)&gt;COUNT(Dong11),"",IF(OFFSET(TH!N$1,SMALL(Dong11,ROWS($1:5)),)=$G$7,OFFSET(TH!O$1,SMALL(Dong11,ROWS($1:5)),),OFFSET(TH!N$1,SMALL(Dong11,ROWS($1:5)),)))</f>
        <v>331</v>
      </c>
      <c r="F18" s="575">
        <f ca="1">IF(ROWS($1:5)&gt;COUNT(Dong11),0,OFFSET(TH!J$1,SMALL(Dong11,ROWS($1:5)),))</f>
        <v>4500</v>
      </c>
      <c r="G18" s="575">
        <f ca="1">IF(ROWS($1:5)&gt;COUNT(Dong11),0,IF(MID(OFFSET(TH!D$1,SMALL(Dong11,ROWS($1:5)),),4,1)="N",OFFSET(TH!I$1,SMALL(Dong11,ROWS($1:5)),),0))</f>
        <v>4000</v>
      </c>
      <c r="H18" s="576">
        <f t="shared" ca="1" si="1"/>
        <v>18000000</v>
      </c>
      <c r="I18" s="575">
        <f ca="1">IF(ROWS($1:5)&gt;COUNT(Dong11),0,IF(MID(OFFSET(TH!D$1,SMALL(Dong11,ROWS($1:5)),),4,1)="X",OFFSET(TH!I$1,SMALL(Dong11,ROWS($1:5)),),0))</f>
        <v>0</v>
      </c>
      <c r="J18" s="576">
        <f t="shared" ca="1" si="2"/>
        <v>0</v>
      </c>
      <c r="K18" s="576">
        <f t="shared" ca="1" si="3"/>
        <v>19900</v>
      </c>
      <c r="L18" s="576">
        <f t="shared" ca="1" si="4"/>
        <v>89550000</v>
      </c>
      <c r="M18" s="576"/>
      <c r="N18" s="566"/>
    </row>
    <row r="19" spans="1:18">
      <c r="A19" s="524">
        <f t="shared" ca="1" si="0"/>
        <v>6</v>
      </c>
      <c r="B19" s="572" t="str">
        <f ca="1">IF(ROWS($1:6)&gt;COUNT(Dong11),"",OFFSET(TH!D$1,SMALL(Dong11,ROWS($1:6)),))</f>
        <v>VL/N13</v>
      </c>
      <c r="C19" s="573">
        <f ca="1">IF(ROWS($1:6)&gt;COUNT(Dong11),"",OFFSET(TH!E$1,SMALL(Dong11,ROWS($1:6)),))</f>
        <v>42702</v>
      </c>
      <c r="D19" s="574" t="str">
        <f ca="1">IF(ROWS($1:6)&gt;COUNT(Dong11),"",OFFSET(TH!F$1,SMALL(Dong11,ROWS($1:6)),)&amp;" - "&amp;OFFSET(TH!H$1,SMALL(Dong11,ROWS($1:6)),))</f>
        <v xml:space="preserve">Thùng carton 50x29.5x19 - Cty TNHH SX TM Kim Dung Phát </v>
      </c>
      <c r="E19" s="572" t="str">
        <f ca="1">IF(ROWS($1:6)&gt;COUNT(Dong11),"",IF(OFFSET(TH!N$1,SMALL(Dong11,ROWS($1:6)),)=$G$7,OFFSET(TH!O$1,SMALL(Dong11,ROWS($1:6)),),OFFSET(TH!N$1,SMALL(Dong11,ROWS($1:6)),)))</f>
        <v>331</v>
      </c>
      <c r="F19" s="575">
        <f ca="1">IF(ROWS($1:6)&gt;COUNT(Dong11),0,OFFSET(TH!J$1,SMALL(Dong11,ROWS($1:6)),))</f>
        <v>4500</v>
      </c>
      <c r="G19" s="575">
        <f ca="1">IF(ROWS($1:6)&gt;COUNT(Dong11),0,IF(MID(OFFSET(TH!D$1,SMALL(Dong11,ROWS($1:6)),),4,1)="N",OFFSET(TH!I$1,SMALL(Dong11,ROWS($1:6)),),0))</f>
        <v>1700</v>
      </c>
      <c r="H19" s="576">
        <f t="shared" ca="1" si="1"/>
        <v>7650000</v>
      </c>
      <c r="I19" s="575">
        <f ca="1">IF(ROWS($1:6)&gt;COUNT(Dong11),0,IF(MID(OFFSET(TH!D$1,SMALL(Dong11,ROWS($1:6)),),4,1)="X",OFFSET(TH!I$1,SMALL(Dong11,ROWS($1:6)),),0))</f>
        <v>0</v>
      </c>
      <c r="J19" s="576">
        <f t="shared" ca="1" si="2"/>
        <v>0</v>
      </c>
      <c r="K19" s="576">
        <f t="shared" ca="1" si="3"/>
        <v>21600</v>
      </c>
      <c r="L19" s="576">
        <f t="shared" ca="1" si="4"/>
        <v>97200000</v>
      </c>
      <c r="M19" s="576"/>
      <c r="N19" s="566"/>
    </row>
    <row r="20" spans="1:18">
      <c r="A20" s="524">
        <f t="shared" ca="1" si="0"/>
        <v>7</v>
      </c>
      <c r="B20" s="572" t="str">
        <f ca="1">IF(ROWS($1:7)&gt;COUNT(Dong11),"",OFFSET(TH!D$1,SMALL(Dong11,ROWS($1:7)),))</f>
        <v>VL/X03</v>
      </c>
      <c r="C20" s="573">
        <f ca="1">IF(ROWS($1:7)&gt;COUNT(Dong11),"",OFFSET(TH!E$1,SMALL(Dong11,ROWS($1:7)),))</f>
        <v>42675</v>
      </c>
      <c r="D20" s="574" t="str">
        <f ca="1">IF(ROWS($1:7)&gt;COUNT(Dong11),"",OFFSET(TH!F$1,SMALL(Dong11,ROWS($1:7)),)&amp;" - "&amp;OFFSET(TH!H$1,SMALL(Dong11,ROWS($1:7)),))</f>
        <v>Thùng carton 50x29.5x19 - Xuất SX</v>
      </c>
      <c r="E20" s="572" t="str">
        <f ca="1">IF(ROWS($1:7)&gt;COUNT(Dong11),"",IF(OFFSET(TH!N$1,SMALL(Dong11,ROWS($1:7)),)=$G$7,OFFSET(TH!O$1,SMALL(Dong11,ROWS($1:7)),),OFFSET(TH!N$1,SMALL(Dong11,ROWS($1:7)),)))</f>
        <v>154</v>
      </c>
      <c r="F20" s="575">
        <f ca="1">IF(ROWS($1:7)&gt;COUNT(Dong11),0,OFFSET(TH!J$1,SMALL(Dong11,ROWS($1:7)),))</f>
        <v>4500</v>
      </c>
      <c r="G20" s="575">
        <f ca="1">IF(ROWS($1:7)&gt;COUNT(Dong11),0,IF(MID(OFFSET(TH!D$1,SMALL(Dong11,ROWS($1:7)),),4,1)="N",OFFSET(TH!I$1,SMALL(Dong11,ROWS($1:7)),),0))</f>
        <v>0</v>
      </c>
      <c r="H20" s="576">
        <f t="shared" ca="1" si="1"/>
        <v>0</v>
      </c>
      <c r="I20" s="575">
        <f ca="1">IF(ROWS($1:7)&gt;COUNT(Dong11),0,IF(MID(OFFSET(TH!D$1,SMALL(Dong11,ROWS($1:7)),),4,1)="X",OFFSET(TH!I$1,SMALL(Dong11,ROWS($1:7)),),0))</f>
        <v>2000</v>
      </c>
      <c r="J20" s="576">
        <f t="shared" ca="1" si="2"/>
        <v>9000000</v>
      </c>
      <c r="K20" s="576">
        <f t="shared" ca="1" si="3"/>
        <v>19600</v>
      </c>
      <c r="L20" s="576">
        <f t="shared" ca="1" si="4"/>
        <v>88200000</v>
      </c>
      <c r="M20" s="576"/>
      <c r="N20" s="566"/>
    </row>
    <row r="21" spans="1:18">
      <c r="A21" s="524">
        <f t="shared" ca="1" si="0"/>
        <v>8</v>
      </c>
      <c r="B21" s="572" t="str">
        <f ca="1">IF(ROWS($1:8)&gt;COUNT(Dong11),"",OFFSET(TH!D$1,SMALL(Dong11,ROWS($1:8)),))</f>
        <v>VL/X06</v>
      </c>
      <c r="C21" s="573">
        <f ca="1">IF(ROWS($1:8)&gt;COUNT(Dong11),"",OFFSET(TH!E$1,SMALL(Dong11,ROWS($1:8)),))</f>
        <v>42681</v>
      </c>
      <c r="D21" s="574" t="str">
        <f ca="1">IF(ROWS($1:8)&gt;COUNT(Dong11),"",OFFSET(TH!F$1,SMALL(Dong11,ROWS($1:8)),)&amp;" - "&amp;OFFSET(TH!H$1,SMALL(Dong11,ROWS($1:8)),))</f>
        <v>Thùng carton 50x29.5x19 - Xuất SX</v>
      </c>
      <c r="E21" s="572" t="str">
        <f ca="1">IF(ROWS($1:8)&gt;COUNT(Dong11),"",IF(OFFSET(TH!N$1,SMALL(Dong11,ROWS($1:8)),)=$G$7,OFFSET(TH!O$1,SMALL(Dong11,ROWS($1:8)),),OFFSET(TH!N$1,SMALL(Dong11,ROWS($1:8)),)))</f>
        <v>154</v>
      </c>
      <c r="F21" s="575">
        <f ca="1">IF(ROWS($1:8)&gt;COUNT(Dong11),0,OFFSET(TH!J$1,SMALL(Dong11,ROWS($1:8)),))</f>
        <v>4500</v>
      </c>
      <c r="G21" s="575">
        <f ca="1">IF(ROWS($1:8)&gt;COUNT(Dong11),0,IF(MID(OFFSET(TH!D$1,SMALL(Dong11,ROWS($1:8)),),4,1)="N",OFFSET(TH!I$1,SMALL(Dong11,ROWS($1:8)),),0))</f>
        <v>0</v>
      </c>
      <c r="H21" s="576">
        <f t="shared" ca="1" si="1"/>
        <v>0</v>
      </c>
      <c r="I21" s="575">
        <f ca="1">IF(ROWS($1:8)&gt;COUNT(Dong11),0,IF(MID(OFFSET(TH!D$1,SMALL(Dong11,ROWS($1:8)),),4,1)="X",OFFSET(TH!I$1,SMALL(Dong11,ROWS($1:8)),),0))</f>
        <v>2000</v>
      </c>
      <c r="J21" s="576">
        <f t="shared" ca="1" si="2"/>
        <v>9000000</v>
      </c>
      <c r="K21" s="576">
        <f t="shared" ca="1" si="3"/>
        <v>17600</v>
      </c>
      <c r="L21" s="576">
        <f t="shared" ca="1" si="4"/>
        <v>79200000</v>
      </c>
      <c r="M21" s="576"/>
      <c r="N21" s="566"/>
    </row>
    <row r="22" spans="1:18">
      <c r="A22" s="524">
        <f t="shared" ca="1" si="0"/>
        <v>9</v>
      </c>
      <c r="B22" s="572" t="str">
        <f ca="1">IF(ROWS($1:9)&gt;COUNT(Dong11),"",OFFSET(TH!D$1,SMALL(Dong11,ROWS($1:9)),))</f>
        <v>VL/X07</v>
      </c>
      <c r="C22" s="573">
        <f ca="1">IF(ROWS($1:9)&gt;COUNT(Dong11),"",OFFSET(TH!E$1,SMALL(Dong11,ROWS($1:9)),))</f>
        <v>42682</v>
      </c>
      <c r="D22" s="574" t="str">
        <f ca="1">IF(ROWS($1:9)&gt;COUNT(Dong11),"",OFFSET(TH!F$1,SMALL(Dong11,ROWS($1:9)),)&amp;" - "&amp;OFFSET(TH!H$1,SMALL(Dong11,ROWS($1:9)),))</f>
        <v>Thùng carton 50x29.5x19 - Xuất SX</v>
      </c>
      <c r="E22" s="572" t="str">
        <f ca="1">IF(ROWS($1:9)&gt;COUNT(Dong11),"",IF(OFFSET(TH!N$1,SMALL(Dong11,ROWS($1:9)),)=$G$7,OFFSET(TH!O$1,SMALL(Dong11,ROWS($1:9)),),OFFSET(TH!N$1,SMALL(Dong11,ROWS($1:9)),)))</f>
        <v>154</v>
      </c>
      <c r="F22" s="575">
        <f ca="1">IF(ROWS($1:9)&gt;COUNT(Dong11),0,OFFSET(TH!J$1,SMALL(Dong11,ROWS($1:9)),))</f>
        <v>4500</v>
      </c>
      <c r="G22" s="575">
        <f ca="1">IF(ROWS($1:9)&gt;COUNT(Dong11),0,IF(MID(OFFSET(TH!D$1,SMALL(Dong11,ROWS($1:9)),),4,1)="N",OFFSET(TH!I$1,SMALL(Dong11,ROWS($1:9)),),0))</f>
        <v>0</v>
      </c>
      <c r="H22" s="576">
        <f t="shared" ca="1" si="1"/>
        <v>0</v>
      </c>
      <c r="I22" s="575">
        <f ca="1">IF(ROWS($1:9)&gt;COUNT(Dong11),0,IF(MID(OFFSET(TH!D$1,SMALL(Dong11,ROWS($1:9)),),4,1)="X",OFFSET(TH!I$1,SMALL(Dong11,ROWS($1:9)),),0))</f>
        <v>2000</v>
      </c>
      <c r="J22" s="576">
        <f t="shared" ca="1" si="2"/>
        <v>9000000</v>
      </c>
      <c r="K22" s="576">
        <f t="shared" ca="1" si="3"/>
        <v>15600</v>
      </c>
      <c r="L22" s="576">
        <f t="shared" ca="1" si="4"/>
        <v>70200000</v>
      </c>
      <c r="M22" s="576"/>
      <c r="N22" s="566"/>
    </row>
    <row r="23" spans="1:18">
      <c r="A23" s="524">
        <f t="shared" ca="1" si="0"/>
        <v>10</v>
      </c>
      <c r="B23" s="572" t="str">
        <f ca="1">IF(ROWS($1:10)&gt;COUNT(Dong11),"",OFFSET(TH!D$1,SMALL(Dong11,ROWS($1:10)),))</f>
        <v>VL/X10</v>
      </c>
      <c r="C23" s="573">
        <f ca="1">IF(ROWS($1:10)&gt;COUNT(Dong11),"",OFFSET(TH!E$1,SMALL(Dong11,ROWS($1:10)),))</f>
        <v>42689</v>
      </c>
      <c r="D23" s="574" t="str">
        <f ca="1">IF(ROWS($1:10)&gt;COUNT(Dong11),"",OFFSET(TH!F$1,SMALL(Dong11,ROWS($1:10)),)&amp;" - "&amp;OFFSET(TH!H$1,SMALL(Dong11,ROWS($1:10)),))</f>
        <v>Thùng carton 50x29.5x19 - Xuất SX</v>
      </c>
      <c r="E23" s="572" t="str">
        <f ca="1">IF(ROWS($1:10)&gt;COUNT(Dong11),"",IF(OFFSET(TH!N$1,SMALL(Dong11,ROWS($1:10)),)=$G$7,OFFSET(TH!O$1,SMALL(Dong11,ROWS($1:10)),),OFFSET(TH!N$1,SMALL(Dong11,ROWS($1:10)),)))</f>
        <v>154</v>
      </c>
      <c r="F23" s="575">
        <f ca="1">IF(ROWS($1:10)&gt;COUNT(Dong11),0,OFFSET(TH!J$1,SMALL(Dong11,ROWS($1:10)),))</f>
        <v>4500</v>
      </c>
      <c r="G23" s="575">
        <f ca="1">IF(ROWS($1:10)&gt;COUNT(Dong11),0,IF(MID(OFFSET(TH!D$1,SMALL(Dong11,ROWS($1:10)),),4,1)="N",OFFSET(TH!I$1,SMALL(Dong11,ROWS($1:10)),),0))</f>
        <v>0</v>
      </c>
      <c r="H23" s="576">
        <f t="shared" ca="1" si="1"/>
        <v>0</v>
      </c>
      <c r="I23" s="575">
        <f ca="1">IF(ROWS($1:10)&gt;COUNT(Dong11),0,IF(MID(OFFSET(TH!D$1,SMALL(Dong11,ROWS($1:10)),),4,1)="X",OFFSET(TH!I$1,SMALL(Dong11,ROWS($1:10)),),0))</f>
        <v>1900</v>
      </c>
      <c r="J23" s="576">
        <f t="shared" ca="1" si="2"/>
        <v>8550000</v>
      </c>
      <c r="K23" s="576">
        <f t="shared" ca="1" si="3"/>
        <v>13700</v>
      </c>
      <c r="L23" s="576">
        <f t="shared" ca="1" si="4"/>
        <v>61650000</v>
      </c>
      <c r="M23" s="576"/>
      <c r="N23" s="566"/>
    </row>
    <row r="24" spans="1:18">
      <c r="A24" s="524">
        <f t="shared" ca="1" si="0"/>
        <v>11</v>
      </c>
      <c r="B24" s="572" t="str">
        <f ca="1">IF(ROWS($1:11)&gt;COUNT(Dong11),"",OFFSET(TH!D$1,SMALL(Dong11,ROWS($1:11)),))</f>
        <v>VL/X12</v>
      </c>
      <c r="C24" s="573">
        <f ca="1">IF(ROWS($1:11)&gt;COUNT(Dong11),"",OFFSET(TH!E$1,SMALL(Dong11,ROWS($1:11)),))</f>
        <v>42696</v>
      </c>
      <c r="D24" s="574" t="str">
        <f ca="1">IF(ROWS($1:11)&gt;COUNT(Dong11),"",OFFSET(TH!F$1,SMALL(Dong11,ROWS($1:11)),)&amp;" - "&amp;OFFSET(TH!H$1,SMALL(Dong11,ROWS($1:11)),))</f>
        <v>Thùng carton 50x29.5x19 - Xuất SX</v>
      </c>
      <c r="E24" s="572" t="str">
        <f ca="1">IF(ROWS($1:11)&gt;COUNT(Dong11),"",IF(OFFSET(TH!N$1,SMALL(Dong11,ROWS($1:11)),)=$G$7,OFFSET(TH!O$1,SMALL(Dong11,ROWS($1:11)),),OFFSET(TH!N$1,SMALL(Dong11,ROWS($1:11)),)))</f>
        <v>154</v>
      </c>
      <c r="F24" s="575">
        <f ca="1">IF(ROWS($1:11)&gt;COUNT(Dong11),0,OFFSET(TH!J$1,SMALL(Dong11,ROWS($1:11)),))</f>
        <v>4500</v>
      </c>
      <c r="G24" s="575">
        <f ca="1">IF(ROWS($1:11)&gt;COUNT(Dong11),0,IF(MID(OFFSET(TH!D$1,SMALL(Dong11,ROWS($1:11)),),4,1)="N",OFFSET(TH!I$1,SMALL(Dong11,ROWS($1:11)),),0))</f>
        <v>0</v>
      </c>
      <c r="H24" s="576">
        <f t="shared" ca="1" si="1"/>
        <v>0</v>
      </c>
      <c r="I24" s="575">
        <f ca="1">IF(ROWS($1:11)&gt;COUNT(Dong11),0,IF(MID(OFFSET(TH!D$1,SMALL(Dong11,ROWS($1:11)),),4,1)="X",OFFSET(TH!I$1,SMALL(Dong11,ROWS($1:11)),),0))</f>
        <v>1353</v>
      </c>
      <c r="J24" s="576">
        <f t="shared" ca="1" si="2"/>
        <v>6088500</v>
      </c>
      <c r="K24" s="576">
        <f t="shared" ca="1" si="3"/>
        <v>12347</v>
      </c>
      <c r="L24" s="576">
        <f t="shared" ca="1" si="4"/>
        <v>55561500</v>
      </c>
      <c r="M24" s="576"/>
      <c r="N24" s="566"/>
    </row>
    <row r="25" spans="1:18">
      <c r="A25" s="524">
        <f t="shared" ca="1" si="0"/>
        <v>12</v>
      </c>
      <c r="B25" s="572" t="str">
        <f ca="1">IF(ROWS($1:12)&gt;COUNT(Dong11),"",OFFSET(TH!D$1,SMALL(Dong11,ROWS($1:12)),))</f>
        <v>VL/X13</v>
      </c>
      <c r="C25" s="573">
        <f ca="1">IF(ROWS($1:12)&gt;COUNT(Dong11),"",OFFSET(TH!E$1,SMALL(Dong11,ROWS($1:12)),))</f>
        <v>42699</v>
      </c>
      <c r="D25" s="574" t="str">
        <f ca="1">IF(ROWS($1:12)&gt;COUNT(Dong11),"",OFFSET(TH!F$1,SMALL(Dong11,ROWS($1:12)),)&amp;" - "&amp;OFFSET(TH!H$1,SMALL(Dong11,ROWS($1:12)),))</f>
        <v>Thùng carton 50x29.5x19 - Xuất SX</v>
      </c>
      <c r="E25" s="572" t="str">
        <f ca="1">IF(ROWS($1:12)&gt;COUNT(Dong11),"",IF(OFFSET(TH!N$1,SMALL(Dong11,ROWS($1:12)),)=$G$7,OFFSET(TH!O$1,SMALL(Dong11,ROWS($1:12)),),OFFSET(TH!N$1,SMALL(Dong11,ROWS($1:12)),)))</f>
        <v>154</v>
      </c>
      <c r="F25" s="575">
        <f ca="1">IF(ROWS($1:12)&gt;COUNT(Dong11),0,OFFSET(TH!J$1,SMALL(Dong11,ROWS($1:12)),))</f>
        <v>4500</v>
      </c>
      <c r="G25" s="575">
        <f ca="1">IF(ROWS($1:12)&gt;COUNT(Dong11),0,IF(MID(OFFSET(TH!D$1,SMALL(Dong11,ROWS($1:12)),),4,1)="N",OFFSET(TH!I$1,SMALL(Dong11,ROWS($1:12)),),0))</f>
        <v>0</v>
      </c>
      <c r="H25" s="576">
        <f t="shared" ca="1" si="1"/>
        <v>0</v>
      </c>
      <c r="I25" s="575">
        <f ca="1">IF(ROWS($1:12)&gt;COUNT(Dong11),0,IF(MID(OFFSET(TH!D$1,SMALL(Dong11,ROWS($1:12)),),4,1)="X",OFFSET(TH!I$1,SMALL(Dong11,ROWS($1:12)),),0))</f>
        <v>1700</v>
      </c>
      <c r="J25" s="576">
        <f t="shared" ca="1" si="2"/>
        <v>7650000</v>
      </c>
      <c r="K25" s="576">
        <f t="shared" ca="1" si="3"/>
        <v>10647</v>
      </c>
      <c r="L25" s="576">
        <f t="shared" ca="1" si="4"/>
        <v>47911500</v>
      </c>
      <c r="M25" s="576"/>
      <c r="N25" s="566"/>
      <c r="Q25" s="541">
        <f ca="1">L25/K25</f>
        <v>4500</v>
      </c>
    </row>
    <row r="26" spans="1:18">
      <c r="A26" s="524">
        <f t="shared" ca="1" si="0"/>
        <v>13</v>
      </c>
      <c r="B26" s="572" t="str">
        <f ca="1">IF(ROWS($1:13)&gt;COUNT(Dong11),"",OFFSET(TH!D$1,SMALL(Dong11,ROWS($1:13)),))</f>
        <v>VL/X15</v>
      </c>
      <c r="C26" s="573">
        <f ca="1">IF(ROWS($1:13)&gt;COUNT(Dong11),"",OFFSET(TH!E$1,SMALL(Dong11,ROWS($1:13)),))</f>
        <v>42703</v>
      </c>
      <c r="D26" s="574" t="str">
        <f ca="1">IF(ROWS($1:13)&gt;COUNT(Dong11),"",OFFSET(TH!F$1,SMALL(Dong11,ROWS($1:13)),)&amp;" - "&amp;OFFSET(TH!H$1,SMALL(Dong11,ROWS($1:13)),))</f>
        <v>Thùng carton 50x29.5x19 - Xuất SX</v>
      </c>
      <c r="E26" s="572" t="str">
        <f ca="1">IF(ROWS($1:13)&gt;COUNT(Dong11),"",IF(OFFSET(TH!N$1,SMALL(Dong11,ROWS($1:13)),)=$G$7,OFFSET(TH!O$1,SMALL(Dong11,ROWS($1:13)),),OFFSET(TH!N$1,SMALL(Dong11,ROWS($1:13)),)))</f>
        <v>154</v>
      </c>
      <c r="F26" s="575">
        <f ca="1">IF(ROWS($1:13)&gt;COUNT(Dong11),0,OFFSET(TH!J$1,SMALL(Dong11,ROWS($1:13)),))</f>
        <v>4500</v>
      </c>
      <c r="G26" s="575">
        <f ca="1">IF(ROWS($1:13)&gt;COUNT(Dong11),0,IF(MID(OFFSET(TH!D$1,SMALL(Dong11,ROWS($1:13)),),4,1)="N",OFFSET(TH!I$1,SMALL(Dong11,ROWS($1:13)),),0))</f>
        <v>0</v>
      </c>
      <c r="H26" s="576">
        <f t="shared" ca="1" si="1"/>
        <v>0</v>
      </c>
      <c r="I26" s="575">
        <f ca="1">IF(ROWS($1:13)&gt;COUNT(Dong11),0,IF(MID(OFFSET(TH!D$1,SMALL(Dong11,ROWS($1:13)),),4,1)="X",OFFSET(TH!I$1,SMALL(Dong11,ROWS($1:13)),),0))</f>
        <v>4000</v>
      </c>
      <c r="J26" s="576">
        <f t="shared" ca="1" si="2"/>
        <v>18000000</v>
      </c>
      <c r="K26" s="576">
        <f t="shared" ca="1" si="3"/>
        <v>6647</v>
      </c>
      <c r="L26" s="576">
        <f t="shared" ca="1" si="4"/>
        <v>29911500</v>
      </c>
      <c r="M26" s="576"/>
      <c r="N26" s="566"/>
    </row>
    <row r="27" spans="1:18">
      <c r="A27" s="524">
        <f t="shared" ca="1" si="0"/>
        <v>14</v>
      </c>
      <c r="B27" s="572" t="str">
        <f ca="1">IF(ROWS($1:14)&gt;COUNT(Dong11),"",OFFSET(TH!D$1,SMALL(Dong11,ROWS($1:14)),))</f>
        <v>VL/N11</v>
      </c>
      <c r="C27" s="573">
        <f ca="1">IF(ROWS($1:14)&gt;COUNT(Dong11),"",OFFSET(TH!E$1,SMALL(Dong11,ROWS($1:14)),))</f>
        <v>42697</v>
      </c>
      <c r="D27" s="574" t="str">
        <f ca="1">IF(ROWS($1:14)&gt;COUNT(Dong11),"",OFFSET(TH!F$1,SMALL(Dong11,ROWS($1:14)),)&amp;" - "&amp;OFFSET(TH!H$1,SMALL(Dong11,ROWS($1:14)),))</f>
        <v>Thùng carton 50x29.5x19 - Cty TNHH Bao Bì Giấy Kim Dung Phát</v>
      </c>
      <c r="E27" s="572" t="str">
        <f ca="1">IF(ROWS($1:14)&gt;COUNT(Dong11),"",IF(OFFSET(TH!N$1,SMALL(Dong11,ROWS($1:14)),)=$G$7,OFFSET(TH!O$1,SMALL(Dong11,ROWS($1:14)),),OFFSET(TH!N$1,SMALL(Dong11,ROWS($1:14)),)))</f>
        <v>331</v>
      </c>
      <c r="F27" s="575">
        <f ca="1">IF(ROWS($1:14)&gt;COUNT(Dong11),0,OFFSET(TH!J$1,SMALL(Dong11,ROWS($1:14)),))</f>
        <v>4500</v>
      </c>
      <c r="G27" s="575">
        <f ca="1">IF(ROWS($1:14)&gt;COUNT(Dong11),0,IF(MID(OFFSET(TH!D$1,SMALL(Dong11,ROWS($1:14)),),4,1)="N",OFFSET(TH!I$1,SMALL(Dong11,ROWS($1:14)),),0))</f>
        <v>3353</v>
      </c>
      <c r="H27" s="576">
        <f t="shared" ca="1" si="1"/>
        <v>15088500</v>
      </c>
      <c r="I27" s="575">
        <f ca="1">IF(ROWS($1:14)&gt;COUNT(Dong11),0,IF(MID(OFFSET(TH!D$1,SMALL(Dong11,ROWS($1:14)),),4,1)="X",OFFSET(TH!I$1,SMALL(Dong11,ROWS($1:14)),),0))</f>
        <v>0</v>
      </c>
      <c r="J27" s="576">
        <f t="shared" ca="1" si="2"/>
        <v>0</v>
      </c>
      <c r="K27" s="576">
        <f t="shared" ca="1" si="3"/>
        <v>10000</v>
      </c>
      <c r="L27" s="576">
        <f t="shared" ca="1" si="4"/>
        <v>45000000</v>
      </c>
      <c r="M27" s="576"/>
      <c r="N27" s="566"/>
    </row>
    <row r="28" spans="1:18">
      <c r="A28" s="524">
        <f t="shared" ca="1" si="0"/>
        <v>15</v>
      </c>
      <c r="B28" s="572" t="str">
        <f ca="1">IF(ROWS($1:15)&gt;COUNT(Dong11),"",OFFSET(TH!D$1,SMALL(Dong11,ROWS($1:15)),))</f>
        <v>VL/N14</v>
      </c>
      <c r="C28" s="573">
        <f ca="1">IF(ROWS($1:15)&gt;COUNT(Dong11),"",OFFSET(TH!E$1,SMALL(Dong11,ROWS($1:15)),))</f>
        <v>42703</v>
      </c>
      <c r="D28" s="574" t="str">
        <f ca="1">IF(ROWS($1:15)&gt;COUNT(Dong11),"",OFFSET(TH!F$1,SMALL(Dong11,ROWS($1:15)),)&amp;" - "&amp;OFFSET(TH!H$1,SMALL(Dong11,ROWS($1:15)),))</f>
        <v xml:space="preserve">Thùng carton 50x29.5x19 - Cty TNHH SX TM Kim Dung Phát </v>
      </c>
      <c r="E28" s="572" t="str">
        <f ca="1">IF(ROWS($1:15)&gt;COUNT(Dong11),"",IF(OFFSET(TH!N$1,SMALL(Dong11,ROWS($1:15)),)=$G$7,OFFSET(TH!O$1,SMALL(Dong11,ROWS($1:15)),),OFFSET(TH!N$1,SMALL(Dong11,ROWS($1:15)),)))</f>
        <v>331</v>
      </c>
      <c r="F28" s="575">
        <f ca="1">IF(ROWS($1:15)&gt;COUNT(Dong11),0,OFFSET(TH!J$1,SMALL(Dong11,ROWS($1:15)),))</f>
        <v>4500</v>
      </c>
      <c r="G28" s="575">
        <f ca="1">IF(ROWS($1:15)&gt;COUNT(Dong11),0,IF(MID(OFFSET(TH!D$1,SMALL(Dong11,ROWS($1:15)),),4,1)="N",OFFSET(TH!I$1,SMALL(Dong11,ROWS($1:15)),),0))</f>
        <v>4000</v>
      </c>
      <c r="H28" s="576">
        <f t="shared" ca="1" si="1"/>
        <v>18000000</v>
      </c>
      <c r="I28" s="575">
        <f ca="1">IF(ROWS($1:15)&gt;COUNT(Dong11),0,IF(MID(OFFSET(TH!D$1,SMALL(Dong11,ROWS($1:15)),),4,1)="X",OFFSET(TH!I$1,SMALL(Dong11,ROWS($1:15)),),0))</f>
        <v>0</v>
      </c>
      <c r="J28" s="576">
        <f t="shared" ca="1" si="2"/>
        <v>0</v>
      </c>
      <c r="K28" s="576">
        <f t="shared" ca="1" si="3"/>
        <v>14000</v>
      </c>
      <c r="L28" s="576">
        <f t="shared" ca="1" si="4"/>
        <v>63000000</v>
      </c>
      <c r="M28" s="576"/>
      <c r="N28" s="566"/>
    </row>
    <row r="29" spans="1:18">
      <c r="A29" s="524">
        <f t="shared" ca="1" si="0"/>
        <v>16</v>
      </c>
      <c r="B29" s="572" t="str">
        <f ca="1">IF(ROWS($1:16)&gt;COUNT(Dong11),"",OFFSET(TH!D$1,SMALL(Dong11,ROWS($1:16)),))</f>
        <v>VL/N01</v>
      </c>
      <c r="C29" s="573">
        <f ca="1">IF(ROWS($1:16)&gt;COUNT(Dong11),"",OFFSET(TH!E$1,SMALL(Dong11,ROWS($1:16)),))</f>
        <v>42705</v>
      </c>
      <c r="D29" s="574" t="str">
        <f ca="1">IF(ROWS($1:16)&gt;COUNT(Dong11),"",OFFSET(TH!F$1,SMALL(Dong11,ROWS($1:16)),)&amp;" - "&amp;OFFSET(TH!H$1,SMALL(Dong11,ROWS($1:16)),))</f>
        <v>Thùng carton 50x29.5x19 - Cty TNHH Bao Bì Giấy Kim Dung Phát</v>
      </c>
      <c r="E29" s="572" t="str">
        <f ca="1">IF(ROWS($1:16)&gt;COUNT(Dong11),"",IF(OFFSET(TH!N$1,SMALL(Dong11,ROWS($1:16)),)=$G$7,OFFSET(TH!O$1,SMALL(Dong11,ROWS($1:16)),),OFFSET(TH!N$1,SMALL(Dong11,ROWS($1:16)),)))</f>
        <v>331</v>
      </c>
      <c r="F29" s="575">
        <f ca="1">IF(ROWS($1:16)&gt;COUNT(Dong11),0,OFFSET(TH!J$1,SMALL(Dong11,ROWS($1:16)),))</f>
        <v>7500</v>
      </c>
      <c r="G29" s="575">
        <f ca="1">IF(ROWS($1:16)&gt;COUNT(Dong11),0,IF(MID(OFFSET(TH!D$1,SMALL(Dong11,ROWS($1:16)),),4,1)="N",OFFSET(TH!I$1,SMALL(Dong11,ROWS($1:16)),),0))</f>
        <v>2400</v>
      </c>
      <c r="H29" s="576">
        <f t="shared" ca="1" si="1"/>
        <v>18000000</v>
      </c>
      <c r="I29" s="575">
        <f ca="1">IF(ROWS($1:16)&gt;COUNT(Dong11),0,IF(MID(OFFSET(TH!D$1,SMALL(Dong11,ROWS($1:16)),),4,1)="X",OFFSET(TH!I$1,SMALL(Dong11,ROWS($1:16)),),0))</f>
        <v>0</v>
      </c>
      <c r="J29" s="576">
        <f t="shared" ca="1" si="2"/>
        <v>0</v>
      </c>
      <c r="K29" s="576">
        <f t="shared" ca="1" si="3"/>
        <v>16400</v>
      </c>
      <c r="L29" s="576">
        <f t="shared" ca="1" si="4"/>
        <v>81000000</v>
      </c>
      <c r="M29" s="576"/>
      <c r="N29" s="566"/>
    </row>
    <row r="30" spans="1:18">
      <c r="A30" s="524">
        <f t="shared" ca="1" si="0"/>
        <v>17</v>
      </c>
      <c r="B30" s="572" t="str">
        <f ca="1">IF(ROWS($1:17)&gt;COUNT(Dong11),"",OFFSET(TH!D$1,SMALL(Dong11,ROWS($1:17)),))</f>
        <v>VL/N03</v>
      </c>
      <c r="C30" s="573">
        <f ca="1">IF(ROWS($1:17)&gt;COUNT(Dong11),"",OFFSET(TH!E$1,SMALL(Dong11,ROWS($1:17)),))</f>
        <v>42706</v>
      </c>
      <c r="D30" s="574" t="str">
        <f ca="1">IF(ROWS($1:17)&gt;COUNT(Dong11),"",OFFSET(TH!F$1,SMALL(Dong11,ROWS($1:17)),)&amp;" - "&amp;OFFSET(TH!H$1,SMALL(Dong11,ROWS($1:17)),))</f>
        <v>Thùng carton 50x29.5x19 - Cty TNHH Bao Bì Giấy Kim Dung Phát</v>
      </c>
      <c r="E30" s="572" t="str">
        <f ca="1">IF(ROWS($1:17)&gt;COUNT(Dong11),"",IF(OFFSET(TH!N$1,SMALL(Dong11,ROWS($1:17)),)=$G$7,OFFSET(TH!O$1,SMALL(Dong11,ROWS($1:17)),),OFFSET(TH!N$1,SMALL(Dong11,ROWS($1:17)),)))</f>
        <v>331</v>
      </c>
      <c r="F30" s="575">
        <f ca="1">IF(ROWS($1:17)&gt;COUNT(Dong11),0,OFFSET(TH!J$1,SMALL(Dong11,ROWS($1:17)),))</f>
        <v>7500</v>
      </c>
      <c r="G30" s="575">
        <f ca="1">IF(ROWS($1:17)&gt;COUNT(Dong11),0,IF(MID(OFFSET(TH!D$1,SMALL(Dong11,ROWS($1:17)),),4,1)="N",OFFSET(TH!I$1,SMALL(Dong11,ROWS($1:17)),),0))</f>
        <v>1600</v>
      </c>
      <c r="H30" s="576">
        <f t="shared" ca="1" si="1"/>
        <v>12000000</v>
      </c>
      <c r="I30" s="575">
        <f ca="1">IF(ROWS($1:17)&gt;COUNT(Dong11),0,IF(MID(OFFSET(TH!D$1,SMALL(Dong11,ROWS($1:17)),),4,1)="X",OFFSET(TH!I$1,SMALL(Dong11,ROWS($1:17)),),0))</f>
        <v>0</v>
      </c>
      <c r="J30" s="576">
        <f t="shared" ca="1" si="2"/>
        <v>0</v>
      </c>
      <c r="K30" s="576">
        <f t="shared" ca="1" si="3"/>
        <v>18000</v>
      </c>
      <c r="L30" s="576">
        <f t="shared" ca="1" si="4"/>
        <v>93000000</v>
      </c>
      <c r="M30" s="576"/>
      <c r="N30" s="566"/>
      <c r="R30" s="1223"/>
    </row>
    <row r="31" spans="1:18">
      <c r="A31" s="524">
        <f t="shared" ref="A31:A45" ca="1" si="5">IF(B31="","",A30+1)</f>
        <v>18</v>
      </c>
      <c r="B31" s="572" t="str">
        <f ca="1">IF(ROWS($1:18)&gt;COUNT(Dong11),"",OFFSET(TH!D$1,SMALL(Dong11,ROWS($1:18)),))</f>
        <v>VL/N02</v>
      </c>
      <c r="C31" s="573">
        <f ca="1">IF(ROWS($1:18)&gt;COUNT(Dong11),"",OFFSET(TH!E$1,SMALL(Dong11,ROWS($1:18)),))</f>
        <v>42705</v>
      </c>
      <c r="D31" s="574" t="str">
        <f ca="1">IF(ROWS($1:18)&gt;COUNT(Dong11),"",OFFSET(TH!F$1,SMALL(Dong11,ROWS($1:18)),)&amp;" - "&amp;OFFSET(TH!H$1,SMALL(Dong11,ROWS($1:18)),))</f>
        <v xml:space="preserve">Thùng carton 50x29.5x19 - Cty TNHH SX TM Kim Dung Phát </v>
      </c>
      <c r="E31" s="572" t="str">
        <f ca="1">IF(ROWS($1:18)&gt;COUNT(Dong11),"",IF(OFFSET(TH!N$1,SMALL(Dong11,ROWS($1:18)),)=$G$7,OFFSET(TH!O$1,SMALL(Dong11,ROWS($1:18)),),OFFSET(TH!N$1,SMALL(Dong11,ROWS($1:18)),)))</f>
        <v>331</v>
      </c>
      <c r="F31" s="575">
        <f ca="1">IF(ROWS($1:18)&gt;COUNT(Dong11),0,OFFSET(TH!J$1,SMALL(Dong11,ROWS($1:18)),))</f>
        <v>4500</v>
      </c>
      <c r="G31" s="575">
        <f ca="1">IF(ROWS($1:18)&gt;COUNT(Dong11),0,IF(MID(OFFSET(TH!D$1,SMALL(Dong11,ROWS($1:18)),),4,1)="N",OFFSET(TH!I$1,SMALL(Dong11,ROWS($1:18)),),0))</f>
        <v>4000</v>
      </c>
      <c r="H31" s="576">
        <f t="shared" ref="H31:H45" ca="1" si="6">ROUND(F31*G31,0)</f>
        <v>18000000</v>
      </c>
      <c r="I31" s="575">
        <f ca="1">IF(ROWS($1:18)&gt;COUNT(Dong11),0,IF(MID(OFFSET(TH!D$1,SMALL(Dong11,ROWS($1:18)),),4,1)="X",OFFSET(TH!I$1,SMALL(Dong11,ROWS($1:18)),),0))</f>
        <v>0</v>
      </c>
      <c r="J31" s="576">
        <f t="shared" ref="J31:J45" ca="1" si="7">ROUND(F31*I31,0)</f>
        <v>0</v>
      </c>
      <c r="K31" s="576">
        <f t="shared" ca="1" si="3"/>
        <v>22000</v>
      </c>
      <c r="L31" s="576">
        <f t="shared" ca="1" si="4"/>
        <v>111000000</v>
      </c>
      <c r="M31" s="576"/>
      <c r="N31" s="566"/>
    </row>
    <row r="32" spans="1:18">
      <c r="A32" s="524">
        <f t="shared" ca="1" si="5"/>
        <v>19</v>
      </c>
      <c r="B32" s="572" t="str">
        <f ca="1">IF(ROWS($1:19)&gt;COUNT(Dong11),"",OFFSET(TH!D$1,SMALL(Dong11,ROWS($1:19)),))</f>
        <v>VL/N04</v>
      </c>
      <c r="C32" s="573">
        <f ca="1">IF(ROWS($1:19)&gt;COUNT(Dong11),"",OFFSET(TH!E$1,SMALL(Dong11,ROWS($1:19)),))</f>
        <v>42707</v>
      </c>
      <c r="D32" s="574" t="str">
        <f ca="1">IF(ROWS($1:19)&gt;COUNT(Dong11),"",OFFSET(TH!F$1,SMALL(Dong11,ROWS($1:19)),)&amp;" - "&amp;OFFSET(TH!H$1,SMALL(Dong11,ROWS($1:19)),))</f>
        <v>Thùng carton 50x29.5x19 - Cty TNHH Bao Bì Giấy Kim Dung Phát</v>
      </c>
      <c r="E32" s="572" t="str">
        <f ca="1">IF(ROWS($1:19)&gt;COUNT(Dong11),"",IF(OFFSET(TH!N$1,SMALL(Dong11,ROWS($1:19)),)=$G$7,OFFSET(TH!O$1,SMALL(Dong11,ROWS($1:19)),),OFFSET(TH!N$1,SMALL(Dong11,ROWS($1:19)),)))</f>
        <v>331</v>
      </c>
      <c r="F32" s="575">
        <f ca="1">IF(ROWS($1:19)&gt;COUNT(Dong11),0,OFFSET(TH!J$1,SMALL(Dong11,ROWS($1:19)),))</f>
        <v>4500</v>
      </c>
      <c r="G32" s="575">
        <f ca="1">IF(ROWS($1:19)&gt;COUNT(Dong11),0,IF(MID(OFFSET(TH!D$1,SMALL(Dong11,ROWS($1:19)),),4,1)="N",OFFSET(TH!I$1,SMALL(Dong11,ROWS($1:19)),),0))</f>
        <v>4000</v>
      </c>
      <c r="H32" s="576">
        <f t="shared" ca="1" si="6"/>
        <v>18000000</v>
      </c>
      <c r="I32" s="575">
        <f ca="1">IF(ROWS($1:19)&gt;COUNT(Dong11),0,IF(MID(OFFSET(TH!D$1,SMALL(Dong11,ROWS($1:19)),),4,1)="X",OFFSET(TH!I$1,SMALL(Dong11,ROWS($1:19)),),0))</f>
        <v>0</v>
      </c>
      <c r="J32" s="576">
        <f t="shared" ca="1" si="7"/>
        <v>0</v>
      </c>
      <c r="K32" s="576">
        <f t="shared" ca="1" si="3"/>
        <v>26000</v>
      </c>
      <c r="L32" s="576">
        <f t="shared" ca="1" si="4"/>
        <v>129000000</v>
      </c>
      <c r="M32" s="576"/>
      <c r="N32" s="566"/>
    </row>
    <row r="33" spans="1:14">
      <c r="A33" s="524">
        <f t="shared" ca="1" si="5"/>
        <v>20</v>
      </c>
      <c r="B33" s="572" t="str">
        <f ca="1">IF(ROWS($1:20)&gt;COUNT(Dong11),"",OFFSET(TH!D$1,SMALL(Dong11,ROWS($1:20)),))</f>
        <v>VL/N06</v>
      </c>
      <c r="C33" s="573">
        <f ca="1">IF(ROWS($1:20)&gt;COUNT(Dong11),"",OFFSET(TH!E$1,SMALL(Dong11,ROWS($1:20)),))</f>
        <v>42709</v>
      </c>
      <c r="D33" s="574" t="str">
        <f ca="1">IF(ROWS($1:20)&gt;COUNT(Dong11),"",OFFSET(TH!F$1,SMALL(Dong11,ROWS($1:20)),)&amp;" - "&amp;OFFSET(TH!H$1,SMALL(Dong11,ROWS($1:20)),))</f>
        <v>Thùng carton 50x29.5x19 - Cty TNHH Bao Bì Giấy Kim Dung Phát</v>
      </c>
      <c r="E33" s="572" t="str">
        <f ca="1">IF(ROWS($1:20)&gt;COUNT(Dong11),"",IF(OFFSET(TH!N$1,SMALL(Dong11,ROWS($1:20)),)=$G$7,OFFSET(TH!O$1,SMALL(Dong11,ROWS($1:20)),),OFFSET(TH!N$1,SMALL(Dong11,ROWS($1:20)),)))</f>
        <v>331</v>
      </c>
      <c r="F33" s="575">
        <f ca="1">IF(ROWS($1:20)&gt;COUNT(Dong11),0,OFFSET(TH!J$1,SMALL(Dong11,ROWS($1:20)),))</f>
        <v>7500</v>
      </c>
      <c r="G33" s="575">
        <f ca="1">IF(ROWS($1:20)&gt;COUNT(Dong11),0,IF(MID(OFFSET(TH!D$1,SMALL(Dong11,ROWS($1:20)),),4,1)="N",OFFSET(TH!I$1,SMALL(Dong11,ROWS($1:20)),),0))</f>
        <v>2400</v>
      </c>
      <c r="H33" s="576">
        <f t="shared" ca="1" si="6"/>
        <v>18000000</v>
      </c>
      <c r="I33" s="575">
        <f ca="1">IF(ROWS($1:20)&gt;COUNT(Dong11),0,IF(MID(OFFSET(TH!D$1,SMALL(Dong11,ROWS($1:20)),),4,1)="X",OFFSET(TH!I$1,SMALL(Dong11,ROWS($1:20)),),0))</f>
        <v>0</v>
      </c>
      <c r="J33" s="576">
        <f t="shared" ca="1" si="7"/>
        <v>0</v>
      </c>
      <c r="K33" s="576">
        <f t="shared" ca="1" si="3"/>
        <v>28400</v>
      </c>
      <c r="L33" s="576">
        <f t="shared" ca="1" si="4"/>
        <v>147000000</v>
      </c>
      <c r="M33" s="576"/>
      <c r="N33" s="566"/>
    </row>
    <row r="34" spans="1:14">
      <c r="A34" s="524">
        <f t="shared" ca="1" si="5"/>
        <v>21</v>
      </c>
      <c r="B34" s="572" t="str">
        <f ca="1">IF(ROWS($1:21)&gt;COUNT(Dong11),"",OFFSET(TH!D$1,SMALL(Dong11,ROWS($1:21)),))</f>
        <v>VL/N09</v>
      </c>
      <c r="C34" s="573">
        <f ca="1">IF(ROWS($1:21)&gt;COUNT(Dong11),"",OFFSET(TH!E$1,SMALL(Dong11,ROWS($1:21)),))</f>
        <v>42710</v>
      </c>
      <c r="D34" s="574" t="str">
        <f ca="1">IF(ROWS($1:21)&gt;COUNT(Dong11),"",OFFSET(TH!F$1,SMALL(Dong11,ROWS($1:21)),)&amp;" - "&amp;OFFSET(TH!H$1,SMALL(Dong11,ROWS($1:21)),))</f>
        <v xml:space="preserve">Thùng carton 50x29.5x19 - Cty TNHH SX TM Kim Dung Phát </v>
      </c>
      <c r="E34" s="572" t="str">
        <f ca="1">IF(ROWS($1:21)&gt;COUNT(Dong11),"",IF(OFFSET(TH!N$1,SMALL(Dong11,ROWS($1:21)),)=$G$7,OFFSET(TH!O$1,SMALL(Dong11,ROWS($1:21)),),OFFSET(TH!N$1,SMALL(Dong11,ROWS($1:21)),)))</f>
        <v>331</v>
      </c>
      <c r="F34" s="575">
        <f ca="1">IF(ROWS($1:21)&gt;COUNT(Dong11),0,OFFSET(TH!J$1,SMALL(Dong11,ROWS($1:21)),))</f>
        <v>7500</v>
      </c>
      <c r="G34" s="575">
        <f ca="1">IF(ROWS($1:21)&gt;COUNT(Dong11),0,IF(MID(OFFSET(TH!D$1,SMALL(Dong11,ROWS($1:21)),),4,1)="N",OFFSET(TH!I$1,SMALL(Dong11,ROWS($1:21)),),0))</f>
        <v>2400</v>
      </c>
      <c r="H34" s="576">
        <f t="shared" ca="1" si="6"/>
        <v>18000000</v>
      </c>
      <c r="I34" s="575">
        <f ca="1">IF(ROWS($1:21)&gt;COUNT(Dong11),0,IF(MID(OFFSET(TH!D$1,SMALL(Dong11,ROWS($1:21)),),4,1)="X",OFFSET(TH!I$1,SMALL(Dong11,ROWS($1:21)),),0))</f>
        <v>0</v>
      </c>
      <c r="J34" s="576">
        <f t="shared" ca="1" si="7"/>
        <v>0</v>
      </c>
      <c r="K34" s="576">
        <f t="shared" ca="1" si="3"/>
        <v>30800</v>
      </c>
      <c r="L34" s="576">
        <f t="shared" ca="1" si="4"/>
        <v>165000000</v>
      </c>
      <c r="M34" s="576"/>
      <c r="N34" s="566"/>
    </row>
    <row r="35" spans="1:14">
      <c r="A35" s="524">
        <f t="shared" ca="1" si="5"/>
        <v>22</v>
      </c>
      <c r="B35" s="572" t="str">
        <f ca="1">IF(ROWS($1:22)&gt;COUNT(Dong11),"",OFFSET(TH!D$1,SMALL(Dong11,ROWS($1:22)),))</f>
        <v>VL/N10</v>
      </c>
      <c r="C35" s="573">
        <f ca="1">IF(ROWS($1:22)&gt;COUNT(Dong11),"",OFFSET(TH!E$1,SMALL(Dong11,ROWS($1:22)),))</f>
        <v>42710</v>
      </c>
      <c r="D35" s="574" t="str">
        <f ca="1">IF(ROWS($1:22)&gt;COUNT(Dong11),"",OFFSET(TH!F$1,SMALL(Dong11,ROWS($1:22)),)&amp;" - "&amp;OFFSET(TH!H$1,SMALL(Dong11,ROWS($1:22)),))</f>
        <v>Thùng carton 50x29.5x19 - Cty TNHH Bao Bì Giấy Kim Dung Phát</v>
      </c>
      <c r="E35" s="572" t="str">
        <f ca="1">IF(ROWS($1:22)&gt;COUNT(Dong11),"",IF(OFFSET(TH!N$1,SMALL(Dong11,ROWS($1:22)),)=$G$7,OFFSET(TH!O$1,SMALL(Dong11,ROWS($1:22)),),OFFSET(TH!N$1,SMALL(Dong11,ROWS($1:22)),)))</f>
        <v>331</v>
      </c>
      <c r="F35" s="575">
        <f ca="1">IF(ROWS($1:22)&gt;COUNT(Dong11),0,OFFSET(TH!J$1,SMALL(Dong11,ROWS($1:22)),))</f>
        <v>7500</v>
      </c>
      <c r="G35" s="575">
        <f ca="1">IF(ROWS($1:22)&gt;COUNT(Dong11),0,IF(MID(OFFSET(TH!D$1,SMALL(Dong11,ROWS($1:22)),),4,1)="N",OFFSET(TH!I$1,SMALL(Dong11,ROWS($1:22)),),0))</f>
        <v>2400</v>
      </c>
      <c r="H35" s="576">
        <f t="shared" ca="1" si="6"/>
        <v>18000000</v>
      </c>
      <c r="I35" s="575">
        <f ca="1">IF(ROWS($1:22)&gt;COUNT(Dong11),0,IF(MID(OFFSET(TH!D$1,SMALL(Dong11,ROWS($1:22)),),4,1)="X",OFFSET(TH!I$1,SMALL(Dong11,ROWS($1:22)),),0))</f>
        <v>0</v>
      </c>
      <c r="J35" s="576">
        <f t="shared" ca="1" si="7"/>
        <v>0</v>
      </c>
      <c r="K35" s="576">
        <f t="shared" ca="1" si="3"/>
        <v>33200</v>
      </c>
      <c r="L35" s="576">
        <f t="shared" ca="1" si="4"/>
        <v>183000000</v>
      </c>
      <c r="M35" s="576"/>
      <c r="N35" s="566"/>
    </row>
    <row r="36" spans="1:14">
      <c r="A36" s="524">
        <f t="shared" ca="1" si="5"/>
        <v>23</v>
      </c>
      <c r="B36" s="572" t="str">
        <f ca="1">IF(ROWS($1:23)&gt;COUNT(Dong11),"",OFFSET(TH!D$1,SMALL(Dong11,ROWS($1:23)),))</f>
        <v>VL/N13</v>
      </c>
      <c r="C36" s="573">
        <f ca="1">IF(ROWS($1:23)&gt;COUNT(Dong11),"",OFFSET(TH!E$1,SMALL(Dong11,ROWS($1:23)),))</f>
        <v>42711</v>
      </c>
      <c r="D36" s="574" t="str">
        <f ca="1">IF(ROWS($1:23)&gt;COUNT(Dong11),"",OFFSET(TH!F$1,SMALL(Dong11,ROWS($1:23)),)&amp;" - "&amp;OFFSET(TH!H$1,SMALL(Dong11,ROWS($1:23)),))</f>
        <v xml:space="preserve">Thùng carton 50x29.5x19 - Cty TNHH SX TM Kim Dung Phát </v>
      </c>
      <c r="E36" s="572" t="str">
        <f ca="1">IF(ROWS($1:23)&gt;COUNT(Dong11),"",IF(OFFSET(TH!N$1,SMALL(Dong11,ROWS($1:23)),)=$G$7,OFFSET(TH!O$1,SMALL(Dong11,ROWS($1:23)),),OFFSET(TH!N$1,SMALL(Dong11,ROWS($1:23)),)))</f>
        <v>331</v>
      </c>
      <c r="F36" s="575">
        <f ca="1">IF(ROWS($1:23)&gt;COUNT(Dong11),0,OFFSET(TH!J$1,SMALL(Dong11,ROWS($1:23)),))</f>
        <v>7500</v>
      </c>
      <c r="G36" s="575">
        <f ca="1">IF(ROWS($1:23)&gt;COUNT(Dong11),0,IF(MID(OFFSET(TH!D$1,SMALL(Dong11,ROWS($1:23)),),4,1)="N",OFFSET(TH!I$1,SMALL(Dong11,ROWS($1:23)),),0))</f>
        <v>2400</v>
      </c>
      <c r="H36" s="576">
        <f t="shared" ca="1" si="6"/>
        <v>18000000</v>
      </c>
      <c r="I36" s="575">
        <f ca="1">IF(ROWS($1:23)&gt;COUNT(Dong11),0,IF(MID(OFFSET(TH!D$1,SMALL(Dong11,ROWS($1:23)),),4,1)="X",OFFSET(TH!I$1,SMALL(Dong11,ROWS($1:23)),),0))</f>
        <v>0</v>
      </c>
      <c r="J36" s="576">
        <f t="shared" ca="1" si="7"/>
        <v>0</v>
      </c>
      <c r="K36" s="576">
        <f t="shared" ca="1" si="3"/>
        <v>35600</v>
      </c>
      <c r="L36" s="576">
        <f t="shared" ca="1" si="4"/>
        <v>201000000</v>
      </c>
      <c r="M36" s="576"/>
      <c r="N36" s="566"/>
    </row>
    <row r="37" spans="1:14">
      <c r="A37" s="524">
        <f t="shared" ca="1" si="5"/>
        <v>24</v>
      </c>
      <c r="B37" s="572" t="str">
        <f ca="1">IF(ROWS($1:24)&gt;COUNT(Dong11),"",OFFSET(TH!D$1,SMALL(Dong11,ROWS($1:24)),))</f>
        <v>VL/N16</v>
      </c>
      <c r="C37" s="573">
        <f ca="1">IF(ROWS($1:24)&gt;COUNT(Dong11),"",OFFSET(TH!E$1,SMALL(Dong11,ROWS($1:24)),))</f>
        <v>42714</v>
      </c>
      <c r="D37" s="574" t="str">
        <f ca="1">IF(ROWS($1:24)&gt;COUNT(Dong11),"",OFFSET(TH!F$1,SMALL(Dong11,ROWS($1:24)),)&amp;" - "&amp;OFFSET(TH!H$1,SMALL(Dong11,ROWS($1:24)),))</f>
        <v xml:space="preserve">Thùng carton 50x29.5x19 - Cty TNHH SX TM Kim Dung Phát </v>
      </c>
      <c r="E37" s="572" t="str">
        <f ca="1">IF(ROWS($1:24)&gt;COUNT(Dong11),"",IF(OFFSET(TH!N$1,SMALL(Dong11,ROWS($1:24)),)=$G$7,OFFSET(TH!O$1,SMALL(Dong11,ROWS($1:24)),),OFFSET(TH!N$1,SMALL(Dong11,ROWS($1:24)),)))</f>
        <v>331</v>
      </c>
      <c r="F37" s="575">
        <f ca="1">IF(ROWS($1:24)&gt;COUNT(Dong11),0,OFFSET(TH!J$1,SMALL(Dong11,ROWS($1:24)),))</f>
        <v>7500</v>
      </c>
      <c r="G37" s="575">
        <f ca="1">IF(ROWS($1:24)&gt;COUNT(Dong11),0,IF(MID(OFFSET(TH!D$1,SMALL(Dong11,ROWS($1:24)),),4,1)="N",OFFSET(TH!I$1,SMALL(Dong11,ROWS($1:24)),),0))</f>
        <v>800</v>
      </c>
      <c r="H37" s="576">
        <f t="shared" ca="1" si="6"/>
        <v>6000000</v>
      </c>
      <c r="I37" s="575">
        <f ca="1">IF(ROWS($1:24)&gt;COUNT(Dong11),0,IF(MID(OFFSET(TH!D$1,SMALL(Dong11,ROWS($1:24)),),4,1)="X",OFFSET(TH!I$1,SMALL(Dong11,ROWS($1:24)),),0))</f>
        <v>0</v>
      </c>
      <c r="J37" s="576">
        <f t="shared" ca="1" si="7"/>
        <v>0</v>
      </c>
      <c r="K37" s="576">
        <f t="shared" ca="1" si="3"/>
        <v>36400</v>
      </c>
      <c r="L37" s="576">
        <f t="shared" ca="1" si="4"/>
        <v>207000000</v>
      </c>
      <c r="M37" s="576"/>
      <c r="N37" s="566"/>
    </row>
    <row r="38" spans="1:14">
      <c r="A38" s="524">
        <f t="shared" ca="1" si="5"/>
        <v>25</v>
      </c>
      <c r="B38" s="572" t="str">
        <f ca="1">IF(ROWS($1:25)&gt;COUNT(Dong11),"",OFFSET(TH!D$1,SMALL(Dong11,ROWS($1:25)),))</f>
        <v>VL/N14</v>
      </c>
      <c r="C38" s="573">
        <f ca="1">IF(ROWS($1:25)&gt;COUNT(Dong11),"",OFFSET(TH!E$1,SMALL(Dong11,ROWS($1:25)),))</f>
        <v>42713</v>
      </c>
      <c r="D38" s="574" t="str">
        <f ca="1">IF(ROWS($1:25)&gt;COUNT(Dong11),"",OFFSET(TH!F$1,SMALL(Dong11,ROWS($1:25)),)&amp;" - "&amp;OFFSET(TH!H$1,SMALL(Dong11,ROWS($1:25)),))</f>
        <v>Thùng carton 50x29.5x19 - Cty TNHH Bao Bì Giấy Kim Dung Phát</v>
      </c>
      <c r="E38" s="572" t="str">
        <f ca="1">IF(ROWS($1:25)&gt;COUNT(Dong11),"",IF(OFFSET(TH!N$1,SMALL(Dong11,ROWS($1:25)),)=$G$7,OFFSET(TH!O$1,SMALL(Dong11,ROWS($1:25)),),OFFSET(TH!N$1,SMALL(Dong11,ROWS($1:25)),)))</f>
        <v>331</v>
      </c>
      <c r="F38" s="575">
        <f ca="1">IF(ROWS($1:25)&gt;COUNT(Dong11),0,OFFSET(TH!J$1,SMALL(Dong11,ROWS($1:25)),))</f>
        <v>7500</v>
      </c>
      <c r="G38" s="575">
        <f ca="1">IF(ROWS($1:25)&gt;COUNT(Dong11),0,IF(MID(OFFSET(TH!D$1,SMALL(Dong11,ROWS($1:25)),),4,1)="N",OFFSET(TH!I$1,SMALL(Dong11,ROWS($1:25)),),0))</f>
        <v>2400</v>
      </c>
      <c r="H38" s="576">
        <f t="shared" ca="1" si="6"/>
        <v>18000000</v>
      </c>
      <c r="I38" s="575">
        <f ca="1">IF(ROWS($1:25)&gt;COUNT(Dong11),0,IF(MID(OFFSET(TH!D$1,SMALL(Dong11,ROWS($1:25)),),4,1)="X",OFFSET(TH!I$1,SMALL(Dong11,ROWS($1:25)),),0))</f>
        <v>0</v>
      </c>
      <c r="J38" s="576">
        <f t="shared" ca="1" si="7"/>
        <v>0</v>
      </c>
      <c r="K38" s="576">
        <f t="shared" ca="1" si="3"/>
        <v>38800</v>
      </c>
      <c r="L38" s="576">
        <f t="shared" ca="1" si="4"/>
        <v>225000000</v>
      </c>
      <c r="M38" s="576"/>
      <c r="N38" s="566"/>
    </row>
    <row r="39" spans="1:14">
      <c r="A39" s="524">
        <f t="shared" ca="1" si="5"/>
        <v>26</v>
      </c>
      <c r="B39" s="572" t="str">
        <f ca="1">IF(ROWS($1:26)&gt;COUNT(Dong11),"",OFFSET(TH!D$1,SMALL(Dong11,ROWS($1:26)),))</f>
        <v>VL/N19</v>
      </c>
      <c r="C39" s="573">
        <f ca="1">IF(ROWS($1:26)&gt;COUNT(Dong11),"",OFFSET(TH!E$1,SMALL(Dong11,ROWS($1:26)),))</f>
        <v>42716</v>
      </c>
      <c r="D39" s="574" t="str">
        <f ca="1">IF(ROWS($1:26)&gt;COUNT(Dong11),"",OFFSET(TH!F$1,SMALL(Dong11,ROWS($1:26)),)&amp;" - "&amp;OFFSET(TH!H$1,SMALL(Dong11,ROWS($1:26)),))</f>
        <v xml:space="preserve">Thùng carton 50x29.5x19 - Cty TNHH SX TM Kim Dung Phát </v>
      </c>
      <c r="E39" s="572" t="str">
        <f ca="1">IF(ROWS($1:26)&gt;COUNT(Dong11),"",IF(OFFSET(TH!N$1,SMALL(Dong11,ROWS($1:26)),)=$G$7,OFFSET(TH!O$1,SMALL(Dong11,ROWS($1:26)),),OFFSET(TH!N$1,SMALL(Dong11,ROWS($1:26)),)))</f>
        <v>331</v>
      </c>
      <c r="F39" s="575">
        <f ca="1">IF(ROWS($1:26)&gt;COUNT(Dong11),0,OFFSET(TH!J$1,SMALL(Dong11,ROWS($1:26)),))</f>
        <v>7500</v>
      </c>
      <c r="G39" s="575">
        <f ca="1">IF(ROWS($1:26)&gt;COUNT(Dong11),0,IF(MID(OFFSET(TH!D$1,SMALL(Dong11,ROWS($1:26)),),4,1)="N",OFFSET(TH!I$1,SMALL(Dong11,ROWS($1:26)),),0))</f>
        <v>2400</v>
      </c>
      <c r="H39" s="576">
        <f t="shared" ca="1" si="6"/>
        <v>18000000</v>
      </c>
      <c r="I39" s="575">
        <f ca="1">IF(ROWS($1:26)&gt;COUNT(Dong11),0,IF(MID(OFFSET(TH!D$1,SMALL(Dong11,ROWS($1:26)),),4,1)="X",OFFSET(TH!I$1,SMALL(Dong11,ROWS($1:26)),),0))</f>
        <v>0</v>
      </c>
      <c r="J39" s="576">
        <f t="shared" ca="1" si="7"/>
        <v>0</v>
      </c>
      <c r="K39" s="576">
        <f t="shared" ca="1" si="3"/>
        <v>41200</v>
      </c>
      <c r="L39" s="576">
        <f t="shared" ca="1" si="4"/>
        <v>243000000</v>
      </c>
      <c r="M39" s="576"/>
      <c r="N39" s="566"/>
    </row>
    <row r="40" spans="1:14">
      <c r="A40" s="524">
        <f t="shared" ca="1" si="5"/>
        <v>27</v>
      </c>
      <c r="B40" s="572" t="str">
        <f ca="1">IF(ROWS($1:27)&gt;COUNT(Dong11),"",OFFSET(TH!D$1,SMALL(Dong11,ROWS($1:27)),))</f>
        <v>VL/N15</v>
      </c>
      <c r="C40" s="573">
        <f ca="1">IF(ROWS($1:27)&gt;COUNT(Dong11),"",OFFSET(TH!E$1,SMALL(Dong11,ROWS($1:27)),))</f>
        <v>42714</v>
      </c>
      <c r="D40" s="574" t="str">
        <f ca="1">IF(ROWS($1:27)&gt;COUNT(Dong11),"",OFFSET(TH!F$1,SMALL(Dong11,ROWS($1:27)),)&amp;" - "&amp;OFFSET(TH!H$1,SMALL(Dong11,ROWS($1:27)),))</f>
        <v>Thùng carton 50x29.5x19 - Cty TNHH Bao Bì Giấy Kim Dung Phát</v>
      </c>
      <c r="E40" s="572" t="str">
        <f ca="1">IF(ROWS($1:27)&gt;COUNT(Dong11),"",IF(OFFSET(TH!N$1,SMALL(Dong11,ROWS($1:27)),)=$G$7,OFFSET(TH!O$1,SMALL(Dong11,ROWS($1:27)),),OFFSET(TH!N$1,SMALL(Dong11,ROWS($1:27)),)))</f>
        <v>331</v>
      </c>
      <c r="F40" s="575">
        <f ca="1">IF(ROWS($1:27)&gt;COUNT(Dong11),0,OFFSET(TH!J$1,SMALL(Dong11,ROWS($1:27)),))</f>
        <v>7500</v>
      </c>
      <c r="G40" s="575">
        <f ca="1">IF(ROWS($1:27)&gt;COUNT(Dong11),0,IF(MID(OFFSET(TH!D$1,SMALL(Dong11,ROWS($1:27)),),4,1)="N",OFFSET(TH!I$1,SMALL(Dong11,ROWS($1:27)),),0))</f>
        <v>2400</v>
      </c>
      <c r="H40" s="576">
        <f t="shared" ca="1" si="6"/>
        <v>18000000</v>
      </c>
      <c r="I40" s="575">
        <f ca="1">IF(ROWS($1:27)&gt;COUNT(Dong11),0,IF(MID(OFFSET(TH!D$1,SMALL(Dong11,ROWS($1:27)),),4,1)="X",OFFSET(TH!I$1,SMALL(Dong11,ROWS($1:27)),),0))</f>
        <v>0</v>
      </c>
      <c r="J40" s="576">
        <f t="shared" ca="1" si="7"/>
        <v>0</v>
      </c>
      <c r="K40" s="576">
        <f t="shared" ca="1" si="3"/>
        <v>43600</v>
      </c>
      <c r="L40" s="576">
        <f t="shared" ca="1" si="4"/>
        <v>261000000</v>
      </c>
      <c r="M40" s="576"/>
      <c r="N40" s="566"/>
    </row>
    <row r="41" spans="1:14">
      <c r="A41" s="524">
        <f t="shared" ca="1" si="5"/>
        <v>28</v>
      </c>
      <c r="B41" s="572" t="str">
        <f ca="1">IF(ROWS($1:28)&gt;COUNT(Dong11),"",OFFSET(TH!D$1,SMALL(Dong11,ROWS($1:28)),))</f>
        <v>VL/N20</v>
      </c>
      <c r="C41" s="573">
        <f ca="1">IF(ROWS($1:28)&gt;COUNT(Dong11),"",OFFSET(TH!E$1,SMALL(Dong11,ROWS($1:28)),))</f>
        <v>42717</v>
      </c>
      <c r="D41" s="574" t="str">
        <f ca="1">IF(ROWS($1:28)&gt;COUNT(Dong11),"",OFFSET(TH!F$1,SMALL(Dong11,ROWS($1:28)),)&amp;" - "&amp;OFFSET(TH!H$1,SMALL(Dong11,ROWS($1:28)),))</f>
        <v xml:space="preserve">Thùng carton 50x29.5x19 - Cty TNHH SX TM Kim Dung Phát </v>
      </c>
      <c r="E41" s="572" t="str">
        <f ca="1">IF(ROWS($1:28)&gt;COUNT(Dong11),"",IF(OFFSET(TH!N$1,SMALL(Dong11,ROWS($1:28)),)=$G$7,OFFSET(TH!O$1,SMALL(Dong11,ROWS($1:28)),),OFFSET(TH!N$1,SMALL(Dong11,ROWS($1:28)),)))</f>
        <v>331</v>
      </c>
      <c r="F41" s="575">
        <f ca="1">IF(ROWS($1:28)&gt;COUNT(Dong11),0,OFFSET(TH!J$1,SMALL(Dong11,ROWS($1:28)),))</f>
        <v>7500</v>
      </c>
      <c r="G41" s="575">
        <f ca="1">IF(ROWS($1:28)&gt;COUNT(Dong11),0,IF(MID(OFFSET(TH!D$1,SMALL(Dong11,ROWS($1:28)),),4,1)="N",OFFSET(TH!I$1,SMALL(Dong11,ROWS($1:28)),),0))</f>
        <v>2400</v>
      </c>
      <c r="H41" s="576">
        <f t="shared" ca="1" si="6"/>
        <v>18000000</v>
      </c>
      <c r="I41" s="575">
        <f ca="1">IF(ROWS($1:28)&gt;COUNT(Dong11),0,IF(MID(OFFSET(TH!D$1,SMALL(Dong11,ROWS($1:28)),),4,1)="X",OFFSET(TH!I$1,SMALL(Dong11,ROWS($1:28)),),0))</f>
        <v>0</v>
      </c>
      <c r="J41" s="576">
        <f t="shared" ca="1" si="7"/>
        <v>0</v>
      </c>
      <c r="K41" s="576">
        <f t="shared" ca="1" si="3"/>
        <v>46000</v>
      </c>
      <c r="L41" s="576">
        <f t="shared" ca="1" si="4"/>
        <v>279000000</v>
      </c>
      <c r="M41" s="576"/>
      <c r="N41" s="566"/>
    </row>
    <row r="42" spans="1:14">
      <c r="A42" s="524">
        <f t="shared" ca="1" si="5"/>
        <v>29</v>
      </c>
      <c r="B42" s="572" t="str">
        <f ca="1">IF(ROWS($1:29)&gt;COUNT(Dong11),"",OFFSET(TH!D$1,SMALL(Dong11,ROWS($1:29)),))</f>
        <v>VL/N17</v>
      </c>
      <c r="C42" s="573">
        <f ca="1">IF(ROWS($1:29)&gt;COUNT(Dong11),"",OFFSET(TH!E$1,SMALL(Dong11,ROWS($1:29)),))</f>
        <v>42715</v>
      </c>
      <c r="D42" s="574" t="str">
        <f ca="1">IF(ROWS($1:29)&gt;COUNT(Dong11),"",OFFSET(TH!F$1,SMALL(Dong11,ROWS($1:29)),)&amp;" - "&amp;OFFSET(TH!H$1,SMALL(Dong11,ROWS($1:29)),))</f>
        <v>Thùng carton 50x29.5x19 - Cty TNHH Bao Bì Giấy Kim Dung Phát</v>
      </c>
      <c r="E42" s="572" t="str">
        <f ca="1">IF(ROWS($1:29)&gt;COUNT(Dong11),"",IF(OFFSET(TH!N$1,SMALL(Dong11,ROWS($1:29)),)=$G$7,OFFSET(TH!O$1,SMALL(Dong11,ROWS($1:29)),),OFFSET(TH!N$1,SMALL(Dong11,ROWS($1:29)),)))</f>
        <v>331</v>
      </c>
      <c r="F42" s="575">
        <f ca="1">IF(ROWS($1:29)&gt;COUNT(Dong11),0,OFFSET(TH!J$1,SMALL(Dong11,ROWS($1:29)),))</f>
        <v>7500</v>
      </c>
      <c r="G42" s="575">
        <f ca="1">IF(ROWS($1:29)&gt;COUNT(Dong11),0,IF(MID(OFFSET(TH!D$1,SMALL(Dong11,ROWS($1:29)),),4,1)="N",OFFSET(TH!I$1,SMALL(Dong11,ROWS($1:29)),),0))</f>
        <v>2400</v>
      </c>
      <c r="H42" s="576">
        <f t="shared" ca="1" si="6"/>
        <v>18000000</v>
      </c>
      <c r="I42" s="575">
        <f ca="1">IF(ROWS($1:29)&gt;COUNT(Dong11),0,IF(MID(OFFSET(TH!D$1,SMALL(Dong11,ROWS($1:29)),),4,1)="X",OFFSET(TH!I$1,SMALL(Dong11,ROWS($1:29)),),0))</f>
        <v>0</v>
      </c>
      <c r="J42" s="576">
        <f t="shared" ca="1" si="7"/>
        <v>0</v>
      </c>
      <c r="K42" s="576">
        <f t="shared" ca="1" si="3"/>
        <v>48400</v>
      </c>
      <c r="L42" s="576">
        <f t="shared" ca="1" si="4"/>
        <v>297000000</v>
      </c>
      <c r="M42" s="576"/>
      <c r="N42" s="566"/>
    </row>
    <row r="43" spans="1:14">
      <c r="A43" s="524">
        <f t="shared" ca="1" si="5"/>
        <v>30</v>
      </c>
      <c r="B43" s="572" t="str">
        <f ca="1">IF(ROWS($1:30)&gt;COUNT(Dong11),"",OFFSET(TH!D$1,SMALL(Dong11,ROWS($1:30)),))</f>
        <v>VL/N18</v>
      </c>
      <c r="C43" s="573">
        <f ca="1">IF(ROWS($1:30)&gt;COUNT(Dong11),"",OFFSET(TH!E$1,SMALL(Dong11,ROWS($1:30)),))</f>
        <v>42716</v>
      </c>
      <c r="D43" s="574" t="str">
        <f ca="1">IF(ROWS($1:30)&gt;COUNT(Dong11),"",OFFSET(TH!F$1,SMALL(Dong11,ROWS($1:30)),)&amp;" - "&amp;OFFSET(TH!H$1,SMALL(Dong11,ROWS($1:30)),))</f>
        <v>Thùng carton 50x29.5x19 - Cty TNHH Bao Bì Giấy Kim Dung Phát</v>
      </c>
      <c r="E43" s="572" t="str">
        <f ca="1">IF(ROWS($1:30)&gt;COUNT(Dong11),"",IF(OFFSET(TH!N$1,SMALL(Dong11,ROWS($1:30)),)=$G$7,OFFSET(TH!O$1,SMALL(Dong11,ROWS($1:30)),),OFFSET(TH!N$1,SMALL(Dong11,ROWS($1:30)),)))</f>
        <v>331</v>
      </c>
      <c r="F43" s="575">
        <f ca="1">IF(ROWS($1:30)&gt;COUNT(Dong11),0,OFFSET(TH!J$1,SMALL(Dong11,ROWS($1:30)),))</f>
        <v>7500</v>
      </c>
      <c r="G43" s="575">
        <f ca="1">IF(ROWS($1:30)&gt;COUNT(Dong11),0,IF(MID(OFFSET(TH!D$1,SMALL(Dong11,ROWS($1:30)),),4,1)="N",OFFSET(TH!I$1,SMALL(Dong11,ROWS($1:30)),),0))</f>
        <v>2400</v>
      </c>
      <c r="H43" s="576">
        <f t="shared" ca="1" si="6"/>
        <v>18000000</v>
      </c>
      <c r="I43" s="575">
        <f ca="1">IF(ROWS($1:30)&gt;COUNT(Dong11),0,IF(MID(OFFSET(TH!D$1,SMALL(Dong11,ROWS($1:30)),),4,1)="X",OFFSET(TH!I$1,SMALL(Dong11,ROWS($1:30)),),0))</f>
        <v>0</v>
      </c>
      <c r="J43" s="576">
        <f t="shared" ca="1" si="7"/>
        <v>0</v>
      </c>
      <c r="K43" s="576">
        <f t="shared" ca="1" si="3"/>
        <v>50800</v>
      </c>
      <c r="L43" s="576">
        <f t="shared" ca="1" si="4"/>
        <v>315000000</v>
      </c>
      <c r="M43" s="576"/>
      <c r="N43" s="566"/>
    </row>
    <row r="44" spans="1:14">
      <c r="A44" s="524">
        <f t="shared" ca="1" si="5"/>
        <v>31</v>
      </c>
      <c r="B44" s="572" t="str">
        <f ca="1">IF(ROWS($1:31)&gt;COUNT(Dong11),"",OFFSET(TH!D$1,SMALL(Dong11,ROWS($1:31)),))</f>
        <v>VL/N22</v>
      </c>
      <c r="C44" s="573">
        <f ca="1">IF(ROWS($1:31)&gt;COUNT(Dong11),"",OFFSET(TH!E$1,SMALL(Dong11,ROWS($1:31)),))</f>
        <v>42719</v>
      </c>
      <c r="D44" s="574" t="str">
        <f ca="1">IF(ROWS($1:31)&gt;COUNT(Dong11),"",OFFSET(TH!F$1,SMALL(Dong11,ROWS($1:31)),)&amp;" - "&amp;OFFSET(TH!H$1,SMALL(Dong11,ROWS($1:31)),))</f>
        <v>Thùng carton 50x29.5x19 - Cty TNHH Bao Bì Giấy Kim Dung Phát</v>
      </c>
      <c r="E44" s="572" t="str">
        <f ca="1">IF(ROWS($1:31)&gt;COUNT(Dong11),"",IF(OFFSET(TH!N$1,SMALL(Dong11,ROWS($1:31)),)=$G$7,OFFSET(TH!O$1,SMALL(Dong11,ROWS($1:31)),),OFFSET(TH!N$1,SMALL(Dong11,ROWS($1:31)),)))</f>
        <v>331</v>
      </c>
      <c r="F44" s="575">
        <f ca="1">IF(ROWS($1:31)&gt;COUNT(Dong11),0,OFFSET(TH!J$1,SMALL(Dong11,ROWS($1:31)),))</f>
        <v>7500</v>
      </c>
      <c r="G44" s="575">
        <f ca="1">IF(ROWS($1:31)&gt;COUNT(Dong11),0,IF(MID(OFFSET(TH!D$1,SMALL(Dong11,ROWS($1:31)),),4,1)="N",OFFSET(TH!I$1,SMALL(Dong11,ROWS($1:31)),),0))</f>
        <v>2400</v>
      </c>
      <c r="H44" s="576">
        <f t="shared" ca="1" si="6"/>
        <v>18000000</v>
      </c>
      <c r="I44" s="575">
        <f ca="1">IF(ROWS($1:31)&gt;COUNT(Dong11),0,IF(MID(OFFSET(TH!D$1,SMALL(Dong11,ROWS($1:31)),),4,1)="X",OFFSET(TH!I$1,SMALL(Dong11,ROWS($1:31)),),0))</f>
        <v>0</v>
      </c>
      <c r="J44" s="576">
        <f t="shared" ca="1" si="7"/>
        <v>0</v>
      </c>
      <c r="K44" s="576">
        <f t="shared" ca="1" si="3"/>
        <v>53200</v>
      </c>
      <c r="L44" s="576">
        <f t="shared" ca="1" si="4"/>
        <v>333000000</v>
      </c>
      <c r="M44" s="576"/>
      <c r="N44" s="566"/>
    </row>
    <row r="45" spans="1:14">
      <c r="A45" s="524">
        <f t="shared" ca="1" si="5"/>
        <v>32</v>
      </c>
      <c r="B45" s="572" t="str">
        <f ca="1">IF(ROWS($1:32)&gt;COUNT(Dong11),"",OFFSET(TH!D$1,SMALL(Dong11,ROWS($1:32)),))</f>
        <v>VL/N21</v>
      </c>
      <c r="C45" s="573">
        <f ca="1">IF(ROWS($1:32)&gt;COUNT(Dong11),"",OFFSET(TH!E$1,SMALL(Dong11,ROWS($1:32)),))</f>
        <v>42718</v>
      </c>
      <c r="D45" s="574" t="str">
        <f ca="1">IF(ROWS($1:32)&gt;COUNT(Dong11),"",OFFSET(TH!F$1,SMALL(Dong11,ROWS($1:32)),)&amp;" - "&amp;OFFSET(TH!H$1,SMALL(Dong11,ROWS($1:32)),))</f>
        <v xml:space="preserve">Thùng carton 50x29.5x19 - Cty TNHH SX TM Kim Dung Phát </v>
      </c>
      <c r="E45" s="572" t="str">
        <f ca="1">IF(ROWS($1:32)&gt;COUNT(Dong11),"",IF(OFFSET(TH!N$1,SMALL(Dong11,ROWS($1:32)),)=$G$7,OFFSET(TH!O$1,SMALL(Dong11,ROWS($1:32)),),OFFSET(TH!N$1,SMALL(Dong11,ROWS($1:32)),)))</f>
        <v>331</v>
      </c>
      <c r="F45" s="575">
        <f ca="1">IF(ROWS($1:32)&gt;COUNT(Dong11),0,OFFSET(TH!J$1,SMALL(Dong11,ROWS($1:32)),))</f>
        <v>7500</v>
      </c>
      <c r="G45" s="575">
        <f ca="1">IF(ROWS($1:32)&gt;COUNT(Dong11),0,IF(MID(OFFSET(TH!D$1,SMALL(Dong11,ROWS($1:32)),),4,1)="N",OFFSET(TH!I$1,SMALL(Dong11,ROWS($1:32)),),0))</f>
        <v>2400</v>
      </c>
      <c r="H45" s="576">
        <f t="shared" ca="1" si="6"/>
        <v>18000000</v>
      </c>
      <c r="I45" s="575">
        <f ca="1">IF(ROWS($1:32)&gt;COUNT(Dong11),0,IF(MID(OFFSET(TH!D$1,SMALL(Dong11,ROWS($1:32)),),4,1)="X",OFFSET(TH!I$1,SMALL(Dong11,ROWS($1:32)),),0))</f>
        <v>0</v>
      </c>
      <c r="J45" s="576">
        <f t="shared" ca="1" si="7"/>
        <v>0</v>
      </c>
      <c r="K45" s="576">
        <f t="shared" ca="1" si="3"/>
        <v>55600</v>
      </c>
      <c r="L45" s="576">
        <f t="shared" ca="1" si="4"/>
        <v>351000000</v>
      </c>
      <c r="M45" s="576"/>
      <c r="N45" s="566"/>
    </row>
    <row r="46" spans="1:14">
      <c r="A46" s="524">
        <f t="shared" ref="A46:A55" ca="1" si="8">IF(B46="","",A45+1)</f>
        <v>33</v>
      </c>
      <c r="B46" s="572" t="str">
        <f ca="1">IF(ROWS($1:33)&gt;COUNT(Dong11),"",OFFSET(TH!D$1,SMALL(Dong11,ROWS($1:33)),))</f>
        <v>VL/N23</v>
      </c>
      <c r="C46" s="573">
        <f ca="1">IF(ROWS($1:33)&gt;COUNT(Dong11),"",OFFSET(TH!E$1,SMALL(Dong11,ROWS($1:33)),))</f>
        <v>42719</v>
      </c>
      <c r="D46" s="574" t="str">
        <f ca="1">IF(ROWS($1:33)&gt;COUNT(Dong11),"",OFFSET(TH!F$1,SMALL(Dong11,ROWS($1:33)),)&amp;" - "&amp;OFFSET(TH!H$1,SMALL(Dong11,ROWS($1:33)),))</f>
        <v xml:space="preserve">Thùng carton 50x29.5x19 - Cty TNHH SX TM Kim Dung Phát </v>
      </c>
      <c r="E46" s="572" t="str">
        <f ca="1">IF(ROWS($1:33)&gt;COUNT(Dong11),"",IF(OFFSET(TH!N$1,SMALL(Dong11,ROWS($1:33)),)=$G$7,OFFSET(TH!O$1,SMALL(Dong11,ROWS($1:33)),),OFFSET(TH!N$1,SMALL(Dong11,ROWS($1:33)),)))</f>
        <v>331</v>
      </c>
      <c r="F46" s="575">
        <f ca="1">IF(ROWS($1:33)&gt;COUNT(Dong11),0,OFFSET(TH!J$1,SMALL(Dong11,ROWS($1:33)),))</f>
        <v>7500</v>
      </c>
      <c r="G46" s="575">
        <f ca="1">IF(ROWS($1:33)&gt;COUNT(Dong11),0,IF(MID(OFFSET(TH!D$1,SMALL(Dong11,ROWS($1:33)),),4,1)="N",OFFSET(TH!I$1,SMALL(Dong11,ROWS($1:33)),),0))</f>
        <v>2400</v>
      </c>
      <c r="H46" s="576">
        <f t="shared" ref="H46:H55" ca="1" si="9">ROUND(F46*G46,0)</f>
        <v>18000000</v>
      </c>
      <c r="I46" s="575">
        <f ca="1">IF(ROWS($1:33)&gt;COUNT(Dong11),0,IF(MID(OFFSET(TH!D$1,SMALL(Dong11,ROWS($1:33)),),4,1)="X",OFFSET(TH!I$1,SMALL(Dong11,ROWS($1:33)),),0))</f>
        <v>0</v>
      </c>
      <c r="J46" s="576">
        <f t="shared" ref="J46:J55" ca="1" si="10">ROUND(F46*I46,0)</f>
        <v>0</v>
      </c>
      <c r="K46" s="576">
        <f t="shared" ca="1" si="3"/>
        <v>58000</v>
      </c>
      <c r="L46" s="576">
        <f t="shared" ca="1" si="4"/>
        <v>369000000</v>
      </c>
      <c r="M46" s="576"/>
      <c r="N46" s="566"/>
    </row>
    <row r="47" spans="1:14">
      <c r="A47" s="524">
        <f t="shared" ca="1" si="8"/>
        <v>34</v>
      </c>
      <c r="B47" s="572" t="str">
        <f ca="1">IF(ROWS($1:34)&gt;COUNT(Dong11),"",OFFSET(TH!D$1,SMALL(Dong11,ROWS($1:34)),))</f>
        <v>VL/N24</v>
      </c>
      <c r="C47" s="573">
        <f ca="1">IF(ROWS($1:34)&gt;COUNT(Dong11),"",OFFSET(TH!E$1,SMALL(Dong11,ROWS($1:34)),))</f>
        <v>42720</v>
      </c>
      <c r="D47" s="574" t="str">
        <f ca="1">IF(ROWS($1:34)&gt;COUNT(Dong11),"",OFFSET(TH!F$1,SMALL(Dong11,ROWS($1:34)),)&amp;" - "&amp;OFFSET(TH!H$1,SMALL(Dong11,ROWS($1:34)),))</f>
        <v>Thùng carton 50x29.5x19 - Cty TNHH Bao Bì Giấy Kim Dung Phát</v>
      </c>
      <c r="E47" s="572" t="str">
        <f ca="1">IF(ROWS($1:34)&gt;COUNT(Dong11),"",IF(OFFSET(TH!N$1,SMALL(Dong11,ROWS($1:34)),)=$G$7,OFFSET(TH!O$1,SMALL(Dong11,ROWS($1:34)),),OFFSET(TH!N$1,SMALL(Dong11,ROWS($1:34)),)))</f>
        <v>331</v>
      </c>
      <c r="F47" s="575">
        <f ca="1">IF(ROWS($1:34)&gt;COUNT(Dong11),0,OFFSET(TH!J$1,SMALL(Dong11,ROWS($1:34)),))</f>
        <v>7500</v>
      </c>
      <c r="G47" s="575">
        <f ca="1">IF(ROWS($1:34)&gt;COUNT(Dong11),0,IF(MID(OFFSET(TH!D$1,SMALL(Dong11,ROWS($1:34)),),4,1)="N",OFFSET(TH!I$1,SMALL(Dong11,ROWS($1:34)),),0))</f>
        <v>2400</v>
      </c>
      <c r="H47" s="576">
        <f t="shared" ca="1" si="9"/>
        <v>18000000</v>
      </c>
      <c r="I47" s="575">
        <f ca="1">IF(ROWS($1:34)&gt;COUNT(Dong11),0,IF(MID(OFFSET(TH!D$1,SMALL(Dong11,ROWS($1:34)),),4,1)="X",OFFSET(TH!I$1,SMALL(Dong11,ROWS($1:34)),),0))</f>
        <v>0</v>
      </c>
      <c r="J47" s="576">
        <f t="shared" ca="1" si="10"/>
        <v>0</v>
      </c>
      <c r="K47" s="576">
        <f t="shared" ca="1" si="3"/>
        <v>60400</v>
      </c>
      <c r="L47" s="576">
        <f t="shared" ca="1" si="4"/>
        <v>387000000</v>
      </c>
      <c r="M47" s="576"/>
      <c r="N47" s="566"/>
    </row>
    <row r="48" spans="1:14">
      <c r="A48" s="524">
        <f t="shared" ca="1" si="8"/>
        <v>35</v>
      </c>
      <c r="B48" s="572" t="str">
        <f ca="1">IF(ROWS($1:35)&gt;COUNT(Dong11),"",OFFSET(TH!D$1,SMALL(Dong11,ROWS($1:35)),))</f>
        <v>VL/N26</v>
      </c>
      <c r="C48" s="573">
        <f ca="1">IF(ROWS($1:35)&gt;COUNT(Dong11),"",OFFSET(TH!E$1,SMALL(Dong11,ROWS($1:35)),))</f>
        <v>42721</v>
      </c>
      <c r="D48" s="574" t="str">
        <f ca="1">IF(ROWS($1:35)&gt;COUNT(Dong11),"",OFFSET(TH!F$1,SMALL(Dong11,ROWS($1:35)),)&amp;" - "&amp;OFFSET(TH!H$1,SMALL(Dong11,ROWS($1:35)),))</f>
        <v>Thùng carton 50x29.5x19 - Cty TNHH Bao Bì Giấy Kim Dung Phát</v>
      </c>
      <c r="E48" s="572" t="str">
        <f ca="1">IF(ROWS($1:35)&gt;COUNT(Dong11),"",IF(OFFSET(TH!N$1,SMALL(Dong11,ROWS($1:35)),)=$G$7,OFFSET(TH!O$1,SMALL(Dong11,ROWS($1:35)),),OFFSET(TH!N$1,SMALL(Dong11,ROWS($1:35)),)))</f>
        <v>331</v>
      </c>
      <c r="F48" s="575">
        <f ca="1">IF(ROWS($1:35)&gt;COUNT(Dong11),0,OFFSET(TH!J$1,SMALL(Dong11,ROWS($1:35)),))</f>
        <v>7500</v>
      </c>
      <c r="G48" s="575">
        <f ca="1">IF(ROWS($1:35)&gt;COUNT(Dong11),0,IF(MID(OFFSET(TH!D$1,SMALL(Dong11,ROWS($1:35)),),4,1)="N",OFFSET(TH!I$1,SMALL(Dong11,ROWS($1:35)),),0))</f>
        <v>2400</v>
      </c>
      <c r="H48" s="576">
        <f t="shared" ca="1" si="9"/>
        <v>18000000</v>
      </c>
      <c r="I48" s="575">
        <f ca="1">IF(ROWS($1:35)&gt;COUNT(Dong11),0,IF(MID(OFFSET(TH!D$1,SMALL(Dong11,ROWS($1:35)),),4,1)="X",OFFSET(TH!I$1,SMALL(Dong11,ROWS($1:35)),),0))</f>
        <v>0</v>
      </c>
      <c r="J48" s="576">
        <f t="shared" ca="1" si="10"/>
        <v>0</v>
      </c>
      <c r="K48" s="576">
        <f t="shared" ca="1" si="3"/>
        <v>62800</v>
      </c>
      <c r="L48" s="576">
        <f t="shared" ca="1" si="4"/>
        <v>405000000</v>
      </c>
      <c r="M48" s="576"/>
      <c r="N48" s="566"/>
    </row>
    <row r="49" spans="1:14">
      <c r="A49" s="524">
        <f t="shared" ca="1" si="8"/>
        <v>36</v>
      </c>
      <c r="B49" s="572" t="str">
        <f ca="1">IF(ROWS($1:36)&gt;COUNT(Dong11),"",OFFSET(TH!D$1,SMALL(Dong11,ROWS($1:36)),))</f>
        <v>VL/N28</v>
      </c>
      <c r="C49" s="573">
        <f ca="1">IF(ROWS($1:36)&gt;COUNT(Dong11),"",OFFSET(TH!E$1,SMALL(Dong11,ROWS($1:36)),))</f>
        <v>42722</v>
      </c>
      <c r="D49" s="574" t="str">
        <f ca="1">IF(ROWS($1:36)&gt;COUNT(Dong11),"",OFFSET(TH!F$1,SMALL(Dong11,ROWS($1:36)),)&amp;" - "&amp;OFFSET(TH!H$1,SMALL(Dong11,ROWS($1:36)),))</f>
        <v>Thùng carton 50x29.5x19 - Cty TNHH Bao Bì Giấy Kim Dung Phát</v>
      </c>
      <c r="E49" s="572" t="str">
        <f ca="1">IF(ROWS($1:36)&gt;COUNT(Dong11),"",IF(OFFSET(TH!N$1,SMALL(Dong11,ROWS($1:36)),)=$G$7,OFFSET(TH!O$1,SMALL(Dong11,ROWS($1:36)),),OFFSET(TH!N$1,SMALL(Dong11,ROWS($1:36)),)))</f>
        <v>331</v>
      </c>
      <c r="F49" s="575">
        <f ca="1">IF(ROWS($1:36)&gt;COUNT(Dong11),0,OFFSET(TH!J$1,SMALL(Dong11,ROWS($1:36)),))</f>
        <v>7500</v>
      </c>
      <c r="G49" s="575">
        <f ca="1">IF(ROWS($1:36)&gt;COUNT(Dong11),0,IF(MID(OFFSET(TH!D$1,SMALL(Dong11,ROWS($1:36)),),4,1)="N",OFFSET(TH!I$1,SMALL(Dong11,ROWS($1:36)),),0))</f>
        <v>2400</v>
      </c>
      <c r="H49" s="576">
        <f t="shared" ca="1" si="9"/>
        <v>18000000</v>
      </c>
      <c r="I49" s="575">
        <f ca="1">IF(ROWS($1:36)&gt;COUNT(Dong11),0,IF(MID(OFFSET(TH!D$1,SMALL(Dong11,ROWS($1:36)),),4,1)="X",OFFSET(TH!I$1,SMALL(Dong11,ROWS($1:36)),),0))</f>
        <v>0</v>
      </c>
      <c r="J49" s="576">
        <f t="shared" ca="1" si="10"/>
        <v>0</v>
      </c>
      <c r="K49" s="576">
        <f t="shared" ca="1" si="3"/>
        <v>65200</v>
      </c>
      <c r="L49" s="576">
        <f t="shared" ca="1" si="4"/>
        <v>423000000</v>
      </c>
      <c r="M49" s="576"/>
      <c r="N49" s="566"/>
    </row>
    <row r="50" spans="1:14">
      <c r="A50" s="524">
        <f t="shared" ca="1" si="8"/>
        <v>37</v>
      </c>
      <c r="B50" s="572" t="str">
        <f ca="1">IF(ROWS($1:37)&gt;COUNT(Dong11),"",OFFSET(TH!D$1,SMALL(Dong11,ROWS($1:37)),))</f>
        <v>VL/N29</v>
      </c>
      <c r="C50" s="573">
        <f ca="1">IF(ROWS($1:37)&gt;COUNT(Dong11),"",OFFSET(TH!E$1,SMALL(Dong11,ROWS($1:37)),))</f>
        <v>42723</v>
      </c>
      <c r="D50" s="574" t="str">
        <f ca="1">IF(ROWS($1:37)&gt;COUNT(Dong11),"",OFFSET(TH!F$1,SMALL(Dong11,ROWS($1:37)),)&amp;" - "&amp;OFFSET(TH!H$1,SMALL(Dong11,ROWS($1:37)),))</f>
        <v>Thùng carton 50x29.5x19 - Cty TNHH Bao Bì Giấy Kim Dung Phát</v>
      </c>
      <c r="E50" s="572" t="str">
        <f ca="1">IF(ROWS($1:37)&gt;COUNT(Dong11),"",IF(OFFSET(TH!N$1,SMALL(Dong11,ROWS($1:37)),)=$G$7,OFFSET(TH!O$1,SMALL(Dong11,ROWS($1:37)),),OFFSET(TH!N$1,SMALL(Dong11,ROWS($1:37)),)))</f>
        <v>331</v>
      </c>
      <c r="F50" s="575">
        <f ca="1">IF(ROWS($1:37)&gt;COUNT(Dong11),0,OFFSET(TH!J$1,SMALL(Dong11,ROWS($1:37)),))</f>
        <v>7500</v>
      </c>
      <c r="G50" s="575">
        <f ca="1">IF(ROWS($1:37)&gt;COUNT(Dong11),0,IF(MID(OFFSET(TH!D$1,SMALL(Dong11,ROWS($1:37)),),4,1)="N",OFFSET(TH!I$1,SMALL(Dong11,ROWS($1:37)),),0))</f>
        <v>2400</v>
      </c>
      <c r="H50" s="576">
        <f t="shared" ca="1" si="9"/>
        <v>18000000</v>
      </c>
      <c r="I50" s="575">
        <f ca="1">IF(ROWS($1:37)&gt;COUNT(Dong11),0,IF(MID(OFFSET(TH!D$1,SMALL(Dong11,ROWS($1:37)),),4,1)="X",OFFSET(TH!I$1,SMALL(Dong11,ROWS($1:37)),),0))</f>
        <v>0</v>
      </c>
      <c r="J50" s="576">
        <f t="shared" ca="1" si="10"/>
        <v>0</v>
      </c>
      <c r="K50" s="576">
        <f t="shared" ca="1" si="3"/>
        <v>67600</v>
      </c>
      <c r="L50" s="576">
        <f t="shared" ca="1" si="4"/>
        <v>441000000</v>
      </c>
      <c r="M50" s="576"/>
      <c r="N50" s="566"/>
    </row>
    <row r="51" spans="1:14">
      <c r="A51" s="524">
        <f t="shared" ca="1" si="8"/>
        <v>38</v>
      </c>
      <c r="B51" s="572" t="str">
        <f ca="1">IF(ROWS($1:38)&gt;COUNT(Dong11),"",OFFSET(TH!D$1,SMALL(Dong11,ROWS($1:38)),))</f>
        <v>VL/N25</v>
      </c>
      <c r="C51" s="573">
        <f ca="1">IF(ROWS($1:38)&gt;COUNT(Dong11),"",OFFSET(TH!E$1,SMALL(Dong11,ROWS($1:38)),))</f>
        <v>42720</v>
      </c>
      <c r="D51" s="574" t="str">
        <f ca="1">IF(ROWS($1:38)&gt;COUNT(Dong11),"",OFFSET(TH!F$1,SMALL(Dong11,ROWS($1:38)),)&amp;" - "&amp;OFFSET(TH!H$1,SMALL(Dong11,ROWS($1:38)),))</f>
        <v xml:space="preserve">Thùng carton 50x29.5x19 - Cty TNHH SX TM Kim Dung Phát </v>
      </c>
      <c r="E51" s="572" t="str">
        <f ca="1">IF(ROWS($1:38)&gt;COUNT(Dong11),"",IF(OFFSET(TH!N$1,SMALL(Dong11,ROWS($1:38)),)=$G$7,OFFSET(TH!O$1,SMALL(Dong11,ROWS($1:38)),),OFFSET(TH!N$1,SMALL(Dong11,ROWS($1:38)),)))</f>
        <v>331</v>
      </c>
      <c r="F51" s="575">
        <f ca="1">IF(ROWS($1:38)&gt;COUNT(Dong11),0,OFFSET(TH!J$1,SMALL(Dong11,ROWS($1:38)),))</f>
        <v>7500</v>
      </c>
      <c r="G51" s="575">
        <f ca="1">IF(ROWS($1:38)&gt;COUNT(Dong11),0,IF(MID(OFFSET(TH!D$1,SMALL(Dong11,ROWS($1:38)),),4,1)="N",OFFSET(TH!I$1,SMALL(Dong11,ROWS($1:38)),),0))</f>
        <v>2400</v>
      </c>
      <c r="H51" s="576">
        <f t="shared" ca="1" si="9"/>
        <v>18000000</v>
      </c>
      <c r="I51" s="575">
        <f ca="1">IF(ROWS($1:38)&gt;COUNT(Dong11),0,IF(MID(OFFSET(TH!D$1,SMALL(Dong11,ROWS($1:38)),),4,1)="X",OFFSET(TH!I$1,SMALL(Dong11,ROWS($1:38)),),0))</f>
        <v>0</v>
      </c>
      <c r="J51" s="576">
        <f t="shared" ca="1" si="10"/>
        <v>0</v>
      </c>
      <c r="K51" s="576">
        <f t="shared" ca="1" si="3"/>
        <v>70000</v>
      </c>
      <c r="L51" s="576">
        <f t="shared" ca="1" si="4"/>
        <v>459000000</v>
      </c>
      <c r="M51" s="576"/>
      <c r="N51" s="566"/>
    </row>
    <row r="52" spans="1:14">
      <c r="A52" s="524">
        <f t="shared" ca="1" si="8"/>
        <v>39</v>
      </c>
      <c r="B52" s="572" t="str">
        <f ca="1">IF(ROWS($1:39)&gt;COUNT(Dong11),"",OFFSET(TH!D$1,SMALL(Dong11,ROWS($1:39)),))</f>
        <v>VL/X03</v>
      </c>
      <c r="C52" s="573">
        <f ca="1">IF(ROWS($1:39)&gt;COUNT(Dong11),"",OFFSET(TH!E$1,SMALL(Dong11,ROWS($1:39)),))</f>
        <v>42706</v>
      </c>
      <c r="D52" s="574" t="str">
        <f ca="1">IF(ROWS($1:39)&gt;COUNT(Dong11),"",OFFSET(TH!F$1,SMALL(Dong11,ROWS($1:39)),)&amp;" - "&amp;OFFSET(TH!H$1,SMALL(Dong11,ROWS($1:39)),))</f>
        <v>Thùng carton 50x29.5x19 - Xuất SX</v>
      </c>
      <c r="E52" s="572" t="str">
        <f ca="1">IF(ROWS($1:39)&gt;COUNT(Dong11),"",IF(OFFSET(TH!N$1,SMALL(Dong11,ROWS($1:39)),)=$G$7,OFFSET(TH!O$1,SMALL(Dong11,ROWS($1:39)),),OFFSET(TH!N$1,SMALL(Dong11,ROWS($1:39)),)))</f>
        <v>154</v>
      </c>
      <c r="F52" s="575">
        <f ca="1">IF(ROWS($1:39)&gt;COUNT(Dong11),0,OFFSET(TH!J$1,SMALL(Dong11,ROWS($1:39)),))</f>
        <v>7500</v>
      </c>
      <c r="G52" s="575">
        <f ca="1">IF(ROWS($1:39)&gt;COUNT(Dong11),0,IF(MID(OFFSET(TH!D$1,SMALL(Dong11,ROWS($1:39)),),4,1)="N",OFFSET(TH!I$1,SMALL(Dong11,ROWS($1:39)),),0))</f>
        <v>0</v>
      </c>
      <c r="H52" s="576">
        <f t="shared" ca="1" si="9"/>
        <v>0</v>
      </c>
      <c r="I52" s="575">
        <f ca="1">IF(ROWS($1:39)&gt;COUNT(Dong11),0,IF(MID(OFFSET(TH!D$1,SMALL(Dong11,ROWS($1:39)),),4,1)="X",OFFSET(TH!I$1,SMALL(Dong11,ROWS($1:39)),),0))</f>
        <v>2000</v>
      </c>
      <c r="J52" s="576">
        <f t="shared" ca="1" si="10"/>
        <v>15000000</v>
      </c>
      <c r="K52" s="576">
        <f t="shared" ca="1" si="3"/>
        <v>68000</v>
      </c>
      <c r="L52" s="576">
        <f t="shared" ca="1" si="4"/>
        <v>444000000</v>
      </c>
      <c r="M52" s="576"/>
      <c r="N52" s="566"/>
    </row>
    <row r="53" spans="1:14">
      <c r="A53" s="524">
        <f t="shared" ca="1" si="8"/>
        <v>40</v>
      </c>
      <c r="B53" s="572" t="str">
        <f ca="1">IF(ROWS($1:40)&gt;COUNT(Dong11),"",OFFSET(TH!D$1,SMALL(Dong11,ROWS($1:40)),))</f>
        <v>VL/X07</v>
      </c>
      <c r="C53" s="573">
        <f ca="1">IF(ROWS($1:40)&gt;COUNT(Dong11),"",OFFSET(TH!E$1,SMALL(Dong11,ROWS($1:40)),))</f>
        <v>42710</v>
      </c>
      <c r="D53" s="574" t="str">
        <f ca="1">IF(ROWS($1:40)&gt;COUNT(Dong11),"",OFFSET(TH!F$1,SMALL(Dong11,ROWS($1:40)),)&amp;" - "&amp;OFFSET(TH!H$1,SMALL(Dong11,ROWS($1:40)),))</f>
        <v>Thùng carton 50x29.5x19 - Xuất SX</v>
      </c>
      <c r="E53" s="572" t="str">
        <f ca="1">IF(ROWS($1:40)&gt;COUNT(Dong11),"",IF(OFFSET(TH!N$1,SMALL(Dong11,ROWS($1:40)),)=$G$7,OFFSET(TH!O$1,SMALL(Dong11,ROWS($1:40)),),OFFSET(TH!N$1,SMALL(Dong11,ROWS($1:40)),)))</f>
        <v>154</v>
      </c>
      <c r="F53" s="575">
        <f ca="1">IF(ROWS($1:40)&gt;COUNT(Dong11),0,OFFSET(TH!J$1,SMALL(Dong11,ROWS($1:40)),))</f>
        <v>7500</v>
      </c>
      <c r="G53" s="575">
        <f ca="1">IF(ROWS($1:40)&gt;COUNT(Dong11),0,IF(MID(OFFSET(TH!D$1,SMALL(Dong11,ROWS($1:40)),),4,1)="N",OFFSET(TH!I$1,SMALL(Dong11,ROWS($1:40)),),0))</f>
        <v>0</v>
      </c>
      <c r="H53" s="576">
        <f t="shared" ca="1" si="9"/>
        <v>0</v>
      </c>
      <c r="I53" s="575">
        <f ca="1">IF(ROWS($1:40)&gt;COUNT(Dong11),0,IF(MID(OFFSET(TH!D$1,SMALL(Dong11,ROWS($1:40)),),4,1)="X",OFFSET(TH!I$1,SMALL(Dong11,ROWS($1:40)),),0))</f>
        <v>7200</v>
      </c>
      <c r="J53" s="576">
        <f t="shared" ca="1" si="10"/>
        <v>54000000</v>
      </c>
      <c r="K53" s="576">
        <f t="shared" ca="1" si="3"/>
        <v>60800</v>
      </c>
      <c r="L53" s="576">
        <f t="shared" ca="1" si="4"/>
        <v>390000000</v>
      </c>
      <c r="M53" s="576"/>
      <c r="N53" s="566"/>
    </row>
    <row r="54" spans="1:14">
      <c r="A54" s="524">
        <f t="shared" ca="1" si="8"/>
        <v>41</v>
      </c>
      <c r="B54" s="572" t="str">
        <f ca="1">IF(ROWS($1:41)&gt;COUNT(Dong11),"",OFFSET(TH!D$1,SMALL(Dong11,ROWS($1:41)),))</f>
        <v>VL/X08</v>
      </c>
      <c r="C54" s="573">
        <f ca="1">IF(ROWS($1:41)&gt;COUNT(Dong11),"",OFFSET(TH!E$1,SMALL(Dong11,ROWS($1:41)),))</f>
        <v>42713</v>
      </c>
      <c r="D54" s="574" t="str">
        <f ca="1">IF(ROWS($1:41)&gt;COUNT(Dong11),"",OFFSET(TH!F$1,SMALL(Dong11,ROWS($1:41)),)&amp;" - "&amp;OFFSET(TH!H$1,SMALL(Dong11,ROWS($1:41)),))</f>
        <v>Thùng carton 50x29.5x19 - Xuất SX</v>
      </c>
      <c r="E54" s="572" t="str">
        <f ca="1">IF(ROWS($1:41)&gt;COUNT(Dong11),"",IF(OFFSET(TH!N$1,SMALL(Dong11,ROWS($1:41)),)=$G$7,OFFSET(TH!O$1,SMALL(Dong11,ROWS($1:41)),),OFFSET(TH!N$1,SMALL(Dong11,ROWS($1:41)),)))</f>
        <v>154</v>
      </c>
      <c r="F54" s="575">
        <f ca="1">IF(ROWS($1:41)&gt;COUNT(Dong11),0,OFFSET(TH!J$1,SMALL(Dong11,ROWS($1:41)),))</f>
        <v>7500</v>
      </c>
      <c r="G54" s="575">
        <f ca="1">IF(ROWS($1:41)&gt;COUNT(Dong11),0,IF(MID(OFFSET(TH!D$1,SMALL(Dong11,ROWS($1:41)),),4,1)="N",OFFSET(TH!I$1,SMALL(Dong11,ROWS($1:41)),),0))</f>
        <v>0</v>
      </c>
      <c r="H54" s="576">
        <f t="shared" ca="1" si="9"/>
        <v>0</v>
      </c>
      <c r="I54" s="575">
        <f ca="1">IF(ROWS($1:41)&gt;COUNT(Dong11),0,IF(MID(OFFSET(TH!D$1,SMALL(Dong11,ROWS($1:41)),),4,1)="X",OFFSET(TH!I$1,SMALL(Dong11,ROWS($1:41)),),0))</f>
        <v>4800</v>
      </c>
      <c r="J54" s="576">
        <f t="shared" ca="1" si="10"/>
        <v>36000000</v>
      </c>
      <c r="K54" s="576">
        <f t="shared" ca="1" si="3"/>
        <v>56000</v>
      </c>
      <c r="L54" s="576">
        <f t="shared" ca="1" si="4"/>
        <v>354000000</v>
      </c>
      <c r="M54" s="576"/>
      <c r="N54" s="566"/>
    </row>
    <row r="55" spans="1:14">
      <c r="A55" s="524">
        <f t="shared" ca="1" si="8"/>
        <v>42</v>
      </c>
      <c r="B55" s="572" t="str">
        <f ca="1">IF(ROWS($1:42)&gt;COUNT(Dong11),"",OFFSET(TH!D$1,SMALL(Dong11,ROWS($1:42)),))</f>
        <v>VL/X10</v>
      </c>
      <c r="C55" s="573">
        <f ca="1">IF(ROWS($1:42)&gt;COUNT(Dong11),"",OFFSET(TH!E$1,SMALL(Dong11,ROWS($1:42)),))</f>
        <v>42716</v>
      </c>
      <c r="D55" s="574" t="str">
        <f ca="1">IF(ROWS($1:42)&gt;COUNT(Dong11),"",OFFSET(TH!F$1,SMALL(Dong11,ROWS($1:42)),)&amp;" - "&amp;OFFSET(TH!H$1,SMALL(Dong11,ROWS($1:42)),))</f>
        <v>Thùng carton 50x29.5x19 - Xuất SX</v>
      </c>
      <c r="E55" s="572" t="str">
        <f ca="1">IF(ROWS($1:42)&gt;COUNT(Dong11),"",IF(OFFSET(TH!N$1,SMALL(Dong11,ROWS($1:42)),)=$G$7,OFFSET(TH!O$1,SMALL(Dong11,ROWS($1:42)),),OFFSET(TH!N$1,SMALL(Dong11,ROWS($1:42)),)))</f>
        <v>154</v>
      </c>
      <c r="F55" s="575">
        <f ca="1">IF(ROWS($1:42)&gt;COUNT(Dong11),0,OFFSET(TH!J$1,SMALL(Dong11,ROWS($1:42)),))</f>
        <v>7500</v>
      </c>
      <c r="G55" s="575">
        <f ca="1">IF(ROWS($1:42)&gt;COUNT(Dong11),0,IF(MID(OFFSET(TH!D$1,SMALL(Dong11,ROWS($1:42)),),4,1)="N",OFFSET(TH!I$1,SMALL(Dong11,ROWS($1:42)),),0))</f>
        <v>0</v>
      </c>
      <c r="H55" s="576">
        <f t="shared" ca="1" si="9"/>
        <v>0</v>
      </c>
      <c r="I55" s="575">
        <f ca="1">IF(ROWS($1:42)&gt;COUNT(Dong11),0,IF(MID(OFFSET(TH!D$1,SMALL(Dong11,ROWS($1:42)),),4,1)="X",OFFSET(TH!I$1,SMALL(Dong11,ROWS($1:42)),),0))</f>
        <v>10400</v>
      </c>
      <c r="J55" s="576">
        <f t="shared" ca="1" si="10"/>
        <v>78000000</v>
      </c>
      <c r="K55" s="576">
        <f t="shared" ca="1" si="3"/>
        <v>45600</v>
      </c>
      <c r="L55" s="576">
        <f t="shared" ca="1" si="4"/>
        <v>276000000</v>
      </c>
      <c r="M55" s="576"/>
      <c r="N55" s="566"/>
    </row>
    <row r="56" spans="1:14">
      <c r="A56" s="524">
        <f t="shared" ref="A56:A69" ca="1" si="11">IF(B56="","",A55+1)</f>
        <v>43</v>
      </c>
      <c r="B56" s="572" t="str">
        <f ca="1">IF(ROWS($1:43)&gt;COUNT(Dong11),"",OFFSET(TH!D$1,SMALL(Dong11,ROWS($1:43)),))</f>
        <v>VL/X11</v>
      </c>
      <c r="C56" s="573">
        <f ca="1">IF(ROWS($1:43)&gt;COUNT(Dong11),"",OFFSET(TH!E$1,SMALL(Dong11,ROWS($1:43)),))</f>
        <v>42719</v>
      </c>
      <c r="D56" s="574" t="str">
        <f ca="1">IF(ROWS($1:43)&gt;COUNT(Dong11),"",OFFSET(TH!F$1,SMALL(Dong11,ROWS($1:43)),)&amp;" - "&amp;OFFSET(TH!H$1,SMALL(Dong11,ROWS($1:43)),))</f>
        <v>Thùng carton 50x29.5x19 - Xuất SX</v>
      </c>
      <c r="E56" s="572" t="str">
        <f ca="1">IF(ROWS($1:43)&gt;COUNT(Dong11),"",IF(OFFSET(TH!N$1,SMALL(Dong11,ROWS($1:43)),)=$G$7,OFFSET(TH!O$1,SMALL(Dong11,ROWS($1:43)),),OFFSET(TH!N$1,SMALL(Dong11,ROWS($1:43)),)))</f>
        <v>154</v>
      </c>
      <c r="F56" s="575">
        <f ca="1">IF(ROWS($1:43)&gt;COUNT(Dong11),0,OFFSET(TH!J$1,SMALL(Dong11,ROWS($1:43)),))</f>
        <v>7500</v>
      </c>
      <c r="G56" s="575">
        <f ca="1">IF(ROWS($1:43)&gt;COUNT(Dong11),0,IF(MID(OFFSET(TH!D$1,SMALL(Dong11,ROWS($1:43)),),4,1)="N",OFFSET(TH!I$1,SMALL(Dong11,ROWS($1:43)),),0))</f>
        <v>0</v>
      </c>
      <c r="H56" s="576">
        <f t="shared" ref="H56:H69" ca="1" si="12">ROUND(F56*G56,0)</f>
        <v>0</v>
      </c>
      <c r="I56" s="575">
        <f ca="1">IF(ROWS($1:43)&gt;COUNT(Dong11),0,IF(MID(OFFSET(TH!D$1,SMALL(Dong11,ROWS($1:43)),),4,1)="X",OFFSET(TH!I$1,SMALL(Dong11,ROWS($1:43)),),0))</f>
        <v>9600</v>
      </c>
      <c r="J56" s="576">
        <f t="shared" ref="J56:J69" ca="1" si="13">ROUND(F56*I56,0)</f>
        <v>72000000</v>
      </c>
      <c r="K56" s="576">
        <f t="shared" ref="K56:K69" ca="1" si="14">IF(D56&lt;&gt;"",K55+G56-I56,0)</f>
        <v>36000</v>
      </c>
      <c r="L56" s="576">
        <f t="shared" ref="L56:L69" ca="1" si="15">IF(D56&lt;&gt;"",L55+H56-J56,0)</f>
        <v>204000000</v>
      </c>
      <c r="M56" s="576"/>
      <c r="N56" s="566"/>
    </row>
    <row r="57" spans="1:14">
      <c r="A57" s="524">
        <f t="shared" ca="1" si="11"/>
        <v>44</v>
      </c>
      <c r="B57" s="572" t="str">
        <f ca="1">IF(ROWS($1:44)&gt;COUNT(Dong11),"",OFFSET(TH!D$1,SMALL(Dong11,ROWS($1:44)),))</f>
        <v>VL/X12</v>
      </c>
      <c r="C57" s="573">
        <f ca="1">IF(ROWS($1:44)&gt;COUNT(Dong11),"",OFFSET(TH!E$1,SMALL(Dong11,ROWS($1:44)),))</f>
        <v>42723</v>
      </c>
      <c r="D57" s="574" t="str">
        <f ca="1">IF(ROWS($1:44)&gt;COUNT(Dong11),"",OFFSET(TH!F$1,SMALL(Dong11,ROWS($1:44)),)&amp;" - "&amp;OFFSET(TH!H$1,SMALL(Dong11,ROWS($1:44)),))</f>
        <v>Thùng carton 50x29.5x19 - Xuất SX</v>
      </c>
      <c r="E57" s="572" t="str">
        <f ca="1">IF(ROWS($1:44)&gt;COUNT(Dong11),"",IF(OFFSET(TH!N$1,SMALL(Dong11,ROWS($1:44)),)=$G$7,OFFSET(TH!O$1,SMALL(Dong11,ROWS($1:44)),),OFFSET(TH!N$1,SMALL(Dong11,ROWS($1:44)),)))</f>
        <v>154</v>
      </c>
      <c r="F57" s="575">
        <f ca="1">IF(ROWS($1:44)&gt;COUNT(Dong11),0,OFFSET(TH!J$1,SMALL(Dong11,ROWS($1:44)),))</f>
        <v>7500</v>
      </c>
      <c r="G57" s="575">
        <f ca="1">IF(ROWS($1:44)&gt;COUNT(Dong11),0,IF(MID(OFFSET(TH!D$1,SMALL(Dong11,ROWS($1:44)),),4,1)="N",OFFSET(TH!I$1,SMALL(Dong11,ROWS($1:44)),),0))</f>
        <v>0</v>
      </c>
      <c r="H57" s="576">
        <f t="shared" ca="1" si="12"/>
        <v>0</v>
      </c>
      <c r="I57" s="575">
        <f ca="1">IF(ROWS($1:44)&gt;COUNT(Dong11),0,IF(MID(OFFSET(TH!D$1,SMALL(Dong11,ROWS($1:44)),),4,1)="X",OFFSET(TH!I$1,SMALL(Dong11,ROWS($1:44)),),0))</f>
        <v>12180</v>
      </c>
      <c r="J57" s="576">
        <f t="shared" ca="1" si="13"/>
        <v>91350000</v>
      </c>
      <c r="K57" s="576">
        <f t="shared" ca="1" si="14"/>
        <v>23820</v>
      </c>
      <c r="L57" s="576">
        <f t="shared" ca="1" si="15"/>
        <v>112650000</v>
      </c>
      <c r="M57" s="576"/>
      <c r="N57" s="566"/>
    </row>
    <row r="58" spans="1:14">
      <c r="A58" s="524">
        <f t="shared" ca="1" si="11"/>
        <v>45</v>
      </c>
      <c r="B58" s="572" t="str">
        <f ca="1">IF(ROWS($1:45)&gt;COUNT(Dong11),"",OFFSET(TH!D$1,SMALL(Dong11,ROWS($1:45)),))</f>
        <v>VL/X13</v>
      </c>
      <c r="C58" s="573">
        <f ca="1">IF(ROWS($1:45)&gt;COUNT(Dong11),"",OFFSET(TH!E$1,SMALL(Dong11,ROWS($1:45)),))</f>
        <v>42726</v>
      </c>
      <c r="D58" s="574" t="str">
        <f ca="1">IF(ROWS($1:45)&gt;COUNT(Dong11),"",OFFSET(TH!F$1,SMALL(Dong11,ROWS($1:45)),)&amp;" - "&amp;OFFSET(TH!H$1,SMALL(Dong11,ROWS($1:45)),))</f>
        <v>Thùng carton 50x29.5x19 - Xuất SX</v>
      </c>
      <c r="E58" s="572" t="str">
        <f ca="1">IF(ROWS($1:45)&gt;COUNT(Dong11),"",IF(OFFSET(TH!N$1,SMALL(Dong11,ROWS($1:45)),)=$G$7,OFFSET(TH!O$1,SMALL(Dong11,ROWS($1:45)),),OFFSET(TH!N$1,SMALL(Dong11,ROWS($1:45)),)))</f>
        <v>154</v>
      </c>
      <c r="F58" s="575">
        <f ca="1">IF(ROWS($1:45)&gt;COUNT(Dong11),0,OFFSET(TH!J$1,SMALL(Dong11,ROWS($1:45)),))</f>
        <v>7500</v>
      </c>
      <c r="G58" s="575">
        <f ca="1">IF(ROWS($1:45)&gt;COUNT(Dong11),0,IF(MID(OFFSET(TH!D$1,SMALL(Dong11,ROWS($1:45)),),4,1)="N",OFFSET(TH!I$1,SMALL(Dong11,ROWS($1:45)),),0))</f>
        <v>0</v>
      </c>
      <c r="H58" s="576">
        <f t="shared" ca="1" si="12"/>
        <v>0</v>
      </c>
      <c r="I58" s="575">
        <f ca="1">IF(ROWS($1:45)&gt;COUNT(Dong11),0,IF(MID(OFFSET(TH!D$1,SMALL(Dong11,ROWS($1:45)),),4,1)="X",OFFSET(TH!I$1,SMALL(Dong11,ROWS($1:45)),),0))</f>
        <v>12089</v>
      </c>
      <c r="J58" s="576">
        <f t="shared" ca="1" si="13"/>
        <v>90667500</v>
      </c>
      <c r="K58" s="576">
        <f t="shared" ca="1" si="14"/>
        <v>11731</v>
      </c>
      <c r="L58" s="576">
        <f t="shared" ca="1" si="15"/>
        <v>21982500</v>
      </c>
      <c r="M58" s="576"/>
      <c r="N58" s="566"/>
    </row>
    <row r="59" spans="1:14">
      <c r="A59" s="524">
        <f t="shared" ca="1" si="11"/>
        <v>46</v>
      </c>
      <c r="B59" s="572" t="str">
        <f ca="1">IF(ROWS($1:46)&gt;COUNT(Dong11),"",OFFSET(TH!D$1,SMALL(Dong11,ROWS($1:46)),))</f>
        <v>VL/X15</v>
      </c>
      <c r="C59" s="573">
        <f ca="1">IF(ROWS($1:46)&gt;COUNT(Dong11),"",OFFSET(TH!E$1,SMALL(Dong11,ROWS($1:46)),))</f>
        <v>42730</v>
      </c>
      <c r="D59" s="574" t="str">
        <f ca="1">IF(ROWS($1:46)&gt;COUNT(Dong11),"",OFFSET(TH!F$1,SMALL(Dong11,ROWS($1:46)),)&amp;" - "&amp;OFFSET(TH!H$1,SMALL(Dong11,ROWS($1:46)),))</f>
        <v>Thùng carton 50x29.5x19 - Xuất SX</v>
      </c>
      <c r="E59" s="572" t="str">
        <f ca="1">IF(ROWS($1:46)&gt;COUNT(Dong11),"",IF(OFFSET(TH!N$1,SMALL(Dong11,ROWS($1:46)),)=$G$7,OFFSET(TH!O$1,SMALL(Dong11,ROWS($1:46)),),OFFSET(TH!N$1,SMALL(Dong11,ROWS($1:46)),)))</f>
        <v>154</v>
      </c>
      <c r="F59" s="575">
        <f ca="1">IF(ROWS($1:46)&gt;COUNT(Dong11),0,OFFSET(TH!J$1,SMALL(Dong11,ROWS($1:46)),))</f>
        <v>7500</v>
      </c>
      <c r="G59" s="575">
        <f ca="1">IF(ROWS($1:46)&gt;COUNT(Dong11),0,IF(MID(OFFSET(TH!D$1,SMALL(Dong11,ROWS($1:46)),),4,1)="N",OFFSET(TH!I$1,SMALL(Dong11,ROWS($1:46)),),0))</f>
        <v>0</v>
      </c>
      <c r="H59" s="576">
        <f t="shared" ca="1" si="12"/>
        <v>0</v>
      </c>
      <c r="I59" s="575">
        <f ca="1">IF(ROWS($1:46)&gt;COUNT(Dong11),0,IF(MID(OFFSET(TH!D$1,SMALL(Dong11,ROWS($1:46)),),4,1)="X",OFFSET(TH!I$1,SMALL(Dong11,ROWS($1:46)),),0))</f>
        <v>10800</v>
      </c>
      <c r="J59" s="576">
        <f t="shared" ca="1" si="13"/>
        <v>81000000</v>
      </c>
      <c r="K59" s="576">
        <f t="shared" ca="1" si="14"/>
        <v>931</v>
      </c>
      <c r="L59" s="576">
        <f t="shared" ca="1" si="15"/>
        <v>-59017500</v>
      </c>
      <c r="M59" s="576"/>
      <c r="N59" s="566"/>
    </row>
    <row r="60" spans="1:14">
      <c r="A60" s="524">
        <f t="shared" ca="1" si="11"/>
        <v>47</v>
      </c>
      <c r="B60" s="572" t="str">
        <f ca="1">IF(ROWS($1:47)&gt;COUNT(Dong11),"",OFFSET(TH!D$1,SMALL(Dong11,ROWS($1:47)),))</f>
        <v>VL/X16</v>
      </c>
      <c r="C60" s="573">
        <f ca="1">IF(ROWS($1:47)&gt;COUNT(Dong11),"",OFFSET(TH!E$1,SMALL(Dong11,ROWS($1:47)),))</f>
        <v>42731</v>
      </c>
      <c r="D60" s="574" t="str">
        <f ca="1">IF(ROWS($1:47)&gt;COUNT(Dong11),"",OFFSET(TH!F$1,SMALL(Dong11,ROWS($1:47)),)&amp;" - "&amp;OFFSET(TH!H$1,SMALL(Dong11,ROWS($1:47)),))</f>
        <v>Thùng carton 50x29.5x19 - Xuất SX</v>
      </c>
      <c r="E60" s="572" t="str">
        <f ca="1">IF(ROWS($1:47)&gt;COUNT(Dong11),"",IF(OFFSET(TH!N$1,SMALL(Dong11,ROWS($1:47)),)=$G$7,OFFSET(TH!O$1,SMALL(Dong11,ROWS($1:47)),),OFFSET(TH!N$1,SMALL(Dong11,ROWS($1:47)),)))</f>
        <v>154</v>
      </c>
      <c r="F60" s="575">
        <f ca="1">IF(ROWS($1:47)&gt;COUNT(Dong11),0,OFFSET(TH!J$1,SMALL(Dong11,ROWS($1:47)),))</f>
        <v>7500</v>
      </c>
      <c r="G60" s="575">
        <f ca="1">IF(ROWS($1:47)&gt;COUNT(Dong11),0,IF(MID(OFFSET(TH!D$1,SMALL(Dong11,ROWS($1:47)),),4,1)="N",OFFSET(TH!I$1,SMALL(Dong11,ROWS($1:47)),),0))</f>
        <v>0</v>
      </c>
      <c r="H60" s="576">
        <f t="shared" ca="1" si="12"/>
        <v>0</v>
      </c>
      <c r="I60" s="575">
        <f ca="1">IF(ROWS($1:47)&gt;COUNT(Dong11),0,IF(MID(OFFSET(TH!D$1,SMALL(Dong11,ROWS($1:47)),),4,1)="X",OFFSET(TH!I$1,SMALL(Dong11,ROWS($1:47)),),0))</f>
        <v>1575</v>
      </c>
      <c r="J60" s="576">
        <f t="shared" ca="1" si="13"/>
        <v>11812500</v>
      </c>
      <c r="K60" s="576">
        <f t="shared" ca="1" si="14"/>
        <v>-644</v>
      </c>
      <c r="L60" s="576">
        <f t="shared" ca="1" si="15"/>
        <v>-70830000</v>
      </c>
      <c r="M60" s="576"/>
      <c r="N60" s="566"/>
    </row>
    <row r="61" spans="1:14">
      <c r="A61" s="524">
        <f t="shared" ca="1" si="11"/>
        <v>48</v>
      </c>
      <c r="B61" s="572" t="str">
        <f ca="1">IF(ROWS($1:48)&gt;COUNT(Dong11),"",OFFSET(TH!D$1,SMALL(Dong11,ROWS($1:48)),))</f>
        <v>VL/X02</v>
      </c>
      <c r="C61" s="573">
        <f ca="1">IF(ROWS($1:48)&gt;COUNT(Dong11),"",OFFSET(TH!E$1,SMALL(Dong11,ROWS($1:48)),))</f>
        <v>42675</v>
      </c>
      <c r="D61" s="574" t="str">
        <f ca="1">IF(ROWS($1:48)&gt;COUNT(Dong11),"",OFFSET(TH!F$1,SMALL(Dong11,ROWS($1:48)),)&amp;" - "&amp;OFFSET(TH!H$1,SMALL(Dong11,ROWS($1:48)),))</f>
        <v>Thùng carton 50x29.5x19 - Cty TNHH Hải Sản An Lạc Trà Vinh</v>
      </c>
      <c r="E61" s="572" t="str">
        <f ca="1">IF(ROWS($1:48)&gt;COUNT(Dong11),"",IF(OFFSET(TH!N$1,SMALL(Dong11,ROWS($1:48)),)=$G$7,OFFSET(TH!O$1,SMALL(Dong11,ROWS($1:48)),),OFFSET(TH!N$1,SMALL(Dong11,ROWS($1:48)),)))</f>
        <v>154</v>
      </c>
      <c r="F61" s="575">
        <f ca="1">IF(ROWS($1:48)&gt;COUNT(Dong11),0,OFFSET(TH!J$1,SMALL(Dong11,ROWS($1:48)),))</f>
        <v>4500</v>
      </c>
      <c r="G61" s="575">
        <f ca="1">IF(ROWS($1:48)&gt;COUNT(Dong11),0,IF(MID(OFFSET(TH!D$1,SMALL(Dong11,ROWS($1:48)),),4,1)="N",OFFSET(TH!I$1,SMALL(Dong11,ROWS($1:48)),),0))</f>
        <v>0</v>
      </c>
      <c r="H61" s="576">
        <f t="shared" ca="1" si="12"/>
        <v>0</v>
      </c>
      <c r="I61" s="575">
        <f ca="1">IF(ROWS($1:48)&gt;COUNT(Dong11),0,IF(MID(OFFSET(TH!D$1,SMALL(Dong11,ROWS($1:48)),),4,1)="X",OFFSET(TH!I$1,SMALL(Dong11,ROWS($1:48)),),0))</f>
        <v>4000</v>
      </c>
      <c r="J61" s="576">
        <f t="shared" ca="1" si="13"/>
        <v>18000000</v>
      </c>
      <c r="K61" s="576">
        <f t="shared" ca="1" si="14"/>
        <v>-4644</v>
      </c>
      <c r="L61" s="576">
        <f t="shared" ca="1" si="15"/>
        <v>-88830000</v>
      </c>
      <c r="M61" s="576"/>
      <c r="N61" s="566"/>
    </row>
    <row r="62" spans="1:14">
      <c r="A62" s="524">
        <f t="shared" ca="1" si="11"/>
        <v>49</v>
      </c>
      <c r="B62" s="572" t="str">
        <f ca="1">IF(ROWS($1:49)&gt;COUNT(Dong11),"",OFFSET(TH!D$1,SMALL(Dong11,ROWS($1:49)),))</f>
        <v>VL/X05</v>
      </c>
      <c r="C62" s="573">
        <f ca="1">IF(ROWS($1:49)&gt;COUNT(Dong11),"",OFFSET(TH!E$1,SMALL(Dong11,ROWS($1:49)),))</f>
        <v>42679</v>
      </c>
      <c r="D62" s="574" t="str">
        <f ca="1">IF(ROWS($1:49)&gt;COUNT(Dong11),"",OFFSET(TH!F$1,SMALL(Dong11,ROWS($1:49)),)&amp;" - "&amp;OFFSET(TH!H$1,SMALL(Dong11,ROWS($1:49)),))</f>
        <v>Thùng carton 50x29.5x19 - Cty TNHH Hải Sản An Lạc Trà Vinh</v>
      </c>
      <c r="E62" s="572" t="str">
        <f ca="1">IF(ROWS($1:49)&gt;COUNT(Dong11),"",IF(OFFSET(TH!N$1,SMALL(Dong11,ROWS($1:49)),)=$G$7,OFFSET(TH!O$1,SMALL(Dong11,ROWS($1:49)),),OFFSET(TH!N$1,SMALL(Dong11,ROWS($1:49)),)))</f>
        <v>154</v>
      </c>
      <c r="F62" s="575">
        <f ca="1">IF(ROWS($1:49)&gt;COUNT(Dong11),0,OFFSET(TH!J$1,SMALL(Dong11,ROWS($1:49)),))</f>
        <v>4500</v>
      </c>
      <c r="G62" s="575">
        <f ca="1">IF(ROWS($1:49)&gt;COUNT(Dong11),0,IF(MID(OFFSET(TH!D$1,SMALL(Dong11,ROWS($1:49)),),4,1)="N",OFFSET(TH!I$1,SMALL(Dong11,ROWS($1:49)),),0))</f>
        <v>0</v>
      </c>
      <c r="H62" s="576">
        <f t="shared" ca="1" si="12"/>
        <v>0</v>
      </c>
      <c r="I62" s="575">
        <f ca="1">IF(ROWS($1:49)&gt;COUNT(Dong11),0,IF(MID(OFFSET(TH!D$1,SMALL(Dong11,ROWS($1:49)),),4,1)="X",OFFSET(TH!I$1,SMALL(Dong11,ROWS($1:49)),),0))</f>
        <v>2000</v>
      </c>
      <c r="J62" s="576">
        <f t="shared" ca="1" si="13"/>
        <v>9000000</v>
      </c>
      <c r="K62" s="576">
        <f t="shared" ca="1" si="14"/>
        <v>-6644</v>
      </c>
      <c r="L62" s="576">
        <f t="shared" ca="1" si="15"/>
        <v>-97830000</v>
      </c>
      <c r="M62" s="576"/>
      <c r="N62" s="566"/>
    </row>
    <row r="63" spans="1:14">
      <c r="A63" s="524">
        <f t="shared" ca="1" si="11"/>
        <v>50</v>
      </c>
      <c r="B63" s="572" t="str">
        <f ca="1">IF(ROWS($1:50)&gt;COUNT(Dong11),"",OFFSET(TH!D$1,SMALL(Dong11,ROWS($1:50)),))</f>
        <v>VL/X09</v>
      </c>
      <c r="C63" s="573">
        <f ca="1">IF(ROWS($1:50)&gt;COUNT(Dong11),"",OFFSET(TH!E$1,SMALL(Dong11,ROWS($1:50)),))</f>
        <v>42685</v>
      </c>
      <c r="D63" s="574" t="str">
        <f ca="1">IF(ROWS($1:50)&gt;COUNT(Dong11),"",OFFSET(TH!F$1,SMALL(Dong11,ROWS($1:50)),)&amp;" - "&amp;OFFSET(TH!H$1,SMALL(Dong11,ROWS($1:50)),))</f>
        <v>Thùng carton 50x29.5x19 - Cty TNHH Hải Sản An Lạc Trà Vinh</v>
      </c>
      <c r="E63" s="572" t="str">
        <f ca="1">IF(ROWS($1:50)&gt;COUNT(Dong11),"",IF(OFFSET(TH!N$1,SMALL(Dong11,ROWS($1:50)),)=$G$7,OFFSET(TH!O$1,SMALL(Dong11,ROWS($1:50)),),OFFSET(TH!N$1,SMALL(Dong11,ROWS($1:50)),)))</f>
        <v>154</v>
      </c>
      <c r="F63" s="575">
        <f ca="1">IF(ROWS($1:50)&gt;COUNT(Dong11),0,OFFSET(TH!J$1,SMALL(Dong11,ROWS($1:50)),))</f>
        <v>4500</v>
      </c>
      <c r="G63" s="575">
        <f ca="1">IF(ROWS($1:50)&gt;COUNT(Dong11),0,IF(MID(OFFSET(TH!D$1,SMALL(Dong11,ROWS($1:50)),),4,1)="N",OFFSET(TH!I$1,SMALL(Dong11,ROWS($1:50)),),0))</f>
        <v>0</v>
      </c>
      <c r="H63" s="576">
        <f t="shared" ca="1" si="12"/>
        <v>0</v>
      </c>
      <c r="I63" s="575">
        <f ca="1">IF(ROWS($1:50)&gt;COUNT(Dong11),0,IF(MID(OFFSET(TH!D$1,SMALL(Dong11,ROWS($1:50)),),4,1)="X",OFFSET(TH!I$1,SMALL(Dong11,ROWS($1:50)),),0))</f>
        <v>2000</v>
      </c>
      <c r="J63" s="576">
        <f t="shared" ca="1" si="13"/>
        <v>9000000</v>
      </c>
      <c r="K63" s="576">
        <f t="shared" ca="1" si="14"/>
        <v>-8644</v>
      </c>
      <c r="L63" s="576">
        <f t="shared" ca="1" si="15"/>
        <v>-106830000</v>
      </c>
      <c r="M63" s="576"/>
      <c r="N63" s="566"/>
    </row>
    <row r="64" spans="1:14">
      <c r="A64" s="524">
        <f t="shared" ca="1" si="11"/>
        <v>51</v>
      </c>
      <c r="B64" s="572" t="str">
        <f ca="1">IF(ROWS($1:51)&gt;COUNT(Dong11),"",OFFSET(TH!D$1,SMALL(Dong11,ROWS($1:51)),))</f>
        <v>VL/X11</v>
      </c>
      <c r="C64" s="573">
        <f ca="1">IF(ROWS($1:51)&gt;COUNT(Dong11),"",OFFSET(TH!E$1,SMALL(Dong11,ROWS($1:51)),))</f>
        <v>42691</v>
      </c>
      <c r="D64" s="574" t="str">
        <f ca="1">IF(ROWS($1:51)&gt;COUNT(Dong11),"",OFFSET(TH!F$1,SMALL(Dong11,ROWS($1:51)),)&amp;" - "&amp;OFFSET(TH!H$1,SMALL(Dong11,ROWS($1:51)),))</f>
        <v>Thùng carton 50x29.5x19 - Cty TNHH Hải Sản An Lạc Trà Vinh</v>
      </c>
      <c r="E64" s="572" t="str">
        <f ca="1">IF(ROWS($1:51)&gt;COUNT(Dong11),"",IF(OFFSET(TH!N$1,SMALL(Dong11,ROWS($1:51)),)=$G$7,OFFSET(TH!O$1,SMALL(Dong11,ROWS($1:51)),),OFFSET(TH!N$1,SMALL(Dong11,ROWS($1:51)),)))</f>
        <v>154</v>
      </c>
      <c r="F64" s="575">
        <f ca="1">IF(ROWS($1:51)&gt;COUNT(Dong11),0,OFFSET(TH!J$1,SMALL(Dong11,ROWS($1:51)),))</f>
        <v>4500</v>
      </c>
      <c r="G64" s="575">
        <f ca="1">IF(ROWS($1:51)&gt;COUNT(Dong11),0,IF(MID(OFFSET(TH!D$1,SMALL(Dong11,ROWS($1:51)),),4,1)="N",OFFSET(TH!I$1,SMALL(Dong11,ROWS($1:51)),),0))</f>
        <v>0</v>
      </c>
      <c r="H64" s="576">
        <f t="shared" ca="1" si="12"/>
        <v>0</v>
      </c>
      <c r="I64" s="575">
        <f ca="1">IF(ROWS($1:51)&gt;COUNT(Dong11),0,IF(MID(OFFSET(TH!D$1,SMALL(Dong11,ROWS($1:51)),),4,1)="X",OFFSET(TH!I$1,SMALL(Dong11,ROWS($1:51)),),0))</f>
        <v>2000</v>
      </c>
      <c r="J64" s="576">
        <f t="shared" ca="1" si="13"/>
        <v>9000000</v>
      </c>
      <c r="K64" s="576">
        <f t="shared" ca="1" si="14"/>
        <v>-10644</v>
      </c>
      <c r="L64" s="576">
        <f t="shared" ca="1" si="15"/>
        <v>-115830000</v>
      </c>
      <c r="M64" s="576"/>
      <c r="N64" s="566"/>
    </row>
    <row r="65" spans="1:14">
      <c r="A65" s="524">
        <f t="shared" ca="1" si="11"/>
        <v>52</v>
      </c>
      <c r="B65" s="572" t="str">
        <f ca="1">IF(ROWS($1:52)&gt;COUNT(Dong11),"",OFFSET(TH!D$1,SMALL(Dong11,ROWS($1:52)),))</f>
        <v>VL/X14</v>
      </c>
      <c r="C65" s="573">
        <f ca="1">IF(ROWS($1:52)&gt;COUNT(Dong11),"",OFFSET(TH!E$1,SMALL(Dong11,ROWS($1:52)),))</f>
        <v>42700</v>
      </c>
      <c r="D65" s="574" t="str">
        <f ca="1">IF(ROWS($1:52)&gt;COUNT(Dong11),"",OFFSET(TH!F$1,SMALL(Dong11,ROWS($1:52)),)&amp;" - "&amp;OFFSET(TH!H$1,SMALL(Dong11,ROWS($1:52)),))</f>
        <v>Thùng carton 50x29.5x19 - Cty TNHH Hải Sản An Lạc Trà Vinh</v>
      </c>
      <c r="E65" s="572" t="str">
        <f ca="1">IF(ROWS($1:52)&gt;COUNT(Dong11),"",IF(OFFSET(TH!N$1,SMALL(Dong11,ROWS($1:52)),)=$G$7,OFFSET(TH!O$1,SMALL(Dong11,ROWS($1:52)),),OFFSET(TH!N$1,SMALL(Dong11,ROWS($1:52)),)))</f>
        <v>154</v>
      </c>
      <c r="F65" s="575">
        <f ca="1">IF(ROWS($1:52)&gt;COUNT(Dong11),0,OFFSET(TH!J$1,SMALL(Dong11,ROWS($1:52)),))</f>
        <v>4500</v>
      </c>
      <c r="G65" s="575">
        <f ca="1">IF(ROWS($1:52)&gt;COUNT(Dong11),0,IF(MID(OFFSET(TH!D$1,SMALL(Dong11,ROWS($1:52)),),4,1)="N",OFFSET(TH!I$1,SMALL(Dong11,ROWS($1:52)),),0))</f>
        <v>0</v>
      </c>
      <c r="H65" s="576">
        <f t="shared" ca="1" si="12"/>
        <v>0</v>
      </c>
      <c r="I65" s="575">
        <f ca="1">IF(ROWS($1:52)&gt;COUNT(Dong11),0,IF(MID(OFFSET(TH!D$1,SMALL(Dong11,ROWS($1:52)),),4,1)="X",OFFSET(TH!I$1,SMALL(Dong11,ROWS($1:52)),),0))</f>
        <v>4000</v>
      </c>
      <c r="J65" s="576">
        <f t="shared" ca="1" si="13"/>
        <v>18000000</v>
      </c>
      <c r="K65" s="576">
        <f t="shared" ca="1" si="14"/>
        <v>-14644</v>
      </c>
      <c r="L65" s="576">
        <f t="shared" ca="1" si="15"/>
        <v>-133830000</v>
      </c>
      <c r="M65" s="576"/>
      <c r="N65" s="566"/>
    </row>
    <row r="66" spans="1:14">
      <c r="A66" s="524">
        <f t="shared" ca="1" si="11"/>
        <v>53</v>
      </c>
      <c r="B66" s="572" t="str">
        <f ca="1">IF(ROWS($1:53)&gt;COUNT(Dong11),"",OFFSET(TH!D$1,SMALL(Dong11,ROWS($1:53)),))</f>
        <v>VL/X04</v>
      </c>
      <c r="C66" s="573">
        <f ca="1">IF(ROWS($1:53)&gt;COUNT(Dong11),"",OFFSET(TH!E$1,SMALL(Dong11,ROWS($1:53)),))</f>
        <v>42706</v>
      </c>
      <c r="D66" s="574" t="str">
        <f ca="1">IF(ROWS($1:53)&gt;COUNT(Dong11),"",OFFSET(TH!F$1,SMALL(Dong11,ROWS($1:53)),)&amp;" - "&amp;OFFSET(TH!H$1,SMALL(Dong11,ROWS($1:53)),))</f>
        <v>Thùng carton 50x29.5x19 - Cty TNHH Hải Sản An Lạc Trà Vinh</v>
      </c>
      <c r="E66" s="572" t="str">
        <f ca="1">IF(ROWS($1:53)&gt;COUNT(Dong11),"",IF(OFFSET(TH!N$1,SMALL(Dong11,ROWS($1:53)),)=$G$7,OFFSET(TH!O$1,SMALL(Dong11,ROWS($1:53)),),OFFSET(TH!N$1,SMALL(Dong11,ROWS($1:53)),)))</f>
        <v>154</v>
      </c>
      <c r="F66" s="575">
        <f ca="1">IF(ROWS($1:53)&gt;COUNT(Dong11),0,OFFSET(TH!J$1,SMALL(Dong11,ROWS($1:53)),))</f>
        <v>7500</v>
      </c>
      <c r="G66" s="575">
        <f ca="1">IF(ROWS($1:53)&gt;COUNT(Dong11),0,IF(MID(OFFSET(TH!D$1,SMALL(Dong11,ROWS($1:53)),),4,1)="N",OFFSET(TH!I$1,SMALL(Dong11,ROWS($1:53)),),0))</f>
        <v>0</v>
      </c>
      <c r="H66" s="576">
        <f t="shared" ca="1" si="12"/>
        <v>0</v>
      </c>
      <c r="I66" s="575">
        <f ca="1">IF(ROWS($1:53)&gt;COUNT(Dong11),0,IF(MID(OFFSET(TH!D$1,SMALL(Dong11,ROWS($1:53)),),4,1)="X",OFFSET(TH!I$1,SMALL(Dong11,ROWS($1:53)),),0))</f>
        <v>2000</v>
      </c>
      <c r="J66" s="576">
        <f t="shared" ca="1" si="13"/>
        <v>15000000</v>
      </c>
      <c r="K66" s="576">
        <f t="shared" ca="1" si="14"/>
        <v>-16644</v>
      </c>
      <c r="L66" s="576">
        <f t="shared" ca="1" si="15"/>
        <v>-148830000</v>
      </c>
      <c r="M66" s="576"/>
      <c r="N66" s="566"/>
    </row>
    <row r="67" spans="1:14">
      <c r="A67" s="524">
        <f t="shared" ca="1" si="11"/>
        <v>54</v>
      </c>
      <c r="B67" s="572" t="str">
        <f ca="1">IF(ROWS($1:54)&gt;COUNT(Dong11),"",OFFSET(TH!D$1,SMALL(Dong11,ROWS($1:54)),))</f>
        <v>VL/X05</v>
      </c>
      <c r="C67" s="573">
        <f ca="1">IF(ROWS($1:54)&gt;COUNT(Dong11),"",OFFSET(TH!E$1,SMALL(Dong11,ROWS($1:54)),))</f>
        <v>42707</v>
      </c>
      <c r="D67" s="574" t="str">
        <f ca="1">IF(ROWS($1:54)&gt;COUNT(Dong11),"",OFFSET(TH!F$1,SMALL(Dong11,ROWS($1:54)),)&amp;" - "&amp;OFFSET(TH!H$1,SMALL(Dong11,ROWS($1:54)),))</f>
        <v>Thùng carton 50x29.5x19 - Cty TNHH Hải Sản An Lạc Trà Vinh</v>
      </c>
      <c r="E67" s="572" t="str">
        <f ca="1">IF(ROWS($1:54)&gt;COUNT(Dong11),"",IF(OFFSET(TH!N$1,SMALL(Dong11,ROWS($1:54)),)=$G$7,OFFSET(TH!O$1,SMALL(Dong11,ROWS($1:54)),),OFFSET(TH!N$1,SMALL(Dong11,ROWS($1:54)),)))</f>
        <v>154</v>
      </c>
      <c r="F67" s="575">
        <f ca="1">IF(ROWS($1:54)&gt;COUNT(Dong11),0,OFFSET(TH!J$1,SMALL(Dong11,ROWS($1:54)),))</f>
        <v>4500</v>
      </c>
      <c r="G67" s="575">
        <f ca="1">IF(ROWS($1:54)&gt;COUNT(Dong11),0,IF(MID(OFFSET(TH!D$1,SMALL(Dong11,ROWS($1:54)),),4,1)="N",OFFSET(TH!I$1,SMALL(Dong11,ROWS($1:54)),),0))</f>
        <v>0</v>
      </c>
      <c r="H67" s="576">
        <f t="shared" ca="1" si="12"/>
        <v>0</v>
      </c>
      <c r="I67" s="575">
        <f ca="1">IF(ROWS($1:54)&gt;COUNT(Dong11),0,IF(MID(OFFSET(TH!D$1,SMALL(Dong11,ROWS($1:54)),),4,1)="X",OFFSET(TH!I$1,SMALL(Dong11,ROWS($1:54)),),0))</f>
        <v>8000</v>
      </c>
      <c r="J67" s="576">
        <f t="shared" ca="1" si="13"/>
        <v>36000000</v>
      </c>
      <c r="K67" s="576">
        <f t="shared" ca="1" si="14"/>
        <v>-24644</v>
      </c>
      <c r="L67" s="576">
        <f t="shared" ca="1" si="15"/>
        <v>-184830000</v>
      </c>
      <c r="M67" s="576"/>
      <c r="N67" s="566"/>
    </row>
    <row r="68" spans="1:14">
      <c r="A68" s="524">
        <f t="shared" ca="1" si="11"/>
        <v>55</v>
      </c>
      <c r="B68" s="572" t="str">
        <f ca="1">IF(ROWS($1:55)&gt;COUNT(Dong11),"",OFFSET(TH!D$1,SMALL(Dong11,ROWS($1:55)),))</f>
        <v>VL/N32</v>
      </c>
      <c r="C68" s="573">
        <f ca="1">IF(ROWS($1:55)&gt;COUNT(Dong11),"",OFFSET(TH!E$1,SMALL(Dong11,ROWS($1:55)),))</f>
        <v>42724</v>
      </c>
      <c r="D68" s="574" t="str">
        <f ca="1">IF(ROWS($1:55)&gt;COUNT(Dong11),"",OFFSET(TH!F$1,SMALL(Dong11,ROWS($1:55)),)&amp;" - "&amp;OFFSET(TH!H$1,SMALL(Dong11,ROWS($1:55)),))</f>
        <v>Thùng carton 50x29.5x19 - Cty TNHH Bao Bì Giấy Kim Dung Phát</v>
      </c>
      <c r="E68" s="572" t="str">
        <f ca="1">IF(ROWS($1:55)&gt;COUNT(Dong11),"",IF(OFFSET(TH!N$1,SMALL(Dong11,ROWS($1:55)),)=$G$7,OFFSET(TH!O$1,SMALL(Dong11,ROWS($1:55)),),OFFSET(TH!N$1,SMALL(Dong11,ROWS($1:55)),)))</f>
        <v>331</v>
      </c>
      <c r="F68" s="575">
        <f ca="1">IF(ROWS($1:55)&gt;COUNT(Dong11),0,OFFSET(TH!J$1,SMALL(Dong11,ROWS($1:55)),))</f>
        <v>7500</v>
      </c>
      <c r="G68" s="575">
        <f ca="1">IF(ROWS($1:55)&gt;COUNT(Dong11),0,IF(MID(OFFSET(TH!D$1,SMALL(Dong11,ROWS($1:55)),),4,1)="N",OFFSET(TH!I$1,SMALL(Dong11,ROWS($1:55)),),0))</f>
        <v>2400</v>
      </c>
      <c r="H68" s="576">
        <f t="shared" ca="1" si="12"/>
        <v>18000000</v>
      </c>
      <c r="I68" s="575">
        <f ca="1">IF(ROWS($1:55)&gt;COUNT(Dong11),0,IF(MID(OFFSET(TH!D$1,SMALL(Dong11,ROWS($1:55)),),4,1)="X",OFFSET(TH!I$1,SMALL(Dong11,ROWS($1:55)),),0))</f>
        <v>0</v>
      </c>
      <c r="J68" s="576">
        <f t="shared" ca="1" si="13"/>
        <v>0</v>
      </c>
      <c r="K68" s="576">
        <f t="shared" ca="1" si="14"/>
        <v>-22244</v>
      </c>
      <c r="L68" s="576">
        <f t="shared" ca="1" si="15"/>
        <v>-166830000</v>
      </c>
      <c r="M68" s="576"/>
      <c r="N68" s="566"/>
    </row>
    <row r="69" spans="1:14">
      <c r="A69" s="524">
        <f t="shared" ca="1" si="11"/>
        <v>56</v>
      </c>
      <c r="B69" s="572" t="str">
        <f ca="1">IF(ROWS($1:56)&gt;COUNT(Dong11),"",OFFSET(TH!D$1,SMALL(Dong11,ROWS($1:56)),))</f>
        <v>VL/N34</v>
      </c>
      <c r="C69" s="573">
        <f ca="1">IF(ROWS($1:56)&gt;COUNT(Dong11),"",OFFSET(TH!E$1,SMALL(Dong11,ROWS($1:56)),))</f>
        <v>42725</v>
      </c>
      <c r="D69" s="574" t="str">
        <f ca="1">IF(ROWS($1:56)&gt;COUNT(Dong11),"",OFFSET(TH!F$1,SMALL(Dong11,ROWS($1:56)),)&amp;" - "&amp;OFFSET(TH!H$1,SMALL(Dong11,ROWS($1:56)),))</f>
        <v>Thùng carton 50x29.5x19 - Cty TNHH Bao Bì Giấy Kim Dung Phát</v>
      </c>
      <c r="E69" s="572" t="str">
        <f ca="1">IF(ROWS($1:56)&gt;COUNT(Dong11),"",IF(OFFSET(TH!N$1,SMALL(Dong11,ROWS($1:56)),)=$G$7,OFFSET(TH!O$1,SMALL(Dong11,ROWS($1:56)),),OFFSET(TH!N$1,SMALL(Dong11,ROWS($1:56)),)))</f>
        <v>331</v>
      </c>
      <c r="F69" s="575">
        <f ca="1">IF(ROWS($1:56)&gt;COUNT(Dong11),0,OFFSET(TH!J$1,SMALL(Dong11,ROWS($1:56)),))</f>
        <v>7500</v>
      </c>
      <c r="G69" s="575">
        <f ca="1">IF(ROWS($1:56)&gt;COUNT(Dong11),0,IF(MID(OFFSET(TH!D$1,SMALL(Dong11,ROWS($1:56)),),4,1)="N",OFFSET(TH!I$1,SMALL(Dong11,ROWS($1:56)),),0))</f>
        <v>2400</v>
      </c>
      <c r="H69" s="576">
        <f t="shared" ca="1" si="12"/>
        <v>18000000</v>
      </c>
      <c r="I69" s="575">
        <f ca="1">IF(ROWS($1:56)&gt;COUNT(Dong11),0,IF(MID(OFFSET(TH!D$1,SMALL(Dong11,ROWS($1:56)),),4,1)="X",OFFSET(TH!I$1,SMALL(Dong11,ROWS($1:56)),),0))</f>
        <v>0</v>
      </c>
      <c r="J69" s="576">
        <f t="shared" ca="1" si="13"/>
        <v>0</v>
      </c>
      <c r="K69" s="576">
        <f t="shared" ca="1" si="14"/>
        <v>-19844</v>
      </c>
      <c r="L69" s="576">
        <f t="shared" ca="1" si="15"/>
        <v>-148830000</v>
      </c>
      <c r="M69" s="576"/>
      <c r="N69" s="566"/>
    </row>
    <row r="70" spans="1:14">
      <c r="A70" s="524">
        <f ca="1">IF(B70="","",A69+1)</f>
        <v>57</v>
      </c>
      <c r="B70" s="572" t="str">
        <f ca="1">IF(ROWS($1:57)&gt;COUNT(Dong11),"",OFFSET(TH!D$1,SMALL(Dong11,ROWS($1:57)),))</f>
        <v>VL/N27</v>
      </c>
      <c r="C70" s="573">
        <f ca="1">IF(ROWS($1:57)&gt;COUNT(Dong11),"",OFFSET(TH!E$1,SMALL(Dong11,ROWS($1:57)),))</f>
        <v>42721</v>
      </c>
      <c r="D70" s="574" t="str">
        <f ca="1">IF(ROWS($1:57)&gt;COUNT(Dong11),"",OFFSET(TH!F$1,SMALL(Dong11,ROWS($1:57)),)&amp;" - "&amp;OFFSET(TH!H$1,SMALL(Dong11,ROWS($1:57)),))</f>
        <v xml:space="preserve">Thùng carton 50x29.5x19 - Cty TNHH SX TM Kim Dung Phát </v>
      </c>
      <c r="E70" s="572" t="str">
        <f ca="1">IF(ROWS($1:57)&gt;COUNT(Dong11),"",IF(OFFSET(TH!N$1,SMALL(Dong11,ROWS($1:57)),)=$G$7,OFFSET(TH!O$1,SMALL(Dong11,ROWS($1:57)),),OFFSET(TH!N$1,SMALL(Dong11,ROWS($1:57)),)))</f>
        <v>331</v>
      </c>
      <c r="F70" s="575">
        <f ca="1">IF(ROWS($1:57)&gt;COUNT(Dong11),0,OFFSET(TH!J$1,SMALL(Dong11,ROWS($1:57)),))</f>
        <v>7500</v>
      </c>
      <c r="G70" s="575">
        <f ca="1">IF(ROWS($1:57)&gt;COUNT(Dong11),0,IF(MID(OFFSET(TH!D$1,SMALL(Dong11,ROWS($1:57)),),4,1)="N",OFFSET(TH!I$1,SMALL(Dong11,ROWS($1:57)),),0))</f>
        <v>180</v>
      </c>
      <c r="H70" s="576">
        <f ca="1">ROUND(F70*G70,0)</f>
        <v>1350000</v>
      </c>
      <c r="I70" s="575">
        <f ca="1">IF(ROWS($1:57)&gt;COUNT(Dong11),0,IF(MID(OFFSET(TH!D$1,SMALL(Dong11,ROWS($1:57)),),4,1)="X",OFFSET(TH!I$1,SMALL(Dong11,ROWS($1:57)),),0))</f>
        <v>0</v>
      </c>
      <c r="J70" s="576">
        <f ca="1">ROUND(F70*I70,0)</f>
        <v>0</v>
      </c>
      <c r="K70" s="576">
        <f ca="1">IF(D70&lt;&gt;"",K69+G70-I70,0)</f>
        <v>-19664</v>
      </c>
      <c r="L70" s="576">
        <f ca="1">IF(D70&lt;&gt;"",L69+H70-J70,0)</f>
        <v>-147480000</v>
      </c>
      <c r="M70" s="576"/>
      <c r="N70" s="566"/>
    </row>
    <row r="71" spans="1:14">
      <c r="A71" s="524">
        <f ca="1">IF(B71="","",A70+1)</f>
        <v>58</v>
      </c>
      <c r="B71" s="572" t="str">
        <f ca="1">IF(ROWS($1:58)&gt;COUNT(Dong11),"",OFFSET(TH!D$1,SMALL(Dong11,ROWS($1:58)),))</f>
        <v>VL/N33</v>
      </c>
      <c r="C71" s="573">
        <f ca="1">IF(ROWS($1:58)&gt;COUNT(Dong11),"",OFFSET(TH!E$1,SMALL(Dong11,ROWS($1:58)),))</f>
        <v>42724</v>
      </c>
      <c r="D71" s="574" t="str">
        <f ca="1">IF(ROWS($1:58)&gt;COUNT(Dong11),"",OFFSET(TH!F$1,SMALL(Dong11,ROWS($1:58)),)&amp;" - "&amp;OFFSET(TH!H$1,SMALL(Dong11,ROWS($1:58)),))</f>
        <v xml:space="preserve">Thùng carton 50x29.5x19 - Cty TNHH SX TM Kim Dung Phát </v>
      </c>
      <c r="E71" s="572" t="str">
        <f ca="1">IF(ROWS($1:58)&gt;COUNT(Dong11),"",IF(OFFSET(TH!N$1,SMALL(Dong11,ROWS($1:58)),)=$G$7,OFFSET(TH!O$1,SMALL(Dong11,ROWS($1:58)),),OFFSET(TH!N$1,SMALL(Dong11,ROWS($1:58)),)))</f>
        <v>331</v>
      </c>
      <c r="F71" s="575">
        <f ca="1">IF(ROWS($1:58)&gt;COUNT(Dong11),0,OFFSET(TH!J$1,SMALL(Dong11,ROWS($1:58)),))</f>
        <v>7500</v>
      </c>
      <c r="G71" s="575">
        <f ca="1">IF(ROWS($1:58)&gt;COUNT(Dong11),0,IF(MID(OFFSET(TH!D$1,SMALL(Dong11,ROWS($1:58)),),4,1)="N",OFFSET(TH!I$1,SMALL(Dong11,ROWS($1:58)),),0))</f>
        <v>2400</v>
      </c>
      <c r="H71" s="576">
        <f ca="1">ROUND(F71*G71,0)</f>
        <v>18000000</v>
      </c>
      <c r="I71" s="575">
        <f ca="1">IF(ROWS($1:58)&gt;COUNT(Dong11),0,IF(MID(OFFSET(TH!D$1,SMALL(Dong11,ROWS($1:58)),),4,1)="X",OFFSET(TH!I$1,SMALL(Dong11,ROWS($1:58)),),0))</f>
        <v>0</v>
      </c>
      <c r="J71" s="576">
        <f ca="1">ROUND(F71*I71,0)</f>
        <v>0</v>
      </c>
      <c r="K71" s="576">
        <f ca="1">IF(D71&lt;&gt;"",K70+G71-I71,0)</f>
        <v>-17264</v>
      </c>
      <c r="L71" s="576">
        <f ca="1">IF(D71&lt;&gt;"",L70+H71-J71,0)</f>
        <v>-129480000</v>
      </c>
      <c r="M71" s="576"/>
      <c r="N71" s="566"/>
    </row>
    <row r="72" spans="1:14">
      <c r="A72" s="524">
        <f ca="1">IF(B72="","",A71+1)</f>
        <v>59</v>
      </c>
      <c r="B72" s="572" t="str">
        <f ca="1">IF(ROWS($1:59)&gt;COUNT(Dong11),"",OFFSET(TH!D$1,SMALL(Dong11,ROWS($1:59)),))</f>
        <v>VL/N38</v>
      </c>
      <c r="C72" s="573">
        <f ca="1">IF(ROWS($1:59)&gt;COUNT(Dong11),"",OFFSET(TH!E$1,SMALL(Dong11,ROWS($1:59)),))</f>
        <v>42726</v>
      </c>
      <c r="D72" s="574" t="str">
        <f ca="1">IF(ROWS($1:59)&gt;COUNT(Dong11),"",OFFSET(TH!F$1,SMALL(Dong11,ROWS($1:59)),)&amp;" - "&amp;OFFSET(TH!H$1,SMALL(Dong11,ROWS($1:59)),))</f>
        <v>Thùng carton 50x29.5x19 - Cty TNHH Bao Bì Giấy Kim Dung Phát</v>
      </c>
      <c r="E72" s="572" t="str">
        <f ca="1">IF(ROWS($1:59)&gt;COUNT(Dong11),"",IF(OFFSET(TH!N$1,SMALL(Dong11,ROWS($1:59)),)=$G$7,OFFSET(TH!O$1,SMALL(Dong11,ROWS($1:59)),),OFFSET(TH!N$1,SMALL(Dong11,ROWS($1:59)),)))</f>
        <v>331</v>
      </c>
      <c r="F72" s="575">
        <f ca="1">IF(ROWS($1:59)&gt;COUNT(Dong11),0,OFFSET(TH!J$1,SMALL(Dong11,ROWS($1:59)),))</f>
        <v>7500</v>
      </c>
      <c r="G72" s="575">
        <f ca="1">IF(ROWS($1:59)&gt;COUNT(Dong11),0,IF(MID(OFFSET(TH!D$1,SMALL(Dong11,ROWS($1:59)),),4,1)="N",OFFSET(TH!I$1,SMALL(Dong11,ROWS($1:59)),),0))</f>
        <v>550</v>
      </c>
      <c r="H72" s="576">
        <f ca="1">ROUND(F72*G72,0)</f>
        <v>4125000</v>
      </c>
      <c r="I72" s="575">
        <f ca="1">IF(ROWS($1:59)&gt;COUNT(Dong11),0,IF(MID(OFFSET(TH!D$1,SMALL(Dong11,ROWS($1:59)),),4,1)="X",OFFSET(TH!I$1,SMALL(Dong11,ROWS($1:59)),),0))</f>
        <v>0</v>
      </c>
      <c r="J72" s="576">
        <f ca="1">ROUND(F72*I72,0)</f>
        <v>0</v>
      </c>
      <c r="K72" s="576">
        <f ca="1">IF(D72&lt;&gt;"",K71+G72-I72,0)</f>
        <v>-16714</v>
      </c>
      <c r="L72" s="576">
        <f ca="1">IF(D72&lt;&gt;"",L71+H72-J72,0)</f>
        <v>-125355000</v>
      </c>
      <c r="M72" s="576"/>
      <c r="N72" s="566"/>
    </row>
    <row r="73" spans="1:14">
      <c r="A73" s="524">
        <f t="shared" ref="A73:A81" ca="1" si="16">IF(B73="","",A72+1)</f>
        <v>60</v>
      </c>
      <c r="B73" s="572" t="str">
        <f ca="1">IF(ROWS($1:60)&gt;COUNT(Dong11),"",OFFSET(TH!D$1,SMALL(Dong11,ROWS($1:60)),))</f>
        <v>VL/N40</v>
      </c>
      <c r="C73" s="573">
        <f ca="1">IF(ROWS($1:60)&gt;COUNT(Dong11),"",OFFSET(TH!E$1,SMALL(Dong11,ROWS($1:60)),))</f>
        <v>42727</v>
      </c>
      <c r="D73" s="574" t="str">
        <f ca="1">IF(ROWS($1:60)&gt;COUNT(Dong11),"",OFFSET(TH!F$1,SMALL(Dong11,ROWS($1:60)),)&amp;" - "&amp;OFFSET(TH!H$1,SMALL(Dong11,ROWS($1:60)),))</f>
        <v>Thùng carton 50x29.5x19 - Cty TNHH Bao Bì Giấy Kim Dung Phát</v>
      </c>
      <c r="E73" s="572" t="str">
        <f ca="1">IF(ROWS($1:60)&gt;COUNT(Dong11),"",IF(OFFSET(TH!N$1,SMALL(Dong11,ROWS($1:60)),)=$G$7,OFFSET(TH!O$1,SMALL(Dong11,ROWS($1:60)),),OFFSET(TH!N$1,SMALL(Dong11,ROWS($1:60)),)))</f>
        <v>331</v>
      </c>
      <c r="F73" s="575">
        <f ca="1">IF(ROWS($1:60)&gt;COUNT(Dong11),0,OFFSET(TH!J$1,SMALL(Dong11,ROWS($1:60)),))</f>
        <v>7500</v>
      </c>
      <c r="G73" s="575">
        <f ca="1">IF(ROWS($1:60)&gt;COUNT(Dong11),0,IF(MID(OFFSET(TH!D$1,SMALL(Dong11,ROWS($1:60)),),4,1)="N",OFFSET(TH!I$1,SMALL(Dong11,ROWS($1:60)),),0))</f>
        <v>2400</v>
      </c>
      <c r="H73" s="576">
        <f t="shared" ref="H73:H81" ca="1" si="17">ROUND(F73*G73,0)</f>
        <v>18000000</v>
      </c>
      <c r="I73" s="575">
        <f ca="1">IF(ROWS($1:60)&gt;COUNT(Dong11),0,IF(MID(OFFSET(TH!D$1,SMALL(Dong11,ROWS($1:60)),),4,1)="X",OFFSET(TH!I$1,SMALL(Dong11,ROWS($1:60)),),0))</f>
        <v>0</v>
      </c>
      <c r="J73" s="576">
        <f t="shared" ref="J73:J81" ca="1" si="18">ROUND(F73*I73,0)</f>
        <v>0</v>
      </c>
      <c r="K73" s="576">
        <f t="shared" ref="K73:K81" ca="1" si="19">IF(D73&lt;&gt;"",K72+G73-I73,0)</f>
        <v>-14314</v>
      </c>
      <c r="L73" s="576">
        <f t="shared" ref="L73:L81" ca="1" si="20">IF(D73&lt;&gt;"",L72+H73-J73,0)</f>
        <v>-107355000</v>
      </c>
      <c r="M73" s="576"/>
      <c r="N73" s="566"/>
    </row>
    <row r="74" spans="1:14">
      <c r="A74" s="524">
        <f t="shared" ca="1" si="16"/>
        <v>61</v>
      </c>
      <c r="B74" s="572" t="str">
        <f ca="1">IF(ROWS($1:61)&gt;COUNT(Dong11),"",OFFSET(TH!D$1,SMALL(Dong11,ROWS($1:61)),))</f>
        <v>VL/N35</v>
      </c>
      <c r="C74" s="573">
        <f ca="1">IF(ROWS($1:61)&gt;COUNT(Dong11),"",OFFSET(TH!E$1,SMALL(Dong11,ROWS($1:61)),))</f>
        <v>42725</v>
      </c>
      <c r="D74" s="574" t="str">
        <f ca="1">IF(ROWS($1:61)&gt;COUNT(Dong11),"",OFFSET(TH!F$1,SMALL(Dong11,ROWS($1:61)),)&amp;" - "&amp;OFFSET(TH!H$1,SMALL(Dong11,ROWS($1:61)),))</f>
        <v xml:space="preserve">Thùng carton 50x29.5x19 - Cty TNHH SX TM Kim Dung Phát </v>
      </c>
      <c r="E74" s="572" t="str">
        <f ca="1">IF(ROWS($1:61)&gt;COUNT(Dong11),"",IF(OFFSET(TH!N$1,SMALL(Dong11,ROWS($1:61)),)=$G$7,OFFSET(TH!O$1,SMALL(Dong11,ROWS($1:61)),),OFFSET(TH!N$1,SMALL(Dong11,ROWS($1:61)),)))</f>
        <v>331</v>
      </c>
      <c r="F74" s="575">
        <f ca="1">IF(ROWS($1:61)&gt;COUNT(Dong11),0,OFFSET(TH!J$1,SMALL(Dong11,ROWS($1:61)),))</f>
        <v>7500</v>
      </c>
      <c r="G74" s="575">
        <f ca="1">IF(ROWS($1:61)&gt;COUNT(Dong11),0,IF(MID(OFFSET(TH!D$1,SMALL(Dong11,ROWS($1:61)),),4,1)="N",OFFSET(TH!I$1,SMALL(Dong11,ROWS($1:61)),),0))</f>
        <v>2400</v>
      </c>
      <c r="H74" s="576">
        <f t="shared" ca="1" si="17"/>
        <v>18000000</v>
      </c>
      <c r="I74" s="575">
        <f ca="1">IF(ROWS($1:61)&gt;COUNT(Dong11),0,IF(MID(OFFSET(TH!D$1,SMALL(Dong11,ROWS($1:61)),),4,1)="X",OFFSET(TH!I$1,SMALL(Dong11,ROWS($1:61)),),0))</f>
        <v>0</v>
      </c>
      <c r="J74" s="576">
        <f t="shared" ca="1" si="18"/>
        <v>0</v>
      </c>
      <c r="K74" s="576">
        <f t="shared" ca="1" si="19"/>
        <v>-11914</v>
      </c>
      <c r="L74" s="576">
        <f t="shared" ca="1" si="20"/>
        <v>-89355000</v>
      </c>
      <c r="M74" s="576"/>
      <c r="N74" s="566"/>
    </row>
    <row r="75" spans="1:14">
      <c r="A75" s="524">
        <f t="shared" ca="1" si="16"/>
        <v>62</v>
      </c>
      <c r="B75" s="572" t="str">
        <f ca="1">IF(ROWS($1:62)&gt;COUNT(Dong11),"",OFFSET(TH!D$1,SMALL(Dong11,ROWS($1:62)),))</f>
        <v>VL/N42</v>
      </c>
      <c r="C75" s="573">
        <f ca="1">IF(ROWS($1:62)&gt;COUNT(Dong11),"",OFFSET(TH!E$1,SMALL(Dong11,ROWS($1:62)),))</f>
        <v>42728</v>
      </c>
      <c r="D75" s="574" t="str">
        <f ca="1">IF(ROWS($1:62)&gt;COUNT(Dong11),"",OFFSET(TH!F$1,SMALL(Dong11,ROWS($1:62)),)&amp;" - "&amp;OFFSET(TH!H$1,SMALL(Dong11,ROWS($1:62)),))</f>
        <v>Thùng carton 50x29.5x19 - Cty TNHH Bao Bì Giấy Kim Dung Phát</v>
      </c>
      <c r="E75" s="572" t="str">
        <f ca="1">IF(ROWS($1:62)&gt;COUNT(Dong11),"",IF(OFFSET(TH!N$1,SMALL(Dong11,ROWS($1:62)),)=$G$7,OFFSET(TH!O$1,SMALL(Dong11,ROWS($1:62)),),OFFSET(TH!N$1,SMALL(Dong11,ROWS($1:62)),)))</f>
        <v>331</v>
      </c>
      <c r="F75" s="575">
        <f ca="1">IF(ROWS($1:62)&gt;COUNT(Dong11),0,OFFSET(TH!J$1,SMALL(Dong11,ROWS($1:62)),))</f>
        <v>7500</v>
      </c>
      <c r="G75" s="575">
        <f ca="1">IF(ROWS($1:62)&gt;COUNT(Dong11),0,IF(MID(OFFSET(TH!D$1,SMALL(Dong11,ROWS($1:62)),),4,1)="N",OFFSET(TH!I$1,SMALL(Dong11,ROWS($1:62)),),0))</f>
        <v>2400</v>
      </c>
      <c r="H75" s="576">
        <f t="shared" ca="1" si="17"/>
        <v>18000000</v>
      </c>
      <c r="I75" s="575">
        <f ca="1">IF(ROWS($1:62)&gt;COUNT(Dong11),0,IF(MID(OFFSET(TH!D$1,SMALL(Dong11,ROWS($1:62)),),4,1)="X",OFFSET(TH!I$1,SMALL(Dong11,ROWS($1:62)),),0))</f>
        <v>0</v>
      </c>
      <c r="J75" s="576">
        <f t="shared" ca="1" si="18"/>
        <v>0</v>
      </c>
      <c r="K75" s="576">
        <f t="shared" ca="1" si="19"/>
        <v>-9514</v>
      </c>
      <c r="L75" s="576">
        <f t="shared" ca="1" si="20"/>
        <v>-71355000</v>
      </c>
      <c r="M75" s="576"/>
      <c r="N75" s="566"/>
    </row>
    <row r="76" spans="1:14">
      <c r="A76" s="524">
        <f t="shared" ca="1" si="16"/>
        <v>63</v>
      </c>
      <c r="B76" s="572" t="str">
        <f ca="1">IF(ROWS($1:63)&gt;COUNT(Dong11),"",OFFSET(TH!D$1,SMALL(Dong11,ROWS($1:63)),))</f>
        <v>VL/N39</v>
      </c>
      <c r="C76" s="573">
        <f ca="1">IF(ROWS($1:63)&gt;COUNT(Dong11),"",OFFSET(TH!E$1,SMALL(Dong11,ROWS($1:63)),))</f>
        <v>42726</v>
      </c>
      <c r="D76" s="574" t="str">
        <f ca="1">IF(ROWS($1:63)&gt;COUNT(Dong11),"",OFFSET(TH!F$1,SMALL(Dong11,ROWS($1:63)),)&amp;" - "&amp;OFFSET(TH!H$1,SMALL(Dong11,ROWS($1:63)),))</f>
        <v xml:space="preserve">Thùng carton 50x29.5x19 - Cty TNHH SX TM Kim Dung Phát </v>
      </c>
      <c r="E76" s="572" t="str">
        <f ca="1">IF(ROWS($1:63)&gt;COUNT(Dong11),"",IF(OFFSET(TH!N$1,SMALL(Dong11,ROWS($1:63)),)=$G$7,OFFSET(TH!O$1,SMALL(Dong11,ROWS($1:63)),),OFFSET(TH!N$1,SMALL(Dong11,ROWS($1:63)),)))</f>
        <v>331</v>
      </c>
      <c r="F76" s="575">
        <f ca="1">IF(ROWS($1:63)&gt;COUNT(Dong11),0,OFFSET(TH!J$1,SMALL(Dong11,ROWS($1:63)),))</f>
        <v>7500</v>
      </c>
      <c r="G76" s="575">
        <f ca="1">IF(ROWS($1:63)&gt;COUNT(Dong11),0,IF(MID(OFFSET(TH!D$1,SMALL(Dong11,ROWS($1:63)),),4,1)="N",OFFSET(TH!I$1,SMALL(Dong11,ROWS($1:63)),),0))</f>
        <v>1939</v>
      </c>
      <c r="H76" s="576">
        <f t="shared" ca="1" si="17"/>
        <v>14542500</v>
      </c>
      <c r="I76" s="575">
        <f ca="1">IF(ROWS($1:63)&gt;COUNT(Dong11),0,IF(MID(OFFSET(TH!D$1,SMALL(Dong11,ROWS($1:63)),),4,1)="X",OFFSET(TH!I$1,SMALL(Dong11,ROWS($1:63)),),0))</f>
        <v>0</v>
      </c>
      <c r="J76" s="576">
        <f t="shared" ca="1" si="18"/>
        <v>0</v>
      </c>
      <c r="K76" s="576">
        <f t="shared" ca="1" si="19"/>
        <v>-7575</v>
      </c>
      <c r="L76" s="576">
        <f t="shared" ca="1" si="20"/>
        <v>-56812500</v>
      </c>
      <c r="M76" s="576"/>
      <c r="N76" s="566"/>
    </row>
    <row r="77" spans="1:14">
      <c r="A77" s="524">
        <f t="shared" ca="1" si="16"/>
        <v>64</v>
      </c>
      <c r="B77" s="572" t="str">
        <f ca="1">IF(ROWS($1:64)&gt;COUNT(Dong11),"",OFFSET(TH!D$1,SMALL(Dong11,ROWS($1:64)),))</f>
        <v>VL/N45</v>
      </c>
      <c r="C77" s="573">
        <f ca="1">IF(ROWS($1:64)&gt;COUNT(Dong11),"",OFFSET(TH!E$1,SMALL(Dong11,ROWS($1:64)),))</f>
        <v>42729</v>
      </c>
      <c r="D77" s="574" t="str">
        <f ca="1">IF(ROWS($1:64)&gt;COUNT(Dong11),"",OFFSET(TH!F$1,SMALL(Dong11,ROWS($1:64)),)&amp;" - "&amp;OFFSET(TH!H$1,SMALL(Dong11,ROWS($1:64)),))</f>
        <v>Thùng carton 50x29.5x19 - Cty TNHH Bao Bì Giấy Kim Dung Phát</v>
      </c>
      <c r="E77" s="572" t="str">
        <f ca="1">IF(ROWS($1:64)&gt;COUNT(Dong11),"",IF(OFFSET(TH!N$1,SMALL(Dong11,ROWS($1:64)),)=$G$7,OFFSET(TH!O$1,SMALL(Dong11,ROWS($1:64)),),OFFSET(TH!N$1,SMALL(Dong11,ROWS($1:64)),)))</f>
        <v>331</v>
      </c>
      <c r="F77" s="575">
        <f ca="1">IF(ROWS($1:64)&gt;COUNT(Dong11),0,OFFSET(TH!J$1,SMALL(Dong11,ROWS($1:64)),))</f>
        <v>7500</v>
      </c>
      <c r="G77" s="575">
        <f ca="1">IF(ROWS($1:64)&gt;COUNT(Dong11),0,IF(MID(OFFSET(TH!D$1,SMALL(Dong11,ROWS($1:64)),),4,1)="N",OFFSET(TH!I$1,SMALL(Dong11,ROWS($1:64)),),0))</f>
        <v>2400</v>
      </c>
      <c r="H77" s="576">
        <f t="shared" ca="1" si="17"/>
        <v>18000000</v>
      </c>
      <c r="I77" s="575">
        <f ca="1">IF(ROWS($1:64)&gt;COUNT(Dong11),0,IF(MID(OFFSET(TH!D$1,SMALL(Dong11,ROWS($1:64)),),4,1)="X",OFFSET(TH!I$1,SMALL(Dong11,ROWS($1:64)),),0))</f>
        <v>0</v>
      </c>
      <c r="J77" s="576">
        <f t="shared" ca="1" si="18"/>
        <v>0</v>
      </c>
      <c r="K77" s="576">
        <f t="shared" ca="1" si="19"/>
        <v>-5175</v>
      </c>
      <c r="L77" s="576">
        <f t="shared" ca="1" si="20"/>
        <v>-38812500</v>
      </c>
      <c r="M77" s="576"/>
      <c r="N77" s="566"/>
    </row>
    <row r="78" spans="1:14">
      <c r="A78" s="524">
        <f t="shared" ca="1" si="16"/>
        <v>65</v>
      </c>
      <c r="B78" s="572" t="str">
        <f ca="1">IF(ROWS($1:65)&gt;COUNT(Dong11),"",OFFSET(TH!D$1,SMALL(Dong11,ROWS($1:65)),))</f>
        <v>VL/N43</v>
      </c>
      <c r="C78" s="573">
        <f ca="1">IF(ROWS($1:65)&gt;COUNT(Dong11),"",OFFSET(TH!E$1,SMALL(Dong11,ROWS($1:65)),))</f>
        <v>42728</v>
      </c>
      <c r="D78" s="574" t="str">
        <f ca="1">IF(ROWS($1:65)&gt;COUNT(Dong11),"",OFFSET(TH!F$1,SMALL(Dong11,ROWS($1:65)),)&amp;" - "&amp;OFFSET(TH!H$1,SMALL(Dong11,ROWS($1:65)),))</f>
        <v xml:space="preserve">Thùng carton 50x29.5x19 - Cty TNHH SX TM Kim Dung Phát </v>
      </c>
      <c r="E78" s="572" t="str">
        <f ca="1">IF(ROWS($1:65)&gt;COUNT(Dong11),"",IF(OFFSET(TH!N$1,SMALL(Dong11,ROWS($1:65)),)=$G$7,OFFSET(TH!O$1,SMALL(Dong11,ROWS($1:65)),),OFFSET(TH!N$1,SMALL(Dong11,ROWS($1:65)),)))</f>
        <v>331</v>
      </c>
      <c r="F78" s="575">
        <f ca="1">IF(ROWS($1:65)&gt;COUNT(Dong11),0,OFFSET(TH!J$1,SMALL(Dong11,ROWS($1:65)),))</f>
        <v>7500</v>
      </c>
      <c r="G78" s="575">
        <f ca="1">IF(ROWS($1:65)&gt;COUNT(Dong11),0,IF(MID(OFFSET(TH!D$1,SMALL(Dong11,ROWS($1:65)),),4,1)="N",OFFSET(TH!I$1,SMALL(Dong11,ROWS($1:65)),),0))</f>
        <v>2400</v>
      </c>
      <c r="H78" s="576">
        <f t="shared" ca="1" si="17"/>
        <v>18000000</v>
      </c>
      <c r="I78" s="575">
        <f ca="1">IF(ROWS($1:65)&gt;COUNT(Dong11),0,IF(MID(OFFSET(TH!D$1,SMALL(Dong11,ROWS($1:65)),),4,1)="X",OFFSET(TH!I$1,SMALL(Dong11,ROWS($1:65)),),0))</f>
        <v>0</v>
      </c>
      <c r="J78" s="576">
        <f t="shared" ca="1" si="18"/>
        <v>0</v>
      </c>
      <c r="K78" s="576">
        <f t="shared" ca="1" si="19"/>
        <v>-2775</v>
      </c>
      <c r="L78" s="576">
        <f t="shared" ca="1" si="20"/>
        <v>-20812500</v>
      </c>
      <c r="M78" s="576"/>
      <c r="N78" s="566"/>
    </row>
    <row r="79" spans="1:14">
      <c r="A79" s="524">
        <f t="shared" ca="1" si="16"/>
        <v>66</v>
      </c>
      <c r="B79" s="572" t="str">
        <f ca="1">IF(ROWS($1:66)&gt;COUNT(Dong11),"",OFFSET(TH!D$1,SMALL(Dong11,ROWS($1:66)),))</f>
        <v>VL/N46</v>
      </c>
      <c r="C79" s="573">
        <f ca="1">IF(ROWS($1:66)&gt;COUNT(Dong11),"",OFFSET(TH!E$1,SMALL(Dong11,ROWS($1:66)),))</f>
        <v>42730</v>
      </c>
      <c r="D79" s="574" t="str">
        <f ca="1">IF(ROWS($1:66)&gt;COUNT(Dong11),"",OFFSET(TH!F$1,SMALL(Dong11,ROWS($1:66)),)&amp;" - "&amp;OFFSET(TH!H$1,SMALL(Dong11,ROWS($1:66)),))</f>
        <v>Thùng carton 50x29.5x19 - Cty TNHH Bao Bì Giấy Kim Dung Phát</v>
      </c>
      <c r="E79" s="572" t="str">
        <f ca="1">IF(ROWS($1:66)&gt;COUNT(Dong11),"",IF(OFFSET(TH!N$1,SMALL(Dong11,ROWS($1:66)),)=$G$7,OFFSET(TH!O$1,SMALL(Dong11,ROWS($1:66)),),OFFSET(TH!N$1,SMALL(Dong11,ROWS($1:66)),)))</f>
        <v>331</v>
      </c>
      <c r="F79" s="575">
        <f ca="1">IF(ROWS($1:66)&gt;COUNT(Dong11),0,OFFSET(TH!J$1,SMALL(Dong11,ROWS($1:66)),))</f>
        <v>7500</v>
      </c>
      <c r="G79" s="575">
        <f ca="1">IF(ROWS($1:66)&gt;COUNT(Dong11),0,IF(MID(OFFSET(TH!D$1,SMALL(Dong11,ROWS($1:66)),),4,1)="N",OFFSET(TH!I$1,SMALL(Dong11,ROWS($1:66)),),0))</f>
        <v>1200</v>
      </c>
      <c r="H79" s="576">
        <f t="shared" ca="1" si="17"/>
        <v>9000000</v>
      </c>
      <c r="I79" s="575">
        <f ca="1">IF(ROWS($1:66)&gt;COUNT(Dong11),0,IF(MID(OFFSET(TH!D$1,SMALL(Dong11,ROWS($1:66)),),4,1)="X",OFFSET(TH!I$1,SMALL(Dong11,ROWS($1:66)),),0))</f>
        <v>0</v>
      </c>
      <c r="J79" s="576">
        <f t="shared" ca="1" si="18"/>
        <v>0</v>
      </c>
      <c r="K79" s="576">
        <f t="shared" ca="1" si="19"/>
        <v>-1575</v>
      </c>
      <c r="L79" s="576">
        <f t="shared" ca="1" si="20"/>
        <v>-11812500</v>
      </c>
      <c r="M79" s="576"/>
      <c r="N79" s="566"/>
    </row>
    <row r="80" spans="1:14">
      <c r="A80" s="524">
        <f t="shared" ca="1" si="16"/>
        <v>67</v>
      </c>
      <c r="B80" s="572" t="str">
        <f ca="1">IF(ROWS($1:67)&gt;COUNT(Dong11),"",OFFSET(TH!D$1,SMALL(Dong11,ROWS($1:67)),))</f>
        <v>VL/X17</v>
      </c>
      <c r="C80" s="573">
        <f ca="1">IF(ROWS($1:67)&gt;COUNT(Dong11),"",OFFSET(TH!E$1,SMALL(Dong11,ROWS($1:67)),))</f>
        <v>42732</v>
      </c>
      <c r="D80" s="574" t="str">
        <f ca="1">IF(ROWS($1:67)&gt;COUNT(Dong11),"",OFFSET(TH!F$1,SMALL(Dong11,ROWS($1:67)),)&amp;" - "&amp;OFFSET(TH!H$1,SMALL(Dong11,ROWS($1:67)),))</f>
        <v>Thùng carton 50x29.5x19 - Cty TNHH Hải Sản An Lạc Trà Vinh</v>
      </c>
      <c r="E80" s="572" t="str">
        <f ca="1">IF(ROWS($1:67)&gt;COUNT(Dong11),"",IF(OFFSET(TH!N$1,SMALL(Dong11,ROWS($1:67)),)=$G$7,OFFSET(TH!O$1,SMALL(Dong11,ROWS($1:67)),),OFFSET(TH!N$1,SMALL(Dong11,ROWS($1:67)),)))</f>
        <v>154</v>
      </c>
      <c r="F80" s="575">
        <f ca="1">IF(ROWS($1:67)&gt;COUNT(Dong11),0,OFFSET(TH!J$1,SMALL(Dong11,ROWS($1:67)),))</f>
        <v>7500</v>
      </c>
      <c r="G80" s="575">
        <f ca="1">IF(ROWS($1:67)&gt;COUNT(Dong11),0,IF(MID(OFFSET(TH!D$1,SMALL(Dong11,ROWS($1:67)),),4,1)="N",OFFSET(TH!I$1,SMALL(Dong11,ROWS($1:67)),),0))</f>
        <v>0</v>
      </c>
      <c r="H80" s="576">
        <f t="shared" ca="1" si="17"/>
        <v>0</v>
      </c>
      <c r="I80" s="575">
        <f ca="1">IF(ROWS($1:67)&gt;COUNT(Dong11),0,IF(MID(OFFSET(TH!D$1,SMALL(Dong11,ROWS($1:67)),),4,1)="X",OFFSET(TH!I$1,SMALL(Dong11,ROWS($1:67)),),0))</f>
        <v>2030</v>
      </c>
      <c r="J80" s="576">
        <f t="shared" ca="1" si="18"/>
        <v>15225000</v>
      </c>
      <c r="K80" s="576">
        <f t="shared" ca="1" si="19"/>
        <v>-3605</v>
      </c>
      <c r="L80" s="576">
        <f t="shared" ca="1" si="20"/>
        <v>-27037500</v>
      </c>
      <c r="M80" s="576"/>
      <c r="N80" s="566"/>
    </row>
    <row r="81" spans="1:14">
      <c r="A81" s="524">
        <f t="shared" ca="1" si="16"/>
        <v>68</v>
      </c>
      <c r="B81" s="572" t="str">
        <f ca="1">IF(ROWS($1:68)&gt;COUNT(Dong11),"",OFFSET(TH!D$1,SMALL(Dong11,ROWS($1:68)),))</f>
        <v>VL/N48</v>
      </c>
      <c r="C81" s="573">
        <f ca="1">IF(ROWS($1:68)&gt;COUNT(Dong11),"",OFFSET(TH!E$1,SMALL(Dong11,ROWS($1:68)),))</f>
        <v>42731</v>
      </c>
      <c r="D81" s="574" t="str">
        <f ca="1">IF(ROWS($1:68)&gt;COUNT(Dong11),"",OFFSET(TH!F$1,SMALL(Dong11,ROWS($1:68)),)&amp;" - "&amp;OFFSET(TH!H$1,SMALL(Dong11,ROWS($1:68)),))</f>
        <v xml:space="preserve">Thùng carton 50x29.5x19 - Cty TNHH SX TM Kim Dung Phát </v>
      </c>
      <c r="E81" s="572" t="str">
        <f ca="1">IF(ROWS($1:68)&gt;COUNT(Dong11),"",IF(OFFSET(TH!N$1,SMALL(Dong11,ROWS($1:68)),)=$G$7,OFFSET(TH!O$1,SMALL(Dong11,ROWS($1:68)),),OFFSET(TH!N$1,SMALL(Dong11,ROWS($1:68)),)))</f>
        <v>331</v>
      </c>
      <c r="F81" s="575">
        <f ca="1">IF(ROWS($1:68)&gt;COUNT(Dong11),0,OFFSET(TH!J$1,SMALL(Dong11,ROWS($1:68)),))</f>
        <v>7500</v>
      </c>
      <c r="G81" s="575">
        <f ca="1">IF(ROWS($1:68)&gt;COUNT(Dong11),0,IF(MID(OFFSET(TH!D$1,SMALL(Dong11,ROWS($1:68)),),4,1)="N",OFFSET(TH!I$1,SMALL(Dong11,ROWS($1:68)),),0))</f>
        <v>2030</v>
      </c>
      <c r="H81" s="576">
        <f t="shared" ca="1" si="17"/>
        <v>15225000</v>
      </c>
      <c r="I81" s="575">
        <f ca="1">IF(ROWS($1:68)&gt;COUNT(Dong11),0,IF(MID(OFFSET(TH!D$1,SMALL(Dong11,ROWS($1:68)),),4,1)="X",OFFSET(TH!I$1,SMALL(Dong11,ROWS($1:68)),),0))</f>
        <v>0</v>
      </c>
      <c r="J81" s="576">
        <f t="shared" ca="1" si="18"/>
        <v>0</v>
      </c>
      <c r="K81" s="576">
        <f t="shared" ca="1" si="19"/>
        <v>-1575</v>
      </c>
      <c r="L81" s="576">
        <f t="shared" ca="1" si="20"/>
        <v>-11812500</v>
      </c>
      <c r="M81" s="576"/>
      <c r="N81" s="566"/>
    </row>
    <row r="82" spans="1:14">
      <c r="A82" s="524">
        <f t="shared" ref="A82:A94" ca="1" si="21">IF(B82="","",A81+1)</f>
        <v>69</v>
      </c>
      <c r="B82" s="572" t="str">
        <f ca="1">IF(ROWS($1:69)&gt;COUNT(Dong11),"",OFFSET(TH!D$1,SMALL(Dong11,ROWS($1:69)),))</f>
        <v>VL/N47</v>
      </c>
      <c r="C82" s="573">
        <f ca="1">IF(ROWS($1:69)&gt;COUNT(Dong11),"",OFFSET(TH!E$1,SMALL(Dong11,ROWS($1:69)),))</f>
        <v>42731</v>
      </c>
      <c r="D82" s="574" t="str">
        <f ca="1">IF(ROWS($1:69)&gt;COUNT(Dong11),"",OFFSET(TH!F$1,SMALL(Dong11,ROWS($1:69)),)&amp;" - "&amp;OFFSET(TH!H$1,SMALL(Dong11,ROWS($1:69)),))</f>
        <v>Thùng carton 50x29.5x19 - Cty TNHH Bao Bì Giấy Kim Dung Phát</v>
      </c>
      <c r="E82" s="572" t="str">
        <f ca="1">IF(ROWS($1:69)&gt;COUNT(Dong11),"",IF(OFFSET(TH!N$1,SMALL(Dong11,ROWS($1:69)),)=$G$7,OFFSET(TH!O$1,SMALL(Dong11,ROWS($1:69)),),OFFSET(TH!N$1,SMALL(Dong11,ROWS($1:69)),)))</f>
        <v>331</v>
      </c>
      <c r="F82" s="575">
        <f ca="1">IF(ROWS($1:69)&gt;COUNT(Dong11),0,OFFSET(TH!J$1,SMALL(Dong11,ROWS($1:69)),))</f>
        <v>7500</v>
      </c>
      <c r="G82" s="575">
        <f ca="1">IF(ROWS($1:69)&gt;COUNT(Dong11),0,IF(MID(OFFSET(TH!D$1,SMALL(Dong11,ROWS($1:69)),),4,1)="N",OFFSET(TH!I$1,SMALL(Dong11,ROWS($1:69)),),0))</f>
        <v>1380</v>
      </c>
      <c r="H82" s="576">
        <f t="shared" ref="H82:H94" ca="1" si="22">ROUND(F82*G82,0)</f>
        <v>10350000</v>
      </c>
      <c r="I82" s="575">
        <f ca="1">IF(ROWS($1:69)&gt;COUNT(Dong11),0,IF(MID(OFFSET(TH!D$1,SMALL(Dong11,ROWS($1:69)),),4,1)="X",OFFSET(TH!I$1,SMALL(Dong11,ROWS($1:69)),),0))</f>
        <v>0</v>
      </c>
      <c r="J82" s="576">
        <f t="shared" ref="J82:J94" ca="1" si="23">ROUND(F82*I82,0)</f>
        <v>0</v>
      </c>
      <c r="K82" s="576">
        <f t="shared" ref="K82:K94" ca="1" si="24">IF(D82&lt;&gt;"",K81+G82-I82,0)</f>
        <v>-195</v>
      </c>
      <c r="L82" s="576">
        <f t="shared" ref="L82:L94" ca="1" si="25">IF(D82&lt;&gt;"",L81+H82-J82,0)</f>
        <v>-1462500</v>
      </c>
      <c r="M82" s="576"/>
      <c r="N82" s="566"/>
    </row>
    <row r="83" spans="1:14">
      <c r="A83" s="524">
        <f t="shared" ca="1" si="21"/>
        <v>70</v>
      </c>
      <c r="B83" s="572" t="str">
        <f ca="1">IF(ROWS($1:70)&gt;COUNT(Dong11),"",OFFSET(TH!D$1,SMALL(Dong11,ROWS($1:70)),))</f>
        <v>VL/N49</v>
      </c>
      <c r="C83" s="573">
        <f ca="1">IF(ROWS($1:70)&gt;COUNT(Dong11),"",OFFSET(TH!E$1,SMALL(Dong11,ROWS($1:70)),))</f>
        <v>42732</v>
      </c>
      <c r="D83" s="574" t="str">
        <f ca="1">IF(ROWS($1:70)&gt;COUNT(Dong11),"",OFFSET(TH!F$1,SMALL(Dong11,ROWS($1:70)),)&amp;" - "&amp;OFFSET(TH!H$1,SMALL(Dong11,ROWS($1:70)),))</f>
        <v>Thùng carton 50x29.5x19 - Cty TNHH Bao Bì Giấy Kim Dung Phát</v>
      </c>
      <c r="E83" s="572" t="str">
        <f ca="1">IF(ROWS($1:70)&gt;COUNT(Dong11),"",IF(OFFSET(TH!N$1,SMALL(Dong11,ROWS($1:70)),)=$G$7,OFFSET(TH!O$1,SMALL(Dong11,ROWS($1:70)),),OFFSET(TH!N$1,SMALL(Dong11,ROWS($1:70)),)))</f>
        <v>331</v>
      </c>
      <c r="F83" s="575">
        <f ca="1">IF(ROWS($1:70)&gt;COUNT(Dong11),0,OFFSET(TH!J$1,SMALL(Dong11,ROWS($1:70)),))</f>
        <v>7500</v>
      </c>
      <c r="G83" s="575">
        <f ca="1">IF(ROWS($1:70)&gt;COUNT(Dong11),0,IF(MID(OFFSET(TH!D$1,SMALL(Dong11,ROWS($1:70)),),4,1)="N",OFFSET(TH!I$1,SMALL(Dong11,ROWS($1:70)),),0))</f>
        <v>2030</v>
      </c>
      <c r="H83" s="576">
        <f t="shared" ca="1" si="22"/>
        <v>15225000</v>
      </c>
      <c r="I83" s="575">
        <f ca="1">IF(ROWS($1:70)&gt;COUNT(Dong11),0,IF(MID(OFFSET(TH!D$1,SMALL(Dong11,ROWS($1:70)),),4,1)="X",OFFSET(TH!I$1,SMALL(Dong11,ROWS($1:70)),),0))</f>
        <v>0</v>
      </c>
      <c r="J83" s="576">
        <f t="shared" ca="1" si="23"/>
        <v>0</v>
      </c>
      <c r="K83" s="576">
        <f t="shared" ca="1" si="24"/>
        <v>1835</v>
      </c>
      <c r="L83" s="576">
        <f t="shared" ca="1" si="25"/>
        <v>13762500</v>
      </c>
      <c r="M83" s="576"/>
      <c r="N83" s="566"/>
    </row>
    <row r="84" spans="1:14">
      <c r="A84" s="524" t="str">
        <f t="shared" ca="1" si="21"/>
        <v/>
      </c>
      <c r="B84" s="572" t="str">
        <f ca="1">IF(ROWS($1:71)&gt;COUNT(Dong11),"",OFFSET(TH!D$1,SMALL(Dong11,ROWS($1:71)),))</f>
        <v/>
      </c>
      <c r="C84" s="573" t="str">
        <f ca="1">IF(ROWS($1:71)&gt;COUNT(Dong11),"",OFFSET(TH!E$1,SMALL(Dong11,ROWS($1:71)),))</f>
        <v/>
      </c>
      <c r="D84" s="574" t="str">
        <f ca="1">IF(ROWS($1:71)&gt;COUNT(Dong11),"",OFFSET(TH!F$1,SMALL(Dong11,ROWS($1:71)),)&amp;" - "&amp;OFFSET(TH!H$1,SMALL(Dong11,ROWS($1:71)),))</f>
        <v/>
      </c>
      <c r="E84" s="572" t="str">
        <f ca="1">IF(ROWS($1:71)&gt;COUNT(Dong11),"",IF(OFFSET(TH!N$1,SMALL(Dong11,ROWS($1:71)),)=$G$7,OFFSET(TH!O$1,SMALL(Dong11,ROWS($1:71)),),OFFSET(TH!N$1,SMALL(Dong11,ROWS($1:71)),)))</f>
        <v/>
      </c>
      <c r="F84" s="575">
        <f ca="1">IF(ROWS($1:71)&gt;COUNT(Dong11),0,OFFSET(TH!J$1,SMALL(Dong11,ROWS($1:71)),))</f>
        <v>0</v>
      </c>
      <c r="G84" s="575">
        <f ca="1">IF(ROWS($1:71)&gt;COUNT(Dong11),0,IF(MID(OFFSET(TH!D$1,SMALL(Dong11,ROWS($1:71)),),4,1)="N",OFFSET(TH!I$1,SMALL(Dong11,ROWS($1:71)),),0))</f>
        <v>0</v>
      </c>
      <c r="H84" s="576">
        <f t="shared" ca="1" si="22"/>
        <v>0</v>
      </c>
      <c r="I84" s="575">
        <f ca="1">IF(ROWS($1:71)&gt;COUNT(Dong11),0,IF(MID(OFFSET(TH!D$1,SMALL(Dong11,ROWS($1:71)),),4,1)="X",OFFSET(TH!I$1,SMALL(Dong11,ROWS($1:71)),),0))</f>
        <v>0</v>
      </c>
      <c r="J84" s="576">
        <f t="shared" ca="1" si="23"/>
        <v>0</v>
      </c>
      <c r="K84" s="576">
        <f t="shared" ca="1" si="24"/>
        <v>0</v>
      </c>
      <c r="L84" s="576">
        <f t="shared" ca="1" si="25"/>
        <v>0</v>
      </c>
      <c r="M84" s="576"/>
      <c r="N84" s="566"/>
    </row>
    <row r="85" spans="1:14">
      <c r="A85" s="524" t="str">
        <f t="shared" ca="1" si="21"/>
        <v/>
      </c>
      <c r="B85" s="572" t="str">
        <f ca="1">IF(ROWS($1:72)&gt;COUNT(Dong11),"",OFFSET(TH!D$1,SMALL(Dong11,ROWS($1:72)),))</f>
        <v/>
      </c>
      <c r="C85" s="573" t="str">
        <f ca="1">IF(ROWS($1:72)&gt;COUNT(Dong11),"",OFFSET(TH!E$1,SMALL(Dong11,ROWS($1:72)),))</f>
        <v/>
      </c>
      <c r="D85" s="574" t="str">
        <f ca="1">IF(ROWS($1:72)&gt;COUNT(Dong11),"",OFFSET(TH!F$1,SMALL(Dong11,ROWS($1:72)),)&amp;" - "&amp;OFFSET(TH!H$1,SMALL(Dong11,ROWS($1:72)),))</f>
        <v/>
      </c>
      <c r="E85" s="572" t="str">
        <f ca="1">IF(ROWS($1:72)&gt;COUNT(Dong11),"",IF(OFFSET(TH!N$1,SMALL(Dong11,ROWS($1:72)),)=$G$7,OFFSET(TH!O$1,SMALL(Dong11,ROWS($1:72)),),OFFSET(TH!N$1,SMALL(Dong11,ROWS($1:72)),)))</f>
        <v/>
      </c>
      <c r="F85" s="575">
        <f ca="1">IF(ROWS($1:72)&gt;COUNT(Dong11),0,OFFSET(TH!J$1,SMALL(Dong11,ROWS($1:72)),))</f>
        <v>0</v>
      </c>
      <c r="G85" s="575">
        <f ca="1">IF(ROWS($1:72)&gt;COUNT(Dong11),0,IF(MID(OFFSET(TH!D$1,SMALL(Dong11,ROWS($1:72)),),4,1)="N",OFFSET(TH!I$1,SMALL(Dong11,ROWS($1:72)),),0))</f>
        <v>0</v>
      </c>
      <c r="H85" s="576">
        <f t="shared" ca="1" si="22"/>
        <v>0</v>
      </c>
      <c r="I85" s="575">
        <f ca="1">IF(ROWS($1:72)&gt;COUNT(Dong11),0,IF(MID(OFFSET(TH!D$1,SMALL(Dong11,ROWS($1:72)),),4,1)="X",OFFSET(TH!I$1,SMALL(Dong11,ROWS($1:72)),),0))</f>
        <v>0</v>
      </c>
      <c r="J85" s="576">
        <f t="shared" ca="1" si="23"/>
        <v>0</v>
      </c>
      <c r="K85" s="576">
        <f t="shared" ca="1" si="24"/>
        <v>0</v>
      </c>
      <c r="L85" s="576">
        <f t="shared" ca="1" si="25"/>
        <v>0</v>
      </c>
      <c r="M85" s="576"/>
      <c r="N85" s="566"/>
    </row>
    <row r="86" spans="1:14">
      <c r="A86" s="524" t="str">
        <f t="shared" ca="1" si="21"/>
        <v/>
      </c>
      <c r="B86" s="572" t="str">
        <f ca="1">IF(ROWS($1:73)&gt;COUNT(Dong11),"",OFFSET(TH!D$1,SMALL(Dong11,ROWS($1:73)),))</f>
        <v/>
      </c>
      <c r="C86" s="573" t="str">
        <f ca="1">IF(ROWS($1:73)&gt;COUNT(Dong11),"",OFFSET(TH!E$1,SMALL(Dong11,ROWS($1:73)),))</f>
        <v/>
      </c>
      <c r="D86" s="574" t="str">
        <f ca="1">IF(ROWS($1:73)&gt;COUNT(Dong11),"",OFFSET(TH!F$1,SMALL(Dong11,ROWS($1:73)),)&amp;" - "&amp;OFFSET(TH!H$1,SMALL(Dong11,ROWS($1:73)),))</f>
        <v/>
      </c>
      <c r="E86" s="572" t="str">
        <f ca="1">IF(ROWS($1:73)&gt;COUNT(Dong11),"",IF(OFFSET(TH!N$1,SMALL(Dong11,ROWS($1:73)),)=$G$7,OFFSET(TH!O$1,SMALL(Dong11,ROWS($1:73)),),OFFSET(TH!N$1,SMALL(Dong11,ROWS($1:73)),)))</f>
        <v/>
      </c>
      <c r="F86" s="575">
        <f ca="1">IF(ROWS($1:73)&gt;COUNT(Dong11),0,OFFSET(TH!J$1,SMALL(Dong11,ROWS($1:73)),))</f>
        <v>0</v>
      </c>
      <c r="G86" s="575">
        <f ca="1">IF(ROWS($1:73)&gt;COUNT(Dong11),0,IF(MID(OFFSET(TH!D$1,SMALL(Dong11,ROWS($1:73)),),4,1)="N",OFFSET(TH!I$1,SMALL(Dong11,ROWS($1:73)),),0))</f>
        <v>0</v>
      </c>
      <c r="H86" s="576">
        <f t="shared" ca="1" si="22"/>
        <v>0</v>
      </c>
      <c r="I86" s="575">
        <f ca="1">IF(ROWS($1:73)&gt;COUNT(Dong11),0,IF(MID(OFFSET(TH!D$1,SMALL(Dong11,ROWS($1:73)),),4,1)="X",OFFSET(TH!I$1,SMALL(Dong11,ROWS($1:73)),),0))</f>
        <v>0</v>
      </c>
      <c r="J86" s="576">
        <f t="shared" ca="1" si="23"/>
        <v>0</v>
      </c>
      <c r="K86" s="576">
        <f t="shared" ca="1" si="24"/>
        <v>0</v>
      </c>
      <c r="L86" s="576">
        <f t="shared" ca="1" si="25"/>
        <v>0</v>
      </c>
      <c r="M86" s="576"/>
      <c r="N86" s="566"/>
    </row>
    <row r="87" spans="1:14">
      <c r="A87" s="524" t="str">
        <f t="shared" ca="1" si="21"/>
        <v/>
      </c>
      <c r="B87" s="572" t="str">
        <f ca="1">IF(ROWS($1:74)&gt;COUNT(Dong11),"",OFFSET(TH!D$1,SMALL(Dong11,ROWS($1:74)),))</f>
        <v/>
      </c>
      <c r="C87" s="573" t="str">
        <f ca="1">IF(ROWS($1:74)&gt;COUNT(Dong11),"",OFFSET(TH!E$1,SMALL(Dong11,ROWS($1:74)),))</f>
        <v/>
      </c>
      <c r="D87" s="574" t="str">
        <f ca="1">IF(ROWS($1:74)&gt;COUNT(Dong11),"",OFFSET(TH!F$1,SMALL(Dong11,ROWS($1:74)),)&amp;" - "&amp;OFFSET(TH!H$1,SMALL(Dong11,ROWS($1:74)),))</f>
        <v/>
      </c>
      <c r="E87" s="572" t="str">
        <f ca="1">IF(ROWS($1:74)&gt;COUNT(Dong11),"",IF(OFFSET(TH!N$1,SMALL(Dong11,ROWS($1:74)),)=$G$7,OFFSET(TH!O$1,SMALL(Dong11,ROWS($1:74)),),OFFSET(TH!N$1,SMALL(Dong11,ROWS($1:74)),)))</f>
        <v/>
      </c>
      <c r="F87" s="575">
        <f ca="1">IF(ROWS($1:74)&gt;COUNT(Dong11),0,OFFSET(TH!J$1,SMALL(Dong11,ROWS($1:74)),))</f>
        <v>0</v>
      </c>
      <c r="G87" s="575">
        <f ca="1">IF(ROWS($1:74)&gt;COUNT(Dong11),0,IF(MID(OFFSET(TH!D$1,SMALL(Dong11,ROWS($1:74)),),4,1)="N",OFFSET(TH!I$1,SMALL(Dong11,ROWS($1:74)),),0))</f>
        <v>0</v>
      </c>
      <c r="H87" s="576">
        <f t="shared" ca="1" si="22"/>
        <v>0</v>
      </c>
      <c r="I87" s="575">
        <f ca="1">IF(ROWS($1:74)&gt;COUNT(Dong11),0,IF(MID(OFFSET(TH!D$1,SMALL(Dong11,ROWS($1:74)),),4,1)="X",OFFSET(TH!I$1,SMALL(Dong11,ROWS($1:74)),),0))</f>
        <v>0</v>
      </c>
      <c r="J87" s="576">
        <f t="shared" ca="1" si="23"/>
        <v>0</v>
      </c>
      <c r="K87" s="576">
        <f t="shared" ca="1" si="24"/>
        <v>0</v>
      </c>
      <c r="L87" s="576">
        <f t="shared" ca="1" si="25"/>
        <v>0</v>
      </c>
      <c r="M87" s="576"/>
      <c r="N87" s="566"/>
    </row>
    <row r="88" spans="1:14">
      <c r="A88" s="524" t="str">
        <f t="shared" ca="1" si="21"/>
        <v/>
      </c>
      <c r="B88" s="572" t="str">
        <f ca="1">IF(ROWS($1:75)&gt;COUNT(Dong11),"",OFFSET(TH!D$1,SMALL(Dong11,ROWS($1:75)),))</f>
        <v/>
      </c>
      <c r="C88" s="573" t="str">
        <f ca="1">IF(ROWS($1:75)&gt;COUNT(Dong11),"",OFFSET(TH!E$1,SMALL(Dong11,ROWS($1:75)),))</f>
        <v/>
      </c>
      <c r="D88" s="574" t="str">
        <f ca="1">IF(ROWS($1:75)&gt;COUNT(Dong11),"",OFFSET(TH!F$1,SMALL(Dong11,ROWS($1:75)),)&amp;" - "&amp;OFFSET(TH!H$1,SMALL(Dong11,ROWS($1:75)),))</f>
        <v/>
      </c>
      <c r="E88" s="572" t="str">
        <f ca="1">IF(ROWS($1:75)&gt;COUNT(Dong11),"",IF(OFFSET(TH!N$1,SMALL(Dong11,ROWS($1:75)),)=$G$7,OFFSET(TH!O$1,SMALL(Dong11,ROWS($1:75)),),OFFSET(TH!N$1,SMALL(Dong11,ROWS($1:75)),)))</f>
        <v/>
      </c>
      <c r="F88" s="575">
        <f ca="1">IF(ROWS($1:75)&gt;COUNT(Dong11),0,OFFSET(TH!J$1,SMALL(Dong11,ROWS($1:75)),))</f>
        <v>0</v>
      </c>
      <c r="G88" s="575">
        <f ca="1">IF(ROWS($1:75)&gt;COUNT(Dong11),0,IF(MID(OFFSET(TH!D$1,SMALL(Dong11,ROWS($1:75)),),4,1)="N",OFFSET(TH!I$1,SMALL(Dong11,ROWS($1:75)),),0))</f>
        <v>0</v>
      </c>
      <c r="H88" s="576">
        <f t="shared" ca="1" si="22"/>
        <v>0</v>
      </c>
      <c r="I88" s="575">
        <f ca="1">IF(ROWS($1:75)&gt;COUNT(Dong11),0,IF(MID(OFFSET(TH!D$1,SMALL(Dong11,ROWS($1:75)),),4,1)="X",OFFSET(TH!I$1,SMALL(Dong11,ROWS($1:75)),),0))</f>
        <v>0</v>
      </c>
      <c r="J88" s="576">
        <f t="shared" ca="1" si="23"/>
        <v>0</v>
      </c>
      <c r="K88" s="576">
        <f t="shared" ca="1" si="24"/>
        <v>0</v>
      </c>
      <c r="L88" s="576">
        <f t="shared" ca="1" si="25"/>
        <v>0</v>
      </c>
      <c r="M88" s="576"/>
      <c r="N88" s="566"/>
    </row>
    <row r="89" spans="1:14">
      <c r="A89" s="524" t="str">
        <f t="shared" ca="1" si="21"/>
        <v/>
      </c>
      <c r="B89" s="572" t="str">
        <f ca="1">IF(ROWS($1:76)&gt;COUNT(Dong11),"",OFFSET(TH!D$1,SMALL(Dong11,ROWS($1:76)),))</f>
        <v/>
      </c>
      <c r="C89" s="573" t="str">
        <f ca="1">IF(ROWS($1:76)&gt;COUNT(Dong11),"",OFFSET(TH!E$1,SMALL(Dong11,ROWS($1:76)),))</f>
        <v/>
      </c>
      <c r="D89" s="574" t="str">
        <f ca="1">IF(ROWS($1:76)&gt;COUNT(Dong11),"",OFFSET(TH!F$1,SMALL(Dong11,ROWS($1:76)),)&amp;" - "&amp;OFFSET(TH!H$1,SMALL(Dong11,ROWS($1:76)),))</f>
        <v/>
      </c>
      <c r="E89" s="572" t="str">
        <f ca="1">IF(ROWS($1:76)&gt;COUNT(Dong11),"",IF(OFFSET(TH!N$1,SMALL(Dong11,ROWS($1:76)),)=$G$7,OFFSET(TH!O$1,SMALL(Dong11,ROWS($1:76)),),OFFSET(TH!N$1,SMALL(Dong11,ROWS($1:76)),)))</f>
        <v/>
      </c>
      <c r="F89" s="575">
        <f ca="1">IF(ROWS($1:76)&gt;COUNT(Dong11),0,OFFSET(TH!J$1,SMALL(Dong11,ROWS($1:76)),))</f>
        <v>0</v>
      </c>
      <c r="G89" s="575">
        <f ca="1">IF(ROWS($1:76)&gt;COUNT(Dong11),0,IF(MID(OFFSET(TH!D$1,SMALL(Dong11,ROWS($1:76)),),4,1)="N",OFFSET(TH!I$1,SMALL(Dong11,ROWS($1:76)),),0))</f>
        <v>0</v>
      </c>
      <c r="H89" s="576">
        <f t="shared" ca="1" si="22"/>
        <v>0</v>
      </c>
      <c r="I89" s="575">
        <f ca="1">IF(ROWS($1:76)&gt;COUNT(Dong11),0,IF(MID(OFFSET(TH!D$1,SMALL(Dong11,ROWS($1:76)),),4,1)="X",OFFSET(TH!I$1,SMALL(Dong11,ROWS($1:76)),),0))</f>
        <v>0</v>
      </c>
      <c r="J89" s="576">
        <f t="shared" ca="1" si="23"/>
        <v>0</v>
      </c>
      <c r="K89" s="576">
        <f t="shared" ca="1" si="24"/>
        <v>0</v>
      </c>
      <c r="L89" s="576">
        <f t="shared" ca="1" si="25"/>
        <v>0</v>
      </c>
      <c r="M89" s="576"/>
      <c r="N89" s="566"/>
    </row>
    <row r="90" spans="1:14">
      <c r="A90" s="524" t="str">
        <f t="shared" ca="1" si="21"/>
        <v/>
      </c>
      <c r="B90" s="572" t="str">
        <f ca="1">IF(ROWS($1:77)&gt;COUNT(Dong11),"",OFFSET(TH!D$1,SMALL(Dong11,ROWS($1:77)),))</f>
        <v/>
      </c>
      <c r="C90" s="573" t="str">
        <f ca="1">IF(ROWS($1:77)&gt;COUNT(Dong11),"",OFFSET(TH!E$1,SMALL(Dong11,ROWS($1:77)),))</f>
        <v/>
      </c>
      <c r="D90" s="574" t="str">
        <f ca="1">IF(ROWS($1:77)&gt;COUNT(Dong11),"",OFFSET(TH!F$1,SMALL(Dong11,ROWS($1:77)),)&amp;" - "&amp;OFFSET(TH!H$1,SMALL(Dong11,ROWS($1:77)),))</f>
        <v/>
      </c>
      <c r="E90" s="572" t="str">
        <f ca="1">IF(ROWS($1:77)&gt;COUNT(Dong11),"",IF(OFFSET(TH!N$1,SMALL(Dong11,ROWS($1:77)),)=$G$7,OFFSET(TH!O$1,SMALL(Dong11,ROWS($1:77)),),OFFSET(TH!N$1,SMALL(Dong11,ROWS($1:77)),)))</f>
        <v/>
      </c>
      <c r="F90" s="575">
        <f ca="1">IF(ROWS($1:77)&gt;COUNT(Dong11),0,OFFSET(TH!J$1,SMALL(Dong11,ROWS($1:77)),))</f>
        <v>0</v>
      </c>
      <c r="G90" s="575">
        <f ca="1">IF(ROWS($1:77)&gt;COUNT(Dong11),0,IF(MID(OFFSET(TH!D$1,SMALL(Dong11,ROWS($1:77)),),4,1)="N",OFFSET(TH!I$1,SMALL(Dong11,ROWS($1:77)),),0))</f>
        <v>0</v>
      </c>
      <c r="H90" s="576">
        <f t="shared" ca="1" si="22"/>
        <v>0</v>
      </c>
      <c r="I90" s="575">
        <f ca="1">IF(ROWS($1:77)&gt;COUNT(Dong11),0,IF(MID(OFFSET(TH!D$1,SMALL(Dong11,ROWS($1:77)),),4,1)="X",OFFSET(TH!I$1,SMALL(Dong11,ROWS($1:77)),),0))</f>
        <v>0</v>
      </c>
      <c r="J90" s="576">
        <f t="shared" ca="1" si="23"/>
        <v>0</v>
      </c>
      <c r="K90" s="576">
        <f t="shared" ca="1" si="24"/>
        <v>0</v>
      </c>
      <c r="L90" s="576">
        <f t="shared" ca="1" si="25"/>
        <v>0</v>
      </c>
      <c r="M90" s="576"/>
      <c r="N90" s="566"/>
    </row>
    <row r="91" spans="1:14">
      <c r="A91" s="524" t="str">
        <f t="shared" ca="1" si="21"/>
        <v/>
      </c>
      <c r="B91" s="572" t="str">
        <f ca="1">IF(ROWS($1:78)&gt;COUNT(Dong11),"",OFFSET(TH!D$1,SMALL(Dong11,ROWS($1:78)),))</f>
        <v/>
      </c>
      <c r="C91" s="573" t="str">
        <f ca="1">IF(ROWS($1:78)&gt;COUNT(Dong11),"",OFFSET(TH!E$1,SMALL(Dong11,ROWS($1:78)),))</f>
        <v/>
      </c>
      <c r="D91" s="574" t="str">
        <f ca="1">IF(ROWS($1:78)&gt;COUNT(Dong11),"",OFFSET(TH!F$1,SMALL(Dong11,ROWS($1:78)),)&amp;" - "&amp;OFFSET(TH!H$1,SMALL(Dong11,ROWS($1:78)),))</f>
        <v/>
      </c>
      <c r="E91" s="572" t="str">
        <f ca="1">IF(ROWS($1:78)&gt;COUNT(Dong11),"",IF(OFFSET(TH!N$1,SMALL(Dong11,ROWS($1:78)),)=$G$7,OFFSET(TH!O$1,SMALL(Dong11,ROWS($1:78)),),OFFSET(TH!N$1,SMALL(Dong11,ROWS($1:78)),)))</f>
        <v/>
      </c>
      <c r="F91" s="575">
        <f ca="1">IF(ROWS($1:78)&gt;COUNT(Dong11),0,OFFSET(TH!J$1,SMALL(Dong11,ROWS($1:78)),))</f>
        <v>0</v>
      </c>
      <c r="G91" s="575">
        <f ca="1">IF(ROWS($1:78)&gt;COUNT(Dong11),0,IF(MID(OFFSET(TH!D$1,SMALL(Dong11,ROWS($1:78)),),4,1)="N",OFFSET(TH!I$1,SMALL(Dong11,ROWS($1:78)),),0))</f>
        <v>0</v>
      </c>
      <c r="H91" s="576">
        <f t="shared" ca="1" si="22"/>
        <v>0</v>
      </c>
      <c r="I91" s="575">
        <f ca="1">IF(ROWS($1:78)&gt;COUNT(Dong11),0,IF(MID(OFFSET(TH!D$1,SMALL(Dong11,ROWS($1:78)),),4,1)="X",OFFSET(TH!I$1,SMALL(Dong11,ROWS($1:78)),),0))</f>
        <v>0</v>
      </c>
      <c r="J91" s="576">
        <f t="shared" ca="1" si="23"/>
        <v>0</v>
      </c>
      <c r="K91" s="576">
        <f t="shared" ca="1" si="24"/>
        <v>0</v>
      </c>
      <c r="L91" s="576">
        <f t="shared" ca="1" si="25"/>
        <v>0</v>
      </c>
      <c r="M91" s="576"/>
      <c r="N91" s="566"/>
    </row>
    <row r="92" spans="1:14">
      <c r="A92" s="524" t="str">
        <f t="shared" ca="1" si="21"/>
        <v/>
      </c>
      <c r="B92" s="572" t="str">
        <f ca="1">IF(ROWS($1:79)&gt;COUNT(Dong11),"",OFFSET(TH!D$1,SMALL(Dong11,ROWS($1:79)),))</f>
        <v/>
      </c>
      <c r="C92" s="573" t="str">
        <f ca="1">IF(ROWS($1:79)&gt;COUNT(Dong11),"",OFFSET(TH!E$1,SMALL(Dong11,ROWS($1:79)),))</f>
        <v/>
      </c>
      <c r="D92" s="574" t="str">
        <f ca="1">IF(ROWS($1:79)&gt;COUNT(Dong11),"",OFFSET(TH!F$1,SMALL(Dong11,ROWS($1:79)),)&amp;" - "&amp;OFFSET(TH!H$1,SMALL(Dong11,ROWS($1:79)),))</f>
        <v/>
      </c>
      <c r="E92" s="572" t="str">
        <f ca="1">IF(ROWS($1:79)&gt;COUNT(Dong11),"",IF(OFFSET(TH!N$1,SMALL(Dong11,ROWS($1:79)),)=$G$7,OFFSET(TH!O$1,SMALL(Dong11,ROWS($1:79)),),OFFSET(TH!N$1,SMALL(Dong11,ROWS($1:79)),)))</f>
        <v/>
      </c>
      <c r="F92" s="575">
        <f ca="1">IF(ROWS($1:79)&gt;COUNT(Dong11),0,OFFSET(TH!J$1,SMALL(Dong11,ROWS($1:79)),))</f>
        <v>0</v>
      </c>
      <c r="G92" s="575">
        <f ca="1">IF(ROWS($1:79)&gt;COUNT(Dong11),0,IF(MID(OFFSET(TH!D$1,SMALL(Dong11,ROWS($1:79)),),4,1)="N",OFFSET(TH!I$1,SMALL(Dong11,ROWS($1:79)),),0))</f>
        <v>0</v>
      </c>
      <c r="H92" s="576">
        <f t="shared" ca="1" si="22"/>
        <v>0</v>
      </c>
      <c r="I92" s="575">
        <f ca="1">IF(ROWS($1:79)&gt;COUNT(Dong11),0,IF(MID(OFFSET(TH!D$1,SMALL(Dong11,ROWS($1:79)),),4,1)="X",OFFSET(TH!I$1,SMALL(Dong11,ROWS($1:79)),),0))</f>
        <v>0</v>
      </c>
      <c r="J92" s="576">
        <f t="shared" ca="1" si="23"/>
        <v>0</v>
      </c>
      <c r="K92" s="576">
        <f t="shared" ca="1" si="24"/>
        <v>0</v>
      </c>
      <c r="L92" s="576">
        <f t="shared" ca="1" si="25"/>
        <v>0</v>
      </c>
      <c r="M92" s="576"/>
      <c r="N92" s="566"/>
    </row>
    <row r="93" spans="1:14">
      <c r="A93" s="524" t="str">
        <f t="shared" ca="1" si="21"/>
        <v/>
      </c>
      <c r="B93" s="572" t="str">
        <f ca="1">IF(ROWS($1:80)&gt;COUNT(Dong11),"",OFFSET(TH!D$1,SMALL(Dong11,ROWS($1:80)),))</f>
        <v/>
      </c>
      <c r="C93" s="573" t="str">
        <f ca="1">IF(ROWS($1:80)&gt;COUNT(Dong11),"",OFFSET(TH!E$1,SMALL(Dong11,ROWS($1:80)),))</f>
        <v/>
      </c>
      <c r="D93" s="574" t="str">
        <f ca="1">IF(ROWS($1:80)&gt;COUNT(Dong11),"",OFFSET(TH!F$1,SMALL(Dong11,ROWS($1:80)),)&amp;" - "&amp;OFFSET(TH!H$1,SMALL(Dong11,ROWS($1:80)),))</f>
        <v/>
      </c>
      <c r="E93" s="572" t="str">
        <f ca="1">IF(ROWS($1:80)&gt;COUNT(Dong11),"",IF(OFFSET(TH!N$1,SMALL(Dong11,ROWS($1:80)),)=$G$7,OFFSET(TH!O$1,SMALL(Dong11,ROWS($1:80)),),OFFSET(TH!N$1,SMALL(Dong11,ROWS($1:80)),)))</f>
        <v/>
      </c>
      <c r="F93" s="575">
        <f ca="1">IF(ROWS($1:80)&gt;COUNT(Dong11),0,OFFSET(TH!J$1,SMALL(Dong11,ROWS($1:80)),))</f>
        <v>0</v>
      </c>
      <c r="G93" s="575">
        <f ca="1">IF(ROWS($1:80)&gt;COUNT(Dong11),0,IF(MID(OFFSET(TH!D$1,SMALL(Dong11,ROWS($1:80)),),4,1)="N",OFFSET(TH!I$1,SMALL(Dong11,ROWS($1:80)),),0))</f>
        <v>0</v>
      </c>
      <c r="H93" s="576">
        <f t="shared" ca="1" si="22"/>
        <v>0</v>
      </c>
      <c r="I93" s="575">
        <f ca="1">IF(ROWS($1:80)&gt;COUNT(Dong11),0,IF(MID(OFFSET(TH!D$1,SMALL(Dong11,ROWS($1:80)),),4,1)="X",OFFSET(TH!I$1,SMALL(Dong11,ROWS($1:80)),),0))</f>
        <v>0</v>
      </c>
      <c r="J93" s="576">
        <f t="shared" ca="1" si="23"/>
        <v>0</v>
      </c>
      <c r="K93" s="576">
        <f t="shared" ca="1" si="24"/>
        <v>0</v>
      </c>
      <c r="L93" s="576">
        <f t="shared" ca="1" si="25"/>
        <v>0</v>
      </c>
      <c r="M93" s="576"/>
      <c r="N93" s="566"/>
    </row>
    <row r="94" spans="1:14">
      <c r="A94" s="524" t="str">
        <f t="shared" ca="1" si="21"/>
        <v/>
      </c>
      <c r="B94" s="572" t="str">
        <f ca="1">IF(ROWS($1:81)&gt;COUNT(Dong11),"",OFFSET(TH!D$1,SMALL(Dong11,ROWS($1:81)),))</f>
        <v/>
      </c>
      <c r="C94" s="573" t="str">
        <f ca="1">IF(ROWS($1:81)&gt;COUNT(Dong11),"",OFFSET(TH!E$1,SMALL(Dong11,ROWS($1:81)),))</f>
        <v/>
      </c>
      <c r="D94" s="574" t="str">
        <f ca="1">IF(ROWS($1:81)&gt;COUNT(Dong11),"",OFFSET(TH!F$1,SMALL(Dong11,ROWS($1:81)),)&amp;" - "&amp;OFFSET(TH!H$1,SMALL(Dong11,ROWS($1:81)),))</f>
        <v/>
      </c>
      <c r="E94" s="572" t="str">
        <f ca="1">IF(ROWS($1:81)&gt;COUNT(Dong11),"",IF(OFFSET(TH!N$1,SMALL(Dong11,ROWS($1:81)),)=$G$7,OFFSET(TH!O$1,SMALL(Dong11,ROWS($1:81)),),OFFSET(TH!N$1,SMALL(Dong11,ROWS($1:81)),)))</f>
        <v/>
      </c>
      <c r="F94" s="575">
        <f ca="1">IF(ROWS($1:81)&gt;COUNT(Dong11),0,OFFSET(TH!J$1,SMALL(Dong11,ROWS($1:81)),))</f>
        <v>0</v>
      </c>
      <c r="G94" s="575">
        <f ca="1">IF(ROWS($1:81)&gt;COUNT(Dong11),0,IF(MID(OFFSET(TH!D$1,SMALL(Dong11,ROWS($1:81)),),4,1)="N",OFFSET(TH!I$1,SMALL(Dong11,ROWS($1:81)),),0))</f>
        <v>0</v>
      </c>
      <c r="H94" s="576">
        <f t="shared" ca="1" si="22"/>
        <v>0</v>
      </c>
      <c r="I94" s="575">
        <f ca="1">IF(ROWS($1:81)&gt;COUNT(Dong11),0,IF(MID(OFFSET(TH!D$1,SMALL(Dong11,ROWS($1:81)),),4,1)="X",OFFSET(TH!I$1,SMALL(Dong11,ROWS($1:81)),),0))</f>
        <v>0</v>
      </c>
      <c r="J94" s="576">
        <f t="shared" ca="1" si="23"/>
        <v>0</v>
      </c>
      <c r="K94" s="576">
        <f t="shared" ca="1" si="24"/>
        <v>0</v>
      </c>
      <c r="L94" s="576">
        <f t="shared" ca="1" si="25"/>
        <v>0</v>
      </c>
      <c r="M94" s="576"/>
      <c r="N94" s="566"/>
    </row>
    <row r="95" spans="1:14">
      <c r="A95" s="524" t="str">
        <f t="shared" ref="A95:A108" ca="1" si="26">IF(B95="","",A94+1)</f>
        <v/>
      </c>
      <c r="B95" s="572" t="str">
        <f ca="1">IF(ROWS($1:82)&gt;COUNT(Dong11),"",OFFSET(TH!D$1,SMALL(Dong11,ROWS($1:82)),))</f>
        <v/>
      </c>
      <c r="C95" s="573" t="str">
        <f ca="1">IF(ROWS($1:82)&gt;COUNT(Dong11),"",OFFSET(TH!E$1,SMALL(Dong11,ROWS($1:82)),))</f>
        <v/>
      </c>
      <c r="D95" s="574" t="str">
        <f ca="1">IF(ROWS($1:82)&gt;COUNT(Dong11),"",OFFSET(TH!F$1,SMALL(Dong11,ROWS($1:82)),)&amp;" - "&amp;OFFSET(TH!H$1,SMALL(Dong11,ROWS($1:82)),))</f>
        <v/>
      </c>
      <c r="E95" s="572" t="str">
        <f ca="1">IF(ROWS($1:82)&gt;COUNT(Dong11),"",IF(OFFSET(TH!N$1,SMALL(Dong11,ROWS($1:82)),)=$G$7,OFFSET(TH!O$1,SMALL(Dong11,ROWS($1:82)),),OFFSET(TH!N$1,SMALL(Dong11,ROWS($1:82)),)))</f>
        <v/>
      </c>
      <c r="F95" s="575">
        <f ca="1">IF(ROWS($1:82)&gt;COUNT(Dong11),0,OFFSET(TH!J$1,SMALL(Dong11,ROWS($1:82)),))</f>
        <v>0</v>
      </c>
      <c r="G95" s="575">
        <f ca="1">IF(ROWS($1:82)&gt;COUNT(Dong11),0,IF(MID(OFFSET(TH!D$1,SMALL(Dong11,ROWS($1:82)),),4,1)="N",OFFSET(TH!I$1,SMALL(Dong11,ROWS($1:82)),),0))</f>
        <v>0</v>
      </c>
      <c r="H95" s="576">
        <f t="shared" ref="H95:H108" ca="1" si="27">ROUND(F95*G95,0)</f>
        <v>0</v>
      </c>
      <c r="I95" s="575">
        <f ca="1">IF(ROWS($1:82)&gt;COUNT(Dong11),0,IF(MID(OFFSET(TH!D$1,SMALL(Dong11,ROWS($1:82)),),4,1)="X",OFFSET(TH!I$1,SMALL(Dong11,ROWS($1:82)),),0))</f>
        <v>0</v>
      </c>
      <c r="J95" s="576">
        <f t="shared" ref="J95:J108" ca="1" si="28">ROUND(F95*I95,0)</f>
        <v>0</v>
      </c>
      <c r="K95" s="576">
        <f t="shared" ref="K95:K108" ca="1" si="29">IF(D95&lt;&gt;"",K94+G95-I95,0)</f>
        <v>0</v>
      </c>
      <c r="L95" s="576">
        <f t="shared" ref="L95:L108" ca="1" si="30">IF(D95&lt;&gt;"",L94+H95-J95,0)</f>
        <v>0</v>
      </c>
      <c r="M95" s="576"/>
      <c r="N95" s="566"/>
    </row>
    <row r="96" spans="1:14">
      <c r="A96" s="524" t="str">
        <f t="shared" ca="1" si="26"/>
        <v/>
      </c>
      <c r="B96" s="572" t="str">
        <f ca="1">IF(ROWS($1:83)&gt;COUNT(Dong11),"",OFFSET(TH!D$1,SMALL(Dong11,ROWS($1:83)),))</f>
        <v/>
      </c>
      <c r="C96" s="573" t="str">
        <f ca="1">IF(ROWS($1:83)&gt;COUNT(Dong11),"",OFFSET(TH!E$1,SMALL(Dong11,ROWS($1:83)),))</f>
        <v/>
      </c>
      <c r="D96" s="574" t="str">
        <f ca="1">IF(ROWS($1:83)&gt;COUNT(Dong11),"",OFFSET(TH!F$1,SMALL(Dong11,ROWS($1:83)),)&amp;" - "&amp;OFFSET(TH!H$1,SMALL(Dong11,ROWS($1:83)),))</f>
        <v/>
      </c>
      <c r="E96" s="572" t="str">
        <f ca="1">IF(ROWS($1:83)&gt;COUNT(Dong11),"",IF(OFFSET(TH!N$1,SMALL(Dong11,ROWS($1:83)),)=$G$7,OFFSET(TH!O$1,SMALL(Dong11,ROWS($1:83)),),OFFSET(TH!N$1,SMALL(Dong11,ROWS($1:83)),)))</f>
        <v/>
      </c>
      <c r="F96" s="575">
        <f ca="1">IF(ROWS($1:83)&gt;COUNT(Dong11),0,OFFSET(TH!J$1,SMALL(Dong11,ROWS($1:83)),))</f>
        <v>0</v>
      </c>
      <c r="G96" s="575">
        <f ca="1">IF(ROWS($1:83)&gt;COUNT(Dong11),0,IF(MID(OFFSET(TH!D$1,SMALL(Dong11,ROWS($1:83)),),4,1)="N",OFFSET(TH!I$1,SMALL(Dong11,ROWS($1:83)),),0))</f>
        <v>0</v>
      </c>
      <c r="H96" s="576">
        <f t="shared" ca="1" si="27"/>
        <v>0</v>
      </c>
      <c r="I96" s="575">
        <f ca="1">IF(ROWS($1:83)&gt;COUNT(Dong11),0,IF(MID(OFFSET(TH!D$1,SMALL(Dong11,ROWS($1:83)),),4,1)="X",OFFSET(TH!I$1,SMALL(Dong11,ROWS($1:83)),),0))</f>
        <v>0</v>
      </c>
      <c r="J96" s="576">
        <f t="shared" ca="1" si="28"/>
        <v>0</v>
      </c>
      <c r="K96" s="576">
        <f t="shared" ca="1" si="29"/>
        <v>0</v>
      </c>
      <c r="L96" s="576">
        <f t="shared" ca="1" si="30"/>
        <v>0</v>
      </c>
      <c r="M96" s="576"/>
      <c r="N96" s="566"/>
    </row>
    <row r="97" spans="1:14">
      <c r="A97" s="524" t="str">
        <f t="shared" ca="1" si="26"/>
        <v/>
      </c>
      <c r="B97" s="572" t="str">
        <f ca="1">IF(ROWS($1:84)&gt;COUNT(Dong11),"",OFFSET(TH!D$1,SMALL(Dong11,ROWS($1:84)),))</f>
        <v/>
      </c>
      <c r="C97" s="573" t="str">
        <f ca="1">IF(ROWS($1:84)&gt;COUNT(Dong11),"",OFFSET(TH!E$1,SMALL(Dong11,ROWS($1:84)),))</f>
        <v/>
      </c>
      <c r="D97" s="574" t="str">
        <f ca="1">IF(ROWS($1:84)&gt;COUNT(Dong11),"",OFFSET(TH!F$1,SMALL(Dong11,ROWS($1:84)),)&amp;" - "&amp;OFFSET(TH!H$1,SMALL(Dong11,ROWS($1:84)),))</f>
        <v/>
      </c>
      <c r="E97" s="572" t="str">
        <f ca="1">IF(ROWS($1:84)&gt;COUNT(Dong11),"",IF(OFFSET(TH!N$1,SMALL(Dong11,ROWS($1:84)),)=$G$7,OFFSET(TH!O$1,SMALL(Dong11,ROWS($1:84)),),OFFSET(TH!N$1,SMALL(Dong11,ROWS($1:84)),)))</f>
        <v/>
      </c>
      <c r="F97" s="575">
        <f ca="1">IF(ROWS($1:84)&gt;COUNT(Dong11),0,OFFSET(TH!J$1,SMALL(Dong11,ROWS($1:84)),))</f>
        <v>0</v>
      </c>
      <c r="G97" s="575">
        <f ca="1">IF(ROWS($1:84)&gt;COUNT(Dong11),0,IF(MID(OFFSET(TH!D$1,SMALL(Dong11,ROWS($1:84)),),4,1)="N",OFFSET(TH!I$1,SMALL(Dong11,ROWS($1:84)),),0))</f>
        <v>0</v>
      </c>
      <c r="H97" s="576">
        <f t="shared" ca="1" si="27"/>
        <v>0</v>
      </c>
      <c r="I97" s="575">
        <f ca="1">IF(ROWS($1:84)&gt;COUNT(Dong11),0,IF(MID(OFFSET(TH!D$1,SMALL(Dong11,ROWS($1:84)),),4,1)="X",OFFSET(TH!I$1,SMALL(Dong11,ROWS($1:84)),),0))</f>
        <v>0</v>
      </c>
      <c r="J97" s="576">
        <f t="shared" ca="1" si="28"/>
        <v>0</v>
      </c>
      <c r="K97" s="576">
        <f t="shared" ca="1" si="29"/>
        <v>0</v>
      </c>
      <c r="L97" s="576">
        <f t="shared" ca="1" si="30"/>
        <v>0</v>
      </c>
      <c r="M97" s="576"/>
      <c r="N97" s="566"/>
    </row>
    <row r="98" spans="1:14">
      <c r="A98" s="524" t="str">
        <f t="shared" ca="1" si="26"/>
        <v/>
      </c>
      <c r="B98" s="572" t="str">
        <f ca="1">IF(ROWS($1:85)&gt;COUNT(Dong11),"",OFFSET(TH!D$1,SMALL(Dong11,ROWS($1:85)),))</f>
        <v/>
      </c>
      <c r="C98" s="573" t="str">
        <f ca="1">IF(ROWS($1:85)&gt;COUNT(Dong11),"",OFFSET(TH!E$1,SMALL(Dong11,ROWS($1:85)),))</f>
        <v/>
      </c>
      <c r="D98" s="574" t="str">
        <f ca="1">IF(ROWS($1:85)&gt;COUNT(Dong11),"",OFFSET(TH!F$1,SMALL(Dong11,ROWS($1:85)),)&amp;" - "&amp;OFFSET(TH!H$1,SMALL(Dong11,ROWS($1:85)),))</f>
        <v/>
      </c>
      <c r="E98" s="572" t="str">
        <f ca="1">IF(ROWS($1:85)&gt;COUNT(Dong11),"",IF(OFFSET(TH!N$1,SMALL(Dong11,ROWS($1:85)),)=$G$7,OFFSET(TH!O$1,SMALL(Dong11,ROWS($1:85)),),OFFSET(TH!N$1,SMALL(Dong11,ROWS($1:85)),)))</f>
        <v/>
      </c>
      <c r="F98" s="575">
        <f ca="1">IF(ROWS($1:85)&gt;COUNT(Dong11),0,OFFSET(TH!J$1,SMALL(Dong11,ROWS($1:85)),))</f>
        <v>0</v>
      </c>
      <c r="G98" s="575">
        <f ca="1">IF(ROWS($1:85)&gt;COUNT(Dong11),0,IF(MID(OFFSET(TH!D$1,SMALL(Dong11,ROWS($1:85)),),4,1)="N",OFFSET(TH!I$1,SMALL(Dong11,ROWS($1:85)),),0))</f>
        <v>0</v>
      </c>
      <c r="H98" s="576">
        <f t="shared" ca="1" si="27"/>
        <v>0</v>
      </c>
      <c r="I98" s="575">
        <f ca="1">IF(ROWS($1:85)&gt;COUNT(Dong11),0,IF(MID(OFFSET(TH!D$1,SMALL(Dong11,ROWS($1:85)),),4,1)="X",OFFSET(TH!I$1,SMALL(Dong11,ROWS($1:85)),),0))</f>
        <v>0</v>
      </c>
      <c r="J98" s="576">
        <f t="shared" ca="1" si="28"/>
        <v>0</v>
      </c>
      <c r="K98" s="576">
        <f t="shared" ca="1" si="29"/>
        <v>0</v>
      </c>
      <c r="L98" s="576">
        <f t="shared" ca="1" si="30"/>
        <v>0</v>
      </c>
      <c r="M98" s="576"/>
      <c r="N98" s="566"/>
    </row>
    <row r="99" spans="1:14">
      <c r="A99" s="524" t="str">
        <f t="shared" ca="1" si="26"/>
        <v/>
      </c>
      <c r="B99" s="572" t="str">
        <f ca="1">IF(ROWS($1:86)&gt;COUNT(Dong11),"",OFFSET(TH!D$1,SMALL(Dong11,ROWS($1:86)),))</f>
        <v/>
      </c>
      <c r="C99" s="573" t="str">
        <f ca="1">IF(ROWS($1:86)&gt;COUNT(Dong11),"",OFFSET(TH!E$1,SMALL(Dong11,ROWS($1:86)),))</f>
        <v/>
      </c>
      <c r="D99" s="574" t="str">
        <f ca="1">IF(ROWS($1:86)&gt;COUNT(Dong11),"",OFFSET(TH!F$1,SMALL(Dong11,ROWS($1:86)),)&amp;" - "&amp;OFFSET(TH!H$1,SMALL(Dong11,ROWS($1:86)),))</f>
        <v/>
      </c>
      <c r="E99" s="572" t="str">
        <f ca="1">IF(ROWS($1:86)&gt;COUNT(Dong11),"",IF(OFFSET(TH!N$1,SMALL(Dong11,ROWS($1:86)),)=$G$7,OFFSET(TH!O$1,SMALL(Dong11,ROWS($1:86)),),OFFSET(TH!N$1,SMALL(Dong11,ROWS($1:86)),)))</f>
        <v/>
      </c>
      <c r="F99" s="575">
        <f ca="1">IF(ROWS($1:86)&gt;COUNT(Dong11),0,OFFSET(TH!J$1,SMALL(Dong11,ROWS($1:86)),))</f>
        <v>0</v>
      </c>
      <c r="G99" s="575">
        <f ca="1">IF(ROWS($1:86)&gt;COUNT(Dong11),0,IF(MID(OFFSET(TH!D$1,SMALL(Dong11,ROWS($1:86)),),4,1)="N",OFFSET(TH!I$1,SMALL(Dong11,ROWS($1:86)),),0))</f>
        <v>0</v>
      </c>
      <c r="H99" s="576">
        <f t="shared" ca="1" si="27"/>
        <v>0</v>
      </c>
      <c r="I99" s="575">
        <f ca="1">IF(ROWS($1:86)&gt;COUNT(Dong11),0,IF(MID(OFFSET(TH!D$1,SMALL(Dong11,ROWS($1:86)),),4,1)="X",OFFSET(TH!I$1,SMALL(Dong11,ROWS($1:86)),),0))</f>
        <v>0</v>
      </c>
      <c r="J99" s="576">
        <f t="shared" ca="1" si="28"/>
        <v>0</v>
      </c>
      <c r="K99" s="576">
        <f t="shared" ca="1" si="29"/>
        <v>0</v>
      </c>
      <c r="L99" s="576">
        <f t="shared" ca="1" si="30"/>
        <v>0</v>
      </c>
      <c r="M99" s="576"/>
      <c r="N99" s="566"/>
    </row>
    <row r="100" spans="1:14">
      <c r="A100" s="524" t="str">
        <f t="shared" ca="1" si="26"/>
        <v/>
      </c>
      <c r="B100" s="572" t="str">
        <f ca="1">IF(ROWS($1:87)&gt;COUNT(Dong11),"",OFFSET(TH!D$1,SMALL(Dong11,ROWS($1:87)),))</f>
        <v/>
      </c>
      <c r="C100" s="573" t="str">
        <f ca="1">IF(ROWS($1:87)&gt;COUNT(Dong11),"",OFFSET(TH!E$1,SMALL(Dong11,ROWS($1:87)),))</f>
        <v/>
      </c>
      <c r="D100" s="574" t="str">
        <f ca="1">IF(ROWS($1:87)&gt;COUNT(Dong11),"",OFFSET(TH!F$1,SMALL(Dong11,ROWS($1:87)),)&amp;" - "&amp;OFFSET(TH!H$1,SMALL(Dong11,ROWS($1:87)),))</f>
        <v/>
      </c>
      <c r="E100" s="572" t="str">
        <f ca="1">IF(ROWS($1:87)&gt;COUNT(Dong11),"",IF(OFFSET(TH!N$1,SMALL(Dong11,ROWS($1:87)),)=$G$7,OFFSET(TH!O$1,SMALL(Dong11,ROWS($1:87)),),OFFSET(TH!N$1,SMALL(Dong11,ROWS($1:87)),)))</f>
        <v/>
      </c>
      <c r="F100" s="575">
        <f ca="1">IF(ROWS($1:87)&gt;COUNT(Dong11),0,OFFSET(TH!J$1,SMALL(Dong11,ROWS($1:87)),))</f>
        <v>0</v>
      </c>
      <c r="G100" s="575">
        <f ca="1">IF(ROWS($1:87)&gt;COUNT(Dong11),0,IF(MID(OFFSET(TH!D$1,SMALL(Dong11,ROWS($1:87)),),4,1)="N",OFFSET(TH!I$1,SMALL(Dong11,ROWS($1:87)),),0))</f>
        <v>0</v>
      </c>
      <c r="H100" s="576">
        <f t="shared" ca="1" si="27"/>
        <v>0</v>
      </c>
      <c r="I100" s="575">
        <f ca="1">IF(ROWS($1:87)&gt;COUNT(Dong11),0,IF(MID(OFFSET(TH!D$1,SMALL(Dong11,ROWS($1:87)),),4,1)="X",OFFSET(TH!I$1,SMALL(Dong11,ROWS($1:87)),),0))</f>
        <v>0</v>
      </c>
      <c r="J100" s="576">
        <f t="shared" ca="1" si="28"/>
        <v>0</v>
      </c>
      <c r="K100" s="576">
        <f t="shared" ca="1" si="29"/>
        <v>0</v>
      </c>
      <c r="L100" s="576">
        <f t="shared" ca="1" si="30"/>
        <v>0</v>
      </c>
      <c r="M100" s="576"/>
      <c r="N100" s="566"/>
    </row>
    <row r="101" spans="1:14">
      <c r="A101" s="524" t="str">
        <f t="shared" ca="1" si="26"/>
        <v/>
      </c>
      <c r="B101" s="572" t="str">
        <f ca="1">IF(ROWS($1:88)&gt;COUNT(Dong11),"",OFFSET(TH!D$1,SMALL(Dong11,ROWS($1:88)),))</f>
        <v/>
      </c>
      <c r="C101" s="573" t="str">
        <f ca="1">IF(ROWS($1:88)&gt;COUNT(Dong11),"",OFFSET(TH!E$1,SMALL(Dong11,ROWS($1:88)),))</f>
        <v/>
      </c>
      <c r="D101" s="574" t="str">
        <f ca="1">IF(ROWS($1:88)&gt;COUNT(Dong11),"",OFFSET(TH!F$1,SMALL(Dong11,ROWS($1:88)),)&amp;" - "&amp;OFFSET(TH!H$1,SMALL(Dong11,ROWS($1:88)),))</f>
        <v/>
      </c>
      <c r="E101" s="572" t="str">
        <f ca="1">IF(ROWS($1:88)&gt;COUNT(Dong11),"",IF(OFFSET(TH!N$1,SMALL(Dong11,ROWS($1:88)),)=$G$7,OFFSET(TH!O$1,SMALL(Dong11,ROWS($1:88)),),OFFSET(TH!N$1,SMALL(Dong11,ROWS($1:88)),)))</f>
        <v/>
      </c>
      <c r="F101" s="575">
        <f ca="1">IF(ROWS($1:88)&gt;COUNT(Dong11),0,OFFSET(TH!J$1,SMALL(Dong11,ROWS($1:88)),))</f>
        <v>0</v>
      </c>
      <c r="G101" s="575">
        <f ca="1">IF(ROWS($1:88)&gt;COUNT(Dong11),0,IF(MID(OFFSET(TH!D$1,SMALL(Dong11,ROWS($1:88)),),4,1)="N",OFFSET(TH!I$1,SMALL(Dong11,ROWS($1:88)),),0))</f>
        <v>0</v>
      </c>
      <c r="H101" s="576">
        <f t="shared" ca="1" si="27"/>
        <v>0</v>
      </c>
      <c r="I101" s="575">
        <f ca="1">IF(ROWS($1:88)&gt;COUNT(Dong11),0,IF(MID(OFFSET(TH!D$1,SMALL(Dong11,ROWS($1:88)),),4,1)="X",OFFSET(TH!I$1,SMALL(Dong11,ROWS($1:88)),),0))</f>
        <v>0</v>
      </c>
      <c r="J101" s="576">
        <f t="shared" ca="1" si="28"/>
        <v>0</v>
      </c>
      <c r="K101" s="576">
        <f t="shared" ca="1" si="29"/>
        <v>0</v>
      </c>
      <c r="L101" s="576">
        <f t="shared" ca="1" si="30"/>
        <v>0</v>
      </c>
      <c r="M101" s="576"/>
      <c r="N101" s="566"/>
    </row>
    <row r="102" spans="1:14">
      <c r="A102" s="524" t="str">
        <f t="shared" ca="1" si="26"/>
        <v/>
      </c>
      <c r="B102" s="572" t="str">
        <f ca="1">IF(ROWS($1:89)&gt;COUNT(Dong11),"",OFFSET(TH!D$1,SMALL(Dong11,ROWS($1:89)),))</f>
        <v/>
      </c>
      <c r="C102" s="573" t="str">
        <f ca="1">IF(ROWS($1:89)&gt;COUNT(Dong11),"",OFFSET(TH!E$1,SMALL(Dong11,ROWS($1:89)),))</f>
        <v/>
      </c>
      <c r="D102" s="574" t="str">
        <f ca="1">IF(ROWS($1:89)&gt;COUNT(Dong11),"",OFFSET(TH!F$1,SMALL(Dong11,ROWS($1:89)),)&amp;" - "&amp;OFFSET(TH!H$1,SMALL(Dong11,ROWS($1:89)),))</f>
        <v/>
      </c>
      <c r="E102" s="572" t="str">
        <f ca="1">IF(ROWS($1:89)&gt;COUNT(Dong11),"",IF(OFFSET(TH!N$1,SMALL(Dong11,ROWS($1:89)),)=$G$7,OFFSET(TH!O$1,SMALL(Dong11,ROWS($1:89)),),OFFSET(TH!N$1,SMALL(Dong11,ROWS($1:89)),)))</f>
        <v/>
      </c>
      <c r="F102" s="575">
        <f ca="1">IF(ROWS($1:89)&gt;COUNT(Dong11),0,OFFSET(TH!J$1,SMALL(Dong11,ROWS($1:89)),))</f>
        <v>0</v>
      </c>
      <c r="G102" s="575">
        <f ca="1">IF(ROWS($1:89)&gt;COUNT(Dong11),0,IF(MID(OFFSET(TH!D$1,SMALL(Dong11,ROWS($1:89)),),4,1)="N",OFFSET(TH!I$1,SMALL(Dong11,ROWS($1:89)),),0))</f>
        <v>0</v>
      </c>
      <c r="H102" s="576">
        <f t="shared" ca="1" si="27"/>
        <v>0</v>
      </c>
      <c r="I102" s="575">
        <f ca="1">IF(ROWS($1:89)&gt;COUNT(Dong11),0,IF(MID(OFFSET(TH!D$1,SMALL(Dong11,ROWS($1:89)),),4,1)="X",OFFSET(TH!I$1,SMALL(Dong11,ROWS($1:89)),),0))</f>
        <v>0</v>
      </c>
      <c r="J102" s="576">
        <f t="shared" ca="1" si="28"/>
        <v>0</v>
      </c>
      <c r="K102" s="576">
        <f t="shared" ca="1" si="29"/>
        <v>0</v>
      </c>
      <c r="L102" s="576">
        <f t="shared" ca="1" si="30"/>
        <v>0</v>
      </c>
      <c r="M102" s="576"/>
      <c r="N102" s="566"/>
    </row>
    <row r="103" spans="1:14">
      <c r="A103" s="524" t="str">
        <f t="shared" ca="1" si="26"/>
        <v/>
      </c>
      <c r="B103" s="572" t="str">
        <f ca="1">IF(ROWS($1:90)&gt;COUNT(Dong11),"",OFFSET(TH!D$1,SMALL(Dong11,ROWS($1:90)),))</f>
        <v/>
      </c>
      <c r="C103" s="573" t="str">
        <f ca="1">IF(ROWS($1:90)&gt;COUNT(Dong11),"",OFFSET(TH!E$1,SMALL(Dong11,ROWS($1:90)),))</f>
        <v/>
      </c>
      <c r="D103" s="574" t="str">
        <f ca="1">IF(ROWS($1:90)&gt;COUNT(Dong11),"",OFFSET(TH!F$1,SMALL(Dong11,ROWS($1:90)),)&amp;" - "&amp;OFFSET(TH!H$1,SMALL(Dong11,ROWS($1:90)),))</f>
        <v/>
      </c>
      <c r="E103" s="572" t="str">
        <f ca="1">IF(ROWS($1:90)&gt;COUNT(Dong11),"",IF(OFFSET(TH!N$1,SMALL(Dong11,ROWS($1:90)),)=$G$7,OFFSET(TH!O$1,SMALL(Dong11,ROWS($1:90)),),OFFSET(TH!N$1,SMALL(Dong11,ROWS($1:90)),)))</f>
        <v/>
      </c>
      <c r="F103" s="575">
        <f ca="1">IF(ROWS($1:90)&gt;COUNT(Dong11),0,OFFSET(TH!J$1,SMALL(Dong11,ROWS($1:90)),))</f>
        <v>0</v>
      </c>
      <c r="G103" s="575">
        <f ca="1">IF(ROWS($1:90)&gt;COUNT(Dong11),0,IF(MID(OFFSET(TH!D$1,SMALL(Dong11,ROWS($1:90)),),4,1)="N",OFFSET(TH!I$1,SMALL(Dong11,ROWS($1:90)),),0))</f>
        <v>0</v>
      </c>
      <c r="H103" s="576">
        <f t="shared" ca="1" si="27"/>
        <v>0</v>
      </c>
      <c r="I103" s="575">
        <f ca="1">IF(ROWS($1:90)&gt;COUNT(Dong11),0,IF(MID(OFFSET(TH!D$1,SMALL(Dong11,ROWS($1:90)),),4,1)="X",OFFSET(TH!I$1,SMALL(Dong11,ROWS($1:90)),),0))</f>
        <v>0</v>
      </c>
      <c r="J103" s="576">
        <f t="shared" ca="1" si="28"/>
        <v>0</v>
      </c>
      <c r="K103" s="576">
        <f t="shared" ca="1" si="29"/>
        <v>0</v>
      </c>
      <c r="L103" s="576">
        <f t="shared" ca="1" si="30"/>
        <v>0</v>
      </c>
      <c r="M103" s="576"/>
      <c r="N103" s="566"/>
    </row>
    <row r="104" spans="1:14">
      <c r="A104" s="524" t="str">
        <f t="shared" ca="1" si="26"/>
        <v/>
      </c>
      <c r="B104" s="572" t="str">
        <f ca="1">IF(ROWS($1:91)&gt;COUNT(Dong11),"",OFFSET(TH!D$1,SMALL(Dong11,ROWS($1:91)),))</f>
        <v/>
      </c>
      <c r="C104" s="573" t="str">
        <f ca="1">IF(ROWS($1:91)&gt;COUNT(Dong11),"",OFFSET(TH!E$1,SMALL(Dong11,ROWS($1:91)),))</f>
        <v/>
      </c>
      <c r="D104" s="574" t="str">
        <f ca="1">IF(ROWS($1:91)&gt;COUNT(Dong11),"",OFFSET(TH!F$1,SMALL(Dong11,ROWS($1:91)),)&amp;" - "&amp;OFFSET(TH!H$1,SMALL(Dong11,ROWS($1:91)),))</f>
        <v/>
      </c>
      <c r="E104" s="572" t="str">
        <f ca="1">IF(ROWS($1:91)&gt;COUNT(Dong11),"",IF(OFFSET(TH!N$1,SMALL(Dong11,ROWS($1:91)),)=$G$7,OFFSET(TH!O$1,SMALL(Dong11,ROWS($1:91)),),OFFSET(TH!N$1,SMALL(Dong11,ROWS($1:91)),)))</f>
        <v/>
      </c>
      <c r="F104" s="575">
        <f ca="1">IF(ROWS($1:91)&gt;COUNT(Dong11),0,OFFSET(TH!J$1,SMALL(Dong11,ROWS($1:91)),))</f>
        <v>0</v>
      </c>
      <c r="G104" s="575">
        <f ca="1">IF(ROWS($1:91)&gt;COUNT(Dong11),0,IF(MID(OFFSET(TH!D$1,SMALL(Dong11,ROWS($1:91)),),4,1)="N",OFFSET(TH!I$1,SMALL(Dong11,ROWS($1:91)),),0))</f>
        <v>0</v>
      </c>
      <c r="H104" s="576">
        <f t="shared" ca="1" si="27"/>
        <v>0</v>
      </c>
      <c r="I104" s="575">
        <f ca="1">IF(ROWS($1:91)&gt;COUNT(Dong11),0,IF(MID(OFFSET(TH!D$1,SMALL(Dong11,ROWS($1:91)),),4,1)="X",OFFSET(TH!I$1,SMALL(Dong11,ROWS($1:91)),),0))</f>
        <v>0</v>
      </c>
      <c r="J104" s="576">
        <f t="shared" ca="1" si="28"/>
        <v>0</v>
      </c>
      <c r="K104" s="576">
        <f t="shared" ca="1" si="29"/>
        <v>0</v>
      </c>
      <c r="L104" s="576">
        <f t="shared" ca="1" si="30"/>
        <v>0</v>
      </c>
      <c r="M104" s="576"/>
      <c r="N104" s="566"/>
    </row>
    <row r="105" spans="1:14">
      <c r="A105" s="524" t="str">
        <f t="shared" ca="1" si="26"/>
        <v/>
      </c>
      <c r="B105" s="572" t="str">
        <f ca="1">IF(ROWS($1:92)&gt;COUNT(Dong11),"",OFFSET(TH!D$1,SMALL(Dong11,ROWS($1:92)),))</f>
        <v/>
      </c>
      <c r="C105" s="573" t="str">
        <f ca="1">IF(ROWS($1:92)&gt;COUNT(Dong11),"",OFFSET(TH!E$1,SMALL(Dong11,ROWS($1:92)),))</f>
        <v/>
      </c>
      <c r="D105" s="574" t="str">
        <f ca="1">IF(ROWS($1:92)&gt;COUNT(Dong11),"",OFFSET(TH!F$1,SMALL(Dong11,ROWS($1:92)),)&amp;" - "&amp;OFFSET(TH!H$1,SMALL(Dong11,ROWS($1:92)),))</f>
        <v/>
      </c>
      <c r="E105" s="572" t="str">
        <f ca="1">IF(ROWS($1:92)&gt;COUNT(Dong11),"",IF(OFFSET(TH!N$1,SMALL(Dong11,ROWS($1:92)),)=$G$7,OFFSET(TH!O$1,SMALL(Dong11,ROWS($1:92)),),OFFSET(TH!N$1,SMALL(Dong11,ROWS($1:92)),)))</f>
        <v/>
      </c>
      <c r="F105" s="575">
        <f ca="1">IF(ROWS($1:92)&gt;COUNT(Dong11),0,OFFSET(TH!J$1,SMALL(Dong11,ROWS($1:92)),))</f>
        <v>0</v>
      </c>
      <c r="G105" s="575">
        <f ca="1">IF(ROWS($1:92)&gt;COUNT(Dong11),0,IF(MID(OFFSET(TH!D$1,SMALL(Dong11,ROWS($1:92)),),4,1)="N",OFFSET(TH!I$1,SMALL(Dong11,ROWS($1:92)),),0))</f>
        <v>0</v>
      </c>
      <c r="H105" s="576">
        <f t="shared" ca="1" si="27"/>
        <v>0</v>
      </c>
      <c r="I105" s="575">
        <f ca="1">IF(ROWS($1:92)&gt;COUNT(Dong11),0,IF(MID(OFFSET(TH!D$1,SMALL(Dong11,ROWS($1:92)),),4,1)="X",OFFSET(TH!I$1,SMALL(Dong11,ROWS($1:92)),),0))</f>
        <v>0</v>
      </c>
      <c r="J105" s="576">
        <f t="shared" ca="1" si="28"/>
        <v>0</v>
      </c>
      <c r="K105" s="576">
        <f t="shared" ca="1" si="29"/>
        <v>0</v>
      </c>
      <c r="L105" s="576">
        <f t="shared" ca="1" si="30"/>
        <v>0</v>
      </c>
      <c r="M105" s="576"/>
      <c r="N105" s="566"/>
    </row>
    <row r="106" spans="1:14">
      <c r="A106" s="524" t="str">
        <f t="shared" ca="1" si="26"/>
        <v/>
      </c>
      <c r="B106" s="572" t="str">
        <f ca="1">IF(ROWS($1:93)&gt;COUNT(Dong11),"",OFFSET(TH!D$1,SMALL(Dong11,ROWS($1:93)),))</f>
        <v/>
      </c>
      <c r="C106" s="573" t="str">
        <f ca="1">IF(ROWS($1:93)&gt;COUNT(Dong11),"",OFFSET(TH!E$1,SMALL(Dong11,ROWS($1:93)),))</f>
        <v/>
      </c>
      <c r="D106" s="574" t="str">
        <f ca="1">IF(ROWS($1:93)&gt;COUNT(Dong11),"",OFFSET(TH!F$1,SMALL(Dong11,ROWS($1:93)),)&amp;" - "&amp;OFFSET(TH!H$1,SMALL(Dong11,ROWS($1:93)),))</f>
        <v/>
      </c>
      <c r="E106" s="572" t="str">
        <f ca="1">IF(ROWS($1:93)&gt;COUNT(Dong11),"",IF(OFFSET(TH!N$1,SMALL(Dong11,ROWS($1:93)),)=$G$7,OFFSET(TH!O$1,SMALL(Dong11,ROWS($1:93)),),OFFSET(TH!N$1,SMALL(Dong11,ROWS($1:93)),)))</f>
        <v/>
      </c>
      <c r="F106" s="575">
        <f ca="1">IF(ROWS($1:93)&gt;COUNT(Dong11),0,OFFSET(TH!J$1,SMALL(Dong11,ROWS($1:93)),))</f>
        <v>0</v>
      </c>
      <c r="G106" s="575">
        <f ca="1">IF(ROWS($1:93)&gt;COUNT(Dong11),0,IF(MID(OFFSET(TH!D$1,SMALL(Dong11,ROWS($1:93)),),4,1)="N",OFFSET(TH!I$1,SMALL(Dong11,ROWS($1:93)),),0))</f>
        <v>0</v>
      </c>
      <c r="H106" s="576">
        <f t="shared" ca="1" si="27"/>
        <v>0</v>
      </c>
      <c r="I106" s="575">
        <f ca="1">IF(ROWS($1:93)&gt;COUNT(Dong11),0,IF(MID(OFFSET(TH!D$1,SMALL(Dong11,ROWS($1:93)),),4,1)="X",OFFSET(TH!I$1,SMALL(Dong11,ROWS($1:93)),),0))</f>
        <v>0</v>
      </c>
      <c r="J106" s="576">
        <f t="shared" ca="1" si="28"/>
        <v>0</v>
      </c>
      <c r="K106" s="576">
        <f t="shared" ca="1" si="29"/>
        <v>0</v>
      </c>
      <c r="L106" s="576">
        <f t="shared" ca="1" si="30"/>
        <v>0</v>
      </c>
      <c r="M106" s="576"/>
      <c r="N106" s="566"/>
    </row>
    <row r="107" spans="1:14">
      <c r="A107" s="524" t="str">
        <f t="shared" ca="1" si="26"/>
        <v/>
      </c>
      <c r="B107" s="572" t="str">
        <f ca="1">IF(ROWS($1:94)&gt;COUNT(Dong11),"",OFFSET(TH!D$1,SMALL(Dong11,ROWS($1:94)),))</f>
        <v/>
      </c>
      <c r="C107" s="573" t="str">
        <f ca="1">IF(ROWS($1:94)&gt;COUNT(Dong11),"",OFFSET(TH!E$1,SMALL(Dong11,ROWS($1:94)),))</f>
        <v/>
      </c>
      <c r="D107" s="574" t="str">
        <f ca="1">IF(ROWS($1:94)&gt;COUNT(Dong11),"",OFFSET(TH!F$1,SMALL(Dong11,ROWS($1:94)),)&amp;" - "&amp;OFFSET(TH!H$1,SMALL(Dong11,ROWS($1:94)),))</f>
        <v/>
      </c>
      <c r="E107" s="572" t="str">
        <f ca="1">IF(ROWS($1:94)&gt;COUNT(Dong11),"",IF(OFFSET(TH!N$1,SMALL(Dong11,ROWS($1:94)),)=$G$7,OFFSET(TH!O$1,SMALL(Dong11,ROWS($1:94)),),OFFSET(TH!N$1,SMALL(Dong11,ROWS($1:94)),)))</f>
        <v/>
      </c>
      <c r="F107" s="575">
        <f ca="1">IF(ROWS($1:94)&gt;COUNT(Dong11),0,OFFSET(TH!J$1,SMALL(Dong11,ROWS($1:94)),))</f>
        <v>0</v>
      </c>
      <c r="G107" s="575">
        <f ca="1">IF(ROWS($1:94)&gt;COUNT(Dong11),0,IF(MID(OFFSET(TH!D$1,SMALL(Dong11,ROWS($1:94)),),4,1)="N",OFFSET(TH!I$1,SMALL(Dong11,ROWS($1:94)),),0))</f>
        <v>0</v>
      </c>
      <c r="H107" s="576">
        <f t="shared" ca="1" si="27"/>
        <v>0</v>
      </c>
      <c r="I107" s="575">
        <f ca="1">IF(ROWS($1:94)&gt;COUNT(Dong11),0,IF(MID(OFFSET(TH!D$1,SMALL(Dong11,ROWS($1:94)),),4,1)="X",OFFSET(TH!I$1,SMALL(Dong11,ROWS($1:94)),),0))</f>
        <v>0</v>
      </c>
      <c r="J107" s="576">
        <f t="shared" ca="1" si="28"/>
        <v>0</v>
      </c>
      <c r="K107" s="576">
        <f t="shared" ca="1" si="29"/>
        <v>0</v>
      </c>
      <c r="L107" s="576">
        <f t="shared" ca="1" si="30"/>
        <v>0</v>
      </c>
      <c r="M107" s="576"/>
      <c r="N107" s="566"/>
    </row>
    <row r="108" spans="1:14">
      <c r="A108" s="524" t="str">
        <f t="shared" ca="1" si="26"/>
        <v/>
      </c>
      <c r="B108" s="572" t="str">
        <f ca="1">IF(ROWS($1:95)&gt;COUNT(Dong11),"",OFFSET(TH!D$1,SMALL(Dong11,ROWS($1:95)),))</f>
        <v/>
      </c>
      <c r="C108" s="573" t="str">
        <f ca="1">IF(ROWS($1:95)&gt;COUNT(Dong11),"",OFFSET(TH!E$1,SMALL(Dong11,ROWS($1:95)),))</f>
        <v/>
      </c>
      <c r="D108" s="574" t="str">
        <f ca="1">IF(ROWS($1:95)&gt;COUNT(Dong11),"",OFFSET(TH!F$1,SMALL(Dong11,ROWS($1:95)),)&amp;" - "&amp;OFFSET(TH!H$1,SMALL(Dong11,ROWS($1:95)),))</f>
        <v/>
      </c>
      <c r="E108" s="572" t="str">
        <f ca="1">IF(ROWS($1:95)&gt;COUNT(Dong11),"",IF(OFFSET(TH!N$1,SMALL(Dong11,ROWS($1:95)),)=$G$7,OFFSET(TH!O$1,SMALL(Dong11,ROWS($1:95)),),OFFSET(TH!N$1,SMALL(Dong11,ROWS($1:95)),)))</f>
        <v/>
      </c>
      <c r="F108" s="575">
        <f ca="1">IF(ROWS($1:95)&gt;COUNT(Dong11),0,OFFSET(TH!J$1,SMALL(Dong11,ROWS($1:95)),))</f>
        <v>0</v>
      </c>
      <c r="G108" s="575">
        <f ca="1">IF(ROWS($1:95)&gt;COUNT(Dong11),0,IF(MID(OFFSET(TH!D$1,SMALL(Dong11,ROWS($1:95)),),4,1)="N",OFFSET(TH!I$1,SMALL(Dong11,ROWS($1:95)),),0))</f>
        <v>0</v>
      </c>
      <c r="H108" s="576">
        <f t="shared" ca="1" si="27"/>
        <v>0</v>
      </c>
      <c r="I108" s="575">
        <f ca="1">IF(ROWS($1:95)&gt;COUNT(Dong11),0,IF(MID(OFFSET(TH!D$1,SMALL(Dong11,ROWS($1:95)),),4,1)="X",OFFSET(TH!I$1,SMALL(Dong11,ROWS($1:95)),),0))</f>
        <v>0</v>
      </c>
      <c r="J108" s="576">
        <f t="shared" ca="1" si="28"/>
        <v>0</v>
      </c>
      <c r="K108" s="576">
        <f t="shared" ca="1" si="29"/>
        <v>0</v>
      </c>
      <c r="L108" s="576">
        <f t="shared" ca="1" si="30"/>
        <v>0</v>
      </c>
      <c r="M108" s="576"/>
      <c r="N108" s="566"/>
    </row>
    <row r="109" spans="1:14">
      <c r="A109" s="524" t="str">
        <f t="shared" ref="A109:A143" ca="1" si="31">IF(B109="","",A108+1)</f>
        <v/>
      </c>
      <c r="B109" s="572" t="str">
        <f ca="1">IF(ROWS($1:96)&gt;COUNT(Dong11),"",OFFSET(TH!D$1,SMALL(Dong11,ROWS($1:96)),))</f>
        <v/>
      </c>
      <c r="C109" s="573" t="str">
        <f ca="1">IF(ROWS($1:96)&gt;COUNT(Dong11),"",OFFSET(TH!E$1,SMALL(Dong11,ROWS($1:96)),))</f>
        <v/>
      </c>
      <c r="D109" s="574" t="str">
        <f ca="1">IF(ROWS($1:96)&gt;COUNT(Dong11),"",OFFSET(TH!F$1,SMALL(Dong11,ROWS($1:96)),)&amp;" - "&amp;OFFSET(TH!H$1,SMALL(Dong11,ROWS($1:96)),))</f>
        <v/>
      </c>
      <c r="E109" s="572" t="str">
        <f ca="1">IF(ROWS($1:96)&gt;COUNT(Dong11),"",IF(OFFSET(TH!N$1,SMALL(Dong11,ROWS($1:96)),)=$G$7,OFFSET(TH!O$1,SMALL(Dong11,ROWS($1:96)),),OFFSET(TH!N$1,SMALL(Dong11,ROWS($1:96)),)))</f>
        <v/>
      </c>
      <c r="F109" s="575">
        <f ca="1">IF(ROWS($1:96)&gt;COUNT(Dong11),0,OFFSET(TH!J$1,SMALL(Dong11,ROWS($1:96)),))</f>
        <v>0</v>
      </c>
      <c r="G109" s="575">
        <f ca="1">IF(ROWS($1:96)&gt;COUNT(Dong11),0,IF(MID(OFFSET(TH!D$1,SMALL(Dong11,ROWS($1:96)),),4,1)="N",OFFSET(TH!I$1,SMALL(Dong11,ROWS($1:96)),),0))</f>
        <v>0</v>
      </c>
      <c r="H109" s="576">
        <f t="shared" ref="H109:H143" ca="1" si="32">ROUND(F109*G109,0)</f>
        <v>0</v>
      </c>
      <c r="I109" s="575">
        <f ca="1">IF(ROWS($1:96)&gt;COUNT(Dong11),0,IF(MID(OFFSET(TH!D$1,SMALL(Dong11,ROWS($1:96)),),4,1)="X",OFFSET(TH!I$1,SMALL(Dong11,ROWS($1:96)),),0))</f>
        <v>0</v>
      </c>
      <c r="J109" s="576">
        <f t="shared" ref="J109:J143" ca="1" si="33">ROUND(F109*I109,0)</f>
        <v>0</v>
      </c>
      <c r="K109" s="576">
        <f t="shared" ref="K109:K143" ca="1" si="34">IF(D109&lt;&gt;"",K108+G109-I109,0)</f>
        <v>0</v>
      </c>
      <c r="L109" s="576">
        <f t="shared" ref="L109:L143" ca="1" si="35">IF(D109&lt;&gt;"",L108+H109-J109,0)</f>
        <v>0</v>
      </c>
      <c r="M109" s="576"/>
      <c r="N109" s="566"/>
    </row>
    <row r="110" spans="1:14">
      <c r="A110" s="524" t="str">
        <f t="shared" ca="1" si="31"/>
        <v/>
      </c>
      <c r="B110" s="572" t="str">
        <f ca="1">IF(ROWS($1:97)&gt;COUNT(Dong11),"",OFFSET(TH!D$1,SMALL(Dong11,ROWS($1:97)),))</f>
        <v/>
      </c>
      <c r="C110" s="573" t="str">
        <f ca="1">IF(ROWS($1:97)&gt;COUNT(Dong11),"",OFFSET(TH!E$1,SMALL(Dong11,ROWS($1:97)),))</f>
        <v/>
      </c>
      <c r="D110" s="574" t="str">
        <f ca="1">IF(ROWS($1:97)&gt;COUNT(Dong11),"",OFFSET(TH!F$1,SMALL(Dong11,ROWS($1:97)),)&amp;" - "&amp;OFFSET(TH!H$1,SMALL(Dong11,ROWS($1:97)),))</f>
        <v/>
      </c>
      <c r="E110" s="572" t="str">
        <f ca="1">IF(ROWS($1:97)&gt;COUNT(Dong11),"",IF(OFFSET(TH!N$1,SMALL(Dong11,ROWS($1:97)),)=$G$7,OFFSET(TH!O$1,SMALL(Dong11,ROWS($1:97)),),OFFSET(TH!N$1,SMALL(Dong11,ROWS($1:97)),)))</f>
        <v/>
      </c>
      <c r="F110" s="575">
        <f ca="1">IF(ROWS($1:97)&gt;COUNT(Dong11),0,OFFSET(TH!J$1,SMALL(Dong11,ROWS($1:97)),))</f>
        <v>0</v>
      </c>
      <c r="G110" s="575">
        <f ca="1">IF(ROWS($1:97)&gt;COUNT(Dong11),0,IF(MID(OFFSET(TH!D$1,SMALL(Dong11,ROWS($1:97)),),4,1)="N",OFFSET(TH!I$1,SMALL(Dong11,ROWS($1:97)),),0))</f>
        <v>0</v>
      </c>
      <c r="H110" s="576">
        <f t="shared" ca="1" si="32"/>
        <v>0</v>
      </c>
      <c r="I110" s="575">
        <f ca="1">IF(ROWS($1:97)&gt;COUNT(Dong11),0,IF(MID(OFFSET(TH!D$1,SMALL(Dong11,ROWS($1:97)),),4,1)="X",OFFSET(TH!I$1,SMALL(Dong11,ROWS($1:97)),),0))</f>
        <v>0</v>
      </c>
      <c r="J110" s="576">
        <f t="shared" ca="1" si="33"/>
        <v>0</v>
      </c>
      <c r="K110" s="576">
        <f t="shared" ca="1" si="34"/>
        <v>0</v>
      </c>
      <c r="L110" s="576">
        <f t="shared" ca="1" si="35"/>
        <v>0</v>
      </c>
      <c r="M110" s="576"/>
      <c r="N110" s="566"/>
    </row>
    <row r="111" spans="1:14">
      <c r="A111" s="524" t="str">
        <f t="shared" ca="1" si="31"/>
        <v/>
      </c>
      <c r="B111" s="572" t="str">
        <f ca="1">IF(ROWS($1:98)&gt;COUNT(Dong11),"",OFFSET(TH!D$1,SMALL(Dong11,ROWS($1:98)),))</f>
        <v/>
      </c>
      <c r="C111" s="573" t="str">
        <f ca="1">IF(ROWS($1:98)&gt;COUNT(Dong11),"",OFFSET(TH!E$1,SMALL(Dong11,ROWS($1:98)),))</f>
        <v/>
      </c>
      <c r="D111" s="574" t="str">
        <f ca="1">IF(ROWS($1:98)&gt;COUNT(Dong11),"",OFFSET(TH!F$1,SMALL(Dong11,ROWS($1:98)),)&amp;" - "&amp;OFFSET(TH!H$1,SMALL(Dong11,ROWS($1:98)),))</f>
        <v/>
      </c>
      <c r="E111" s="572" t="str">
        <f ca="1">IF(ROWS($1:98)&gt;COUNT(Dong11),"",IF(OFFSET(TH!N$1,SMALL(Dong11,ROWS($1:98)),)=$G$7,OFFSET(TH!O$1,SMALL(Dong11,ROWS($1:98)),),OFFSET(TH!N$1,SMALL(Dong11,ROWS($1:98)),)))</f>
        <v/>
      </c>
      <c r="F111" s="575">
        <f ca="1">IF(ROWS($1:98)&gt;COUNT(Dong11),0,OFFSET(TH!J$1,SMALL(Dong11,ROWS($1:98)),))</f>
        <v>0</v>
      </c>
      <c r="G111" s="575">
        <f ca="1">IF(ROWS($1:98)&gt;COUNT(Dong11),0,IF(MID(OFFSET(TH!D$1,SMALL(Dong11,ROWS($1:98)),),4,1)="N",OFFSET(TH!I$1,SMALL(Dong11,ROWS($1:98)),),0))</f>
        <v>0</v>
      </c>
      <c r="H111" s="576">
        <f t="shared" ca="1" si="32"/>
        <v>0</v>
      </c>
      <c r="I111" s="575">
        <f ca="1">IF(ROWS($1:98)&gt;COUNT(Dong11),0,IF(MID(OFFSET(TH!D$1,SMALL(Dong11,ROWS($1:98)),),4,1)="X",OFFSET(TH!I$1,SMALL(Dong11,ROWS($1:98)),),0))</f>
        <v>0</v>
      </c>
      <c r="J111" s="576">
        <f t="shared" ca="1" si="33"/>
        <v>0</v>
      </c>
      <c r="K111" s="576">
        <f t="shared" ca="1" si="34"/>
        <v>0</v>
      </c>
      <c r="L111" s="576">
        <f t="shared" ca="1" si="35"/>
        <v>0</v>
      </c>
      <c r="M111" s="576"/>
      <c r="N111" s="566"/>
    </row>
    <row r="112" spans="1:14">
      <c r="A112" s="524" t="str">
        <f t="shared" ca="1" si="31"/>
        <v/>
      </c>
      <c r="B112" s="572" t="str">
        <f ca="1">IF(ROWS($1:99)&gt;COUNT(Dong11),"",OFFSET(TH!D$1,SMALL(Dong11,ROWS($1:99)),))</f>
        <v/>
      </c>
      <c r="C112" s="573" t="str">
        <f ca="1">IF(ROWS($1:99)&gt;COUNT(Dong11),"",OFFSET(TH!E$1,SMALL(Dong11,ROWS($1:99)),))</f>
        <v/>
      </c>
      <c r="D112" s="574" t="str">
        <f ca="1">IF(ROWS($1:99)&gt;COUNT(Dong11),"",OFFSET(TH!F$1,SMALL(Dong11,ROWS($1:99)),)&amp;" - "&amp;OFFSET(TH!H$1,SMALL(Dong11,ROWS($1:99)),))</f>
        <v/>
      </c>
      <c r="E112" s="572" t="str">
        <f ca="1">IF(ROWS($1:99)&gt;COUNT(Dong11),"",IF(OFFSET(TH!N$1,SMALL(Dong11,ROWS($1:99)),)=$G$7,OFFSET(TH!O$1,SMALL(Dong11,ROWS($1:99)),),OFFSET(TH!N$1,SMALL(Dong11,ROWS($1:99)),)))</f>
        <v/>
      </c>
      <c r="F112" s="575">
        <f ca="1">IF(ROWS($1:99)&gt;COUNT(Dong11),0,OFFSET(TH!J$1,SMALL(Dong11,ROWS($1:99)),))</f>
        <v>0</v>
      </c>
      <c r="G112" s="575">
        <f ca="1">IF(ROWS($1:99)&gt;COUNT(Dong11),0,IF(MID(OFFSET(TH!D$1,SMALL(Dong11,ROWS($1:99)),),4,1)="N",OFFSET(TH!I$1,SMALL(Dong11,ROWS($1:99)),),0))</f>
        <v>0</v>
      </c>
      <c r="H112" s="576">
        <f t="shared" ca="1" si="32"/>
        <v>0</v>
      </c>
      <c r="I112" s="575">
        <f ca="1">IF(ROWS($1:99)&gt;COUNT(Dong11),0,IF(MID(OFFSET(TH!D$1,SMALL(Dong11,ROWS($1:99)),),4,1)="X",OFFSET(TH!I$1,SMALL(Dong11,ROWS($1:99)),),0))</f>
        <v>0</v>
      </c>
      <c r="J112" s="576">
        <f t="shared" ca="1" si="33"/>
        <v>0</v>
      </c>
      <c r="K112" s="576">
        <f t="shared" ca="1" si="34"/>
        <v>0</v>
      </c>
      <c r="L112" s="576">
        <f t="shared" ca="1" si="35"/>
        <v>0</v>
      </c>
      <c r="M112" s="576"/>
      <c r="N112" s="566"/>
    </row>
    <row r="113" spans="1:14">
      <c r="A113" s="524" t="str">
        <f t="shared" ca="1" si="31"/>
        <v/>
      </c>
      <c r="B113" s="572" t="str">
        <f ca="1">IF(ROWS($1:100)&gt;COUNT(Dong11),"",OFFSET(TH!D$1,SMALL(Dong11,ROWS($1:100)),))</f>
        <v/>
      </c>
      <c r="C113" s="573" t="str">
        <f ca="1">IF(ROWS($1:100)&gt;COUNT(Dong11),"",OFFSET(TH!E$1,SMALL(Dong11,ROWS($1:100)),))</f>
        <v/>
      </c>
      <c r="D113" s="574" t="str">
        <f ca="1">IF(ROWS($1:100)&gt;COUNT(Dong11),"",OFFSET(TH!F$1,SMALL(Dong11,ROWS($1:100)),)&amp;" - "&amp;OFFSET(TH!H$1,SMALL(Dong11,ROWS($1:100)),))</f>
        <v/>
      </c>
      <c r="E113" s="572" t="str">
        <f ca="1">IF(ROWS($1:100)&gt;COUNT(Dong11),"",IF(OFFSET(TH!N$1,SMALL(Dong11,ROWS($1:100)),)=$G$7,OFFSET(TH!O$1,SMALL(Dong11,ROWS($1:100)),),OFFSET(TH!N$1,SMALL(Dong11,ROWS($1:100)),)))</f>
        <v/>
      </c>
      <c r="F113" s="575">
        <f ca="1">IF(ROWS($1:100)&gt;COUNT(Dong11),0,OFFSET(TH!J$1,SMALL(Dong11,ROWS($1:100)),))</f>
        <v>0</v>
      </c>
      <c r="G113" s="575">
        <f ca="1">IF(ROWS($1:100)&gt;COUNT(Dong11),0,IF(MID(OFFSET(TH!D$1,SMALL(Dong11,ROWS($1:100)),),4,1)="N",OFFSET(TH!I$1,SMALL(Dong11,ROWS($1:100)),),0))</f>
        <v>0</v>
      </c>
      <c r="H113" s="576">
        <f t="shared" ca="1" si="32"/>
        <v>0</v>
      </c>
      <c r="I113" s="575">
        <f ca="1">IF(ROWS($1:100)&gt;COUNT(Dong11),0,IF(MID(OFFSET(TH!D$1,SMALL(Dong11,ROWS($1:100)),),4,1)="X",OFFSET(TH!I$1,SMALL(Dong11,ROWS($1:100)),),0))</f>
        <v>0</v>
      </c>
      <c r="J113" s="576">
        <f t="shared" ca="1" si="33"/>
        <v>0</v>
      </c>
      <c r="K113" s="576">
        <f t="shared" ca="1" si="34"/>
        <v>0</v>
      </c>
      <c r="L113" s="576">
        <f t="shared" ca="1" si="35"/>
        <v>0</v>
      </c>
      <c r="M113" s="576"/>
      <c r="N113" s="566"/>
    </row>
    <row r="114" spans="1:14">
      <c r="A114" s="524" t="str">
        <f t="shared" ca="1" si="31"/>
        <v/>
      </c>
      <c r="B114" s="572" t="str">
        <f ca="1">IF(ROWS($1:101)&gt;COUNT(Dong11),"",OFFSET(TH!D$1,SMALL(Dong11,ROWS($1:101)),))</f>
        <v/>
      </c>
      <c r="C114" s="573" t="str">
        <f ca="1">IF(ROWS($1:101)&gt;COUNT(Dong11),"",OFFSET(TH!E$1,SMALL(Dong11,ROWS($1:101)),))</f>
        <v/>
      </c>
      <c r="D114" s="574" t="str">
        <f ca="1">IF(ROWS($1:101)&gt;COUNT(Dong11),"",OFFSET(TH!F$1,SMALL(Dong11,ROWS($1:101)),)&amp;" - "&amp;OFFSET(TH!H$1,SMALL(Dong11,ROWS($1:101)),))</f>
        <v/>
      </c>
      <c r="E114" s="572" t="str">
        <f ca="1">IF(ROWS($1:101)&gt;COUNT(Dong11),"",IF(OFFSET(TH!N$1,SMALL(Dong11,ROWS($1:101)),)=$G$7,OFFSET(TH!O$1,SMALL(Dong11,ROWS($1:101)),),OFFSET(TH!N$1,SMALL(Dong11,ROWS($1:101)),)))</f>
        <v/>
      </c>
      <c r="F114" s="575">
        <f ca="1">IF(ROWS($1:101)&gt;COUNT(Dong11),0,OFFSET(TH!J$1,SMALL(Dong11,ROWS($1:101)),))</f>
        <v>0</v>
      </c>
      <c r="G114" s="575">
        <f ca="1">IF(ROWS($1:101)&gt;COUNT(Dong11),0,IF(MID(OFFSET(TH!D$1,SMALL(Dong11,ROWS($1:101)),),4,1)="N",OFFSET(TH!I$1,SMALL(Dong11,ROWS($1:101)),),0))</f>
        <v>0</v>
      </c>
      <c r="H114" s="576">
        <f t="shared" ca="1" si="32"/>
        <v>0</v>
      </c>
      <c r="I114" s="575">
        <f ca="1">IF(ROWS($1:101)&gt;COUNT(Dong11),0,IF(MID(OFFSET(TH!D$1,SMALL(Dong11,ROWS($1:101)),),4,1)="X",OFFSET(TH!I$1,SMALL(Dong11,ROWS($1:101)),),0))</f>
        <v>0</v>
      </c>
      <c r="J114" s="576">
        <f t="shared" ca="1" si="33"/>
        <v>0</v>
      </c>
      <c r="K114" s="576">
        <f t="shared" ca="1" si="34"/>
        <v>0</v>
      </c>
      <c r="L114" s="576">
        <f t="shared" ca="1" si="35"/>
        <v>0</v>
      </c>
      <c r="M114" s="576"/>
      <c r="N114" s="566"/>
    </row>
    <row r="115" spans="1:14">
      <c r="A115" s="524" t="str">
        <f t="shared" ca="1" si="31"/>
        <v/>
      </c>
      <c r="B115" s="572" t="str">
        <f ca="1">IF(ROWS($1:102)&gt;COUNT(Dong11),"",OFFSET(TH!D$1,SMALL(Dong11,ROWS($1:102)),))</f>
        <v/>
      </c>
      <c r="C115" s="573" t="str">
        <f ca="1">IF(ROWS($1:102)&gt;COUNT(Dong11),"",OFFSET(TH!E$1,SMALL(Dong11,ROWS($1:102)),))</f>
        <v/>
      </c>
      <c r="D115" s="574" t="str">
        <f ca="1">IF(ROWS($1:102)&gt;COUNT(Dong11),"",OFFSET(TH!F$1,SMALL(Dong11,ROWS($1:102)),)&amp;" - "&amp;OFFSET(TH!H$1,SMALL(Dong11,ROWS($1:102)),))</f>
        <v/>
      </c>
      <c r="E115" s="572" t="str">
        <f ca="1">IF(ROWS($1:102)&gt;COUNT(Dong11),"",IF(OFFSET(TH!N$1,SMALL(Dong11,ROWS($1:102)),)=$G$7,OFFSET(TH!O$1,SMALL(Dong11,ROWS($1:102)),),OFFSET(TH!N$1,SMALL(Dong11,ROWS($1:102)),)))</f>
        <v/>
      </c>
      <c r="F115" s="575">
        <f ca="1">IF(ROWS($1:102)&gt;COUNT(Dong11),0,OFFSET(TH!J$1,SMALL(Dong11,ROWS($1:102)),))</f>
        <v>0</v>
      </c>
      <c r="G115" s="575">
        <f ca="1">IF(ROWS($1:102)&gt;COUNT(Dong11),0,IF(MID(OFFSET(TH!D$1,SMALL(Dong11,ROWS($1:102)),),4,1)="N",OFFSET(TH!I$1,SMALL(Dong11,ROWS($1:102)),),0))</f>
        <v>0</v>
      </c>
      <c r="H115" s="576">
        <f t="shared" ca="1" si="32"/>
        <v>0</v>
      </c>
      <c r="I115" s="575">
        <f ca="1">IF(ROWS($1:102)&gt;COUNT(Dong11),0,IF(MID(OFFSET(TH!D$1,SMALL(Dong11,ROWS($1:102)),),4,1)="X",OFFSET(TH!I$1,SMALL(Dong11,ROWS($1:102)),),0))</f>
        <v>0</v>
      </c>
      <c r="J115" s="576">
        <f t="shared" ca="1" si="33"/>
        <v>0</v>
      </c>
      <c r="K115" s="576">
        <f t="shared" ca="1" si="34"/>
        <v>0</v>
      </c>
      <c r="L115" s="576">
        <f t="shared" ca="1" si="35"/>
        <v>0</v>
      </c>
      <c r="M115" s="576"/>
      <c r="N115" s="566"/>
    </row>
    <row r="116" spans="1:14">
      <c r="A116" s="524" t="str">
        <f t="shared" ca="1" si="31"/>
        <v/>
      </c>
      <c r="B116" s="572" t="str">
        <f ca="1">IF(ROWS($1:103)&gt;COUNT(Dong11),"",OFFSET(TH!D$1,SMALL(Dong11,ROWS($1:103)),))</f>
        <v/>
      </c>
      <c r="C116" s="573" t="str">
        <f ca="1">IF(ROWS($1:103)&gt;COUNT(Dong11),"",OFFSET(TH!E$1,SMALL(Dong11,ROWS($1:103)),))</f>
        <v/>
      </c>
      <c r="D116" s="574" t="str">
        <f ca="1">IF(ROWS($1:103)&gt;COUNT(Dong11),"",OFFSET(TH!F$1,SMALL(Dong11,ROWS($1:103)),)&amp;" - "&amp;OFFSET(TH!H$1,SMALL(Dong11,ROWS($1:103)),))</f>
        <v/>
      </c>
      <c r="E116" s="572" t="str">
        <f ca="1">IF(ROWS($1:103)&gt;COUNT(Dong11),"",IF(OFFSET(TH!N$1,SMALL(Dong11,ROWS($1:103)),)=$G$7,OFFSET(TH!O$1,SMALL(Dong11,ROWS($1:103)),),OFFSET(TH!N$1,SMALL(Dong11,ROWS($1:103)),)))</f>
        <v/>
      </c>
      <c r="F116" s="575">
        <f ca="1">IF(ROWS($1:103)&gt;COUNT(Dong11),0,OFFSET(TH!J$1,SMALL(Dong11,ROWS($1:103)),))</f>
        <v>0</v>
      </c>
      <c r="G116" s="575">
        <f ca="1">IF(ROWS($1:103)&gt;COUNT(Dong11),0,IF(MID(OFFSET(TH!D$1,SMALL(Dong11,ROWS($1:103)),),4,1)="N",OFFSET(TH!I$1,SMALL(Dong11,ROWS($1:103)),),0))</f>
        <v>0</v>
      </c>
      <c r="H116" s="576">
        <f t="shared" ca="1" si="32"/>
        <v>0</v>
      </c>
      <c r="I116" s="575">
        <f ca="1">IF(ROWS($1:103)&gt;COUNT(Dong11),0,IF(MID(OFFSET(TH!D$1,SMALL(Dong11,ROWS($1:103)),),4,1)="X",OFFSET(TH!I$1,SMALL(Dong11,ROWS($1:103)),),0))</f>
        <v>0</v>
      </c>
      <c r="J116" s="576">
        <f t="shared" ca="1" si="33"/>
        <v>0</v>
      </c>
      <c r="K116" s="576">
        <f t="shared" ca="1" si="34"/>
        <v>0</v>
      </c>
      <c r="L116" s="576">
        <f t="shared" ca="1" si="35"/>
        <v>0</v>
      </c>
      <c r="M116" s="576"/>
      <c r="N116" s="566"/>
    </row>
    <row r="117" spans="1:14">
      <c r="A117" s="524" t="str">
        <f t="shared" ca="1" si="31"/>
        <v/>
      </c>
      <c r="B117" s="572" t="str">
        <f ca="1">IF(ROWS($1:104)&gt;COUNT(Dong11),"",OFFSET(TH!D$1,SMALL(Dong11,ROWS($1:104)),))</f>
        <v/>
      </c>
      <c r="C117" s="573" t="str">
        <f ca="1">IF(ROWS($1:104)&gt;COUNT(Dong11),"",OFFSET(TH!E$1,SMALL(Dong11,ROWS($1:104)),))</f>
        <v/>
      </c>
      <c r="D117" s="574" t="str">
        <f ca="1">IF(ROWS($1:104)&gt;COUNT(Dong11),"",OFFSET(TH!F$1,SMALL(Dong11,ROWS($1:104)),)&amp;" - "&amp;OFFSET(TH!H$1,SMALL(Dong11,ROWS($1:104)),))</f>
        <v/>
      </c>
      <c r="E117" s="572" t="str">
        <f ca="1">IF(ROWS($1:104)&gt;COUNT(Dong11),"",IF(OFFSET(TH!N$1,SMALL(Dong11,ROWS($1:104)),)=$G$7,OFFSET(TH!O$1,SMALL(Dong11,ROWS($1:104)),),OFFSET(TH!N$1,SMALL(Dong11,ROWS($1:104)),)))</f>
        <v/>
      </c>
      <c r="F117" s="575">
        <f ca="1">IF(ROWS($1:104)&gt;COUNT(Dong11),0,OFFSET(TH!J$1,SMALL(Dong11,ROWS($1:104)),))</f>
        <v>0</v>
      </c>
      <c r="G117" s="575">
        <f ca="1">IF(ROWS($1:104)&gt;COUNT(Dong11),0,IF(MID(OFFSET(TH!D$1,SMALL(Dong11,ROWS($1:104)),),4,1)="N",OFFSET(TH!I$1,SMALL(Dong11,ROWS($1:104)),),0))</f>
        <v>0</v>
      </c>
      <c r="H117" s="576">
        <f t="shared" ca="1" si="32"/>
        <v>0</v>
      </c>
      <c r="I117" s="575">
        <f ca="1">IF(ROWS($1:104)&gt;COUNT(Dong11),0,IF(MID(OFFSET(TH!D$1,SMALL(Dong11,ROWS($1:104)),),4,1)="X",OFFSET(TH!I$1,SMALL(Dong11,ROWS($1:104)),),0))</f>
        <v>0</v>
      </c>
      <c r="J117" s="576">
        <f t="shared" ca="1" si="33"/>
        <v>0</v>
      </c>
      <c r="K117" s="576">
        <f t="shared" ca="1" si="34"/>
        <v>0</v>
      </c>
      <c r="L117" s="576">
        <f t="shared" ca="1" si="35"/>
        <v>0</v>
      </c>
      <c r="M117" s="576"/>
      <c r="N117" s="566"/>
    </row>
    <row r="118" spans="1:14">
      <c r="A118" s="524" t="str">
        <f t="shared" ca="1" si="31"/>
        <v/>
      </c>
      <c r="B118" s="572" t="str">
        <f ca="1">IF(ROWS($1:105)&gt;COUNT(Dong11),"",OFFSET(TH!D$1,SMALL(Dong11,ROWS($1:105)),))</f>
        <v/>
      </c>
      <c r="C118" s="573" t="str">
        <f ca="1">IF(ROWS($1:105)&gt;COUNT(Dong11),"",OFFSET(TH!E$1,SMALL(Dong11,ROWS($1:105)),))</f>
        <v/>
      </c>
      <c r="D118" s="574" t="str">
        <f ca="1">IF(ROWS($1:105)&gt;COUNT(Dong11),"",OFFSET(TH!F$1,SMALL(Dong11,ROWS($1:105)),)&amp;" - "&amp;OFFSET(TH!H$1,SMALL(Dong11,ROWS($1:105)),))</f>
        <v/>
      </c>
      <c r="E118" s="572" t="str">
        <f ca="1">IF(ROWS($1:105)&gt;COUNT(Dong11),"",IF(OFFSET(TH!N$1,SMALL(Dong11,ROWS($1:105)),)=$G$7,OFFSET(TH!O$1,SMALL(Dong11,ROWS($1:105)),),OFFSET(TH!N$1,SMALL(Dong11,ROWS($1:105)),)))</f>
        <v/>
      </c>
      <c r="F118" s="575">
        <f ca="1">IF(ROWS($1:105)&gt;COUNT(Dong11),0,OFFSET(TH!J$1,SMALL(Dong11,ROWS($1:105)),))</f>
        <v>0</v>
      </c>
      <c r="G118" s="575">
        <f ca="1">IF(ROWS($1:105)&gt;COUNT(Dong11),0,IF(MID(OFFSET(TH!D$1,SMALL(Dong11,ROWS($1:105)),),4,1)="N",OFFSET(TH!I$1,SMALL(Dong11,ROWS($1:105)),),0))</f>
        <v>0</v>
      </c>
      <c r="H118" s="576">
        <f t="shared" ca="1" si="32"/>
        <v>0</v>
      </c>
      <c r="I118" s="575">
        <f ca="1">IF(ROWS($1:105)&gt;COUNT(Dong11),0,IF(MID(OFFSET(TH!D$1,SMALL(Dong11,ROWS($1:105)),),4,1)="X",OFFSET(TH!I$1,SMALL(Dong11,ROWS($1:105)),),0))</f>
        <v>0</v>
      </c>
      <c r="J118" s="576">
        <f t="shared" ca="1" si="33"/>
        <v>0</v>
      </c>
      <c r="K118" s="576">
        <f t="shared" ca="1" si="34"/>
        <v>0</v>
      </c>
      <c r="L118" s="576">
        <f t="shared" ca="1" si="35"/>
        <v>0</v>
      </c>
      <c r="M118" s="576"/>
      <c r="N118" s="566"/>
    </row>
    <row r="119" spans="1:14">
      <c r="A119" s="524" t="str">
        <f t="shared" ca="1" si="31"/>
        <v/>
      </c>
      <c r="B119" s="572" t="str">
        <f ca="1">IF(ROWS($1:106)&gt;COUNT(Dong11),"",OFFSET(TH!D$1,SMALL(Dong11,ROWS($1:106)),))</f>
        <v/>
      </c>
      <c r="C119" s="573" t="str">
        <f ca="1">IF(ROWS($1:106)&gt;COUNT(Dong11),"",OFFSET(TH!E$1,SMALL(Dong11,ROWS($1:106)),))</f>
        <v/>
      </c>
      <c r="D119" s="574" t="str">
        <f ca="1">IF(ROWS($1:106)&gt;COUNT(Dong11),"",OFFSET(TH!F$1,SMALL(Dong11,ROWS($1:106)),)&amp;" - "&amp;OFFSET(TH!H$1,SMALL(Dong11,ROWS($1:106)),))</f>
        <v/>
      </c>
      <c r="E119" s="572" t="str">
        <f ca="1">IF(ROWS($1:106)&gt;COUNT(Dong11),"",IF(OFFSET(TH!N$1,SMALL(Dong11,ROWS($1:106)),)=$G$7,OFFSET(TH!O$1,SMALL(Dong11,ROWS($1:106)),),OFFSET(TH!N$1,SMALL(Dong11,ROWS($1:106)),)))</f>
        <v/>
      </c>
      <c r="F119" s="575">
        <f ca="1">IF(ROWS($1:106)&gt;COUNT(Dong11),0,OFFSET(TH!J$1,SMALL(Dong11,ROWS($1:106)),))</f>
        <v>0</v>
      </c>
      <c r="G119" s="575">
        <f ca="1">IF(ROWS($1:106)&gt;COUNT(Dong11),0,IF(MID(OFFSET(TH!D$1,SMALL(Dong11,ROWS($1:106)),),4,1)="N",OFFSET(TH!I$1,SMALL(Dong11,ROWS($1:106)),),0))</f>
        <v>0</v>
      </c>
      <c r="H119" s="576">
        <f t="shared" ca="1" si="32"/>
        <v>0</v>
      </c>
      <c r="I119" s="575">
        <f ca="1">IF(ROWS($1:106)&gt;COUNT(Dong11),0,IF(MID(OFFSET(TH!D$1,SMALL(Dong11,ROWS($1:106)),),4,1)="X",OFFSET(TH!I$1,SMALL(Dong11,ROWS($1:106)),),0))</f>
        <v>0</v>
      </c>
      <c r="J119" s="576">
        <f t="shared" ca="1" si="33"/>
        <v>0</v>
      </c>
      <c r="K119" s="576">
        <f t="shared" ca="1" si="34"/>
        <v>0</v>
      </c>
      <c r="L119" s="576">
        <f t="shared" ca="1" si="35"/>
        <v>0</v>
      </c>
      <c r="M119" s="576"/>
      <c r="N119" s="566"/>
    </row>
    <row r="120" spans="1:14">
      <c r="A120" s="524" t="str">
        <f t="shared" ca="1" si="31"/>
        <v/>
      </c>
      <c r="B120" s="572" t="str">
        <f ca="1">IF(ROWS($1:107)&gt;COUNT(Dong11),"",OFFSET(TH!D$1,SMALL(Dong11,ROWS($1:107)),))</f>
        <v/>
      </c>
      <c r="C120" s="573" t="str">
        <f ca="1">IF(ROWS($1:107)&gt;COUNT(Dong11),"",OFFSET(TH!E$1,SMALL(Dong11,ROWS($1:107)),))</f>
        <v/>
      </c>
      <c r="D120" s="574" t="str">
        <f ca="1">IF(ROWS($1:107)&gt;COUNT(Dong11),"",OFFSET(TH!F$1,SMALL(Dong11,ROWS($1:107)),)&amp;" - "&amp;OFFSET(TH!H$1,SMALL(Dong11,ROWS($1:107)),))</f>
        <v/>
      </c>
      <c r="E120" s="572" t="str">
        <f ca="1">IF(ROWS($1:107)&gt;COUNT(Dong11),"",IF(OFFSET(TH!N$1,SMALL(Dong11,ROWS($1:107)),)=$G$7,OFFSET(TH!O$1,SMALL(Dong11,ROWS($1:107)),),OFFSET(TH!N$1,SMALL(Dong11,ROWS($1:107)),)))</f>
        <v/>
      </c>
      <c r="F120" s="575">
        <f ca="1">IF(ROWS($1:107)&gt;COUNT(Dong11),0,OFFSET(TH!J$1,SMALL(Dong11,ROWS($1:107)),))</f>
        <v>0</v>
      </c>
      <c r="G120" s="575">
        <f ca="1">IF(ROWS($1:107)&gt;COUNT(Dong11),0,IF(MID(OFFSET(TH!D$1,SMALL(Dong11,ROWS($1:107)),),4,1)="N",OFFSET(TH!I$1,SMALL(Dong11,ROWS($1:107)),),0))</f>
        <v>0</v>
      </c>
      <c r="H120" s="576">
        <f t="shared" ca="1" si="32"/>
        <v>0</v>
      </c>
      <c r="I120" s="575">
        <f ca="1">IF(ROWS($1:107)&gt;COUNT(Dong11),0,IF(MID(OFFSET(TH!D$1,SMALL(Dong11,ROWS($1:107)),),4,1)="X",OFFSET(TH!I$1,SMALL(Dong11,ROWS($1:107)),),0))</f>
        <v>0</v>
      </c>
      <c r="J120" s="576">
        <f t="shared" ca="1" si="33"/>
        <v>0</v>
      </c>
      <c r="K120" s="576">
        <f t="shared" ca="1" si="34"/>
        <v>0</v>
      </c>
      <c r="L120" s="576">
        <f t="shared" ca="1" si="35"/>
        <v>0</v>
      </c>
      <c r="M120" s="576"/>
      <c r="N120" s="566"/>
    </row>
    <row r="121" spans="1:14">
      <c r="A121" s="524" t="str">
        <f t="shared" ca="1" si="31"/>
        <v/>
      </c>
      <c r="B121" s="572" t="str">
        <f ca="1">IF(ROWS($1:108)&gt;COUNT(Dong11),"",OFFSET(TH!D$1,SMALL(Dong11,ROWS($1:108)),))</f>
        <v/>
      </c>
      <c r="C121" s="573" t="str">
        <f ca="1">IF(ROWS($1:108)&gt;COUNT(Dong11),"",OFFSET(TH!E$1,SMALL(Dong11,ROWS($1:108)),))</f>
        <v/>
      </c>
      <c r="D121" s="574" t="str">
        <f ca="1">IF(ROWS($1:108)&gt;COUNT(Dong11),"",OFFSET(TH!F$1,SMALL(Dong11,ROWS($1:108)),)&amp;" - "&amp;OFFSET(TH!H$1,SMALL(Dong11,ROWS($1:108)),))</f>
        <v/>
      </c>
      <c r="E121" s="572" t="str">
        <f ca="1">IF(ROWS($1:108)&gt;COUNT(Dong11),"",IF(OFFSET(TH!N$1,SMALL(Dong11,ROWS($1:108)),)=$G$7,OFFSET(TH!O$1,SMALL(Dong11,ROWS($1:108)),),OFFSET(TH!N$1,SMALL(Dong11,ROWS($1:108)),)))</f>
        <v/>
      </c>
      <c r="F121" s="575">
        <f ca="1">IF(ROWS($1:108)&gt;COUNT(Dong11),0,OFFSET(TH!J$1,SMALL(Dong11,ROWS($1:108)),))</f>
        <v>0</v>
      </c>
      <c r="G121" s="575">
        <f ca="1">IF(ROWS($1:108)&gt;COUNT(Dong11),0,IF(MID(OFFSET(TH!D$1,SMALL(Dong11,ROWS($1:108)),),4,1)="N",OFFSET(TH!I$1,SMALL(Dong11,ROWS($1:108)),),0))</f>
        <v>0</v>
      </c>
      <c r="H121" s="576">
        <f t="shared" ca="1" si="32"/>
        <v>0</v>
      </c>
      <c r="I121" s="575">
        <f ca="1">IF(ROWS($1:108)&gt;COUNT(Dong11),0,IF(MID(OFFSET(TH!D$1,SMALL(Dong11,ROWS($1:108)),),4,1)="X",OFFSET(TH!I$1,SMALL(Dong11,ROWS($1:108)),),0))</f>
        <v>0</v>
      </c>
      <c r="J121" s="576">
        <f t="shared" ca="1" si="33"/>
        <v>0</v>
      </c>
      <c r="K121" s="576">
        <f t="shared" ca="1" si="34"/>
        <v>0</v>
      </c>
      <c r="L121" s="576">
        <f t="shared" ca="1" si="35"/>
        <v>0</v>
      </c>
      <c r="M121" s="576"/>
      <c r="N121" s="566"/>
    </row>
    <row r="122" spans="1:14">
      <c r="A122" s="524" t="str">
        <f t="shared" ca="1" si="31"/>
        <v/>
      </c>
      <c r="B122" s="572" t="str">
        <f ca="1">IF(ROWS($1:109)&gt;COUNT(Dong11),"",OFFSET(TH!D$1,SMALL(Dong11,ROWS($1:109)),))</f>
        <v/>
      </c>
      <c r="C122" s="573" t="str">
        <f ca="1">IF(ROWS($1:109)&gt;COUNT(Dong11),"",OFFSET(TH!E$1,SMALL(Dong11,ROWS($1:109)),))</f>
        <v/>
      </c>
      <c r="D122" s="574" t="str">
        <f ca="1">IF(ROWS($1:109)&gt;COUNT(Dong11),"",OFFSET(TH!F$1,SMALL(Dong11,ROWS($1:109)),)&amp;" - "&amp;OFFSET(TH!H$1,SMALL(Dong11,ROWS($1:109)),))</f>
        <v/>
      </c>
      <c r="E122" s="572" t="str">
        <f ca="1">IF(ROWS($1:109)&gt;COUNT(Dong11),"",IF(OFFSET(TH!N$1,SMALL(Dong11,ROWS($1:109)),)=$G$7,OFFSET(TH!O$1,SMALL(Dong11,ROWS($1:109)),),OFFSET(TH!N$1,SMALL(Dong11,ROWS($1:109)),)))</f>
        <v/>
      </c>
      <c r="F122" s="575">
        <f ca="1">IF(ROWS($1:109)&gt;COUNT(Dong11),0,OFFSET(TH!J$1,SMALL(Dong11,ROWS($1:109)),))</f>
        <v>0</v>
      </c>
      <c r="G122" s="575">
        <f ca="1">IF(ROWS($1:109)&gt;COUNT(Dong11),0,IF(MID(OFFSET(TH!D$1,SMALL(Dong11,ROWS($1:109)),),4,1)="N",OFFSET(TH!I$1,SMALL(Dong11,ROWS($1:109)),),0))</f>
        <v>0</v>
      </c>
      <c r="H122" s="576">
        <f t="shared" ca="1" si="32"/>
        <v>0</v>
      </c>
      <c r="I122" s="575">
        <f ca="1">IF(ROWS($1:109)&gt;COUNT(Dong11),0,IF(MID(OFFSET(TH!D$1,SMALL(Dong11,ROWS($1:109)),),4,1)="X",OFFSET(TH!I$1,SMALL(Dong11,ROWS($1:109)),),0))</f>
        <v>0</v>
      </c>
      <c r="J122" s="576">
        <f t="shared" ca="1" si="33"/>
        <v>0</v>
      </c>
      <c r="K122" s="576">
        <f t="shared" ca="1" si="34"/>
        <v>0</v>
      </c>
      <c r="L122" s="576">
        <f t="shared" ca="1" si="35"/>
        <v>0</v>
      </c>
      <c r="M122" s="576"/>
      <c r="N122" s="566"/>
    </row>
    <row r="123" spans="1:14">
      <c r="A123" s="524" t="str">
        <f t="shared" ca="1" si="31"/>
        <v/>
      </c>
      <c r="B123" s="572" t="str">
        <f ca="1">IF(ROWS($1:110)&gt;COUNT(Dong11),"",OFFSET(TH!D$1,SMALL(Dong11,ROWS($1:110)),))</f>
        <v/>
      </c>
      <c r="C123" s="573" t="str">
        <f ca="1">IF(ROWS($1:110)&gt;COUNT(Dong11),"",OFFSET(TH!E$1,SMALL(Dong11,ROWS($1:110)),))</f>
        <v/>
      </c>
      <c r="D123" s="574" t="str">
        <f ca="1">IF(ROWS($1:110)&gt;COUNT(Dong11),"",OFFSET(TH!F$1,SMALL(Dong11,ROWS($1:110)),)&amp;" - "&amp;OFFSET(TH!H$1,SMALL(Dong11,ROWS($1:110)),))</f>
        <v/>
      </c>
      <c r="E123" s="572" t="str">
        <f ca="1">IF(ROWS($1:110)&gt;COUNT(Dong11),"",IF(OFFSET(TH!N$1,SMALL(Dong11,ROWS($1:110)),)=$G$7,OFFSET(TH!O$1,SMALL(Dong11,ROWS($1:110)),),OFFSET(TH!N$1,SMALL(Dong11,ROWS($1:110)),)))</f>
        <v/>
      </c>
      <c r="F123" s="575">
        <f ca="1">IF(ROWS($1:110)&gt;COUNT(Dong11),0,OFFSET(TH!J$1,SMALL(Dong11,ROWS($1:110)),))</f>
        <v>0</v>
      </c>
      <c r="G123" s="575">
        <f ca="1">IF(ROWS($1:110)&gt;COUNT(Dong11),0,IF(MID(OFFSET(TH!D$1,SMALL(Dong11,ROWS($1:110)),),4,1)="N",OFFSET(TH!I$1,SMALL(Dong11,ROWS($1:110)),),0))</f>
        <v>0</v>
      </c>
      <c r="H123" s="576">
        <f t="shared" ca="1" si="32"/>
        <v>0</v>
      </c>
      <c r="I123" s="575">
        <f ca="1">IF(ROWS($1:110)&gt;COUNT(Dong11),0,IF(MID(OFFSET(TH!D$1,SMALL(Dong11,ROWS($1:110)),),4,1)="X",OFFSET(TH!I$1,SMALL(Dong11,ROWS($1:110)),),0))</f>
        <v>0</v>
      </c>
      <c r="J123" s="576">
        <f t="shared" ca="1" si="33"/>
        <v>0</v>
      </c>
      <c r="K123" s="576">
        <f t="shared" ca="1" si="34"/>
        <v>0</v>
      </c>
      <c r="L123" s="576">
        <f t="shared" ca="1" si="35"/>
        <v>0</v>
      </c>
      <c r="M123" s="576"/>
      <c r="N123" s="566"/>
    </row>
    <row r="124" spans="1:14">
      <c r="A124" s="524" t="str">
        <f t="shared" ca="1" si="31"/>
        <v/>
      </c>
      <c r="B124" s="572" t="str">
        <f ca="1">IF(ROWS($1:111)&gt;COUNT(Dong11),"",OFFSET(TH!D$1,SMALL(Dong11,ROWS($1:111)),))</f>
        <v/>
      </c>
      <c r="C124" s="573" t="str">
        <f ca="1">IF(ROWS($1:111)&gt;COUNT(Dong11),"",OFFSET(TH!E$1,SMALL(Dong11,ROWS($1:111)),))</f>
        <v/>
      </c>
      <c r="D124" s="574" t="str">
        <f ca="1">IF(ROWS($1:111)&gt;COUNT(Dong11),"",OFFSET(TH!F$1,SMALL(Dong11,ROWS($1:111)),)&amp;" - "&amp;OFFSET(TH!H$1,SMALL(Dong11,ROWS($1:111)),))</f>
        <v/>
      </c>
      <c r="E124" s="572" t="str">
        <f ca="1">IF(ROWS($1:111)&gt;COUNT(Dong11),"",IF(OFFSET(TH!N$1,SMALL(Dong11,ROWS($1:111)),)=$G$7,OFFSET(TH!O$1,SMALL(Dong11,ROWS($1:111)),),OFFSET(TH!N$1,SMALL(Dong11,ROWS($1:111)),)))</f>
        <v/>
      </c>
      <c r="F124" s="575">
        <f ca="1">IF(ROWS($1:111)&gt;COUNT(Dong11),0,OFFSET(TH!J$1,SMALL(Dong11,ROWS($1:111)),))</f>
        <v>0</v>
      </c>
      <c r="G124" s="575">
        <f ca="1">IF(ROWS($1:111)&gt;COUNT(Dong11),0,IF(MID(OFFSET(TH!D$1,SMALL(Dong11,ROWS($1:111)),),4,1)="N",OFFSET(TH!I$1,SMALL(Dong11,ROWS($1:111)),),0))</f>
        <v>0</v>
      </c>
      <c r="H124" s="576">
        <f t="shared" ca="1" si="32"/>
        <v>0</v>
      </c>
      <c r="I124" s="575">
        <f ca="1">IF(ROWS($1:111)&gt;COUNT(Dong11),0,IF(MID(OFFSET(TH!D$1,SMALL(Dong11,ROWS($1:111)),),4,1)="X",OFFSET(TH!I$1,SMALL(Dong11,ROWS($1:111)),),0))</f>
        <v>0</v>
      </c>
      <c r="J124" s="576">
        <f t="shared" ca="1" si="33"/>
        <v>0</v>
      </c>
      <c r="K124" s="576">
        <f t="shared" ca="1" si="34"/>
        <v>0</v>
      </c>
      <c r="L124" s="576">
        <f t="shared" ca="1" si="35"/>
        <v>0</v>
      </c>
      <c r="M124" s="576"/>
      <c r="N124" s="566"/>
    </row>
    <row r="125" spans="1:14">
      <c r="A125" s="524" t="str">
        <f t="shared" ca="1" si="31"/>
        <v/>
      </c>
      <c r="B125" s="572" t="str">
        <f ca="1">IF(ROWS($1:112)&gt;COUNT(Dong11),"",OFFSET(TH!D$1,SMALL(Dong11,ROWS($1:112)),))</f>
        <v/>
      </c>
      <c r="C125" s="573" t="str">
        <f ca="1">IF(ROWS($1:112)&gt;COUNT(Dong11),"",OFFSET(TH!E$1,SMALL(Dong11,ROWS($1:112)),))</f>
        <v/>
      </c>
      <c r="D125" s="574" t="str">
        <f ca="1">IF(ROWS($1:112)&gt;COUNT(Dong11),"",OFFSET(TH!F$1,SMALL(Dong11,ROWS($1:112)),)&amp;" - "&amp;OFFSET(TH!H$1,SMALL(Dong11,ROWS($1:112)),))</f>
        <v/>
      </c>
      <c r="E125" s="572" t="str">
        <f ca="1">IF(ROWS($1:112)&gt;COUNT(Dong11),"",IF(OFFSET(TH!N$1,SMALL(Dong11,ROWS($1:112)),)=$G$7,OFFSET(TH!O$1,SMALL(Dong11,ROWS($1:112)),),OFFSET(TH!N$1,SMALL(Dong11,ROWS($1:112)),)))</f>
        <v/>
      </c>
      <c r="F125" s="575">
        <f ca="1">IF(ROWS($1:112)&gt;COUNT(Dong11),0,OFFSET(TH!J$1,SMALL(Dong11,ROWS($1:112)),))</f>
        <v>0</v>
      </c>
      <c r="G125" s="575">
        <f ca="1">IF(ROWS($1:112)&gt;COUNT(Dong11),0,IF(MID(OFFSET(TH!D$1,SMALL(Dong11,ROWS($1:112)),),4,1)="N",OFFSET(TH!I$1,SMALL(Dong11,ROWS($1:112)),),0))</f>
        <v>0</v>
      </c>
      <c r="H125" s="576">
        <f t="shared" ca="1" si="32"/>
        <v>0</v>
      </c>
      <c r="I125" s="575">
        <f ca="1">IF(ROWS($1:112)&gt;COUNT(Dong11),0,IF(MID(OFFSET(TH!D$1,SMALL(Dong11,ROWS($1:112)),),4,1)="X",OFFSET(TH!I$1,SMALL(Dong11,ROWS($1:112)),),0))</f>
        <v>0</v>
      </c>
      <c r="J125" s="576">
        <f t="shared" ca="1" si="33"/>
        <v>0</v>
      </c>
      <c r="K125" s="576">
        <f t="shared" ca="1" si="34"/>
        <v>0</v>
      </c>
      <c r="L125" s="576">
        <f t="shared" ca="1" si="35"/>
        <v>0</v>
      </c>
      <c r="M125" s="576"/>
      <c r="N125" s="566"/>
    </row>
    <row r="126" spans="1:14">
      <c r="A126" s="524" t="str">
        <f t="shared" ca="1" si="31"/>
        <v/>
      </c>
      <c r="B126" s="572" t="str">
        <f ca="1">IF(ROWS($1:113)&gt;COUNT(Dong11),"",OFFSET(TH!D$1,SMALL(Dong11,ROWS($1:113)),))</f>
        <v/>
      </c>
      <c r="C126" s="573" t="str">
        <f ca="1">IF(ROWS($1:113)&gt;COUNT(Dong11),"",OFFSET(TH!E$1,SMALL(Dong11,ROWS($1:113)),))</f>
        <v/>
      </c>
      <c r="D126" s="574" t="str">
        <f ca="1">IF(ROWS($1:113)&gt;COUNT(Dong11),"",OFFSET(TH!F$1,SMALL(Dong11,ROWS($1:113)),)&amp;" - "&amp;OFFSET(TH!H$1,SMALL(Dong11,ROWS($1:113)),))</f>
        <v/>
      </c>
      <c r="E126" s="572" t="str">
        <f ca="1">IF(ROWS($1:113)&gt;COUNT(Dong11),"",IF(OFFSET(TH!N$1,SMALL(Dong11,ROWS($1:113)),)=$G$7,OFFSET(TH!O$1,SMALL(Dong11,ROWS($1:113)),),OFFSET(TH!N$1,SMALL(Dong11,ROWS($1:113)),)))</f>
        <v/>
      </c>
      <c r="F126" s="575">
        <f ca="1">IF(ROWS($1:113)&gt;COUNT(Dong11),0,OFFSET(TH!J$1,SMALL(Dong11,ROWS($1:113)),))</f>
        <v>0</v>
      </c>
      <c r="G126" s="575">
        <f ca="1">IF(ROWS($1:113)&gt;COUNT(Dong11),0,IF(MID(OFFSET(TH!D$1,SMALL(Dong11,ROWS($1:113)),),4,1)="N",OFFSET(TH!I$1,SMALL(Dong11,ROWS($1:113)),),0))</f>
        <v>0</v>
      </c>
      <c r="H126" s="576">
        <f t="shared" ca="1" si="32"/>
        <v>0</v>
      </c>
      <c r="I126" s="575">
        <f ca="1">IF(ROWS($1:113)&gt;COUNT(Dong11),0,IF(MID(OFFSET(TH!D$1,SMALL(Dong11,ROWS($1:113)),),4,1)="X",OFFSET(TH!I$1,SMALL(Dong11,ROWS($1:113)),),0))</f>
        <v>0</v>
      </c>
      <c r="J126" s="576">
        <f t="shared" ca="1" si="33"/>
        <v>0</v>
      </c>
      <c r="K126" s="576">
        <f t="shared" ca="1" si="34"/>
        <v>0</v>
      </c>
      <c r="L126" s="576">
        <f t="shared" ca="1" si="35"/>
        <v>0</v>
      </c>
      <c r="M126" s="576"/>
      <c r="N126" s="566"/>
    </row>
    <row r="127" spans="1:14">
      <c r="A127" s="524" t="str">
        <f t="shared" ca="1" si="31"/>
        <v/>
      </c>
      <c r="B127" s="572" t="str">
        <f ca="1">IF(ROWS($1:114)&gt;COUNT(Dong11),"",OFFSET(TH!D$1,SMALL(Dong11,ROWS($1:114)),))</f>
        <v/>
      </c>
      <c r="C127" s="573" t="str">
        <f ca="1">IF(ROWS($1:114)&gt;COUNT(Dong11),"",OFFSET(TH!E$1,SMALL(Dong11,ROWS($1:114)),))</f>
        <v/>
      </c>
      <c r="D127" s="574" t="str">
        <f ca="1">IF(ROWS($1:114)&gt;COUNT(Dong11),"",OFFSET(TH!F$1,SMALL(Dong11,ROWS($1:114)),)&amp;" - "&amp;OFFSET(TH!H$1,SMALL(Dong11,ROWS($1:114)),))</f>
        <v/>
      </c>
      <c r="E127" s="572" t="str">
        <f ca="1">IF(ROWS($1:114)&gt;COUNT(Dong11),"",IF(OFFSET(TH!N$1,SMALL(Dong11,ROWS($1:114)),)=$G$7,OFFSET(TH!O$1,SMALL(Dong11,ROWS($1:114)),),OFFSET(TH!N$1,SMALL(Dong11,ROWS($1:114)),)))</f>
        <v/>
      </c>
      <c r="F127" s="575">
        <f ca="1">IF(ROWS($1:114)&gt;COUNT(Dong11),0,OFFSET(TH!J$1,SMALL(Dong11,ROWS($1:114)),))</f>
        <v>0</v>
      </c>
      <c r="G127" s="575">
        <f ca="1">IF(ROWS($1:114)&gt;COUNT(Dong11),0,IF(MID(OFFSET(TH!D$1,SMALL(Dong11,ROWS($1:114)),),4,1)="N",OFFSET(TH!I$1,SMALL(Dong11,ROWS($1:114)),),0))</f>
        <v>0</v>
      </c>
      <c r="H127" s="576">
        <f t="shared" ca="1" si="32"/>
        <v>0</v>
      </c>
      <c r="I127" s="575">
        <f ca="1">IF(ROWS($1:114)&gt;COUNT(Dong11),0,IF(MID(OFFSET(TH!D$1,SMALL(Dong11,ROWS($1:114)),),4,1)="X",OFFSET(TH!I$1,SMALL(Dong11,ROWS($1:114)),),0))</f>
        <v>0</v>
      </c>
      <c r="J127" s="576">
        <f t="shared" ca="1" si="33"/>
        <v>0</v>
      </c>
      <c r="K127" s="576">
        <f t="shared" ca="1" si="34"/>
        <v>0</v>
      </c>
      <c r="L127" s="576">
        <f t="shared" ca="1" si="35"/>
        <v>0</v>
      </c>
      <c r="M127" s="576"/>
      <c r="N127" s="566"/>
    </row>
    <row r="128" spans="1:14">
      <c r="A128" s="524" t="str">
        <f t="shared" ca="1" si="31"/>
        <v/>
      </c>
      <c r="B128" s="572" t="str">
        <f ca="1">IF(ROWS($1:115)&gt;COUNT(Dong11),"",OFFSET(TH!D$1,SMALL(Dong11,ROWS($1:115)),))</f>
        <v/>
      </c>
      <c r="C128" s="573" t="str">
        <f ca="1">IF(ROWS($1:115)&gt;COUNT(Dong11),"",OFFSET(TH!E$1,SMALL(Dong11,ROWS($1:115)),))</f>
        <v/>
      </c>
      <c r="D128" s="574" t="str">
        <f ca="1">IF(ROWS($1:115)&gt;COUNT(Dong11),"",OFFSET(TH!F$1,SMALL(Dong11,ROWS($1:115)),)&amp;" - "&amp;OFFSET(TH!H$1,SMALL(Dong11,ROWS($1:115)),))</f>
        <v/>
      </c>
      <c r="E128" s="572" t="str">
        <f ca="1">IF(ROWS($1:115)&gt;COUNT(Dong11),"",IF(OFFSET(TH!N$1,SMALL(Dong11,ROWS($1:115)),)=$G$7,OFFSET(TH!O$1,SMALL(Dong11,ROWS($1:115)),),OFFSET(TH!N$1,SMALL(Dong11,ROWS($1:115)),)))</f>
        <v/>
      </c>
      <c r="F128" s="575">
        <f ca="1">IF(ROWS($1:115)&gt;COUNT(Dong11),0,OFFSET(TH!J$1,SMALL(Dong11,ROWS($1:115)),))</f>
        <v>0</v>
      </c>
      <c r="G128" s="575">
        <f ca="1">IF(ROWS($1:115)&gt;COUNT(Dong11),0,IF(MID(OFFSET(TH!D$1,SMALL(Dong11,ROWS($1:115)),),4,1)="N",OFFSET(TH!I$1,SMALL(Dong11,ROWS($1:115)),),0))</f>
        <v>0</v>
      </c>
      <c r="H128" s="576">
        <f t="shared" ca="1" si="32"/>
        <v>0</v>
      </c>
      <c r="I128" s="575">
        <f ca="1">IF(ROWS($1:115)&gt;COUNT(Dong11),0,IF(MID(OFFSET(TH!D$1,SMALL(Dong11,ROWS($1:115)),),4,1)="X",OFFSET(TH!I$1,SMALL(Dong11,ROWS($1:115)),),0))</f>
        <v>0</v>
      </c>
      <c r="J128" s="576">
        <f t="shared" ca="1" si="33"/>
        <v>0</v>
      </c>
      <c r="K128" s="576">
        <f t="shared" ca="1" si="34"/>
        <v>0</v>
      </c>
      <c r="L128" s="576">
        <f t="shared" ca="1" si="35"/>
        <v>0</v>
      </c>
      <c r="M128" s="576"/>
      <c r="N128" s="566"/>
    </row>
    <row r="129" spans="1:14">
      <c r="A129" s="524" t="str">
        <f t="shared" ca="1" si="31"/>
        <v/>
      </c>
      <c r="B129" s="572" t="str">
        <f ca="1">IF(ROWS($1:116)&gt;COUNT(Dong11),"",OFFSET(TH!D$1,SMALL(Dong11,ROWS($1:116)),))</f>
        <v/>
      </c>
      <c r="C129" s="573" t="str">
        <f ca="1">IF(ROWS($1:116)&gt;COUNT(Dong11),"",OFFSET(TH!E$1,SMALL(Dong11,ROWS($1:116)),))</f>
        <v/>
      </c>
      <c r="D129" s="574" t="str">
        <f ca="1">IF(ROWS($1:116)&gt;COUNT(Dong11),"",OFFSET(TH!F$1,SMALL(Dong11,ROWS($1:116)),)&amp;" - "&amp;OFFSET(TH!H$1,SMALL(Dong11,ROWS($1:116)),))</f>
        <v/>
      </c>
      <c r="E129" s="572" t="str">
        <f ca="1">IF(ROWS($1:116)&gt;COUNT(Dong11),"",IF(OFFSET(TH!N$1,SMALL(Dong11,ROWS($1:116)),)=$G$7,OFFSET(TH!O$1,SMALL(Dong11,ROWS($1:116)),),OFFSET(TH!N$1,SMALL(Dong11,ROWS($1:116)),)))</f>
        <v/>
      </c>
      <c r="F129" s="575">
        <f ca="1">IF(ROWS($1:116)&gt;COUNT(Dong11),0,OFFSET(TH!J$1,SMALL(Dong11,ROWS($1:116)),))</f>
        <v>0</v>
      </c>
      <c r="G129" s="575">
        <f ca="1">IF(ROWS($1:116)&gt;COUNT(Dong11),0,IF(MID(OFFSET(TH!D$1,SMALL(Dong11,ROWS($1:116)),),4,1)="N",OFFSET(TH!I$1,SMALL(Dong11,ROWS($1:116)),),0))</f>
        <v>0</v>
      </c>
      <c r="H129" s="576">
        <f t="shared" ca="1" si="32"/>
        <v>0</v>
      </c>
      <c r="I129" s="575">
        <f ca="1">IF(ROWS($1:116)&gt;COUNT(Dong11),0,IF(MID(OFFSET(TH!D$1,SMALL(Dong11,ROWS($1:116)),),4,1)="X",OFFSET(TH!I$1,SMALL(Dong11,ROWS($1:116)),),0))</f>
        <v>0</v>
      </c>
      <c r="J129" s="576">
        <f t="shared" ca="1" si="33"/>
        <v>0</v>
      </c>
      <c r="K129" s="576">
        <f t="shared" ca="1" si="34"/>
        <v>0</v>
      </c>
      <c r="L129" s="576">
        <f t="shared" ca="1" si="35"/>
        <v>0</v>
      </c>
      <c r="M129" s="576"/>
      <c r="N129" s="566"/>
    </row>
    <row r="130" spans="1:14">
      <c r="A130" s="524" t="str">
        <f t="shared" ca="1" si="31"/>
        <v/>
      </c>
      <c r="B130" s="572" t="str">
        <f ca="1">IF(ROWS($1:117)&gt;COUNT(Dong11),"",OFFSET(TH!D$1,SMALL(Dong11,ROWS($1:117)),))</f>
        <v/>
      </c>
      <c r="C130" s="573" t="str">
        <f ca="1">IF(ROWS($1:117)&gt;COUNT(Dong11),"",OFFSET(TH!E$1,SMALL(Dong11,ROWS($1:117)),))</f>
        <v/>
      </c>
      <c r="D130" s="574" t="str">
        <f ca="1">IF(ROWS($1:117)&gt;COUNT(Dong11),"",OFFSET(TH!F$1,SMALL(Dong11,ROWS($1:117)),)&amp;" - "&amp;OFFSET(TH!H$1,SMALL(Dong11,ROWS($1:117)),))</f>
        <v/>
      </c>
      <c r="E130" s="572" t="str">
        <f ca="1">IF(ROWS($1:117)&gt;COUNT(Dong11),"",IF(OFFSET(TH!N$1,SMALL(Dong11,ROWS($1:117)),)=$G$7,OFFSET(TH!O$1,SMALL(Dong11,ROWS($1:117)),),OFFSET(TH!N$1,SMALL(Dong11,ROWS($1:117)),)))</f>
        <v/>
      </c>
      <c r="F130" s="575">
        <f ca="1">IF(ROWS($1:117)&gt;COUNT(Dong11),0,OFFSET(TH!J$1,SMALL(Dong11,ROWS($1:117)),))</f>
        <v>0</v>
      </c>
      <c r="G130" s="575">
        <f ca="1">IF(ROWS($1:117)&gt;COUNT(Dong11),0,IF(MID(OFFSET(TH!D$1,SMALL(Dong11,ROWS($1:117)),),4,1)="N",OFFSET(TH!I$1,SMALL(Dong11,ROWS($1:117)),),0))</f>
        <v>0</v>
      </c>
      <c r="H130" s="576">
        <f t="shared" ca="1" si="32"/>
        <v>0</v>
      </c>
      <c r="I130" s="575">
        <f ca="1">IF(ROWS($1:117)&gt;COUNT(Dong11),0,IF(MID(OFFSET(TH!D$1,SMALL(Dong11,ROWS($1:117)),),4,1)="X",OFFSET(TH!I$1,SMALL(Dong11,ROWS($1:117)),),0))</f>
        <v>0</v>
      </c>
      <c r="J130" s="576">
        <f t="shared" ca="1" si="33"/>
        <v>0</v>
      </c>
      <c r="K130" s="576">
        <f t="shared" ca="1" si="34"/>
        <v>0</v>
      </c>
      <c r="L130" s="576">
        <f t="shared" ca="1" si="35"/>
        <v>0</v>
      </c>
      <c r="M130" s="576"/>
      <c r="N130" s="566"/>
    </row>
    <row r="131" spans="1:14">
      <c r="A131" s="524" t="str">
        <f t="shared" ca="1" si="31"/>
        <v/>
      </c>
      <c r="B131" s="572" t="str">
        <f ca="1">IF(ROWS($1:118)&gt;COUNT(Dong11),"",OFFSET(TH!D$1,SMALL(Dong11,ROWS($1:118)),))</f>
        <v/>
      </c>
      <c r="C131" s="573" t="str">
        <f ca="1">IF(ROWS($1:118)&gt;COUNT(Dong11),"",OFFSET(TH!E$1,SMALL(Dong11,ROWS($1:118)),))</f>
        <v/>
      </c>
      <c r="D131" s="574" t="str">
        <f ca="1">IF(ROWS($1:118)&gt;COUNT(Dong11),"",OFFSET(TH!F$1,SMALL(Dong11,ROWS($1:118)),)&amp;" - "&amp;OFFSET(TH!H$1,SMALL(Dong11,ROWS($1:118)),))</f>
        <v/>
      </c>
      <c r="E131" s="572" t="str">
        <f ca="1">IF(ROWS($1:118)&gt;COUNT(Dong11),"",IF(OFFSET(TH!N$1,SMALL(Dong11,ROWS($1:118)),)=$G$7,OFFSET(TH!O$1,SMALL(Dong11,ROWS($1:118)),),OFFSET(TH!N$1,SMALL(Dong11,ROWS($1:118)),)))</f>
        <v/>
      </c>
      <c r="F131" s="575">
        <f ca="1">IF(ROWS($1:118)&gt;COUNT(Dong11),0,OFFSET(TH!J$1,SMALL(Dong11,ROWS($1:118)),))</f>
        <v>0</v>
      </c>
      <c r="G131" s="575">
        <f ca="1">IF(ROWS($1:118)&gt;COUNT(Dong11),0,IF(MID(OFFSET(TH!D$1,SMALL(Dong11,ROWS($1:118)),),4,1)="N",OFFSET(TH!I$1,SMALL(Dong11,ROWS($1:118)),),0))</f>
        <v>0</v>
      </c>
      <c r="H131" s="576">
        <f t="shared" ca="1" si="32"/>
        <v>0</v>
      </c>
      <c r="I131" s="575">
        <f ca="1">IF(ROWS($1:118)&gt;COUNT(Dong11),0,IF(MID(OFFSET(TH!D$1,SMALL(Dong11,ROWS($1:118)),),4,1)="X",OFFSET(TH!I$1,SMALL(Dong11,ROWS($1:118)),),0))</f>
        <v>0</v>
      </c>
      <c r="J131" s="576">
        <f t="shared" ca="1" si="33"/>
        <v>0</v>
      </c>
      <c r="K131" s="576">
        <f t="shared" ca="1" si="34"/>
        <v>0</v>
      </c>
      <c r="L131" s="576">
        <f t="shared" ca="1" si="35"/>
        <v>0</v>
      </c>
      <c r="M131" s="576"/>
      <c r="N131" s="566"/>
    </row>
    <row r="132" spans="1:14">
      <c r="A132" s="524" t="str">
        <f t="shared" ca="1" si="31"/>
        <v/>
      </c>
      <c r="B132" s="572" t="str">
        <f ca="1">IF(ROWS($1:119)&gt;COUNT(Dong11),"",OFFSET(TH!D$1,SMALL(Dong11,ROWS($1:119)),))</f>
        <v/>
      </c>
      <c r="C132" s="573" t="str">
        <f ca="1">IF(ROWS($1:119)&gt;COUNT(Dong11),"",OFFSET(TH!E$1,SMALL(Dong11,ROWS($1:119)),))</f>
        <v/>
      </c>
      <c r="D132" s="574" t="str">
        <f ca="1">IF(ROWS($1:119)&gt;COUNT(Dong11),"",OFFSET(TH!F$1,SMALL(Dong11,ROWS($1:119)),)&amp;" - "&amp;OFFSET(TH!H$1,SMALL(Dong11,ROWS($1:119)),))</f>
        <v/>
      </c>
      <c r="E132" s="572" t="str">
        <f ca="1">IF(ROWS($1:119)&gt;COUNT(Dong11),"",IF(OFFSET(TH!N$1,SMALL(Dong11,ROWS($1:119)),)=$G$7,OFFSET(TH!O$1,SMALL(Dong11,ROWS($1:119)),),OFFSET(TH!N$1,SMALL(Dong11,ROWS($1:119)),)))</f>
        <v/>
      </c>
      <c r="F132" s="575">
        <f ca="1">IF(ROWS($1:119)&gt;COUNT(Dong11),0,OFFSET(TH!J$1,SMALL(Dong11,ROWS($1:119)),))</f>
        <v>0</v>
      </c>
      <c r="G132" s="575">
        <f ca="1">IF(ROWS($1:119)&gt;COUNT(Dong11),0,IF(MID(OFFSET(TH!D$1,SMALL(Dong11,ROWS($1:119)),),4,1)="N",OFFSET(TH!I$1,SMALL(Dong11,ROWS($1:119)),),0))</f>
        <v>0</v>
      </c>
      <c r="H132" s="576">
        <f t="shared" ca="1" si="32"/>
        <v>0</v>
      </c>
      <c r="I132" s="575">
        <f ca="1">IF(ROWS($1:119)&gt;COUNT(Dong11),0,IF(MID(OFFSET(TH!D$1,SMALL(Dong11,ROWS($1:119)),),4,1)="X",OFFSET(TH!I$1,SMALL(Dong11,ROWS($1:119)),),0))</f>
        <v>0</v>
      </c>
      <c r="J132" s="576">
        <f t="shared" ca="1" si="33"/>
        <v>0</v>
      </c>
      <c r="K132" s="576">
        <f t="shared" ca="1" si="34"/>
        <v>0</v>
      </c>
      <c r="L132" s="576">
        <f t="shared" ca="1" si="35"/>
        <v>0</v>
      </c>
      <c r="M132" s="576"/>
      <c r="N132" s="566"/>
    </row>
    <row r="133" spans="1:14">
      <c r="A133" s="524" t="str">
        <f t="shared" ca="1" si="31"/>
        <v/>
      </c>
      <c r="B133" s="572" t="str">
        <f ca="1">IF(ROWS($1:120)&gt;COUNT(Dong11),"",OFFSET(TH!D$1,SMALL(Dong11,ROWS($1:120)),))</f>
        <v/>
      </c>
      <c r="C133" s="573" t="str">
        <f ca="1">IF(ROWS($1:120)&gt;COUNT(Dong11),"",OFFSET(TH!E$1,SMALL(Dong11,ROWS($1:120)),))</f>
        <v/>
      </c>
      <c r="D133" s="574" t="str">
        <f ca="1">IF(ROWS($1:120)&gt;COUNT(Dong11),"",OFFSET(TH!F$1,SMALL(Dong11,ROWS($1:120)),)&amp;" - "&amp;OFFSET(TH!H$1,SMALL(Dong11,ROWS($1:120)),))</f>
        <v/>
      </c>
      <c r="E133" s="572" t="str">
        <f ca="1">IF(ROWS($1:120)&gt;COUNT(Dong11),"",IF(OFFSET(TH!N$1,SMALL(Dong11,ROWS($1:120)),)=$G$7,OFFSET(TH!O$1,SMALL(Dong11,ROWS($1:120)),),OFFSET(TH!N$1,SMALL(Dong11,ROWS($1:120)),)))</f>
        <v/>
      </c>
      <c r="F133" s="575">
        <f ca="1">IF(ROWS($1:120)&gt;COUNT(Dong11),0,OFFSET(TH!J$1,SMALL(Dong11,ROWS($1:120)),))</f>
        <v>0</v>
      </c>
      <c r="G133" s="575">
        <f ca="1">IF(ROWS($1:120)&gt;COUNT(Dong11),0,IF(MID(OFFSET(TH!D$1,SMALL(Dong11,ROWS($1:120)),),4,1)="N",OFFSET(TH!I$1,SMALL(Dong11,ROWS($1:120)),),0))</f>
        <v>0</v>
      </c>
      <c r="H133" s="576">
        <f t="shared" ca="1" si="32"/>
        <v>0</v>
      </c>
      <c r="I133" s="575">
        <f ca="1">IF(ROWS($1:120)&gt;COUNT(Dong11),0,IF(MID(OFFSET(TH!D$1,SMALL(Dong11,ROWS($1:120)),),4,1)="X",OFFSET(TH!I$1,SMALL(Dong11,ROWS($1:120)),),0))</f>
        <v>0</v>
      </c>
      <c r="J133" s="576">
        <f t="shared" ca="1" si="33"/>
        <v>0</v>
      </c>
      <c r="K133" s="576">
        <f t="shared" ca="1" si="34"/>
        <v>0</v>
      </c>
      <c r="L133" s="576">
        <f t="shared" ca="1" si="35"/>
        <v>0</v>
      </c>
      <c r="M133" s="576"/>
      <c r="N133" s="566"/>
    </row>
    <row r="134" spans="1:14">
      <c r="A134" s="524" t="str">
        <f t="shared" ca="1" si="31"/>
        <v/>
      </c>
      <c r="B134" s="572" t="str">
        <f ca="1">IF(ROWS($1:121)&gt;COUNT(Dong11),"",OFFSET(TH!D$1,SMALL(Dong11,ROWS($1:121)),))</f>
        <v/>
      </c>
      <c r="C134" s="573" t="str">
        <f ca="1">IF(ROWS($1:121)&gt;COUNT(Dong11),"",OFFSET(TH!E$1,SMALL(Dong11,ROWS($1:121)),))</f>
        <v/>
      </c>
      <c r="D134" s="574" t="str">
        <f ca="1">IF(ROWS($1:121)&gt;COUNT(Dong11),"",OFFSET(TH!F$1,SMALL(Dong11,ROWS($1:121)),)&amp;" - "&amp;OFFSET(TH!H$1,SMALL(Dong11,ROWS($1:121)),))</f>
        <v/>
      </c>
      <c r="E134" s="572" t="str">
        <f ca="1">IF(ROWS($1:121)&gt;COUNT(Dong11),"",IF(OFFSET(TH!N$1,SMALL(Dong11,ROWS($1:121)),)=$G$7,OFFSET(TH!O$1,SMALL(Dong11,ROWS($1:121)),),OFFSET(TH!N$1,SMALL(Dong11,ROWS($1:121)),)))</f>
        <v/>
      </c>
      <c r="F134" s="575">
        <f ca="1">IF(ROWS($1:121)&gt;COUNT(Dong11),0,OFFSET(TH!J$1,SMALL(Dong11,ROWS($1:121)),))</f>
        <v>0</v>
      </c>
      <c r="G134" s="575">
        <f ca="1">IF(ROWS($1:121)&gt;COUNT(Dong11),0,IF(MID(OFFSET(TH!D$1,SMALL(Dong11,ROWS($1:121)),),4,1)="N",OFFSET(TH!I$1,SMALL(Dong11,ROWS($1:121)),),0))</f>
        <v>0</v>
      </c>
      <c r="H134" s="576">
        <f t="shared" ca="1" si="32"/>
        <v>0</v>
      </c>
      <c r="I134" s="575">
        <f ca="1">IF(ROWS($1:121)&gt;COUNT(Dong11),0,IF(MID(OFFSET(TH!D$1,SMALL(Dong11,ROWS($1:121)),),4,1)="X",OFFSET(TH!I$1,SMALL(Dong11,ROWS($1:121)),),0))</f>
        <v>0</v>
      </c>
      <c r="J134" s="576">
        <f t="shared" ca="1" si="33"/>
        <v>0</v>
      </c>
      <c r="K134" s="576">
        <f t="shared" ca="1" si="34"/>
        <v>0</v>
      </c>
      <c r="L134" s="576">
        <f t="shared" ca="1" si="35"/>
        <v>0</v>
      </c>
      <c r="M134" s="576"/>
      <c r="N134" s="566"/>
    </row>
    <row r="135" spans="1:14">
      <c r="A135" s="524" t="str">
        <f t="shared" ca="1" si="31"/>
        <v/>
      </c>
      <c r="B135" s="572" t="str">
        <f ca="1">IF(ROWS($1:122)&gt;COUNT(Dong11),"",OFFSET(TH!D$1,SMALL(Dong11,ROWS($1:122)),))</f>
        <v/>
      </c>
      <c r="C135" s="573" t="str">
        <f ca="1">IF(ROWS($1:122)&gt;COUNT(Dong11),"",OFFSET(TH!E$1,SMALL(Dong11,ROWS($1:122)),))</f>
        <v/>
      </c>
      <c r="D135" s="574" t="str">
        <f ca="1">IF(ROWS($1:122)&gt;COUNT(Dong11),"",OFFSET(TH!F$1,SMALL(Dong11,ROWS($1:122)),)&amp;" - "&amp;OFFSET(TH!H$1,SMALL(Dong11,ROWS($1:122)),))</f>
        <v/>
      </c>
      <c r="E135" s="572" t="str">
        <f ca="1">IF(ROWS($1:122)&gt;COUNT(Dong11),"",IF(OFFSET(TH!N$1,SMALL(Dong11,ROWS($1:122)),)=$G$7,OFFSET(TH!O$1,SMALL(Dong11,ROWS($1:122)),),OFFSET(TH!N$1,SMALL(Dong11,ROWS($1:122)),)))</f>
        <v/>
      </c>
      <c r="F135" s="575">
        <f ca="1">IF(ROWS($1:122)&gt;COUNT(Dong11),0,OFFSET(TH!J$1,SMALL(Dong11,ROWS($1:122)),))</f>
        <v>0</v>
      </c>
      <c r="G135" s="575">
        <f ca="1">IF(ROWS($1:122)&gt;COUNT(Dong11),0,IF(MID(OFFSET(TH!D$1,SMALL(Dong11,ROWS($1:122)),),4,1)="N",OFFSET(TH!I$1,SMALL(Dong11,ROWS($1:122)),),0))</f>
        <v>0</v>
      </c>
      <c r="H135" s="576">
        <f t="shared" ca="1" si="32"/>
        <v>0</v>
      </c>
      <c r="I135" s="575">
        <f ca="1">IF(ROWS($1:122)&gt;COUNT(Dong11),0,IF(MID(OFFSET(TH!D$1,SMALL(Dong11,ROWS($1:122)),),4,1)="X",OFFSET(TH!I$1,SMALL(Dong11,ROWS($1:122)),),0))</f>
        <v>0</v>
      </c>
      <c r="J135" s="576">
        <f t="shared" ca="1" si="33"/>
        <v>0</v>
      </c>
      <c r="K135" s="576">
        <f t="shared" ca="1" si="34"/>
        <v>0</v>
      </c>
      <c r="L135" s="576">
        <f t="shared" ca="1" si="35"/>
        <v>0</v>
      </c>
      <c r="M135" s="576"/>
      <c r="N135" s="566"/>
    </row>
    <row r="136" spans="1:14">
      <c r="A136" s="524" t="str">
        <f t="shared" ca="1" si="31"/>
        <v/>
      </c>
      <c r="B136" s="572" t="str">
        <f ca="1">IF(ROWS($1:123)&gt;COUNT(Dong11),"",OFFSET(TH!D$1,SMALL(Dong11,ROWS($1:123)),))</f>
        <v/>
      </c>
      <c r="C136" s="573" t="str">
        <f ca="1">IF(ROWS($1:123)&gt;COUNT(Dong11),"",OFFSET(TH!E$1,SMALL(Dong11,ROWS($1:123)),))</f>
        <v/>
      </c>
      <c r="D136" s="574" t="str">
        <f ca="1">IF(ROWS($1:123)&gt;COUNT(Dong11),"",OFFSET(TH!F$1,SMALL(Dong11,ROWS($1:123)),)&amp;" - "&amp;OFFSET(TH!H$1,SMALL(Dong11,ROWS($1:123)),))</f>
        <v/>
      </c>
      <c r="E136" s="572" t="str">
        <f ca="1">IF(ROWS($1:123)&gt;COUNT(Dong11),"",IF(OFFSET(TH!N$1,SMALL(Dong11,ROWS($1:123)),)=$G$7,OFFSET(TH!O$1,SMALL(Dong11,ROWS($1:123)),),OFFSET(TH!N$1,SMALL(Dong11,ROWS($1:123)),)))</f>
        <v/>
      </c>
      <c r="F136" s="575">
        <f ca="1">IF(ROWS($1:123)&gt;COUNT(Dong11),0,OFFSET(TH!J$1,SMALL(Dong11,ROWS($1:123)),))</f>
        <v>0</v>
      </c>
      <c r="G136" s="575">
        <f ca="1">IF(ROWS($1:123)&gt;COUNT(Dong11),0,IF(MID(OFFSET(TH!D$1,SMALL(Dong11,ROWS($1:123)),),4,1)="N",OFFSET(TH!I$1,SMALL(Dong11,ROWS($1:123)),),0))</f>
        <v>0</v>
      </c>
      <c r="H136" s="576">
        <f t="shared" ca="1" si="32"/>
        <v>0</v>
      </c>
      <c r="I136" s="575">
        <f ca="1">IF(ROWS($1:123)&gt;COUNT(Dong11),0,IF(MID(OFFSET(TH!D$1,SMALL(Dong11,ROWS($1:123)),),4,1)="X",OFFSET(TH!I$1,SMALL(Dong11,ROWS($1:123)),),0))</f>
        <v>0</v>
      </c>
      <c r="J136" s="576">
        <f t="shared" ca="1" si="33"/>
        <v>0</v>
      </c>
      <c r="K136" s="576">
        <f t="shared" ca="1" si="34"/>
        <v>0</v>
      </c>
      <c r="L136" s="576">
        <f t="shared" ca="1" si="35"/>
        <v>0</v>
      </c>
      <c r="M136" s="576"/>
      <c r="N136" s="566"/>
    </row>
    <row r="137" spans="1:14">
      <c r="A137" s="524" t="str">
        <f t="shared" ca="1" si="31"/>
        <v/>
      </c>
      <c r="B137" s="572" t="str">
        <f ca="1">IF(ROWS($1:124)&gt;COUNT(Dong11),"",OFFSET(TH!D$1,SMALL(Dong11,ROWS($1:124)),))</f>
        <v/>
      </c>
      <c r="C137" s="573" t="str">
        <f ca="1">IF(ROWS($1:124)&gt;COUNT(Dong11),"",OFFSET(TH!E$1,SMALL(Dong11,ROWS($1:124)),))</f>
        <v/>
      </c>
      <c r="D137" s="574" t="str">
        <f ca="1">IF(ROWS($1:124)&gt;COUNT(Dong11),"",OFFSET(TH!F$1,SMALL(Dong11,ROWS($1:124)),)&amp;" - "&amp;OFFSET(TH!H$1,SMALL(Dong11,ROWS($1:124)),))</f>
        <v/>
      </c>
      <c r="E137" s="572" t="str">
        <f ca="1">IF(ROWS($1:124)&gt;COUNT(Dong11),"",IF(OFFSET(TH!N$1,SMALL(Dong11,ROWS($1:124)),)=$G$7,OFFSET(TH!O$1,SMALL(Dong11,ROWS($1:124)),),OFFSET(TH!N$1,SMALL(Dong11,ROWS($1:124)),)))</f>
        <v/>
      </c>
      <c r="F137" s="575">
        <f ca="1">IF(ROWS($1:124)&gt;COUNT(Dong11),0,OFFSET(TH!J$1,SMALL(Dong11,ROWS($1:124)),))</f>
        <v>0</v>
      </c>
      <c r="G137" s="575">
        <f ca="1">IF(ROWS($1:124)&gt;COUNT(Dong11),0,IF(MID(OFFSET(TH!D$1,SMALL(Dong11,ROWS($1:124)),),4,1)="N",OFFSET(TH!I$1,SMALL(Dong11,ROWS($1:124)),),0))</f>
        <v>0</v>
      </c>
      <c r="H137" s="576">
        <f t="shared" ca="1" si="32"/>
        <v>0</v>
      </c>
      <c r="I137" s="575">
        <f ca="1">IF(ROWS($1:124)&gt;COUNT(Dong11),0,IF(MID(OFFSET(TH!D$1,SMALL(Dong11,ROWS($1:124)),),4,1)="X",OFFSET(TH!I$1,SMALL(Dong11,ROWS($1:124)),),0))</f>
        <v>0</v>
      </c>
      <c r="J137" s="576">
        <f t="shared" ca="1" si="33"/>
        <v>0</v>
      </c>
      <c r="K137" s="576">
        <f t="shared" ca="1" si="34"/>
        <v>0</v>
      </c>
      <c r="L137" s="576">
        <f t="shared" ca="1" si="35"/>
        <v>0</v>
      </c>
      <c r="M137" s="576"/>
      <c r="N137" s="566"/>
    </row>
    <row r="138" spans="1:14">
      <c r="A138" s="524" t="str">
        <f t="shared" ca="1" si="31"/>
        <v/>
      </c>
      <c r="B138" s="572" t="str">
        <f ca="1">IF(ROWS($1:125)&gt;COUNT(Dong11),"",OFFSET(TH!D$1,SMALL(Dong11,ROWS($1:125)),))</f>
        <v/>
      </c>
      <c r="C138" s="573" t="str">
        <f ca="1">IF(ROWS($1:125)&gt;COUNT(Dong11),"",OFFSET(TH!E$1,SMALL(Dong11,ROWS($1:125)),))</f>
        <v/>
      </c>
      <c r="D138" s="574" t="str">
        <f ca="1">IF(ROWS($1:125)&gt;COUNT(Dong11),"",OFFSET(TH!F$1,SMALL(Dong11,ROWS($1:125)),)&amp;" - "&amp;OFFSET(TH!H$1,SMALL(Dong11,ROWS($1:125)),))</f>
        <v/>
      </c>
      <c r="E138" s="572" t="str">
        <f ca="1">IF(ROWS($1:125)&gt;COUNT(Dong11),"",IF(OFFSET(TH!N$1,SMALL(Dong11,ROWS($1:125)),)=$G$7,OFFSET(TH!O$1,SMALL(Dong11,ROWS($1:125)),),OFFSET(TH!N$1,SMALL(Dong11,ROWS($1:125)),)))</f>
        <v/>
      </c>
      <c r="F138" s="575">
        <f ca="1">IF(ROWS($1:125)&gt;COUNT(Dong11),0,OFFSET(TH!J$1,SMALL(Dong11,ROWS($1:125)),))</f>
        <v>0</v>
      </c>
      <c r="G138" s="575">
        <f ca="1">IF(ROWS($1:125)&gt;COUNT(Dong11),0,IF(MID(OFFSET(TH!D$1,SMALL(Dong11,ROWS($1:125)),),4,1)="N",OFFSET(TH!I$1,SMALL(Dong11,ROWS($1:125)),),0))</f>
        <v>0</v>
      </c>
      <c r="H138" s="576">
        <f t="shared" ca="1" si="32"/>
        <v>0</v>
      </c>
      <c r="I138" s="575">
        <f ca="1">IF(ROWS($1:125)&gt;COUNT(Dong11),0,IF(MID(OFFSET(TH!D$1,SMALL(Dong11,ROWS($1:125)),),4,1)="X",OFFSET(TH!I$1,SMALL(Dong11,ROWS($1:125)),),0))</f>
        <v>0</v>
      </c>
      <c r="J138" s="576">
        <f t="shared" ca="1" si="33"/>
        <v>0</v>
      </c>
      <c r="K138" s="576">
        <f t="shared" ca="1" si="34"/>
        <v>0</v>
      </c>
      <c r="L138" s="576">
        <f t="shared" ca="1" si="35"/>
        <v>0</v>
      </c>
      <c r="M138" s="576"/>
      <c r="N138" s="566"/>
    </row>
    <row r="139" spans="1:14">
      <c r="A139" s="524" t="str">
        <f t="shared" ca="1" si="31"/>
        <v/>
      </c>
      <c r="B139" s="572" t="str">
        <f ca="1">IF(ROWS($1:126)&gt;COUNT(Dong11),"",OFFSET(TH!D$1,SMALL(Dong11,ROWS($1:126)),))</f>
        <v/>
      </c>
      <c r="C139" s="573" t="str">
        <f ca="1">IF(ROWS($1:126)&gt;COUNT(Dong11),"",OFFSET(TH!E$1,SMALL(Dong11,ROWS($1:126)),))</f>
        <v/>
      </c>
      <c r="D139" s="574" t="str">
        <f ca="1">IF(ROWS($1:126)&gt;COUNT(Dong11),"",OFFSET(TH!F$1,SMALL(Dong11,ROWS($1:126)),)&amp;" - "&amp;OFFSET(TH!H$1,SMALL(Dong11,ROWS($1:126)),))</f>
        <v/>
      </c>
      <c r="E139" s="572" t="str">
        <f ca="1">IF(ROWS($1:126)&gt;COUNT(Dong11),"",IF(OFFSET(TH!N$1,SMALL(Dong11,ROWS($1:126)),)=$G$7,OFFSET(TH!O$1,SMALL(Dong11,ROWS($1:126)),),OFFSET(TH!N$1,SMALL(Dong11,ROWS($1:126)),)))</f>
        <v/>
      </c>
      <c r="F139" s="575">
        <f ca="1">IF(ROWS($1:126)&gt;COUNT(Dong11),0,OFFSET(TH!J$1,SMALL(Dong11,ROWS($1:126)),))</f>
        <v>0</v>
      </c>
      <c r="G139" s="575">
        <f ca="1">IF(ROWS($1:126)&gt;COUNT(Dong11),0,IF(MID(OFFSET(TH!D$1,SMALL(Dong11,ROWS($1:126)),),4,1)="N",OFFSET(TH!I$1,SMALL(Dong11,ROWS($1:126)),),0))</f>
        <v>0</v>
      </c>
      <c r="H139" s="576">
        <f t="shared" ca="1" si="32"/>
        <v>0</v>
      </c>
      <c r="I139" s="575">
        <f ca="1">IF(ROWS($1:126)&gt;COUNT(Dong11),0,IF(MID(OFFSET(TH!D$1,SMALL(Dong11,ROWS($1:126)),),4,1)="X",OFFSET(TH!I$1,SMALL(Dong11,ROWS($1:126)),),0))</f>
        <v>0</v>
      </c>
      <c r="J139" s="576">
        <f t="shared" ca="1" si="33"/>
        <v>0</v>
      </c>
      <c r="K139" s="576">
        <f t="shared" ca="1" si="34"/>
        <v>0</v>
      </c>
      <c r="L139" s="576">
        <f t="shared" ca="1" si="35"/>
        <v>0</v>
      </c>
      <c r="M139" s="576"/>
      <c r="N139" s="566"/>
    </row>
    <row r="140" spans="1:14">
      <c r="A140" s="524" t="str">
        <f t="shared" ca="1" si="31"/>
        <v/>
      </c>
      <c r="B140" s="572" t="str">
        <f ca="1">IF(ROWS($1:127)&gt;COUNT(Dong11),"",OFFSET(TH!D$1,SMALL(Dong11,ROWS($1:127)),))</f>
        <v/>
      </c>
      <c r="C140" s="573" t="str">
        <f ca="1">IF(ROWS($1:127)&gt;COUNT(Dong11),"",OFFSET(TH!E$1,SMALL(Dong11,ROWS($1:127)),))</f>
        <v/>
      </c>
      <c r="D140" s="574" t="str">
        <f ca="1">IF(ROWS($1:127)&gt;COUNT(Dong11),"",OFFSET(TH!F$1,SMALL(Dong11,ROWS($1:127)),)&amp;" - "&amp;OFFSET(TH!H$1,SMALL(Dong11,ROWS($1:127)),))</f>
        <v/>
      </c>
      <c r="E140" s="572" t="str">
        <f ca="1">IF(ROWS($1:127)&gt;COUNT(Dong11),"",IF(OFFSET(TH!N$1,SMALL(Dong11,ROWS($1:127)),)=$G$7,OFFSET(TH!O$1,SMALL(Dong11,ROWS($1:127)),),OFFSET(TH!N$1,SMALL(Dong11,ROWS($1:127)),)))</f>
        <v/>
      </c>
      <c r="F140" s="575">
        <f ca="1">IF(ROWS($1:127)&gt;COUNT(Dong11),0,OFFSET(TH!J$1,SMALL(Dong11,ROWS($1:127)),))</f>
        <v>0</v>
      </c>
      <c r="G140" s="575">
        <f ca="1">IF(ROWS($1:127)&gt;COUNT(Dong11),0,IF(MID(OFFSET(TH!D$1,SMALL(Dong11,ROWS($1:127)),),4,1)="N",OFFSET(TH!I$1,SMALL(Dong11,ROWS($1:127)),),0))</f>
        <v>0</v>
      </c>
      <c r="H140" s="576">
        <f t="shared" ca="1" si="32"/>
        <v>0</v>
      </c>
      <c r="I140" s="575">
        <f ca="1">IF(ROWS($1:127)&gt;COUNT(Dong11),0,IF(MID(OFFSET(TH!D$1,SMALL(Dong11,ROWS($1:127)),),4,1)="X",OFFSET(TH!I$1,SMALL(Dong11,ROWS($1:127)),),0))</f>
        <v>0</v>
      </c>
      <c r="J140" s="576">
        <f t="shared" ca="1" si="33"/>
        <v>0</v>
      </c>
      <c r="K140" s="576">
        <f t="shared" ca="1" si="34"/>
        <v>0</v>
      </c>
      <c r="L140" s="576">
        <f t="shared" ca="1" si="35"/>
        <v>0</v>
      </c>
      <c r="M140" s="576"/>
      <c r="N140" s="566"/>
    </row>
    <row r="141" spans="1:14">
      <c r="A141" s="524" t="str">
        <f t="shared" ca="1" si="31"/>
        <v/>
      </c>
      <c r="B141" s="572" t="str">
        <f ca="1">IF(ROWS($1:128)&gt;COUNT(Dong11),"",OFFSET(TH!D$1,SMALL(Dong11,ROWS($1:128)),))</f>
        <v/>
      </c>
      <c r="C141" s="573" t="str">
        <f ca="1">IF(ROWS($1:128)&gt;COUNT(Dong11),"",OFFSET(TH!E$1,SMALL(Dong11,ROWS($1:128)),))</f>
        <v/>
      </c>
      <c r="D141" s="574" t="str">
        <f ca="1">IF(ROWS($1:128)&gt;COUNT(Dong11),"",OFFSET(TH!F$1,SMALL(Dong11,ROWS($1:128)),)&amp;" - "&amp;OFFSET(TH!H$1,SMALL(Dong11,ROWS($1:128)),))</f>
        <v/>
      </c>
      <c r="E141" s="572" t="str">
        <f ca="1">IF(ROWS($1:128)&gt;COUNT(Dong11),"",IF(OFFSET(TH!N$1,SMALL(Dong11,ROWS($1:128)),)=$G$7,OFFSET(TH!O$1,SMALL(Dong11,ROWS($1:128)),),OFFSET(TH!N$1,SMALL(Dong11,ROWS($1:128)),)))</f>
        <v/>
      </c>
      <c r="F141" s="575">
        <f ca="1">IF(ROWS($1:128)&gt;COUNT(Dong11),0,OFFSET(TH!J$1,SMALL(Dong11,ROWS($1:128)),))</f>
        <v>0</v>
      </c>
      <c r="G141" s="575">
        <f ca="1">IF(ROWS($1:128)&gt;COUNT(Dong11),0,IF(MID(OFFSET(TH!D$1,SMALL(Dong11,ROWS($1:128)),),4,1)="N",OFFSET(TH!I$1,SMALL(Dong11,ROWS($1:128)),),0))</f>
        <v>0</v>
      </c>
      <c r="H141" s="576">
        <f t="shared" ca="1" si="32"/>
        <v>0</v>
      </c>
      <c r="I141" s="575">
        <f ca="1">IF(ROWS($1:128)&gt;COUNT(Dong11),0,IF(MID(OFFSET(TH!D$1,SMALL(Dong11,ROWS($1:128)),),4,1)="X",OFFSET(TH!I$1,SMALL(Dong11,ROWS($1:128)),),0))</f>
        <v>0</v>
      </c>
      <c r="J141" s="576">
        <f t="shared" ca="1" si="33"/>
        <v>0</v>
      </c>
      <c r="K141" s="576">
        <f t="shared" ca="1" si="34"/>
        <v>0</v>
      </c>
      <c r="L141" s="576">
        <f t="shared" ca="1" si="35"/>
        <v>0</v>
      </c>
      <c r="M141" s="576"/>
      <c r="N141" s="566"/>
    </row>
    <row r="142" spans="1:14">
      <c r="A142" s="524" t="str">
        <f t="shared" ca="1" si="31"/>
        <v/>
      </c>
      <c r="B142" s="572" t="str">
        <f ca="1">IF(ROWS($1:129)&gt;COUNT(Dong11),"",OFFSET(TH!D$1,SMALL(Dong11,ROWS($1:129)),))</f>
        <v/>
      </c>
      <c r="C142" s="573" t="str">
        <f ca="1">IF(ROWS($1:129)&gt;COUNT(Dong11),"",OFFSET(TH!E$1,SMALL(Dong11,ROWS($1:129)),))</f>
        <v/>
      </c>
      <c r="D142" s="574" t="str">
        <f ca="1">IF(ROWS($1:129)&gt;COUNT(Dong11),"",OFFSET(TH!F$1,SMALL(Dong11,ROWS($1:129)),)&amp;" - "&amp;OFFSET(TH!H$1,SMALL(Dong11,ROWS($1:129)),))</f>
        <v/>
      </c>
      <c r="E142" s="572" t="str">
        <f ca="1">IF(ROWS($1:129)&gt;COUNT(Dong11),"",IF(OFFSET(TH!N$1,SMALL(Dong11,ROWS($1:129)),)=$G$7,OFFSET(TH!O$1,SMALL(Dong11,ROWS($1:129)),),OFFSET(TH!N$1,SMALL(Dong11,ROWS($1:129)),)))</f>
        <v/>
      </c>
      <c r="F142" s="575">
        <f ca="1">IF(ROWS($1:129)&gt;COUNT(Dong11),0,OFFSET(TH!J$1,SMALL(Dong11,ROWS($1:129)),))</f>
        <v>0</v>
      </c>
      <c r="G142" s="575">
        <f ca="1">IF(ROWS($1:129)&gt;COUNT(Dong11),0,IF(MID(OFFSET(TH!D$1,SMALL(Dong11,ROWS($1:129)),),4,1)="N",OFFSET(TH!I$1,SMALL(Dong11,ROWS($1:129)),),0))</f>
        <v>0</v>
      </c>
      <c r="H142" s="576">
        <f t="shared" ca="1" si="32"/>
        <v>0</v>
      </c>
      <c r="I142" s="575">
        <f ca="1">IF(ROWS($1:129)&gt;COUNT(Dong11),0,IF(MID(OFFSET(TH!D$1,SMALL(Dong11,ROWS($1:129)),),4,1)="X",OFFSET(TH!I$1,SMALL(Dong11,ROWS($1:129)),),0))</f>
        <v>0</v>
      </c>
      <c r="J142" s="576">
        <f t="shared" ca="1" si="33"/>
        <v>0</v>
      </c>
      <c r="K142" s="576">
        <f t="shared" ca="1" si="34"/>
        <v>0</v>
      </c>
      <c r="L142" s="576">
        <f t="shared" ca="1" si="35"/>
        <v>0</v>
      </c>
      <c r="M142" s="576"/>
      <c r="N142" s="566"/>
    </row>
    <row r="143" spans="1:14">
      <c r="A143" s="524" t="str">
        <f t="shared" ca="1" si="31"/>
        <v/>
      </c>
      <c r="B143" s="572" t="str">
        <f ca="1">IF(ROWS($1:130)&gt;COUNT(Dong11),"",OFFSET(TH!D$1,SMALL(Dong11,ROWS($1:130)),))</f>
        <v/>
      </c>
      <c r="C143" s="573" t="str">
        <f ca="1">IF(ROWS($1:130)&gt;COUNT(Dong11),"",OFFSET(TH!E$1,SMALL(Dong11,ROWS($1:130)),))</f>
        <v/>
      </c>
      <c r="D143" s="574" t="str">
        <f ca="1">IF(ROWS($1:130)&gt;COUNT(Dong11),"",OFFSET(TH!F$1,SMALL(Dong11,ROWS($1:130)),)&amp;" - "&amp;OFFSET(TH!H$1,SMALL(Dong11,ROWS($1:130)),))</f>
        <v/>
      </c>
      <c r="E143" s="572" t="str">
        <f ca="1">IF(ROWS($1:130)&gt;COUNT(Dong11),"",IF(OFFSET(TH!N$1,SMALL(Dong11,ROWS($1:130)),)=$G$7,OFFSET(TH!O$1,SMALL(Dong11,ROWS($1:130)),),OFFSET(TH!N$1,SMALL(Dong11,ROWS($1:130)),)))</f>
        <v/>
      </c>
      <c r="F143" s="575">
        <f ca="1">IF(ROWS($1:130)&gt;COUNT(Dong11),0,OFFSET(TH!J$1,SMALL(Dong11,ROWS($1:130)),))</f>
        <v>0</v>
      </c>
      <c r="G143" s="575">
        <f ca="1">IF(ROWS($1:130)&gt;COUNT(Dong11),0,IF(MID(OFFSET(TH!D$1,SMALL(Dong11,ROWS($1:130)),),4,1)="N",OFFSET(TH!I$1,SMALL(Dong11,ROWS($1:130)),),0))</f>
        <v>0</v>
      </c>
      <c r="H143" s="576">
        <f t="shared" ca="1" si="32"/>
        <v>0</v>
      </c>
      <c r="I143" s="575">
        <f ca="1">IF(ROWS($1:130)&gt;COUNT(Dong11),0,IF(MID(OFFSET(TH!D$1,SMALL(Dong11,ROWS($1:130)),),4,1)="X",OFFSET(TH!I$1,SMALL(Dong11,ROWS($1:130)),),0))</f>
        <v>0</v>
      </c>
      <c r="J143" s="576">
        <f t="shared" ca="1" si="33"/>
        <v>0</v>
      </c>
      <c r="K143" s="576">
        <f t="shared" ca="1" si="34"/>
        <v>0</v>
      </c>
      <c r="L143" s="576">
        <f t="shared" ca="1" si="35"/>
        <v>0</v>
      </c>
      <c r="M143" s="576"/>
      <c r="N143" s="566"/>
    </row>
    <row r="144" spans="1:14">
      <c r="A144" s="524" t="str">
        <f t="shared" ref="A144:A159" ca="1" si="36">IF(B144="","",A143+1)</f>
        <v/>
      </c>
      <c r="B144" s="572" t="str">
        <f ca="1">IF(ROWS($1:131)&gt;COUNT(Dong11),"",OFFSET(TH!D$1,SMALL(Dong11,ROWS($1:131)),))</f>
        <v/>
      </c>
      <c r="C144" s="573" t="str">
        <f ca="1">IF(ROWS($1:131)&gt;COUNT(Dong11),"",OFFSET(TH!E$1,SMALL(Dong11,ROWS($1:131)),))</f>
        <v/>
      </c>
      <c r="D144" s="574" t="str">
        <f ca="1">IF(ROWS($1:131)&gt;COUNT(Dong11),"",OFFSET(TH!F$1,SMALL(Dong11,ROWS($1:131)),)&amp;" - "&amp;OFFSET(TH!H$1,SMALL(Dong11,ROWS($1:131)),))</f>
        <v/>
      </c>
      <c r="E144" s="572" t="str">
        <f ca="1">IF(ROWS($1:131)&gt;COUNT(Dong11),"",IF(OFFSET(TH!N$1,SMALL(Dong11,ROWS($1:131)),)=$G$7,OFFSET(TH!O$1,SMALL(Dong11,ROWS($1:131)),),OFFSET(TH!N$1,SMALL(Dong11,ROWS($1:131)),)))</f>
        <v/>
      </c>
      <c r="F144" s="575">
        <f ca="1">IF(ROWS($1:131)&gt;COUNT(Dong11),0,OFFSET(TH!J$1,SMALL(Dong11,ROWS($1:131)),))</f>
        <v>0</v>
      </c>
      <c r="G144" s="575">
        <f ca="1">IF(ROWS($1:131)&gt;COUNT(Dong11),0,IF(MID(OFFSET(TH!D$1,SMALL(Dong11,ROWS($1:131)),),4,1)="N",OFFSET(TH!I$1,SMALL(Dong11,ROWS($1:131)),),0))</f>
        <v>0</v>
      </c>
      <c r="H144" s="576">
        <f t="shared" ref="H144:H159" ca="1" si="37">ROUND(F144*G144,0)</f>
        <v>0</v>
      </c>
      <c r="I144" s="575">
        <f ca="1">IF(ROWS($1:131)&gt;COUNT(Dong11),0,IF(MID(OFFSET(TH!D$1,SMALL(Dong11,ROWS($1:131)),),4,1)="X",OFFSET(TH!I$1,SMALL(Dong11,ROWS($1:131)),),0))</f>
        <v>0</v>
      </c>
      <c r="J144" s="576">
        <f t="shared" ref="J144:J159" ca="1" si="38">ROUND(F144*I144,0)</f>
        <v>0</v>
      </c>
      <c r="K144" s="576">
        <f t="shared" ref="K144:K159" ca="1" si="39">IF(D144&lt;&gt;"",K143+G144-I144,0)</f>
        <v>0</v>
      </c>
      <c r="L144" s="576">
        <f t="shared" ref="L144:L159" ca="1" si="40">IF(D144&lt;&gt;"",L143+H144-J144,0)</f>
        <v>0</v>
      </c>
      <c r="M144" s="576"/>
      <c r="N144" s="566"/>
    </row>
    <row r="145" spans="1:14">
      <c r="A145" s="524" t="str">
        <f t="shared" ca="1" si="36"/>
        <v/>
      </c>
      <c r="B145" s="572" t="str">
        <f ca="1">IF(ROWS($1:132)&gt;COUNT(Dong11),"",OFFSET(TH!D$1,SMALL(Dong11,ROWS($1:132)),))</f>
        <v/>
      </c>
      <c r="C145" s="573" t="str">
        <f ca="1">IF(ROWS($1:132)&gt;COUNT(Dong11),"",OFFSET(TH!E$1,SMALL(Dong11,ROWS($1:132)),))</f>
        <v/>
      </c>
      <c r="D145" s="574" t="str">
        <f ca="1">IF(ROWS($1:132)&gt;COUNT(Dong11),"",OFFSET(TH!F$1,SMALL(Dong11,ROWS($1:132)),)&amp;" - "&amp;OFFSET(TH!H$1,SMALL(Dong11,ROWS($1:132)),))</f>
        <v/>
      </c>
      <c r="E145" s="572" t="str">
        <f ca="1">IF(ROWS($1:132)&gt;COUNT(Dong11),"",IF(OFFSET(TH!N$1,SMALL(Dong11,ROWS($1:132)),)=$G$7,OFFSET(TH!O$1,SMALL(Dong11,ROWS($1:132)),),OFFSET(TH!N$1,SMALL(Dong11,ROWS($1:132)),)))</f>
        <v/>
      </c>
      <c r="F145" s="575">
        <f ca="1">IF(ROWS($1:132)&gt;COUNT(Dong11),0,OFFSET(TH!J$1,SMALL(Dong11,ROWS($1:132)),))</f>
        <v>0</v>
      </c>
      <c r="G145" s="575">
        <f ca="1">IF(ROWS($1:132)&gt;COUNT(Dong11),0,IF(MID(OFFSET(TH!D$1,SMALL(Dong11,ROWS($1:132)),),4,1)="N",OFFSET(TH!I$1,SMALL(Dong11,ROWS($1:132)),),0))</f>
        <v>0</v>
      </c>
      <c r="H145" s="576">
        <f t="shared" ca="1" si="37"/>
        <v>0</v>
      </c>
      <c r="I145" s="575">
        <f ca="1">IF(ROWS($1:132)&gt;COUNT(Dong11),0,IF(MID(OFFSET(TH!D$1,SMALL(Dong11,ROWS($1:132)),),4,1)="X",OFFSET(TH!I$1,SMALL(Dong11,ROWS($1:132)),),0))</f>
        <v>0</v>
      </c>
      <c r="J145" s="576">
        <f t="shared" ca="1" si="38"/>
        <v>0</v>
      </c>
      <c r="K145" s="576">
        <f t="shared" ca="1" si="39"/>
        <v>0</v>
      </c>
      <c r="L145" s="576">
        <f t="shared" ca="1" si="40"/>
        <v>0</v>
      </c>
      <c r="M145" s="576"/>
      <c r="N145" s="566"/>
    </row>
    <row r="146" spans="1:14">
      <c r="A146" s="524" t="str">
        <f t="shared" ca="1" si="36"/>
        <v/>
      </c>
      <c r="B146" s="572" t="str">
        <f ca="1">IF(ROWS($1:133)&gt;COUNT(Dong11),"",OFFSET(TH!D$1,SMALL(Dong11,ROWS($1:133)),))</f>
        <v/>
      </c>
      <c r="C146" s="573" t="str">
        <f ca="1">IF(ROWS($1:133)&gt;COUNT(Dong11),"",OFFSET(TH!E$1,SMALL(Dong11,ROWS($1:133)),))</f>
        <v/>
      </c>
      <c r="D146" s="574" t="str">
        <f ca="1">IF(ROWS($1:133)&gt;COUNT(Dong11),"",OFFSET(TH!F$1,SMALL(Dong11,ROWS($1:133)),)&amp;" - "&amp;OFFSET(TH!H$1,SMALL(Dong11,ROWS($1:133)),))</f>
        <v/>
      </c>
      <c r="E146" s="572" t="str">
        <f ca="1">IF(ROWS($1:133)&gt;COUNT(Dong11),"",IF(OFFSET(TH!N$1,SMALL(Dong11,ROWS($1:133)),)=$G$7,OFFSET(TH!O$1,SMALL(Dong11,ROWS($1:133)),),OFFSET(TH!N$1,SMALL(Dong11,ROWS($1:133)),)))</f>
        <v/>
      </c>
      <c r="F146" s="575">
        <f ca="1">IF(ROWS($1:133)&gt;COUNT(Dong11),0,OFFSET(TH!J$1,SMALL(Dong11,ROWS($1:133)),))</f>
        <v>0</v>
      </c>
      <c r="G146" s="575">
        <f ca="1">IF(ROWS($1:133)&gt;COUNT(Dong11),0,IF(MID(OFFSET(TH!D$1,SMALL(Dong11,ROWS($1:133)),),4,1)="N",OFFSET(TH!I$1,SMALL(Dong11,ROWS($1:133)),),0))</f>
        <v>0</v>
      </c>
      <c r="H146" s="576">
        <f t="shared" ca="1" si="37"/>
        <v>0</v>
      </c>
      <c r="I146" s="575">
        <f ca="1">IF(ROWS($1:133)&gt;COUNT(Dong11),0,IF(MID(OFFSET(TH!D$1,SMALL(Dong11,ROWS($1:133)),),4,1)="X",OFFSET(TH!I$1,SMALL(Dong11,ROWS($1:133)),),0))</f>
        <v>0</v>
      </c>
      <c r="J146" s="576">
        <f t="shared" ca="1" si="38"/>
        <v>0</v>
      </c>
      <c r="K146" s="576">
        <f t="shared" ca="1" si="39"/>
        <v>0</v>
      </c>
      <c r="L146" s="576">
        <f t="shared" ca="1" si="40"/>
        <v>0</v>
      </c>
      <c r="M146" s="576"/>
      <c r="N146" s="566"/>
    </row>
    <row r="147" spans="1:14">
      <c r="A147" s="524" t="str">
        <f t="shared" ca="1" si="36"/>
        <v/>
      </c>
      <c r="B147" s="572" t="str">
        <f ca="1">IF(ROWS($1:134)&gt;COUNT(Dong11),"",OFFSET(TH!D$1,SMALL(Dong11,ROWS($1:134)),))</f>
        <v/>
      </c>
      <c r="C147" s="573" t="str">
        <f ca="1">IF(ROWS($1:134)&gt;COUNT(Dong11),"",OFFSET(TH!E$1,SMALL(Dong11,ROWS($1:134)),))</f>
        <v/>
      </c>
      <c r="D147" s="574" t="str">
        <f ca="1">IF(ROWS($1:134)&gt;COUNT(Dong11),"",OFFSET(TH!F$1,SMALL(Dong11,ROWS($1:134)),)&amp;" - "&amp;OFFSET(TH!H$1,SMALL(Dong11,ROWS($1:134)),))</f>
        <v/>
      </c>
      <c r="E147" s="572" t="str">
        <f ca="1">IF(ROWS($1:134)&gt;COUNT(Dong11),"",IF(OFFSET(TH!N$1,SMALL(Dong11,ROWS($1:134)),)=$G$7,OFFSET(TH!O$1,SMALL(Dong11,ROWS($1:134)),),OFFSET(TH!N$1,SMALL(Dong11,ROWS($1:134)),)))</f>
        <v/>
      </c>
      <c r="F147" s="575">
        <f ca="1">IF(ROWS($1:134)&gt;COUNT(Dong11),0,OFFSET(TH!J$1,SMALL(Dong11,ROWS($1:134)),))</f>
        <v>0</v>
      </c>
      <c r="G147" s="575">
        <f ca="1">IF(ROWS($1:134)&gt;COUNT(Dong11),0,IF(MID(OFFSET(TH!D$1,SMALL(Dong11,ROWS($1:134)),),4,1)="N",OFFSET(TH!I$1,SMALL(Dong11,ROWS($1:134)),),0))</f>
        <v>0</v>
      </c>
      <c r="H147" s="576">
        <f t="shared" ca="1" si="37"/>
        <v>0</v>
      </c>
      <c r="I147" s="575">
        <f ca="1">IF(ROWS($1:134)&gt;COUNT(Dong11),0,IF(MID(OFFSET(TH!D$1,SMALL(Dong11,ROWS($1:134)),),4,1)="X",OFFSET(TH!I$1,SMALL(Dong11,ROWS($1:134)),),0))</f>
        <v>0</v>
      </c>
      <c r="J147" s="576">
        <f t="shared" ca="1" si="38"/>
        <v>0</v>
      </c>
      <c r="K147" s="576">
        <f t="shared" ca="1" si="39"/>
        <v>0</v>
      </c>
      <c r="L147" s="576">
        <f t="shared" ca="1" si="40"/>
        <v>0</v>
      </c>
      <c r="M147" s="576"/>
      <c r="N147" s="566"/>
    </row>
    <row r="148" spans="1:14">
      <c r="A148" s="524" t="str">
        <f t="shared" ca="1" si="36"/>
        <v/>
      </c>
      <c r="B148" s="572" t="str">
        <f ca="1">IF(ROWS($1:135)&gt;COUNT(Dong11),"",OFFSET(TH!D$1,SMALL(Dong11,ROWS($1:135)),))</f>
        <v/>
      </c>
      <c r="C148" s="573" t="str">
        <f ca="1">IF(ROWS($1:135)&gt;COUNT(Dong11),"",OFFSET(TH!E$1,SMALL(Dong11,ROWS($1:135)),))</f>
        <v/>
      </c>
      <c r="D148" s="574" t="str">
        <f ca="1">IF(ROWS($1:135)&gt;COUNT(Dong11),"",OFFSET(TH!F$1,SMALL(Dong11,ROWS($1:135)),)&amp;" - "&amp;OFFSET(TH!H$1,SMALL(Dong11,ROWS($1:135)),))</f>
        <v/>
      </c>
      <c r="E148" s="572" t="str">
        <f ca="1">IF(ROWS($1:135)&gt;COUNT(Dong11),"",IF(OFFSET(TH!N$1,SMALL(Dong11,ROWS($1:135)),)=$G$7,OFFSET(TH!O$1,SMALL(Dong11,ROWS($1:135)),),OFFSET(TH!N$1,SMALL(Dong11,ROWS($1:135)),)))</f>
        <v/>
      </c>
      <c r="F148" s="575">
        <f ca="1">IF(ROWS($1:135)&gt;COUNT(Dong11),0,OFFSET(TH!J$1,SMALL(Dong11,ROWS($1:135)),))</f>
        <v>0</v>
      </c>
      <c r="G148" s="575">
        <f ca="1">IF(ROWS($1:135)&gt;COUNT(Dong11),0,IF(MID(OFFSET(TH!D$1,SMALL(Dong11,ROWS($1:135)),),4,1)="N",OFFSET(TH!I$1,SMALL(Dong11,ROWS($1:135)),),0))</f>
        <v>0</v>
      </c>
      <c r="H148" s="576">
        <f t="shared" ca="1" si="37"/>
        <v>0</v>
      </c>
      <c r="I148" s="575">
        <f ca="1">IF(ROWS($1:135)&gt;COUNT(Dong11),0,IF(MID(OFFSET(TH!D$1,SMALL(Dong11,ROWS($1:135)),),4,1)="X",OFFSET(TH!I$1,SMALL(Dong11,ROWS($1:135)),),0))</f>
        <v>0</v>
      </c>
      <c r="J148" s="576">
        <f t="shared" ca="1" si="38"/>
        <v>0</v>
      </c>
      <c r="K148" s="576">
        <f t="shared" ca="1" si="39"/>
        <v>0</v>
      </c>
      <c r="L148" s="576">
        <f t="shared" ca="1" si="40"/>
        <v>0</v>
      </c>
      <c r="M148" s="576"/>
      <c r="N148" s="566"/>
    </row>
    <row r="149" spans="1:14">
      <c r="A149" s="524" t="str">
        <f t="shared" ca="1" si="36"/>
        <v/>
      </c>
      <c r="B149" s="572" t="str">
        <f ca="1">IF(ROWS($1:136)&gt;COUNT(Dong11),"",OFFSET(TH!D$1,SMALL(Dong11,ROWS($1:136)),))</f>
        <v/>
      </c>
      <c r="C149" s="573" t="str">
        <f ca="1">IF(ROWS($1:136)&gt;COUNT(Dong11),"",OFFSET(TH!E$1,SMALL(Dong11,ROWS($1:136)),))</f>
        <v/>
      </c>
      <c r="D149" s="574" t="str">
        <f ca="1">IF(ROWS($1:136)&gt;COUNT(Dong11),"",OFFSET(TH!F$1,SMALL(Dong11,ROWS($1:136)),)&amp;" - "&amp;OFFSET(TH!H$1,SMALL(Dong11,ROWS($1:136)),))</f>
        <v/>
      </c>
      <c r="E149" s="572" t="str">
        <f ca="1">IF(ROWS($1:136)&gt;COUNT(Dong11),"",IF(OFFSET(TH!N$1,SMALL(Dong11,ROWS($1:136)),)=$G$7,OFFSET(TH!O$1,SMALL(Dong11,ROWS($1:136)),),OFFSET(TH!N$1,SMALL(Dong11,ROWS($1:136)),)))</f>
        <v/>
      </c>
      <c r="F149" s="575">
        <f ca="1">IF(ROWS($1:136)&gt;COUNT(Dong11),0,OFFSET(TH!J$1,SMALL(Dong11,ROWS($1:136)),))</f>
        <v>0</v>
      </c>
      <c r="G149" s="575">
        <f ca="1">IF(ROWS($1:136)&gt;COUNT(Dong11),0,IF(MID(OFFSET(TH!D$1,SMALL(Dong11,ROWS($1:136)),),4,1)="N",OFFSET(TH!I$1,SMALL(Dong11,ROWS($1:136)),),0))</f>
        <v>0</v>
      </c>
      <c r="H149" s="576">
        <f t="shared" ca="1" si="37"/>
        <v>0</v>
      </c>
      <c r="I149" s="575">
        <f ca="1">IF(ROWS($1:136)&gt;COUNT(Dong11),0,IF(MID(OFFSET(TH!D$1,SMALL(Dong11,ROWS($1:136)),),4,1)="X",OFFSET(TH!I$1,SMALL(Dong11,ROWS($1:136)),),0))</f>
        <v>0</v>
      </c>
      <c r="J149" s="576">
        <f t="shared" ca="1" si="38"/>
        <v>0</v>
      </c>
      <c r="K149" s="576">
        <f t="shared" ca="1" si="39"/>
        <v>0</v>
      </c>
      <c r="L149" s="576">
        <f t="shared" ca="1" si="40"/>
        <v>0</v>
      </c>
      <c r="M149" s="576"/>
      <c r="N149" s="566"/>
    </row>
    <row r="150" spans="1:14">
      <c r="A150" s="524" t="str">
        <f t="shared" ca="1" si="36"/>
        <v/>
      </c>
      <c r="B150" s="572" t="str">
        <f ca="1">IF(ROWS($1:137)&gt;COUNT(Dong11),"",OFFSET(TH!D$1,SMALL(Dong11,ROWS($1:137)),))</f>
        <v/>
      </c>
      <c r="C150" s="573" t="str">
        <f ca="1">IF(ROWS($1:137)&gt;COUNT(Dong11),"",OFFSET(TH!E$1,SMALL(Dong11,ROWS($1:137)),))</f>
        <v/>
      </c>
      <c r="D150" s="574" t="str">
        <f ca="1">IF(ROWS($1:137)&gt;COUNT(Dong11),"",OFFSET(TH!F$1,SMALL(Dong11,ROWS($1:137)),)&amp;" - "&amp;OFFSET(TH!H$1,SMALL(Dong11,ROWS($1:137)),))</f>
        <v/>
      </c>
      <c r="E150" s="572" t="str">
        <f ca="1">IF(ROWS($1:137)&gt;COUNT(Dong11),"",IF(OFFSET(TH!N$1,SMALL(Dong11,ROWS($1:137)),)=$G$7,OFFSET(TH!O$1,SMALL(Dong11,ROWS($1:137)),),OFFSET(TH!N$1,SMALL(Dong11,ROWS($1:137)),)))</f>
        <v/>
      </c>
      <c r="F150" s="575">
        <f ca="1">IF(ROWS($1:137)&gt;COUNT(Dong11),0,OFFSET(TH!J$1,SMALL(Dong11,ROWS($1:137)),))</f>
        <v>0</v>
      </c>
      <c r="G150" s="575">
        <f ca="1">IF(ROWS($1:137)&gt;COUNT(Dong11),0,IF(MID(OFFSET(TH!D$1,SMALL(Dong11,ROWS($1:137)),),4,1)="N",OFFSET(TH!I$1,SMALL(Dong11,ROWS($1:137)),),0))</f>
        <v>0</v>
      </c>
      <c r="H150" s="576">
        <f t="shared" ca="1" si="37"/>
        <v>0</v>
      </c>
      <c r="I150" s="575">
        <f ca="1">IF(ROWS($1:137)&gt;COUNT(Dong11),0,IF(MID(OFFSET(TH!D$1,SMALL(Dong11,ROWS($1:137)),),4,1)="X",OFFSET(TH!I$1,SMALL(Dong11,ROWS($1:137)),),0))</f>
        <v>0</v>
      </c>
      <c r="J150" s="576">
        <f t="shared" ca="1" si="38"/>
        <v>0</v>
      </c>
      <c r="K150" s="576">
        <f t="shared" ca="1" si="39"/>
        <v>0</v>
      </c>
      <c r="L150" s="576">
        <f t="shared" ca="1" si="40"/>
        <v>0</v>
      </c>
      <c r="M150" s="576"/>
      <c r="N150" s="566"/>
    </row>
    <row r="151" spans="1:14">
      <c r="A151" s="524" t="str">
        <f t="shared" ca="1" si="36"/>
        <v/>
      </c>
      <c r="B151" s="572" t="str">
        <f ca="1">IF(ROWS($1:138)&gt;COUNT(Dong11),"",OFFSET(TH!D$1,SMALL(Dong11,ROWS($1:138)),))</f>
        <v/>
      </c>
      <c r="C151" s="573" t="str">
        <f ca="1">IF(ROWS($1:138)&gt;COUNT(Dong11),"",OFFSET(TH!E$1,SMALL(Dong11,ROWS($1:138)),))</f>
        <v/>
      </c>
      <c r="D151" s="574" t="str">
        <f ca="1">IF(ROWS($1:138)&gt;COUNT(Dong11),"",OFFSET(TH!F$1,SMALL(Dong11,ROWS($1:138)),)&amp;" - "&amp;OFFSET(TH!H$1,SMALL(Dong11,ROWS($1:138)),))</f>
        <v/>
      </c>
      <c r="E151" s="572" t="str">
        <f ca="1">IF(ROWS($1:138)&gt;COUNT(Dong11),"",IF(OFFSET(TH!N$1,SMALL(Dong11,ROWS($1:138)),)=$G$7,OFFSET(TH!O$1,SMALL(Dong11,ROWS($1:138)),),OFFSET(TH!N$1,SMALL(Dong11,ROWS($1:138)),)))</f>
        <v/>
      </c>
      <c r="F151" s="575">
        <f ca="1">IF(ROWS($1:138)&gt;COUNT(Dong11),0,OFFSET(TH!J$1,SMALL(Dong11,ROWS($1:138)),))</f>
        <v>0</v>
      </c>
      <c r="G151" s="575">
        <f ca="1">IF(ROWS($1:138)&gt;COUNT(Dong11),0,IF(MID(OFFSET(TH!D$1,SMALL(Dong11,ROWS($1:138)),),4,1)="N",OFFSET(TH!I$1,SMALL(Dong11,ROWS($1:138)),),0))</f>
        <v>0</v>
      </c>
      <c r="H151" s="576">
        <f t="shared" ca="1" si="37"/>
        <v>0</v>
      </c>
      <c r="I151" s="575">
        <f ca="1">IF(ROWS($1:138)&gt;COUNT(Dong11),0,IF(MID(OFFSET(TH!D$1,SMALL(Dong11,ROWS($1:138)),),4,1)="X",OFFSET(TH!I$1,SMALL(Dong11,ROWS($1:138)),),0))</f>
        <v>0</v>
      </c>
      <c r="J151" s="576">
        <f t="shared" ca="1" si="38"/>
        <v>0</v>
      </c>
      <c r="K151" s="576">
        <f t="shared" ca="1" si="39"/>
        <v>0</v>
      </c>
      <c r="L151" s="576">
        <f t="shared" ca="1" si="40"/>
        <v>0</v>
      </c>
      <c r="M151" s="576"/>
      <c r="N151" s="566"/>
    </row>
    <row r="152" spans="1:14">
      <c r="A152" s="524" t="str">
        <f t="shared" ca="1" si="36"/>
        <v/>
      </c>
      <c r="B152" s="572" t="str">
        <f ca="1">IF(ROWS($1:139)&gt;COUNT(Dong11),"",OFFSET(TH!D$1,SMALL(Dong11,ROWS($1:139)),))</f>
        <v/>
      </c>
      <c r="C152" s="573" t="str">
        <f ca="1">IF(ROWS($1:139)&gt;COUNT(Dong11),"",OFFSET(TH!E$1,SMALL(Dong11,ROWS($1:139)),))</f>
        <v/>
      </c>
      <c r="D152" s="574" t="str">
        <f ca="1">IF(ROWS($1:139)&gt;COUNT(Dong11),"",OFFSET(TH!F$1,SMALL(Dong11,ROWS($1:139)),)&amp;" - "&amp;OFFSET(TH!H$1,SMALL(Dong11,ROWS($1:139)),))</f>
        <v/>
      </c>
      <c r="E152" s="572" t="str">
        <f ca="1">IF(ROWS($1:139)&gt;COUNT(Dong11),"",IF(OFFSET(TH!N$1,SMALL(Dong11,ROWS($1:139)),)=$G$7,OFFSET(TH!O$1,SMALL(Dong11,ROWS($1:139)),),OFFSET(TH!N$1,SMALL(Dong11,ROWS($1:139)),)))</f>
        <v/>
      </c>
      <c r="F152" s="575">
        <f ca="1">IF(ROWS($1:139)&gt;COUNT(Dong11),0,OFFSET(TH!J$1,SMALL(Dong11,ROWS($1:139)),))</f>
        <v>0</v>
      </c>
      <c r="G152" s="575">
        <f ca="1">IF(ROWS($1:139)&gt;COUNT(Dong11),0,IF(MID(OFFSET(TH!D$1,SMALL(Dong11,ROWS($1:139)),),4,1)="N",OFFSET(TH!I$1,SMALL(Dong11,ROWS($1:139)),),0))</f>
        <v>0</v>
      </c>
      <c r="H152" s="576">
        <f t="shared" ca="1" si="37"/>
        <v>0</v>
      </c>
      <c r="I152" s="575">
        <f ca="1">IF(ROWS($1:139)&gt;COUNT(Dong11),0,IF(MID(OFFSET(TH!D$1,SMALL(Dong11,ROWS($1:139)),),4,1)="X",OFFSET(TH!I$1,SMALL(Dong11,ROWS($1:139)),),0))</f>
        <v>0</v>
      </c>
      <c r="J152" s="576">
        <f t="shared" ca="1" si="38"/>
        <v>0</v>
      </c>
      <c r="K152" s="576">
        <f t="shared" ca="1" si="39"/>
        <v>0</v>
      </c>
      <c r="L152" s="576">
        <f t="shared" ca="1" si="40"/>
        <v>0</v>
      </c>
      <c r="M152" s="576"/>
      <c r="N152" s="566"/>
    </row>
    <row r="153" spans="1:14">
      <c r="A153" s="524" t="str">
        <f t="shared" ca="1" si="36"/>
        <v/>
      </c>
      <c r="B153" s="572" t="str">
        <f ca="1">IF(ROWS($1:140)&gt;COUNT(Dong11),"",OFFSET(TH!D$1,SMALL(Dong11,ROWS($1:140)),))</f>
        <v/>
      </c>
      <c r="C153" s="573" t="str">
        <f ca="1">IF(ROWS($1:140)&gt;COUNT(Dong11),"",OFFSET(TH!E$1,SMALL(Dong11,ROWS($1:140)),))</f>
        <v/>
      </c>
      <c r="D153" s="574" t="str">
        <f ca="1">IF(ROWS($1:140)&gt;COUNT(Dong11),"",OFFSET(TH!F$1,SMALL(Dong11,ROWS($1:140)),)&amp;" - "&amp;OFFSET(TH!H$1,SMALL(Dong11,ROWS($1:140)),))</f>
        <v/>
      </c>
      <c r="E153" s="572" t="str">
        <f ca="1">IF(ROWS($1:140)&gt;COUNT(Dong11),"",IF(OFFSET(TH!N$1,SMALL(Dong11,ROWS($1:140)),)=$G$7,OFFSET(TH!O$1,SMALL(Dong11,ROWS($1:140)),),OFFSET(TH!N$1,SMALL(Dong11,ROWS($1:140)),)))</f>
        <v/>
      </c>
      <c r="F153" s="575">
        <f ca="1">IF(ROWS($1:140)&gt;COUNT(Dong11),0,OFFSET(TH!J$1,SMALL(Dong11,ROWS($1:140)),))</f>
        <v>0</v>
      </c>
      <c r="G153" s="575">
        <f ca="1">IF(ROWS($1:140)&gt;COUNT(Dong11),0,IF(MID(OFFSET(TH!D$1,SMALL(Dong11,ROWS($1:140)),),4,1)="N",OFFSET(TH!I$1,SMALL(Dong11,ROWS($1:140)),),0))</f>
        <v>0</v>
      </c>
      <c r="H153" s="576">
        <f t="shared" ca="1" si="37"/>
        <v>0</v>
      </c>
      <c r="I153" s="575">
        <f ca="1">IF(ROWS($1:140)&gt;COUNT(Dong11),0,IF(MID(OFFSET(TH!D$1,SMALL(Dong11,ROWS($1:140)),),4,1)="X",OFFSET(TH!I$1,SMALL(Dong11,ROWS($1:140)),),0))</f>
        <v>0</v>
      </c>
      <c r="J153" s="576">
        <f t="shared" ca="1" si="38"/>
        <v>0</v>
      </c>
      <c r="K153" s="576">
        <f t="shared" ca="1" si="39"/>
        <v>0</v>
      </c>
      <c r="L153" s="576">
        <f t="shared" ca="1" si="40"/>
        <v>0</v>
      </c>
      <c r="M153" s="576"/>
      <c r="N153" s="566"/>
    </row>
    <row r="154" spans="1:14">
      <c r="A154" s="524" t="str">
        <f t="shared" ca="1" si="36"/>
        <v/>
      </c>
      <c r="B154" s="572" t="str">
        <f ca="1">IF(ROWS($1:141)&gt;COUNT(Dong11),"",OFFSET(TH!D$1,SMALL(Dong11,ROWS($1:141)),))</f>
        <v/>
      </c>
      <c r="C154" s="573" t="str">
        <f ca="1">IF(ROWS($1:141)&gt;COUNT(Dong11),"",OFFSET(TH!E$1,SMALL(Dong11,ROWS($1:141)),))</f>
        <v/>
      </c>
      <c r="D154" s="574" t="str">
        <f ca="1">IF(ROWS($1:141)&gt;COUNT(Dong11),"",OFFSET(TH!F$1,SMALL(Dong11,ROWS($1:141)),)&amp;" - "&amp;OFFSET(TH!H$1,SMALL(Dong11,ROWS($1:141)),))</f>
        <v/>
      </c>
      <c r="E154" s="572" t="str">
        <f ca="1">IF(ROWS($1:141)&gt;COUNT(Dong11),"",IF(OFFSET(TH!N$1,SMALL(Dong11,ROWS($1:141)),)=$G$7,OFFSET(TH!O$1,SMALL(Dong11,ROWS($1:141)),),OFFSET(TH!N$1,SMALL(Dong11,ROWS($1:141)),)))</f>
        <v/>
      </c>
      <c r="F154" s="575">
        <f ca="1">IF(ROWS($1:141)&gt;COUNT(Dong11),0,OFFSET(TH!J$1,SMALL(Dong11,ROWS($1:141)),))</f>
        <v>0</v>
      </c>
      <c r="G154" s="575">
        <f ca="1">IF(ROWS($1:141)&gt;COUNT(Dong11),0,IF(MID(OFFSET(TH!D$1,SMALL(Dong11,ROWS($1:141)),),4,1)="N",OFFSET(TH!I$1,SMALL(Dong11,ROWS($1:141)),),0))</f>
        <v>0</v>
      </c>
      <c r="H154" s="576">
        <f t="shared" ca="1" si="37"/>
        <v>0</v>
      </c>
      <c r="I154" s="575">
        <f ca="1">IF(ROWS($1:141)&gt;COUNT(Dong11),0,IF(MID(OFFSET(TH!D$1,SMALL(Dong11,ROWS($1:141)),),4,1)="X",OFFSET(TH!I$1,SMALL(Dong11,ROWS($1:141)),),0))</f>
        <v>0</v>
      </c>
      <c r="J154" s="576">
        <f t="shared" ca="1" si="38"/>
        <v>0</v>
      </c>
      <c r="K154" s="576">
        <f t="shared" ca="1" si="39"/>
        <v>0</v>
      </c>
      <c r="L154" s="576">
        <f t="shared" ca="1" si="40"/>
        <v>0</v>
      </c>
      <c r="M154" s="576"/>
      <c r="N154" s="566"/>
    </row>
    <row r="155" spans="1:14">
      <c r="A155" s="524" t="str">
        <f t="shared" ca="1" si="36"/>
        <v/>
      </c>
      <c r="B155" s="572" t="str">
        <f ca="1">IF(ROWS($1:142)&gt;COUNT(Dong11),"",OFFSET(TH!D$1,SMALL(Dong11,ROWS($1:142)),))</f>
        <v/>
      </c>
      <c r="C155" s="573" t="str">
        <f ca="1">IF(ROWS($1:142)&gt;COUNT(Dong11),"",OFFSET(TH!E$1,SMALL(Dong11,ROWS($1:142)),))</f>
        <v/>
      </c>
      <c r="D155" s="574" t="str">
        <f ca="1">IF(ROWS($1:142)&gt;COUNT(Dong11),"",OFFSET(TH!F$1,SMALL(Dong11,ROWS($1:142)),)&amp;" - "&amp;OFFSET(TH!H$1,SMALL(Dong11,ROWS($1:142)),))</f>
        <v/>
      </c>
      <c r="E155" s="572" t="str">
        <f ca="1">IF(ROWS($1:142)&gt;COUNT(Dong11),"",IF(OFFSET(TH!N$1,SMALL(Dong11,ROWS($1:142)),)=$G$7,OFFSET(TH!O$1,SMALL(Dong11,ROWS($1:142)),),OFFSET(TH!N$1,SMALL(Dong11,ROWS($1:142)),)))</f>
        <v/>
      </c>
      <c r="F155" s="575">
        <f ca="1">IF(ROWS($1:142)&gt;COUNT(Dong11),0,OFFSET(TH!J$1,SMALL(Dong11,ROWS($1:142)),))</f>
        <v>0</v>
      </c>
      <c r="G155" s="575">
        <f ca="1">IF(ROWS($1:142)&gt;COUNT(Dong11),0,IF(MID(OFFSET(TH!D$1,SMALL(Dong11,ROWS($1:142)),),4,1)="N",OFFSET(TH!I$1,SMALL(Dong11,ROWS($1:142)),),0))</f>
        <v>0</v>
      </c>
      <c r="H155" s="576">
        <f t="shared" ca="1" si="37"/>
        <v>0</v>
      </c>
      <c r="I155" s="575">
        <f ca="1">IF(ROWS($1:142)&gt;COUNT(Dong11),0,IF(MID(OFFSET(TH!D$1,SMALL(Dong11,ROWS($1:142)),),4,1)="X",OFFSET(TH!I$1,SMALL(Dong11,ROWS($1:142)),),0))</f>
        <v>0</v>
      </c>
      <c r="J155" s="576">
        <f t="shared" ca="1" si="38"/>
        <v>0</v>
      </c>
      <c r="K155" s="576">
        <f t="shared" ca="1" si="39"/>
        <v>0</v>
      </c>
      <c r="L155" s="576">
        <f t="shared" ca="1" si="40"/>
        <v>0</v>
      </c>
      <c r="M155" s="576"/>
      <c r="N155" s="566"/>
    </row>
    <row r="156" spans="1:14">
      <c r="A156" s="524" t="str">
        <f t="shared" ca="1" si="36"/>
        <v/>
      </c>
      <c r="B156" s="572" t="str">
        <f ca="1">IF(ROWS($1:143)&gt;COUNT(Dong11),"",OFFSET(TH!D$1,SMALL(Dong11,ROWS($1:143)),))</f>
        <v/>
      </c>
      <c r="C156" s="573" t="str">
        <f ca="1">IF(ROWS($1:143)&gt;COUNT(Dong11),"",OFFSET(TH!E$1,SMALL(Dong11,ROWS($1:143)),))</f>
        <v/>
      </c>
      <c r="D156" s="574" t="str">
        <f ca="1">IF(ROWS($1:143)&gt;COUNT(Dong11),"",OFFSET(TH!F$1,SMALL(Dong11,ROWS($1:143)),)&amp;" - "&amp;OFFSET(TH!H$1,SMALL(Dong11,ROWS($1:143)),))</f>
        <v/>
      </c>
      <c r="E156" s="572" t="str">
        <f ca="1">IF(ROWS($1:143)&gt;COUNT(Dong11),"",IF(OFFSET(TH!N$1,SMALL(Dong11,ROWS($1:143)),)=$G$7,OFFSET(TH!O$1,SMALL(Dong11,ROWS($1:143)),),OFFSET(TH!N$1,SMALL(Dong11,ROWS($1:143)),)))</f>
        <v/>
      </c>
      <c r="F156" s="575">
        <f ca="1">IF(ROWS($1:143)&gt;COUNT(Dong11),0,OFFSET(TH!J$1,SMALL(Dong11,ROWS($1:143)),))</f>
        <v>0</v>
      </c>
      <c r="G156" s="575">
        <f ca="1">IF(ROWS($1:143)&gt;COUNT(Dong11),0,IF(MID(OFFSET(TH!D$1,SMALL(Dong11,ROWS($1:143)),),4,1)="N",OFFSET(TH!I$1,SMALL(Dong11,ROWS($1:143)),),0))</f>
        <v>0</v>
      </c>
      <c r="H156" s="576">
        <f t="shared" ca="1" si="37"/>
        <v>0</v>
      </c>
      <c r="I156" s="575">
        <f ca="1">IF(ROWS($1:143)&gt;COUNT(Dong11),0,IF(MID(OFFSET(TH!D$1,SMALL(Dong11,ROWS($1:143)),),4,1)="X",OFFSET(TH!I$1,SMALL(Dong11,ROWS($1:143)),),0))</f>
        <v>0</v>
      </c>
      <c r="J156" s="576">
        <f t="shared" ca="1" si="38"/>
        <v>0</v>
      </c>
      <c r="K156" s="576">
        <f t="shared" ca="1" si="39"/>
        <v>0</v>
      </c>
      <c r="L156" s="576">
        <f t="shared" ca="1" si="40"/>
        <v>0</v>
      </c>
      <c r="M156" s="576"/>
      <c r="N156" s="566"/>
    </row>
    <row r="157" spans="1:14">
      <c r="A157" s="524" t="str">
        <f t="shared" ca="1" si="36"/>
        <v/>
      </c>
      <c r="B157" s="572" t="str">
        <f ca="1">IF(ROWS($1:144)&gt;COUNT(Dong11),"",OFFSET(TH!D$1,SMALL(Dong11,ROWS($1:144)),))</f>
        <v/>
      </c>
      <c r="C157" s="573" t="str">
        <f ca="1">IF(ROWS($1:144)&gt;COUNT(Dong11),"",OFFSET(TH!E$1,SMALL(Dong11,ROWS($1:144)),))</f>
        <v/>
      </c>
      <c r="D157" s="574" t="str">
        <f ca="1">IF(ROWS($1:144)&gt;COUNT(Dong11),"",OFFSET(TH!F$1,SMALL(Dong11,ROWS($1:144)),)&amp;" - "&amp;OFFSET(TH!H$1,SMALL(Dong11,ROWS($1:144)),))</f>
        <v/>
      </c>
      <c r="E157" s="572" t="str">
        <f ca="1">IF(ROWS($1:144)&gt;COUNT(Dong11),"",IF(OFFSET(TH!N$1,SMALL(Dong11,ROWS($1:144)),)=$G$7,OFFSET(TH!O$1,SMALL(Dong11,ROWS($1:144)),),OFFSET(TH!N$1,SMALL(Dong11,ROWS($1:144)),)))</f>
        <v/>
      </c>
      <c r="F157" s="575">
        <f ca="1">IF(ROWS($1:144)&gt;COUNT(Dong11),0,OFFSET(TH!J$1,SMALL(Dong11,ROWS($1:144)),))</f>
        <v>0</v>
      </c>
      <c r="G157" s="575">
        <f ca="1">IF(ROWS($1:144)&gt;COUNT(Dong11),0,IF(MID(OFFSET(TH!D$1,SMALL(Dong11,ROWS($1:144)),),4,1)="N",OFFSET(TH!I$1,SMALL(Dong11,ROWS($1:144)),),0))</f>
        <v>0</v>
      </c>
      <c r="H157" s="576">
        <f t="shared" ca="1" si="37"/>
        <v>0</v>
      </c>
      <c r="I157" s="575">
        <f ca="1">IF(ROWS($1:144)&gt;COUNT(Dong11),0,IF(MID(OFFSET(TH!D$1,SMALL(Dong11,ROWS($1:144)),),4,1)="X",OFFSET(TH!I$1,SMALL(Dong11,ROWS($1:144)),),0))</f>
        <v>0</v>
      </c>
      <c r="J157" s="576">
        <f t="shared" ca="1" si="38"/>
        <v>0</v>
      </c>
      <c r="K157" s="576">
        <f t="shared" ca="1" si="39"/>
        <v>0</v>
      </c>
      <c r="L157" s="576">
        <f t="shared" ca="1" si="40"/>
        <v>0</v>
      </c>
      <c r="M157" s="576"/>
      <c r="N157" s="566"/>
    </row>
    <row r="158" spans="1:14">
      <c r="A158" s="524" t="str">
        <f t="shared" ca="1" si="36"/>
        <v/>
      </c>
      <c r="B158" s="572" t="str">
        <f ca="1">IF(ROWS($1:145)&gt;COUNT(Dong11),"",OFFSET(TH!D$1,SMALL(Dong11,ROWS($1:145)),))</f>
        <v/>
      </c>
      <c r="C158" s="573" t="str">
        <f ca="1">IF(ROWS($1:145)&gt;COUNT(Dong11),"",OFFSET(TH!E$1,SMALL(Dong11,ROWS($1:145)),))</f>
        <v/>
      </c>
      <c r="D158" s="574" t="str">
        <f ca="1">IF(ROWS($1:145)&gt;COUNT(Dong11),"",OFFSET(TH!F$1,SMALL(Dong11,ROWS($1:145)),)&amp;" - "&amp;OFFSET(TH!H$1,SMALL(Dong11,ROWS($1:145)),))</f>
        <v/>
      </c>
      <c r="E158" s="572" t="str">
        <f ca="1">IF(ROWS($1:145)&gt;COUNT(Dong11),"",IF(OFFSET(TH!N$1,SMALL(Dong11,ROWS($1:145)),)=$G$7,OFFSET(TH!O$1,SMALL(Dong11,ROWS($1:145)),),OFFSET(TH!N$1,SMALL(Dong11,ROWS($1:145)),)))</f>
        <v/>
      </c>
      <c r="F158" s="575">
        <f ca="1">IF(ROWS($1:145)&gt;COUNT(Dong11),0,OFFSET(TH!J$1,SMALL(Dong11,ROWS($1:145)),))</f>
        <v>0</v>
      </c>
      <c r="G158" s="575">
        <f ca="1">IF(ROWS($1:145)&gt;COUNT(Dong11),0,IF(MID(OFFSET(TH!D$1,SMALL(Dong11,ROWS($1:145)),),4,1)="N",OFFSET(TH!I$1,SMALL(Dong11,ROWS($1:145)),),0))</f>
        <v>0</v>
      </c>
      <c r="H158" s="576">
        <f t="shared" ca="1" si="37"/>
        <v>0</v>
      </c>
      <c r="I158" s="575">
        <f ca="1">IF(ROWS($1:145)&gt;COUNT(Dong11),0,IF(MID(OFFSET(TH!D$1,SMALL(Dong11,ROWS($1:145)),),4,1)="X",OFFSET(TH!I$1,SMALL(Dong11,ROWS($1:145)),),0))</f>
        <v>0</v>
      </c>
      <c r="J158" s="576">
        <f t="shared" ca="1" si="38"/>
        <v>0</v>
      </c>
      <c r="K158" s="576">
        <f t="shared" ca="1" si="39"/>
        <v>0</v>
      </c>
      <c r="L158" s="576">
        <f t="shared" ca="1" si="40"/>
        <v>0</v>
      </c>
      <c r="M158" s="576"/>
      <c r="N158" s="566"/>
    </row>
    <row r="159" spans="1:14">
      <c r="A159" s="524" t="str">
        <f t="shared" ca="1" si="36"/>
        <v/>
      </c>
      <c r="B159" s="572" t="str">
        <f ca="1">IF(ROWS($1:146)&gt;COUNT(Dong11),"",OFFSET(TH!D$1,SMALL(Dong11,ROWS($1:146)),))</f>
        <v/>
      </c>
      <c r="C159" s="573" t="str">
        <f ca="1">IF(ROWS($1:146)&gt;COUNT(Dong11),"",OFFSET(TH!E$1,SMALL(Dong11,ROWS($1:146)),))</f>
        <v/>
      </c>
      <c r="D159" s="574" t="str">
        <f ca="1">IF(ROWS($1:146)&gt;COUNT(Dong11),"",OFFSET(TH!F$1,SMALL(Dong11,ROWS($1:146)),)&amp;" - "&amp;OFFSET(TH!H$1,SMALL(Dong11,ROWS($1:146)),))</f>
        <v/>
      </c>
      <c r="E159" s="572" t="str">
        <f ca="1">IF(ROWS($1:146)&gt;COUNT(Dong11),"",IF(OFFSET(TH!N$1,SMALL(Dong11,ROWS($1:146)),)=$G$7,OFFSET(TH!O$1,SMALL(Dong11,ROWS($1:146)),),OFFSET(TH!N$1,SMALL(Dong11,ROWS($1:146)),)))</f>
        <v/>
      </c>
      <c r="F159" s="575">
        <f ca="1">IF(ROWS($1:146)&gt;COUNT(Dong11),0,OFFSET(TH!J$1,SMALL(Dong11,ROWS($1:146)),))</f>
        <v>0</v>
      </c>
      <c r="G159" s="575">
        <f ca="1">IF(ROWS($1:146)&gt;COUNT(Dong11),0,IF(MID(OFFSET(TH!D$1,SMALL(Dong11,ROWS($1:146)),),4,1)="N",OFFSET(TH!I$1,SMALL(Dong11,ROWS($1:146)),),0))</f>
        <v>0</v>
      </c>
      <c r="H159" s="576">
        <f t="shared" ca="1" si="37"/>
        <v>0</v>
      </c>
      <c r="I159" s="575">
        <f ca="1">IF(ROWS($1:146)&gt;COUNT(Dong11),0,IF(MID(OFFSET(TH!D$1,SMALL(Dong11,ROWS($1:146)),),4,1)="X",OFFSET(TH!I$1,SMALL(Dong11,ROWS($1:146)),),0))</f>
        <v>0</v>
      </c>
      <c r="J159" s="576">
        <f t="shared" ca="1" si="38"/>
        <v>0</v>
      </c>
      <c r="K159" s="576">
        <f t="shared" ca="1" si="39"/>
        <v>0</v>
      </c>
      <c r="L159" s="576">
        <f t="shared" ca="1" si="40"/>
        <v>0</v>
      </c>
      <c r="M159" s="576"/>
      <c r="N159" s="566"/>
    </row>
    <row r="160" spans="1:14">
      <c r="A160" s="524" t="str">
        <f>IF(B160="","",A30+1)</f>
        <v/>
      </c>
      <c r="B160" s="579"/>
      <c r="C160" s="580"/>
      <c r="D160" s="581"/>
      <c r="E160" s="582"/>
      <c r="F160" s="583"/>
      <c r="G160" s="568"/>
      <c r="H160" s="568"/>
      <c r="I160" s="568"/>
      <c r="J160" s="568"/>
      <c r="K160" s="568"/>
      <c r="L160" s="568"/>
      <c r="M160" s="584"/>
      <c r="N160" s="566"/>
    </row>
    <row r="161" spans="1:14">
      <c r="A161" s="585"/>
      <c r="B161" s="585"/>
      <c r="C161" s="585"/>
      <c r="D161" s="585" t="s">
        <v>481</v>
      </c>
      <c r="E161" s="564" t="s">
        <v>20</v>
      </c>
      <c r="F161" s="564" t="s">
        <v>20</v>
      </c>
      <c r="G161" s="586">
        <f ca="1">SUM(G14:G160)</f>
        <v>113462</v>
      </c>
      <c r="H161" s="586">
        <f ca="1">SUM(H14:H160)</f>
        <v>740106000</v>
      </c>
      <c r="I161" s="586">
        <f ca="1">SUM(I14:I160)</f>
        <v>111627</v>
      </c>
      <c r="J161" s="586">
        <f ca="1">SUM(J14:J160)</f>
        <v>726343500</v>
      </c>
      <c r="K161" s="586">
        <f ca="1">K13+G161-I161</f>
        <v>1835</v>
      </c>
      <c r="L161" s="586">
        <f ca="1">L13+H161-J161</f>
        <v>13762500</v>
      </c>
      <c r="M161" s="585"/>
      <c r="N161" s="566"/>
    </row>
    <row r="162" spans="1:14">
      <c r="B162" s="587" t="s">
        <v>482</v>
      </c>
      <c r="G162" s="578"/>
      <c r="N162" s="566"/>
    </row>
    <row r="163" spans="1:14">
      <c r="B163" s="588"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78"/>
      <c r="I163" s="578"/>
      <c r="N163" s="566"/>
    </row>
    <row r="164" spans="1:14">
      <c r="B164" s="553"/>
      <c r="C164" s="553"/>
      <c r="D164" s="553"/>
      <c r="F164" s="553"/>
      <c r="G164" s="589"/>
      <c r="H164" s="554"/>
      <c r="I164" s="590"/>
      <c r="J164" s="1478" t="s">
        <v>449</v>
      </c>
      <c r="K164" s="1478"/>
      <c r="L164" s="1478"/>
      <c r="M164" s="1478"/>
      <c r="N164" s="566"/>
    </row>
    <row r="165" spans="1:14">
      <c r="C165" s="553"/>
      <c r="D165" s="1030" t="s">
        <v>11</v>
      </c>
      <c r="E165" s="1478" t="s">
        <v>12</v>
      </c>
      <c r="F165" s="1478"/>
      <c r="G165" s="1478"/>
      <c r="H165" s="1478"/>
      <c r="I165" s="1478"/>
      <c r="J165" s="1478" t="s">
        <v>128</v>
      </c>
      <c r="K165" s="1478"/>
      <c r="L165" s="1478"/>
      <c r="M165" s="1478"/>
      <c r="N165" s="566"/>
    </row>
    <row r="166" spans="1:14">
      <c r="C166" s="553"/>
      <c r="D166" s="1030" t="s">
        <v>13</v>
      </c>
      <c r="E166" s="1478" t="s">
        <v>13</v>
      </c>
      <c r="F166" s="1478"/>
      <c r="G166" s="1478"/>
      <c r="H166" s="1478" t="s">
        <v>158</v>
      </c>
      <c r="I166" s="1478"/>
      <c r="J166" s="1478" t="s">
        <v>158</v>
      </c>
      <c r="K166" s="1478"/>
      <c r="L166" s="1478"/>
      <c r="M166" s="1478"/>
      <c r="N166" s="566"/>
    </row>
    <row r="167" spans="1:14">
      <c r="N167" s="591"/>
    </row>
    <row r="168" spans="1:14">
      <c r="E168" s="541"/>
    </row>
    <row r="170" spans="1:14" customFormat="1" ht="12.75">
      <c r="E170" s="592"/>
    </row>
    <row r="175" spans="1:14">
      <c r="D175" s="1063" t="s">
        <v>223</v>
      </c>
      <c r="E175" s="1063"/>
      <c r="J175" s="1474" t="s">
        <v>122</v>
      </c>
      <c r="K175" s="1474"/>
      <c r="L175" s="1474"/>
      <c r="M175" s="1474"/>
      <c r="N175" s="1064"/>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8.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5" activePane="bottomLeft" state="frozen"/>
      <selection activeCell="G34" sqref="G34"/>
      <selection pane="bottomLeft" activeCell="O5" sqref="O5:O19"/>
    </sheetView>
  </sheetViews>
  <sheetFormatPr defaultColWidth="8" defaultRowHeight="13.5"/>
  <cols>
    <col min="1" max="1" width="4.28515625" style="218" customWidth="1"/>
    <col min="2" max="2" width="21.85546875" style="218" customWidth="1"/>
    <col min="3" max="3" width="8.7109375" style="218" customWidth="1"/>
    <col min="4" max="4" width="8.7109375" style="218" hidden="1" customWidth="1"/>
    <col min="5" max="5" width="8.140625" style="218" customWidth="1"/>
    <col min="6" max="6" width="9.42578125" style="218" customWidth="1"/>
    <col min="7" max="7" width="9.140625" style="1102" customWidth="1"/>
    <col min="8" max="8" width="13.7109375" style="218" customWidth="1"/>
    <col min="9" max="9" width="10.5703125" style="1102" customWidth="1"/>
    <col min="10" max="10" width="14.5703125" style="218" customWidth="1"/>
    <col min="11" max="11" width="9.7109375" style="1102" customWidth="1"/>
    <col min="12" max="12" width="13.7109375" style="218" customWidth="1"/>
    <col min="13" max="13" width="8.140625" style="218" customWidth="1"/>
    <col min="14" max="14" width="12.140625" style="218" customWidth="1"/>
    <col min="15" max="15" width="10.85546875" style="1102" customWidth="1"/>
    <col min="16" max="16" width="14" style="218" customWidth="1"/>
    <col min="17" max="16384" width="8" style="218"/>
  </cols>
  <sheetData>
    <row r="1" spans="1:16" ht="21.75" customHeight="1">
      <c r="A1" s="1420" t="s">
        <v>172</v>
      </c>
      <c r="B1" s="1420"/>
      <c r="C1" s="1420"/>
      <c r="D1" s="1420"/>
      <c r="E1" s="1420"/>
      <c r="F1" s="1420"/>
      <c r="G1" s="1420"/>
      <c r="H1" s="1420"/>
      <c r="I1" s="1420"/>
      <c r="J1" s="1420"/>
      <c r="K1" s="1420"/>
      <c r="L1" s="1420"/>
      <c r="M1" s="1420"/>
      <c r="N1" s="1420"/>
      <c r="O1" s="1420"/>
      <c r="P1" s="1420"/>
    </row>
    <row r="2" spans="1:16" s="10" customFormat="1" ht="15.75" customHeight="1">
      <c r="A2" s="1423" t="s">
        <v>35</v>
      </c>
      <c r="B2" s="1425" t="s">
        <v>173</v>
      </c>
      <c r="C2" s="1425" t="s">
        <v>174</v>
      </c>
      <c r="D2" s="1425" t="s">
        <v>176</v>
      </c>
      <c r="E2" s="1436" t="s">
        <v>37</v>
      </c>
      <c r="F2" s="1436"/>
      <c r="G2" s="1436"/>
      <c r="H2" s="1436"/>
      <c r="I2" s="1436" t="s">
        <v>38</v>
      </c>
      <c r="J2" s="1436"/>
      <c r="K2" s="1436"/>
      <c r="L2" s="1436"/>
      <c r="M2" s="1421" t="s">
        <v>42</v>
      </c>
      <c r="N2" s="1481"/>
      <c r="O2" s="1481"/>
      <c r="P2" s="1422"/>
    </row>
    <row r="3" spans="1:16" s="10" customFormat="1" ht="15.75" customHeight="1">
      <c r="A3" s="1424"/>
      <c r="B3" s="1426"/>
      <c r="C3" s="1426"/>
      <c r="D3" s="1426"/>
      <c r="E3" s="1436" t="s">
        <v>43</v>
      </c>
      <c r="F3" s="1436"/>
      <c r="G3" s="1436" t="s">
        <v>44</v>
      </c>
      <c r="H3" s="1436"/>
      <c r="I3" s="1436" t="s">
        <v>43</v>
      </c>
      <c r="J3" s="1436"/>
      <c r="K3" s="1436" t="s">
        <v>44</v>
      </c>
      <c r="L3" s="1436"/>
      <c r="M3" s="1436" t="s">
        <v>43</v>
      </c>
      <c r="N3" s="1436"/>
      <c r="O3" s="1436" t="s">
        <v>44</v>
      </c>
      <c r="P3" s="1436"/>
    </row>
    <row r="4" spans="1:16" s="10" customFormat="1" ht="15.75" customHeight="1">
      <c r="A4" s="1424"/>
      <c r="B4" s="1426"/>
      <c r="C4" s="1426"/>
      <c r="D4" s="1426"/>
      <c r="E4" s="320" t="s">
        <v>221</v>
      </c>
      <c r="F4" s="320" t="s">
        <v>222</v>
      </c>
      <c r="G4" s="1100" t="s">
        <v>221</v>
      </c>
      <c r="H4" s="320" t="s">
        <v>222</v>
      </c>
      <c r="I4" s="1100" t="s">
        <v>221</v>
      </c>
      <c r="J4" s="320" t="s">
        <v>222</v>
      </c>
      <c r="K4" s="1100" t="s">
        <v>221</v>
      </c>
      <c r="L4" s="320" t="s">
        <v>222</v>
      </c>
      <c r="M4" s="320" t="s">
        <v>221</v>
      </c>
      <c r="N4" s="320" t="s">
        <v>222</v>
      </c>
      <c r="O4" s="1100" t="s">
        <v>221</v>
      </c>
      <c r="P4" s="320" t="s">
        <v>222</v>
      </c>
    </row>
    <row r="5" spans="1:16" s="10" customFormat="1" ht="18" customHeight="1">
      <c r="A5" s="846">
        <f t="shared" ref="A5:A36" si="0">IF(B5&lt;&gt;"",ROW()-4,"")</f>
        <v>1</v>
      </c>
      <c r="B5" s="1274" t="s">
        <v>2998</v>
      </c>
      <c r="C5" s="219">
        <v>42684</v>
      </c>
      <c r="D5" s="219"/>
      <c r="E5" s="219"/>
      <c r="F5" s="8"/>
      <c r="G5" s="220"/>
      <c r="H5" s="8"/>
      <c r="I5" s="322">
        <f t="array" ref="I5">SUM(IF("341"&amp;B5=LEFT(KHN,3)&amp;KH,_TH))</f>
        <v>0</v>
      </c>
      <c r="J5" s="8">
        <f t="array" ref="J5">SUM(IF("341"&amp;B5=LEFT(KHN,3)&amp;KH,TH))</f>
        <v>0</v>
      </c>
      <c r="K5" s="220">
        <f t="array" ref="K5">SUM(IF("341"&amp;B5=LEFT(KHC,3)&amp;KH,_TH))</f>
        <v>82000</v>
      </c>
      <c r="L5" s="8">
        <f t="array" ref="L5">SUM(IF("341"&amp;B5=LEFT(KHC,3)&amp;KH,TH))</f>
        <v>1829666000</v>
      </c>
      <c r="M5" s="222">
        <f t="shared" ref="M5:M36" si="1">ROUND(MAX(E5+I5-G5-K5,0),2)</f>
        <v>0</v>
      </c>
      <c r="N5" s="222">
        <f t="shared" ref="N5:N36" si="2">ROUND(MAX(F5+J5-H5-L5,0),2)</f>
        <v>0</v>
      </c>
      <c r="O5" s="221">
        <f t="shared" ref="O5:O36" si="3">ROUND(MAX(G5+K5-E5-I5,0),2)</f>
        <v>82000</v>
      </c>
      <c r="P5" s="222">
        <f t="shared" ref="P5:P36" si="4">ROUND(MAX(H5+L5-F5-J5,0),2)</f>
        <v>1829666000</v>
      </c>
    </row>
    <row r="6" spans="1:16" s="10" customFormat="1" ht="18" customHeight="1">
      <c r="A6" s="846">
        <f t="shared" si="0"/>
        <v>2</v>
      </c>
      <c r="B6" s="1274" t="s">
        <v>2999</v>
      </c>
      <c r="C6" s="219">
        <v>42685</v>
      </c>
      <c r="D6" s="219"/>
      <c r="E6" s="219"/>
      <c r="F6" s="8"/>
      <c r="G6" s="220"/>
      <c r="H6" s="8"/>
      <c r="I6" s="322">
        <f t="array" ref="I6">SUM(IF("341"&amp;B6=LEFT(KHN,3)&amp;KH,_TH))</f>
        <v>63000</v>
      </c>
      <c r="J6" s="8">
        <f t="array" ref="J6">SUM(IF("341"&amp;B6=LEFT(KHN,3)&amp;KH,TH))</f>
        <v>1406286000</v>
      </c>
      <c r="K6" s="220">
        <f t="array" ref="K6">SUM(IF("341"&amp;B6=LEFT(KHC,3)&amp;KH,_TH))</f>
        <v>63000</v>
      </c>
      <c r="L6" s="8">
        <f t="array" ref="L6">SUM(IF("341"&amp;B6=LEFT(KHC,3)&amp;KH,TH))</f>
        <v>1406286000</v>
      </c>
      <c r="M6" s="222">
        <f t="shared" si="1"/>
        <v>0</v>
      </c>
      <c r="N6" s="222">
        <f t="shared" si="2"/>
        <v>0</v>
      </c>
      <c r="O6" s="221">
        <f t="shared" si="3"/>
        <v>0</v>
      </c>
      <c r="P6" s="222">
        <f t="shared" si="4"/>
        <v>0</v>
      </c>
    </row>
    <row r="7" spans="1:16" s="10" customFormat="1" ht="18" customHeight="1">
      <c r="A7" s="846">
        <f t="shared" si="0"/>
        <v>3</v>
      </c>
      <c r="B7" s="1274" t="s">
        <v>2997</v>
      </c>
      <c r="C7" s="219">
        <v>42689</v>
      </c>
      <c r="D7" s="219"/>
      <c r="E7" s="219"/>
      <c r="F7" s="8"/>
      <c r="G7" s="220"/>
      <c r="H7" s="8"/>
      <c r="I7" s="322">
        <f t="array" ref="I7">SUM(IF("341"&amp;B7=LEFT(KHN,3)&amp;KH,_TH))</f>
        <v>0</v>
      </c>
      <c r="J7" s="8">
        <f t="array" ref="J7">SUM(IF("341"&amp;B7=LEFT(KHN,3)&amp;KH,TH))</f>
        <v>0</v>
      </c>
      <c r="K7" s="220">
        <f t="array" ref="K7">SUM(IF("341"&amp;B7=LEFT(KHC,3)&amp;KH,_TH))</f>
        <v>89000</v>
      </c>
      <c r="L7" s="8">
        <f t="array" ref="L7">SUM(IF("341"&amp;B7=LEFT(KHC,3)&amp;KH,TH))</f>
        <v>1988705000</v>
      </c>
      <c r="M7" s="222">
        <f t="shared" si="1"/>
        <v>0</v>
      </c>
      <c r="N7" s="222">
        <f t="shared" si="2"/>
        <v>0</v>
      </c>
      <c r="O7" s="221">
        <f t="shared" si="3"/>
        <v>89000</v>
      </c>
      <c r="P7" s="222">
        <f t="shared" si="4"/>
        <v>1988705000</v>
      </c>
    </row>
    <row r="8" spans="1:16" s="10" customFormat="1" ht="18" customHeight="1">
      <c r="A8" s="846">
        <f t="shared" si="0"/>
        <v>4</v>
      </c>
      <c r="B8" s="1093" t="s">
        <v>1864</v>
      </c>
      <c r="C8" s="219">
        <v>42545</v>
      </c>
      <c r="D8" s="219"/>
      <c r="E8" s="219"/>
      <c r="F8" s="8"/>
      <c r="G8" s="220"/>
      <c r="H8" s="8"/>
      <c r="I8" s="322">
        <f t="array" ref="I8">SUM(IF("341"&amp;B8=LEFT(KHN,3)&amp;KH,_TH))</f>
        <v>150000</v>
      </c>
      <c r="J8" s="8">
        <f t="array" ref="J8">SUM(IF("341"&amp;B8=LEFT(KHN,3)&amp;KH,TH))</f>
        <v>3408000000</v>
      </c>
      <c r="K8" s="220">
        <f t="array" ref="K8">SUM(IF("341"&amp;B8=LEFT(KHC,3)&amp;KH,_TH))</f>
        <v>150000</v>
      </c>
      <c r="L8" s="8">
        <f t="array" ref="L8">SUM(IF("341"&amp;B8=LEFT(KHC,3)&amp;KH,TH))</f>
        <v>3408000000</v>
      </c>
      <c r="M8" s="222">
        <f t="shared" si="1"/>
        <v>0</v>
      </c>
      <c r="N8" s="222">
        <f t="shared" si="2"/>
        <v>0</v>
      </c>
      <c r="O8" s="221">
        <f t="shared" si="3"/>
        <v>0</v>
      </c>
      <c r="P8" s="222">
        <f t="shared" si="4"/>
        <v>0</v>
      </c>
    </row>
    <row r="9" spans="1:16" s="10" customFormat="1" ht="18" customHeight="1">
      <c r="A9" s="846">
        <f t="shared" si="0"/>
        <v>5</v>
      </c>
      <c r="B9" s="72" t="s">
        <v>1868</v>
      </c>
      <c r="C9" s="219">
        <v>42552</v>
      </c>
      <c r="D9" s="219"/>
      <c r="E9" s="219"/>
      <c r="F9" s="8"/>
      <c r="G9" s="220"/>
      <c r="H9" s="8"/>
      <c r="I9" s="322">
        <f t="array" ref="I9">SUM(IF("341"&amp;B9=LEFT(KHN,3)&amp;KH,_TH))</f>
        <v>89500</v>
      </c>
      <c r="J9" s="8">
        <f t="array" ref="J9">SUM(IF("341"&amp;B9=LEFT(KHN,3)&amp;KH,TH))</f>
        <v>2033440000</v>
      </c>
      <c r="K9" s="220">
        <f t="array" ref="K9">SUM(IF("341"&amp;B9=LEFT(KHC,3)&amp;KH,_TH))</f>
        <v>89500</v>
      </c>
      <c r="L9" s="8">
        <f t="array" ref="L9">SUM(IF("341"&amp;B9=LEFT(KHC,3)&amp;KH,TH))</f>
        <v>2033440000</v>
      </c>
      <c r="M9" s="222">
        <f t="shared" si="1"/>
        <v>0</v>
      </c>
      <c r="N9" s="222">
        <f t="shared" si="2"/>
        <v>0</v>
      </c>
      <c r="O9" s="221">
        <f t="shared" si="3"/>
        <v>0</v>
      </c>
      <c r="P9" s="222">
        <f t="shared" si="4"/>
        <v>0</v>
      </c>
    </row>
    <row r="10" spans="1:16" s="10" customFormat="1" ht="18" customHeight="1">
      <c r="A10" s="846">
        <f t="shared" si="0"/>
        <v>6</v>
      </c>
      <c r="B10" s="72" t="s">
        <v>1870</v>
      </c>
      <c r="C10" s="219">
        <v>42556</v>
      </c>
      <c r="D10" s="219"/>
      <c r="E10" s="219"/>
      <c r="F10" s="8"/>
      <c r="G10" s="220"/>
      <c r="H10" s="8"/>
      <c r="I10" s="322">
        <f t="array" ref="I10">SUM(IF("341"&amp;B10=LEFT(KHN,3)&amp;KH,_TH))</f>
        <v>0</v>
      </c>
      <c r="J10" s="8">
        <f t="array" ref="J10">SUM(IF("341"&amp;B10=LEFT(KHN,3)&amp;KH,TH))</f>
        <v>0</v>
      </c>
      <c r="K10" s="220">
        <f t="array" ref="K10">SUM(IF("341"&amp;B10=LEFT(KHC,3)&amp;KH,_TH))</f>
        <v>89000</v>
      </c>
      <c r="L10" s="8">
        <f t="array" ref="L10">SUM(IF("341"&amp;B10=LEFT(KHC,3)&amp;KH,TH))</f>
        <v>1983988000</v>
      </c>
      <c r="M10" s="222">
        <f t="shared" si="1"/>
        <v>0</v>
      </c>
      <c r="N10" s="222">
        <f t="shared" si="2"/>
        <v>0</v>
      </c>
      <c r="O10" s="221">
        <f t="shared" si="3"/>
        <v>89000</v>
      </c>
      <c r="P10" s="222">
        <f t="shared" si="4"/>
        <v>1983988000</v>
      </c>
    </row>
    <row r="11" spans="1:16" s="10" customFormat="1" ht="18" customHeight="1">
      <c r="A11" s="846">
        <f t="shared" si="0"/>
        <v>7</v>
      </c>
      <c r="B11" s="922" t="s">
        <v>1911</v>
      </c>
      <c r="C11" s="219">
        <v>42600</v>
      </c>
      <c r="D11" s="219"/>
      <c r="E11" s="219"/>
      <c r="F11" s="8"/>
      <c r="G11" s="220"/>
      <c r="H11" s="8"/>
      <c r="I11" s="322">
        <f t="array" ref="I11">SUM(IF("341"&amp;B11=LEFT(KHN,3)&amp;KH,_TH))</f>
        <v>0</v>
      </c>
      <c r="J11" s="8">
        <f t="array" ref="J11">SUM(IF("341"&amp;B11=LEFT(KHN,3)&amp;KH,TH))</f>
        <v>0</v>
      </c>
      <c r="K11" s="220">
        <f t="array" ref="K11">SUM(IF("341"&amp;B11=LEFT(KHC,3)&amp;KH,_TH))</f>
        <v>63000</v>
      </c>
      <c r="L11" s="8">
        <f t="array" ref="L11">SUM(IF("341"&amp;B11=LEFT(KHC,3)&amp;KH,TH))</f>
        <v>1404396000</v>
      </c>
      <c r="M11" s="222">
        <f t="shared" si="1"/>
        <v>0</v>
      </c>
      <c r="N11" s="222">
        <f t="shared" si="2"/>
        <v>0</v>
      </c>
      <c r="O11" s="221">
        <f t="shared" si="3"/>
        <v>63000</v>
      </c>
      <c r="P11" s="222">
        <f t="shared" si="4"/>
        <v>1404396000</v>
      </c>
    </row>
    <row r="12" spans="1:16" s="10" customFormat="1" ht="18" customHeight="1">
      <c r="A12" s="846">
        <f t="shared" si="0"/>
        <v>8</v>
      </c>
      <c r="B12" s="72" t="s">
        <v>1925</v>
      </c>
      <c r="C12" s="219">
        <v>42612</v>
      </c>
      <c r="D12" s="219"/>
      <c r="E12" s="219"/>
      <c r="F12" s="8"/>
      <c r="G12" s="220"/>
      <c r="H12" s="8"/>
      <c r="I12" s="322">
        <f t="array" ref="I12">SUM(IF("341"&amp;B12=LEFT(KHN,3)&amp;KH,_TH))</f>
        <v>0</v>
      </c>
      <c r="J12" s="8">
        <f t="array" ref="J12">SUM(IF("341"&amp;B12=LEFT(KHN,3)&amp;KH,TH))</f>
        <v>0</v>
      </c>
      <c r="K12" s="220">
        <f t="array" ref="K12">SUM(IF("341"&amp;B12=LEFT(KHC,3)&amp;KH,_TH))</f>
        <v>89500</v>
      </c>
      <c r="L12" s="8">
        <f t="array" ref="L12">SUM(IF("341"&amp;B12=LEFT(KHC,3)&amp;KH,TH))</f>
        <v>1996566000</v>
      </c>
      <c r="M12" s="222">
        <f t="shared" si="1"/>
        <v>0</v>
      </c>
      <c r="N12" s="222">
        <f t="shared" si="2"/>
        <v>0</v>
      </c>
      <c r="O12" s="221">
        <f t="shared" si="3"/>
        <v>89500</v>
      </c>
      <c r="P12" s="222">
        <f t="shared" si="4"/>
        <v>1996566000</v>
      </c>
    </row>
    <row r="13" spans="1:16" s="10" customFormat="1" ht="18" customHeight="1">
      <c r="A13" s="846">
        <f t="shared" si="0"/>
        <v>9</v>
      </c>
      <c r="B13" s="72" t="s">
        <v>2172</v>
      </c>
      <c r="C13" s="219">
        <v>42626</v>
      </c>
      <c r="D13" s="219"/>
      <c r="E13" s="219"/>
      <c r="F13" s="8"/>
      <c r="G13" s="220"/>
      <c r="H13" s="8"/>
      <c r="I13" s="322">
        <f t="array" ref="I13">SUM(IF("341"&amp;B13=LEFT(KHN,3)&amp;KH,_TH))</f>
        <v>0</v>
      </c>
      <c r="J13" s="8">
        <f t="array" ref="J13">SUM(IF("341"&amp;B13=LEFT(KHN,3)&amp;KH,TH))</f>
        <v>0</v>
      </c>
      <c r="K13" s="220">
        <f t="array" ref="K13">SUM(IF("341"&amp;B13=LEFT(KHC,3)&amp;KH,_TH))</f>
        <v>88000</v>
      </c>
      <c r="L13" s="8">
        <f t="array" ref="L13">SUM(IF("341"&amp;B13=LEFT(KHC,3)&amp;KH,TH))</f>
        <v>1961960000</v>
      </c>
      <c r="M13" s="222">
        <f t="shared" si="1"/>
        <v>0</v>
      </c>
      <c r="N13" s="222">
        <f t="shared" si="2"/>
        <v>0</v>
      </c>
      <c r="O13" s="221">
        <f t="shared" si="3"/>
        <v>88000</v>
      </c>
      <c r="P13" s="222">
        <f t="shared" si="4"/>
        <v>1961960000</v>
      </c>
    </row>
    <row r="14" spans="1:16" s="10" customFormat="1" ht="18" customHeight="1">
      <c r="A14" s="846">
        <f t="shared" si="0"/>
        <v>10</v>
      </c>
      <c r="B14" s="72" t="s">
        <v>2169</v>
      </c>
      <c r="C14" s="219">
        <v>42649</v>
      </c>
      <c r="D14" s="219"/>
      <c r="E14" s="219"/>
      <c r="F14" s="8"/>
      <c r="G14" s="220"/>
      <c r="H14" s="8"/>
      <c r="I14" s="322">
        <f t="array" ref="I14">SUM(IF("341"&amp;B14=LEFT(KHN,3)&amp;KH,_TH))</f>
        <v>0</v>
      </c>
      <c r="J14" s="8">
        <f t="array" ref="J14">SUM(IF("341"&amp;B14=LEFT(KHN,3)&amp;KH,TH))</f>
        <v>0</v>
      </c>
      <c r="K14" s="220">
        <f t="array" ref="K14">SUM(IF("341"&amp;B14=LEFT(KHC,3)&amp;KH,_TH))</f>
        <v>96000</v>
      </c>
      <c r="L14" s="8">
        <f t="array" ref="L14">SUM(IF("341"&amp;B14=LEFT(KHC,3)&amp;KH,TH))</f>
        <v>2140416000</v>
      </c>
      <c r="M14" s="222">
        <f t="shared" si="1"/>
        <v>0</v>
      </c>
      <c r="N14" s="222">
        <f t="shared" si="2"/>
        <v>0</v>
      </c>
      <c r="O14" s="221">
        <f t="shared" si="3"/>
        <v>96000</v>
      </c>
      <c r="P14" s="222">
        <f t="shared" si="4"/>
        <v>2140416000</v>
      </c>
    </row>
    <row r="15" spans="1:16" s="10" customFormat="1" ht="18" customHeight="1">
      <c r="A15" s="846">
        <f t="shared" si="0"/>
        <v>11</v>
      </c>
      <c r="B15" s="72" t="s">
        <v>2170</v>
      </c>
      <c r="C15" s="219">
        <v>42660</v>
      </c>
      <c r="D15" s="219"/>
      <c r="E15" s="219"/>
      <c r="F15" s="8"/>
      <c r="G15" s="220"/>
      <c r="H15" s="8"/>
      <c r="I15" s="322">
        <f t="array" ref="I15">SUM(IF("341"&amp;B15=LEFT(KHN,3)&amp;KH,_TH))</f>
        <v>0</v>
      </c>
      <c r="J15" s="8">
        <f t="array" ref="J15">SUM(IF("341"&amp;B15=LEFT(KHN,3)&amp;KH,TH))</f>
        <v>0</v>
      </c>
      <c r="K15" s="220">
        <f t="array" ref="K15">SUM(IF("341"&amp;B15=LEFT(KHC,3)&amp;KH,_TH))</f>
        <v>96000</v>
      </c>
      <c r="L15" s="8">
        <f t="array" ref="L15">SUM(IF("341"&amp;B15=LEFT(KHC,3)&amp;KH,TH))</f>
        <v>2140896000</v>
      </c>
      <c r="M15" s="222">
        <f t="shared" si="1"/>
        <v>0</v>
      </c>
      <c r="N15" s="222">
        <f t="shared" si="2"/>
        <v>0</v>
      </c>
      <c r="O15" s="221">
        <f t="shared" si="3"/>
        <v>96000</v>
      </c>
      <c r="P15" s="222">
        <f t="shared" si="4"/>
        <v>2140896000</v>
      </c>
    </row>
    <row r="16" spans="1:16" s="10" customFormat="1" ht="18" customHeight="1">
      <c r="A16" s="846">
        <f t="shared" si="0"/>
        <v>12</v>
      </c>
      <c r="B16" s="72" t="s">
        <v>2171</v>
      </c>
      <c r="C16" s="219">
        <v>42674</v>
      </c>
      <c r="D16" s="219"/>
      <c r="E16" s="219"/>
      <c r="F16" s="8"/>
      <c r="G16" s="220"/>
      <c r="H16" s="8"/>
      <c r="I16" s="322">
        <f t="array" ref="I16">SUM(IF("341"&amp;B16=LEFT(KHN,3)&amp;KH,_TH))</f>
        <v>33400</v>
      </c>
      <c r="J16" s="8">
        <f t="array" ref="J16">SUM(IF("341"&amp;B16=LEFT(KHN,3)&amp;KH,TH))</f>
        <v>758848000</v>
      </c>
      <c r="K16" s="220">
        <f t="array" ref="K16">SUM(IF("341"&amp;B16=LEFT(KHC,3)&amp;KH,_TH))</f>
        <v>33400</v>
      </c>
      <c r="L16" s="8">
        <f t="array" ref="L16">SUM(IF("341"&amp;B16=LEFT(KHC,3)&amp;KH,TH))</f>
        <v>758848000</v>
      </c>
      <c r="M16" s="222">
        <f t="shared" si="1"/>
        <v>0</v>
      </c>
      <c r="N16" s="222">
        <f t="shared" si="2"/>
        <v>0</v>
      </c>
      <c r="O16" s="221">
        <f t="shared" si="3"/>
        <v>0</v>
      </c>
      <c r="P16" s="222">
        <f t="shared" si="4"/>
        <v>0</v>
      </c>
    </row>
    <row r="17" spans="1:16" s="10" customFormat="1" ht="18" customHeight="1">
      <c r="A17" s="846">
        <f t="shared" si="0"/>
        <v>13</v>
      </c>
      <c r="B17" s="1274" t="s">
        <v>2996</v>
      </c>
      <c r="C17" s="219">
        <v>42717</v>
      </c>
      <c r="D17" s="219"/>
      <c r="E17" s="219"/>
      <c r="F17" s="8"/>
      <c r="G17" s="220"/>
      <c r="H17" s="8"/>
      <c r="I17" s="322">
        <f t="array" ref="I17">SUM(IF("341"&amp;B17=LEFT(KHN,3)&amp;KH,_TH))</f>
        <v>0</v>
      </c>
      <c r="J17" s="8">
        <f t="array" ref="J17">SUM(IF("341"&amp;B17=LEFT(KHN,3)&amp;KH,TH))</f>
        <v>0</v>
      </c>
      <c r="K17" s="220">
        <f t="array" ref="K17">SUM(IF("341"&amp;B17=LEFT(KHC,3)&amp;KH,_TH))</f>
        <v>50400</v>
      </c>
      <c r="L17" s="8">
        <f t="array" ref="L17">SUM(IF("341"&amp;B17=LEFT(KHC,3)&amp;KH,TH))</f>
        <v>1139644800</v>
      </c>
      <c r="M17" s="222">
        <f t="shared" si="1"/>
        <v>0</v>
      </c>
      <c r="N17" s="222">
        <f t="shared" si="2"/>
        <v>0</v>
      </c>
      <c r="O17" s="221">
        <f t="shared" si="3"/>
        <v>50400</v>
      </c>
      <c r="P17" s="222">
        <f t="shared" si="4"/>
        <v>1139644800</v>
      </c>
    </row>
    <row r="18" spans="1:16" s="10" customFormat="1" ht="18" customHeight="1">
      <c r="A18" s="846">
        <f t="shared" si="0"/>
        <v>14</v>
      </c>
      <c r="B18" s="1274" t="s">
        <v>3000</v>
      </c>
      <c r="C18" s="219">
        <v>42718</v>
      </c>
      <c r="D18" s="219"/>
      <c r="E18" s="219"/>
      <c r="F18" s="8"/>
      <c r="G18" s="220"/>
      <c r="H18" s="8"/>
      <c r="I18" s="322">
        <f t="array" ref="I18">SUM(IF("341"&amp;B18=LEFT(KHN,3)&amp;KH,_TH))</f>
        <v>0</v>
      </c>
      <c r="J18" s="8">
        <f t="array" ref="J18">SUM(IF("341"&amp;B18=LEFT(KHN,3)&amp;KH,TH))</f>
        <v>0</v>
      </c>
      <c r="K18" s="220">
        <f t="array" ref="K18">SUM(IF("341"&amp;B18=LEFT(KHC,3)&amp;KH,_TH))</f>
        <v>137000</v>
      </c>
      <c r="L18" s="8">
        <f t="array" ref="L18">SUM(IF("341"&amp;B18=LEFT(KHC,3)&amp;KH,TH))</f>
        <v>3111270000</v>
      </c>
      <c r="M18" s="222">
        <f t="shared" si="1"/>
        <v>0</v>
      </c>
      <c r="N18" s="222">
        <f t="shared" si="2"/>
        <v>0</v>
      </c>
      <c r="O18" s="221">
        <f t="shared" si="3"/>
        <v>137000</v>
      </c>
      <c r="P18" s="222">
        <f t="shared" si="4"/>
        <v>3111270000</v>
      </c>
    </row>
    <row r="19" spans="1:16" s="10" customFormat="1" ht="18" customHeight="1">
      <c r="A19" s="846">
        <f t="shared" si="0"/>
        <v>15</v>
      </c>
      <c r="B19" s="1274" t="s">
        <v>2995</v>
      </c>
      <c r="C19" s="219">
        <v>42733</v>
      </c>
      <c r="D19" s="219"/>
      <c r="E19" s="219"/>
      <c r="F19" s="8"/>
      <c r="G19" s="220"/>
      <c r="H19" s="8"/>
      <c r="I19" s="322">
        <f t="array" ref="I19">SUM(IF("341"&amp;B19=LEFT(KHN,3)&amp;KH,_TH))</f>
        <v>0</v>
      </c>
      <c r="J19" s="8">
        <f t="array" ref="J19">SUM(IF("341"&amp;B19=LEFT(KHN,3)&amp;KH,TH))</f>
        <v>0</v>
      </c>
      <c r="K19" s="220">
        <f t="array" ref="K19">SUM(IF("341"&amp;B19=LEFT(KHC,3)&amp;KH,_TH))</f>
        <v>85000</v>
      </c>
      <c r="L19" s="8">
        <f t="array" ref="L19">SUM(IF("341"&amp;B19=LEFT(KHC,3)&amp;KH,TH))</f>
        <v>1934600000</v>
      </c>
      <c r="M19" s="222">
        <f t="shared" si="1"/>
        <v>0</v>
      </c>
      <c r="N19" s="222">
        <f t="shared" si="2"/>
        <v>0</v>
      </c>
      <c r="O19" s="221">
        <f t="shared" si="3"/>
        <v>85000</v>
      </c>
      <c r="P19" s="222">
        <f t="shared" si="4"/>
        <v>1934600000</v>
      </c>
    </row>
    <row r="20" spans="1:16" s="10" customFormat="1" ht="18" customHeight="1">
      <c r="A20" s="846">
        <f t="shared" si="0"/>
        <v>16</v>
      </c>
      <c r="B20" s="72" t="s">
        <v>1921</v>
      </c>
      <c r="C20" s="219">
        <v>42604</v>
      </c>
      <c r="D20" s="219"/>
      <c r="E20" s="219"/>
      <c r="F20" s="8"/>
      <c r="G20" s="220"/>
      <c r="H20" s="8"/>
      <c r="I20" s="322">
        <f t="array" ref="I20">SUM(IF("341"&amp;B20=LEFT(KHN,3)&amp;KH,_TH))</f>
        <v>63000</v>
      </c>
      <c r="J20" s="8">
        <f t="array" ref="J20">SUM(IF("341"&amp;B20=LEFT(KHN,3)&amp;KH,TH))</f>
        <v>1404396000</v>
      </c>
      <c r="K20" s="220">
        <f t="array" ref="K20">SUM(IF("341"&amp;B20=LEFT(KHC,3)&amp;KH,_TH))</f>
        <v>63000</v>
      </c>
      <c r="L20" s="8">
        <f t="array" ref="L20">SUM(IF("341"&amp;B20=LEFT(KHC,3)&amp;KH,TH))</f>
        <v>1404396000</v>
      </c>
      <c r="M20" s="222">
        <f t="shared" si="1"/>
        <v>0</v>
      </c>
      <c r="N20" s="222">
        <f t="shared" si="2"/>
        <v>0</v>
      </c>
      <c r="O20" s="221">
        <f t="shared" si="3"/>
        <v>0</v>
      </c>
      <c r="P20" s="222">
        <f t="shared" si="4"/>
        <v>0</v>
      </c>
    </row>
    <row r="21" spans="1:16" s="10" customFormat="1" ht="18" customHeight="1">
      <c r="A21" s="846">
        <f t="shared" si="0"/>
        <v>17</v>
      </c>
      <c r="B21" s="72" t="s">
        <v>2143</v>
      </c>
      <c r="C21" s="219">
        <v>42664</v>
      </c>
      <c r="D21" s="219"/>
      <c r="E21" s="219"/>
      <c r="F21" s="8"/>
      <c r="G21" s="220"/>
      <c r="H21" s="8"/>
      <c r="I21" s="322">
        <f t="array" ref="I21">SUM(IF("341"&amp;B21=LEFT(KHN,3)&amp;KH,_TH))</f>
        <v>37611.32</v>
      </c>
      <c r="J21" s="8">
        <f t="array" ref="J21">SUM(IF("341"&amp;B21=LEFT(KHN,3)&amp;KH,TH))</f>
        <v>838753203</v>
      </c>
      <c r="K21" s="220">
        <f t="array" ref="K21">SUM(IF("341"&amp;B21=LEFT(KHC,3)&amp;KH,_TH))</f>
        <v>37611.32</v>
      </c>
      <c r="L21" s="8">
        <f t="array" ref="L21">SUM(IF("341"&amp;B21=LEFT(KHC,3)&amp;KH,TH))</f>
        <v>838753203</v>
      </c>
      <c r="M21" s="221">
        <f t="shared" si="1"/>
        <v>0</v>
      </c>
      <c r="N21" s="222">
        <f t="shared" si="2"/>
        <v>0</v>
      </c>
      <c r="O21" s="221">
        <f t="shared" si="3"/>
        <v>0</v>
      </c>
      <c r="P21" s="222">
        <f t="shared" si="4"/>
        <v>0</v>
      </c>
    </row>
    <row r="22" spans="1:16" s="10" customFormat="1" ht="18" customHeight="1">
      <c r="A22" s="846">
        <f t="shared" si="0"/>
        <v>18</v>
      </c>
      <c r="B22" s="922" t="s">
        <v>1860</v>
      </c>
      <c r="C22" s="219">
        <v>42543</v>
      </c>
      <c r="D22" s="219"/>
      <c r="E22" s="219"/>
      <c r="F22" s="8"/>
      <c r="G22" s="220"/>
      <c r="H22" s="8"/>
      <c r="I22" s="322">
        <f t="array" ref="I22">SUM(IF("341"&amp;B22=LEFT(KHN,3)&amp;KH,_TH))</f>
        <v>781969.73</v>
      </c>
      <c r="J22" s="8">
        <f t="array" ref="J22">SUM(IF("341"&amp;B22=LEFT(KHN,3)&amp;KH,TH))</f>
        <v>17444180737</v>
      </c>
      <c r="K22" s="220">
        <f t="array" ref="K22">SUM(IF("341"&amp;B22=LEFT(KHC,3)&amp;KH,_TH))</f>
        <v>781969.73</v>
      </c>
      <c r="L22" s="8">
        <f t="array" ref="L22">SUM(IF("341"&amp;B22=LEFT(KHC,3)&amp;KH,TH))</f>
        <v>17444180737</v>
      </c>
      <c r="M22" s="222">
        <f t="shared" si="1"/>
        <v>0</v>
      </c>
      <c r="N22" s="222">
        <f t="shared" si="2"/>
        <v>0</v>
      </c>
      <c r="O22" s="221">
        <f t="shared" si="3"/>
        <v>0</v>
      </c>
      <c r="P22" s="222">
        <f t="shared" si="4"/>
        <v>0</v>
      </c>
    </row>
    <row r="23" spans="1:16" s="10" customFormat="1" ht="18" customHeight="1">
      <c r="A23" s="846">
        <f t="shared" si="0"/>
        <v>19</v>
      </c>
      <c r="B23" s="845" t="s">
        <v>1435</v>
      </c>
      <c r="C23" s="219">
        <v>42475</v>
      </c>
      <c r="D23" s="219"/>
      <c r="E23" s="219"/>
      <c r="F23" s="8"/>
      <c r="G23" s="220"/>
      <c r="H23" s="8"/>
      <c r="I23" s="322">
        <f t="array" ref="I23">SUM(IF("341"&amp;B23=LEFT(KHN,3)&amp;KH,_TH))</f>
        <v>0</v>
      </c>
      <c r="J23" s="8">
        <f t="array" ref="J23">SUM(IF("341"&amp;B23=LEFT(KHN,3)&amp;KH,TH))</f>
        <v>1600000000</v>
      </c>
      <c r="K23" s="220">
        <f t="array" ref="K23">SUM(IF("341"&amp;B23=LEFT(KHC,3)&amp;KH,_TH))</f>
        <v>0</v>
      </c>
      <c r="L23" s="8">
        <f t="array" ref="L23">SUM(IF("341"&amp;B23=LEFT(KHC,3)&amp;KH,TH))</f>
        <v>1600000000</v>
      </c>
      <c r="M23" s="222">
        <f t="shared" si="1"/>
        <v>0</v>
      </c>
      <c r="N23" s="222">
        <f t="shared" si="2"/>
        <v>0</v>
      </c>
      <c r="O23" s="221">
        <f t="shared" si="3"/>
        <v>0</v>
      </c>
      <c r="P23" s="222">
        <f t="shared" si="4"/>
        <v>0</v>
      </c>
    </row>
    <row r="24" spans="1:16" s="10" customFormat="1" ht="18" customHeight="1">
      <c r="A24" s="846">
        <f t="shared" si="0"/>
        <v>20</v>
      </c>
      <c r="B24" s="845" t="s">
        <v>1526</v>
      </c>
      <c r="C24" s="219">
        <v>42501</v>
      </c>
      <c r="D24" s="219"/>
      <c r="E24" s="219"/>
      <c r="F24" s="8"/>
      <c r="G24" s="220"/>
      <c r="H24" s="8"/>
      <c r="I24" s="322">
        <f t="array" ref="I24">SUM(IF("341"&amp;B24=LEFT(KHN,3)&amp;KH,_TH))</f>
        <v>0</v>
      </c>
      <c r="J24" s="8">
        <f t="array" ref="J24">SUM(IF("341"&amp;B24=LEFT(KHN,3)&amp;KH,TH))</f>
        <v>1418407200</v>
      </c>
      <c r="K24" s="220">
        <f t="array" ref="K24">SUM(IF("341"&amp;B24=LEFT(KHC,3)&amp;KH,_TH))</f>
        <v>0</v>
      </c>
      <c r="L24" s="8">
        <f t="array" ref="L24">SUM(IF("341"&amp;B24=LEFT(KHC,3)&amp;KH,TH))</f>
        <v>1418407200</v>
      </c>
      <c r="M24" s="222">
        <f t="shared" si="1"/>
        <v>0</v>
      </c>
      <c r="N24" s="222">
        <f t="shared" si="2"/>
        <v>0</v>
      </c>
      <c r="O24" s="221">
        <f t="shared" si="3"/>
        <v>0</v>
      </c>
      <c r="P24" s="222">
        <f t="shared" si="4"/>
        <v>0</v>
      </c>
    </row>
    <row r="25" spans="1:16" s="10" customFormat="1" ht="18" customHeight="1">
      <c r="A25" s="846">
        <f t="shared" si="0"/>
        <v>21</v>
      </c>
      <c r="B25" s="845" t="s">
        <v>1527</v>
      </c>
      <c r="C25" s="219">
        <v>42503</v>
      </c>
      <c r="D25" s="219"/>
      <c r="E25" s="219"/>
      <c r="F25" s="8"/>
      <c r="G25" s="220"/>
      <c r="H25" s="8"/>
      <c r="I25" s="322">
        <f t="array" ref="I25">SUM(IF("341"&amp;B25=LEFT(KHN,3)&amp;KH,_TH))</f>
        <v>0</v>
      </c>
      <c r="J25" s="8">
        <f t="array" ref="J25">SUM(IF("341"&amp;B25=LEFT(KHN,3)&amp;KH,TH))</f>
        <v>837658200</v>
      </c>
      <c r="K25" s="220">
        <f t="array" ref="K25">SUM(IF("341"&amp;B25=LEFT(KHC,3)&amp;KH,_TH))</f>
        <v>0</v>
      </c>
      <c r="L25" s="8">
        <f t="array" ref="L25">SUM(IF("341"&amp;B25=LEFT(KHC,3)&amp;KH,TH))</f>
        <v>837658200</v>
      </c>
      <c r="M25" s="222">
        <f t="shared" si="1"/>
        <v>0</v>
      </c>
      <c r="N25" s="222">
        <f t="shared" si="2"/>
        <v>0</v>
      </c>
      <c r="O25" s="221">
        <f t="shared" si="3"/>
        <v>0</v>
      </c>
      <c r="P25" s="222">
        <f t="shared" si="4"/>
        <v>0</v>
      </c>
    </row>
    <row r="26" spans="1:16" s="10" customFormat="1" ht="18" customHeight="1">
      <c r="A26" s="846">
        <f t="shared" si="0"/>
        <v>22</v>
      </c>
      <c r="B26" s="845" t="s">
        <v>1872</v>
      </c>
      <c r="C26" s="219">
        <v>42528</v>
      </c>
      <c r="D26" s="219"/>
      <c r="E26" s="219"/>
      <c r="F26" s="8"/>
      <c r="G26" s="220"/>
      <c r="H26" s="8"/>
      <c r="I26" s="322">
        <f t="array" ref="I26">SUM(IF("341"&amp;B26=LEFT(KHN,3)&amp;KH,_TH))</f>
        <v>76050</v>
      </c>
      <c r="J26" s="8">
        <f t="array" ref="J26">SUM(IF("341"&amp;B26=LEFT(KHN,3)&amp;KH,TH))</f>
        <v>1697436000</v>
      </c>
      <c r="K26" s="220">
        <f t="array" ref="K26">SUM(IF("341"&amp;B26=LEFT(KHC,3)&amp;KH,_TH))</f>
        <v>76050</v>
      </c>
      <c r="L26" s="8">
        <f t="array" ref="L26">SUM(IF("341"&amp;B26=LEFT(KHC,3)&amp;KH,TH))</f>
        <v>1697436000</v>
      </c>
      <c r="M26" s="222">
        <f t="shared" si="1"/>
        <v>0</v>
      </c>
      <c r="N26" s="222">
        <f t="shared" si="2"/>
        <v>0</v>
      </c>
      <c r="O26" s="221">
        <f t="shared" si="3"/>
        <v>0</v>
      </c>
      <c r="P26" s="222">
        <f t="shared" si="4"/>
        <v>0</v>
      </c>
    </row>
    <row r="27" spans="1:16" s="10" customFormat="1" ht="18" customHeight="1">
      <c r="A27" s="846">
        <f t="shared" si="0"/>
        <v>23</v>
      </c>
      <c r="B27" s="7" t="s">
        <v>705</v>
      </c>
      <c r="C27" s="219">
        <v>40200</v>
      </c>
      <c r="D27" s="219">
        <v>0</v>
      </c>
      <c r="E27" s="219">
        <v>0</v>
      </c>
      <c r="F27" s="8">
        <v>0</v>
      </c>
      <c r="G27" s="220">
        <v>13915</v>
      </c>
      <c r="H27" s="8">
        <v>312878775</v>
      </c>
      <c r="I27" s="322">
        <f t="array" ref="I27">SUM(IF("341"&amp;B27=LEFT(KHN,3)&amp;KH,_TH))</f>
        <v>13915</v>
      </c>
      <c r="J27" s="8">
        <f t="array" ref="J27">SUM(IF("341"&amp;B27=LEFT(KHN,3)&amp;KH,TH))</f>
        <v>312878775</v>
      </c>
      <c r="K27" s="220">
        <f t="array" ref="K27">SUM(IF("341"&amp;B27=LEFT(KHC,3)&amp;KH,_TH))</f>
        <v>0</v>
      </c>
      <c r="L27" s="8">
        <f t="array" ref="L27">SUM(IF("341"&amp;B27=LEFT(KHC,3)&amp;KH,TH))</f>
        <v>0</v>
      </c>
      <c r="M27" s="222">
        <f t="shared" si="1"/>
        <v>0</v>
      </c>
      <c r="N27" s="222">
        <f t="shared" si="2"/>
        <v>0</v>
      </c>
      <c r="O27" s="221">
        <f t="shared" si="3"/>
        <v>0</v>
      </c>
      <c r="P27" s="222">
        <f t="shared" si="4"/>
        <v>0</v>
      </c>
    </row>
    <row r="28" spans="1:16" s="10" customFormat="1" ht="18" customHeight="1">
      <c r="A28" s="846">
        <f t="shared" si="0"/>
        <v>24</v>
      </c>
      <c r="B28" s="7" t="s">
        <v>698</v>
      </c>
      <c r="C28" s="219">
        <v>40964</v>
      </c>
      <c r="D28" s="219">
        <v>0</v>
      </c>
      <c r="E28" s="219">
        <v>0</v>
      </c>
      <c r="F28" s="8">
        <v>0</v>
      </c>
      <c r="G28" s="220">
        <v>33319.39</v>
      </c>
      <c r="H28" s="8">
        <v>749186484</v>
      </c>
      <c r="I28" s="322">
        <f t="array" ref="I28">SUM(IF("341"&amp;B28=LEFT(KHN,3)&amp;KH,_TH))</f>
        <v>33319.39</v>
      </c>
      <c r="J28" s="8">
        <f t="array" ref="J28">SUM(IF("341"&amp;B28=LEFT(KHN,3)&amp;KH,TH))</f>
        <v>749186484</v>
      </c>
      <c r="K28" s="220">
        <f t="array" ref="K28">SUM(IF("341"&amp;B28=LEFT(KHC,3)&amp;KH,_TH))</f>
        <v>0</v>
      </c>
      <c r="L28" s="8">
        <f t="array" ref="L28">SUM(IF("341"&amp;B28=LEFT(KHC,3)&amp;KH,TH))</f>
        <v>0</v>
      </c>
      <c r="M28" s="222">
        <f t="shared" si="1"/>
        <v>0</v>
      </c>
      <c r="N28" s="222">
        <f t="shared" si="2"/>
        <v>0</v>
      </c>
      <c r="O28" s="221">
        <f t="shared" si="3"/>
        <v>0</v>
      </c>
      <c r="P28" s="222">
        <f t="shared" si="4"/>
        <v>0</v>
      </c>
    </row>
    <row r="29" spans="1:16" s="10" customFormat="1" ht="18" customHeight="1">
      <c r="A29" s="846">
        <f t="shared" si="0"/>
        <v>25</v>
      </c>
      <c r="B29" s="7" t="s">
        <v>699</v>
      </c>
      <c r="C29" s="219">
        <v>40964</v>
      </c>
      <c r="D29" s="219">
        <v>0</v>
      </c>
      <c r="E29" s="219">
        <v>0</v>
      </c>
      <c r="F29" s="8">
        <v>0</v>
      </c>
      <c r="G29" s="220">
        <v>20515.96</v>
      </c>
      <c r="H29" s="8">
        <v>461301361</v>
      </c>
      <c r="I29" s="322">
        <f t="array" ref="I29">SUM(IF("341"&amp;B29=LEFT(KHN,3)&amp;KH,_TH))</f>
        <v>20515.96</v>
      </c>
      <c r="J29" s="8">
        <f t="array" ref="J29">SUM(IF("341"&amp;B29=LEFT(KHN,3)&amp;KH,TH))</f>
        <v>461301361</v>
      </c>
      <c r="K29" s="220">
        <f t="array" ref="K29">SUM(IF("341"&amp;B29=LEFT(KHC,3)&amp;KH,_TH))</f>
        <v>0</v>
      </c>
      <c r="L29" s="8">
        <f t="array" ref="L29">SUM(IF("341"&amp;B29=LEFT(KHC,3)&amp;KH,TH))</f>
        <v>0</v>
      </c>
      <c r="M29" s="222">
        <f t="shared" si="1"/>
        <v>0</v>
      </c>
      <c r="N29" s="222">
        <f t="shared" si="2"/>
        <v>0</v>
      </c>
      <c r="O29" s="221">
        <f t="shared" si="3"/>
        <v>0</v>
      </c>
      <c r="P29" s="222">
        <f t="shared" si="4"/>
        <v>0</v>
      </c>
    </row>
    <row r="30" spans="1:16" s="10" customFormat="1" ht="18" customHeight="1">
      <c r="A30" s="846">
        <f t="shared" si="0"/>
        <v>26</v>
      </c>
      <c r="B30" s="7" t="s">
        <v>706</v>
      </c>
      <c r="C30" s="219">
        <v>40964</v>
      </c>
      <c r="D30" s="219">
        <v>0</v>
      </c>
      <c r="E30" s="219">
        <v>0</v>
      </c>
      <c r="F30" s="8">
        <v>0</v>
      </c>
      <c r="G30" s="220">
        <v>28719.38</v>
      </c>
      <c r="H30" s="8">
        <v>645755259</v>
      </c>
      <c r="I30" s="322">
        <f t="array" ref="I30">SUM(IF("341"&amp;B30=LEFT(KHN,3)&amp;KH,_TH))</f>
        <v>28719.38</v>
      </c>
      <c r="J30" s="8">
        <f t="array" ref="J30">SUM(IF("341"&amp;B30=LEFT(KHN,3)&amp;KH,TH))</f>
        <v>645755259</v>
      </c>
      <c r="K30" s="220">
        <f t="array" ref="K30">SUM(IF("341"&amp;B30=LEFT(KHC,3)&amp;KH,_TH))</f>
        <v>0</v>
      </c>
      <c r="L30" s="8">
        <f t="array" ref="L30">SUM(IF("341"&amp;B30=LEFT(KHC,3)&amp;KH,TH))</f>
        <v>0</v>
      </c>
      <c r="M30" s="222">
        <f t="shared" si="1"/>
        <v>0</v>
      </c>
      <c r="N30" s="222">
        <f t="shared" si="2"/>
        <v>0</v>
      </c>
      <c r="O30" s="221">
        <f t="shared" si="3"/>
        <v>0</v>
      </c>
      <c r="P30" s="222">
        <f t="shared" si="4"/>
        <v>0</v>
      </c>
    </row>
    <row r="31" spans="1:16" s="10" customFormat="1" ht="18" customHeight="1">
      <c r="A31" s="846">
        <f t="shared" si="0"/>
        <v>27</v>
      </c>
      <c r="B31" s="7" t="s">
        <v>702</v>
      </c>
      <c r="C31" s="219">
        <v>42205</v>
      </c>
      <c r="D31" s="219">
        <v>0</v>
      </c>
      <c r="E31" s="219">
        <v>0</v>
      </c>
      <c r="F31" s="8">
        <v>0</v>
      </c>
      <c r="G31" s="220">
        <v>97000</v>
      </c>
      <c r="H31" s="8">
        <v>2117025000</v>
      </c>
      <c r="I31" s="322">
        <f t="array" ref="I31">SUM(IF("341"&amp;B31=LEFT(KHN,3)&amp;KH,_TH))</f>
        <v>97000</v>
      </c>
      <c r="J31" s="8">
        <f t="array" ref="J31">SUM(IF("341"&amp;B31=LEFT(KHN,3)&amp;KH,TH))</f>
        <v>2168920000</v>
      </c>
      <c r="K31" s="220">
        <f t="array" ref="K31">SUM(IF("341"&amp;B31=LEFT(KHC,3)&amp;KH,_TH))</f>
        <v>0</v>
      </c>
      <c r="L31" s="8">
        <f t="array" ref="L31">SUM(IF("341"&amp;B31=LEFT(KHC,3)&amp;KH,TH))</f>
        <v>51895000</v>
      </c>
      <c r="M31" s="222">
        <f t="shared" si="1"/>
        <v>0</v>
      </c>
      <c r="N31" s="222">
        <f t="shared" si="2"/>
        <v>0</v>
      </c>
      <c r="O31" s="221">
        <f t="shared" si="3"/>
        <v>0</v>
      </c>
      <c r="P31" s="222">
        <f t="shared" si="4"/>
        <v>0</v>
      </c>
    </row>
    <row r="32" spans="1:16" s="10" customFormat="1" ht="18" customHeight="1">
      <c r="A32" s="846">
        <f t="shared" si="0"/>
        <v>28</v>
      </c>
      <c r="B32" s="7" t="s">
        <v>707</v>
      </c>
      <c r="C32" s="219">
        <v>42247</v>
      </c>
      <c r="D32" s="219">
        <v>0</v>
      </c>
      <c r="E32" s="219">
        <v>0</v>
      </c>
      <c r="F32" s="8">
        <v>0</v>
      </c>
      <c r="G32" s="220">
        <v>82000</v>
      </c>
      <c r="H32" s="8">
        <v>1842950000</v>
      </c>
      <c r="I32" s="322">
        <f t="array" ref="I32">SUM(IF("341"&amp;B32=LEFT(KHN,3)&amp;KH,_TH))</f>
        <v>82000</v>
      </c>
      <c r="J32" s="8">
        <f t="array" ref="J32">SUM(IF("341"&amp;B32=LEFT(KHN,3)&amp;KH,TH))</f>
        <v>1842950000</v>
      </c>
      <c r="K32" s="220">
        <f t="array" ref="K32">SUM(IF("341"&amp;B32=LEFT(KHC,3)&amp;KH,_TH))</f>
        <v>0</v>
      </c>
      <c r="L32" s="8">
        <f t="array" ref="L32">SUM(IF("341"&amp;B32=LEFT(KHC,3)&amp;KH,TH))</f>
        <v>0</v>
      </c>
      <c r="M32" s="222">
        <f t="shared" si="1"/>
        <v>0</v>
      </c>
      <c r="N32" s="222">
        <f t="shared" si="2"/>
        <v>0</v>
      </c>
      <c r="O32" s="221">
        <f t="shared" si="3"/>
        <v>0</v>
      </c>
      <c r="P32" s="222">
        <f t="shared" si="4"/>
        <v>0</v>
      </c>
    </row>
    <row r="33" spans="1:16" s="10" customFormat="1" ht="18" customHeight="1">
      <c r="A33" s="846">
        <f t="shared" si="0"/>
        <v>29</v>
      </c>
      <c r="B33" s="7" t="s">
        <v>708</v>
      </c>
      <c r="C33" s="219">
        <v>42248</v>
      </c>
      <c r="D33" s="219">
        <v>0</v>
      </c>
      <c r="E33" s="219">
        <v>0</v>
      </c>
      <c r="F33" s="8">
        <v>0</v>
      </c>
      <c r="G33" s="220">
        <v>40000</v>
      </c>
      <c r="H33" s="8">
        <v>899520000</v>
      </c>
      <c r="I33" s="322">
        <f t="array" ref="I33">SUM(IF("341"&amp;B33=LEFT(KHN,3)&amp;KH,_TH))</f>
        <v>40000</v>
      </c>
      <c r="J33" s="8">
        <f t="array" ref="J33">SUM(IF("341"&amp;B33=LEFT(KHN,3)&amp;KH,TH))</f>
        <v>899520000</v>
      </c>
      <c r="K33" s="220">
        <f t="array" ref="K33">SUM(IF("341"&amp;B33=LEFT(KHC,3)&amp;KH,_TH))</f>
        <v>0</v>
      </c>
      <c r="L33" s="8">
        <f t="array" ref="L33">SUM(IF("341"&amp;B33=LEFT(KHC,3)&amp;KH,TH))</f>
        <v>0</v>
      </c>
      <c r="M33" s="222">
        <f t="shared" si="1"/>
        <v>0</v>
      </c>
      <c r="N33" s="222">
        <f t="shared" si="2"/>
        <v>0</v>
      </c>
      <c r="O33" s="221">
        <f t="shared" si="3"/>
        <v>0</v>
      </c>
      <c r="P33" s="222">
        <f t="shared" si="4"/>
        <v>0</v>
      </c>
    </row>
    <row r="34" spans="1:16" s="10" customFormat="1" ht="18" customHeight="1">
      <c r="A34" s="846">
        <f t="shared" si="0"/>
        <v>30</v>
      </c>
      <c r="B34" s="7" t="s">
        <v>709</v>
      </c>
      <c r="C34" s="219">
        <v>42251</v>
      </c>
      <c r="D34" s="219">
        <v>0</v>
      </c>
      <c r="E34" s="219">
        <v>0</v>
      </c>
      <c r="F34" s="8">
        <v>0</v>
      </c>
      <c r="G34" s="220">
        <v>50000</v>
      </c>
      <c r="H34" s="8">
        <v>1124250000</v>
      </c>
      <c r="I34" s="322">
        <f t="array" ref="I34">SUM(IF("341"&amp;B34=LEFT(KHN,3)&amp;KH,_TH))</f>
        <v>50000</v>
      </c>
      <c r="J34" s="8">
        <f t="array" ref="J34">SUM(IF("341"&amp;B34=LEFT(KHN,3)&amp;KH,TH))</f>
        <v>1124250000</v>
      </c>
      <c r="K34" s="220">
        <f t="array" ref="K34">SUM(IF("341"&amp;B34=LEFT(KHC,3)&amp;KH,_TH))</f>
        <v>0</v>
      </c>
      <c r="L34" s="8">
        <f t="array" ref="L34">SUM(IF("341"&amp;B34=LEFT(KHC,3)&amp;KH,TH))</f>
        <v>0</v>
      </c>
      <c r="M34" s="222">
        <f t="shared" si="1"/>
        <v>0</v>
      </c>
      <c r="N34" s="222">
        <f t="shared" si="2"/>
        <v>0</v>
      </c>
      <c r="O34" s="221">
        <f t="shared" si="3"/>
        <v>0</v>
      </c>
      <c r="P34" s="222">
        <f t="shared" si="4"/>
        <v>0</v>
      </c>
    </row>
    <row r="35" spans="1:16" s="10" customFormat="1" ht="18" customHeight="1">
      <c r="A35" s="846">
        <f t="shared" si="0"/>
        <v>31</v>
      </c>
      <c r="B35" s="7" t="s">
        <v>710</v>
      </c>
      <c r="C35" s="219">
        <v>42278</v>
      </c>
      <c r="D35" s="219">
        <v>0</v>
      </c>
      <c r="E35" s="321">
        <v>0</v>
      </c>
      <c r="F35" s="25">
        <v>0</v>
      </c>
      <c r="G35" s="322">
        <v>89500</v>
      </c>
      <c r="H35" s="25">
        <v>2011244000</v>
      </c>
      <c r="I35" s="322">
        <f t="array" ref="I35">SUM(IF("341"&amp;B35=LEFT(KHN,3)&amp;KH,_TH))</f>
        <v>89500</v>
      </c>
      <c r="J35" s="8">
        <f t="array" ref="J35">SUM(IF("341"&amp;B35=LEFT(KHN,3)&amp;KH,TH))</f>
        <v>2011244000</v>
      </c>
      <c r="K35" s="220">
        <f t="array" ref="K35">SUM(IF("341"&amp;B35=LEFT(KHC,3)&amp;KH,_TH))</f>
        <v>0</v>
      </c>
      <c r="L35" s="8">
        <f t="array" ref="L35">SUM(IF("341"&amp;B35=LEFT(KHC,3)&amp;KH,TH))</f>
        <v>0</v>
      </c>
      <c r="M35" s="222">
        <f t="shared" si="1"/>
        <v>0</v>
      </c>
      <c r="N35" s="222">
        <f t="shared" si="2"/>
        <v>0</v>
      </c>
      <c r="O35" s="221">
        <f t="shared" si="3"/>
        <v>0</v>
      </c>
      <c r="P35" s="222">
        <f t="shared" si="4"/>
        <v>0</v>
      </c>
    </row>
    <row r="36" spans="1:16" s="10" customFormat="1" ht="18" customHeight="1">
      <c r="A36" s="846">
        <f t="shared" si="0"/>
        <v>32</v>
      </c>
      <c r="B36" s="7" t="s">
        <v>711</v>
      </c>
      <c r="C36" s="219">
        <v>42279</v>
      </c>
      <c r="D36" s="219">
        <v>0</v>
      </c>
      <c r="E36" s="219">
        <v>0</v>
      </c>
      <c r="F36" s="8">
        <v>0</v>
      </c>
      <c r="G36" s="220">
        <v>89000</v>
      </c>
      <c r="H36" s="8">
        <v>2001165000</v>
      </c>
      <c r="I36" s="322">
        <f t="array" ref="I36">SUM(IF("341"&amp;B36=LEFT(KHN,3)&amp;KH,_TH))</f>
        <v>89000</v>
      </c>
      <c r="J36" s="8">
        <f t="array" ref="J36">SUM(IF("341"&amp;B36=LEFT(KHN,3)&amp;KH,TH))</f>
        <v>2001165000</v>
      </c>
      <c r="K36" s="220">
        <f t="array" ref="K36">SUM(IF("341"&amp;B36=LEFT(KHC,3)&amp;KH,_TH))</f>
        <v>0</v>
      </c>
      <c r="L36" s="8">
        <f t="array" ref="L36">SUM(IF("341"&amp;B36=LEFT(KHC,3)&amp;KH,TH))</f>
        <v>0</v>
      </c>
      <c r="M36" s="222">
        <f t="shared" si="1"/>
        <v>0</v>
      </c>
      <c r="N36" s="222">
        <f t="shared" si="2"/>
        <v>0</v>
      </c>
      <c r="O36" s="221">
        <f t="shared" si="3"/>
        <v>0</v>
      </c>
      <c r="P36" s="222">
        <f t="shared" si="4"/>
        <v>0</v>
      </c>
    </row>
    <row r="37" spans="1:16" s="10" customFormat="1" ht="18" customHeight="1">
      <c r="A37" s="846">
        <f t="shared" ref="A37:A55" si="5">IF(B37&lt;&gt;"",ROW()-4,"")</f>
        <v>33</v>
      </c>
      <c r="B37" s="7" t="s">
        <v>718</v>
      </c>
      <c r="C37" s="219">
        <v>42328</v>
      </c>
      <c r="D37" s="219">
        <v>0</v>
      </c>
      <c r="E37" s="219">
        <v>0</v>
      </c>
      <c r="F37" s="8">
        <v>0</v>
      </c>
      <c r="G37" s="220">
        <v>61000</v>
      </c>
      <c r="H37" s="8">
        <v>1368840000</v>
      </c>
      <c r="I37" s="322">
        <f t="array" ref="I37">SUM(IF("341"&amp;B37=LEFT(KHN,3)&amp;KH,_TH))</f>
        <v>61000</v>
      </c>
      <c r="J37" s="8">
        <f t="array" ref="J37">SUM(IF("341"&amp;B37=LEFT(KHN,3)&amp;KH,TH))</f>
        <v>1368840000</v>
      </c>
      <c r="K37" s="220">
        <f t="array" ref="K37">SUM(IF("341"&amp;B37=LEFT(KHC,3)&amp;KH,_TH))</f>
        <v>0</v>
      </c>
      <c r="L37" s="8">
        <f t="array" ref="L37">SUM(IF("341"&amp;B37=LEFT(KHC,3)&amp;KH,TH))</f>
        <v>0</v>
      </c>
      <c r="M37" s="222">
        <f t="shared" ref="M37:M54" si="6">ROUND(MAX(E37+I37-G37-K37,0),2)</f>
        <v>0</v>
      </c>
      <c r="N37" s="222">
        <f t="shared" ref="N37:N54" si="7">ROUND(MAX(F37+J37-H37-L37,0),2)</f>
        <v>0</v>
      </c>
      <c r="O37" s="221">
        <f t="shared" ref="O37:O54" si="8">ROUND(MAX(G37+K37-E37-I37,0),2)</f>
        <v>0</v>
      </c>
      <c r="P37" s="222">
        <f t="shared" ref="P37:P54" si="9">ROUND(MAX(H37+L37-F37-J37,0),2)</f>
        <v>0</v>
      </c>
    </row>
    <row r="38" spans="1:16" s="10" customFormat="1" ht="18" customHeight="1">
      <c r="A38" s="846">
        <f t="shared" si="5"/>
        <v>34</v>
      </c>
      <c r="B38" s="7" t="s">
        <v>712</v>
      </c>
      <c r="C38" s="219">
        <v>42339</v>
      </c>
      <c r="D38" s="219">
        <v>0</v>
      </c>
      <c r="E38" s="219">
        <v>0</v>
      </c>
      <c r="F38" s="8">
        <v>0</v>
      </c>
      <c r="G38" s="220">
        <v>89000</v>
      </c>
      <c r="H38" s="8">
        <v>2001343000</v>
      </c>
      <c r="I38" s="322">
        <f t="array" ref="I38">SUM(IF("341"&amp;B38=LEFT(KHN,3)&amp;KH,_TH))</f>
        <v>89000</v>
      </c>
      <c r="J38" s="8">
        <f t="array" ref="J38">SUM(IF("341"&amp;B38=LEFT(KHN,3)&amp;KH,TH))</f>
        <v>2001343000</v>
      </c>
      <c r="K38" s="220">
        <f t="array" ref="K38">SUM(IF("341"&amp;B38=LEFT(KHC,3)&amp;KH,_TH))</f>
        <v>0</v>
      </c>
      <c r="L38" s="8">
        <f t="array" ref="L38">SUM(IF("341"&amp;B38=LEFT(KHC,3)&amp;KH,TH))</f>
        <v>0</v>
      </c>
      <c r="M38" s="222">
        <f t="shared" si="6"/>
        <v>0</v>
      </c>
      <c r="N38" s="222">
        <f t="shared" si="7"/>
        <v>0</v>
      </c>
      <c r="O38" s="221">
        <f t="shared" si="8"/>
        <v>0</v>
      </c>
      <c r="P38" s="222">
        <f t="shared" si="9"/>
        <v>0</v>
      </c>
    </row>
    <row r="39" spans="1:16" s="10" customFormat="1" ht="18" customHeight="1">
      <c r="A39" s="846">
        <f t="shared" si="5"/>
        <v>35</v>
      </c>
      <c r="B39" s="7" t="s">
        <v>713</v>
      </c>
      <c r="C39" s="219">
        <v>42360</v>
      </c>
      <c r="D39" s="219">
        <v>0</v>
      </c>
      <c r="E39" s="219">
        <v>0</v>
      </c>
      <c r="F39" s="8">
        <v>0</v>
      </c>
      <c r="G39" s="220">
        <v>88000</v>
      </c>
      <c r="H39" s="8">
        <v>1983520000</v>
      </c>
      <c r="I39" s="322">
        <f t="array" ref="I39">SUM(IF("341"&amp;B39=LEFT(KHN,3)&amp;KH,_TH))</f>
        <v>88000</v>
      </c>
      <c r="J39" s="8">
        <f t="array" ref="J39">SUM(IF("341"&amp;B39=LEFT(KHN,3)&amp;KH,TH))</f>
        <v>1983520000</v>
      </c>
      <c r="K39" s="220">
        <f t="array" ref="K39">SUM(IF("341"&amp;B39=LEFT(KHC,3)&amp;KH,_TH))</f>
        <v>0</v>
      </c>
      <c r="L39" s="8">
        <f t="array" ref="L39">SUM(IF("341"&amp;B39=LEFT(KHC,3)&amp;KH,TH))</f>
        <v>0</v>
      </c>
      <c r="M39" s="222">
        <f t="shared" si="6"/>
        <v>0</v>
      </c>
      <c r="N39" s="222">
        <f t="shared" si="7"/>
        <v>0</v>
      </c>
      <c r="O39" s="221">
        <f t="shared" si="8"/>
        <v>0</v>
      </c>
      <c r="P39" s="222">
        <f t="shared" si="9"/>
        <v>0</v>
      </c>
    </row>
    <row r="40" spans="1:16" s="10" customFormat="1" ht="18" customHeight="1">
      <c r="A40" s="846">
        <f t="shared" si="5"/>
        <v>36</v>
      </c>
      <c r="B40" s="7" t="s">
        <v>721</v>
      </c>
      <c r="C40" s="219">
        <v>42394</v>
      </c>
      <c r="D40" s="219"/>
      <c r="E40" s="219"/>
      <c r="F40" s="8"/>
      <c r="G40" s="220"/>
      <c r="H40" s="8"/>
      <c r="I40" s="322">
        <f t="array" ref="I40">SUM(IF("341"&amp;B40=LEFT(KHN,3)&amp;KH,_TH))</f>
        <v>97000</v>
      </c>
      <c r="J40" s="8">
        <f t="array" ref="J40">SUM(IF("341"&amp;B40=LEFT(KHN,3)&amp;KH,TH))</f>
        <v>2168920000</v>
      </c>
      <c r="K40" s="220">
        <f t="array" ref="K40">SUM(IF("341"&amp;B40=LEFT(KHC,3)&amp;KH,_TH))</f>
        <v>97000</v>
      </c>
      <c r="L40" s="8">
        <f t="array" ref="L40">SUM(IF("341"&amp;B40=LEFT(KHC,3)&amp;KH,TH))</f>
        <v>2168920000</v>
      </c>
      <c r="M40" s="222">
        <f t="shared" si="6"/>
        <v>0</v>
      </c>
      <c r="N40" s="222">
        <f t="shared" si="7"/>
        <v>0</v>
      </c>
      <c r="O40" s="221">
        <f t="shared" si="8"/>
        <v>0</v>
      </c>
      <c r="P40" s="222">
        <f t="shared" si="9"/>
        <v>0</v>
      </c>
    </row>
    <row r="41" spans="1:16" s="10" customFormat="1" ht="18" customHeight="1">
      <c r="A41" s="846">
        <f t="shared" si="5"/>
        <v>37</v>
      </c>
      <c r="B41" s="72" t="s">
        <v>1168</v>
      </c>
      <c r="C41" s="219">
        <v>42436</v>
      </c>
      <c r="D41" s="219"/>
      <c r="E41" s="219"/>
      <c r="F41" s="8"/>
      <c r="G41" s="220"/>
      <c r="H41" s="8"/>
      <c r="I41" s="322">
        <f t="array" ref="I41">SUM(IF("341"&amp;B41=LEFT(KHN,3)&amp;KH,_TH))</f>
        <v>82000</v>
      </c>
      <c r="J41" s="8">
        <f t="array" ref="J41">SUM(IF("341"&amp;B41=LEFT(KHN,3)&amp;KH,TH))</f>
        <v>1829256000</v>
      </c>
      <c r="K41" s="220">
        <f t="array" ref="K41">SUM(IF("341"&amp;B41=LEFT(KHC,3)&amp;KH,_TH))</f>
        <v>82000</v>
      </c>
      <c r="L41" s="8">
        <f t="array" ref="L41">SUM(IF("341"&amp;B41=LEFT(KHC,3)&amp;KH,TH))</f>
        <v>1829256000</v>
      </c>
      <c r="M41" s="222">
        <f t="shared" si="6"/>
        <v>0</v>
      </c>
      <c r="N41" s="222">
        <f t="shared" si="7"/>
        <v>0</v>
      </c>
      <c r="O41" s="221">
        <f t="shared" si="8"/>
        <v>0</v>
      </c>
      <c r="P41" s="222">
        <f t="shared" si="9"/>
        <v>0</v>
      </c>
    </row>
    <row r="42" spans="1:16" s="10" customFormat="1" ht="18" customHeight="1">
      <c r="A42" s="846">
        <f t="shared" si="5"/>
        <v>38</v>
      </c>
      <c r="B42" s="72" t="s">
        <v>1169</v>
      </c>
      <c r="C42" s="219">
        <v>42437</v>
      </c>
      <c r="D42" s="219"/>
      <c r="E42" s="219"/>
      <c r="F42" s="8"/>
      <c r="G42" s="220"/>
      <c r="H42" s="8"/>
      <c r="I42" s="322">
        <f t="array" ref="I42">SUM(IF("341"&amp;B42=LEFT(KHN,3)&amp;KH,_TH))</f>
        <v>90000</v>
      </c>
      <c r="J42" s="8">
        <f t="array" ref="J42">SUM(IF("341"&amp;B42=LEFT(KHN,3)&amp;KH,TH))</f>
        <v>2007720000</v>
      </c>
      <c r="K42" s="220">
        <f t="array" ref="K42">SUM(IF("341"&amp;B42=LEFT(KHC,3)&amp;KH,_TH))</f>
        <v>90000</v>
      </c>
      <c r="L42" s="8">
        <f t="array" ref="L42">SUM(IF("341"&amp;B42=LEFT(KHC,3)&amp;KH,TH))</f>
        <v>2007720000</v>
      </c>
      <c r="M42" s="222">
        <f t="shared" si="6"/>
        <v>0</v>
      </c>
      <c r="N42" s="222">
        <f t="shared" si="7"/>
        <v>0</v>
      </c>
      <c r="O42" s="221">
        <f t="shared" si="8"/>
        <v>0</v>
      </c>
      <c r="P42" s="222">
        <f t="shared" si="9"/>
        <v>0</v>
      </c>
    </row>
    <row r="43" spans="1:16" s="10" customFormat="1" ht="18" customHeight="1">
      <c r="A43" s="846">
        <f t="shared" si="5"/>
        <v>39</v>
      </c>
      <c r="B43" s="7" t="s">
        <v>704</v>
      </c>
      <c r="C43" s="219">
        <v>42234</v>
      </c>
      <c r="D43" s="219">
        <v>0</v>
      </c>
      <c r="E43" s="219">
        <v>0</v>
      </c>
      <c r="F43" s="8">
        <v>0</v>
      </c>
      <c r="G43" s="220">
        <v>52300</v>
      </c>
      <c r="H43" s="8">
        <v>1154784000</v>
      </c>
      <c r="I43" s="322">
        <f t="array" ref="I43">SUM(IF("341"&amp;B43=LEFT(KHN,3)&amp;KH,_TH))</f>
        <v>52300</v>
      </c>
      <c r="J43" s="8">
        <f t="array" ref="J43">SUM(IF("341"&amp;B43=LEFT(KHN,3)&amp;KH,TH))</f>
        <v>1176227000</v>
      </c>
      <c r="K43" s="220">
        <f t="array" ref="K43">SUM(IF("341"&amp;B43=LEFT(KHC,3)&amp;KH,_TH))</f>
        <v>0</v>
      </c>
      <c r="L43" s="8">
        <f t="array" ref="L43">SUM(IF("341"&amp;B43=LEFT(KHC,3)&amp;KH,TH))</f>
        <v>21443000</v>
      </c>
      <c r="M43" s="222">
        <f t="shared" si="6"/>
        <v>0</v>
      </c>
      <c r="N43" s="222">
        <f t="shared" si="7"/>
        <v>0</v>
      </c>
      <c r="O43" s="221">
        <f t="shared" si="8"/>
        <v>0</v>
      </c>
      <c r="P43" s="222">
        <f t="shared" si="9"/>
        <v>0</v>
      </c>
    </row>
    <row r="44" spans="1:16" s="10" customFormat="1" ht="18" customHeight="1">
      <c r="A44" s="846">
        <f t="shared" si="5"/>
        <v>40</v>
      </c>
      <c r="B44" s="7" t="s">
        <v>714</v>
      </c>
      <c r="C44" s="219">
        <v>42340</v>
      </c>
      <c r="D44" s="219">
        <v>0</v>
      </c>
      <c r="E44" s="219">
        <v>0</v>
      </c>
      <c r="F44" s="8">
        <v>0</v>
      </c>
      <c r="G44" s="220">
        <v>70900</v>
      </c>
      <c r="H44" s="8">
        <v>1595604500</v>
      </c>
      <c r="I44" s="322">
        <f t="array" ref="I44">SUM(IF("341"&amp;B44=LEFT(KHN,3)&amp;KH,_TH))</f>
        <v>70900</v>
      </c>
      <c r="J44" s="8">
        <f t="array" ref="J44">SUM(IF("341"&amp;B44=LEFT(KHN,3)&amp;KH,TH))</f>
        <v>1595604500</v>
      </c>
      <c r="K44" s="220">
        <f t="array" ref="K44">SUM(IF("341"&amp;B44=LEFT(KHC,3)&amp;KH,_TH))</f>
        <v>0</v>
      </c>
      <c r="L44" s="8">
        <f t="array" ref="L44">SUM(IF("341"&amp;B44=LEFT(KHC,3)&amp;KH,TH))</f>
        <v>0</v>
      </c>
      <c r="M44" s="222">
        <f t="shared" si="6"/>
        <v>0</v>
      </c>
      <c r="N44" s="222">
        <f t="shared" si="7"/>
        <v>0</v>
      </c>
      <c r="O44" s="221">
        <f t="shared" si="8"/>
        <v>0</v>
      </c>
      <c r="P44" s="222">
        <f t="shared" si="9"/>
        <v>0</v>
      </c>
    </row>
    <row r="45" spans="1:16" s="10" customFormat="1" ht="18" customHeight="1">
      <c r="A45" s="846">
        <f t="shared" si="5"/>
        <v>41</v>
      </c>
      <c r="B45" s="7" t="s">
        <v>715</v>
      </c>
      <c r="C45" s="219">
        <v>42346</v>
      </c>
      <c r="D45" s="219">
        <v>0</v>
      </c>
      <c r="E45" s="219">
        <v>0</v>
      </c>
      <c r="F45" s="8">
        <v>0</v>
      </c>
      <c r="G45" s="220">
        <v>62000</v>
      </c>
      <c r="H45" s="8">
        <v>1392210000</v>
      </c>
      <c r="I45" s="322">
        <f t="array" ref="I45">SUM(IF("341"&amp;B45=LEFT(KHN,3)&amp;KH,_TH))</f>
        <v>62000</v>
      </c>
      <c r="J45" s="8">
        <f t="array" ref="J45">SUM(IF("341"&amp;B45=LEFT(KHN,3)&amp;KH,TH))</f>
        <v>1392210000</v>
      </c>
      <c r="K45" s="220">
        <f t="array" ref="K45">SUM(IF("341"&amp;B45=LEFT(KHC,3)&amp;KH,_TH))</f>
        <v>0</v>
      </c>
      <c r="L45" s="8">
        <f t="array" ref="L45">SUM(IF("341"&amp;B45=LEFT(KHC,3)&amp;KH,TH))</f>
        <v>0</v>
      </c>
      <c r="M45" s="222">
        <f t="shared" si="6"/>
        <v>0</v>
      </c>
      <c r="N45" s="222">
        <f t="shared" si="7"/>
        <v>0</v>
      </c>
      <c r="O45" s="221">
        <f t="shared" si="8"/>
        <v>0</v>
      </c>
      <c r="P45" s="222">
        <f t="shared" si="9"/>
        <v>0</v>
      </c>
    </row>
    <row r="46" spans="1:16" s="10" customFormat="1" ht="18" customHeight="1">
      <c r="A46" s="846">
        <f t="shared" si="5"/>
        <v>42</v>
      </c>
      <c r="B46" s="7" t="s">
        <v>716</v>
      </c>
      <c r="C46" s="219">
        <v>42348</v>
      </c>
      <c r="D46" s="219">
        <v>0</v>
      </c>
      <c r="E46" s="219">
        <v>0</v>
      </c>
      <c r="F46" s="8">
        <v>0</v>
      </c>
      <c r="G46" s="220">
        <v>33000</v>
      </c>
      <c r="H46" s="8">
        <v>741675000</v>
      </c>
      <c r="I46" s="322">
        <f t="array" ref="I46">SUM(IF("341"&amp;B46=LEFT(KHN,3)&amp;KH,_TH))</f>
        <v>33000</v>
      </c>
      <c r="J46" s="8">
        <f t="array" ref="J46">SUM(IF("341"&amp;B46=LEFT(KHN,3)&amp;KH,TH))</f>
        <v>741675000</v>
      </c>
      <c r="K46" s="220">
        <f t="array" ref="K46">SUM(IF("341"&amp;B46=LEFT(KHC,3)&amp;KH,_TH))</f>
        <v>0</v>
      </c>
      <c r="L46" s="8">
        <f t="array" ref="L46">SUM(IF("341"&amp;B46=LEFT(KHC,3)&amp;KH,TH))</f>
        <v>0</v>
      </c>
      <c r="M46" s="222">
        <f t="shared" si="6"/>
        <v>0</v>
      </c>
      <c r="N46" s="222">
        <f t="shared" si="7"/>
        <v>0</v>
      </c>
      <c r="O46" s="221">
        <f t="shared" si="8"/>
        <v>0</v>
      </c>
      <c r="P46" s="222">
        <f t="shared" si="9"/>
        <v>0</v>
      </c>
    </row>
    <row r="47" spans="1:16" s="10" customFormat="1" ht="18" customHeight="1">
      <c r="A47" s="846">
        <f t="shared" si="5"/>
        <v>43</v>
      </c>
      <c r="B47" s="7" t="s">
        <v>717</v>
      </c>
      <c r="C47" s="219">
        <v>42363</v>
      </c>
      <c r="D47" s="219">
        <v>0</v>
      </c>
      <c r="E47" s="219">
        <v>0</v>
      </c>
      <c r="F47" s="8">
        <v>0</v>
      </c>
      <c r="G47" s="220">
        <v>43000</v>
      </c>
      <c r="H47" s="8">
        <v>968790000</v>
      </c>
      <c r="I47" s="322">
        <f t="array" ref="I47">SUM(IF("341"&amp;B47=LEFT(KHN,3)&amp;KH,_TH))</f>
        <v>43000</v>
      </c>
      <c r="J47" s="8">
        <f t="array" ref="J47">SUM(IF("341"&amp;B47=LEFT(KHN,3)&amp;KH,TH))</f>
        <v>968790000</v>
      </c>
      <c r="K47" s="220">
        <f t="array" ref="K47">SUM(IF("341"&amp;B47=LEFT(KHC,3)&amp;KH,_TH))</f>
        <v>0</v>
      </c>
      <c r="L47" s="8">
        <f t="array" ref="L47">SUM(IF("341"&amp;B47=LEFT(KHC,3)&amp;KH,TH))</f>
        <v>0</v>
      </c>
      <c r="M47" s="222">
        <f t="shared" si="6"/>
        <v>0</v>
      </c>
      <c r="N47" s="222">
        <f t="shared" si="7"/>
        <v>0</v>
      </c>
      <c r="O47" s="221">
        <f t="shared" si="8"/>
        <v>0</v>
      </c>
      <c r="P47" s="222">
        <f t="shared" si="9"/>
        <v>0</v>
      </c>
    </row>
    <row r="48" spans="1:16" s="10" customFormat="1" ht="18" customHeight="1">
      <c r="A48" s="846">
        <f t="shared" si="5"/>
        <v>44</v>
      </c>
      <c r="B48" s="7" t="s">
        <v>727</v>
      </c>
      <c r="C48" s="219">
        <v>42398</v>
      </c>
      <c r="D48" s="219"/>
      <c r="E48" s="219"/>
      <c r="F48" s="8"/>
      <c r="G48" s="220"/>
      <c r="H48" s="8"/>
      <c r="I48" s="322">
        <f t="array" ref="I48">SUM(IF("341"&amp;B48=LEFT(KHN,3)&amp;KH,_TH))</f>
        <v>52300</v>
      </c>
      <c r="J48" s="8">
        <f t="array" ref="J48">SUM(IF("341"&amp;B48=LEFT(KHN,3)&amp;KH,TH))</f>
        <v>1165244000</v>
      </c>
      <c r="K48" s="220">
        <f t="array" ref="K48">SUM(IF("341"&amp;B48=LEFT(KHC,3)&amp;KH,_TH))</f>
        <v>52300</v>
      </c>
      <c r="L48" s="8">
        <f t="array" ref="L48">SUM(IF("341"&amp;B48=LEFT(KHC,3)&amp;KH,TH))</f>
        <v>1165244000</v>
      </c>
      <c r="M48" s="222">
        <f t="shared" si="6"/>
        <v>0</v>
      </c>
      <c r="N48" s="222">
        <f t="shared" si="7"/>
        <v>0</v>
      </c>
      <c r="O48" s="221">
        <f t="shared" si="8"/>
        <v>0</v>
      </c>
      <c r="P48" s="222">
        <f t="shared" si="9"/>
        <v>0</v>
      </c>
    </row>
    <row r="49" spans="1:16" s="10" customFormat="1" ht="18" customHeight="1">
      <c r="A49" s="846">
        <f t="shared" si="5"/>
        <v>45</v>
      </c>
      <c r="B49" s="72" t="s">
        <v>1650</v>
      </c>
      <c r="C49" s="64">
        <v>42529</v>
      </c>
      <c r="D49" s="219"/>
      <c r="E49" s="219"/>
      <c r="F49" s="8"/>
      <c r="G49" s="220"/>
      <c r="H49" s="8"/>
      <c r="I49" s="322">
        <f t="array" ref="I49">SUM(IF("341"&amp;B49=LEFT(KHN,3)&amp;KH,_TH))</f>
        <v>70900</v>
      </c>
      <c r="J49" s="8">
        <f t="array" ref="J49">SUM(IF("341"&amp;B49=LEFT(KHN,3)&amp;KH,TH))</f>
        <v>1612975000</v>
      </c>
      <c r="K49" s="220">
        <f t="array" ref="K49">SUM(IF("341"&amp;B49=LEFT(KHC,3)&amp;KH,_TH))</f>
        <v>70900</v>
      </c>
      <c r="L49" s="8">
        <f t="array" ref="L49">SUM(IF("341"&amp;B49=LEFT(KHC,3)&amp;KH,TH))</f>
        <v>1612975000</v>
      </c>
      <c r="M49" s="222">
        <f t="shared" si="6"/>
        <v>0</v>
      </c>
      <c r="N49" s="222">
        <f t="shared" si="7"/>
        <v>0</v>
      </c>
      <c r="O49" s="221">
        <f t="shared" si="8"/>
        <v>0</v>
      </c>
      <c r="P49" s="222">
        <f t="shared" si="9"/>
        <v>0</v>
      </c>
    </row>
    <row r="50" spans="1:16" s="10" customFormat="1" ht="18" customHeight="1">
      <c r="A50" s="846">
        <f t="shared" si="5"/>
        <v>46</v>
      </c>
      <c r="B50" s="72" t="s">
        <v>1652</v>
      </c>
      <c r="C50" s="64">
        <v>42529</v>
      </c>
      <c r="D50" s="219"/>
      <c r="E50" s="219"/>
      <c r="F50" s="8"/>
      <c r="G50" s="220"/>
      <c r="H50" s="8"/>
      <c r="I50" s="322">
        <f t="array" ref="I50">SUM(IF("341"&amp;B50=LEFT(KHN,3)&amp;KH,_TH))</f>
        <v>95000</v>
      </c>
      <c r="J50" s="8">
        <f t="array" ref="J50">SUM(IF("341"&amp;B50=LEFT(KHN,3)&amp;KH,TH))</f>
        <v>2161250000</v>
      </c>
      <c r="K50" s="220">
        <f t="array" ref="K50">SUM(IF("341"&amp;B50=LEFT(KHC,3)&amp;KH,_TH))</f>
        <v>95000</v>
      </c>
      <c r="L50" s="8">
        <f t="array" ref="L50">SUM(IF("341"&amp;B50=LEFT(KHC,3)&amp;KH,TH))</f>
        <v>2161250000</v>
      </c>
      <c r="M50" s="222">
        <f t="shared" si="6"/>
        <v>0</v>
      </c>
      <c r="N50" s="222">
        <f t="shared" si="7"/>
        <v>0</v>
      </c>
      <c r="O50" s="221">
        <f t="shared" si="8"/>
        <v>0</v>
      </c>
      <c r="P50" s="222">
        <f t="shared" si="9"/>
        <v>0</v>
      </c>
    </row>
    <row r="51" spans="1:16" s="10" customFormat="1" ht="18" customHeight="1">
      <c r="A51" s="846">
        <f t="shared" si="5"/>
        <v>47</v>
      </c>
      <c r="B51" s="72" t="s">
        <v>1877</v>
      </c>
      <c r="C51" s="219">
        <v>42552</v>
      </c>
      <c r="D51" s="219"/>
      <c r="E51" s="219"/>
      <c r="F51" s="8"/>
      <c r="G51" s="220"/>
      <c r="H51" s="8"/>
      <c r="I51" s="322">
        <f t="array" ref="I51">SUM(IF("341"&amp;B51=LEFT(KHN,3)&amp;KH,_TH))</f>
        <v>0</v>
      </c>
      <c r="J51" s="8">
        <f t="array" ref="J51">SUM(IF("341"&amp;B51=LEFT(KHN,3)&amp;KH,TH))</f>
        <v>0</v>
      </c>
      <c r="K51" s="220">
        <f t="array" ref="K51">SUM(IF("341"&amp;B51=LEFT(KHC,3)&amp;KH,_TH))</f>
        <v>43000</v>
      </c>
      <c r="L51" s="8">
        <f t="array" ref="L51">SUM(IF("341"&amp;B51=LEFT(KHC,3)&amp;KH,TH))</f>
        <v>959330000</v>
      </c>
      <c r="M51" s="222">
        <f t="shared" si="6"/>
        <v>0</v>
      </c>
      <c r="N51" s="222">
        <f t="shared" si="7"/>
        <v>0</v>
      </c>
      <c r="O51" s="221">
        <f t="shared" si="8"/>
        <v>43000</v>
      </c>
      <c r="P51" s="222">
        <f t="shared" si="9"/>
        <v>959330000</v>
      </c>
    </row>
    <row r="52" spans="1:16" s="10" customFormat="1" ht="18" customHeight="1">
      <c r="A52" s="846">
        <f t="shared" si="5"/>
        <v>48</v>
      </c>
      <c r="B52" s="72" t="s">
        <v>1880</v>
      </c>
      <c r="C52" s="219">
        <v>42586</v>
      </c>
      <c r="D52" s="219"/>
      <c r="E52" s="219"/>
      <c r="F52" s="8"/>
      <c r="G52" s="220"/>
      <c r="H52" s="8"/>
      <c r="I52" s="322">
        <f t="array" ref="I52">SUM(IF("341"&amp;B52=LEFT(KHN,3)&amp;KH,_TH))</f>
        <v>0</v>
      </c>
      <c r="J52" s="8">
        <f t="array" ref="J52">SUM(IF("341"&amp;B52=LEFT(KHN,3)&amp;KH,TH))</f>
        <v>0</v>
      </c>
      <c r="K52" s="220">
        <f t="array" ref="K52">SUM(IF("341"&amp;B52=LEFT(KHC,3)&amp;KH,_TH))</f>
        <v>52300</v>
      </c>
      <c r="L52" s="8">
        <f t="array" ref="L52">SUM(IF("341"&amp;B52=LEFT(KHC,3)&amp;KH,TH))</f>
        <v>1166028500</v>
      </c>
      <c r="M52" s="222">
        <f t="shared" si="6"/>
        <v>0</v>
      </c>
      <c r="N52" s="222">
        <f t="shared" si="7"/>
        <v>0</v>
      </c>
      <c r="O52" s="221">
        <f t="shared" si="8"/>
        <v>52300</v>
      </c>
      <c r="P52" s="222">
        <f t="shared" si="9"/>
        <v>1166028500</v>
      </c>
    </row>
    <row r="53" spans="1:16" s="10" customFormat="1" ht="18" customHeight="1">
      <c r="A53" s="846">
        <f t="shared" si="5"/>
        <v>49</v>
      </c>
      <c r="B53" s="72" t="s">
        <v>2728</v>
      </c>
      <c r="C53" s="219">
        <v>42710</v>
      </c>
      <c r="D53" s="219"/>
      <c r="E53" s="219"/>
      <c r="F53" s="8"/>
      <c r="G53" s="220"/>
      <c r="H53" s="8"/>
      <c r="I53" s="322">
        <f t="array" ref="I53">SUM(IF("341"&amp;B53=LEFT(KHN,3)&amp;KH,_TH))</f>
        <v>0</v>
      </c>
      <c r="J53" s="8">
        <f t="array" ref="J53">SUM(IF("341"&amp;B53=LEFT(KHN,3)&amp;KH,TH))</f>
        <v>0</v>
      </c>
      <c r="K53" s="220">
        <f t="array" ref="K53">SUM(IF("341"&amp;B53=LEFT(KHC,3)&amp;KH,_TH))</f>
        <v>93000</v>
      </c>
      <c r="L53" s="8">
        <f t="array" ref="L53">SUM(IF("341"&amp;B53=LEFT(KHC,3)&amp;KH,TH))</f>
        <v>2113425000</v>
      </c>
      <c r="M53" s="222">
        <f t="shared" si="6"/>
        <v>0</v>
      </c>
      <c r="N53" s="222">
        <f t="shared" si="7"/>
        <v>0</v>
      </c>
      <c r="O53" s="221">
        <f t="shared" si="8"/>
        <v>93000</v>
      </c>
      <c r="P53" s="222">
        <f t="shared" si="9"/>
        <v>2113425000</v>
      </c>
    </row>
    <row r="54" spans="1:16" s="10" customFormat="1" ht="18" customHeight="1">
      <c r="A54" s="846">
        <f t="shared" si="5"/>
        <v>50</v>
      </c>
      <c r="B54" s="72" t="s">
        <v>2736</v>
      </c>
      <c r="C54" s="219">
        <v>42718</v>
      </c>
      <c r="D54" s="219"/>
      <c r="E54" s="219"/>
      <c r="F54" s="8"/>
      <c r="G54" s="220"/>
      <c r="H54" s="8"/>
      <c r="I54" s="322">
        <f t="array" ref="I54">SUM(IF("341"&amp;B54=LEFT(KHN,3)&amp;KH,_TH))</f>
        <v>0</v>
      </c>
      <c r="J54" s="8">
        <f t="array" ref="J54">SUM(IF("341"&amp;B54=LEFT(KHN,3)&amp;KH,TH))</f>
        <v>0</v>
      </c>
      <c r="K54" s="220">
        <f t="array" ref="K54">SUM(IF("341"&amp;B54=LEFT(KHC,3)&amp;KH,_TH))</f>
        <v>70500</v>
      </c>
      <c r="L54" s="8">
        <f t="array" ref="L54">SUM(IF("341"&amp;B54=LEFT(KHC,3)&amp;KH,TH))</f>
        <v>1600702500</v>
      </c>
      <c r="M54" s="222">
        <f t="shared" si="6"/>
        <v>0</v>
      </c>
      <c r="N54" s="222">
        <f t="shared" si="7"/>
        <v>0</v>
      </c>
      <c r="O54" s="221">
        <f t="shared" si="8"/>
        <v>70500</v>
      </c>
      <c r="P54" s="222">
        <f t="shared" si="9"/>
        <v>1600702500</v>
      </c>
    </row>
    <row r="55" spans="1:16" s="10" customFormat="1" ht="18" customHeight="1">
      <c r="A55" s="846" t="str">
        <f t="shared" si="5"/>
        <v/>
      </c>
      <c r="B55" s="223"/>
      <c r="C55" s="224"/>
      <c r="D55" s="224"/>
      <c r="E55" s="224"/>
      <c r="F55" s="220"/>
      <c r="G55" s="220"/>
      <c r="H55" s="220"/>
      <c r="I55" s="220"/>
      <c r="J55" s="220"/>
      <c r="K55" s="220"/>
      <c r="L55" s="220"/>
      <c r="M55" s="322"/>
      <c r="N55" s="221"/>
      <c r="O55" s="221"/>
      <c r="P55" s="221"/>
    </row>
    <row r="56" spans="1:16" s="14" customFormat="1" ht="18" customHeight="1">
      <c r="A56" s="11"/>
      <c r="B56" s="12" t="s">
        <v>39</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01">
        <f>SUM(O5:O55)</f>
        <v>1223700</v>
      </c>
      <c r="P56" s="13">
        <f>SUM(P5:P55)</f>
        <v>27471593800</v>
      </c>
    </row>
    <row r="57" spans="1:16">
      <c r="J57" s="225">
        <f>J56-CĐPS!E56</f>
        <v>0</v>
      </c>
      <c r="L57" s="225">
        <f>L56-CĐPS!F55</f>
        <v>0</v>
      </c>
      <c r="P57" s="15"/>
    </row>
    <row r="58" spans="1:16">
      <c r="J58" s="225"/>
      <c r="K58" s="225"/>
      <c r="L58" s="225"/>
      <c r="P58" s="225"/>
    </row>
    <row r="60" spans="1:16">
      <c r="B60" s="218">
        <v>1</v>
      </c>
      <c r="C60" s="218">
        <v>2</v>
      </c>
      <c r="D60" s="218">
        <v>3</v>
      </c>
      <c r="E60" s="218">
        <v>4</v>
      </c>
      <c r="F60" s="218">
        <v>5</v>
      </c>
      <c r="G60" s="1102">
        <v>6</v>
      </c>
      <c r="H60" s="218">
        <v>7</v>
      </c>
      <c r="I60" s="1102">
        <v>8</v>
      </c>
      <c r="J60" s="218">
        <v>9</v>
      </c>
      <c r="K60" s="1102">
        <v>10</v>
      </c>
      <c r="L60" s="218">
        <v>11</v>
      </c>
      <c r="M60" s="218">
        <v>12</v>
      </c>
      <c r="N60" s="218">
        <v>13</v>
      </c>
      <c r="O60" s="1102">
        <v>14</v>
      </c>
      <c r="P60" s="218">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32" customWidth="1"/>
    <col min="2" max="2" width="7" style="232" customWidth="1"/>
    <col min="3" max="3" width="8.140625" style="232" customWidth="1"/>
    <col min="4" max="4" width="35.42578125" style="232" customWidth="1"/>
    <col min="5" max="5" width="6.5703125" style="232" customWidth="1"/>
    <col min="6" max="6" width="9.140625" style="232"/>
    <col min="7" max="7" width="9.7109375" style="232" customWidth="1"/>
    <col min="8" max="8" width="11.85546875" style="232" customWidth="1"/>
    <col min="9" max="9" width="9.7109375" style="232" customWidth="1"/>
    <col min="10" max="10" width="12.42578125" style="232" customWidth="1"/>
    <col min="11" max="11" width="9.28515625" style="232" customWidth="1"/>
    <col min="12" max="12" width="11" style="232" customWidth="1"/>
    <col min="13" max="13" width="10.85546875" style="232" customWidth="1"/>
    <col min="14" max="14" width="14" style="232" customWidth="1"/>
    <col min="15" max="16384" width="9.140625" style="232"/>
  </cols>
  <sheetData>
    <row r="1" spans="1:14" s="227" customFormat="1" ht="16.5" customHeight="1">
      <c r="A1" s="233" t="s">
        <v>14</v>
      </c>
      <c r="B1" s="226"/>
      <c r="C1" s="226"/>
      <c r="H1" s="226"/>
      <c r="I1" s="226"/>
      <c r="J1" s="1427" t="s">
        <v>232</v>
      </c>
      <c r="K1" s="1427"/>
      <c r="L1" s="1427"/>
      <c r="M1" s="1427"/>
      <c r="N1" s="1427"/>
    </row>
    <row r="2" spans="1:14" s="227" customFormat="1" ht="16.5" customHeight="1">
      <c r="A2" s="234" t="s">
        <v>175</v>
      </c>
      <c r="B2" s="338"/>
      <c r="C2" s="338"/>
      <c r="H2" s="228"/>
      <c r="I2" s="228"/>
      <c r="J2" s="1428" t="s">
        <v>233</v>
      </c>
      <c r="K2" s="1428"/>
      <c r="L2" s="1428"/>
      <c r="M2" s="1428"/>
      <c r="N2" s="1428"/>
    </row>
    <row r="3" spans="1:14" s="227" customFormat="1" ht="16.5" customHeight="1">
      <c r="A3" s="338"/>
      <c r="B3" s="338"/>
      <c r="C3" s="338"/>
      <c r="H3" s="228"/>
      <c r="I3" s="228"/>
      <c r="J3" s="1428"/>
      <c r="K3" s="1428"/>
      <c r="L3" s="1428"/>
      <c r="M3" s="1428"/>
      <c r="N3" s="1428"/>
    </row>
    <row r="4" spans="1:14" s="227" customFormat="1" ht="16.5" customHeight="1">
      <c r="A4" s="338"/>
      <c r="B4" s="338"/>
      <c r="C4" s="338"/>
      <c r="H4" s="228"/>
      <c r="I4" s="228"/>
      <c r="J4" s="339"/>
      <c r="K4" s="339"/>
      <c r="L4" s="339"/>
      <c r="M4" s="339"/>
      <c r="N4" s="339"/>
    </row>
    <row r="5" spans="1:14" s="18" customFormat="1" ht="23.25" customHeight="1">
      <c r="A5" s="1439" t="s">
        <v>234</v>
      </c>
      <c r="B5" s="1439"/>
      <c r="C5" s="1439"/>
      <c r="D5" s="1439"/>
      <c r="E5" s="1439"/>
      <c r="F5" s="1439"/>
      <c r="G5" s="1439"/>
      <c r="H5" s="1439"/>
      <c r="I5" s="1439"/>
      <c r="J5" s="1439"/>
      <c r="K5" s="1439"/>
      <c r="L5" s="1439"/>
      <c r="M5" s="1439"/>
      <c r="N5" s="1439"/>
    </row>
    <row r="6" spans="1:14" s="18" customFormat="1">
      <c r="A6" s="1384" t="s">
        <v>235</v>
      </c>
      <c r="B6" s="1384"/>
      <c r="C6" s="1384"/>
      <c r="D6" s="1384"/>
      <c r="E6" s="1384"/>
      <c r="F6" s="1384"/>
      <c r="G6" s="1384"/>
      <c r="H6" s="1384"/>
      <c r="I6" s="1384"/>
      <c r="J6" s="1384"/>
      <c r="K6" s="1384"/>
      <c r="L6" s="1384"/>
      <c r="M6" s="1384"/>
      <c r="N6" s="1384"/>
    </row>
    <row r="7" spans="1:14" s="18" customFormat="1">
      <c r="A7" s="1384" t="s">
        <v>236</v>
      </c>
      <c r="B7" s="1384"/>
      <c r="C7" s="1384"/>
      <c r="D7" s="1384"/>
      <c r="E7" s="1384"/>
      <c r="F7" s="1384"/>
      <c r="G7" s="1384"/>
      <c r="H7" s="1384"/>
      <c r="I7" s="1384"/>
      <c r="J7" s="1384"/>
      <c r="K7" s="1384"/>
      <c r="L7" s="1384"/>
      <c r="M7" s="1384"/>
      <c r="N7" s="1384"/>
    </row>
    <row r="8" spans="1:14" s="18" customFormat="1" ht="15" customHeight="1">
      <c r="A8" s="1384" t="str">
        <f>IF(MID($H$9,4,4)="1015","Đối tượng cho vay: NH Eximbank CN Q11","Đối tượng cho vay: NH Eximbank CN Q4")</f>
        <v>Đối tượng cho vay: NH Eximbank CN Q11</v>
      </c>
      <c r="B8" s="1384"/>
      <c r="C8" s="1384"/>
      <c r="D8" s="1384"/>
      <c r="E8" s="1384"/>
      <c r="F8" s="1384"/>
      <c r="G8" s="1384"/>
      <c r="H8" s="1384"/>
      <c r="I8" s="1384"/>
      <c r="J8" s="1384"/>
      <c r="K8" s="1384"/>
      <c r="L8" s="1384"/>
      <c r="M8" s="1384"/>
      <c r="N8" s="1384"/>
    </row>
    <row r="9" spans="1:14" s="18" customFormat="1">
      <c r="A9" s="337"/>
      <c r="B9" s="337"/>
      <c r="C9" s="337"/>
      <c r="D9" s="337"/>
      <c r="E9" s="337"/>
      <c r="F9" s="337"/>
      <c r="G9" s="20" t="s">
        <v>237</v>
      </c>
      <c r="H9" s="1484" t="s">
        <v>1526</v>
      </c>
      <c r="I9" s="1484"/>
      <c r="J9" s="340" t="str">
        <f>"ngày "&amp; TEXT(VLOOKUP($H$9,'341'!$B$5:$P$55,2,0),"dd/MM/yy")</f>
        <v>ngày 11/05/16</v>
      </c>
      <c r="K9" s="337"/>
      <c r="L9" s="337"/>
      <c r="M9" s="337"/>
      <c r="N9" s="337"/>
    </row>
    <row r="10" spans="1:14" s="18" customFormat="1">
      <c r="A10" s="1384" t="s">
        <v>238</v>
      </c>
      <c r="B10" s="1384"/>
      <c r="C10" s="1384"/>
      <c r="D10" s="1384"/>
      <c r="E10" s="1384"/>
      <c r="F10" s="1384"/>
      <c r="G10" s="1384"/>
      <c r="H10" s="1384"/>
      <c r="I10" s="1384"/>
      <c r="J10" s="1384"/>
      <c r="K10" s="1384"/>
      <c r="L10" s="1384"/>
      <c r="M10" s="1384"/>
      <c r="N10" s="1384"/>
    </row>
    <row r="11" spans="1:14" s="18" customFormat="1">
      <c r="C11" s="1429"/>
      <c r="D11" s="1429"/>
      <c r="E11" s="1429"/>
      <c r="F11" s="1429"/>
      <c r="G11" s="1429"/>
      <c r="H11" s="1429"/>
      <c r="I11" s="1429"/>
      <c r="J11" s="1429"/>
      <c r="K11" s="1429"/>
      <c r="L11" s="1429"/>
      <c r="M11" s="1429"/>
      <c r="N11" s="1429"/>
    </row>
    <row r="12" spans="1:14" s="18" customFormat="1" ht="15.75" customHeight="1">
      <c r="A12" s="1485" t="s">
        <v>21</v>
      </c>
      <c r="B12" s="1431" t="s">
        <v>1</v>
      </c>
      <c r="C12" s="1432"/>
      <c r="D12" s="1485" t="s">
        <v>0</v>
      </c>
      <c r="E12" s="1485" t="s">
        <v>15</v>
      </c>
      <c r="F12" s="1485" t="s">
        <v>239</v>
      </c>
      <c r="G12" s="1431" t="s">
        <v>22</v>
      </c>
      <c r="H12" s="1490"/>
      <c r="I12" s="1490"/>
      <c r="J12" s="1483"/>
      <c r="K12" s="1431" t="s">
        <v>31</v>
      </c>
      <c r="L12" s="1490"/>
      <c r="M12" s="1490"/>
      <c r="N12" s="1483"/>
    </row>
    <row r="13" spans="1:14" s="18" customFormat="1" ht="15.75" customHeight="1">
      <c r="A13" s="1486"/>
      <c r="B13" s="1491" t="s">
        <v>16</v>
      </c>
      <c r="C13" s="1491" t="s">
        <v>32</v>
      </c>
      <c r="D13" s="1486"/>
      <c r="E13" s="1486"/>
      <c r="F13" s="1488"/>
      <c r="G13" s="1482" t="s">
        <v>23</v>
      </c>
      <c r="H13" s="1483"/>
      <c r="I13" s="1482" t="s">
        <v>24</v>
      </c>
      <c r="J13" s="1483"/>
      <c r="K13" s="1482" t="s">
        <v>23</v>
      </c>
      <c r="L13" s="1483"/>
      <c r="M13" s="1482" t="s">
        <v>24</v>
      </c>
      <c r="N13" s="1483"/>
    </row>
    <row r="14" spans="1:14" s="18" customFormat="1" ht="32.25" customHeight="1">
      <c r="A14" s="1487"/>
      <c r="B14" s="1492"/>
      <c r="C14" s="1492"/>
      <c r="D14" s="1487"/>
      <c r="E14" s="1487"/>
      <c r="F14" s="1489"/>
      <c r="G14" s="30" t="s">
        <v>240</v>
      </c>
      <c r="H14" s="30" t="s">
        <v>241</v>
      </c>
      <c r="I14" s="30" t="s">
        <v>240</v>
      </c>
      <c r="J14" s="30" t="s">
        <v>241</v>
      </c>
      <c r="K14" s="30" t="s">
        <v>240</v>
      </c>
      <c r="L14" s="30" t="s">
        <v>241</v>
      </c>
      <c r="M14" s="30" t="s">
        <v>240</v>
      </c>
      <c r="N14" s="30" t="s">
        <v>241</v>
      </c>
    </row>
    <row r="15" spans="1:14" s="337" customFormat="1">
      <c r="A15" s="341" t="s">
        <v>2</v>
      </c>
      <c r="B15" s="342" t="s">
        <v>3</v>
      </c>
      <c r="C15" s="341" t="s">
        <v>4</v>
      </c>
      <c r="D15" s="341" t="s">
        <v>5</v>
      </c>
      <c r="E15" s="341" t="s">
        <v>6</v>
      </c>
      <c r="F15" s="341">
        <v>1</v>
      </c>
      <c r="G15" s="341">
        <v>2</v>
      </c>
      <c r="H15" s="341">
        <v>3</v>
      </c>
      <c r="I15" s="341">
        <v>4</v>
      </c>
      <c r="J15" s="341">
        <v>5</v>
      </c>
      <c r="K15" s="341">
        <v>6</v>
      </c>
      <c r="L15" s="341">
        <v>7</v>
      </c>
      <c r="M15" s="341">
        <v>8</v>
      </c>
      <c r="N15" s="341">
        <v>9</v>
      </c>
    </row>
    <row r="16" spans="1:14" s="18" customFormat="1" ht="19.5" customHeight="1">
      <c r="A16" s="355"/>
      <c r="B16" s="355"/>
      <c r="C16" s="355"/>
      <c r="D16" s="356" t="s">
        <v>7</v>
      </c>
      <c r="E16" s="357"/>
      <c r="F16" s="357"/>
      <c r="G16" s="355"/>
      <c r="H16" s="355"/>
      <c r="I16" s="355"/>
      <c r="J16" s="355"/>
      <c r="K16" s="358">
        <f>VLOOKUP($H$9,'341'!$B$5:$P$55,4,0)</f>
        <v>0</v>
      </c>
      <c r="L16" s="359">
        <f>VLOOKUP($H$9,'341'!$B$5:$P$55,5,0)</f>
        <v>0</v>
      </c>
      <c r="M16" s="358">
        <f>VLOOKUP($H$9,'341'!$B$5:$P$55,6,0)</f>
        <v>0</v>
      </c>
      <c r="N16" s="359">
        <f>VLOOKUP($H$9,'341'!$B$5:$P$55,7,0)</f>
        <v>0</v>
      </c>
    </row>
    <row r="17" spans="1:14" s="18" customFormat="1" ht="19.5" customHeight="1">
      <c r="A17" s="318">
        <f ca="1">IF(ROWS($1:1)&gt;COUNT(Dong4),"",OFFSET(TH!C$1,SMALL(Dong4,ROWS($1:1)),))</f>
        <v>42501</v>
      </c>
      <c r="B17" s="229" t="str">
        <f ca="1">IF(ROWS($1:1)&gt;COUNT(Dong4),"",OFFSET(TH!D$1,SMALL(Dong4,ROWS($1:1)),))</f>
        <v>CTGS</v>
      </c>
      <c r="C17" s="229">
        <f ca="1">IF(ROWS($1:1)&gt;COUNT(Dong4),"",OFFSET(TH!E$1,SMALL(Dong4,ROWS($1:1)),))</f>
        <v>42501</v>
      </c>
      <c r="D17" s="360" t="str">
        <f ca="1">IF(ROWS($1:1)&gt;COUNT(Dong4),"",OFFSET(TH!F$1,SMALL(Dong4,ROWS($1:1)),))</f>
        <v>Phí xử lý bộ chứng từ</v>
      </c>
      <c r="E17" s="229" t="str">
        <f ca="1">IF(ROWS($1:1)&gt;COUNT(Dong4),"",IF(LEFT(OFFSET(TH!O$1,SMALL(Dong4,ROWS($1:1)),),3)="341",OFFSET(TH!N$1,SMALL(Dong4,ROWS($1:1)),),OFFSET(TH!O$1,SMALL(Dong4,ROWS($1:1)),)))</f>
        <v>642</v>
      </c>
      <c r="F17" s="361"/>
      <c r="G17" s="362">
        <f ca="1">IF(ROWS($1:1)&gt;COUNT(Dong4),"",IF(LEFT(OFFSET(TH!N$1,SMALL(Dong4,ROWS($1:1)),),3)="341",OFFSET(TH!K$1,SMALL(Dong4,ROWS($1:1)),),0))</f>
        <v>0</v>
      </c>
      <c r="H17" s="361">
        <f ca="1">IF(ROWS($1:1)&gt;COUNT(Dong4),"",IF(LEFT(OFFSET(TH!N$1,SMALL(Dong4,ROWS($1:1)),),3)="341",OFFSET(TH!M$1,SMALL(Dong4,ROWS($1:1)),),0))</f>
        <v>0</v>
      </c>
      <c r="I17" s="362">
        <f ca="1">IF(ROWS($1:1)&gt;COUNT(Dong4),"",IF(LEFT(OFFSET(TH!O$1,SMALL(Dong4,ROWS($1:1)),),3)="341",OFFSET(TH!K$1,SMALL(Dong4,ROWS($1:1)),),0))</f>
        <v>0</v>
      </c>
      <c r="J17" s="361">
        <f ca="1">IF(ROWS($1:1)&gt;COUNT(Dong4),"",IF(LEFT(OFFSET(TH!O$1,SMALL(Dong4,ROWS($1:1)),),3)="341",OFFSET(TH!M$1,SMALL(Dong4,ROWS($1:1)),),0))</f>
        <v>222600</v>
      </c>
      <c r="K17" s="220">
        <f ca="1">IF(C17&lt;&gt;"",ROUND(MAX(K16+G17-I17-M16,0),2),0)</f>
        <v>0</v>
      </c>
      <c r="L17" s="8">
        <f ca="1">IF(C17&lt;&gt;"",MAX(L16-N16+H17-J17,0),0)</f>
        <v>0</v>
      </c>
      <c r="M17" s="220">
        <f ca="1">IF(C17&lt;&gt;"",ROUND(MAX(M16+I17-G17-K16,0),2),0)</f>
        <v>0</v>
      </c>
      <c r="N17" s="8">
        <f ca="1">IF(C17&lt;&gt;"",MAX(N16-L16+J17-H17,0),0)</f>
        <v>222600</v>
      </c>
    </row>
    <row r="18" spans="1:14" s="363" customFormat="1" ht="19.5" customHeight="1">
      <c r="A18" s="318">
        <f ca="1">IF(ROWS($1:2)&gt;COUNT(Dong4),"",OFFSET(TH!C$1,SMALL(Dong4,ROWS($1:2)),))</f>
        <v>42501</v>
      </c>
      <c r="B18" s="229" t="str">
        <f ca="1">IF(ROWS($1:2)&gt;COUNT(Dong4),"",OFFSET(TH!D$1,SMALL(Dong4,ROWS($1:2)),))</f>
        <v>CTGS</v>
      </c>
      <c r="C18" s="229">
        <f ca="1">IF(ROWS($1:2)&gt;COUNT(Dong4),"",OFFSET(TH!E$1,SMALL(Dong4,ROWS($1:2)),))</f>
        <v>42501</v>
      </c>
      <c r="D18" s="360" t="str">
        <f ca="1">IF(ROWS($1:2)&gt;COUNT(Dong4),"",OFFSET(TH!F$1,SMALL(Dong4,ROWS($1:2)),))</f>
        <v>VAT Phí xử lý bộ chứng từ</v>
      </c>
      <c r="E18" s="229" t="str">
        <f ca="1">IF(ROWS($1:2)&gt;COUNT(Dong4),"",IF(LEFT(OFFSET(TH!O$1,SMALL(Dong4,ROWS($1:2)),),3)="341",OFFSET(TH!N$1,SMALL(Dong4,ROWS($1:2)),),OFFSET(TH!O$1,SMALL(Dong4,ROWS($1:2)),)))</f>
        <v>1331</v>
      </c>
      <c r="F18" s="361"/>
      <c r="G18" s="362">
        <f ca="1">IF(ROWS($1:2)&gt;COUNT(Dong4),"",IF(LEFT(OFFSET(TH!N$1,SMALL(Dong4,ROWS($1:2)),),3)="341",OFFSET(TH!K$1,SMALL(Dong4,ROWS($1:2)),),0))</f>
        <v>0</v>
      </c>
      <c r="H18" s="361">
        <f ca="1">IF(ROWS($1:2)&gt;COUNT(Dong4),"",IF(LEFT(OFFSET(TH!N$1,SMALL(Dong4,ROWS($1:2)),),3)="341",OFFSET(TH!M$1,SMALL(Dong4,ROWS($1:2)),),0))</f>
        <v>0</v>
      </c>
      <c r="I18" s="362">
        <f ca="1">IF(ROWS($1:2)&gt;COUNT(Dong4),"",IF(LEFT(OFFSET(TH!O$1,SMALL(Dong4,ROWS($1:2)),),3)="341",OFFSET(TH!K$1,SMALL(Dong4,ROWS($1:2)),),0))</f>
        <v>0</v>
      </c>
      <c r="J18" s="361">
        <f ca="1">IF(ROWS($1:2)&gt;COUNT(Dong4),"",IF(LEFT(OFFSET(TH!O$1,SMALL(Dong4,ROWS($1:2)),),3)="341",OFFSET(TH!M$1,SMALL(Dong4,ROWS($1:2)),),0))</f>
        <v>22260</v>
      </c>
      <c r="K18" s="220">
        <f ca="1">IF(C18&lt;&gt;"",ROUND(MAX(K17+G18-I18-M17,0),2),0)</f>
        <v>0</v>
      </c>
      <c r="L18" s="8">
        <f ca="1">IF(C18&lt;&gt;"",MAX(L17-N17+H18-J18,0),0)</f>
        <v>0</v>
      </c>
      <c r="M18" s="220">
        <f ca="1">IF(C18&lt;&gt;"",ROUND(MAX(M17+I18-G18-K17,0),2),0)</f>
        <v>0</v>
      </c>
      <c r="N18" s="8">
        <f ca="1">IF(C18&lt;&gt;"",MAX(N17-L17+J18-H18,0),0)</f>
        <v>244860</v>
      </c>
    </row>
    <row r="19" spans="1:14" s="363" customFormat="1" ht="19.5" customHeight="1">
      <c r="A19" s="318">
        <f ca="1">IF(ROWS($1:3)&gt;COUNT(Dong4),"",OFFSET(TH!C$1,SMALL(Dong4,ROWS($1:3)),))</f>
        <v>42501</v>
      </c>
      <c r="B19" s="229" t="str">
        <f ca="1">IF(ROWS($1:3)&gt;COUNT(Dong4),"",OFFSET(TH!D$1,SMALL(Dong4,ROWS($1:3)),))</f>
        <v>CTGS</v>
      </c>
      <c r="C19" s="229">
        <f ca="1">IF(ROWS($1:3)&gt;COUNT(Dong4),"",OFFSET(TH!E$1,SMALL(Dong4,ROWS($1:3)),))</f>
        <v>42501</v>
      </c>
      <c r="D19" s="360" t="str">
        <f ca="1">IF(ROWS($1:3)&gt;COUNT(Dong4),"",OFFSET(TH!F$1,SMALL(Dong4,ROWS($1:3)),))</f>
        <v>Phí DHL</v>
      </c>
      <c r="E19" s="229" t="str">
        <f ca="1">IF(ROWS($1:3)&gt;COUNT(Dong4),"",IF(LEFT(OFFSET(TH!O$1,SMALL(Dong4,ROWS($1:3)),),3)="341",OFFSET(TH!N$1,SMALL(Dong4,ROWS($1:3)),),OFFSET(TH!O$1,SMALL(Dong4,ROWS($1:3)),)))</f>
        <v>642</v>
      </c>
      <c r="F19" s="361"/>
      <c r="G19" s="362">
        <f ca="1">IF(ROWS($1:3)&gt;COUNT(Dong4),"",IF(LEFT(OFFSET(TH!N$1,SMALL(Dong4,ROWS($1:3)),),3)="341",OFFSET(TH!K$1,SMALL(Dong4,ROWS($1:3)),),0))</f>
        <v>0</v>
      </c>
      <c r="H19" s="361">
        <f ca="1">IF(ROWS($1:3)&gt;COUNT(Dong4),"",IF(LEFT(OFFSET(TH!N$1,SMALL(Dong4,ROWS($1:3)),),3)="341",OFFSET(TH!M$1,SMALL(Dong4,ROWS($1:3)),),0))</f>
        <v>0</v>
      </c>
      <c r="I19" s="362">
        <f ca="1">IF(ROWS($1:3)&gt;COUNT(Dong4),"",IF(LEFT(OFFSET(TH!O$1,SMALL(Dong4,ROWS($1:3)),),3)="341",OFFSET(TH!K$1,SMALL(Dong4,ROWS($1:3)),),0))</f>
        <v>0</v>
      </c>
      <c r="J19" s="361">
        <f ca="1">IF(ROWS($1:3)&gt;COUNT(Dong4),"",IF(LEFT(OFFSET(TH!O$1,SMALL(Dong4,ROWS($1:3)),),3)="341",OFFSET(TH!M$1,SMALL(Dong4,ROWS($1:3)),),0))</f>
        <v>614821</v>
      </c>
      <c r="K19" s="220">
        <f ca="1">IF(C19&lt;&gt;"",ROUND(MAX(K18+G19-I19-M18,0),2),0)</f>
        <v>0</v>
      </c>
      <c r="L19" s="8">
        <f ca="1">IF(C19&lt;&gt;"",MAX(L18-N18+H19-J19,0),0)</f>
        <v>0</v>
      </c>
      <c r="M19" s="220">
        <f ca="1">IF(C19&lt;&gt;"",ROUND(MAX(M18+I19-G19-K18,0),2),0)</f>
        <v>0</v>
      </c>
      <c r="N19" s="8">
        <f ca="1">IF(C19&lt;&gt;"",MAX(N18-L18+J19-H19,0),0)</f>
        <v>859681</v>
      </c>
    </row>
    <row r="20" spans="1:14" s="363" customFormat="1" ht="19.5" customHeight="1">
      <c r="A20" s="318">
        <f ca="1">IF(ROWS($1:4)&gt;COUNT(Dong4),"",OFFSET(TH!C$1,SMALL(Dong4,ROWS($1:4)),))</f>
        <v>42501</v>
      </c>
      <c r="B20" s="229" t="str">
        <f ca="1">IF(ROWS($1:4)&gt;COUNT(Dong4),"",OFFSET(TH!D$1,SMALL(Dong4,ROWS($1:4)),))</f>
        <v>CTGS</v>
      </c>
      <c r="C20" s="229">
        <f ca="1">IF(ROWS($1:4)&gt;COUNT(Dong4),"",OFFSET(TH!E$1,SMALL(Dong4,ROWS($1:4)),))</f>
        <v>42501</v>
      </c>
      <c r="D20" s="360" t="str">
        <f ca="1">IF(ROWS($1:4)&gt;COUNT(Dong4),"",OFFSET(TH!F$1,SMALL(Dong4,ROWS($1:4)),))</f>
        <v>VAT Phí DHL</v>
      </c>
      <c r="E20" s="229" t="str">
        <f ca="1">IF(ROWS($1:4)&gt;COUNT(Dong4),"",IF(LEFT(OFFSET(TH!O$1,SMALL(Dong4,ROWS($1:4)),),3)="341",OFFSET(TH!N$1,SMALL(Dong4,ROWS($1:4)),),OFFSET(TH!O$1,SMALL(Dong4,ROWS($1:4)),)))</f>
        <v>1331</v>
      </c>
      <c r="F20" s="361"/>
      <c r="G20" s="362">
        <f ca="1">IF(ROWS($1:4)&gt;COUNT(Dong4),"",IF(LEFT(OFFSET(TH!N$1,SMALL(Dong4,ROWS($1:4)),),3)="341",OFFSET(TH!K$1,SMALL(Dong4,ROWS($1:4)),),0))</f>
        <v>0</v>
      </c>
      <c r="H20" s="361">
        <f ca="1">IF(ROWS($1:4)&gt;COUNT(Dong4),"",IF(LEFT(OFFSET(TH!N$1,SMALL(Dong4,ROWS($1:4)),),3)="341",OFFSET(TH!M$1,SMALL(Dong4,ROWS($1:4)),),0))</f>
        <v>0</v>
      </c>
      <c r="I20" s="362">
        <f ca="1">IF(ROWS($1:4)&gt;COUNT(Dong4),"",IF(LEFT(OFFSET(TH!O$1,SMALL(Dong4,ROWS($1:4)),),3)="341",OFFSET(TH!K$1,SMALL(Dong4,ROWS($1:4)),),0))</f>
        <v>0</v>
      </c>
      <c r="J20" s="361">
        <f ca="1">IF(ROWS($1:4)&gt;COUNT(Dong4),"",IF(LEFT(OFFSET(TH!O$1,SMALL(Dong4,ROWS($1:4)),),3)="341",OFFSET(TH!M$1,SMALL(Dong4,ROWS($1:4)),),0))</f>
        <v>61438</v>
      </c>
      <c r="K20" s="220">
        <f t="shared" ref="K20:K25" ca="1" si="0">IF(C20&lt;&gt;"",ROUND(MAX(K19+G20-I20-M19,0),2),0)</f>
        <v>0</v>
      </c>
      <c r="L20" s="8">
        <f t="shared" ref="L20:L25" ca="1" si="1">IF(C20&lt;&gt;"",MAX(L19-N19+H20-J20,0),0)</f>
        <v>0</v>
      </c>
      <c r="M20" s="220">
        <f t="shared" ref="M20:M25" ca="1" si="2">IF(C20&lt;&gt;"",ROUND(MAX(M19+I20-G20-K19,0),2),0)</f>
        <v>0</v>
      </c>
      <c r="N20" s="8">
        <f t="shared" ref="N20:N25" ca="1" si="3">IF(C20&lt;&gt;"",MAX(N19-L19+J20-H20,0),0)</f>
        <v>921119</v>
      </c>
    </row>
    <row r="21" spans="1:14" s="363" customFormat="1" ht="19.5" customHeight="1">
      <c r="A21" s="318">
        <f ca="1">IF(ROWS($1:5)&gt;COUNT(Dong4),"",OFFSET(TH!C$1,SMALL(Dong4,ROWS($1:5)),))</f>
        <v>42501</v>
      </c>
      <c r="B21" s="229" t="str">
        <f ca="1">IF(ROWS($1:5)&gt;COUNT(Dong4),"",OFFSET(TH!D$1,SMALL(Dong4,ROWS($1:5)),))</f>
        <v>GBC</v>
      </c>
      <c r="C21" s="229">
        <f ca="1">IF(ROWS($1:5)&gt;COUNT(Dong4),"",OFFSET(TH!E$1,SMALL(Dong4,ROWS($1:5)),))</f>
        <v>42501</v>
      </c>
      <c r="D21" s="360" t="str">
        <f ca="1">IF(ROWS($1:5)&gt;COUNT(Dong4),"",OFFSET(TH!F$1,SMALL(Dong4,ROWS($1:5)),))</f>
        <v>Chiết khấu LC</v>
      </c>
      <c r="E21" s="229" t="str">
        <f ca="1">IF(ROWS($1:5)&gt;COUNT(Dong4),"",IF(LEFT(OFFSET(TH!O$1,SMALL(Dong4,ROWS($1:5)),),3)="341",OFFSET(TH!N$1,SMALL(Dong4,ROWS($1:5)),),OFFSET(TH!O$1,SMALL(Dong4,ROWS($1:5)),)))</f>
        <v>1121</v>
      </c>
      <c r="F21" s="361"/>
      <c r="G21" s="362">
        <f ca="1">IF(ROWS($1:5)&gt;COUNT(Dong4),"",IF(LEFT(OFFSET(TH!N$1,SMALL(Dong4,ROWS($1:5)),),3)="341",OFFSET(TH!K$1,SMALL(Dong4,ROWS($1:5)),),0))</f>
        <v>0</v>
      </c>
      <c r="H21" s="361">
        <f ca="1">IF(ROWS($1:5)&gt;COUNT(Dong4),"",IF(LEFT(OFFSET(TH!N$1,SMALL(Dong4,ROWS($1:5)),),3)="341",OFFSET(TH!M$1,SMALL(Dong4,ROWS($1:5)),),0))</f>
        <v>0</v>
      </c>
      <c r="I21" s="362">
        <f ca="1">IF(ROWS($1:5)&gt;COUNT(Dong4),"",IF(LEFT(OFFSET(TH!O$1,SMALL(Dong4,ROWS($1:5)),),3)="341",OFFSET(TH!K$1,SMALL(Dong4,ROWS($1:5)),),0))</f>
        <v>0</v>
      </c>
      <c r="J21" s="361">
        <f ca="1">IF(ROWS($1:5)&gt;COUNT(Dong4),"",IF(LEFT(OFFSET(TH!O$1,SMALL(Dong4,ROWS($1:5)),),3)="341",OFFSET(TH!M$1,SMALL(Dong4,ROWS($1:5)),),0))</f>
        <v>1417486081</v>
      </c>
      <c r="K21" s="220">
        <f t="shared" ca="1" si="0"/>
        <v>0</v>
      </c>
      <c r="L21" s="8">
        <f t="shared" ca="1" si="1"/>
        <v>0</v>
      </c>
      <c r="M21" s="220">
        <f t="shared" ca="1" si="2"/>
        <v>0</v>
      </c>
      <c r="N21" s="8">
        <f t="shared" ca="1" si="3"/>
        <v>1418407200</v>
      </c>
    </row>
    <row r="22" spans="1:14" s="363" customFormat="1" ht="19.5" customHeight="1">
      <c r="A22" s="318">
        <f ca="1">IF(ROWS($1:6)&gt;COUNT(Dong4),"",OFFSET(TH!C$1,SMALL(Dong4,ROWS($1:6)),))</f>
        <v>42508</v>
      </c>
      <c r="B22" s="229" t="str">
        <f ca="1">IF(ROWS($1:6)&gt;COUNT(Dong4),"",OFFSET(TH!D$1,SMALL(Dong4,ROWS($1:6)),))</f>
        <v>GBN</v>
      </c>
      <c r="C22" s="229">
        <f ca="1">IF(ROWS($1:6)&gt;COUNT(Dong4),"",OFFSET(TH!E$1,SMALL(Dong4,ROWS($1:6)),))</f>
        <v>42508</v>
      </c>
      <c r="D22" s="360" t="str">
        <f ca="1">IF(ROWS($1:6)&gt;COUNT(Dong4),"",OFFSET(TH!F$1,SMALL(Dong4,ROWS($1:6)),))</f>
        <v>Trả tiền vay LC</v>
      </c>
      <c r="E22" s="229" t="str">
        <f ca="1">IF(ROWS($1:6)&gt;COUNT(Dong4),"",IF(LEFT(OFFSET(TH!O$1,SMALL(Dong4,ROWS($1:6)),),3)="341",OFFSET(TH!N$1,SMALL(Dong4,ROWS($1:6)),),OFFSET(TH!O$1,SMALL(Dong4,ROWS($1:6)),)))</f>
        <v>1121</v>
      </c>
      <c r="F22" s="361"/>
      <c r="G22" s="362">
        <f ca="1">IF(ROWS($1:6)&gt;COUNT(Dong4),"",IF(LEFT(OFFSET(TH!N$1,SMALL(Dong4,ROWS($1:6)),),3)="341",OFFSET(TH!K$1,SMALL(Dong4,ROWS($1:6)),),0))</f>
        <v>0</v>
      </c>
      <c r="H22" s="361">
        <f ca="1">IF(ROWS($1:6)&gt;COUNT(Dong4),"",IF(LEFT(OFFSET(TH!N$1,SMALL(Dong4,ROWS($1:6)),),3)="341",OFFSET(TH!M$1,SMALL(Dong4,ROWS($1:6)),),0))</f>
        <v>1418407200</v>
      </c>
      <c r="I22" s="362">
        <f ca="1">IF(ROWS($1:6)&gt;COUNT(Dong4),"",IF(LEFT(OFFSET(TH!O$1,SMALL(Dong4,ROWS($1:6)),),3)="341",OFFSET(TH!K$1,SMALL(Dong4,ROWS($1:6)),),0))</f>
        <v>0</v>
      </c>
      <c r="J22" s="361">
        <f ca="1">IF(ROWS($1:6)&gt;COUNT(Dong4),"",IF(LEFT(OFFSET(TH!O$1,SMALL(Dong4,ROWS($1:6)),),3)="341",OFFSET(TH!M$1,SMALL(Dong4,ROWS($1:6)),),0))</f>
        <v>0</v>
      </c>
      <c r="K22" s="220">
        <f t="shared" ca="1" si="0"/>
        <v>0</v>
      </c>
      <c r="L22" s="8">
        <f t="shared" ca="1" si="1"/>
        <v>0</v>
      </c>
      <c r="M22" s="220">
        <f t="shared" ca="1" si="2"/>
        <v>0</v>
      </c>
      <c r="N22" s="8">
        <f t="shared" ca="1" si="3"/>
        <v>0</v>
      </c>
    </row>
    <row r="23" spans="1:14" s="363" customFormat="1" ht="19.5" customHeight="1">
      <c r="A23" s="318" t="str">
        <f ca="1">IF(ROWS($1:7)&gt;COUNT(Dong4),"",OFFSET(TH!C$1,SMALL(Dong4,ROWS($1:7)),))</f>
        <v/>
      </c>
      <c r="B23" s="229" t="str">
        <f ca="1">IF(ROWS($1:7)&gt;COUNT(Dong4),"",OFFSET(TH!D$1,SMALL(Dong4,ROWS($1:7)),))</f>
        <v/>
      </c>
      <c r="C23" s="229" t="str">
        <f ca="1">IF(ROWS($1:7)&gt;COUNT(Dong4),"",OFFSET(TH!E$1,SMALL(Dong4,ROWS($1:7)),))</f>
        <v/>
      </c>
      <c r="D23" s="360" t="str">
        <f ca="1">IF(ROWS($1:7)&gt;COUNT(Dong4),"",OFFSET(TH!F$1,SMALL(Dong4,ROWS($1:7)),))</f>
        <v/>
      </c>
      <c r="E23" s="229" t="str">
        <f ca="1">IF(ROWS($1:7)&gt;COUNT(Dong4),"",IF(LEFT(OFFSET(TH!O$1,SMALL(Dong4,ROWS($1:7)),),3)="341",OFFSET(TH!N$1,SMALL(Dong4,ROWS($1:7)),),OFFSET(TH!O$1,SMALL(Dong4,ROWS($1:7)),)))</f>
        <v/>
      </c>
      <c r="F23" s="361"/>
      <c r="G23" s="362" t="str">
        <f ca="1">IF(ROWS($1:7)&gt;COUNT(Dong4),"",IF(LEFT(OFFSET(TH!N$1,SMALL(Dong4,ROWS($1:7)),),3)="341",OFFSET(TH!K$1,SMALL(Dong4,ROWS($1:7)),),0))</f>
        <v/>
      </c>
      <c r="H23" s="361" t="str">
        <f ca="1">IF(ROWS($1:7)&gt;COUNT(Dong4),"",IF(LEFT(OFFSET(TH!N$1,SMALL(Dong4,ROWS($1:7)),),3)="341",OFFSET(TH!M$1,SMALL(Dong4,ROWS($1:7)),),0))</f>
        <v/>
      </c>
      <c r="I23" s="362" t="str">
        <f ca="1">IF(ROWS($1:7)&gt;COUNT(Dong4),"",IF(LEFT(OFFSET(TH!O$1,SMALL(Dong4,ROWS($1:7)),),3)="341",OFFSET(TH!K$1,SMALL(Dong4,ROWS($1:7)),),0))</f>
        <v/>
      </c>
      <c r="J23" s="361" t="str">
        <f ca="1">IF(ROWS($1:7)&gt;COUNT(Dong4),"",IF(LEFT(OFFSET(TH!O$1,SMALL(Dong4,ROWS($1:7)),),3)="341",OFFSET(TH!M$1,SMALL(Dong4,ROWS($1:7)),),0))</f>
        <v/>
      </c>
      <c r="K23" s="220">
        <f t="shared" ca="1" si="0"/>
        <v>0</v>
      </c>
      <c r="L23" s="8">
        <f t="shared" ca="1" si="1"/>
        <v>0</v>
      </c>
      <c r="M23" s="220">
        <f t="shared" ca="1" si="2"/>
        <v>0</v>
      </c>
      <c r="N23" s="8">
        <f t="shared" ca="1" si="3"/>
        <v>0</v>
      </c>
    </row>
    <row r="24" spans="1:14" s="363" customFormat="1" ht="19.5" customHeight="1">
      <c r="A24" s="318" t="str">
        <f ca="1">IF(ROWS($1:8)&gt;COUNT(Dong4),"",OFFSET(TH!C$1,SMALL(Dong4,ROWS($1:8)),))</f>
        <v/>
      </c>
      <c r="B24" s="229" t="str">
        <f ca="1">IF(ROWS($1:8)&gt;COUNT(Dong4),"",OFFSET(TH!D$1,SMALL(Dong4,ROWS($1:8)),))</f>
        <v/>
      </c>
      <c r="C24" s="229" t="str">
        <f ca="1">IF(ROWS($1:8)&gt;COUNT(Dong4),"",OFFSET(TH!E$1,SMALL(Dong4,ROWS($1:8)),))</f>
        <v/>
      </c>
      <c r="D24" s="360" t="str">
        <f ca="1">IF(ROWS($1:8)&gt;COUNT(Dong4),"",OFFSET(TH!F$1,SMALL(Dong4,ROWS($1:8)),))</f>
        <v/>
      </c>
      <c r="E24" s="229" t="str">
        <f ca="1">IF(ROWS($1:8)&gt;COUNT(Dong4),"",IF(LEFT(OFFSET(TH!O$1,SMALL(Dong4,ROWS($1:8)),),3)="341",OFFSET(TH!N$1,SMALL(Dong4,ROWS($1:8)),),OFFSET(TH!O$1,SMALL(Dong4,ROWS($1:8)),)))</f>
        <v/>
      </c>
      <c r="F24" s="361"/>
      <c r="G24" s="362" t="str">
        <f ca="1">IF(ROWS($1:8)&gt;COUNT(Dong4),"",IF(LEFT(OFFSET(TH!N$1,SMALL(Dong4,ROWS($1:8)),),3)="341",OFFSET(TH!K$1,SMALL(Dong4,ROWS($1:8)),),0))</f>
        <v/>
      </c>
      <c r="H24" s="361" t="str">
        <f ca="1">IF(ROWS($1:8)&gt;COUNT(Dong4),"",IF(LEFT(OFFSET(TH!N$1,SMALL(Dong4,ROWS($1:8)),),3)="341",OFFSET(TH!M$1,SMALL(Dong4,ROWS($1:8)),),0))</f>
        <v/>
      </c>
      <c r="I24" s="362" t="str">
        <f ca="1">IF(ROWS($1:8)&gt;COUNT(Dong4),"",IF(LEFT(OFFSET(TH!O$1,SMALL(Dong4,ROWS($1:8)),),3)="341",OFFSET(TH!K$1,SMALL(Dong4,ROWS($1:8)),),0))</f>
        <v/>
      </c>
      <c r="J24" s="361" t="str">
        <f ca="1">IF(ROWS($1:8)&gt;COUNT(Dong4),"",IF(LEFT(OFFSET(TH!O$1,SMALL(Dong4,ROWS($1:8)),),3)="341",OFFSET(TH!M$1,SMALL(Dong4,ROWS($1:8)),),0))</f>
        <v/>
      </c>
      <c r="K24" s="220">
        <f t="shared" ca="1" si="0"/>
        <v>0</v>
      </c>
      <c r="L24" s="8">
        <f t="shared" ca="1" si="1"/>
        <v>0</v>
      </c>
      <c r="M24" s="220">
        <f t="shared" ca="1" si="2"/>
        <v>0</v>
      </c>
      <c r="N24" s="8">
        <f t="shared" ca="1" si="3"/>
        <v>0</v>
      </c>
    </row>
    <row r="25" spans="1:14" s="363" customFormat="1" ht="19.5" customHeight="1">
      <c r="A25" s="318" t="str">
        <f ca="1">IF(ROWS($1:9)&gt;COUNT(Dong4),"",OFFSET(TH!C$1,SMALL(Dong4,ROWS($1:9)),))</f>
        <v/>
      </c>
      <c r="B25" s="229" t="str">
        <f ca="1">IF(ROWS($1:9)&gt;COUNT(Dong4),"",OFFSET(TH!D$1,SMALL(Dong4,ROWS($1:9)),))</f>
        <v/>
      </c>
      <c r="C25" s="229" t="str">
        <f ca="1">IF(ROWS($1:9)&gt;COUNT(Dong4),"",OFFSET(TH!E$1,SMALL(Dong4,ROWS($1:9)),))</f>
        <v/>
      </c>
      <c r="D25" s="360" t="str">
        <f ca="1">IF(ROWS($1:9)&gt;COUNT(Dong4),"",OFFSET(TH!F$1,SMALL(Dong4,ROWS($1:9)),))</f>
        <v/>
      </c>
      <c r="E25" s="229" t="str">
        <f ca="1">IF(ROWS($1:9)&gt;COUNT(Dong4),"",IF(LEFT(OFFSET(TH!O$1,SMALL(Dong4,ROWS($1:9)),),3)="341",OFFSET(TH!N$1,SMALL(Dong4,ROWS($1:9)),),OFFSET(TH!O$1,SMALL(Dong4,ROWS($1:9)),)))</f>
        <v/>
      </c>
      <c r="F25" s="361"/>
      <c r="G25" s="362" t="str">
        <f ca="1">IF(ROWS($1:9)&gt;COUNT(Dong4),"",IF(LEFT(OFFSET(TH!N$1,SMALL(Dong4,ROWS($1:9)),),3)="341",OFFSET(TH!K$1,SMALL(Dong4,ROWS($1:9)),),0))</f>
        <v/>
      </c>
      <c r="H25" s="361" t="str">
        <f ca="1">IF(ROWS($1:9)&gt;COUNT(Dong4),"",IF(LEFT(OFFSET(TH!N$1,SMALL(Dong4,ROWS($1:9)),),3)="341",OFFSET(TH!M$1,SMALL(Dong4,ROWS($1:9)),),0))</f>
        <v/>
      </c>
      <c r="I25" s="362" t="str">
        <f ca="1">IF(ROWS($1:9)&gt;COUNT(Dong4),"",IF(LEFT(OFFSET(TH!O$1,SMALL(Dong4,ROWS($1:9)),),3)="341",OFFSET(TH!K$1,SMALL(Dong4,ROWS($1:9)),),0))</f>
        <v/>
      </c>
      <c r="J25" s="361" t="str">
        <f ca="1">IF(ROWS($1:9)&gt;COUNT(Dong4),"",IF(LEFT(OFFSET(TH!O$1,SMALL(Dong4,ROWS($1:9)),),3)="341",OFFSET(TH!M$1,SMALL(Dong4,ROWS($1:9)),),0))</f>
        <v/>
      </c>
      <c r="K25" s="220">
        <f t="shared" ca="1" si="0"/>
        <v>0</v>
      </c>
      <c r="L25" s="8">
        <f t="shared" ca="1" si="1"/>
        <v>0</v>
      </c>
      <c r="M25" s="220">
        <f t="shared" ca="1" si="2"/>
        <v>0</v>
      </c>
      <c r="N25" s="8">
        <f t="shared" ca="1" si="3"/>
        <v>0</v>
      </c>
    </row>
    <row r="26" spans="1:14" s="363" customFormat="1" ht="19.5" customHeight="1">
      <c r="A26" s="364"/>
      <c r="B26" s="364"/>
      <c r="C26" s="364"/>
      <c r="D26" s="365"/>
      <c r="E26" s="366"/>
      <c r="F26" s="367"/>
      <c r="G26" s="368"/>
      <c r="H26" s="368"/>
      <c r="I26" s="368"/>
      <c r="J26" s="369"/>
      <c r="K26" s="220"/>
      <c r="L26" s="8"/>
      <c r="M26" s="220"/>
      <c r="N26" s="8"/>
    </row>
    <row r="27" spans="1:14" s="18" customFormat="1" ht="19.5" customHeight="1">
      <c r="A27" s="229"/>
      <c r="B27" s="229"/>
      <c r="C27" s="229"/>
      <c r="D27" s="370" t="s">
        <v>33</v>
      </c>
      <c r="E27" s="319" t="s">
        <v>20</v>
      </c>
      <c r="F27" s="319" t="s">
        <v>20</v>
      </c>
      <c r="G27" s="371">
        <f ca="1">SUM(G17:G26)</f>
        <v>0</v>
      </c>
      <c r="H27" s="1042">
        <f ca="1">SUM(H17:H26)</f>
        <v>1418407200</v>
      </c>
      <c r="I27" s="371">
        <f ca="1">SUM(I17:I26)</f>
        <v>0</v>
      </c>
      <c r="J27" s="1042">
        <f ca="1">SUM(J17:J26)</f>
        <v>1418407200</v>
      </c>
      <c r="K27" s="372" t="s">
        <v>20</v>
      </c>
      <c r="L27" s="372" t="s">
        <v>20</v>
      </c>
      <c r="M27" s="372" t="s">
        <v>20</v>
      </c>
      <c r="N27" s="372" t="s">
        <v>20</v>
      </c>
    </row>
    <row r="28" spans="1:14" s="18" customFormat="1" ht="19.5" customHeight="1">
      <c r="A28" s="373"/>
      <c r="B28" s="373"/>
      <c r="C28" s="373"/>
      <c r="D28" s="374" t="s">
        <v>10</v>
      </c>
      <c r="E28" s="375" t="s">
        <v>20</v>
      </c>
      <c r="F28" s="375" t="s">
        <v>20</v>
      </c>
      <c r="G28" s="375" t="s">
        <v>20</v>
      </c>
      <c r="H28" s="375" t="s">
        <v>20</v>
      </c>
      <c r="I28" s="375" t="s">
        <v>20</v>
      </c>
      <c r="J28" s="375" t="s">
        <v>20</v>
      </c>
      <c r="K28" s="376">
        <f ca="1">MAX(K16+G27-M16-I27,0)</f>
        <v>0</v>
      </c>
      <c r="L28" s="377">
        <f ca="1">MAX(L16+H27-N16-J27,0)</f>
        <v>0</v>
      </c>
      <c r="M28" s="376">
        <f ca="1">MAX(M16+I27-K16-G27,0)</f>
        <v>0</v>
      </c>
      <c r="N28" s="377">
        <f ca="1">MAX(N16+J27-L16-H27,0)</f>
        <v>0</v>
      </c>
    </row>
    <row r="29" spans="1:14" s="18" customFormat="1">
      <c r="E29" s="337"/>
      <c r="F29" s="337"/>
    </row>
    <row r="30" spans="1:14" s="18" customFormat="1">
      <c r="A30" s="230" t="s">
        <v>242</v>
      </c>
      <c r="E30" s="337"/>
      <c r="F30" s="337"/>
    </row>
    <row r="31" spans="1:14" s="18" customFormat="1">
      <c r="A31" s="230" t="str">
        <f>"- Ngày mở sổ: "&amp; TEXT(VLOOKUP($H$9,'341'!$B$5:$P$55,2,0),"dd/MM/yy")</f>
        <v>- Ngày mở sổ: 11/05/16</v>
      </c>
      <c r="E31" s="337"/>
      <c r="F31" s="337"/>
    </row>
    <row r="32" spans="1:14" s="18" customFormat="1">
      <c r="E32" s="337"/>
      <c r="F32" s="337"/>
      <c r="L32" s="337" t="s">
        <v>243</v>
      </c>
    </row>
    <row r="33" spans="2:12" s="18" customFormat="1">
      <c r="C33" s="337" t="s">
        <v>11</v>
      </c>
      <c r="E33" s="337"/>
      <c r="F33" s="337"/>
      <c r="L33" s="337" t="s">
        <v>12</v>
      </c>
    </row>
    <row r="34" spans="2:12" s="18" customFormat="1">
      <c r="C34" s="337" t="s">
        <v>13</v>
      </c>
      <c r="E34" s="337"/>
      <c r="F34" s="337"/>
      <c r="L34" s="337" t="s">
        <v>13</v>
      </c>
    </row>
    <row r="35" spans="2:12" s="18" customFormat="1">
      <c r="E35" s="337"/>
      <c r="F35" s="337"/>
    </row>
    <row r="36" spans="2:12" s="18" customFormat="1">
      <c r="E36" s="337"/>
      <c r="F36" s="337"/>
    </row>
    <row r="37" spans="2:12" s="231" customFormat="1"/>
    <row r="38" spans="2:12" s="231" customFormat="1"/>
    <row r="39" spans="2:12" s="231" customFormat="1"/>
    <row r="40" spans="2:12" s="231" customFormat="1"/>
    <row r="41" spans="2:12" s="231" customFormat="1" ht="15">
      <c r="B41" s="378"/>
      <c r="C41" s="379" t="s">
        <v>244</v>
      </c>
      <c r="D41" s="378"/>
    </row>
    <row r="42" spans="2:12" s="231" customFormat="1"/>
    <row r="43" spans="2:12" s="231" customFormat="1"/>
    <row r="44" spans="2:12" s="231" customFormat="1"/>
    <row r="45" spans="2:12" s="231" customFormat="1"/>
    <row r="46" spans="2:12" s="231" customFormat="1"/>
    <row r="47" spans="2:12" s="231" customFormat="1"/>
    <row r="48" spans="2:12" s="231" customFormat="1"/>
    <row r="49" s="231"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30" customWidth="1"/>
    <col min="2" max="2" width="7" style="430" customWidth="1"/>
    <col min="3" max="3" width="9.140625" style="430"/>
    <col min="4" max="4" width="25" style="430" customWidth="1"/>
    <col min="5" max="5" width="6.5703125" style="430" customWidth="1"/>
    <col min="6" max="10" width="10" style="430" customWidth="1"/>
    <col min="11" max="11" width="8.7109375" style="430" customWidth="1"/>
    <col min="12" max="12" width="15" style="430" customWidth="1"/>
    <col min="13" max="13" width="10" style="430" customWidth="1"/>
    <col min="14" max="14" width="9.42578125" style="430" customWidth="1"/>
    <col min="15" max="16384" width="9.140625" style="430"/>
  </cols>
  <sheetData>
    <row r="2" spans="1:14">
      <c r="A2" s="429" t="s">
        <v>177</v>
      </c>
      <c r="C2" s="431"/>
      <c r="F2" s="432"/>
      <c r="G2" s="432"/>
      <c r="H2" s="432"/>
      <c r="I2" s="432"/>
      <c r="J2" s="432"/>
      <c r="K2" s="432" t="s">
        <v>298</v>
      </c>
      <c r="L2" s="432"/>
      <c r="M2" s="432"/>
      <c r="N2" s="432"/>
    </row>
    <row r="3" spans="1:14">
      <c r="A3" s="429" t="s">
        <v>179</v>
      </c>
      <c r="C3" s="431"/>
      <c r="F3" s="433"/>
      <c r="G3" s="433"/>
      <c r="H3" s="433"/>
      <c r="I3" s="433"/>
      <c r="J3" s="433"/>
      <c r="K3" s="433" t="s">
        <v>230</v>
      </c>
      <c r="L3" s="433"/>
      <c r="M3" s="433"/>
      <c r="N3" s="433"/>
    </row>
    <row r="4" spans="1:14">
      <c r="F4" s="433"/>
      <c r="G4" s="433"/>
      <c r="H4" s="433"/>
      <c r="I4" s="433"/>
      <c r="J4" s="433"/>
      <c r="K4" s="433" t="s">
        <v>231</v>
      </c>
      <c r="L4" s="433"/>
      <c r="M4" s="433"/>
      <c r="N4" s="433"/>
    </row>
    <row r="5" spans="1:14" s="434" customFormat="1" ht="23.25" customHeight="1">
      <c r="A5" s="1494" t="s">
        <v>299</v>
      </c>
      <c r="B5" s="1494"/>
      <c r="C5" s="1494"/>
      <c r="D5" s="1494"/>
      <c r="E5" s="1494"/>
      <c r="F5" s="1494"/>
      <c r="G5" s="1494"/>
      <c r="H5" s="1494"/>
      <c r="I5" s="1494"/>
      <c r="J5" s="1494"/>
      <c r="K5" s="1494"/>
      <c r="L5" s="1494"/>
      <c r="M5" s="1494"/>
      <c r="N5" s="1494"/>
    </row>
    <row r="6" spans="1:14">
      <c r="A6" s="1495" t="s">
        <v>250</v>
      </c>
      <c r="B6" s="1495" t="s">
        <v>300</v>
      </c>
      <c r="C6" s="1495"/>
      <c r="D6" s="1495"/>
      <c r="E6" s="1495"/>
      <c r="F6" s="1495"/>
      <c r="G6" s="1495"/>
      <c r="H6" s="1495"/>
      <c r="I6" s="1495"/>
      <c r="J6" s="1495"/>
      <c r="K6" s="1495"/>
      <c r="L6" s="1495"/>
      <c r="M6" s="1495"/>
      <c r="N6" s="1495"/>
    </row>
    <row r="7" spans="1:14">
      <c r="C7" s="1496"/>
      <c r="D7" s="1496"/>
      <c r="E7" s="1496"/>
      <c r="F7" s="1496"/>
      <c r="G7" s="1496"/>
      <c r="H7" s="1496"/>
      <c r="I7" s="1496"/>
      <c r="J7" s="1496"/>
      <c r="K7" s="1496"/>
      <c r="L7" s="1496"/>
      <c r="M7" s="1496"/>
      <c r="N7" s="1496"/>
    </row>
    <row r="8" spans="1:14" ht="15.75" customHeight="1">
      <c r="A8" s="1497" t="s">
        <v>21</v>
      </c>
      <c r="B8" s="1498" t="s">
        <v>1</v>
      </c>
      <c r="C8" s="1499"/>
      <c r="D8" s="1497" t="s">
        <v>0</v>
      </c>
      <c r="E8" s="1497" t="s">
        <v>15</v>
      </c>
      <c r="F8" s="1502" t="s">
        <v>22</v>
      </c>
      <c r="G8" s="1502"/>
      <c r="H8" s="1502"/>
      <c r="I8" s="1502"/>
      <c r="J8" s="1502"/>
      <c r="K8" s="1502"/>
      <c r="L8" s="1502" t="s">
        <v>31</v>
      </c>
      <c r="M8" s="1502"/>
      <c r="N8" s="1502"/>
    </row>
    <row r="9" spans="1:14" ht="15.75" customHeight="1">
      <c r="A9" s="1497"/>
      <c r="B9" s="1500"/>
      <c r="C9" s="1501"/>
      <c r="D9" s="1497"/>
      <c r="E9" s="1497"/>
      <c r="F9" s="1502" t="s">
        <v>301</v>
      </c>
      <c r="G9" s="1502"/>
      <c r="H9" s="1502"/>
      <c r="I9" s="1502" t="s">
        <v>302</v>
      </c>
      <c r="J9" s="1502"/>
      <c r="K9" s="1502"/>
      <c r="L9" s="1497" t="s">
        <v>303</v>
      </c>
      <c r="M9" s="1497" t="s">
        <v>304</v>
      </c>
      <c r="N9" s="1497" t="s">
        <v>305</v>
      </c>
    </row>
    <row r="10" spans="1:14" ht="15.75" customHeight="1">
      <c r="A10" s="1497"/>
      <c r="B10" s="1504" t="s">
        <v>16</v>
      </c>
      <c r="C10" s="1504" t="s">
        <v>32</v>
      </c>
      <c r="D10" s="1497"/>
      <c r="E10" s="1497"/>
      <c r="F10" s="1506" t="s">
        <v>303</v>
      </c>
      <c r="G10" s="1506" t="s">
        <v>304</v>
      </c>
      <c r="H10" s="1506" t="s">
        <v>305</v>
      </c>
      <c r="I10" s="1506" t="s">
        <v>303</v>
      </c>
      <c r="J10" s="1506" t="s">
        <v>304</v>
      </c>
      <c r="K10" s="1506" t="s">
        <v>305</v>
      </c>
      <c r="L10" s="1503"/>
      <c r="M10" s="1503"/>
      <c r="N10" s="1503"/>
    </row>
    <row r="11" spans="1:14">
      <c r="A11" s="1497"/>
      <c r="B11" s="1505"/>
      <c r="C11" s="1505"/>
      <c r="D11" s="1497"/>
      <c r="E11" s="1497"/>
      <c r="F11" s="1507"/>
      <c r="G11" s="1507"/>
      <c r="H11" s="1507"/>
      <c r="I11" s="1507"/>
      <c r="J11" s="1507"/>
      <c r="K11" s="1507"/>
      <c r="L11" s="1503"/>
      <c r="M11" s="1503"/>
      <c r="N11" s="1503"/>
    </row>
    <row r="12" spans="1:14" s="433" customFormat="1">
      <c r="A12" s="435" t="s">
        <v>2</v>
      </c>
      <c r="B12" s="436" t="s">
        <v>3</v>
      </c>
      <c r="C12" s="435" t="s">
        <v>4</v>
      </c>
      <c r="D12" s="435" t="s">
        <v>5</v>
      </c>
      <c r="E12" s="435" t="s">
        <v>6</v>
      </c>
      <c r="F12" s="435">
        <v>1</v>
      </c>
      <c r="G12" s="435"/>
      <c r="H12" s="435"/>
      <c r="I12" s="435"/>
      <c r="J12" s="435"/>
      <c r="K12" s="435"/>
      <c r="L12" s="435"/>
      <c r="M12" s="435"/>
      <c r="N12" s="435"/>
    </row>
    <row r="13" spans="1:14">
      <c r="A13" s="437"/>
      <c r="B13" s="437"/>
      <c r="C13" s="437"/>
      <c r="D13" s="438" t="s">
        <v>7</v>
      </c>
      <c r="E13" s="437"/>
      <c r="F13" s="437"/>
      <c r="G13" s="437"/>
      <c r="H13" s="437"/>
      <c r="I13" s="437"/>
      <c r="J13" s="437"/>
      <c r="K13" s="437"/>
      <c r="L13" s="439">
        <f>CĐPS!$D$58</f>
        <v>10000000000</v>
      </c>
      <c r="M13" s="437"/>
      <c r="N13" s="437"/>
    </row>
    <row r="14" spans="1:14">
      <c r="A14" s="440"/>
      <c r="B14" s="440"/>
      <c r="C14" s="440"/>
      <c r="D14" s="441" t="s">
        <v>306</v>
      </c>
      <c r="E14" s="440"/>
      <c r="F14" s="440"/>
      <c r="G14" s="440"/>
      <c r="H14" s="440"/>
      <c r="I14" s="440"/>
      <c r="J14" s="440"/>
      <c r="K14" s="440"/>
      <c r="L14" s="440"/>
      <c r="M14" s="440"/>
      <c r="N14" s="440"/>
    </row>
    <row r="15" spans="1:14">
      <c r="A15" s="440"/>
      <c r="B15" s="440"/>
      <c r="C15" s="440"/>
      <c r="D15" s="440"/>
      <c r="E15" s="440"/>
      <c r="F15" s="440"/>
      <c r="G15" s="440"/>
      <c r="H15" s="440"/>
      <c r="I15" s="440"/>
      <c r="J15" s="440"/>
      <c r="K15" s="440"/>
      <c r="L15" s="440"/>
      <c r="M15" s="440"/>
      <c r="N15" s="440"/>
    </row>
    <row r="16" spans="1:14">
      <c r="A16" s="440"/>
      <c r="B16" s="440"/>
      <c r="C16" s="440"/>
      <c r="D16" s="442"/>
      <c r="E16" s="442"/>
      <c r="F16" s="442"/>
      <c r="G16" s="442"/>
      <c r="H16" s="442"/>
      <c r="I16" s="442"/>
      <c r="J16" s="442"/>
      <c r="K16" s="442"/>
      <c r="L16" s="442"/>
      <c r="M16" s="442"/>
      <c r="N16" s="442"/>
    </row>
    <row r="17" spans="1:14">
      <c r="A17" s="440"/>
      <c r="B17" s="440"/>
      <c r="C17" s="440"/>
      <c r="D17" s="443" t="s">
        <v>155</v>
      </c>
      <c r="E17" s="946" t="s">
        <v>20</v>
      </c>
      <c r="F17" s="444"/>
      <c r="G17" s="444"/>
      <c r="H17" s="444"/>
      <c r="I17" s="444"/>
      <c r="J17" s="444"/>
      <c r="K17" s="444"/>
      <c r="L17" s="444"/>
      <c r="M17" s="444"/>
      <c r="N17" s="444"/>
    </row>
    <row r="18" spans="1:14">
      <c r="A18" s="445"/>
      <c r="B18" s="445"/>
      <c r="C18" s="445"/>
      <c r="D18" s="446" t="s">
        <v>10</v>
      </c>
      <c r="E18" s="947" t="s">
        <v>20</v>
      </c>
      <c r="F18" s="445"/>
      <c r="G18" s="445"/>
      <c r="H18" s="445"/>
      <c r="I18" s="445"/>
      <c r="J18" s="445"/>
      <c r="K18" s="445"/>
      <c r="L18" s="447">
        <f>L13+L17</f>
        <v>10000000000</v>
      </c>
      <c r="M18" s="445"/>
      <c r="N18" s="445"/>
    </row>
    <row r="20" spans="1:14">
      <c r="C20" s="448" t="s">
        <v>307</v>
      </c>
    </row>
    <row r="21" spans="1:14">
      <c r="C21" s="448" t="s">
        <v>308</v>
      </c>
    </row>
    <row r="22" spans="1:14">
      <c r="B22" s="449"/>
      <c r="C22" s="449"/>
      <c r="D22" s="449"/>
      <c r="E22" s="1493" t="s">
        <v>309</v>
      </c>
      <c r="F22" s="1493"/>
      <c r="G22" s="1493"/>
      <c r="H22" s="1493"/>
      <c r="I22" s="1493"/>
      <c r="J22" s="1493"/>
      <c r="K22" s="1493"/>
      <c r="L22" s="1493"/>
      <c r="M22" s="1493"/>
      <c r="N22" s="1493"/>
    </row>
    <row r="23" spans="1:14">
      <c r="A23" s="1493" t="s">
        <v>11</v>
      </c>
      <c r="B23" s="1493"/>
      <c r="C23" s="1493"/>
      <c r="D23" s="1493"/>
      <c r="E23" s="1493" t="s">
        <v>12</v>
      </c>
      <c r="F23" s="1493"/>
      <c r="G23" s="1493"/>
      <c r="H23" s="1493"/>
      <c r="I23" s="1493"/>
      <c r="J23" s="1493"/>
      <c r="K23" s="1493"/>
      <c r="L23" s="1493"/>
      <c r="M23" s="1493"/>
      <c r="N23" s="1493"/>
    </row>
    <row r="24" spans="1:14">
      <c r="A24" s="1493" t="s">
        <v>13</v>
      </c>
      <c r="B24" s="1493"/>
      <c r="C24" s="1493"/>
      <c r="D24" s="1493"/>
      <c r="E24" s="1493" t="s">
        <v>13</v>
      </c>
      <c r="F24" s="1493"/>
      <c r="G24" s="1493"/>
      <c r="H24" s="1493"/>
      <c r="I24" s="1493"/>
      <c r="J24" s="1493"/>
      <c r="K24" s="1493"/>
      <c r="L24" s="1493"/>
      <c r="M24" s="1493"/>
      <c r="N24" s="1493"/>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N17" sqref="N17"/>
    </sheetView>
  </sheetViews>
  <sheetFormatPr defaultRowHeight="12"/>
  <cols>
    <col min="1" max="1" width="4.7109375" style="503" customWidth="1"/>
    <col min="2" max="2" width="29.7109375" style="503" customWidth="1"/>
    <col min="3" max="3" width="5.7109375" style="503" customWidth="1"/>
    <col min="4" max="4" width="6.7109375" style="503" customWidth="1"/>
    <col min="5" max="5" width="12.7109375" style="503" customWidth="1"/>
    <col min="6" max="6" width="9.85546875" style="503" customWidth="1"/>
    <col min="7" max="7" width="11" style="503" customWidth="1"/>
    <col min="8" max="8" width="14" style="503" customWidth="1"/>
    <col min="9" max="9" width="4.28515625" style="503" customWidth="1"/>
    <col min="10" max="10" width="5.7109375" style="503" customWidth="1"/>
    <col min="11" max="11" width="3.140625" style="503" customWidth="1"/>
    <col min="12" max="12" width="5.7109375" style="503" customWidth="1"/>
    <col min="13" max="13" width="2.7109375" style="503" customWidth="1"/>
    <col min="14" max="14" width="4" style="503" customWidth="1"/>
    <col min="15" max="15" width="3.7109375" style="503" customWidth="1"/>
    <col min="16" max="16384" width="9.140625" style="503"/>
  </cols>
  <sheetData>
    <row r="1" spans="1:16" ht="5.25" hidden="1" customHeight="1"/>
    <row r="2" spans="1:16" ht="12.75" customHeight="1">
      <c r="A2" s="95" t="s">
        <v>177</v>
      </c>
      <c r="G2" s="110" t="str">
        <f>+IF(MID($D$7,4,1)="N","Mẫu số 01 - VT","Mẫu số 02 - VT")</f>
        <v>Mẫu số 01 - VT</v>
      </c>
    </row>
    <row r="3" spans="1:16" ht="12.75" customHeight="1">
      <c r="A3" s="106" t="s">
        <v>3007</v>
      </c>
      <c r="G3" s="107" t="s">
        <v>313</v>
      </c>
      <c r="N3" s="110" t="s">
        <v>123</v>
      </c>
      <c r="O3" s="504"/>
    </row>
    <row r="4" spans="1:16" ht="11.25" customHeight="1">
      <c r="G4" s="107" t="s">
        <v>231</v>
      </c>
      <c r="J4" s="505" t="s">
        <v>456</v>
      </c>
      <c r="M4" s="506"/>
      <c r="N4" s="110" t="s">
        <v>124</v>
      </c>
      <c r="O4" s="504"/>
    </row>
    <row r="5" spans="1:16" ht="18" customHeight="1">
      <c r="D5" s="507" t="str">
        <f>+IF(LEFT($L$5,1)="N","PHIẾU NHẬP KHO","PHIẾU XUẤT KHO")</f>
        <v>PHIẾU NHẬP KHO</v>
      </c>
      <c r="J5" s="508">
        <v>11</v>
      </c>
      <c r="K5" s="509"/>
      <c r="L5" s="510" t="s">
        <v>3025</v>
      </c>
      <c r="M5" s="511"/>
      <c r="N5" s="512">
        <v>24</v>
      </c>
      <c r="O5" s="504"/>
      <c r="P5" s="504"/>
    </row>
    <row r="6" spans="1:16" s="513" customFormat="1" ht="12" customHeight="1">
      <c r="D6" s="514" t="str">
        <f ca="1">"Ngày  " &amp;DAY(IF(ROWS($1:1)&gt;COUNT(Dong10),"",OFFSET(TH!C$1,SMALL(Dong10,ROWS($1:1)),)))&amp;"  tháng  " &amp; MONTH(IF(ROWS($1:1)&gt;COUNT(Dong10),"",OFFSET(TH!C$1,SMALL(Dong10,ROWS($1:1)),)))&amp;"  năm  "&amp;YEAR(IF(ROWS($1:1)&gt;COUNT(Dong10),"",OFFSET(TH!C$1,SMALL(Dong10,ROWS($1:1)),)))</f>
        <v>Ngày  5  tháng  11  năm  2016</v>
      </c>
      <c r="E6" s="515"/>
      <c r="M6" s="516"/>
      <c r="O6" s="517"/>
    </row>
    <row r="7" spans="1:16" s="513" customFormat="1" ht="10.5" customHeight="1">
      <c r="C7" s="518" t="str">
        <f xml:space="preserve"> "Số:"</f>
        <v>Số:</v>
      </c>
      <c r="D7" s="519" t="str">
        <f xml:space="preserve"> RIGHT($L$5,2)&amp;"/"&amp;LEFT($L$5,1)&amp;IF($N$5&gt;=10,$N$5,"0"&amp;$N$5)</f>
        <v>NL/N24</v>
      </c>
      <c r="G7" s="513" t="str">
        <f ca="1">"Nợ:  "&amp;IF(ROWS($1:1)&gt;COUNT(Dong10),"",OFFSET(TH!N$1,SMALL(Dong10,ROWS($1:1)),))</f>
        <v>Nợ:  1521</v>
      </c>
      <c r="M7" s="516"/>
      <c r="O7" s="517"/>
    </row>
    <row r="8" spans="1:16" s="513" customFormat="1" ht="8.25" customHeight="1">
      <c r="D8" s="107"/>
      <c r="G8" s="513" t="str">
        <f ca="1">"Có:  "&amp;IF(ROWS($1:1)&gt;COUNT(Dong10),"",OFFSET(TH!O$1,SMALL(Dong10,ROWS($1:1)),))</f>
        <v>Có:  331</v>
      </c>
      <c r="M8" s="516"/>
      <c r="O8" s="520"/>
    </row>
    <row r="9" spans="1:16" s="513" customFormat="1" ht="12" customHeight="1">
      <c r="A9" s="513" t="str">
        <f ca="1">+IF(MID($D$7,4,1)="N","Họ và tên người giao :   ","Họ và tên người nhận hàng :   ")&amp;IF(ROWS($1:1)&gt;COUNT(Dong10),"",OFFSET(TH!H$1,SMALL(Dong10,ROWS($1:1)),)) &amp;IF(MID($D$7,4,1)="N","","                                         Địa chỉ (bộ phận) :     Sản Xuất ")</f>
        <v>Họ và tên người giao :   Nguyễn Thanh Vinh</v>
      </c>
      <c r="M9" s="516"/>
    </row>
    <row r="10" spans="1:16" s="513" customFormat="1" ht="12" customHeight="1">
      <c r="A10" s="513" t="str">
        <f>+IF(MID($D$7,4,1)="N","Theo……………………………………....…………..số………….…………….……ngày……...tháng…......năm……....","Lý do xuất :                                 Xuất dùng ")</f>
        <v>Theo……………………………………....…………..số………….…………….……ngày……...tháng…......năm……....</v>
      </c>
    </row>
    <row r="11" spans="1:16" s="513" customFormat="1" ht="12" customHeight="1">
      <c r="A11" s="513" t="str">
        <f>+IF(MID($D$7,4,1)="N","của………………………………………………………………………………………………………………………………....","Xuất tại kho (ngăn lô) :            Công ty TNHH Hải Sản An Lạc                      Địa điểm :  Đức Hòa, Long An.")</f>
        <v>của………………………………………………………………………………………………………………………………....</v>
      </c>
    </row>
    <row r="12" spans="1:16" s="513" customFormat="1" ht="5.25" customHeight="1">
      <c r="A12" s="513" t="str">
        <f>+IF(LEFT("x",1)="N","Nhập tại kho:       Công ty TNHH Hải Sản An Lạc                      Địa điểm:  Đức Hòa, Long An."," ")</f>
        <v xml:space="preserve"> </v>
      </c>
    </row>
    <row r="13" spans="1:16" s="513" customFormat="1" ht="2.25" customHeight="1"/>
    <row r="14" spans="1:16" s="513" customFormat="1" ht="11.25" customHeight="1">
      <c r="A14" s="1508" t="s">
        <v>35</v>
      </c>
      <c r="B14" s="1508" t="s">
        <v>457</v>
      </c>
      <c r="C14" s="1508" t="s">
        <v>458</v>
      </c>
      <c r="D14" s="1508" t="s">
        <v>319</v>
      </c>
      <c r="E14" s="1510" t="s">
        <v>459</v>
      </c>
      <c r="F14" s="1510"/>
      <c r="G14" s="1508" t="s">
        <v>460</v>
      </c>
      <c r="H14" s="1508" t="s">
        <v>461</v>
      </c>
    </row>
    <row r="15" spans="1:16" s="513" customFormat="1" ht="19.5" customHeight="1">
      <c r="A15" s="1509"/>
      <c r="B15" s="1509"/>
      <c r="C15" s="1509"/>
      <c r="D15" s="1509"/>
      <c r="E15" s="521" t="s">
        <v>462</v>
      </c>
      <c r="F15" s="521" t="str">
        <f>IF(LEFT($D$7,1)="N","Thực nhập","Thực xuất")</f>
        <v>Thực nhập</v>
      </c>
      <c r="G15" s="1509"/>
      <c r="H15" s="1509"/>
    </row>
    <row r="16" spans="1:16" s="523" customFormat="1" ht="8.25" customHeight="1">
      <c r="A16" s="522" t="s">
        <v>2</v>
      </c>
      <c r="B16" s="522" t="s">
        <v>3</v>
      </c>
      <c r="C16" s="522" t="s">
        <v>4</v>
      </c>
      <c r="D16" s="522" t="s">
        <v>5</v>
      </c>
      <c r="E16" s="522">
        <v>1</v>
      </c>
      <c r="F16" s="522">
        <v>2</v>
      </c>
      <c r="G16" s="522">
        <v>3</v>
      </c>
      <c r="H16" s="522">
        <v>4</v>
      </c>
    </row>
    <row r="17" spans="1:8" s="513" customFormat="1" ht="12" customHeight="1">
      <c r="A17" s="524">
        <f ca="1">IF(B17="","",ROW()-16)</f>
        <v>1</v>
      </c>
      <c r="B17" s="525" t="str">
        <f ca="1">IF(ROWS($1:1)&gt;COUNT(Dong10),"",OFFSET(TH!F$1,SMALL(Dong10,ROWS($1:1)),))</f>
        <v>Cá bò NL</v>
      </c>
      <c r="C17" s="526"/>
      <c r="D17" s="527" t="str">
        <f ca="1">IF(ISNA(VLOOKUP(B17,NXT!$C$12:$D$119,2,0)),"",VLOOKUP(B17,NXT!$C$12:$D$119,2,0))</f>
        <v>kg</v>
      </c>
      <c r="E17" s="528"/>
      <c r="F17" s="529">
        <f ca="1">IF(ROWS($1:1)&gt;COUNT(Dong10),"",OFFSET(TH!I$1,SMALL(Dong10,ROWS($1:1)),))</f>
        <v>9980</v>
      </c>
      <c r="G17" s="530">
        <f ca="1">IF(ROWS($1:1)&gt;COUNT(Dong10),"",OFFSET(TH!J$1,SMALL(Dong10,ROWS($1:1)),))</f>
        <v>16500</v>
      </c>
      <c r="H17" s="528">
        <f t="shared" ref="H17:H23" ca="1" si="0">IF(F17&lt;&gt;"",ROUND(F17*G17,0),"")</f>
        <v>164670000</v>
      </c>
    </row>
    <row r="18" spans="1:8" s="513" customFormat="1" ht="12" customHeight="1">
      <c r="A18" s="524" t="str">
        <f t="shared" ref="A18:A21" ca="1" si="1">IF(B18="","",A17+1)</f>
        <v/>
      </c>
      <c r="B18" s="525" t="str">
        <f ca="1">IF(ROWS($1:2)&gt;COUNT(Dong10),"",OFFSET(TH!F$1,SMALL(Dong10,ROWS($1:2)),))</f>
        <v/>
      </c>
      <c r="C18" s="526"/>
      <c r="D18" s="527" t="str">
        <f ca="1">IF(ISNA(VLOOKUP(B18,NXT!$C$12:$D$119,2,0)),"",VLOOKUP(B18,NXT!$C$12:$D$119,2,0))</f>
        <v/>
      </c>
      <c r="E18" s="528"/>
      <c r="F18" s="529" t="str">
        <f ca="1">IF(ROWS($1:2)&gt;COUNT(Dong10),"",OFFSET(TH!I$1,SMALL(Dong10,ROWS($1:2)),))</f>
        <v/>
      </c>
      <c r="G18" s="530" t="str">
        <f ca="1">IF(ROWS($1:2)&gt;COUNT(Dong10),"",OFFSET(TH!J$1,SMALL(Dong10,ROWS($1:2)),))</f>
        <v/>
      </c>
      <c r="H18" s="528" t="str">
        <f t="shared" ca="1" si="0"/>
        <v/>
      </c>
    </row>
    <row r="19" spans="1:8" s="513" customFormat="1" ht="12" customHeight="1">
      <c r="A19" s="524" t="str">
        <f t="shared" ca="1" si="1"/>
        <v/>
      </c>
      <c r="B19" s="525" t="str">
        <f ca="1">IF(ROWS($1:3)&gt;COUNT(Dong10),"",OFFSET(TH!F$1,SMALL(Dong10,ROWS($1:3)),))</f>
        <v/>
      </c>
      <c r="C19" s="526"/>
      <c r="D19" s="527" t="str">
        <f ca="1">IF(ISNA(VLOOKUP(B19,NXT!$C$12:$D$119,2,0)),"",VLOOKUP(B19,NXT!$C$12:$D$119,2,0))</f>
        <v/>
      </c>
      <c r="E19" s="528"/>
      <c r="F19" s="529" t="str">
        <f ca="1">IF(ROWS($1:3)&gt;COUNT(Dong10),"",OFFSET(TH!I$1,SMALL(Dong10,ROWS($1:3)),))</f>
        <v/>
      </c>
      <c r="G19" s="530" t="str">
        <f ca="1">IF(ROWS($1:3)&gt;COUNT(Dong10),"",OFFSET(TH!J$1,SMALL(Dong10,ROWS($1:3)),))</f>
        <v/>
      </c>
      <c r="H19" s="528" t="str">
        <f t="shared" ca="1" si="0"/>
        <v/>
      </c>
    </row>
    <row r="20" spans="1:8" s="513" customFormat="1" ht="12" customHeight="1">
      <c r="A20" s="524" t="str">
        <f t="shared" ca="1" si="1"/>
        <v/>
      </c>
      <c r="B20" s="525" t="str">
        <f ca="1">IF(ROWS($1:4)&gt;COUNT(Dong10),"",OFFSET(TH!F$1,SMALL(Dong10,ROWS($1:4)),))</f>
        <v/>
      </c>
      <c r="C20" s="526"/>
      <c r="D20" s="527" t="str">
        <f ca="1">IF(ISNA(VLOOKUP(B20,NXT!$C$12:$D$119,2,0)),"",VLOOKUP(B20,NXT!$C$12:$D$119,2,0))</f>
        <v/>
      </c>
      <c r="E20" s="528"/>
      <c r="F20" s="529" t="str">
        <f ca="1">IF(ROWS($1:4)&gt;COUNT(Dong10),"",OFFSET(TH!I$1,SMALL(Dong10,ROWS($1:4)),))</f>
        <v/>
      </c>
      <c r="G20" s="530" t="str">
        <f ca="1">IF(ROWS($1:4)&gt;COUNT(Dong10),"",OFFSET(TH!J$1,SMALL(Dong10,ROWS($1:4)),))</f>
        <v/>
      </c>
      <c r="H20" s="528" t="str">
        <f t="shared" ca="1" si="0"/>
        <v/>
      </c>
    </row>
    <row r="21" spans="1:8" s="513" customFormat="1" ht="12" customHeight="1">
      <c r="A21" s="524" t="str">
        <f t="shared" ca="1" si="1"/>
        <v/>
      </c>
      <c r="B21" s="525" t="str">
        <f ca="1">IF(ROWS($1:5)&gt;COUNT(Dong10),"",OFFSET(TH!F$1,SMALL(Dong10,ROWS($1:5)),))</f>
        <v/>
      </c>
      <c r="C21" s="526"/>
      <c r="D21" s="527" t="str">
        <f ca="1">IF(ISNA(VLOOKUP(B21,NXT!$C$12:$D$119,2,0)),"",VLOOKUP(B21,NXT!$C$12:$D$119,2,0))</f>
        <v/>
      </c>
      <c r="E21" s="528"/>
      <c r="F21" s="529" t="str">
        <f ca="1">IF(ROWS($1:5)&gt;COUNT(Dong10),"",OFFSET(TH!I$1,SMALL(Dong10,ROWS($1:5)),))</f>
        <v/>
      </c>
      <c r="G21" s="530" t="str">
        <f ca="1">IF(ROWS($1:5)&gt;COUNT(Dong10),"",OFFSET(TH!J$1,SMALL(Dong10,ROWS($1:5)),))</f>
        <v/>
      </c>
      <c r="H21" s="528" t="str">
        <f t="shared" ca="1" si="0"/>
        <v/>
      </c>
    </row>
    <row r="22" spans="1:8" s="513" customFormat="1" ht="12" customHeight="1">
      <c r="A22" s="524" t="str">
        <f t="shared" ref="A22:A26" ca="1" si="2">IF(B22="","",A21+1)</f>
        <v/>
      </c>
      <c r="B22" s="525" t="str">
        <f ca="1">IF(ROWS($1:6)&gt;COUNT(Dong10),"",OFFSET(TH!F$1,SMALL(Dong10,ROWS($1:6)),))</f>
        <v/>
      </c>
      <c r="C22" s="526"/>
      <c r="D22" s="527" t="str">
        <f ca="1">IF(ISNA(VLOOKUP(B22,NXT!$C$12:$D$119,2,0)),"",VLOOKUP(B22,NXT!$C$12:$D$119,2,0))</f>
        <v/>
      </c>
      <c r="E22" s="528"/>
      <c r="F22" s="529" t="str">
        <f ca="1">IF(ROWS($1:6)&gt;COUNT(Dong10),"",OFFSET(TH!I$1,SMALL(Dong10,ROWS($1:6)),))</f>
        <v/>
      </c>
      <c r="G22" s="530" t="str">
        <f ca="1">IF(ROWS($1:6)&gt;COUNT(Dong10),"",OFFSET(TH!J$1,SMALL(Dong10,ROWS($1:6)),))</f>
        <v/>
      </c>
      <c r="H22" s="528" t="str">
        <f t="shared" ca="1" si="0"/>
        <v/>
      </c>
    </row>
    <row r="23" spans="1:8" s="513" customFormat="1" ht="12" customHeight="1">
      <c r="A23" s="524" t="str">
        <f t="shared" ca="1" si="2"/>
        <v/>
      </c>
      <c r="B23" s="525" t="str">
        <f ca="1">IF(ROWS($1:7)&gt;COUNT(Dong10),"",OFFSET(TH!F$1,SMALL(Dong10,ROWS($1:7)),))</f>
        <v/>
      </c>
      <c r="C23" s="526"/>
      <c r="D23" s="527" t="str">
        <f ca="1">IF(ISNA(VLOOKUP(B23,NXT!$C$12:$D$119,2,0)),"",VLOOKUP(B23,NXT!$C$12:$D$119,2,0))</f>
        <v/>
      </c>
      <c r="E23" s="528"/>
      <c r="F23" s="529" t="str">
        <f ca="1">IF(ROWS($1:7)&gt;COUNT(Dong10),"",OFFSET(TH!I$1,SMALL(Dong10,ROWS($1:7)),))</f>
        <v/>
      </c>
      <c r="G23" s="530" t="str">
        <f ca="1">IF(ROWS($1:7)&gt;COUNT(Dong10),"",OFFSET(TH!J$1,SMALL(Dong10,ROWS($1:7)),))</f>
        <v/>
      </c>
      <c r="H23" s="528" t="str">
        <f t="shared" ca="1" si="0"/>
        <v/>
      </c>
    </row>
    <row r="24" spans="1:8" s="513" customFormat="1" ht="12" hidden="1" customHeight="1">
      <c r="A24" s="524" t="str">
        <f t="shared" ca="1" si="2"/>
        <v/>
      </c>
      <c r="B24" s="525" t="str">
        <f ca="1">IF(ROWS($1:8)&gt;COUNT(Dong10),"",OFFSET(TH!F$1,SMALL(Dong10,ROWS($1:8)),))</f>
        <v/>
      </c>
      <c r="C24" s="526"/>
      <c r="D24" s="527" t="str">
        <f ca="1">IF(ISNA(VLOOKUP(B24,NXT!$C$12:$D$119,2,0)),"",VLOOKUP(B24,NXT!$C$12:$D$119,2,0))</f>
        <v/>
      </c>
      <c r="E24" s="528"/>
      <c r="F24" s="529" t="str">
        <f ca="1">IF(ROWS($1:8)&gt;COUNT(Dong10),"",OFFSET(TH!I$1,SMALL(Dong10,ROWS($1:8)),))</f>
        <v/>
      </c>
      <c r="G24" s="530" t="str">
        <f ca="1">IF(ROWS($1:8)&gt;COUNT(Dong10),"",OFFSET(TH!J$1,SMALL(Dong10,ROWS($1:8)),))</f>
        <v/>
      </c>
      <c r="H24" s="528" t="str">
        <f t="shared" ref="H24:H26" ca="1" si="3">IF(F24&lt;&gt;"",ROUND(F24*G24,0),"")</f>
        <v/>
      </c>
    </row>
    <row r="25" spans="1:8" s="513" customFormat="1" ht="12" hidden="1" customHeight="1">
      <c r="A25" s="524" t="str">
        <f t="shared" ca="1" si="2"/>
        <v/>
      </c>
      <c r="B25" s="525" t="str">
        <f ca="1">IF(ROWS($1:9)&gt;COUNT(Dong10),"",OFFSET(TH!F$1,SMALL(Dong10,ROWS($1:9)),))</f>
        <v/>
      </c>
      <c r="C25" s="526"/>
      <c r="D25" s="527" t="str">
        <f ca="1">IF(ISNA(VLOOKUP(B25,NXT!$C$12:$D$119,2,0)),"",VLOOKUP(B25,NXT!$C$12:$D$119,2,0))</f>
        <v/>
      </c>
      <c r="E25" s="528"/>
      <c r="F25" s="529" t="str">
        <f ca="1">IF(ROWS($1:9)&gt;COUNT(Dong10),"",OFFSET(TH!I$1,SMALL(Dong10,ROWS($1:9)),))</f>
        <v/>
      </c>
      <c r="G25" s="530" t="str">
        <f ca="1">IF(ROWS($1:9)&gt;COUNT(Dong10),"",OFFSET(TH!J$1,SMALL(Dong10,ROWS($1:9)),))</f>
        <v/>
      </c>
      <c r="H25" s="528" t="str">
        <f t="shared" ca="1" si="3"/>
        <v/>
      </c>
    </row>
    <row r="26" spans="1:8" s="513" customFormat="1" ht="5.25" customHeight="1">
      <c r="A26" s="524" t="str">
        <f t="shared" ca="1" si="2"/>
        <v/>
      </c>
      <c r="B26" s="525" t="str">
        <f ca="1">IF(ROWS($1:10)&gt;COUNT(Dong10),"",OFFSET(TH!F$1,SMALL(Dong10,ROWS($1:10)),))</f>
        <v/>
      </c>
      <c r="C26" s="526"/>
      <c r="D26" s="527" t="str">
        <f ca="1">IF(ISNA(VLOOKUP(B26,NXT!$C$12:$D$119,2,0)),"",VLOOKUP(B26,NXT!$C$12:$D$119,2,0))</f>
        <v/>
      </c>
      <c r="E26" s="528"/>
      <c r="F26" s="529" t="str">
        <f ca="1">IF(ROWS($1:10)&gt;COUNT(Dong10),"",OFFSET(TH!I$1,SMALL(Dong10,ROWS($1:10)),))</f>
        <v/>
      </c>
      <c r="G26" s="530" t="str">
        <f ca="1">IF(ROWS($1:10)&gt;COUNT(Dong10),"",OFFSET(TH!J$1,SMALL(Dong10,ROWS($1:10)),))</f>
        <v/>
      </c>
      <c r="H26" s="528" t="str">
        <f t="shared" ca="1" si="3"/>
        <v/>
      </c>
    </row>
    <row r="27" spans="1:8" s="513" customFormat="1" ht="10.5" customHeight="1">
      <c r="A27" s="1510" t="s">
        <v>463</v>
      </c>
      <c r="B27" s="1510"/>
      <c r="C27" s="531"/>
      <c r="D27" s="531"/>
      <c r="E27" s="532"/>
      <c r="F27" s="532"/>
      <c r="G27" s="532"/>
      <c r="H27" s="532">
        <f ca="1">SUM(H17:H26)</f>
        <v>164670000</v>
      </c>
    </row>
    <row r="28" spans="1:8" s="513" customFormat="1" ht="3" customHeight="1">
      <c r="A28" s="533"/>
      <c r="B28" s="533"/>
      <c r="C28" s="516"/>
      <c r="D28" s="516"/>
      <c r="E28" s="534"/>
      <c r="F28" s="534"/>
      <c r="G28" s="534"/>
      <c r="H28" s="534"/>
    </row>
    <row r="29" spans="1:8" s="513" customFormat="1" ht="12.75" customHeight="1">
      <c r="A29" s="513" t="str">
        <f ca="1">"Tổng số tiền (viết bằng chữ):  "&amp; [3]!VND(H27, TRUE)</f>
        <v>Tổng số tiền (viết bằng chữ):  Một trăm sáu mươi bốn triệu, sáu trăm bảy mươi ngàn đồng</v>
      </c>
    </row>
    <row r="30" spans="1:8" s="513" customFormat="1" ht="12" customHeight="1">
      <c r="A30" s="513" t="str">
        <f>"Số chứng từ gốc kèm theo :  "</f>
        <v xml:space="preserve">Số chứng từ gốc kèm theo :  </v>
      </c>
    </row>
    <row r="31" spans="1:8" s="513" customFormat="1" ht="10.5" customHeight="1">
      <c r="F31" s="118" t="str">
        <f ca="1">+IF(MID($D$7,4,1)="N","                                                          "&amp;D6,"                                                                                           "&amp;D6)</f>
        <v xml:space="preserve">                                                          Ngày  5  tháng  11  năm  2016</v>
      </c>
    </row>
    <row r="32" spans="1:8" s="536" customFormat="1" ht="11.25" customHeight="1">
      <c r="A32" s="535" t="s">
        <v>464</v>
      </c>
      <c r="C32" s="537"/>
      <c r="E32" s="537"/>
      <c r="F32" s="537" t="str">
        <f>+IF(MID($D$7,4,1)="N","                                                       Kế toán trưởng","                                          Kế toán trưởng                           Giám đốc")</f>
        <v xml:space="preserve">                                                       Kế toán trưởng</v>
      </c>
    </row>
    <row r="33" spans="1:8" s="513" customFormat="1" ht="12.75" customHeight="1">
      <c r="A33" s="519" t="s">
        <v>465</v>
      </c>
      <c r="C33" s="118"/>
      <c r="E33" s="118"/>
      <c r="F33" s="118" t="str">
        <f>+IF(MID($D$7,4,1)="N","                                                     (Ký, họ tên)","                (Ký, họ tên)                ")</f>
        <v xml:space="preserve">                                                     (Ký, họ tên)</v>
      </c>
      <c r="H33" s="519" t="str">
        <f>+IF(MID($D$7,4,1)="N","","  (Ký, họ tên)")</f>
        <v/>
      </c>
    </row>
    <row r="34" spans="1:8" s="513" customFormat="1" ht="12.75" customHeight="1">
      <c r="G34" s="118"/>
    </row>
    <row r="35" spans="1:8" s="513" customFormat="1" ht="11.25" customHeight="1"/>
    <row r="36" spans="1:8" s="513" customFormat="1" ht="11.25" customHeight="1"/>
    <row r="37" spans="1:8" s="513" customFormat="1" ht="11.25" customHeight="1"/>
    <row r="38" spans="1:8" s="513" customFormat="1" ht="11.25" customHeight="1"/>
    <row r="39" spans="1:8" ht="11.25" customHeight="1">
      <c r="A39" s="538" t="s">
        <v>466</v>
      </c>
      <c r="F39" s="539" t="str">
        <f>+IF(MID($D$7,4,1)="N","","                                                                                                    Nguyễn Thiện Duy")</f>
        <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98" customWidth="1"/>
    <col min="2" max="2" width="9.140625" style="598"/>
    <col min="3" max="3" width="9.140625" style="662" customWidth="1"/>
    <col min="4" max="4" width="10.85546875" style="662" customWidth="1"/>
    <col min="5" max="5" width="39.42578125" style="663" customWidth="1"/>
    <col min="6" max="6" width="10.85546875" style="664" customWidth="1"/>
    <col min="7" max="7" width="9" style="665" customWidth="1"/>
    <col min="8" max="8" width="9.5703125" style="665" customWidth="1"/>
    <col min="9" max="9" width="10" style="665" customWidth="1"/>
    <col min="10" max="10" width="8" style="598" customWidth="1"/>
    <col min="11" max="11" width="2.42578125" style="598" customWidth="1"/>
    <col min="12" max="12" width="6.5703125" style="598" customWidth="1"/>
    <col min="13" max="16384" width="9.140625" style="598"/>
  </cols>
  <sheetData>
    <row r="1" spans="1:12" ht="15" customHeight="1">
      <c r="A1" s="593" t="s">
        <v>177</v>
      </c>
      <c r="B1" s="594"/>
      <c r="C1" s="594"/>
      <c r="D1" s="594"/>
      <c r="E1" s="595"/>
      <c r="F1" s="594"/>
      <c r="G1" s="596"/>
      <c r="H1" s="597" t="s">
        <v>483</v>
      </c>
      <c r="I1" s="598"/>
      <c r="J1" s="599"/>
      <c r="K1" s="599"/>
      <c r="L1" s="600"/>
    </row>
    <row r="2" spans="1:12" ht="15" customHeight="1">
      <c r="A2" s="601" t="s">
        <v>312</v>
      </c>
      <c r="B2" s="602"/>
      <c r="C2" s="602"/>
      <c r="D2" s="602"/>
      <c r="E2" s="603"/>
      <c r="F2" s="604"/>
      <c r="G2" s="605"/>
      <c r="H2" s="606" t="s">
        <v>313</v>
      </c>
      <c r="I2" s="598"/>
      <c r="J2" s="599"/>
      <c r="K2" s="599"/>
    </row>
    <row r="3" spans="1:12" ht="15">
      <c r="A3" s="602"/>
      <c r="B3" s="602"/>
      <c r="C3" s="602"/>
      <c r="D3" s="602"/>
      <c r="E3" s="603"/>
      <c r="F3" s="604"/>
      <c r="G3" s="605"/>
      <c r="H3" s="606" t="s">
        <v>231</v>
      </c>
      <c r="I3" s="598"/>
      <c r="J3" s="599"/>
      <c r="K3" s="599"/>
    </row>
    <row r="4" spans="1:12" ht="18.75" customHeight="1">
      <c r="A4" s="607"/>
      <c r="B4" s="607"/>
      <c r="C4" s="607"/>
      <c r="D4" s="607"/>
      <c r="E4" s="608" t="s">
        <v>484</v>
      </c>
      <c r="F4" s="607"/>
      <c r="G4" s="607"/>
      <c r="H4" s="607"/>
      <c r="I4" s="607"/>
      <c r="J4" s="599"/>
      <c r="K4" s="599"/>
    </row>
    <row r="5" spans="1:12" ht="15">
      <c r="A5" s="609"/>
      <c r="B5" s="609"/>
      <c r="C5" s="609"/>
      <c r="D5" s="609"/>
      <c r="E5" s="610" t="str">
        <f ca="1">IF(ISERROR("Ngày lập thẻ: ngày "&amp;DAY(B14)&amp;"/"&amp;MONTH(B14)&amp;"/"&amp;YEAR(B14)),"Ngày lập thẻ: ngày 01/ 01/2016 ","Ngày lập thẻ: ngày "&amp;DAY(B14)&amp;"/"&amp;MONTH(B14)&amp;"/"&amp;YEAR(B14))</f>
        <v>Ngày lập thẻ: ngày 5/1/2016</v>
      </c>
      <c r="F5" s="609"/>
      <c r="G5" s="609"/>
      <c r="H5" s="609"/>
      <c r="I5" s="609"/>
      <c r="J5" s="599"/>
      <c r="K5" s="599"/>
    </row>
    <row r="6" spans="1:12" ht="15">
      <c r="A6" s="609"/>
      <c r="B6" s="609"/>
      <c r="C6" s="609"/>
      <c r="D6" s="609"/>
      <c r="E6" s="610" t="s">
        <v>485</v>
      </c>
      <c r="F6" s="609"/>
      <c r="G6" s="609"/>
      <c r="H6" s="609"/>
      <c r="I6" s="609"/>
      <c r="J6" s="599"/>
      <c r="K6" s="599"/>
    </row>
    <row r="7" spans="1:12" ht="15">
      <c r="A7" s="588" t="s">
        <v>486</v>
      </c>
      <c r="B7" s="588"/>
      <c r="C7" s="611"/>
      <c r="D7" s="611"/>
      <c r="E7" s="612" t="s">
        <v>341</v>
      </c>
      <c r="F7" s="604"/>
      <c r="G7" s="613"/>
      <c r="H7" s="613"/>
      <c r="I7" s="613"/>
      <c r="J7" s="599"/>
      <c r="K7" s="599"/>
    </row>
    <row r="8" spans="1:12" ht="15">
      <c r="A8" s="588" t="s">
        <v>487</v>
      </c>
      <c r="B8" s="588"/>
      <c r="C8" s="599" t="str">
        <f>VLOOKUP($E$7,NXT!$C$12:$L$120,2,0)</f>
        <v>kg</v>
      </c>
      <c r="D8" s="588"/>
      <c r="E8" s="612"/>
      <c r="F8" s="604"/>
      <c r="G8" s="613"/>
      <c r="H8" s="613"/>
      <c r="I8" s="613"/>
      <c r="J8" s="599"/>
      <c r="K8" s="599"/>
    </row>
    <row r="9" spans="1:12" ht="15">
      <c r="A9" s="1521" t="s">
        <v>488</v>
      </c>
      <c r="B9" s="1522"/>
      <c r="C9" s="1522"/>
      <c r="D9" s="1522"/>
      <c r="E9" s="612"/>
      <c r="F9" s="604"/>
      <c r="G9" s="613"/>
      <c r="H9" s="613"/>
      <c r="I9" s="613"/>
      <c r="J9" s="614"/>
      <c r="K9" s="614"/>
    </row>
    <row r="10" spans="1:12" ht="19.5" customHeight="1">
      <c r="A10" s="1523" t="s">
        <v>489</v>
      </c>
      <c r="B10" s="1524" t="s">
        <v>490</v>
      </c>
      <c r="C10" s="1526" t="s">
        <v>16</v>
      </c>
      <c r="D10" s="1513"/>
      <c r="E10" s="1527" t="s">
        <v>0</v>
      </c>
      <c r="F10" s="1519" t="s">
        <v>491</v>
      </c>
      <c r="G10" s="1512" t="s">
        <v>459</v>
      </c>
      <c r="H10" s="1512"/>
      <c r="I10" s="1513"/>
      <c r="J10" s="1514" t="s">
        <v>492</v>
      </c>
      <c r="K10" s="615"/>
      <c r="L10" s="616" t="s">
        <v>477</v>
      </c>
    </row>
    <row r="11" spans="1:12" ht="19.5" customHeight="1">
      <c r="A11" s="1523"/>
      <c r="B11" s="1525"/>
      <c r="C11" s="617" t="s">
        <v>474</v>
      </c>
      <c r="D11" s="617" t="s">
        <v>475</v>
      </c>
      <c r="E11" s="1528"/>
      <c r="F11" s="1520"/>
      <c r="G11" s="618" t="s">
        <v>474</v>
      </c>
      <c r="H11" s="618" t="s">
        <v>475</v>
      </c>
      <c r="I11" s="618" t="s">
        <v>476</v>
      </c>
      <c r="J11" s="1515"/>
      <c r="K11" s="615"/>
    </row>
    <row r="12" spans="1:12" ht="15">
      <c r="A12" s="619" t="s">
        <v>2</v>
      </c>
      <c r="B12" s="620" t="s">
        <v>3</v>
      </c>
      <c r="C12" s="621" t="s">
        <v>4</v>
      </c>
      <c r="D12" s="621" t="s">
        <v>5</v>
      </c>
      <c r="E12" s="622" t="s">
        <v>6</v>
      </c>
      <c r="F12" s="620" t="s">
        <v>152</v>
      </c>
      <c r="G12" s="623">
        <v>1</v>
      </c>
      <c r="H12" s="623">
        <v>2</v>
      </c>
      <c r="I12" s="623">
        <v>3</v>
      </c>
      <c r="J12" s="621" t="s">
        <v>153</v>
      </c>
      <c r="K12" s="624"/>
    </row>
    <row r="13" spans="1:12" ht="16.5" customHeight="1">
      <c r="A13" s="625"/>
      <c r="B13" s="626"/>
      <c r="C13" s="627"/>
      <c r="D13" s="627"/>
      <c r="E13" s="628" t="s">
        <v>326</v>
      </c>
      <c r="F13" s="626"/>
      <c r="G13" s="629"/>
      <c r="H13" s="629"/>
      <c r="I13" s="630">
        <f>VLOOKUP($E$7,NXT!$C$12:$L$120,3,0)</f>
        <v>300</v>
      </c>
      <c r="J13" s="625"/>
      <c r="K13" s="631"/>
    </row>
    <row r="14" spans="1:12" ht="16.5" customHeight="1">
      <c r="A14" s="632">
        <f ca="1">IF(B14&lt;&gt;"",ROW()-(ROW()-1),"")</f>
        <v>1</v>
      </c>
      <c r="B14" s="633">
        <f ca="1">IF(ROWS($1:1)&gt;COUNT(Dong12),"",OFFSET(TH!E$1,SMALL(Dong12,ROWS($1:1)),))</f>
        <v>42374</v>
      </c>
      <c r="C14" s="822" t="str">
        <f ca="1">IF(ROWS($1:1)&gt;COUNT(Dong12),"",IF(MID(OFFSET(TH!D$1,SMALL(Dong12,ROWS($1:1)),),4,1)="N",OFFSET(TH!D$1,SMALL(Dong12,ROWS($1:1)),),""))</f>
        <v>VL/N01</v>
      </c>
      <c r="D14" s="633" t="str">
        <f ca="1">IF(ROWS($1:1)&gt;COUNT(Dong12),"",IF(MID(OFFSET(TH!D$1,SMALL(Dong12,ROWS($1:1)),),4,1)="X",OFFSET(TH!D$1,SMALL(Dong12,ROWS($1:1)),),""))</f>
        <v/>
      </c>
      <c r="E14" s="634" t="str">
        <f ca="1">IF(ROWS($1:1)&gt;COUNT(Dong12),"",OFFSET(TH!F$1,SMALL(Dong12,ROWS($1:1)),)&amp;" - "&amp;OFFSET(TH!H$1,SMALL(Dong12,ROWS($1:1)),))</f>
        <v>Đường - Cty TNHH TM - DV Thanh Thanh</v>
      </c>
      <c r="F14" s="633">
        <f ca="1">B14</f>
        <v>42374</v>
      </c>
      <c r="G14" s="635">
        <f ca="1">IF(ROWS($1:1)&gt;COUNT(Dong12),0,IF(MID(OFFSET(TH!D$1,SMALL(Dong12,ROWS($1:1)),),4,1)="N",OFFSET(TH!I$1,SMALL(Dong12,ROWS($1:1)),),0))</f>
        <v>1000</v>
      </c>
      <c r="H14" s="635">
        <f ca="1">IF(ROWS($1:1)&gt;COUNT(Dong12),0,IF(MID(OFFSET(TH!D$1,SMALL(Dong12,ROWS($1:1)),),4,1)="X",OFFSET(TH!I$1,SMALL(Dong12,ROWS($1:1)),),0))</f>
        <v>0</v>
      </c>
      <c r="I14" s="636">
        <f ca="1">IF(E14&lt;&gt;"",I13+G14-H14,0)</f>
        <v>1300</v>
      </c>
      <c r="J14" s="637"/>
      <c r="K14" s="638"/>
    </row>
    <row r="15" spans="1:12" ht="16.5" customHeight="1">
      <c r="A15" s="639">
        <f ca="1">IF(B15&lt;&gt;"",A14+1,"")</f>
        <v>2</v>
      </c>
      <c r="B15" s="633">
        <f ca="1">IF(ROWS($1:2)&gt;COUNT(Dong12),"",OFFSET(TH!E$1,SMALL(Dong12,ROWS($1:2)),))</f>
        <v>42387</v>
      </c>
      <c r="C15" s="822" t="str">
        <f ca="1">IF(ROWS($1:2)&gt;COUNT(Dong12),"",IF(MID(OFFSET(TH!D$1,SMALL(Dong12,ROWS($1:2)),),4,1)="N",OFFSET(TH!D$1,SMALL(Dong12,ROWS($1:2)),),""))</f>
        <v>VL/N05</v>
      </c>
      <c r="D15" s="633" t="str">
        <f ca="1">IF(ROWS($1:2)&gt;COUNT(Dong12),"",IF(MID(OFFSET(TH!D$1,SMALL(Dong12,ROWS($1:2)),),4,1)="X",OFFSET(TH!D$1,SMALL(Dong12,ROWS($1:2)),),""))</f>
        <v/>
      </c>
      <c r="E15" s="634" t="str">
        <f ca="1">IF(ROWS($1:2)&gt;COUNT(Dong12),"",OFFSET(TH!F$1,SMALL(Dong12,ROWS($1:2)),)&amp;" - "&amp;OFFSET(TH!H$1,SMALL(Dong12,ROWS($1:2)),))</f>
        <v>Đường - Cty TNHH TM - DV Thanh Thanh</v>
      </c>
      <c r="F15" s="633">
        <f t="shared" ref="F15:F30" ca="1" si="0">B15</f>
        <v>42387</v>
      </c>
      <c r="G15" s="635">
        <f ca="1">IF(ROWS($1:2)&gt;COUNT(Dong12),0,IF(MID(OFFSET(TH!D$1,SMALL(Dong12,ROWS($1:2)),),4,1)="N",OFFSET(TH!I$1,SMALL(Dong12,ROWS($1:2)),),0))</f>
        <v>1000</v>
      </c>
      <c r="H15" s="635">
        <f ca="1">IF(ROWS($1:2)&gt;COUNT(Dong12),0,IF(MID(OFFSET(TH!D$1,SMALL(Dong12,ROWS($1:2)),),4,1)="X",OFFSET(TH!I$1,SMALL(Dong12,ROWS($1:2)),),0))</f>
        <v>0</v>
      </c>
      <c r="I15" s="636">
        <f t="shared" ref="I15:I30" ca="1" si="1">IF(E15&lt;&gt;"",I14+G15-H15,0)</f>
        <v>2300</v>
      </c>
      <c r="J15" s="637"/>
      <c r="K15" s="638"/>
    </row>
    <row r="16" spans="1:12" ht="16.5" customHeight="1">
      <c r="A16" s="639">
        <f t="shared" ref="A16:A30" ca="1" si="2">IF(B16&lt;&gt;"",A15+1,"")</f>
        <v>3</v>
      </c>
      <c r="B16" s="633">
        <f ca="1">IF(ROWS($1:3)&gt;COUNT(Dong12),"",OFFSET(TH!E$1,SMALL(Dong12,ROWS($1:3)),))</f>
        <v>42371</v>
      </c>
      <c r="C16" s="822" t="str">
        <f ca="1">IF(ROWS($1:3)&gt;COUNT(Dong12),"",IF(MID(OFFSET(TH!D$1,SMALL(Dong12,ROWS($1:3)),),4,1)="N",OFFSET(TH!D$1,SMALL(Dong12,ROWS($1:3)),),""))</f>
        <v/>
      </c>
      <c r="D16" s="633" t="str">
        <f ca="1">IF(ROWS($1:3)&gt;COUNT(Dong12),"",IF(MID(OFFSET(TH!D$1,SMALL(Dong12,ROWS($1:3)),),4,1)="X",OFFSET(TH!D$1,SMALL(Dong12,ROWS($1:3)),),""))</f>
        <v>VL/X01</v>
      </c>
      <c r="E16" s="634" t="str">
        <f ca="1">IF(ROWS($1:3)&gt;COUNT(Dong12),"",OFFSET(TH!F$1,SMALL(Dong12,ROWS($1:3)),)&amp;" - "&amp;OFFSET(TH!H$1,SMALL(Dong12,ROWS($1:3)),))</f>
        <v>Đường - Xuất SX</v>
      </c>
      <c r="F16" s="633">
        <f t="shared" ca="1" si="0"/>
        <v>42371</v>
      </c>
      <c r="G16" s="635">
        <f ca="1">IF(ROWS($1:3)&gt;COUNT(Dong12),0,IF(MID(OFFSET(TH!D$1,SMALL(Dong12,ROWS($1:3)),),4,1)="N",OFFSET(TH!I$1,SMALL(Dong12,ROWS($1:3)),),0))</f>
        <v>0</v>
      </c>
      <c r="H16" s="635">
        <f ca="1">IF(ROWS($1:3)&gt;COUNT(Dong12),0,IF(MID(OFFSET(TH!D$1,SMALL(Dong12,ROWS($1:3)),),4,1)="X",OFFSET(TH!I$1,SMALL(Dong12,ROWS($1:3)),),0))</f>
        <v>150</v>
      </c>
      <c r="I16" s="636">
        <f t="shared" ca="1" si="1"/>
        <v>2150</v>
      </c>
      <c r="J16" s="637"/>
      <c r="K16" s="638"/>
    </row>
    <row r="17" spans="1:11" ht="16.5" customHeight="1">
      <c r="A17" s="639">
        <f t="shared" ca="1" si="2"/>
        <v>4</v>
      </c>
      <c r="B17" s="633">
        <f ca="1">IF(ROWS($1:4)&gt;COUNT(Dong12),"",OFFSET(TH!E$1,SMALL(Dong12,ROWS($1:4)),))</f>
        <v>42415</v>
      </c>
      <c r="C17" s="822" t="str">
        <f ca="1">IF(ROWS($1:4)&gt;COUNT(Dong12),"",IF(MID(OFFSET(TH!D$1,SMALL(Dong12,ROWS($1:4)),),4,1)="N",OFFSET(TH!D$1,SMALL(Dong12,ROWS($1:4)),),""))</f>
        <v/>
      </c>
      <c r="D17" s="633" t="str">
        <f ca="1">IF(ROWS($1:4)&gt;COUNT(Dong12),"",IF(MID(OFFSET(TH!D$1,SMALL(Dong12,ROWS($1:4)),),4,1)="X",OFFSET(TH!D$1,SMALL(Dong12,ROWS($1:4)),),""))</f>
        <v>VL/X02</v>
      </c>
      <c r="E17" s="634" t="str">
        <f ca="1">IF(ROWS($1:4)&gt;COUNT(Dong12),"",OFFSET(TH!F$1,SMALL(Dong12,ROWS($1:4)),)&amp;" - "&amp;OFFSET(TH!H$1,SMALL(Dong12,ROWS($1:4)),))</f>
        <v>Đường - Xuất SX</v>
      </c>
      <c r="F17" s="633">
        <f t="shared" ca="1" si="0"/>
        <v>42415</v>
      </c>
      <c r="G17" s="635">
        <f ca="1">IF(ROWS($1:4)&gt;COUNT(Dong12),0,IF(MID(OFFSET(TH!D$1,SMALL(Dong12,ROWS($1:4)),),4,1)="N",OFFSET(TH!I$1,SMALL(Dong12,ROWS($1:4)),),0))</f>
        <v>0</v>
      </c>
      <c r="H17" s="635">
        <f ca="1">IF(ROWS($1:4)&gt;COUNT(Dong12),0,IF(MID(OFFSET(TH!D$1,SMALL(Dong12,ROWS($1:4)),),4,1)="X",OFFSET(TH!I$1,SMALL(Dong12,ROWS($1:4)),),0))</f>
        <v>150</v>
      </c>
      <c r="I17" s="636">
        <f t="shared" ca="1" si="1"/>
        <v>2000</v>
      </c>
      <c r="J17" s="637"/>
      <c r="K17" s="638"/>
    </row>
    <row r="18" spans="1:11" ht="16.5" customHeight="1">
      <c r="A18" s="639">
        <f t="shared" ca="1" si="2"/>
        <v>5</v>
      </c>
      <c r="B18" s="633">
        <f ca="1">IF(ROWS($1:5)&gt;COUNT(Dong12),"",OFFSET(TH!E$1,SMALL(Dong12,ROWS($1:5)),))</f>
        <v>42437</v>
      </c>
      <c r="C18" s="822" t="str">
        <f ca="1">IF(ROWS($1:5)&gt;COUNT(Dong12),"",IF(MID(OFFSET(TH!D$1,SMALL(Dong12,ROWS($1:5)),),4,1)="N",OFFSET(TH!D$1,SMALL(Dong12,ROWS($1:5)),),""))</f>
        <v>VL/N02</v>
      </c>
      <c r="D18" s="633" t="str">
        <f ca="1">IF(ROWS($1:5)&gt;COUNT(Dong12),"",IF(MID(OFFSET(TH!D$1,SMALL(Dong12,ROWS($1:5)),),4,1)="X",OFFSET(TH!D$1,SMALL(Dong12,ROWS($1:5)),),""))</f>
        <v/>
      </c>
      <c r="E18" s="634" t="str">
        <f ca="1">IF(ROWS($1:5)&gt;COUNT(Dong12),"",OFFSET(TH!F$1,SMALL(Dong12,ROWS($1:5)),)&amp;" - "&amp;OFFSET(TH!H$1,SMALL(Dong12,ROWS($1:5)),))</f>
        <v>Đường - Cty TNHH TM - DV Thanh Thanh</v>
      </c>
      <c r="F18" s="633">
        <f t="shared" ca="1" si="0"/>
        <v>42437</v>
      </c>
      <c r="G18" s="635">
        <f ca="1">IF(ROWS($1:5)&gt;COUNT(Dong12),0,IF(MID(OFFSET(TH!D$1,SMALL(Dong12,ROWS($1:5)),),4,1)="N",OFFSET(TH!I$1,SMALL(Dong12,ROWS($1:5)),),0))</f>
        <v>1000</v>
      </c>
      <c r="H18" s="635">
        <f ca="1">IF(ROWS($1:5)&gt;COUNT(Dong12),0,IF(MID(OFFSET(TH!D$1,SMALL(Dong12,ROWS($1:5)),),4,1)="X",OFFSET(TH!I$1,SMALL(Dong12,ROWS($1:5)),),0))</f>
        <v>0</v>
      </c>
      <c r="I18" s="636">
        <f t="shared" ca="1" si="1"/>
        <v>3000</v>
      </c>
      <c r="J18" s="637"/>
      <c r="K18" s="638"/>
    </row>
    <row r="19" spans="1:11" ht="16.5" customHeight="1">
      <c r="A19" s="639">
        <f t="shared" ca="1" si="2"/>
        <v>6</v>
      </c>
      <c r="B19" s="633">
        <f ca="1">IF(ROWS($1:6)&gt;COUNT(Dong12),"",OFFSET(TH!E$1,SMALL(Dong12,ROWS($1:6)),))</f>
        <v>42431</v>
      </c>
      <c r="C19" s="822" t="str">
        <f ca="1">IF(ROWS($1:6)&gt;COUNT(Dong12),"",IF(MID(OFFSET(TH!D$1,SMALL(Dong12,ROWS($1:6)),),4,1)="N",OFFSET(TH!D$1,SMALL(Dong12,ROWS($1:6)),),""))</f>
        <v/>
      </c>
      <c r="D19" s="633" t="str">
        <f ca="1">IF(ROWS($1:6)&gt;COUNT(Dong12),"",IF(MID(OFFSET(TH!D$1,SMALL(Dong12,ROWS($1:6)),),4,1)="X",OFFSET(TH!D$1,SMALL(Dong12,ROWS($1:6)),),""))</f>
        <v>VL/X01</v>
      </c>
      <c r="E19" s="634" t="str">
        <f ca="1">IF(ROWS($1:6)&gt;COUNT(Dong12),"",OFFSET(TH!F$1,SMALL(Dong12,ROWS($1:6)),)&amp;" - "&amp;OFFSET(TH!H$1,SMALL(Dong12,ROWS($1:6)),))</f>
        <v>Đường - Xuất SX</v>
      </c>
      <c r="F19" s="633">
        <f t="shared" ca="1" si="0"/>
        <v>42431</v>
      </c>
      <c r="G19" s="635">
        <f ca="1">IF(ROWS($1:6)&gt;COUNT(Dong12),0,IF(MID(OFFSET(TH!D$1,SMALL(Dong12,ROWS($1:6)),),4,1)="N",OFFSET(TH!I$1,SMALL(Dong12,ROWS($1:6)),),0))</f>
        <v>0</v>
      </c>
      <c r="H19" s="635">
        <f ca="1">IF(ROWS($1:6)&gt;COUNT(Dong12),0,IF(MID(OFFSET(TH!D$1,SMALL(Dong12,ROWS($1:6)),),4,1)="X",OFFSET(TH!I$1,SMALL(Dong12,ROWS($1:6)),),0))</f>
        <v>150</v>
      </c>
      <c r="I19" s="636">
        <f t="shared" ca="1" si="1"/>
        <v>2850</v>
      </c>
      <c r="J19" s="637"/>
      <c r="K19" s="638"/>
    </row>
    <row r="20" spans="1:11" ht="16.5" customHeight="1">
      <c r="A20" s="639">
        <f t="shared" ca="1" si="2"/>
        <v>7</v>
      </c>
      <c r="B20" s="633">
        <f ca="1">IF(ROWS($1:7)&gt;COUNT(Dong12),"",OFFSET(TH!E$1,SMALL(Dong12,ROWS($1:7)),))</f>
        <v>42461</v>
      </c>
      <c r="C20" s="822" t="str">
        <f ca="1">IF(ROWS($1:7)&gt;COUNT(Dong12),"",IF(MID(OFFSET(TH!D$1,SMALL(Dong12,ROWS($1:7)),),4,1)="N",OFFSET(TH!D$1,SMALL(Dong12,ROWS($1:7)),),""))</f>
        <v/>
      </c>
      <c r="D20" s="633" t="str">
        <f ca="1">IF(ROWS($1:7)&gt;COUNT(Dong12),"",IF(MID(OFFSET(TH!D$1,SMALL(Dong12,ROWS($1:7)),),4,1)="X",OFFSET(TH!D$1,SMALL(Dong12,ROWS($1:7)),),""))</f>
        <v>VL/X01</v>
      </c>
      <c r="E20" s="634" t="str">
        <f ca="1">IF(ROWS($1:7)&gt;COUNT(Dong12),"",OFFSET(TH!F$1,SMALL(Dong12,ROWS($1:7)),)&amp;" - "&amp;OFFSET(TH!H$1,SMALL(Dong12,ROWS($1:7)),))</f>
        <v>Đường - Xuất SX</v>
      </c>
      <c r="F20" s="633">
        <f t="shared" ca="1" si="0"/>
        <v>42461</v>
      </c>
      <c r="G20" s="635">
        <f ca="1">IF(ROWS($1:7)&gt;COUNT(Dong12),0,IF(MID(OFFSET(TH!D$1,SMALL(Dong12,ROWS($1:7)),),4,1)="N",OFFSET(TH!I$1,SMALL(Dong12,ROWS($1:7)),),0))</f>
        <v>0</v>
      </c>
      <c r="H20" s="635">
        <f ca="1">IF(ROWS($1:7)&gt;COUNT(Dong12),0,IF(MID(OFFSET(TH!D$1,SMALL(Dong12,ROWS($1:7)),),4,1)="X",OFFSET(TH!I$1,SMALL(Dong12,ROWS($1:7)),),0))</f>
        <v>250</v>
      </c>
      <c r="I20" s="636">
        <f t="shared" ca="1" si="1"/>
        <v>2600</v>
      </c>
      <c r="J20" s="637"/>
      <c r="K20" s="638"/>
    </row>
    <row r="21" spans="1:11" ht="16.5" customHeight="1">
      <c r="A21" s="639">
        <f t="shared" ca="1" si="2"/>
        <v>8</v>
      </c>
      <c r="B21" s="633">
        <f ca="1">IF(ROWS($1:8)&gt;COUNT(Dong12),"",OFFSET(TH!E$1,SMALL(Dong12,ROWS($1:8)),))</f>
        <v>42492</v>
      </c>
      <c r="C21" s="822" t="str">
        <f ca="1">IF(ROWS($1:8)&gt;COUNT(Dong12),"",IF(MID(OFFSET(TH!D$1,SMALL(Dong12,ROWS($1:8)),),4,1)="N",OFFSET(TH!D$1,SMALL(Dong12,ROWS($1:8)),),""))</f>
        <v/>
      </c>
      <c r="D21" s="633" t="str">
        <f ca="1">IF(ROWS($1:8)&gt;COUNT(Dong12),"",IF(MID(OFFSET(TH!D$1,SMALL(Dong12,ROWS($1:8)),),4,1)="X",OFFSET(TH!D$1,SMALL(Dong12,ROWS($1:8)),),""))</f>
        <v>VL/X01</v>
      </c>
      <c r="E21" s="634" t="str">
        <f ca="1">IF(ROWS($1:8)&gt;COUNT(Dong12),"",OFFSET(TH!F$1,SMALL(Dong12,ROWS($1:8)),)&amp;" - "&amp;OFFSET(TH!H$1,SMALL(Dong12,ROWS($1:8)),))</f>
        <v>Đường - Xuất SX</v>
      </c>
      <c r="F21" s="633">
        <f t="shared" ca="1" si="0"/>
        <v>42492</v>
      </c>
      <c r="G21" s="635">
        <f ca="1">IF(ROWS($1:8)&gt;COUNT(Dong12),0,IF(MID(OFFSET(TH!D$1,SMALL(Dong12,ROWS($1:8)),),4,1)="N",OFFSET(TH!I$1,SMALL(Dong12,ROWS($1:8)),),0))</f>
        <v>0</v>
      </c>
      <c r="H21" s="635">
        <f ca="1">IF(ROWS($1:8)&gt;COUNT(Dong12),0,IF(MID(OFFSET(TH!D$1,SMALL(Dong12,ROWS($1:8)),),4,1)="X",OFFSET(TH!I$1,SMALL(Dong12,ROWS($1:8)),),0))</f>
        <v>270</v>
      </c>
      <c r="I21" s="636">
        <f t="shared" ca="1" si="1"/>
        <v>2330</v>
      </c>
      <c r="J21" s="637"/>
      <c r="K21" s="638"/>
    </row>
    <row r="22" spans="1:11" ht="16.5" customHeight="1">
      <c r="A22" s="639">
        <f t="shared" ca="1" si="2"/>
        <v>9</v>
      </c>
      <c r="B22" s="633">
        <f ca="1">IF(ROWS($1:9)&gt;COUNT(Dong12),"",OFFSET(TH!E$1,SMALL(Dong12,ROWS($1:9)),))</f>
        <v>42523</v>
      </c>
      <c r="C22" s="822" t="str">
        <f ca="1">IF(ROWS($1:9)&gt;COUNT(Dong12),"",IF(MID(OFFSET(TH!D$1,SMALL(Dong12,ROWS($1:9)),),4,1)="N",OFFSET(TH!D$1,SMALL(Dong12,ROWS($1:9)),),""))</f>
        <v/>
      </c>
      <c r="D22" s="633" t="str">
        <f ca="1">IF(ROWS($1:9)&gt;COUNT(Dong12),"",IF(MID(OFFSET(TH!D$1,SMALL(Dong12,ROWS($1:9)),),4,1)="X",OFFSET(TH!D$1,SMALL(Dong12,ROWS($1:9)),),""))</f>
        <v>VL/X01</v>
      </c>
      <c r="E22" s="634" t="str">
        <f ca="1">IF(ROWS($1:9)&gt;COUNT(Dong12),"",OFFSET(TH!F$1,SMALL(Dong12,ROWS($1:9)),)&amp;" - "&amp;OFFSET(TH!H$1,SMALL(Dong12,ROWS($1:9)),))</f>
        <v>Đường - Xuất SX</v>
      </c>
      <c r="F22" s="633">
        <f t="shared" ca="1" si="0"/>
        <v>42523</v>
      </c>
      <c r="G22" s="635">
        <f ca="1">IF(ROWS($1:9)&gt;COUNT(Dong12),0,IF(MID(OFFSET(TH!D$1,SMALL(Dong12,ROWS($1:9)),),4,1)="N",OFFSET(TH!I$1,SMALL(Dong12,ROWS($1:9)),),0))</f>
        <v>0</v>
      </c>
      <c r="H22" s="635">
        <f ca="1">IF(ROWS($1:9)&gt;COUNT(Dong12),0,IF(MID(OFFSET(TH!D$1,SMALL(Dong12,ROWS($1:9)),),4,1)="X",OFFSET(TH!I$1,SMALL(Dong12,ROWS($1:9)),),0))</f>
        <v>330</v>
      </c>
      <c r="I22" s="636">
        <f t="shared" ca="1" si="1"/>
        <v>2000</v>
      </c>
      <c r="J22" s="637"/>
      <c r="K22" s="638"/>
    </row>
    <row r="23" spans="1:11" ht="16.5" customHeight="1">
      <c r="A23" s="639">
        <f t="shared" ca="1" si="2"/>
        <v>10</v>
      </c>
      <c r="B23" s="633">
        <f ca="1">IF(ROWS($1:10)&gt;COUNT(Dong12),"",OFFSET(TH!E$1,SMALL(Dong12,ROWS($1:10)),))</f>
        <v>42552</v>
      </c>
      <c r="C23" s="822" t="str">
        <f ca="1">IF(ROWS($1:10)&gt;COUNT(Dong12),"",IF(MID(OFFSET(TH!D$1,SMALL(Dong12,ROWS($1:10)),),4,1)="N",OFFSET(TH!D$1,SMALL(Dong12,ROWS($1:10)),),""))</f>
        <v/>
      </c>
      <c r="D23" s="633" t="str">
        <f ca="1">IF(ROWS($1:10)&gt;COUNT(Dong12),"",IF(MID(OFFSET(TH!D$1,SMALL(Dong12,ROWS($1:10)),),4,1)="X",OFFSET(TH!D$1,SMALL(Dong12,ROWS($1:10)),),""))</f>
        <v>VL/X01</v>
      </c>
      <c r="E23" s="634" t="str">
        <f ca="1">IF(ROWS($1:10)&gt;COUNT(Dong12),"",OFFSET(TH!F$1,SMALL(Dong12,ROWS($1:10)),)&amp;" - "&amp;OFFSET(TH!H$1,SMALL(Dong12,ROWS($1:10)),))</f>
        <v>Đường - Xuất SX</v>
      </c>
      <c r="F23" s="633">
        <f t="shared" ca="1" si="0"/>
        <v>42552</v>
      </c>
      <c r="G23" s="635">
        <f ca="1">IF(ROWS($1:10)&gt;COUNT(Dong12),0,IF(MID(OFFSET(TH!D$1,SMALL(Dong12,ROWS($1:10)),),4,1)="N",OFFSET(TH!I$1,SMALL(Dong12,ROWS($1:10)),),0))</f>
        <v>0</v>
      </c>
      <c r="H23" s="635">
        <f ca="1">IF(ROWS($1:10)&gt;COUNT(Dong12),0,IF(MID(OFFSET(TH!D$1,SMALL(Dong12,ROWS($1:10)),),4,1)="X",OFFSET(TH!I$1,SMALL(Dong12,ROWS($1:10)),),0))</f>
        <v>250</v>
      </c>
      <c r="I23" s="636">
        <f t="shared" ca="1" si="1"/>
        <v>1750</v>
      </c>
      <c r="J23" s="637"/>
      <c r="K23" s="638"/>
    </row>
    <row r="24" spans="1:11" ht="16.5" customHeight="1">
      <c r="A24" s="639">
        <f t="shared" ca="1" si="2"/>
        <v>11</v>
      </c>
      <c r="B24" s="633">
        <f ca="1">IF(ROWS($1:11)&gt;COUNT(Dong12),"",OFFSET(TH!E$1,SMALL(Dong12,ROWS($1:11)),))</f>
        <v>42583</v>
      </c>
      <c r="C24" s="822" t="str">
        <f ca="1">IF(ROWS($1:11)&gt;COUNT(Dong12),"",IF(MID(OFFSET(TH!D$1,SMALL(Dong12,ROWS($1:11)),),4,1)="N",OFFSET(TH!D$1,SMALL(Dong12,ROWS($1:11)),),""))</f>
        <v/>
      </c>
      <c r="D24" s="633" t="str">
        <f ca="1">IF(ROWS($1:11)&gt;COUNT(Dong12),"",IF(MID(OFFSET(TH!D$1,SMALL(Dong12,ROWS($1:11)),),4,1)="X",OFFSET(TH!D$1,SMALL(Dong12,ROWS($1:11)),),""))</f>
        <v>VL/X01</v>
      </c>
      <c r="E24" s="634" t="str">
        <f ca="1">IF(ROWS($1:11)&gt;COUNT(Dong12),"",OFFSET(TH!F$1,SMALL(Dong12,ROWS($1:11)),)&amp;" - "&amp;OFFSET(TH!H$1,SMALL(Dong12,ROWS($1:11)),))</f>
        <v>Đường - Xuất SX</v>
      </c>
      <c r="F24" s="633">
        <f t="shared" ca="1" si="0"/>
        <v>42583</v>
      </c>
      <c r="G24" s="635">
        <f ca="1">IF(ROWS($1:11)&gt;COUNT(Dong12),0,IF(MID(OFFSET(TH!D$1,SMALL(Dong12,ROWS($1:11)),),4,1)="N",OFFSET(TH!I$1,SMALL(Dong12,ROWS($1:11)),),0))</f>
        <v>0</v>
      </c>
      <c r="H24" s="635">
        <f ca="1">IF(ROWS($1:11)&gt;COUNT(Dong12),0,IF(MID(OFFSET(TH!D$1,SMALL(Dong12,ROWS($1:11)),),4,1)="X",OFFSET(TH!I$1,SMALL(Dong12,ROWS($1:11)),),0))</f>
        <v>400</v>
      </c>
      <c r="I24" s="636">
        <f t="shared" ca="1" si="1"/>
        <v>1350</v>
      </c>
      <c r="J24" s="637"/>
      <c r="K24" s="638"/>
    </row>
    <row r="25" spans="1:11" ht="16.5" customHeight="1">
      <c r="A25" s="639">
        <f t="shared" ca="1" si="2"/>
        <v>12</v>
      </c>
      <c r="B25" s="633">
        <f ca="1">IF(ROWS($1:12)&gt;COUNT(Dong12),"",OFFSET(TH!E$1,SMALL(Dong12,ROWS($1:12)),))</f>
        <v>42616</v>
      </c>
      <c r="C25" s="822" t="str">
        <f ca="1">IF(ROWS($1:12)&gt;COUNT(Dong12),"",IF(MID(OFFSET(TH!D$1,SMALL(Dong12,ROWS($1:12)),),4,1)="N",OFFSET(TH!D$1,SMALL(Dong12,ROWS($1:12)),),""))</f>
        <v/>
      </c>
      <c r="D25" s="633" t="str">
        <f ca="1">IF(ROWS($1:12)&gt;COUNT(Dong12),"",IF(MID(OFFSET(TH!D$1,SMALL(Dong12,ROWS($1:12)),),4,1)="X",OFFSET(TH!D$1,SMALL(Dong12,ROWS($1:12)),),""))</f>
        <v>VL/X01</v>
      </c>
      <c r="E25" s="634" t="str">
        <f ca="1">IF(ROWS($1:12)&gt;COUNT(Dong12),"",OFFSET(TH!F$1,SMALL(Dong12,ROWS($1:12)),)&amp;" - "&amp;OFFSET(TH!H$1,SMALL(Dong12,ROWS($1:12)),))</f>
        <v>Đường - Xuất SX</v>
      </c>
      <c r="F25" s="633">
        <f t="shared" ca="1" si="0"/>
        <v>42616</v>
      </c>
      <c r="G25" s="635">
        <f ca="1">IF(ROWS($1:12)&gt;COUNT(Dong12),0,IF(MID(OFFSET(TH!D$1,SMALL(Dong12,ROWS($1:12)),),4,1)="N",OFFSET(TH!I$1,SMALL(Dong12,ROWS($1:12)),),0))</f>
        <v>0</v>
      </c>
      <c r="H25" s="635">
        <f ca="1">IF(ROWS($1:12)&gt;COUNT(Dong12),0,IF(MID(OFFSET(TH!D$1,SMALL(Dong12,ROWS($1:12)),),4,1)="X",OFFSET(TH!I$1,SMALL(Dong12,ROWS($1:12)),),0))</f>
        <v>350</v>
      </c>
      <c r="I25" s="636">
        <f t="shared" ca="1" si="1"/>
        <v>1000</v>
      </c>
      <c r="J25" s="637"/>
      <c r="K25" s="638"/>
    </row>
    <row r="26" spans="1:11" ht="16.5" customHeight="1">
      <c r="A26" s="639">
        <f t="shared" ca="1" si="2"/>
        <v>13</v>
      </c>
      <c r="B26" s="633">
        <f ca="1">IF(ROWS($1:13)&gt;COUNT(Dong12),"",OFFSET(TH!E$1,SMALL(Dong12,ROWS($1:13)),))</f>
        <v>42644</v>
      </c>
      <c r="C26" s="822" t="str">
        <f ca="1">IF(ROWS($1:13)&gt;COUNT(Dong12),"",IF(MID(OFFSET(TH!D$1,SMALL(Dong12,ROWS($1:13)),),4,1)="N",OFFSET(TH!D$1,SMALL(Dong12,ROWS($1:13)),),""))</f>
        <v/>
      </c>
      <c r="D26" s="633" t="str">
        <f ca="1">IF(ROWS($1:13)&gt;COUNT(Dong12),"",IF(MID(OFFSET(TH!D$1,SMALL(Dong12,ROWS($1:13)),),4,1)="X",OFFSET(TH!D$1,SMALL(Dong12,ROWS($1:13)),),""))</f>
        <v>VL/X01</v>
      </c>
      <c r="E26" s="634" t="str">
        <f ca="1">IF(ROWS($1:13)&gt;COUNT(Dong12),"",OFFSET(TH!F$1,SMALL(Dong12,ROWS($1:13)),)&amp;" - "&amp;OFFSET(TH!H$1,SMALL(Dong12,ROWS($1:13)),))</f>
        <v>Đường - Xuất SX</v>
      </c>
      <c r="F26" s="633">
        <f t="shared" ca="1" si="0"/>
        <v>42644</v>
      </c>
      <c r="G26" s="635">
        <f ca="1">IF(ROWS($1:13)&gt;COUNT(Dong12),0,IF(MID(OFFSET(TH!D$1,SMALL(Dong12,ROWS($1:13)),),4,1)="N",OFFSET(TH!I$1,SMALL(Dong12,ROWS($1:13)),),0))</f>
        <v>0</v>
      </c>
      <c r="H26" s="635">
        <f ca="1">IF(ROWS($1:13)&gt;COUNT(Dong12),0,IF(MID(OFFSET(TH!D$1,SMALL(Dong12,ROWS($1:13)),),4,1)="X",OFFSET(TH!I$1,SMALL(Dong12,ROWS($1:13)),),0))</f>
        <v>450</v>
      </c>
      <c r="I26" s="636">
        <f t="shared" ca="1" si="1"/>
        <v>550</v>
      </c>
      <c r="J26" s="637"/>
      <c r="K26" s="638"/>
    </row>
    <row r="27" spans="1:11" ht="16.5" customHeight="1">
      <c r="A27" s="639">
        <f t="shared" ca="1" si="2"/>
        <v>14</v>
      </c>
      <c r="B27" s="633">
        <f ca="1">IF(ROWS($1:14)&gt;COUNT(Dong12),"",OFFSET(TH!E$1,SMALL(Dong12,ROWS($1:14)),))</f>
        <v>42457</v>
      </c>
      <c r="C27" s="822" t="str">
        <f ca="1">IF(ROWS($1:14)&gt;COUNT(Dong12),"",IF(MID(OFFSET(TH!D$1,SMALL(Dong12,ROWS($1:14)),),4,1)="N",OFFSET(TH!D$1,SMALL(Dong12,ROWS($1:14)),),""))</f>
        <v>VL/N04</v>
      </c>
      <c r="D27" s="633" t="str">
        <f ca="1">IF(ROWS($1:14)&gt;COUNT(Dong12),"",IF(MID(OFFSET(TH!D$1,SMALL(Dong12,ROWS($1:14)),),4,1)="X",OFFSET(TH!D$1,SMALL(Dong12,ROWS($1:14)),),""))</f>
        <v/>
      </c>
      <c r="E27" s="634" t="str">
        <f ca="1">IF(ROWS($1:14)&gt;COUNT(Dong12),"",OFFSET(TH!F$1,SMALL(Dong12,ROWS($1:14)),)&amp;" - "&amp;OFFSET(TH!H$1,SMALL(Dong12,ROWS($1:14)),))</f>
        <v>Đường - Cty TNHH TM - DV Thanh Thanh</v>
      </c>
      <c r="F27" s="633">
        <f t="shared" ca="1" si="0"/>
        <v>42457</v>
      </c>
      <c r="G27" s="635">
        <f ca="1">IF(ROWS($1:14)&gt;COUNT(Dong12),0,IF(MID(OFFSET(TH!D$1,SMALL(Dong12,ROWS($1:14)),),4,1)="N",OFFSET(TH!I$1,SMALL(Dong12,ROWS($1:14)),),0))</f>
        <v>1000</v>
      </c>
      <c r="H27" s="635">
        <f ca="1">IF(ROWS($1:14)&gt;COUNT(Dong12),0,IF(MID(OFFSET(TH!D$1,SMALL(Dong12,ROWS($1:14)),),4,1)="X",OFFSET(TH!I$1,SMALL(Dong12,ROWS($1:14)),),0))</f>
        <v>0</v>
      </c>
      <c r="I27" s="636">
        <f t="shared" ca="1" si="1"/>
        <v>1550</v>
      </c>
      <c r="J27" s="637"/>
      <c r="K27" s="638"/>
    </row>
    <row r="28" spans="1:11" ht="16.5" customHeight="1">
      <c r="A28" s="639">
        <f t="shared" ca="1" si="2"/>
        <v>15</v>
      </c>
      <c r="B28" s="633">
        <f ca="1">IF(ROWS($1:15)&gt;COUNT(Dong12),"",OFFSET(TH!E$1,SMALL(Dong12,ROWS($1:15)),))</f>
        <v>42675</v>
      </c>
      <c r="C28" s="822" t="str">
        <f ca="1">IF(ROWS($1:15)&gt;COUNT(Dong12),"",IF(MID(OFFSET(TH!D$1,SMALL(Dong12,ROWS($1:15)),),4,1)="N",OFFSET(TH!D$1,SMALL(Dong12,ROWS($1:15)),),""))</f>
        <v/>
      </c>
      <c r="D28" s="633" t="str">
        <f ca="1">IF(ROWS($1:15)&gt;COUNT(Dong12),"",IF(MID(OFFSET(TH!D$1,SMALL(Dong12,ROWS($1:15)),),4,1)="X",OFFSET(TH!D$1,SMALL(Dong12,ROWS($1:15)),),""))</f>
        <v>VL/X01</v>
      </c>
      <c r="E28" s="634" t="str">
        <f ca="1">IF(ROWS($1:15)&gt;COUNT(Dong12),"",OFFSET(TH!F$1,SMALL(Dong12,ROWS($1:15)),)&amp;" - "&amp;OFFSET(TH!H$1,SMALL(Dong12,ROWS($1:15)),))</f>
        <v>Đường - Xuất SX</v>
      </c>
      <c r="F28" s="633">
        <f t="shared" ca="1" si="0"/>
        <v>42675</v>
      </c>
      <c r="G28" s="635">
        <f ca="1">IF(ROWS($1:15)&gt;COUNT(Dong12),0,IF(MID(OFFSET(TH!D$1,SMALL(Dong12,ROWS($1:15)),),4,1)="N",OFFSET(TH!I$1,SMALL(Dong12,ROWS($1:15)),),0))</f>
        <v>0</v>
      </c>
      <c r="H28" s="635">
        <f ca="1">IF(ROWS($1:15)&gt;COUNT(Dong12),0,IF(MID(OFFSET(TH!D$1,SMALL(Dong12,ROWS($1:15)),),4,1)="X",OFFSET(TH!I$1,SMALL(Dong12,ROWS($1:15)),),0))</f>
        <v>1550</v>
      </c>
      <c r="I28" s="636">
        <f t="shared" ca="1" si="1"/>
        <v>0</v>
      </c>
      <c r="J28" s="637"/>
      <c r="K28" s="638"/>
    </row>
    <row r="29" spans="1:11" ht="16.5" customHeight="1">
      <c r="A29" s="639">
        <f t="shared" ca="1" si="2"/>
        <v>16</v>
      </c>
      <c r="B29" s="633">
        <f ca="1">IF(ROWS($1:16)&gt;COUNT(Dong12),"",OFFSET(TH!E$1,SMALL(Dong12,ROWS($1:16)),))</f>
        <v>42709</v>
      </c>
      <c r="C29" s="822" t="str">
        <f ca="1">IF(ROWS($1:16)&gt;COUNT(Dong12),"",IF(MID(OFFSET(TH!D$1,SMALL(Dong12,ROWS($1:16)),),4,1)="N",OFFSET(TH!D$1,SMALL(Dong12,ROWS($1:16)),),""))</f>
        <v>VL/N07</v>
      </c>
      <c r="D29" s="633" t="str">
        <f ca="1">IF(ROWS($1:16)&gt;COUNT(Dong12),"",IF(MID(OFFSET(TH!D$1,SMALL(Dong12,ROWS($1:16)),),4,1)="X",OFFSET(TH!D$1,SMALL(Dong12,ROWS($1:16)),),""))</f>
        <v/>
      </c>
      <c r="E29" s="634" t="str">
        <f ca="1">IF(ROWS($1:16)&gt;COUNT(Dong12),"",OFFSET(TH!F$1,SMALL(Dong12,ROWS($1:16)),)&amp;" - "&amp;OFFSET(TH!H$1,SMALL(Dong12,ROWS($1:16)),))</f>
        <v>Đường - Cty TNHH TM Toàn Phát</v>
      </c>
      <c r="F29" s="633">
        <f t="shared" ca="1" si="0"/>
        <v>42709</v>
      </c>
      <c r="G29" s="635">
        <f ca="1">IF(ROWS($1:16)&gt;COUNT(Dong12),0,IF(MID(OFFSET(TH!D$1,SMALL(Dong12,ROWS($1:16)),),4,1)="N",OFFSET(TH!I$1,SMALL(Dong12,ROWS($1:16)),),0))</f>
        <v>1100</v>
      </c>
      <c r="H29" s="635">
        <f ca="1">IF(ROWS($1:16)&gt;COUNT(Dong12),0,IF(MID(OFFSET(TH!D$1,SMALL(Dong12,ROWS($1:16)),),4,1)="X",OFFSET(TH!I$1,SMALL(Dong12,ROWS($1:16)),),0))</f>
        <v>0</v>
      </c>
      <c r="I29" s="636">
        <f t="shared" ca="1" si="1"/>
        <v>1100</v>
      </c>
      <c r="J29" s="637"/>
      <c r="K29" s="638"/>
    </row>
    <row r="30" spans="1:11" ht="16.5" customHeight="1">
      <c r="A30" s="639">
        <f t="shared" ca="1" si="2"/>
        <v>17</v>
      </c>
      <c r="B30" s="633">
        <f ca="1">IF(ROWS($1:17)&gt;COUNT(Dong12),"",OFFSET(TH!E$1,SMALL(Dong12,ROWS($1:17)),))</f>
        <v>42705</v>
      </c>
      <c r="C30" s="822" t="str">
        <f ca="1">IF(ROWS($1:17)&gt;COUNT(Dong12),"",IF(MID(OFFSET(TH!D$1,SMALL(Dong12,ROWS($1:17)),),4,1)="N",OFFSET(TH!D$1,SMALL(Dong12,ROWS($1:17)),),""))</f>
        <v/>
      </c>
      <c r="D30" s="633" t="str">
        <f ca="1">IF(ROWS($1:17)&gt;COUNT(Dong12),"",IF(MID(OFFSET(TH!D$1,SMALL(Dong12,ROWS($1:17)),),4,1)="X",OFFSET(TH!D$1,SMALL(Dong12,ROWS($1:17)),),""))</f>
        <v>VL/X01</v>
      </c>
      <c r="E30" s="634" t="str">
        <f ca="1">IF(ROWS($1:17)&gt;COUNT(Dong12),"",OFFSET(TH!F$1,SMALL(Dong12,ROWS($1:17)),)&amp;" - "&amp;OFFSET(TH!H$1,SMALL(Dong12,ROWS($1:17)),))</f>
        <v>Đường - Xuất SX</v>
      </c>
      <c r="F30" s="633">
        <f t="shared" ca="1" si="0"/>
        <v>42705</v>
      </c>
      <c r="G30" s="635">
        <f ca="1">IF(ROWS($1:17)&gt;COUNT(Dong12),0,IF(MID(OFFSET(TH!D$1,SMALL(Dong12,ROWS($1:17)),),4,1)="N",OFFSET(TH!I$1,SMALL(Dong12,ROWS($1:17)),),0))</f>
        <v>0</v>
      </c>
      <c r="H30" s="635">
        <f ca="1">IF(ROWS($1:17)&gt;COUNT(Dong12),0,IF(MID(OFFSET(TH!D$1,SMALL(Dong12,ROWS($1:17)),),4,1)="X",OFFSET(TH!I$1,SMALL(Dong12,ROWS($1:17)),),0))</f>
        <v>1000</v>
      </c>
      <c r="I30" s="636">
        <f t="shared" ca="1" si="1"/>
        <v>100</v>
      </c>
      <c r="J30" s="637"/>
      <c r="K30" s="638"/>
    </row>
    <row r="31" spans="1:11" ht="16.5" customHeight="1">
      <c r="A31" s="640" t="str">
        <f>IF(D31&lt;&gt;"",A21+1,"")</f>
        <v/>
      </c>
      <c r="B31" s="641"/>
      <c r="C31" s="642"/>
      <c r="D31" s="642"/>
      <c r="E31" s="643"/>
      <c r="F31" s="641"/>
      <c r="G31" s="644"/>
      <c r="H31" s="644"/>
      <c r="I31" s="644"/>
      <c r="J31" s="645"/>
      <c r="K31" s="638"/>
    </row>
    <row r="32" spans="1:11" ht="16.5" customHeight="1">
      <c r="A32" s="627"/>
      <c r="B32" s="646"/>
      <c r="C32" s="627"/>
      <c r="D32" s="627"/>
      <c r="E32" s="628" t="s">
        <v>493</v>
      </c>
      <c r="F32" s="647" t="s">
        <v>20</v>
      </c>
      <c r="G32" s="648">
        <f ca="1">SUM(G14:G31)</f>
        <v>5100</v>
      </c>
      <c r="H32" s="648">
        <f ca="1">SUM(H14:H31)</f>
        <v>5300</v>
      </c>
      <c r="I32" s="648">
        <f ca="1">I13+G32-H32</f>
        <v>100</v>
      </c>
      <c r="J32" s="627" t="s">
        <v>20</v>
      </c>
      <c r="K32" s="649"/>
    </row>
    <row r="33" spans="1:11" ht="12.75" customHeight="1">
      <c r="A33" s="650"/>
      <c r="B33" s="604"/>
      <c r="C33" s="650"/>
      <c r="D33" s="650"/>
      <c r="E33" s="612"/>
      <c r="F33" s="604"/>
      <c r="G33" s="613"/>
      <c r="H33" s="613"/>
      <c r="I33" s="613"/>
      <c r="J33" s="599"/>
      <c r="K33" s="599"/>
    </row>
    <row r="34" spans="1:11" ht="15">
      <c r="A34" s="651" t="s">
        <v>494</v>
      </c>
      <c r="B34" s="651"/>
      <c r="C34" s="652"/>
      <c r="D34" s="652"/>
      <c r="E34" s="612"/>
      <c r="F34" s="604"/>
      <c r="G34" s="613"/>
      <c r="H34" s="613"/>
      <c r="I34" s="613"/>
      <c r="J34" s="599"/>
      <c r="K34" s="599"/>
    </row>
    <row r="35" spans="1:11" ht="15">
      <c r="A35" s="1516"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17"/>
      <c r="C35" s="1517"/>
      <c r="D35" s="1517"/>
      <c r="E35" s="1517"/>
      <c r="F35" s="604"/>
      <c r="G35" s="613"/>
      <c r="H35" s="613"/>
      <c r="I35" s="613"/>
      <c r="J35" s="599"/>
      <c r="K35" s="599"/>
    </row>
    <row r="36" spans="1:11" ht="15">
      <c r="A36" s="653"/>
      <c r="B36" s="654"/>
      <c r="C36" s="655"/>
      <c r="D36" s="650"/>
      <c r="E36" s="612"/>
      <c r="F36" s="604"/>
      <c r="H36" s="501"/>
      <c r="I36" s="1029" t="s">
        <v>449</v>
      </c>
      <c r="J36" s="501"/>
      <c r="K36" s="502"/>
    </row>
    <row r="37" spans="1:11" ht="15" customHeight="1">
      <c r="A37" s="653"/>
      <c r="C37" s="656" t="s">
        <v>495</v>
      </c>
      <c r="D37" s="650"/>
      <c r="E37" s="1518" t="s">
        <v>12</v>
      </c>
      <c r="F37" s="1518"/>
      <c r="G37" s="613"/>
      <c r="I37" s="1067" t="s">
        <v>128</v>
      </c>
      <c r="J37" s="602"/>
      <c r="K37" s="653"/>
    </row>
    <row r="38" spans="1:11" ht="15" customHeight="1">
      <c r="A38" s="657"/>
      <c r="C38" s="658" t="s">
        <v>13</v>
      </c>
      <c r="D38" s="659"/>
      <c r="E38" s="1511" t="s">
        <v>13</v>
      </c>
      <c r="F38" s="1511"/>
      <c r="G38" s="613"/>
      <c r="I38" s="1068" t="s">
        <v>158</v>
      </c>
      <c r="J38" s="1066"/>
      <c r="K38" s="657"/>
    </row>
    <row r="39" spans="1:11" ht="15">
      <c r="A39" s="657"/>
      <c r="C39" s="658"/>
      <c r="D39" s="650"/>
      <c r="E39" s="660"/>
      <c r="F39" s="661"/>
      <c r="G39" s="613"/>
      <c r="H39" s="657"/>
      <c r="I39" s="657"/>
      <c r="J39" s="657"/>
      <c r="K39" s="657"/>
    </row>
    <row r="40" spans="1:11" ht="15">
      <c r="A40" s="657"/>
      <c r="B40" s="658"/>
      <c r="C40" s="657"/>
      <c r="D40" s="650"/>
      <c r="E40" s="660"/>
      <c r="F40" s="661"/>
      <c r="G40" s="613"/>
      <c r="H40" s="657"/>
      <c r="I40" s="657"/>
      <c r="J40" s="657"/>
      <c r="K40" s="657"/>
    </row>
    <row r="41" spans="1:11" ht="15">
      <c r="A41" s="657"/>
      <c r="B41" s="658"/>
      <c r="C41" s="657"/>
      <c r="D41" s="650"/>
      <c r="E41" s="660"/>
      <c r="F41" s="661"/>
      <c r="G41" s="613"/>
      <c r="H41" s="657"/>
      <c r="I41" s="657"/>
      <c r="J41" s="657"/>
      <c r="K41" s="657"/>
    </row>
    <row r="46" spans="1:11" ht="15">
      <c r="C46" s="1069" t="s">
        <v>1307</v>
      </c>
      <c r="H46" s="1065"/>
      <c r="I46" s="1064" t="s">
        <v>122</v>
      </c>
      <c r="J46" s="1065"/>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6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03" customWidth="1"/>
    <col min="2" max="2" width="27.7109375" style="703" customWidth="1"/>
    <col min="3" max="3" width="6.7109375" style="703" customWidth="1"/>
    <col min="4" max="4" width="11.140625" style="703" bestFit="1" customWidth="1"/>
    <col min="5" max="5" width="9.42578125" style="703" customWidth="1"/>
    <col min="6" max="6" width="9.140625" style="703" customWidth="1"/>
    <col min="7" max="7" width="14.28515625" style="703" customWidth="1"/>
    <col min="8" max="11" width="13.7109375" style="703" customWidth="1"/>
    <col min="12" max="12" width="11.85546875" style="703" customWidth="1"/>
    <col min="13" max="13" width="13.7109375" style="703" customWidth="1"/>
    <col min="14" max="14" width="19.140625" style="703" bestFit="1" customWidth="1"/>
    <col min="15" max="15" width="9.7109375" style="703" customWidth="1"/>
    <col min="16" max="16" width="7.7109375" style="703" customWidth="1"/>
    <col min="17" max="17" width="3.42578125" style="704" customWidth="1"/>
    <col min="18" max="18" width="23" style="703" customWidth="1"/>
    <col min="19" max="19" width="10.140625" style="705" customWidth="1"/>
    <col min="20" max="21" width="7.5703125" style="706" customWidth="1"/>
    <col min="22" max="22" width="12.140625" style="703" customWidth="1"/>
    <col min="23" max="23" width="7.7109375" style="703" customWidth="1"/>
    <col min="24" max="24" width="11.140625" style="703" bestFit="1" customWidth="1"/>
    <col min="25" max="25" width="12" style="703" bestFit="1" customWidth="1"/>
    <col min="26" max="16384" width="10.28515625" style="703"/>
  </cols>
  <sheetData>
    <row r="1" spans="1:25">
      <c r="B1" s="703">
        <v>1</v>
      </c>
      <c r="C1" s="703">
        <v>2</v>
      </c>
      <c r="D1" s="703">
        <v>3</v>
      </c>
      <c r="E1" s="703">
        <v>4</v>
      </c>
      <c r="F1" s="703">
        <v>5</v>
      </c>
      <c r="G1" s="703">
        <v>6</v>
      </c>
      <c r="H1" s="703">
        <v>8</v>
      </c>
      <c r="I1" s="703">
        <v>7</v>
      </c>
      <c r="J1" s="703">
        <v>9</v>
      </c>
      <c r="K1" s="703">
        <v>10</v>
      </c>
      <c r="L1" s="703">
        <v>11</v>
      </c>
      <c r="M1" s="703">
        <v>12</v>
      </c>
      <c r="N1" s="703">
        <v>13</v>
      </c>
      <c r="O1" s="703">
        <v>14</v>
      </c>
      <c r="P1" s="703">
        <v>15</v>
      </c>
    </row>
    <row r="2" spans="1:25" ht="18" customHeight="1">
      <c r="A2" s="707" t="s">
        <v>521</v>
      </c>
      <c r="B2" s="707"/>
      <c r="C2" s="708"/>
      <c r="D2" s="709"/>
      <c r="E2" s="709"/>
      <c r="F2" s="709"/>
      <c r="G2" s="706"/>
      <c r="H2" s="706"/>
      <c r="I2" s="706"/>
      <c r="J2" s="706"/>
      <c r="K2" s="706"/>
      <c r="L2" s="710"/>
      <c r="M2" s="706"/>
      <c r="N2" s="706"/>
      <c r="O2" s="711"/>
      <c r="P2" s="706"/>
      <c r="Q2" s="712"/>
      <c r="R2" s="706"/>
      <c r="S2" s="713"/>
    </row>
    <row r="3" spans="1:25" ht="18.75" customHeight="1">
      <c r="A3" s="714" t="s">
        <v>522</v>
      </c>
      <c r="B3" s="714"/>
      <c r="C3" s="714"/>
      <c r="D3" s="714"/>
      <c r="E3" s="714"/>
      <c r="F3" s="714"/>
      <c r="G3" s="714"/>
      <c r="H3" s="714"/>
      <c r="I3" s="714"/>
      <c r="J3" s="714"/>
      <c r="K3" s="714"/>
      <c r="L3" s="714"/>
      <c r="M3" s="714"/>
      <c r="N3" s="714"/>
      <c r="O3" s="714"/>
      <c r="P3" s="714"/>
      <c r="Q3" s="712"/>
      <c r="R3" s="706"/>
      <c r="S3" s="713"/>
    </row>
    <row r="4" spans="1:25" ht="18.75" customHeight="1">
      <c r="A4" s="715"/>
      <c r="B4" s="715"/>
      <c r="C4" s="716"/>
      <c r="D4" s="715"/>
      <c r="E4" s="715"/>
      <c r="F4" s="715"/>
      <c r="G4" s="715"/>
      <c r="H4" s="715"/>
      <c r="I4" s="715"/>
      <c r="J4" s="715"/>
      <c r="K4" s="715"/>
      <c r="L4" s="714"/>
      <c r="M4" s="715"/>
      <c r="N4" s="715"/>
      <c r="O4" s="717"/>
      <c r="P4" s="715"/>
      <c r="Q4" s="712"/>
      <c r="R4" s="706"/>
      <c r="S4" s="713"/>
    </row>
    <row r="5" spans="1:25" ht="12.75" customHeight="1">
      <c r="A5" s="718"/>
      <c r="B5" s="718"/>
      <c r="C5" s="719"/>
      <c r="D5" s="718"/>
      <c r="E5" s="718"/>
      <c r="F5" s="718"/>
      <c r="G5" s="718"/>
      <c r="H5" s="718"/>
      <c r="I5" s="718"/>
      <c r="J5" s="718"/>
      <c r="K5" s="718"/>
      <c r="L5" s="718"/>
      <c r="M5" s="718"/>
      <c r="N5" s="718"/>
      <c r="O5" s="720"/>
      <c r="P5" s="718"/>
      <c r="Q5" s="712"/>
      <c r="R5" s="721"/>
      <c r="S5" s="1529"/>
      <c r="T5" s="1529"/>
      <c r="U5" s="722"/>
      <c r="V5" s="1529"/>
      <c r="W5" s="1529"/>
      <c r="X5" s="721"/>
      <c r="Y5" s="721"/>
    </row>
    <row r="6" spans="1:25" s="729" customFormat="1" ht="30.75" customHeight="1">
      <c r="A6" s="723" t="s">
        <v>35</v>
      </c>
      <c r="B6" s="723" t="s">
        <v>523</v>
      </c>
      <c r="C6" s="724" t="s">
        <v>524</v>
      </c>
      <c r="D6" s="725" t="s">
        <v>525</v>
      </c>
      <c r="E6" s="725" t="s">
        <v>526</v>
      </c>
      <c r="F6" s="725" t="s">
        <v>527</v>
      </c>
      <c r="G6" s="725" t="s">
        <v>528</v>
      </c>
      <c r="H6" s="725" t="s">
        <v>529</v>
      </c>
      <c r="I6" s="725" t="s">
        <v>530</v>
      </c>
      <c r="J6" s="725" t="s">
        <v>531</v>
      </c>
      <c r="K6" s="726" t="s">
        <v>532</v>
      </c>
      <c r="L6" s="725" t="s">
        <v>533</v>
      </c>
      <c r="M6" s="726" t="s">
        <v>534</v>
      </c>
      <c r="N6" s="725" t="s">
        <v>535</v>
      </c>
      <c r="O6" s="727" t="s">
        <v>526</v>
      </c>
      <c r="P6" s="725" t="s">
        <v>536</v>
      </c>
      <c r="Q6" s="728"/>
      <c r="R6" s="723" t="s">
        <v>523</v>
      </c>
      <c r="S6" s="725" t="s">
        <v>490</v>
      </c>
      <c r="T6" s="725" t="s">
        <v>330</v>
      </c>
      <c r="U6" s="725" t="s">
        <v>527</v>
      </c>
      <c r="V6" s="725" t="s">
        <v>537</v>
      </c>
      <c r="W6" s="723" t="s">
        <v>537</v>
      </c>
    </row>
    <row r="7" spans="1:25">
      <c r="A7" s="730">
        <f>IF(B7&lt;&gt;"",ROW()-(ROW()-1),"")</f>
        <v>1</v>
      </c>
      <c r="B7" s="479" t="s">
        <v>441</v>
      </c>
      <c r="C7" s="731">
        <v>13.5</v>
      </c>
      <c r="D7" s="583">
        <f>ROUND(C7*O7,0)</f>
        <v>95850</v>
      </c>
      <c r="E7" s="583"/>
      <c r="F7" s="583">
        <v>15500</v>
      </c>
      <c r="G7" s="732">
        <f>(D7+E7)*F7</f>
        <v>1485675000</v>
      </c>
      <c r="H7" s="583">
        <f>IF($D$11&lt;&gt;0,H$11/($D$11+$E$11/5)*($D7+$E7/5),0)</f>
        <v>51974229.599999994</v>
      </c>
      <c r="I7" s="583">
        <f>IF($D$11&lt;&gt;0,I$11/$D$11*$D7,0)</f>
        <v>18932117.760000002</v>
      </c>
      <c r="J7" s="583">
        <f t="shared" ref="J7:K9" si="0">IF($D$11&lt;&gt;0,J$11/$D$11*$D7,0)</f>
        <v>29869884.000000004</v>
      </c>
      <c r="K7" s="583">
        <f t="shared" si="0"/>
        <v>20569983.120000001</v>
      </c>
      <c r="L7" s="583">
        <f>V18+V19</f>
        <v>7800000</v>
      </c>
      <c r="M7" s="583"/>
      <c r="N7" s="732">
        <f>G7+I7+H7+J7+L7+K7+M7</f>
        <v>1614821214.4799998</v>
      </c>
      <c r="O7" s="583">
        <v>7100</v>
      </c>
      <c r="P7" s="583">
        <f>IF(O7&lt;&gt;"",N7/O7,"")</f>
        <v>227439.6076732394</v>
      </c>
      <c r="Q7" s="733"/>
      <c r="R7" s="734" t="s">
        <v>332</v>
      </c>
      <c r="S7" s="735">
        <v>42371</v>
      </c>
      <c r="T7" s="222">
        <v>100</v>
      </c>
      <c r="U7" s="736">
        <v>35444.444444444445</v>
      </c>
      <c r="V7" s="732">
        <f>ROUND(T7*U7,0)</f>
        <v>3544444</v>
      </c>
      <c r="W7" s="737"/>
    </row>
    <row r="8" spans="1:25">
      <c r="A8" s="730">
        <f>IF(B8&lt;&gt;"",A7+1,"")</f>
        <v>2</v>
      </c>
      <c r="B8" s="479" t="s">
        <v>443</v>
      </c>
      <c r="C8" s="731">
        <v>8</v>
      </c>
      <c r="D8" s="583">
        <f>ROUND(C8*O8,0)</f>
        <v>38400</v>
      </c>
      <c r="E8" s="583"/>
      <c r="F8" s="583">
        <v>18500</v>
      </c>
      <c r="G8" s="732">
        <f>(D8+E8)*F8</f>
        <v>710400000</v>
      </c>
      <c r="H8" s="583">
        <f>IF($D$11&lt;&gt;0,H$11/($D$11+$E$11/5)*($D8+$E8/5),0)</f>
        <v>20822226.569014084</v>
      </c>
      <c r="I8" s="583">
        <f>IF($D$11&lt;&gt;0,I$11/$D$11*$D8,0)</f>
        <v>7584698.1949295774</v>
      </c>
      <c r="J8" s="583">
        <f t="shared" si="0"/>
        <v>11966651.492957748</v>
      </c>
      <c r="K8" s="583">
        <f t="shared" si="0"/>
        <v>8240869.6067605633</v>
      </c>
      <c r="L8" s="583">
        <f>V20+V21</f>
        <v>44946000</v>
      </c>
      <c r="M8" s="583"/>
      <c r="N8" s="732">
        <f>G8+I8+H8+J8+L8+K8+M8</f>
        <v>803960445.863662</v>
      </c>
      <c r="O8" s="738">
        <v>4800</v>
      </c>
      <c r="P8" s="583">
        <f>IF(O8&lt;&gt;"",N8/O8,"")</f>
        <v>167491.75955492959</v>
      </c>
      <c r="Q8" s="733"/>
      <c r="R8" s="739" t="s">
        <v>338</v>
      </c>
      <c r="S8" s="735">
        <v>42371</v>
      </c>
      <c r="T8" s="222">
        <v>20</v>
      </c>
      <c r="U8" s="740">
        <v>46741.2</v>
      </c>
      <c r="V8" s="732">
        <f t="shared" ref="V8:V14" si="1">ROUND(T8*U8,0)</f>
        <v>934824</v>
      </c>
      <c r="W8" s="741"/>
    </row>
    <row r="9" spans="1:25">
      <c r="A9" s="730">
        <f>IF(B9&lt;&gt;"",A8+1,"")</f>
        <v>3</v>
      </c>
      <c r="B9" s="742" t="s">
        <v>442</v>
      </c>
      <c r="C9" s="731">
        <v>11</v>
      </c>
      <c r="D9" s="583">
        <f>ROUND(C9*O9,0)</f>
        <v>132000</v>
      </c>
      <c r="E9" s="583"/>
      <c r="F9" s="583">
        <v>14500</v>
      </c>
      <c r="G9" s="732">
        <f>(D9+E9)*F9</f>
        <v>1914000000</v>
      </c>
      <c r="H9" s="583">
        <f>IF($D$11&lt;&gt;0,H$11/($D$11+$E$11/5)*($D9+$E9/5),0)</f>
        <v>71576403.830985919</v>
      </c>
      <c r="I9" s="583">
        <f>IF($D$11&lt;&gt;0,I$11/$D$11*$D9,0)</f>
        <v>26072400.045070425</v>
      </c>
      <c r="J9" s="583">
        <f t="shared" si="0"/>
        <v>41135364.507042259</v>
      </c>
      <c r="K9" s="583">
        <f t="shared" si="0"/>
        <v>28327989.273239437</v>
      </c>
      <c r="L9" s="583">
        <f>V22+V23</f>
        <v>15225000</v>
      </c>
      <c r="M9" s="583"/>
      <c r="N9" s="732">
        <f>G9+I9+H9+J9+L9+K9+M9</f>
        <v>2096337157.656338</v>
      </c>
      <c r="O9" s="738">
        <v>12000</v>
      </c>
      <c r="P9" s="583">
        <f>IF(O9&lt;&gt;"",N9/O9,"")</f>
        <v>174694.76313802815</v>
      </c>
      <c r="Q9" s="733"/>
      <c r="R9" s="739" t="s">
        <v>341</v>
      </c>
      <c r="S9" s="735">
        <v>42371</v>
      </c>
      <c r="T9" s="222">
        <v>150</v>
      </c>
      <c r="U9" s="740">
        <v>11666.673333333334</v>
      </c>
      <c r="V9" s="732">
        <f t="shared" si="1"/>
        <v>1750001</v>
      </c>
      <c r="W9" s="741"/>
    </row>
    <row r="10" spans="1:25" s="752" customFormat="1">
      <c r="A10" s="730" t="str">
        <f>IF(B10&lt;&gt;"",#REF!+1,"")</f>
        <v/>
      </c>
      <c r="B10" s="743"/>
      <c r="C10" s="744"/>
      <c r="D10" s="583"/>
      <c r="E10" s="745"/>
      <c r="F10" s="746"/>
      <c r="G10" s="747"/>
      <c r="H10" s="583"/>
      <c r="I10" s="746"/>
      <c r="J10" s="748"/>
      <c r="K10" s="746"/>
      <c r="L10" s="749"/>
      <c r="M10" s="746"/>
      <c r="N10" s="732"/>
      <c r="O10" s="750"/>
      <c r="P10" s="583" t="str">
        <f>IF(B10&lt;&gt;"",N10/O10,"")</f>
        <v/>
      </c>
      <c r="Q10" s="751"/>
      <c r="R10" s="739" t="s">
        <v>218</v>
      </c>
      <c r="S10" s="735">
        <v>42376</v>
      </c>
      <c r="T10" s="222">
        <v>100</v>
      </c>
      <c r="U10" s="740">
        <v>21979.791919191921</v>
      </c>
      <c r="V10" s="732">
        <f t="shared" si="1"/>
        <v>2197979</v>
      </c>
      <c r="W10" s="741"/>
    </row>
    <row r="11" spans="1:25" s="707" customFormat="1">
      <c r="A11" s="753"/>
      <c r="B11" s="754" t="s">
        <v>538</v>
      </c>
      <c r="C11" s="755"/>
      <c r="D11" s="756">
        <f>SUM(D7:D10)</f>
        <v>266250</v>
      </c>
      <c r="E11" s="756"/>
      <c r="F11" s="756"/>
      <c r="G11" s="756">
        <f>SUM(G7:G10)</f>
        <v>4110075000</v>
      </c>
      <c r="H11" s="757">
        <v>144372860</v>
      </c>
      <c r="I11" s="757">
        <f>V17</f>
        <v>52589216</v>
      </c>
      <c r="J11" s="757">
        <v>82971900</v>
      </c>
      <c r="K11" s="757">
        <v>57138842</v>
      </c>
      <c r="L11" s="756">
        <f>ROUND(SUM(L7:L10),0)</f>
        <v>67971000</v>
      </c>
      <c r="M11" s="756">
        <f>ROUND(SUM(M7:M10),0)</f>
        <v>0</v>
      </c>
      <c r="N11" s="756">
        <f>ROUND(SUM(N7:N10),0)</f>
        <v>4515118818</v>
      </c>
      <c r="O11" s="756">
        <f>ROUND(SUM(O7:O10),0)</f>
        <v>23900</v>
      </c>
      <c r="P11" s="756"/>
      <c r="Q11" s="712"/>
      <c r="R11" s="739" t="s">
        <v>346</v>
      </c>
      <c r="S11" s="735"/>
      <c r="T11" s="222"/>
      <c r="U11" s="740">
        <v>3500</v>
      </c>
      <c r="V11" s="732">
        <f t="shared" si="1"/>
        <v>0</v>
      </c>
      <c r="W11" s="741"/>
    </row>
    <row r="12" spans="1:25" s="707" customFormat="1">
      <c r="A12" s="758"/>
      <c r="B12" s="759"/>
      <c r="C12" s="716"/>
      <c r="D12" s="760"/>
      <c r="E12" s="760"/>
      <c r="F12" s="760"/>
      <c r="G12" s="760"/>
      <c r="H12" s="760"/>
      <c r="I12" s="714"/>
      <c r="J12" s="760"/>
      <c r="K12" s="760"/>
      <c r="L12" s="760"/>
      <c r="M12" s="760"/>
      <c r="N12" s="760"/>
      <c r="O12" s="760"/>
      <c r="P12" s="760"/>
      <c r="Q12" s="712"/>
      <c r="R12" s="739" t="s">
        <v>349</v>
      </c>
      <c r="S12" s="735">
        <v>42376</v>
      </c>
      <c r="T12" s="222">
        <v>2700</v>
      </c>
      <c r="U12" s="740">
        <v>14899.99962962963</v>
      </c>
      <c r="V12" s="732">
        <f t="shared" si="1"/>
        <v>40229999</v>
      </c>
      <c r="W12" s="741"/>
    </row>
    <row r="13" spans="1:25" s="707" customFormat="1">
      <c r="A13" s="758"/>
      <c r="B13" s="759"/>
      <c r="C13" s="716"/>
      <c r="D13" s="760"/>
      <c r="E13" s="760"/>
      <c r="F13" s="760"/>
      <c r="G13" s="761"/>
      <c r="H13" s="760"/>
      <c r="I13" s="714"/>
      <c r="J13" s="760"/>
      <c r="K13" s="760"/>
      <c r="L13" s="760"/>
      <c r="M13" s="760"/>
      <c r="N13" s="760"/>
      <c r="O13" s="760"/>
      <c r="P13" s="760"/>
      <c r="Q13" s="712"/>
      <c r="R13" s="739" t="s">
        <v>352</v>
      </c>
      <c r="S13" s="735">
        <v>42384</v>
      </c>
      <c r="T13" s="222">
        <v>400</v>
      </c>
      <c r="U13" s="740">
        <v>8500</v>
      </c>
      <c r="V13" s="732">
        <f t="shared" si="1"/>
        <v>3400000</v>
      </c>
      <c r="W13" s="741"/>
    </row>
    <row r="14" spans="1:25" s="707" customFormat="1">
      <c r="A14" s="758"/>
      <c r="B14" s="759"/>
      <c r="C14" s="716"/>
      <c r="D14" s="760"/>
      <c r="E14" s="760"/>
      <c r="F14" s="760"/>
      <c r="G14" s="761"/>
      <c r="H14" s="760"/>
      <c r="I14" s="714"/>
      <c r="J14" s="760"/>
      <c r="K14" s="760"/>
      <c r="L14" s="760"/>
      <c r="M14" s="760"/>
      <c r="N14" s="760"/>
      <c r="O14" s="760"/>
      <c r="P14" s="760"/>
      <c r="Q14" s="712"/>
      <c r="R14" s="739" t="s">
        <v>356</v>
      </c>
      <c r="S14" s="735">
        <v>42384</v>
      </c>
      <c r="T14" s="762">
        <v>1647</v>
      </c>
      <c r="U14" s="762">
        <v>322.9927140255009</v>
      </c>
      <c r="V14" s="732">
        <f t="shared" si="1"/>
        <v>531969</v>
      </c>
      <c r="W14" s="741"/>
    </row>
    <row r="15" spans="1:25" s="707" customFormat="1">
      <c r="A15" s="758"/>
      <c r="B15" s="759"/>
      <c r="C15" s="716"/>
      <c r="D15" s="760"/>
      <c r="E15" s="760"/>
      <c r="F15" s="760"/>
      <c r="G15" s="761"/>
      <c r="H15" s="760"/>
      <c r="I15" s="714"/>
      <c r="J15" s="760"/>
      <c r="K15" s="760"/>
      <c r="L15" s="760"/>
      <c r="M15" s="760"/>
      <c r="N15" s="760"/>
      <c r="O15" s="760"/>
      <c r="P15" s="760"/>
      <c r="Q15" s="703"/>
      <c r="R15" s="763"/>
      <c r="S15" s="735"/>
      <c r="T15" s="764"/>
      <c r="U15" s="764"/>
      <c r="V15" s="764"/>
      <c r="W15" s="741"/>
    </row>
    <row r="16" spans="1:25" s="707" customFormat="1">
      <c r="A16" s="758"/>
      <c r="B16" s="759"/>
      <c r="C16" s="716"/>
      <c r="D16" s="760"/>
      <c r="E16" s="760"/>
      <c r="F16" s="760"/>
      <c r="G16" s="761"/>
      <c r="H16" s="760"/>
      <c r="I16" s="714"/>
      <c r="J16" s="760"/>
      <c r="K16" s="760"/>
      <c r="L16" s="760"/>
      <c r="M16" s="760"/>
      <c r="N16" s="760"/>
      <c r="O16" s="760"/>
      <c r="P16" s="760"/>
      <c r="Q16" s="703"/>
      <c r="R16" s="763"/>
      <c r="S16" s="735"/>
      <c r="T16" s="764"/>
      <c r="U16" s="764"/>
      <c r="V16" s="764"/>
      <c r="W16" s="741"/>
    </row>
    <row r="17" spans="1:24" s="707" customFormat="1">
      <c r="A17" s="758"/>
      <c r="B17" s="759"/>
      <c r="C17" s="716"/>
      <c r="D17" s="760"/>
      <c r="E17" s="760"/>
      <c r="F17" s="760"/>
      <c r="G17" s="760"/>
      <c r="H17" s="760"/>
      <c r="I17" s="714"/>
      <c r="J17" s="760"/>
      <c r="K17" s="760"/>
      <c r="L17" s="760"/>
      <c r="M17" s="760"/>
      <c r="N17" s="760"/>
      <c r="O17" s="760"/>
      <c r="P17" s="760"/>
      <c r="Q17" s="703"/>
      <c r="R17" s="1530"/>
      <c r="S17" s="1530"/>
      <c r="T17" s="1530"/>
      <c r="U17" s="904"/>
      <c r="V17" s="766">
        <f>SUM(V7:V16)</f>
        <v>52589216</v>
      </c>
      <c r="W17" s="766">
        <f>SUM(W7:W16)</f>
        <v>0</v>
      </c>
    </row>
    <row r="18" spans="1:24">
      <c r="G18" s="721"/>
      <c r="H18" s="721"/>
      <c r="I18" s="767"/>
      <c r="N18" s="768"/>
      <c r="O18" s="760"/>
      <c r="R18" s="762" t="s">
        <v>387</v>
      </c>
      <c r="S18" s="735">
        <v>42388</v>
      </c>
      <c r="T18" s="222">
        <v>400</v>
      </c>
      <c r="U18" s="222">
        <v>17000</v>
      </c>
      <c r="V18" s="732">
        <f t="shared" ref="V18:V23" si="2">ROUND(T18*U18,0)</f>
        <v>6800000</v>
      </c>
      <c r="W18" s="748"/>
    </row>
    <row r="19" spans="1:24">
      <c r="G19" s="721"/>
      <c r="H19" s="721"/>
      <c r="I19" s="767"/>
      <c r="N19" s="768"/>
      <c r="O19" s="760"/>
      <c r="R19" s="762" t="s">
        <v>390</v>
      </c>
      <c r="S19" s="735">
        <v>42388</v>
      </c>
      <c r="T19" s="222">
        <v>400</v>
      </c>
      <c r="U19" s="740">
        <v>2500</v>
      </c>
      <c r="V19" s="732">
        <f t="shared" si="2"/>
        <v>1000000</v>
      </c>
      <c r="W19" s="748"/>
    </row>
    <row r="20" spans="1:24">
      <c r="G20" s="721"/>
      <c r="H20" s="721"/>
      <c r="I20" s="767"/>
      <c r="N20" s="768"/>
      <c r="O20" s="760"/>
      <c r="R20" s="762" t="s">
        <v>394</v>
      </c>
      <c r="S20" s="735">
        <v>42391</v>
      </c>
      <c r="T20" s="740">
        <v>620</v>
      </c>
      <c r="U20" s="740">
        <v>18300</v>
      </c>
      <c r="V20" s="732">
        <f t="shared" si="2"/>
        <v>11346000</v>
      </c>
      <c r="W20" s="748"/>
    </row>
    <row r="21" spans="1:24">
      <c r="G21" s="721"/>
      <c r="H21" s="721"/>
      <c r="I21" s="767"/>
      <c r="N21" s="768"/>
      <c r="O21" s="760"/>
      <c r="R21" s="762" t="s">
        <v>638</v>
      </c>
      <c r="S21" s="735">
        <v>42391</v>
      </c>
      <c r="T21" s="740">
        <v>2400</v>
      </c>
      <c r="U21" s="740">
        <v>14000</v>
      </c>
      <c r="V21" s="732">
        <f t="shared" si="2"/>
        <v>33600000</v>
      </c>
      <c r="W21" s="748"/>
    </row>
    <row r="22" spans="1:24">
      <c r="G22" s="721"/>
      <c r="H22" s="721"/>
      <c r="I22" s="767"/>
      <c r="N22" s="768"/>
      <c r="O22" s="760"/>
      <c r="R22" s="739" t="s">
        <v>383</v>
      </c>
      <c r="S22" s="735">
        <v>42398</v>
      </c>
      <c r="T22" s="740">
        <v>1150</v>
      </c>
      <c r="U22" s="740">
        <v>12000</v>
      </c>
      <c r="V22" s="732">
        <f t="shared" si="2"/>
        <v>13800000</v>
      </c>
      <c r="W22" s="748"/>
    </row>
    <row r="23" spans="1:24">
      <c r="G23" s="721"/>
      <c r="H23" s="721"/>
      <c r="I23" s="767"/>
      <c r="N23" s="768"/>
      <c r="O23" s="760"/>
      <c r="R23" s="762" t="s">
        <v>385</v>
      </c>
      <c r="S23" s="735">
        <v>42398</v>
      </c>
      <c r="T23" s="740">
        <v>150</v>
      </c>
      <c r="U23" s="740">
        <v>9500</v>
      </c>
      <c r="V23" s="732">
        <f t="shared" si="2"/>
        <v>1425000</v>
      </c>
      <c r="W23" s="748"/>
    </row>
    <row r="24" spans="1:24" ht="18" customHeight="1">
      <c r="A24" s="707" t="s">
        <v>521</v>
      </c>
      <c r="B24" s="707"/>
      <c r="C24" s="708"/>
      <c r="D24" s="709"/>
      <c r="E24" s="709"/>
      <c r="F24" s="709"/>
      <c r="G24" s="706"/>
      <c r="H24" s="706"/>
      <c r="I24" s="706"/>
      <c r="J24" s="706"/>
      <c r="K24" s="706"/>
      <c r="L24" s="710"/>
      <c r="M24" s="706"/>
      <c r="N24" s="706"/>
      <c r="O24" s="711"/>
      <c r="P24" s="706"/>
      <c r="Q24" s="712"/>
      <c r="R24" s="769"/>
      <c r="S24" s="770"/>
      <c r="T24" s="771"/>
      <c r="U24" s="771"/>
      <c r="V24" s="771">
        <f>SUM(V18:V23)</f>
        <v>67971000</v>
      </c>
      <c r="W24" s="772"/>
      <c r="X24" s="721"/>
    </row>
    <row r="25" spans="1:24" ht="18.75" customHeight="1">
      <c r="A25" s="714" t="s">
        <v>539</v>
      </c>
      <c r="B25" s="714"/>
      <c r="C25" s="714"/>
      <c r="D25" s="714"/>
      <c r="E25" s="714"/>
      <c r="F25" s="714"/>
      <c r="G25" s="714"/>
      <c r="H25" s="714"/>
      <c r="I25" s="714"/>
      <c r="J25" s="714"/>
      <c r="K25" s="714"/>
      <c r="L25" s="714"/>
      <c r="M25" s="714"/>
      <c r="N25" s="714"/>
      <c r="O25" s="714"/>
      <c r="P25" s="714"/>
      <c r="Q25" s="712"/>
      <c r="R25" s="773"/>
      <c r="S25" s="774"/>
      <c r="T25" s="722"/>
      <c r="U25" s="722"/>
      <c r="V25" s="775"/>
    </row>
    <row r="26" spans="1:24" ht="18.75" customHeight="1">
      <c r="A26" s="715"/>
      <c r="B26" s="715"/>
      <c r="C26" s="716"/>
      <c r="D26" s="715"/>
      <c r="E26" s="715"/>
      <c r="F26" s="715"/>
      <c r="G26" s="715"/>
      <c r="H26" s="715"/>
      <c r="I26" s="715"/>
      <c r="J26" s="715"/>
      <c r="K26" s="715"/>
      <c r="L26" s="714"/>
      <c r="M26" s="715"/>
      <c r="N26" s="715"/>
      <c r="O26" s="717"/>
      <c r="P26" s="715"/>
      <c r="Q26" s="712"/>
      <c r="R26" s="706"/>
      <c r="S26" s="713"/>
    </row>
    <row r="27" spans="1:24" ht="12.75" customHeight="1">
      <c r="A27" s="718"/>
      <c r="B27" s="718"/>
      <c r="C27" s="719"/>
      <c r="D27" s="718"/>
      <c r="E27" s="718"/>
      <c r="F27" s="718"/>
      <c r="G27" s="718"/>
      <c r="H27" s="718"/>
      <c r="I27" s="718"/>
      <c r="J27" s="718"/>
      <c r="K27" s="718"/>
      <c r="L27" s="718"/>
      <c r="M27" s="718"/>
      <c r="N27" s="718"/>
      <c r="O27" s="720"/>
      <c r="P27" s="718"/>
      <c r="Q27" s="712"/>
      <c r="R27" s="706"/>
      <c r="S27" s="713"/>
    </row>
    <row r="28" spans="1:24" s="729" customFormat="1" ht="30.75" customHeight="1">
      <c r="A28" s="723" t="s">
        <v>35</v>
      </c>
      <c r="B28" s="723" t="s">
        <v>523</v>
      </c>
      <c r="C28" s="724" t="s">
        <v>524</v>
      </c>
      <c r="D28" s="725" t="s">
        <v>525</v>
      </c>
      <c r="E28" s="725" t="s">
        <v>526</v>
      </c>
      <c r="F28" s="725" t="s">
        <v>527</v>
      </c>
      <c r="G28" s="725" t="s">
        <v>528</v>
      </c>
      <c r="H28" s="725" t="s">
        <v>529</v>
      </c>
      <c r="I28" s="725" t="s">
        <v>530</v>
      </c>
      <c r="J28" s="725" t="s">
        <v>531</v>
      </c>
      <c r="K28" s="726" t="s">
        <v>532</v>
      </c>
      <c r="L28" s="725" t="s">
        <v>533</v>
      </c>
      <c r="M28" s="726" t="s">
        <v>534</v>
      </c>
      <c r="N28" s="725" t="s">
        <v>535</v>
      </c>
      <c r="O28" s="727" t="s">
        <v>526</v>
      </c>
      <c r="P28" s="725" t="s">
        <v>536</v>
      </c>
      <c r="Q28" s="728"/>
      <c r="R28" s="723" t="s">
        <v>523</v>
      </c>
      <c r="S28" s="725" t="s">
        <v>490</v>
      </c>
      <c r="T28" s="725" t="s">
        <v>330</v>
      </c>
      <c r="U28" s="725" t="s">
        <v>527</v>
      </c>
      <c r="V28" s="725" t="s">
        <v>537</v>
      </c>
      <c r="W28" s="723" t="s">
        <v>537</v>
      </c>
    </row>
    <row r="29" spans="1:24">
      <c r="A29" s="730">
        <f>IF(B29&lt;&gt;"",ROW()-(ROW()-1),"")</f>
        <v>1</v>
      </c>
      <c r="B29" s="742" t="s">
        <v>442</v>
      </c>
      <c r="C29" s="731">
        <v>11</v>
      </c>
      <c r="D29" s="583">
        <f>ROUND(C29*O29,0)</f>
        <v>88000</v>
      </c>
      <c r="E29" s="583"/>
      <c r="F29" s="1253">
        <v>15500</v>
      </c>
      <c r="G29" s="732">
        <f>(D29+E29)*F29</f>
        <v>1364000000</v>
      </c>
      <c r="H29" s="583">
        <f>IF($D$32&lt;&gt;0,H$32/($D$32+$E$32/5)*($D29+$E29/5),0)</f>
        <v>62398414.953271031</v>
      </c>
      <c r="I29" s="583">
        <f t="shared" ref="I29:K30" si="3">IF($D$32&lt;&gt;0,I$32/$D$32*$D29,0)</f>
        <v>9228016.6822429914</v>
      </c>
      <c r="J29" s="583">
        <f t="shared" si="3"/>
        <v>34224855.140186921</v>
      </c>
      <c r="K29" s="583">
        <f t="shared" si="3"/>
        <v>29370432.803738315</v>
      </c>
      <c r="L29" s="583">
        <f>V39</f>
        <v>12139811</v>
      </c>
      <c r="M29" s="583"/>
      <c r="N29" s="732">
        <f>SUM(G29:L29)</f>
        <v>1511361530.5794394</v>
      </c>
      <c r="O29" s="583">
        <v>8000</v>
      </c>
      <c r="P29" s="583">
        <f>IF(O29&lt;&gt;"",N29/O29,"")</f>
        <v>188920.19132242992</v>
      </c>
      <c r="Q29" s="751"/>
      <c r="R29" s="734" t="s">
        <v>332</v>
      </c>
      <c r="S29" s="735">
        <v>42415</v>
      </c>
      <c r="T29" s="222">
        <v>20</v>
      </c>
      <c r="U29" s="736">
        <v>35444.444444444445</v>
      </c>
      <c r="V29" s="732">
        <f t="shared" ref="V29:V36" si="4">ROUND(T29*U29,0)</f>
        <v>708889</v>
      </c>
      <c r="W29" s="737"/>
    </row>
    <row r="30" spans="1:24">
      <c r="A30" s="730">
        <f>IF(B30&lt;&gt;"",A29+1,"")</f>
        <v>2</v>
      </c>
      <c r="B30" s="742" t="s">
        <v>455</v>
      </c>
      <c r="C30" s="731">
        <v>3.2</v>
      </c>
      <c r="D30" s="583">
        <f>ROUND(C30*O30,0)</f>
        <v>83200</v>
      </c>
      <c r="E30" s="583"/>
      <c r="F30" s="583">
        <v>17500</v>
      </c>
      <c r="G30" s="732">
        <f>(D30+E30)*F30</f>
        <v>1456000000</v>
      </c>
      <c r="H30" s="583">
        <f>IF($D$32&lt;&gt;0,H$32/($D$32+$E$32/5)*($D30+$E30/5),0)</f>
        <v>58994865.046728976</v>
      </c>
      <c r="I30" s="583">
        <f t="shared" si="3"/>
        <v>8724670.3177570086</v>
      </c>
      <c r="J30" s="583">
        <f t="shared" si="3"/>
        <v>32358044.859813087</v>
      </c>
      <c r="K30" s="583">
        <f t="shared" si="3"/>
        <v>27768409.196261682</v>
      </c>
      <c r="L30" s="583"/>
      <c r="M30" s="583"/>
      <c r="N30" s="732">
        <f>SUM(G30:L30)</f>
        <v>1583845989.4205606</v>
      </c>
      <c r="O30" s="738">
        <v>26000</v>
      </c>
      <c r="P30" s="583">
        <f>IF(O30&lt;&gt;"",N30/O30,"")</f>
        <v>60917.153439252332</v>
      </c>
      <c r="Q30" s="751"/>
      <c r="R30" s="739" t="s">
        <v>338</v>
      </c>
      <c r="S30" s="735">
        <v>42415</v>
      </c>
      <c r="T30" s="222">
        <v>5</v>
      </c>
      <c r="U30" s="222">
        <v>46741.2</v>
      </c>
      <c r="V30" s="732">
        <f t="shared" si="4"/>
        <v>233706</v>
      </c>
      <c r="W30" s="741"/>
    </row>
    <row r="31" spans="1:24" s="752" customFormat="1">
      <c r="A31" s="730" t="str">
        <f>IF(B31&lt;&gt;"",#REF!+1,"")</f>
        <v/>
      </c>
      <c r="B31" s="776"/>
      <c r="C31" s="777"/>
      <c r="D31" s="778"/>
      <c r="E31" s="778"/>
      <c r="F31" s="778"/>
      <c r="G31" s="779"/>
      <c r="H31" s="780"/>
      <c r="I31" s="778"/>
      <c r="J31" s="781"/>
      <c r="K31" s="778"/>
      <c r="L31" s="782"/>
      <c r="M31" s="778"/>
      <c r="N31" s="780"/>
      <c r="O31" s="783"/>
      <c r="P31" s="778"/>
      <c r="Q31" s="751"/>
      <c r="R31" s="739" t="s">
        <v>341</v>
      </c>
      <c r="S31" s="735">
        <v>42415</v>
      </c>
      <c r="T31" s="222">
        <v>150</v>
      </c>
      <c r="U31" s="740">
        <v>11666.673333333334</v>
      </c>
      <c r="V31" s="732">
        <f t="shared" si="4"/>
        <v>1750001</v>
      </c>
      <c r="W31" s="741"/>
    </row>
    <row r="32" spans="1:24" s="707" customFormat="1">
      <c r="A32" s="753"/>
      <c r="B32" s="754" t="s">
        <v>538</v>
      </c>
      <c r="C32" s="755"/>
      <c r="D32" s="756">
        <f>SUM(D29:D31)</f>
        <v>171200</v>
      </c>
      <c r="E32" s="756">
        <f>SUM(E29:E31)</f>
        <v>0</v>
      </c>
      <c r="F32" s="756"/>
      <c r="G32" s="756">
        <f>SUM(G29:G31)</f>
        <v>2820000000</v>
      </c>
      <c r="H32" s="757">
        <v>121393280</v>
      </c>
      <c r="I32" s="757">
        <f>$V$38</f>
        <v>17952687</v>
      </c>
      <c r="J32" s="757">
        <v>66582900</v>
      </c>
      <c r="K32" s="757">
        <v>57138842</v>
      </c>
      <c r="L32" s="756">
        <f>ROUND(SUM(L29:L31),0)</f>
        <v>12139811</v>
      </c>
      <c r="M32" s="756">
        <f>ROUND(SUM(M29:M31),0)</f>
        <v>0</v>
      </c>
      <c r="N32" s="756">
        <f>ROUND(SUM(N29:N31),0)</f>
        <v>3095207520</v>
      </c>
      <c r="O32" s="756">
        <f>ROUND(SUM(O29:O31),0)</f>
        <v>34000</v>
      </c>
      <c r="P32" s="756"/>
      <c r="Q32" s="712"/>
      <c r="R32" s="739" t="s">
        <v>218</v>
      </c>
      <c r="S32" s="735">
        <v>42415</v>
      </c>
      <c r="T32" s="222">
        <v>45</v>
      </c>
      <c r="U32" s="740">
        <v>21979.791919191921</v>
      </c>
      <c r="V32" s="732">
        <f t="shared" si="4"/>
        <v>989091</v>
      </c>
      <c r="W32" s="741"/>
    </row>
    <row r="33" spans="1:23" s="707" customFormat="1">
      <c r="A33" s="758"/>
      <c r="B33" s="759"/>
      <c r="C33" s="716"/>
      <c r="D33" s="760"/>
      <c r="E33" s="760"/>
      <c r="F33" s="760"/>
      <c r="G33" s="760"/>
      <c r="H33" s="760"/>
      <c r="I33" s="714"/>
      <c r="J33" s="760"/>
      <c r="K33" s="760"/>
      <c r="L33" s="760"/>
      <c r="M33" s="760"/>
      <c r="N33" s="760"/>
      <c r="O33" s="760"/>
      <c r="P33" s="760"/>
      <c r="Q33" s="712"/>
      <c r="R33" s="739" t="s">
        <v>346</v>
      </c>
      <c r="S33" s="735"/>
      <c r="T33" s="222"/>
      <c r="U33" s="222">
        <v>3500</v>
      </c>
      <c r="V33" s="732">
        <f t="shared" si="4"/>
        <v>0</v>
      </c>
      <c r="W33" s="784"/>
    </row>
    <row r="34" spans="1:23" s="707" customFormat="1">
      <c r="A34" s="758"/>
      <c r="B34" s="759"/>
      <c r="C34" s="716"/>
      <c r="D34" s="760"/>
      <c r="E34" s="760"/>
      <c r="F34" s="760"/>
      <c r="G34" s="760"/>
      <c r="H34" s="760"/>
      <c r="I34" s="714"/>
      <c r="J34" s="760"/>
      <c r="K34" s="760"/>
      <c r="L34" s="760"/>
      <c r="M34" s="760"/>
      <c r="N34" s="760"/>
      <c r="O34" s="760"/>
      <c r="P34" s="760"/>
      <c r="Q34" s="712"/>
      <c r="R34" s="739" t="s">
        <v>349</v>
      </c>
      <c r="S34" s="735">
        <v>42415</v>
      </c>
      <c r="T34" s="222">
        <v>540</v>
      </c>
      <c r="U34" s="222">
        <v>14900</v>
      </c>
      <c r="V34" s="732">
        <f t="shared" si="4"/>
        <v>8046000</v>
      </c>
      <c r="W34" s="784"/>
    </row>
    <row r="35" spans="1:23" s="707" customFormat="1">
      <c r="A35" s="758"/>
      <c r="B35" s="759"/>
      <c r="C35" s="716"/>
      <c r="D35" s="760"/>
      <c r="E35" s="760"/>
      <c r="F35" s="760"/>
      <c r="G35" s="760"/>
      <c r="H35" s="760"/>
      <c r="I35" s="714"/>
      <c r="J35" s="760"/>
      <c r="K35" s="760"/>
      <c r="L35" s="760"/>
      <c r="M35" s="760"/>
      <c r="N35" s="760"/>
      <c r="O35" s="760"/>
      <c r="P35" s="760"/>
      <c r="Q35" s="712"/>
      <c r="R35" s="739" t="s">
        <v>352</v>
      </c>
      <c r="S35" s="735">
        <v>42425</v>
      </c>
      <c r="T35" s="222">
        <v>150</v>
      </c>
      <c r="U35" s="222">
        <v>8500</v>
      </c>
      <c r="V35" s="732">
        <f t="shared" si="4"/>
        <v>1275000</v>
      </c>
      <c r="W35" s="784"/>
    </row>
    <row r="36" spans="1:23" s="707" customFormat="1">
      <c r="A36" s="758"/>
      <c r="B36" s="759"/>
      <c r="C36" s="716"/>
      <c r="D36" s="760"/>
      <c r="E36" s="760"/>
      <c r="F36" s="760"/>
      <c r="G36" s="760"/>
      <c r="H36" s="760"/>
      <c r="I36" s="714"/>
      <c r="J36" s="760"/>
      <c r="K36" s="760"/>
      <c r="L36" s="760"/>
      <c r="M36" s="760"/>
      <c r="N36" s="760"/>
      <c r="O36" s="760"/>
      <c r="P36" s="760"/>
      <c r="Q36" s="712"/>
      <c r="R36" s="739" t="s">
        <v>356</v>
      </c>
      <c r="S36" s="735">
        <v>42425</v>
      </c>
      <c r="T36" s="222">
        <v>150</v>
      </c>
      <c r="U36" s="762">
        <v>33000</v>
      </c>
      <c r="V36" s="732">
        <f t="shared" si="4"/>
        <v>4950000</v>
      </c>
      <c r="W36" s="784"/>
    </row>
    <row r="37" spans="1:23">
      <c r="R37" s="763"/>
      <c r="S37" s="735"/>
      <c r="T37" s="764"/>
      <c r="U37" s="222"/>
      <c r="V37" s="764"/>
      <c r="W37" s="784"/>
    </row>
    <row r="38" spans="1:23">
      <c r="R38" s="785"/>
      <c r="S38" s="786"/>
      <c r="T38" s="787"/>
      <c r="U38" s="904"/>
      <c r="V38" s="766">
        <f>SUM(V29:V37)</f>
        <v>17952687</v>
      </c>
      <c r="W38" s="766">
        <f>SUM(W29:W37)</f>
        <v>0</v>
      </c>
    </row>
    <row r="39" spans="1:23">
      <c r="R39" s="788" t="s">
        <v>374</v>
      </c>
      <c r="S39" s="735">
        <v>42401</v>
      </c>
      <c r="T39" s="222">
        <v>2100</v>
      </c>
      <c r="U39" s="222">
        <v>5780.8622078968574</v>
      </c>
      <c r="V39" s="732">
        <f>ROUND(T39*U39,0)</f>
        <v>12139811</v>
      </c>
      <c r="W39" s="737"/>
    </row>
    <row r="40" spans="1:23">
      <c r="R40" s="788"/>
      <c r="S40" s="735"/>
      <c r="T40" s="222"/>
      <c r="U40" s="222"/>
      <c r="V40" s="732">
        <f>ROUND(T40*U40,0)</f>
        <v>0</v>
      </c>
      <c r="W40" s="737"/>
    </row>
    <row r="41" spans="1:23">
      <c r="R41" s="788"/>
      <c r="S41" s="735"/>
      <c r="T41" s="222"/>
      <c r="U41" s="222"/>
      <c r="V41" s="732">
        <f>SUM(V39)</f>
        <v>12139811</v>
      </c>
      <c r="W41" s="737"/>
    </row>
    <row r="42" spans="1:23" ht="18" customHeight="1">
      <c r="A42" s="707" t="s">
        <v>521</v>
      </c>
      <c r="B42" s="707"/>
      <c r="C42" s="708"/>
      <c r="D42" s="709"/>
      <c r="E42" s="709"/>
      <c r="F42" s="709"/>
      <c r="G42" s="706"/>
      <c r="H42" s="706"/>
      <c r="I42" s="706"/>
      <c r="J42" s="706"/>
      <c r="K42" s="706"/>
      <c r="L42" s="710"/>
      <c r="M42" s="706"/>
      <c r="N42" s="706"/>
      <c r="O42" s="711"/>
      <c r="P42" s="706"/>
      <c r="Q42" s="712"/>
      <c r="R42" s="712"/>
      <c r="S42" s="789"/>
      <c r="T42" s="722"/>
      <c r="U42" s="722"/>
      <c r="V42" s="722"/>
      <c r="W42" s="790"/>
    </row>
    <row r="43" spans="1:23" ht="18.75" customHeight="1">
      <c r="A43" s="714" t="s">
        <v>540</v>
      </c>
      <c r="B43" s="714"/>
      <c r="C43" s="714"/>
      <c r="D43" s="714"/>
      <c r="E43" s="714"/>
      <c r="F43" s="714"/>
      <c r="G43" s="714"/>
      <c r="H43" s="714"/>
      <c r="I43" s="714"/>
      <c r="J43" s="714"/>
      <c r="K43" s="714"/>
      <c r="L43" s="714"/>
      <c r="M43" s="714"/>
      <c r="N43" s="714"/>
      <c r="O43" s="714"/>
      <c r="P43" s="714"/>
      <c r="Q43" s="712"/>
      <c r="R43" s="773"/>
      <c r="S43" s="774"/>
      <c r="T43" s="722"/>
      <c r="U43" s="722"/>
      <c r="V43" s="775"/>
      <c r="W43" s="790"/>
    </row>
    <row r="44" spans="1:23" ht="18.75" customHeight="1">
      <c r="A44" s="715"/>
      <c r="B44" s="715"/>
      <c r="C44" s="716"/>
      <c r="D44" s="715"/>
      <c r="E44" s="715"/>
      <c r="F44" s="715"/>
      <c r="G44" s="715"/>
      <c r="H44" s="715"/>
      <c r="I44" s="715"/>
      <c r="J44" s="715"/>
      <c r="K44" s="715"/>
      <c r="L44" s="714"/>
      <c r="M44" s="715"/>
      <c r="N44" s="715"/>
      <c r="O44" s="717"/>
      <c r="P44" s="715"/>
      <c r="Q44" s="712"/>
      <c r="R44" s="773"/>
      <c r="S44" s="774"/>
      <c r="T44" s="722"/>
      <c r="U44" s="722"/>
      <c r="V44" s="775"/>
      <c r="W44" s="790"/>
    </row>
    <row r="45" spans="1:23" ht="12.75" customHeight="1">
      <c r="A45" s="718"/>
      <c r="B45" s="718"/>
      <c r="C45" s="719"/>
      <c r="D45" s="718"/>
      <c r="E45" s="718"/>
      <c r="F45" s="718"/>
      <c r="G45" s="718"/>
      <c r="H45" s="718"/>
      <c r="I45" s="718"/>
      <c r="J45" s="718"/>
      <c r="K45" s="718"/>
      <c r="L45" s="718"/>
      <c r="M45" s="718"/>
      <c r="N45" s="718"/>
      <c r="O45" s="720"/>
      <c r="P45" s="718"/>
      <c r="Q45" s="712"/>
      <c r="R45" s="773"/>
      <c r="S45" s="774"/>
      <c r="T45" s="722"/>
      <c r="U45" s="722"/>
      <c r="V45" s="775"/>
      <c r="W45" s="721"/>
    </row>
    <row r="46" spans="1:23" s="729" customFormat="1" ht="30.75" customHeight="1">
      <c r="A46" s="723" t="s">
        <v>35</v>
      </c>
      <c r="B46" s="723" t="s">
        <v>523</v>
      </c>
      <c r="C46" s="724" t="s">
        <v>524</v>
      </c>
      <c r="D46" s="725" t="s">
        <v>525</v>
      </c>
      <c r="E46" s="725" t="s">
        <v>526</v>
      </c>
      <c r="F46" s="725" t="s">
        <v>527</v>
      </c>
      <c r="G46" s="725" t="s">
        <v>528</v>
      </c>
      <c r="H46" s="725" t="s">
        <v>529</v>
      </c>
      <c r="I46" s="725" t="s">
        <v>530</v>
      </c>
      <c r="J46" s="725" t="s">
        <v>531</v>
      </c>
      <c r="K46" s="726" t="s">
        <v>532</v>
      </c>
      <c r="L46" s="725" t="s">
        <v>533</v>
      </c>
      <c r="M46" s="726" t="s">
        <v>534</v>
      </c>
      <c r="N46" s="725" t="s">
        <v>535</v>
      </c>
      <c r="O46" s="727" t="s">
        <v>526</v>
      </c>
      <c r="P46" s="725" t="s">
        <v>536</v>
      </c>
      <c r="Q46" s="728"/>
      <c r="R46" s="723" t="s">
        <v>523</v>
      </c>
      <c r="S46" s="725" t="s">
        <v>490</v>
      </c>
      <c r="T46" s="725" t="s">
        <v>330</v>
      </c>
      <c r="U46" s="725" t="s">
        <v>527</v>
      </c>
      <c r="V46" s="725" t="s">
        <v>537</v>
      </c>
      <c r="W46" s="723" t="s">
        <v>537</v>
      </c>
    </row>
    <row r="47" spans="1:23">
      <c r="A47" s="730">
        <f>IF(B47&lt;&gt;"",ROW()-(ROW()-1),"")</f>
        <v>1</v>
      </c>
      <c r="B47" s="742" t="s">
        <v>442</v>
      </c>
      <c r="C47" s="731">
        <v>0</v>
      </c>
      <c r="D47" s="583">
        <f>ROUND(C47*O47,0)</f>
        <v>0</v>
      </c>
      <c r="E47" s="583">
        <v>8000</v>
      </c>
      <c r="F47" s="583">
        <f>P29</f>
        <v>188920.19132242992</v>
      </c>
      <c r="G47" s="732">
        <f>(D47+E47)*F47</f>
        <v>1511361530.5794394</v>
      </c>
      <c r="H47" s="583">
        <f>IF($D$52&lt;&gt;0,H$52/($D$52+$E$52/5)*($D47+$E47/5),0)</f>
        <v>1305144.2065404474</v>
      </c>
      <c r="I47" s="583">
        <f t="shared" ref="I47:K50" si="5">IF($D$52&lt;&gt;0,I$52/$D$52*$D47,0)</f>
        <v>0</v>
      </c>
      <c r="J47" s="583">
        <f t="shared" si="5"/>
        <v>0</v>
      </c>
      <c r="K47" s="583">
        <f t="shared" si="5"/>
        <v>0</v>
      </c>
      <c r="L47" s="583">
        <f>SUM($V$57:$V$58)/SUM($O$47:$O$48)*O47</f>
        <v>9360960</v>
      </c>
      <c r="M47" s="583"/>
      <c r="N47" s="732">
        <f>SUM(G47:L47)</f>
        <v>1522027634.7859797</v>
      </c>
      <c r="O47" s="738">
        <v>8000</v>
      </c>
      <c r="P47" s="583">
        <f>IF(O47&lt;&gt;"",N47/O47,"")</f>
        <v>190253.45434824747</v>
      </c>
      <c r="Q47" s="751"/>
      <c r="R47" s="734" t="s">
        <v>332</v>
      </c>
      <c r="S47" s="735">
        <v>42431</v>
      </c>
      <c r="T47" s="222">
        <v>50</v>
      </c>
      <c r="U47" s="736">
        <v>35444.444444444445</v>
      </c>
      <c r="V47" s="732">
        <f t="shared" ref="V47:V54" si="6">ROUND(T47*U47,0)</f>
        <v>1772222</v>
      </c>
      <c r="W47" s="741"/>
    </row>
    <row r="48" spans="1:23">
      <c r="A48" s="730">
        <f>IF(B48&lt;&gt;"",A47+1,"")</f>
        <v>2</v>
      </c>
      <c r="B48" s="791" t="s">
        <v>916</v>
      </c>
      <c r="C48" s="731">
        <v>11</v>
      </c>
      <c r="D48" s="583">
        <f>ROUND(C48*O48,0)</f>
        <v>49500</v>
      </c>
      <c r="E48" s="583"/>
      <c r="F48" s="583">
        <v>15500</v>
      </c>
      <c r="G48" s="732">
        <f>(D48+E48)*F48</f>
        <v>767250000</v>
      </c>
      <c r="H48" s="583">
        <f>IF($D$52&lt;&gt;0,H$52/($D$52+$E$52/5)*($D48+$E48/5),0)</f>
        <v>40377898.889845096</v>
      </c>
      <c r="I48" s="583">
        <f t="shared" si="5"/>
        <v>13922116.624203822</v>
      </c>
      <c r="J48" s="583">
        <f t="shared" si="5"/>
        <v>17805124.203821655</v>
      </c>
      <c r="K48" s="583">
        <f t="shared" si="5"/>
        <v>16377375.095541403</v>
      </c>
      <c r="L48" s="583">
        <f>SUM($V$57:$V$58)/SUM($O$47:$O$48)*O48</f>
        <v>5265539.9999999991</v>
      </c>
      <c r="M48" s="583"/>
      <c r="N48" s="732">
        <f>SUM(G48:L48)</f>
        <v>860998054.81341195</v>
      </c>
      <c r="O48" s="738">
        <v>4500</v>
      </c>
      <c r="P48" s="583">
        <f>IF(O48&lt;&gt;"",N48/O48,"")</f>
        <v>191332.90106964711</v>
      </c>
      <c r="Q48" s="751"/>
      <c r="R48" s="739" t="s">
        <v>338</v>
      </c>
      <c r="S48" s="735">
        <v>42431</v>
      </c>
      <c r="T48" s="222">
        <v>20</v>
      </c>
      <c r="U48" s="222">
        <v>46741.2</v>
      </c>
      <c r="V48" s="732">
        <f t="shared" si="6"/>
        <v>934824</v>
      </c>
      <c r="W48" s="741"/>
    </row>
    <row r="49" spans="1:23">
      <c r="A49" s="730">
        <f>IF(B49&lt;&gt;"",A48+1,"")</f>
        <v>3</v>
      </c>
      <c r="B49" s="791" t="s">
        <v>443</v>
      </c>
      <c r="C49" s="731">
        <v>8</v>
      </c>
      <c r="D49" s="583">
        <f>ROUND(C49*O49,0)</f>
        <v>40000</v>
      </c>
      <c r="E49" s="583"/>
      <c r="F49" s="583">
        <v>18500</v>
      </c>
      <c r="G49" s="732">
        <f>(D49+E49)*F49</f>
        <v>740000000</v>
      </c>
      <c r="H49" s="583">
        <f>IF($D$52&lt;&gt;0,H$52/($D$52+$E$52/5)*($D49+$E49/5),0)</f>
        <v>32628605.163511187</v>
      </c>
      <c r="I49" s="583">
        <f t="shared" si="5"/>
        <v>11250195.251881875</v>
      </c>
      <c r="J49" s="583">
        <f t="shared" si="5"/>
        <v>14387979.154603358</v>
      </c>
      <c r="K49" s="583">
        <f t="shared" si="5"/>
        <v>13234242.501447598</v>
      </c>
      <c r="L49" s="583">
        <f>V59</f>
        <v>12059070</v>
      </c>
      <c r="M49" s="583"/>
      <c r="N49" s="732">
        <f>SUM(G49:L49)</f>
        <v>823560092.07144392</v>
      </c>
      <c r="O49" s="738">
        <v>5000</v>
      </c>
      <c r="P49" s="583">
        <f>IF(O49&lt;&gt;"",N49/O49,"")</f>
        <v>164712.01841428879</v>
      </c>
      <c r="Q49" s="751"/>
      <c r="R49" s="739" t="s">
        <v>341</v>
      </c>
      <c r="S49" s="735">
        <v>42431</v>
      </c>
      <c r="T49" s="762">
        <v>150</v>
      </c>
      <c r="U49" s="740">
        <v>13571.429</v>
      </c>
      <c r="V49" s="732">
        <f t="shared" si="6"/>
        <v>2035714</v>
      </c>
      <c r="W49" s="741"/>
    </row>
    <row r="50" spans="1:23">
      <c r="A50" s="730">
        <f>IF(B50&lt;&gt;"",A49+1,"")</f>
        <v>4</v>
      </c>
      <c r="B50" s="742" t="s">
        <v>455</v>
      </c>
      <c r="C50" s="731">
        <v>3.2</v>
      </c>
      <c r="D50" s="583">
        <f>ROUND(C50*O50,0)</f>
        <v>83200</v>
      </c>
      <c r="E50" s="583"/>
      <c r="F50" s="583">
        <v>17500</v>
      </c>
      <c r="G50" s="732">
        <f>(D50+E50)*F50</f>
        <v>1456000000</v>
      </c>
      <c r="H50" s="583">
        <f>IF($D$52&lt;&gt;0,H$52/($D$52+$E$52/5)*($D50+$E50/5),0)</f>
        <v>67867498.740103275</v>
      </c>
      <c r="I50" s="583">
        <f t="shared" si="5"/>
        <v>23400406.123914301</v>
      </c>
      <c r="J50" s="583">
        <f t="shared" si="5"/>
        <v>29926996.641574986</v>
      </c>
      <c r="K50" s="583">
        <f t="shared" si="5"/>
        <v>27527224.403011002</v>
      </c>
      <c r="L50" s="583">
        <f>V60</f>
        <v>0</v>
      </c>
      <c r="M50" s="583"/>
      <c r="N50" s="732">
        <f>SUM(G50:L50)</f>
        <v>1604722125.9086037</v>
      </c>
      <c r="O50" s="738">
        <v>26000</v>
      </c>
      <c r="P50" s="583">
        <f>IF(O50&lt;&gt;"",N50/O50,"")</f>
        <v>61720.081765715528</v>
      </c>
      <c r="Q50" s="751"/>
      <c r="R50" s="739" t="s">
        <v>218</v>
      </c>
      <c r="S50" s="735">
        <v>42431</v>
      </c>
      <c r="T50" s="762">
        <v>200</v>
      </c>
      <c r="U50" s="740">
        <v>21979.791919191921</v>
      </c>
      <c r="V50" s="732">
        <f t="shared" si="6"/>
        <v>4395958</v>
      </c>
      <c r="W50" s="741"/>
    </row>
    <row r="51" spans="1:23" s="752" customFormat="1">
      <c r="A51" s="730" t="str">
        <f>IF(B51&lt;&gt;"",#REF!+1,"")</f>
        <v/>
      </c>
      <c r="B51" s="791"/>
      <c r="C51" s="731"/>
      <c r="D51" s="583"/>
      <c r="E51" s="583"/>
      <c r="F51" s="583"/>
      <c r="G51" s="732"/>
      <c r="H51" s="583"/>
      <c r="I51" s="583"/>
      <c r="J51" s="583"/>
      <c r="K51" s="583"/>
      <c r="L51" s="583"/>
      <c r="M51" s="583"/>
      <c r="N51" s="732"/>
      <c r="O51" s="738"/>
      <c r="P51" s="583"/>
      <c r="Q51" s="751"/>
      <c r="R51" s="739" t="s">
        <v>346</v>
      </c>
      <c r="S51" s="735">
        <v>42431</v>
      </c>
      <c r="T51" s="762">
        <v>50</v>
      </c>
      <c r="U51" s="222">
        <v>3500</v>
      </c>
      <c r="V51" s="732">
        <f t="shared" si="6"/>
        <v>175000</v>
      </c>
      <c r="W51" s="741"/>
    </row>
    <row r="52" spans="1:23" s="707" customFormat="1">
      <c r="A52" s="753"/>
      <c r="B52" s="754" t="s">
        <v>538</v>
      </c>
      <c r="C52" s="755"/>
      <c r="D52" s="756">
        <f>SUM(D47:D51)</f>
        <v>172700</v>
      </c>
      <c r="E52" s="756">
        <f>SUM(E47:E51)</f>
        <v>8000</v>
      </c>
      <c r="F52" s="756"/>
      <c r="G52" s="756">
        <f>SUM(G47:G51)</f>
        <v>4474611530.5794392</v>
      </c>
      <c r="H52" s="757">
        <v>142179147</v>
      </c>
      <c r="I52" s="757">
        <f>V56</f>
        <v>48572718</v>
      </c>
      <c r="J52" s="757">
        <v>62120100</v>
      </c>
      <c r="K52" s="757">
        <v>57138842</v>
      </c>
      <c r="L52" s="756">
        <f>ROUND(SUM(L47:L51),0)</f>
        <v>26685570</v>
      </c>
      <c r="M52" s="756">
        <f>ROUND(SUM(M47:M51),0)</f>
        <v>0</v>
      </c>
      <c r="N52" s="756">
        <f>ROUND(SUM(N47:N51),0)</f>
        <v>4811307908</v>
      </c>
      <c r="O52" s="756">
        <f>ROUND(SUM(O47:O51),0)</f>
        <v>43500</v>
      </c>
      <c r="P52" s="756"/>
      <c r="Q52" s="712"/>
      <c r="R52" s="739" t="s">
        <v>349</v>
      </c>
      <c r="S52" s="735">
        <v>42434</v>
      </c>
      <c r="T52" s="762">
        <v>2160</v>
      </c>
      <c r="U52" s="222">
        <v>14900</v>
      </c>
      <c r="V52" s="732">
        <f t="shared" si="6"/>
        <v>32184000</v>
      </c>
      <c r="W52" s="741"/>
    </row>
    <row r="53" spans="1:23" s="707" customFormat="1">
      <c r="A53" s="758"/>
      <c r="B53" s="759"/>
      <c r="C53" s="716"/>
      <c r="D53" s="760"/>
      <c r="E53" s="760"/>
      <c r="F53" s="760"/>
      <c r="G53" s="760"/>
      <c r="H53" s="714"/>
      <c r="I53" s="714"/>
      <c r="J53" s="714"/>
      <c r="K53" s="714"/>
      <c r="L53" s="714"/>
      <c r="M53" s="760"/>
      <c r="N53" s="760"/>
      <c r="O53" s="760"/>
      <c r="P53" s="760"/>
      <c r="Q53" s="712"/>
      <c r="R53" s="739" t="s">
        <v>352</v>
      </c>
      <c r="S53" s="735">
        <v>42434</v>
      </c>
      <c r="T53" s="762">
        <v>250</v>
      </c>
      <c r="U53" s="222">
        <v>8500</v>
      </c>
      <c r="V53" s="732">
        <f t="shared" si="6"/>
        <v>2125000</v>
      </c>
      <c r="W53" s="741"/>
    </row>
    <row r="54" spans="1:23" s="707" customFormat="1">
      <c r="A54" s="758"/>
      <c r="B54" s="759"/>
      <c r="C54" s="716"/>
      <c r="D54" s="760"/>
      <c r="E54" s="760"/>
      <c r="F54" s="760"/>
      <c r="G54" s="760"/>
      <c r="H54" s="714"/>
      <c r="I54" s="714"/>
      <c r="J54" s="714"/>
      <c r="K54" s="714"/>
      <c r="L54" s="714"/>
      <c r="M54" s="760"/>
      <c r="N54" s="760"/>
      <c r="O54" s="760"/>
      <c r="P54" s="760"/>
      <c r="Q54" s="712"/>
      <c r="R54" s="739" t="s">
        <v>356</v>
      </c>
      <c r="S54" s="735">
        <v>42434</v>
      </c>
      <c r="T54" s="762">
        <v>150</v>
      </c>
      <c r="U54" s="762">
        <v>33000</v>
      </c>
      <c r="V54" s="732">
        <f t="shared" si="6"/>
        <v>4950000</v>
      </c>
      <c r="W54" s="741"/>
    </row>
    <row r="55" spans="1:23" s="707" customFormat="1">
      <c r="A55" s="758"/>
      <c r="B55" s="759"/>
      <c r="C55" s="716"/>
      <c r="D55" s="760"/>
      <c r="E55" s="760"/>
      <c r="F55" s="760"/>
      <c r="G55" s="760"/>
      <c r="H55" s="714"/>
      <c r="I55" s="714"/>
      <c r="J55" s="714"/>
      <c r="K55" s="714"/>
      <c r="L55" s="714"/>
      <c r="M55" s="760"/>
      <c r="N55" s="760"/>
      <c r="O55" s="760"/>
      <c r="P55" s="760"/>
      <c r="Q55" s="712"/>
      <c r="R55" s="793"/>
      <c r="S55" s="735"/>
      <c r="T55" s="794"/>
      <c r="U55" s="794"/>
      <c r="V55" s="794"/>
      <c r="W55" s="795"/>
    </row>
    <row r="56" spans="1:23" s="707" customFormat="1">
      <c r="A56" s="758"/>
      <c r="B56" s="759"/>
      <c r="C56" s="716"/>
      <c r="D56" s="760"/>
      <c r="E56" s="760"/>
      <c r="F56" s="760"/>
      <c r="G56" s="760"/>
      <c r="H56" s="760"/>
      <c r="I56" s="714"/>
      <c r="J56" s="760"/>
      <c r="K56" s="760"/>
      <c r="L56" s="760"/>
      <c r="M56" s="760"/>
      <c r="N56" s="760"/>
      <c r="O56" s="760"/>
      <c r="P56" s="760"/>
      <c r="Q56" s="712"/>
      <c r="R56" s="785"/>
      <c r="S56" s="786"/>
      <c r="T56" s="787"/>
      <c r="U56" s="765"/>
      <c r="V56" s="766">
        <f>SUM(V47:V55)</f>
        <v>48572718</v>
      </c>
      <c r="W56" s="766">
        <f>SUM(W47:W52)</f>
        <v>0</v>
      </c>
    </row>
    <row r="57" spans="1:23" s="707" customFormat="1">
      <c r="A57" s="758"/>
      <c r="B57" s="759"/>
      <c r="C57" s="716"/>
      <c r="D57" s="760"/>
      <c r="E57" s="760"/>
      <c r="F57" s="760"/>
      <c r="G57" s="760"/>
      <c r="H57" s="760"/>
      <c r="I57" s="714"/>
      <c r="J57" s="760"/>
      <c r="K57" s="760"/>
      <c r="L57" s="760"/>
      <c r="M57" s="760"/>
      <c r="N57" s="760"/>
      <c r="O57" s="760"/>
      <c r="P57" s="760"/>
      <c r="Q57" s="712"/>
      <c r="R57" s="788" t="s">
        <v>383</v>
      </c>
      <c r="S57" s="735">
        <v>42439</v>
      </c>
      <c r="T57" s="222">
        <v>922</v>
      </c>
      <c r="U57" s="222">
        <v>12000</v>
      </c>
      <c r="V57" s="732">
        <f>ROUND(T57*U57,0)</f>
        <v>11064000</v>
      </c>
      <c r="W57" s="732"/>
    </row>
    <row r="58" spans="1:23" s="707" customFormat="1">
      <c r="A58" s="758"/>
      <c r="B58" s="759"/>
      <c r="C58" s="716"/>
      <c r="D58" s="760"/>
      <c r="E58" s="760"/>
      <c r="F58" s="760"/>
      <c r="G58" s="761"/>
      <c r="H58" s="760"/>
      <c r="I58" s="714"/>
      <c r="J58" s="760"/>
      <c r="K58" s="760"/>
      <c r="L58" s="760"/>
      <c r="M58" s="760"/>
      <c r="N58" s="796"/>
      <c r="O58" s="760"/>
      <c r="P58" s="760"/>
      <c r="Q58" s="712"/>
      <c r="R58" s="788" t="s">
        <v>385</v>
      </c>
      <c r="S58" s="735">
        <v>42439</v>
      </c>
      <c r="T58" s="740">
        <v>375</v>
      </c>
      <c r="U58" s="740">
        <v>9500</v>
      </c>
      <c r="V58" s="732">
        <f>ROUND(T58*U58,0)</f>
        <v>3562500</v>
      </c>
      <c r="W58" s="748"/>
    </row>
    <row r="59" spans="1:23" s="707" customFormat="1">
      <c r="A59" s="758"/>
      <c r="B59" s="759"/>
      <c r="C59" s="716"/>
      <c r="D59" s="760"/>
      <c r="E59" s="760"/>
      <c r="F59" s="760"/>
      <c r="G59" s="761"/>
      <c r="H59" s="760"/>
      <c r="I59" s="714"/>
      <c r="J59" s="760"/>
      <c r="K59" s="760"/>
      <c r="L59" s="760"/>
      <c r="M59" s="760"/>
      <c r="N59" s="796"/>
      <c r="O59" s="760"/>
      <c r="P59" s="760"/>
      <c r="Q59" s="712"/>
      <c r="R59" s="788" t="s">
        <v>377</v>
      </c>
      <c r="S59" s="735">
        <v>42459</v>
      </c>
      <c r="T59" s="222">
        <v>2700</v>
      </c>
      <c r="U59" s="222">
        <v>4466.322284402353</v>
      </c>
      <c r="V59" s="732">
        <f>ROUND(T59*U59,0)</f>
        <v>12059070</v>
      </c>
      <c r="W59" s="748"/>
    </row>
    <row r="60" spans="1:23" s="707" customFormat="1">
      <c r="A60" s="758"/>
      <c r="B60" s="759"/>
      <c r="C60" s="716"/>
      <c r="D60" s="760"/>
      <c r="E60" s="760"/>
      <c r="F60" s="760"/>
      <c r="G60" s="760"/>
      <c r="H60" s="760"/>
      <c r="I60" s="714"/>
      <c r="J60" s="760"/>
      <c r="K60" s="760"/>
      <c r="L60" s="760"/>
      <c r="M60" s="760"/>
      <c r="N60" s="760"/>
      <c r="O60" s="760"/>
      <c r="P60" s="760"/>
      <c r="Q60" s="712"/>
      <c r="R60" s="788"/>
      <c r="S60" s="735"/>
      <c r="T60" s="740"/>
      <c r="U60" s="740"/>
      <c r="V60" s="732">
        <f>ROUND(T60*U60,0)</f>
        <v>0</v>
      </c>
      <c r="W60" s="748"/>
    </row>
    <row r="61" spans="1:23">
      <c r="R61" s="788"/>
      <c r="S61" s="735"/>
      <c r="T61" s="740"/>
      <c r="U61" s="740"/>
      <c r="V61" s="732">
        <f>ROUND(T61*U61,0)</f>
        <v>0</v>
      </c>
      <c r="W61" s="748"/>
    </row>
    <row r="62" spans="1:23">
      <c r="R62" s="788"/>
      <c r="S62" s="735"/>
      <c r="T62" s="222"/>
      <c r="U62" s="222"/>
      <c r="V62" s="732">
        <f>SUM(V57:V59)</f>
        <v>26685570</v>
      </c>
      <c r="W62" s="748"/>
    </row>
    <row r="63" spans="1:23" ht="18" customHeight="1">
      <c r="A63" s="707" t="s">
        <v>521</v>
      </c>
      <c r="B63" s="707"/>
      <c r="C63" s="708"/>
      <c r="D63" s="709"/>
      <c r="E63" s="709"/>
      <c r="F63" s="709"/>
      <c r="G63" s="706"/>
      <c r="H63" s="706"/>
      <c r="I63" s="706"/>
      <c r="J63" s="706"/>
      <c r="K63" s="706"/>
      <c r="L63" s="710"/>
      <c r="M63" s="706"/>
      <c r="N63" s="706"/>
      <c r="O63" s="711"/>
      <c r="P63" s="706"/>
      <c r="Q63" s="712"/>
      <c r="R63" s="706"/>
      <c r="S63" s="713"/>
    </row>
    <row r="64" spans="1:23" ht="18.75" customHeight="1">
      <c r="A64" s="714" t="s">
        <v>541</v>
      </c>
      <c r="B64" s="714"/>
      <c r="C64" s="714"/>
      <c r="D64" s="714"/>
      <c r="E64" s="714"/>
      <c r="F64" s="714"/>
      <c r="G64" s="714"/>
      <c r="H64" s="714"/>
      <c r="I64" s="714"/>
      <c r="J64" s="714"/>
      <c r="K64" s="714"/>
      <c r="L64" s="714"/>
      <c r="M64" s="714"/>
      <c r="N64" s="714"/>
      <c r="O64" s="714"/>
      <c r="P64" s="714"/>
      <c r="Q64" s="712"/>
      <c r="R64" s="706"/>
      <c r="S64" s="713"/>
    </row>
    <row r="65" spans="1:23" ht="18.75" customHeight="1">
      <c r="A65" s="715"/>
      <c r="B65" s="715"/>
      <c r="C65" s="716"/>
      <c r="D65" s="715"/>
      <c r="E65" s="715"/>
      <c r="F65" s="715"/>
      <c r="G65" s="715"/>
      <c r="H65" s="715"/>
      <c r="I65" s="715"/>
      <c r="J65" s="715"/>
      <c r="K65" s="715"/>
      <c r="L65" s="714"/>
      <c r="M65" s="715"/>
      <c r="N65" s="715"/>
      <c r="O65" s="717"/>
      <c r="P65" s="715"/>
      <c r="Q65" s="712"/>
      <c r="R65" s="706"/>
      <c r="S65" s="713"/>
    </row>
    <row r="66" spans="1:23" ht="12.75" customHeight="1">
      <c r="A66" s="718"/>
      <c r="B66" s="718"/>
      <c r="C66" s="719"/>
      <c r="D66" s="718"/>
      <c r="E66" s="718"/>
      <c r="F66" s="718"/>
      <c r="G66" s="718"/>
      <c r="H66" s="718"/>
      <c r="I66" s="718"/>
      <c r="J66" s="718"/>
      <c r="K66" s="718"/>
      <c r="L66" s="718"/>
      <c r="M66" s="718"/>
      <c r="N66" s="718"/>
      <c r="O66" s="720"/>
      <c r="P66" s="718"/>
      <c r="Q66" s="712"/>
      <c r="R66" s="706"/>
      <c r="S66" s="713"/>
    </row>
    <row r="67" spans="1:23" s="729" customFormat="1" ht="30.75" customHeight="1">
      <c r="A67" s="723" t="s">
        <v>35</v>
      </c>
      <c r="B67" s="723" t="s">
        <v>523</v>
      </c>
      <c r="C67" s="724" t="s">
        <v>524</v>
      </c>
      <c r="D67" s="725" t="s">
        <v>525</v>
      </c>
      <c r="E67" s="725" t="s">
        <v>526</v>
      </c>
      <c r="F67" s="725" t="s">
        <v>527</v>
      </c>
      <c r="G67" s="725" t="s">
        <v>528</v>
      </c>
      <c r="H67" s="725" t="s">
        <v>529</v>
      </c>
      <c r="I67" s="725" t="s">
        <v>530</v>
      </c>
      <c r="J67" s="725" t="s">
        <v>531</v>
      </c>
      <c r="K67" s="726" t="s">
        <v>532</v>
      </c>
      <c r="L67" s="725" t="s">
        <v>533</v>
      </c>
      <c r="M67" s="726" t="s">
        <v>534</v>
      </c>
      <c r="N67" s="725" t="s">
        <v>535</v>
      </c>
      <c r="O67" s="727" t="s">
        <v>526</v>
      </c>
      <c r="P67" s="725" t="s">
        <v>536</v>
      </c>
      <c r="Q67" s="728"/>
      <c r="R67" s="723" t="s">
        <v>523</v>
      </c>
      <c r="S67" s="725" t="s">
        <v>490</v>
      </c>
      <c r="T67" s="725" t="s">
        <v>330</v>
      </c>
      <c r="U67" s="725" t="s">
        <v>527</v>
      </c>
      <c r="V67" s="725" t="s">
        <v>537</v>
      </c>
      <c r="W67" s="723" t="s">
        <v>537</v>
      </c>
    </row>
    <row r="68" spans="1:23">
      <c r="A68" s="797">
        <f>IF(B68&lt;&gt;"",ROW()-(ROW()-1),"")</f>
        <v>1</v>
      </c>
      <c r="B68" s="791" t="s">
        <v>443</v>
      </c>
      <c r="C68" s="731"/>
      <c r="D68" s="583">
        <f>ROUND(C68*O68,0)</f>
        <v>0</v>
      </c>
      <c r="E68" s="583">
        <f>O49</f>
        <v>5000</v>
      </c>
      <c r="F68" s="583">
        <f>P49</f>
        <v>164712.01841428879</v>
      </c>
      <c r="G68" s="732">
        <f>(D68+E68)*F68</f>
        <v>823560092.07144392</v>
      </c>
      <c r="H68" s="583">
        <f>IF($D$72&lt;&gt;0,H$72/($D$72+$E$72/5)*($D68+$E68/5),0)</f>
        <v>4282730.7961783437</v>
      </c>
      <c r="I68" s="583">
        <f t="shared" ref="I68:K69" si="7">IF($D$72&lt;&gt;0,I$72/$D$72*$D68,0)</f>
        <v>0</v>
      </c>
      <c r="J68" s="583">
        <f t="shared" si="7"/>
        <v>0</v>
      </c>
      <c r="K68" s="583">
        <f t="shared" si="7"/>
        <v>0</v>
      </c>
      <c r="L68" s="583">
        <f>($V$77+$V$78)/$O$72*O68</f>
        <v>47784090.909090906</v>
      </c>
      <c r="M68" s="583"/>
      <c r="N68" s="732">
        <f>ROUND(SUM(G68:L68),0)</f>
        <v>875626914</v>
      </c>
      <c r="O68" s="738">
        <v>5000</v>
      </c>
      <c r="P68" s="583">
        <f>IF(O68&lt;&gt;"",N68/O68,"")</f>
        <v>175125.38279999999</v>
      </c>
      <c r="Q68" s="751"/>
      <c r="R68" s="734" t="s">
        <v>332</v>
      </c>
      <c r="S68" s="798">
        <v>42461</v>
      </c>
      <c r="T68" s="222">
        <v>20</v>
      </c>
      <c r="U68" s="736">
        <v>35444.444444444445</v>
      </c>
      <c r="V68" s="732">
        <f t="shared" ref="V68:V74" si="8">ROUND(T68*U68,0)</f>
        <v>708889</v>
      </c>
      <c r="W68" s="732"/>
    </row>
    <row r="69" spans="1:23">
      <c r="A69" s="799">
        <f>IF(B69&lt;&gt;"",A68+1,"")</f>
        <v>2</v>
      </c>
      <c r="B69" s="791" t="s">
        <v>1338</v>
      </c>
      <c r="C69" s="731">
        <v>8</v>
      </c>
      <c r="D69" s="583">
        <f>ROUND(C69*O69,0)</f>
        <v>30400</v>
      </c>
      <c r="E69" s="583"/>
      <c r="F69" s="583">
        <v>18500</v>
      </c>
      <c r="G69" s="732">
        <f>(D69+E69)*F69</f>
        <v>562400000</v>
      </c>
      <c r="H69" s="583">
        <f>IF($D$72&lt;&gt;0,H$72/($D$72+$E$72/5)*($D69+$E69/5),0)</f>
        <v>130195016.20382164</v>
      </c>
      <c r="I69" s="583">
        <f t="shared" si="7"/>
        <v>15435775</v>
      </c>
      <c r="J69" s="583">
        <f t="shared" si="7"/>
        <v>76559800</v>
      </c>
      <c r="K69" s="583">
        <f t="shared" si="7"/>
        <v>57138842</v>
      </c>
      <c r="L69" s="583">
        <f>($V$77+$V$78)/$O$72*O69</f>
        <v>36315909.090909094</v>
      </c>
      <c r="M69" s="583"/>
      <c r="N69" s="732">
        <f>ROUND(SUM(G69:L69),0)</f>
        <v>878045342</v>
      </c>
      <c r="O69" s="738">
        <v>3800</v>
      </c>
      <c r="P69" s="583">
        <f>IF(O69&lt;&gt;"",N69/O69,"")</f>
        <v>231064.56368421053</v>
      </c>
      <c r="Q69" s="751"/>
      <c r="R69" s="739" t="s">
        <v>338</v>
      </c>
      <c r="S69" s="798">
        <v>42461</v>
      </c>
      <c r="T69" s="222">
        <v>50</v>
      </c>
      <c r="U69" s="740">
        <v>46741.2</v>
      </c>
      <c r="V69" s="732">
        <f t="shared" si="8"/>
        <v>2337060</v>
      </c>
      <c r="W69" s="748"/>
    </row>
    <row r="70" spans="1:23">
      <c r="A70" s="799" t="str">
        <f>IF(B70&lt;&gt;"",A69+1,"")</f>
        <v/>
      </c>
      <c r="B70" s="742"/>
      <c r="C70" s="731"/>
      <c r="D70" s="583">
        <f>ROUND(C70*O70,0)</f>
        <v>0</v>
      </c>
      <c r="E70" s="583"/>
      <c r="F70" s="583"/>
      <c r="G70" s="732">
        <f>(D70+E70)*F70</f>
        <v>0</v>
      </c>
      <c r="H70" s="583">
        <f>IF($D$72&lt;&gt;0,H$72/($D$72+$E$72/5)*($D70+$E70/5),0)</f>
        <v>0</v>
      </c>
      <c r="I70" s="583">
        <f t="shared" ref="I70:K71" si="9">IF($D$72&lt;&gt;0,I$72/$D$72*$D70,0)</f>
        <v>0</v>
      </c>
      <c r="J70" s="583">
        <f t="shared" si="9"/>
        <v>0</v>
      </c>
      <c r="K70" s="583">
        <f t="shared" si="9"/>
        <v>0</v>
      </c>
      <c r="L70" s="583">
        <f>($V$77+$V$78)/$O$72*O70</f>
        <v>0</v>
      </c>
      <c r="M70" s="583"/>
      <c r="N70" s="732">
        <f>ROUND(SUM(G70:L70),0)</f>
        <v>0</v>
      </c>
      <c r="O70" s="738"/>
      <c r="P70" s="583" t="str">
        <f>IF(O70&lt;&gt;"",N70/O70,"")</f>
        <v/>
      </c>
      <c r="Q70" s="751"/>
      <c r="R70" s="739" t="s">
        <v>341</v>
      </c>
      <c r="S70" s="798">
        <v>42461</v>
      </c>
      <c r="T70" s="222">
        <v>250</v>
      </c>
      <c r="U70" s="740">
        <v>13571.429</v>
      </c>
      <c r="V70" s="732">
        <f t="shared" si="8"/>
        <v>3392857</v>
      </c>
      <c r="W70" s="748"/>
    </row>
    <row r="71" spans="1:23">
      <c r="A71" s="799" t="str">
        <f>IF(B71&lt;&gt;"",A70+1,"")</f>
        <v/>
      </c>
      <c r="B71" s="791"/>
      <c r="C71" s="731"/>
      <c r="D71" s="583">
        <f>ROUND(C71*O71,0)</f>
        <v>0</v>
      </c>
      <c r="E71" s="583"/>
      <c r="F71" s="583"/>
      <c r="G71" s="732">
        <f>(D71+E71)*F71</f>
        <v>0</v>
      </c>
      <c r="H71" s="583">
        <f>IF($D$72&lt;&gt;0,H$72/($D$72+$E$72/5)*($D71+$E71/5),0)</f>
        <v>0</v>
      </c>
      <c r="I71" s="583">
        <f t="shared" si="9"/>
        <v>0</v>
      </c>
      <c r="J71" s="583">
        <f t="shared" si="9"/>
        <v>0</v>
      </c>
      <c r="K71" s="583">
        <f t="shared" si="9"/>
        <v>0</v>
      </c>
      <c r="L71" s="583">
        <f>($V$77+$V$78)/$O$72*O71</f>
        <v>0</v>
      </c>
      <c r="M71" s="583"/>
      <c r="N71" s="732">
        <f>ROUND(SUM(G71:L71),0)</f>
        <v>0</v>
      </c>
      <c r="O71" s="738"/>
      <c r="P71" s="583" t="str">
        <f>IF(O71&lt;&gt;"",N71/O71,"")</f>
        <v/>
      </c>
      <c r="Q71" s="751"/>
      <c r="R71" s="739" t="s">
        <v>218</v>
      </c>
      <c r="S71" s="798">
        <v>42461</v>
      </c>
      <c r="T71" s="222">
        <v>150</v>
      </c>
      <c r="U71" s="740">
        <v>21979.791919191921</v>
      </c>
      <c r="V71" s="732">
        <f t="shared" si="8"/>
        <v>3296969</v>
      </c>
      <c r="W71" s="748"/>
    </row>
    <row r="72" spans="1:23" s="752" customFormat="1">
      <c r="A72" s="753"/>
      <c r="B72" s="754" t="s">
        <v>538</v>
      </c>
      <c r="C72" s="755"/>
      <c r="D72" s="756">
        <f>SUM(D68:D69)</f>
        <v>30400</v>
      </c>
      <c r="E72" s="756">
        <f>SUM(E68:E69)</f>
        <v>5000</v>
      </c>
      <c r="F72" s="756"/>
      <c r="G72" s="756">
        <f>SUM(G68:G69)</f>
        <v>1385960092.071444</v>
      </c>
      <c r="H72" s="757">
        <v>134477747</v>
      </c>
      <c r="I72" s="757">
        <f>V76</f>
        <v>15435775</v>
      </c>
      <c r="J72" s="757">
        <v>76559800</v>
      </c>
      <c r="K72" s="757">
        <v>57138842</v>
      </c>
      <c r="L72" s="756">
        <f>ROUND(SUM(L68:L71),0)</f>
        <v>84100000</v>
      </c>
      <c r="M72" s="756">
        <f>ROUND(SUM(M68:M71),0)</f>
        <v>0</v>
      </c>
      <c r="N72" s="756">
        <f>ROUND(SUM(N68:N71),0)</f>
        <v>1753672256</v>
      </c>
      <c r="O72" s="756">
        <f>ROUND(SUM(O68:O71),0)</f>
        <v>8800</v>
      </c>
      <c r="P72" s="756"/>
      <c r="Q72" s="751"/>
      <c r="R72" s="739" t="s">
        <v>346</v>
      </c>
      <c r="S72" s="798">
        <v>42461</v>
      </c>
      <c r="T72" s="762">
        <v>1000</v>
      </c>
      <c r="U72" s="740">
        <v>3200</v>
      </c>
      <c r="V72" s="732">
        <f t="shared" si="8"/>
        <v>3200000</v>
      </c>
      <c r="W72" s="748"/>
    </row>
    <row r="73" spans="1:23">
      <c r="Q73" s="751"/>
      <c r="R73" s="739" t="s">
        <v>352</v>
      </c>
      <c r="S73" s="798">
        <v>42470</v>
      </c>
      <c r="T73" s="222">
        <v>100</v>
      </c>
      <c r="U73" s="740">
        <v>8500</v>
      </c>
      <c r="V73" s="732">
        <f t="shared" si="8"/>
        <v>850000</v>
      </c>
      <c r="W73" s="748"/>
    </row>
    <row r="74" spans="1:23">
      <c r="N74" s="1135"/>
      <c r="Q74" s="751"/>
      <c r="R74" s="739" t="s">
        <v>356</v>
      </c>
      <c r="S74" s="798">
        <v>42470</v>
      </c>
      <c r="T74" s="222">
        <v>50</v>
      </c>
      <c r="U74" s="740">
        <v>33000</v>
      </c>
      <c r="V74" s="732">
        <f t="shared" si="8"/>
        <v>1650000</v>
      </c>
      <c r="W74" s="748"/>
    </row>
    <row r="75" spans="1:23">
      <c r="N75" s="706"/>
      <c r="Q75" s="751"/>
      <c r="R75" s="802"/>
      <c r="S75" s="735"/>
      <c r="T75" s="222"/>
      <c r="U75" s="222"/>
      <c r="V75" s="748"/>
      <c r="W75" s="748"/>
    </row>
    <row r="76" spans="1:23">
      <c r="N76" s="706"/>
      <c r="R76" s="785"/>
      <c r="S76" s="786"/>
      <c r="T76" s="787"/>
      <c r="U76" s="803"/>
      <c r="V76" s="766">
        <f>SUM(V68:V75)</f>
        <v>15435775</v>
      </c>
      <c r="W76" s="766">
        <f>SUM(W68:W75)</f>
        <v>0</v>
      </c>
    </row>
    <row r="77" spans="1:23">
      <c r="N77" s="706"/>
      <c r="R77" s="762" t="s">
        <v>394</v>
      </c>
      <c r="S77" s="798">
        <v>42470</v>
      </c>
      <c r="T77" s="222">
        <v>1250</v>
      </c>
      <c r="U77" s="222">
        <v>18000</v>
      </c>
      <c r="V77" s="732">
        <f>ROUND(T77*U77,0)</f>
        <v>22500000</v>
      </c>
      <c r="W77" s="732"/>
    </row>
    <row r="78" spans="1:23">
      <c r="N78" s="706"/>
      <c r="R78" s="762" t="s">
        <v>638</v>
      </c>
      <c r="S78" s="798">
        <v>42470</v>
      </c>
      <c r="T78" s="222">
        <v>4400</v>
      </c>
      <c r="U78" s="222">
        <v>14000</v>
      </c>
      <c r="V78" s="732">
        <f>ROUND(T78*U78,0)</f>
        <v>61600000</v>
      </c>
      <c r="W78" s="748"/>
    </row>
    <row r="79" spans="1:23">
      <c r="R79" s="762"/>
      <c r="S79" s="735"/>
      <c r="T79" s="740"/>
      <c r="U79" s="740"/>
      <c r="V79" s="732">
        <f>ROUND(T79*U79,0)</f>
        <v>0</v>
      </c>
      <c r="W79" s="748"/>
    </row>
    <row r="80" spans="1:23">
      <c r="R80" s="762"/>
      <c r="S80" s="735"/>
      <c r="T80" s="740"/>
      <c r="U80" s="740"/>
      <c r="V80" s="732">
        <f>SUM(V77:V78)</f>
        <v>84100000</v>
      </c>
      <c r="W80" s="748"/>
    </row>
    <row r="81" spans="1:23" ht="18" customHeight="1">
      <c r="A81" s="707" t="s">
        <v>521</v>
      </c>
      <c r="B81" s="707"/>
      <c r="C81" s="708"/>
      <c r="D81" s="709"/>
      <c r="E81" s="709"/>
      <c r="F81" s="709"/>
      <c r="G81" s="706"/>
      <c r="H81" s="706"/>
      <c r="I81" s="706"/>
      <c r="J81" s="706"/>
      <c r="K81" s="706"/>
      <c r="L81" s="710"/>
      <c r="M81" s="706"/>
      <c r="N81" s="706"/>
      <c r="O81" s="711"/>
      <c r="P81" s="706"/>
      <c r="Q81" s="712"/>
      <c r="R81" s="706"/>
      <c r="S81" s="713"/>
    </row>
    <row r="82" spans="1:23" ht="18.75" customHeight="1">
      <c r="A82" s="714" t="s">
        <v>542</v>
      </c>
      <c r="B82" s="714"/>
      <c r="C82" s="714"/>
      <c r="D82" s="714"/>
      <c r="E82" s="714"/>
      <c r="F82" s="714"/>
      <c r="G82" s="714"/>
      <c r="H82" s="714"/>
      <c r="I82" s="714"/>
      <c r="J82" s="714"/>
      <c r="K82" s="714"/>
      <c r="L82" s="714"/>
      <c r="M82" s="714"/>
      <c r="N82" s="714"/>
      <c r="O82" s="714"/>
      <c r="P82" s="714"/>
      <c r="Q82" s="712"/>
      <c r="R82" s="706"/>
      <c r="S82" s="713"/>
    </row>
    <row r="83" spans="1:23" ht="18.75" customHeight="1">
      <c r="A83" s="715"/>
      <c r="B83" s="715"/>
      <c r="C83" s="716"/>
      <c r="D83" s="715"/>
      <c r="E83" s="715"/>
      <c r="F83" s="715"/>
      <c r="G83" s="715"/>
      <c r="H83" s="715"/>
      <c r="I83" s="715"/>
      <c r="J83" s="715"/>
      <c r="K83" s="715"/>
      <c r="L83" s="714"/>
      <c r="M83" s="715"/>
      <c r="N83" s="715"/>
      <c r="O83" s="717"/>
      <c r="P83" s="715"/>
      <c r="Q83" s="712"/>
      <c r="R83" s="706"/>
      <c r="S83" s="713"/>
    </row>
    <row r="84" spans="1:23" ht="12.75" customHeight="1">
      <c r="A84" s="718"/>
      <c r="B84" s="718"/>
      <c r="C84" s="719"/>
      <c r="D84" s="718"/>
      <c r="E84" s="718"/>
      <c r="F84" s="718"/>
      <c r="G84" s="718"/>
      <c r="H84" s="718"/>
      <c r="I84" s="718"/>
      <c r="J84" s="718"/>
      <c r="K84" s="718"/>
      <c r="L84" s="718"/>
      <c r="M84" s="718"/>
      <c r="N84" s="718"/>
      <c r="O84" s="720"/>
      <c r="P84" s="718"/>
      <c r="Q84" s="712"/>
      <c r="R84" s="706"/>
      <c r="S84" s="713"/>
    </row>
    <row r="85" spans="1:23" s="729" customFormat="1" ht="30.75" customHeight="1">
      <c r="A85" s="723" t="s">
        <v>35</v>
      </c>
      <c r="B85" s="723" t="s">
        <v>523</v>
      </c>
      <c r="C85" s="724" t="s">
        <v>524</v>
      </c>
      <c r="D85" s="725" t="s">
        <v>525</v>
      </c>
      <c r="E85" s="725" t="s">
        <v>526</v>
      </c>
      <c r="F85" s="725" t="s">
        <v>527</v>
      </c>
      <c r="G85" s="725" t="s">
        <v>528</v>
      </c>
      <c r="H85" s="725" t="s">
        <v>529</v>
      </c>
      <c r="I85" s="725" t="s">
        <v>530</v>
      </c>
      <c r="J85" s="725" t="s">
        <v>531</v>
      </c>
      <c r="K85" s="726" t="s">
        <v>532</v>
      </c>
      <c r="L85" s="725" t="s">
        <v>533</v>
      </c>
      <c r="M85" s="726" t="s">
        <v>534</v>
      </c>
      <c r="N85" s="725" t="s">
        <v>535</v>
      </c>
      <c r="O85" s="727" t="s">
        <v>526</v>
      </c>
      <c r="P85" s="725" t="s">
        <v>536</v>
      </c>
      <c r="Q85" s="728"/>
      <c r="R85" s="723" t="s">
        <v>523</v>
      </c>
      <c r="S85" s="725" t="s">
        <v>490</v>
      </c>
      <c r="T85" s="725" t="s">
        <v>330</v>
      </c>
      <c r="U85" s="725" t="s">
        <v>527</v>
      </c>
      <c r="V85" s="725" t="s">
        <v>537</v>
      </c>
      <c r="W85" s="723" t="s">
        <v>537</v>
      </c>
    </row>
    <row r="86" spans="1:23">
      <c r="A86" s="730">
        <f>IF(B86&lt;&gt;"",ROW()-(ROW()-1),"")</f>
        <v>1</v>
      </c>
      <c r="B86" s="479" t="s">
        <v>441</v>
      </c>
      <c r="C86" s="731">
        <v>13.5</v>
      </c>
      <c r="D86" s="583">
        <f t="shared" ref="D86:D91" si="10">ROUND(C86*O86,0)</f>
        <v>55890</v>
      </c>
      <c r="E86" s="583"/>
      <c r="F86" s="583">
        <v>15500</v>
      </c>
      <c r="G86" s="732">
        <f t="shared" ref="G86:G91" si="11">(D86+E86)*F86</f>
        <v>866295000</v>
      </c>
      <c r="H86" s="583">
        <f t="shared" ref="H86:H91" si="12">IF($D$93&lt;&gt;0,H$93/($D$93+$E$93/5)*($D86+$E86/5),0)</f>
        <v>64172594.68554315</v>
      </c>
      <c r="I86" s="583">
        <f t="shared" ref="I86:K91" si="13">IF($D$93&lt;&gt;0,I$93/$D$93*$D86,0)</f>
        <v>23805737.603049278</v>
      </c>
      <c r="J86" s="583">
        <f t="shared" si="13"/>
        <v>52799920.56901715</v>
      </c>
      <c r="K86" s="583">
        <f t="shared" si="13"/>
        <v>28981666.933297031</v>
      </c>
      <c r="L86" s="732">
        <f>V101+V102</f>
        <v>5449500</v>
      </c>
      <c r="M86" s="583"/>
      <c r="N86" s="732">
        <f t="shared" ref="N86:N91" si="14">ROUND(SUM(G86:L86),0)</f>
        <v>1041504420</v>
      </c>
      <c r="O86" s="583">
        <v>4140</v>
      </c>
      <c r="P86" s="583">
        <f t="shared" ref="P86:P91" si="15">IF(N86&lt;&gt;0,N86/O86,0)</f>
        <v>251571.11594202899</v>
      </c>
      <c r="Q86" s="751"/>
      <c r="R86" s="474" t="s">
        <v>332</v>
      </c>
      <c r="S86" s="798">
        <v>42492</v>
      </c>
      <c r="T86" s="222">
        <v>25</v>
      </c>
      <c r="U86" s="736">
        <v>35444.444444444445</v>
      </c>
      <c r="V86" s="732">
        <f t="shared" ref="V86:V93" si="16">ROUND(T86*U86,0)</f>
        <v>886111</v>
      </c>
      <c r="W86" s="748"/>
    </row>
    <row r="87" spans="1:23">
      <c r="A87" s="730">
        <f>IF(B87&lt;&gt;"",A86+1,"")</f>
        <v>2</v>
      </c>
      <c r="B87" s="474" t="s">
        <v>1501</v>
      </c>
      <c r="C87" s="731">
        <v>5</v>
      </c>
      <c r="D87" s="583">
        <f t="shared" si="10"/>
        <v>4400</v>
      </c>
      <c r="E87" s="583"/>
      <c r="F87" s="583">
        <v>29500</v>
      </c>
      <c r="G87" s="732">
        <f t="shared" si="11"/>
        <v>129800000</v>
      </c>
      <c r="H87" s="583">
        <f t="shared" si="12"/>
        <v>5052056.1212451216</v>
      </c>
      <c r="I87" s="583">
        <f t="shared" si="13"/>
        <v>1874132.1426626737</v>
      </c>
      <c r="J87" s="583">
        <f t="shared" si="13"/>
        <v>4156730.1933024777</v>
      </c>
      <c r="K87" s="583">
        <f t="shared" si="13"/>
        <v>2281612.7125873491</v>
      </c>
      <c r="L87" s="583">
        <f>V100</f>
        <v>1300000</v>
      </c>
      <c r="M87" s="583"/>
      <c r="N87" s="732">
        <f t="shared" si="14"/>
        <v>144464531</v>
      </c>
      <c r="O87" s="738">
        <v>880</v>
      </c>
      <c r="P87" s="583">
        <f t="shared" si="15"/>
        <v>164164.23977272728</v>
      </c>
      <c r="Q87" s="751"/>
      <c r="R87" s="479" t="s">
        <v>338</v>
      </c>
      <c r="S87" s="798">
        <v>42492</v>
      </c>
      <c r="T87" s="222">
        <v>60</v>
      </c>
      <c r="U87" s="740">
        <v>46741.2</v>
      </c>
      <c r="V87" s="732">
        <f t="shared" si="16"/>
        <v>2804472</v>
      </c>
      <c r="W87" s="748"/>
    </row>
    <row r="88" spans="1:23">
      <c r="A88" s="730">
        <f>IF(B88&lt;&gt;"",A87+1,"")</f>
        <v>3</v>
      </c>
      <c r="B88" s="474" t="s">
        <v>1502</v>
      </c>
      <c r="C88" s="731">
        <v>5</v>
      </c>
      <c r="D88" s="583">
        <f t="shared" si="10"/>
        <v>3000</v>
      </c>
      <c r="E88" s="583"/>
      <c r="F88" s="583">
        <v>28000</v>
      </c>
      <c r="G88" s="732">
        <f t="shared" si="11"/>
        <v>84000000</v>
      </c>
      <c r="H88" s="583">
        <f t="shared" si="12"/>
        <v>3444583.7190307649</v>
      </c>
      <c r="I88" s="583">
        <f t="shared" si="13"/>
        <v>1277817.3699972774</v>
      </c>
      <c r="J88" s="583">
        <f t="shared" si="13"/>
        <v>2834134.2227062345</v>
      </c>
      <c r="K88" s="583">
        <f t="shared" si="13"/>
        <v>1555645.0313095562</v>
      </c>
      <c r="L88" s="583">
        <f>V99</f>
        <v>806000</v>
      </c>
      <c r="M88" s="583"/>
      <c r="N88" s="732">
        <f t="shared" si="14"/>
        <v>93918180</v>
      </c>
      <c r="O88" s="738">
        <v>600</v>
      </c>
      <c r="P88" s="583">
        <f t="shared" si="15"/>
        <v>156530.29999999999</v>
      </c>
      <c r="Q88" s="751"/>
      <c r="R88" s="479" t="s">
        <v>341</v>
      </c>
      <c r="S88" s="798">
        <v>42492</v>
      </c>
      <c r="T88" s="222">
        <v>270</v>
      </c>
      <c r="U88" s="740">
        <v>13571.429</v>
      </c>
      <c r="V88" s="732">
        <f t="shared" si="16"/>
        <v>3664286</v>
      </c>
      <c r="W88" s="748"/>
    </row>
    <row r="89" spans="1:23">
      <c r="A89" s="730">
        <f>IF(B89&lt;&gt;"",A88+1,"")</f>
        <v>4</v>
      </c>
      <c r="B89" s="474" t="s">
        <v>1503</v>
      </c>
      <c r="C89" s="731">
        <v>8.5</v>
      </c>
      <c r="D89" s="583">
        <f t="shared" si="10"/>
        <v>8500</v>
      </c>
      <c r="E89" s="583"/>
      <c r="F89" s="583">
        <v>18500</v>
      </c>
      <c r="G89" s="732">
        <f t="shared" si="11"/>
        <v>157250000</v>
      </c>
      <c r="H89" s="583">
        <f t="shared" si="12"/>
        <v>9759653.8705871683</v>
      </c>
      <c r="I89" s="583">
        <f t="shared" si="13"/>
        <v>3620482.5483256197</v>
      </c>
      <c r="J89" s="583">
        <f t="shared" si="13"/>
        <v>8030046.9643343315</v>
      </c>
      <c r="K89" s="583">
        <f t="shared" si="13"/>
        <v>4407660.9220437426</v>
      </c>
      <c r="L89" s="583">
        <f>V98</f>
        <v>1680000</v>
      </c>
      <c r="M89" s="583"/>
      <c r="N89" s="732">
        <f t="shared" si="14"/>
        <v>184747844</v>
      </c>
      <c r="O89" s="738">
        <v>1000</v>
      </c>
      <c r="P89" s="583">
        <f t="shared" si="15"/>
        <v>184747.84400000001</v>
      </c>
      <c r="Q89" s="751"/>
      <c r="R89" s="479" t="s">
        <v>218</v>
      </c>
      <c r="S89" s="798">
        <v>42492</v>
      </c>
      <c r="T89" s="222">
        <v>450</v>
      </c>
      <c r="U89" s="740">
        <v>18414.14</v>
      </c>
      <c r="V89" s="732">
        <f t="shared" si="16"/>
        <v>8286363</v>
      </c>
      <c r="W89" s="748"/>
    </row>
    <row r="90" spans="1:23">
      <c r="A90" s="730">
        <f>IF(B90&lt;&gt;"",A89+1,"")</f>
        <v>5</v>
      </c>
      <c r="B90" s="474" t="s">
        <v>443</v>
      </c>
      <c r="C90" s="731">
        <v>8</v>
      </c>
      <c r="D90" s="583">
        <f t="shared" si="10"/>
        <v>38400</v>
      </c>
      <c r="E90" s="583"/>
      <c r="F90" s="583">
        <v>18500</v>
      </c>
      <c r="G90" s="732">
        <f t="shared" si="11"/>
        <v>710400000</v>
      </c>
      <c r="H90" s="583">
        <f t="shared" si="12"/>
        <v>44090671.603593789</v>
      </c>
      <c r="I90" s="583">
        <f t="shared" si="13"/>
        <v>16356062.335965151</v>
      </c>
      <c r="J90" s="583">
        <f t="shared" si="13"/>
        <v>36276918.050639801</v>
      </c>
      <c r="K90" s="583">
        <f t="shared" si="13"/>
        <v>19912256.40076232</v>
      </c>
      <c r="L90" s="583">
        <f>V96+V97</f>
        <v>41204000</v>
      </c>
      <c r="M90" s="583"/>
      <c r="N90" s="732">
        <f t="shared" si="14"/>
        <v>868239908</v>
      </c>
      <c r="O90" s="738">
        <v>4800</v>
      </c>
      <c r="P90" s="583">
        <f t="shared" si="15"/>
        <v>180883.31416666668</v>
      </c>
      <c r="Q90" s="751"/>
      <c r="R90" s="479" t="s">
        <v>346</v>
      </c>
      <c r="S90" s="798">
        <v>42492</v>
      </c>
      <c r="T90" s="222">
        <v>1000</v>
      </c>
      <c r="U90" s="740">
        <v>3200</v>
      </c>
      <c r="V90" s="732">
        <f t="shared" si="16"/>
        <v>3200000</v>
      </c>
      <c r="W90" s="748"/>
    </row>
    <row r="91" spans="1:23">
      <c r="A91" s="730" t="str">
        <f>IF(B91&lt;&gt;"",A90+1,"")</f>
        <v/>
      </c>
      <c r="B91" s="474"/>
      <c r="C91" s="731">
        <f>IF(ISNA(VLOOKUP(B91,NXT!$Q$79:$S$100,2,0)),0,VLOOKUP(B91,NXT!$Q$79:$S$100,2,0))</f>
        <v>0</v>
      </c>
      <c r="D91" s="583">
        <f t="shared" si="10"/>
        <v>0</v>
      </c>
      <c r="E91" s="583"/>
      <c r="F91" s="583"/>
      <c r="G91" s="732">
        <f t="shared" si="11"/>
        <v>0</v>
      </c>
      <c r="H91" s="583">
        <f t="shared" si="12"/>
        <v>0</v>
      </c>
      <c r="I91" s="583">
        <f t="shared" si="13"/>
        <v>0</v>
      </c>
      <c r="J91" s="583">
        <f t="shared" si="13"/>
        <v>0</v>
      </c>
      <c r="K91" s="583">
        <f t="shared" si="13"/>
        <v>0</v>
      </c>
      <c r="L91" s="583"/>
      <c r="M91" s="583"/>
      <c r="N91" s="732">
        <f t="shared" si="14"/>
        <v>0</v>
      </c>
      <c r="O91" s="738"/>
      <c r="P91" s="583">
        <f t="shared" si="15"/>
        <v>0</v>
      </c>
      <c r="Q91" s="751"/>
      <c r="R91" s="482" t="s">
        <v>349</v>
      </c>
      <c r="S91" s="798">
        <v>42492</v>
      </c>
      <c r="T91" s="222">
        <v>1620</v>
      </c>
      <c r="U91" s="740">
        <v>14400</v>
      </c>
      <c r="V91" s="732">
        <f t="shared" si="16"/>
        <v>23328000</v>
      </c>
      <c r="W91" s="748"/>
    </row>
    <row r="92" spans="1:23" s="752" customFormat="1">
      <c r="A92" s="730" t="str">
        <f>IF(B92&lt;&gt;"",#REF!+1,"")</f>
        <v/>
      </c>
      <c r="B92" s="743"/>
      <c r="C92" s="744"/>
      <c r="D92" s="746"/>
      <c r="E92" s="746"/>
      <c r="F92" s="746"/>
      <c r="G92" s="747"/>
      <c r="H92" s="792"/>
      <c r="I92" s="746"/>
      <c r="J92" s="748"/>
      <c r="K92" s="746"/>
      <c r="L92" s="749"/>
      <c r="M92" s="746"/>
      <c r="N92" s="780"/>
      <c r="O92" s="750"/>
      <c r="P92" s="746"/>
      <c r="Q92" s="751"/>
      <c r="R92" s="482" t="s">
        <v>352</v>
      </c>
      <c r="S92" s="798">
        <v>42493</v>
      </c>
      <c r="T92" s="762">
        <v>250</v>
      </c>
      <c r="U92" s="740">
        <v>8500</v>
      </c>
      <c r="V92" s="732">
        <f t="shared" si="16"/>
        <v>2125000</v>
      </c>
      <c r="W92" s="748"/>
    </row>
    <row r="93" spans="1:23" s="707" customFormat="1">
      <c r="A93" s="753"/>
      <c r="B93" s="754" t="s">
        <v>538</v>
      </c>
      <c r="C93" s="755"/>
      <c r="D93" s="756">
        <f>SUM(D86:D92)</f>
        <v>110190</v>
      </c>
      <c r="E93" s="756">
        <f>SUM(E86:E92)</f>
        <v>0</v>
      </c>
      <c r="F93" s="756"/>
      <c r="G93" s="756">
        <f>SUM(G86:G92)</f>
        <v>1947745000</v>
      </c>
      <c r="H93" s="757">
        <v>126519560</v>
      </c>
      <c r="I93" s="757">
        <f>V95</f>
        <v>46934232</v>
      </c>
      <c r="J93" s="757">
        <v>104097750</v>
      </c>
      <c r="K93" s="757">
        <v>57138842</v>
      </c>
      <c r="L93" s="756">
        <f>ROUND(SUM(L86:L92),0)</f>
        <v>50439500</v>
      </c>
      <c r="M93" s="756"/>
      <c r="N93" s="756">
        <f>ROUND(SUM(N86:N92),0)</f>
        <v>2332874883</v>
      </c>
      <c r="O93" s="756">
        <f>ROUND(SUM(O86:O92),0)</f>
        <v>11420</v>
      </c>
      <c r="P93" s="756"/>
      <c r="Q93" s="751"/>
      <c r="R93" s="482" t="s">
        <v>356</v>
      </c>
      <c r="S93" s="798">
        <v>42493</v>
      </c>
      <c r="T93" s="762">
        <v>80</v>
      </c>
      <c r="U93" s="740">
        <v>33000</v>
      </c>
      <c r="V93" s="732">
        <f t="shared" si="16"/>
        <v>2640000</v>
      </c>
      <c r="W93" s="748"/>
    </row>
    <row r="94" spans="1:23">
      <c r="Q94" s="751"/>
      <c r="R94" s="802"/>
      <c r="S94" s="735"/>
      <c r="T94" s="222"/>
      <c r="U94" s="222"/>
      <c r="V94" s="748"/>
      <c r="W94" s="748"/>
    </row>
    <row r="95" spans="1:23">
      <c r="M95" s="1113"/>
      <c r="N95" s="1135"/>
      <c r="Q95" s="751"/>
      <c r="R95" s="785"/>
      <c r="S95" s="786"/>
      <c r="T95" s="787"/>
      <c r="U95" s="803"/>
      <c r="V95" s="756">
        <f>SUM(V86:V94)</f>
        <v>46934232</v>
      </c>
      <c r="W95" s="766">
        <f>SUM(W86:W94)</f>
        <v>0</v>
      </c>
    </row>
    <row r="96" spans="1:23">
      <c r="M96" s="1113"/>
      <c r="N96" s="706"/>
      <c r="R96" s="762" t="s">
        <v>394</v>
      </c>
      <c r="S96" s="798">
        <v>42500</v>
      </c>
      <c r="T96" s="222">
        <v>578</v>
      </c>
      <c r="U96" s="222">
        <v>18000</v>
      </c>
      <c r="V96" s="732">
        <f t="shared" ref="V96:V104" si="17">ROUND(T96*U96,0)</f>
        <v>10404000</v>
      </c>
      <c r="W96" s="732"/>
    </row>
    <row r="97" spans="1:23">
      <c r="M97" s="1113"/>
      <c r="N97" s="706"/>
      <c r="R97" s="762" t="s">
        <v>638</v>
      </c>
      <c r="S97" s="798">
        <v>42500</v>
      </c>
      <c r="T97" s="222">
        <v>2200</v>
      </c>
      <c r="U97" s="222">
        <v>14000</v>
      </c>
      <c r="V97" s="732">
        <f t="shared" si="17"/>
        <v>30800000</v>
      </c>
      <c r="W97" s="748"/>
    </row>
    <row r="98" spans="1:23">
      <c r="M98" s="1113"/>
      <c r="N98" s="706"/>
      <c r="R98" s="739" t="s">
        <v>380</v>
      </c>
      <c r="S98" s="798">
        <v>42495</v>
      </c>
      <c r="T98" s="740">
        <v>100</v>
      </c>
      <c r="U98" s="740">
        <v>16800</v>
      </c>
      <c r="V98" s="732">
        <f t="shared" si="17"/>
        <v>1680000</v>
      </c>
      <c r="W98" s="748"/>
    </row>
    <row r="99" spans="1:23">
      <c r="M99" s="1113"/>
      <c r="N99" s="706"/>
      <c r="R99" s="308" t="s">
        <v>1493</v>
      </c>
      <c r="S99" s="798">
        <v>42495</v>
      </c>
      <c r="T99" s="740">
        <v>62</v>
      </c>
      <c r="U99" s="740">
        <v>13000</v>
      </c>
      <c r="V99" s="732">
        <f t="shared" si="17"/>
        <v>806000</v>
      </c>
      <c r="W99" s="748"/>
    </row>
    <row r="100" spans="1:23">
      <c r="R100" s="308" t="s">
        <v>1492</v>
      </c>
      <c r="S100" s="798">
        <v>42495</v>
      </c>
      <c r="T100" s="740">
        <v>100</v>
      </c>
      <c r="U100" s="740">
        <v>13000</v>
      </c>
      <c r="V100" s="732">
        <f t="shared" si="17"/>
        <v>1300000</v>
      </c>
      <c r="W100" s="748"/>
    </row>
    <row r="101" spans="1:23">
      <c r="R101" s="486" t="s">
        <v>383</v>
      </c>
      <c r="S101" s="798">
        <v>42495</v>
      </c>
      <c r="T101" s="740">
        <v>321</v>
      </c>
      <c r="U101" s="740">
        <v>13500</v>
      </c>
      <c r="V101" s="732">
        <f t="shared" si="17"/>
        <v>4333500</v>
      </c>
      <c r="W101" s="748"/>
    </row>
    <row r="102" spans="1:23">
      <c r="R102" s="788" t="s">
        <v>383</v>
      </c>
      <c r="S102" s="798">
        <v>42495</v>
      </c>
      <c r="T102" s="740">
        <v>93</v>
      </c>
      <c r="U102" s="740">
        <v>12000</v>
      </c>
      <c r="V102" s="732">
        <f t="shared" si="17"/>
        <v>1116000</v>
      </c>
      <c r="W102" s="748"/>
    </row>
    <row r="103" spans="1:23">
      <c r="R103" s="788"/>
      <c r="S103" s="798"/>
      <c r="T103" s="740"/>
      <c r="U103" s="740"/>
      <c r="V103" s="732">
        <f t="shared" si="17"/>
        <v>0</v>
      </c>
      <c r="W103" s="748"/>
    </row>
    <row r="104" spans="1:23">
      <c r="R104" s="788"/>
      <c r="S104" s="798"/>
      <c r="T104" s="740"/>
      <c r="U104" s="740"/>
      <c r="V104" s="732">
        <f t="shared" si="17"/>
        <v>0</v>
      </c>
      <c r="W104" s="748"/>
    </row>
    <row r="105" spans="1:23">
      <c r="R105" s="788"/>
      <c r="S105" s="798"/>
      <c r="T105" s="740"/>
      <c r="U105" s="740"/>
      <c r="V105" s="732">
        <f>SUM(V96:V102)</f>
        <v>50439500</v>
      </c>
      <c r="W105" s="748"/>
    </row>
    <row r="106" spans="1:23" ht="18" customHeight="1">
      <c r="A106" s="707" t="s">
        <v>521</v>
      </c>
      <c r="B106" s="707"/>
      <c r="C106" s="708"/>
      <c r="D106" s="709"/>
      <c r="E106" s="709"/>
      <c r="F106" s="709"/>
      <c r="G106" s="706"/>
      <c r="H106" s="706"/>
      <c r="I106" s="706"/>
      <c r="J106" s="706"/>
      <c r="K106" s="706"/>
      <c r="L106" s="710"/>
      <c r="M106" s="706"/>
      <c r="N106" s="706"/>
      <c r="O106" s="711"/>
      <c r="P106" s="706"/>
      <c r="Q106" s="712"/>
      <c r="R106" s="706"/>
      <c r="S106" s="713"/>
    </row>
    <row r="107" spans="1:23" ht="18.75" customHeight="1">
      <c r="A107" s="714" t="s">
        <v>543</v>
      </c>
      <c r="B107" s="714"/>
      <c r="C107" s="714"/>
      <c r="D107" s="714"/>
      <c r="E107" s="714"/>
      <c r="F107" s="714"/>
      <c r="G107" s="714"/>
      <c r="H107" s="714"/>
      <c r="I107" s="714"/>
      <c r="J107" s="714"/>
      <c r="K107" s="714"/>
      <c r="L107" s="714"/>
      <c r="M107" s="714"/>
      <c r="N107" s="714"/>
      <c r="O107" s="714"/>
      <c r="P107" s="714"/>
      <c r="Q107" s="712"/>
      <c r="R107" s="706"/>
      <c r="S107" s="713"/>
    </row>
    <row r="108" spans="1:23" ht="18.75" customHeight="1">
      <c r="A108" s="715"/>
      <c r="B108" s="715"/>
      <c r="C108" s="716"/>
      <c r="D108" s="715"/>
      <c r="E108" s="715"/>
      <c r="F108" s="715"/>
      <c r="G108" s="715"/>
      <c r="H108" s="715"/>
      <c r="I108" s="715"/>
      <c r="J108" s="715"/>
      <c r="K108" s="715"/>
      <c r="L108" s="714"/>
      <c r="M108" s="715"/>
      <c r="N108" s="715"/>
      <c r="O108" s="717"/>
      <c r="P108" s="715"/>
      <c r="Q108" s="712"/>
      <c r="R108" s="706"/>
      <c r="S108" s="713"/>
    </row>
    <row r="109" spans="1:23" ht="12.75" customHeight="1">
      <c r="A109" s="718"/>
      <c r="B109" s="718"/>
      <c r="C109" s="719"/>
      <c r="D109" s="718"/>
      <c r="E109" s="718"/>
      <c r="F109" s="718"/>
      <c r="G109" s="718"/>
      <c r="H109" s="718"/>
      <c r="I109" s="718"/>
      <c r="J109" s="718"/>
      <c r="K109" s="718"/>
      <c r="L109" s="718"/>
      <c r="M109" s="718"/>
      <c r="N109" s="718"/>
      <c r="O109" s="720"/>
      <c r="P109" s="718"/>
      <c r="Q109" s="712"/>
      <c r="R109" s="706"/>
      <c r="S109" s="713"/>
    </row>
    <row r="110" spans="1:23" s="729" customFormat="1" ht="30.75" customHeight="1">
      <c r="A110" s="723" t="s">
        <v>35</v>
      </c>
      <c r="B110" s="723" t="s">
        <v>523</v>
      </c>
      <c r="C110" s="724" t="s">
        <v>524</v>
      </c>
      <c r="D110" s="725" t="s">
        <v>525</v>
      </c>
      <c r="E110" s="725" t="s">
        <v>526</v>
      </c>
      <c r="F110" s="725" t="s">
        <v>527</v>
      </c>
      <c r="G110" s="725" t="s">
        <v>528</v>
      </c>
      <c r="H110" s="725" t="s">
        <v>529</v>
      </c>
      <c r="I110" s="725" t="s">
        <v>530</v>
      </c>
      <c r="J110" s="725" t="s">
        <v>531</v>
      </c>
      <c r="K110" s="726" t="s">
        <v>532</v>
      </c>
      <c r="L110" s="725" t="s">
        <v>533</v>
      </c>
      <c r="M110" s="726" t="s">
        <v>534</v>
      </c>
      <c r="N110" s="725" t="s">
        <v>535</v>
      </c>
      <c r="O110" s="727" t="s">
        <v>526</v>
      </c>
      <c r="P110" s="725" t="s">
        <v>536</v>
      </c>
      <c r="Q110" s="728"/>
      <c r="R110" s="723" t="s">
        <v>523</v>
      </c>
      <c r="S110" s="725" t="s">
        <v>490</v>
      </c>
      <c r="T110" s="725" t="s">
        <v>330</v>
      </c>
      <c r="U110" s="725" t="s">
        <v>527</v>
      </c>
      <c r="V110" s="725" t="s">
        <v>537</v>
      </c>
      <c r="W110" s="723" t="s">
        <v>537</v>
      </c>
    </row>
    <row r="111" spans="1:23">
      <c r="A111" s="730">
        <f>IF(B111&lt;&gt;"",ROW()-(ROW()-1),"")</f>
        <v>1</v>
      </c>
      <c r="B111" s="804" t="s">
        <v>442</v>
      </c>
      <c r="C111" s="731">
        <v>11</v>
      </c>
      <c r="D111" s="583">
        <f>ROUND(C111*O111,0)</f>
        <v>110000</v>
      </c>
      <c r="E111" s="583"/>
      <c r="F111" s="583">
        <v>15500</v>
      </c>
      <c r="G111" s="732">
        <f>D111*F111</f>
        <v>1705000000</v>
      </c>
      <c r="H111" s="583">
        <f>IF($D$127&lt;&gt;0,H$127/($D$127+$E$127/5)*($D111+$E111/5),0)</f>
        <v>59605657.888611279</v>
      </c>
      <c r="I111" s="583">
        <f t="shared" ref="I111:K112" si="18">IF($D$127&lt;&gt;0,I$127/$D$127*$D111,0)</f>
        <v>45962688.298857354</v>
      </c>
      <c r="J111" s="583">
        <f t="shared" si="18"/>
        <v>48461440.180423439</v>
      </c>
      <c r="K111" s="583">
        <f t="shared" si="18"/>
        <v>33837613.786254093</v>
      </c>
      <c r="L111" s="732">
        <f>SUM(V127:V129)</f>
        <v>23652476</v>
      </c>
      <c r="M111" s="583"/>
      <c r="N111" s="732">
        <f>ROUND(SUM(G111:M111),0)</f>
        <v>1916519876</v>
      </c>
      <c r="O111" s="583">
        <v>10000</v>
      </c>
      <c r="P111" s="583">
        <f>IF(N111&lt;&gt;0,N111/O111,0)</f>
        <v>191651.98759999999</v>
      </c>
      <c r="Q111" s="751"/>
      <c r="R111" s="474" t="s">
        <v>332</v>
      </c>
      <c r="S111" s="798">
        <v>42523</v>
      </c>
      <c r="T111" s="222">
        <v>30</v>
      </c>
      <c r="U111" s="736">
        <v>35444.444444444445</v>
      </c>
      <c r="V111" s="732">
        <f t="shared" ref="V111:V120" si="19">ROUND(T111*U111,0)</f>
        <v>1063333</v>
      </c>
      <c r="W111" s="732"/>
    </row>
    <row r="112" spans="1:23">
      <c r="A112" s="730">
        <f>IF(B112&lt;&gt;"",A111+1,"")</f>
        <v>2</v>
      </c>
      <c r="B112" s="742" t="s">
        <v>441</v>
      </c>
      <c r="C112" s="731">
        <v>13.5</v>
      </c>
      <c r="D112" s="583">
        <f>ROUND(C112*O112,0)</f>
        <v>13500</v>
      </c>
      <c r="E112" s="583"/>
      <c r="F112" s="583">
        <v>15500</v>
      </c>
      <c r="G112" s="732">
        <f>D112*F112</f>
        <v>209250000</v>
      </c>
      <c r="H112" s="583">
        <f>IF($D$127&lt;&gt;0,H$127/($D$127+$E$127/5)*($D112+$E112/5),0)</f>
        <v>7315239.8317841124</v>
      </c>
      <c r="I112" s="583">
        <f t="shared" si="18"/>
        <v>5640875.3821324939</v>
      </c>
      <c r="J112" s="583">
        <f t="shared" si="18"/>
        <v>5947540.3857792402</v>
      </c>
      <c r="K112" s="583">
        <f t="shared" si="18"/>
        <v>4152798.0555857294</v>
      </c>
      <c r="L112" s="732">
        <f>V130</f>
        <v>1620000</v>
      </c>
      <c r="M112" s="583"/>
      <c r="N112" s="732">
        <f t="shared" ref="N112:N125" si="20">ROUND(SUM(G112:M112),0)</f>
        <v>233926454</v>
      </c>
      <c r="O112" s="738">
        <v>1000</v>
      </c>
      <c r="P112" s="583">
        <f>IF(N112&lt;&gt;0,N112/O112,0)</f>
        <v>233926.454</v>
      </c>
      <c r="Q112" s="751"/>
      <c r="R112" s="479" t="s">
        <v>338</v>
      </c>
      <c r="S112" s="798">
        <v>42523</v>
      </c>
      <c r="T112" s="222">
        <v>70</v>
      </c>
      <c r="U112" s="740">
        <v>46741.2</v>
      </c>
      <c r="V112" s="732">
        <f t="shared" si="19"/>
        <v>3271884</v>
      </c>
      <c r="W112" s="748"/>
    </row>
    <row r="113" spans="1:23">
      <c r="A113" s="730">
        <f t="shared" ref="A113:A125" si="21">IF(B113&lt;&gt;"",A112+1,"")</f>
        <v>3</v>
      </c>
      <c r="B113" s="474" t="s">
        <v>1503</v>
      </c>
      <c r="C113" s="731">
        <v>8.5</v>
      </c>
      <c r="D113" s="583">
        <f t="shared" ref="D113:D125" si="22">ROUND(C113*O113,0)</f>
        <v>22440</v>
      </c>
      <c r="E113" s="583"/>
      <c r="F113" s="583">
        <v>18500</v>
      </c>
      <c r="G113" s="732">
        <f t="shared" ref="G113:G125" si="23">D113*F113</f>
        <v>415140000</v>
      </c>
      <c r="H113" s="583">
        <f t="shared" ref="H113:H125" si="24">IF($D$127&lt;&gt;0,H$127/($D$127+$E$127/5)*($D113+$E113/5),0)</f>
        <v>12159554.209276702</v>
      </c>
      <c r="I113" s="583">
        <f t="shared" ref="I113:K125" si="25">IF($D$127&lt;&gt;0,I$127/$D$127*$D113,0)</f>
        <v>9376388.4129668996</v>
      </c>
      <c r="J113" s="583">
        <f t="shared" si="25"/>
        <v>9886133.796806382</v>
      </c>
      <c r="K113" s="583">
        <f t="shared" si="25"/>
        <v>6902873.2123958347</v>
      </c>
      <c r="L113" s="583">
        <f>V123+V124</f>
        <v>7344000</v>
      </c>
      <c r="M113" s="583"/>
      <c r="N113" s="732">
        <f t="shared" si="20"/>
        <v>460808950</v>
      </c>
      <c r="O113" s="738">
        <v>2640</v>
      </c>
      <c r="P113" s="583">
        <f t="shared" ref="P113:P125" si="26">IF(N113&lt;&gt;0,N113/O113,0)</f>
        <v>174548.8446969697</v>
      </c>
      <c r="Q113" s="751"/>
      <c r="R113" s="479" t="s">
        <v>341</v>
      </c>
      <c r="S113" s="798">
        <v>42523</v>
      </c>
      <c r="T113" s="222">
        <v>330</v>
      </c>
      <c r="U113" s="740">
        <v>13571.429</v>
      </c>
      <c r="V113" s="732">
        <f t="shared" si="19"/>
        <v>4478572</v>
      </c>
      <c r="W113" s="748"/>
    </row>
    <row r="114" spans="1:23">
      <c r="A114" s="730">
        <f t="shared" si="21"/>
        <v>4</v>
      </c>
      <c r="B114" s="742" t="s">
        <v>1658</v>
      </c>
      <c r="C114" s="731">
        <v>1</v>
      </c>
      <c r="D114" s="583">
        <f t="shared" si="22"/>
        <v>1750</v>
      </c>
      <c r="E114" s="583"/>
      <c r="F114" s="583">
        <v>11165</v>
      </c>
      <c r="G114" s="732">
        <f t="shared" si="23"/>
        <v>19538750</v>
      </c>
      <c r="H114" s="583">
        <f t="shared" si="24"/>
        <v>948271.83004608855</v>
      </c>
      <c r="I114" s="583">
        <f t="shared" si="25"/>
        <v>731224.58657273068</v>
      </c>
      <c r="J114" s="583">
        <f t="shared" si="25"/>
        <v>770977.45741582743</v>
      </c>
      <c r="K114" s="583">
        <f t="shared" si="25"/>
        <v>538325.67387222417</v>
      </c>
      <c r="L114" s="583">
        <f>V125</f>
        <v>700000</v>
      </c>
      <c r="M114" s="583"/>
      <c r="N114" s="732">
        <f t="shared" si="20"/>
        <v>23227550</v>
      </c>
      <c r="O114" s="738">
        <v>1750</v>
      </c>
      <c r="P114" s="583">
        <f t="shared" si="26"/>
        <v>13272.885714285714</v>
      </c>
      <c r="Q114" s="751"/>
      <c r="R114" s="479" t="s">
        <v>346</v>
      </c>
      <c r="S114" s="798">
        <v>42523</v>
      </c>
      <c r="T114" s="222">
        <v>1500</v>
      </c>
      <c r="U114" s="740">
        <v>3200</v>
      </c>
      <c r="V114" s="732">
        <f t="shared" si="19"/>
        <v>4800000</v>
      </c>
      <c r="W114" s="748"/>
    </row>
    <row r="115" spans="1:23">
      <c r="A115" s="730">
        <f t="shared" si="21"/>
        <v>5</v>
      </c>
      <c r="B115" s="742" t="s">
        <v>1659</v>
      </c>
      <c r="C115" s="731">
        <v>1</v>
      </c>
      <c r="D115" s="583">
        <f t="shared" si="22"/>
        <v>5390</v>
      </c>
      <c r="E115" s="583"/>
      <c r="F115" s="583">
        <v>11165</v>
      </c>
      <c r="G115" s="732">
        <f t="shared" si="23"/>
        <v>60179350</v>
      </c>
      <c r="H115" s="583">
        <f t="shared" si="24"/>
        <v>2920677.2365419529</v>
      </c>
      <c r="I115" s="583">
        <f t="shared" si="25"/>
        <v>2252171.7266440103</v>
      </c>
      <c r="J115" s="583">
        <f t="shared" si="25"/>
        <v>2374610.5688407486</v>
      </c>
      <c r="K115" s="583">
        <f t="shared" si="25"/>
        <v>1658043.0755264505</v>
      </c>
      <c r="L115" s="583">
        <f>V126</f>
        <v>2150000</v>
      </c>
      <c r="M115" s="583"/>
      <c r="N115" s="732">
        <f t="shared" si="20"/>
        <v>71534853</v>
      </c>
      <c r="O115" s="738">
        <v>5390</v>
      </c>
      <c r="P115" s="583">
        <f t="shared" si="26"/>
        <v>13271.772356215213</v>
      </c>
      <c r="Q115" s="751"/>
      <c r="R115" s="482" t="s">
        <v>349</v>
      </c>
      <c r="S115" s="798">
        <v>42523</v>
      </c>
      <c r="T115" s="222">
        <v>3780</v>
      </c>
      <c r="U115" s="740">
        <v>14400</v>
      </c>
      <c r="V115" s="732">
        <f t="shared" si="19"/>
        <v>54432000</v>
      </c>
      <c r="W115" s="748"/>
    </row>
    <row r="116" spans="1:23">
      <c r="A116" s="730">
        <f t="shared" si="21"/>
        <v>6</v>
      </c>
      <c r="B116" s="742" t="s">
        <v>1661</v>
      </c>
      <c r="C116" s="731">
        <v>5.3</v>
      </c>
      <c r="D116" s="583">
        <f t="shared" si="22"/>
        <v>3657</v>
      </c>
      <c r="E116" s="583"/>
      <c r="F116" s="583">
        <v>105000</v>
      </c>
      <c r="G116" s="732">
        <f t="shared" si="23"/>
        <v>383985000</v>
      </c>
      <c r="H116" s="583">
        <f t="shared" si="24"/>
        <v>1981617.1899877405</v>
      </c>
      <c r="I116" s="583">
        <f t="shared" si="25"/>
        <v>1528050.4646265577</v>
      </c>
      <c r="J116" s="583">
        <f t="shared" si="25"/>
        <v>1611122.6067255319</v>
      </c>
      <c r="K116" s="583">
        <f t="shared" si="25"/>
        <v>1124946.8510575565</v>
      </c>
      <c r="L116" s="583">
        <f>ROUND(SUM($V$131:$V$134)/SUM($O$116:$O$125)*O116,0)</f>
        <v>16216618</v>
      </c>
      <c r="M116" s="583"/>
      <c r="N116" s="732">
        <f t="shared" si="20"/>
        <v>406447355</v>
      </c>
      <c r="O116" s="738">
        <v>690</v>
      </c>
      <c r="P116" s="583">
        <f t="shared" si="26"/>
        <v>589054.13768115942</v>
      </c>
      <c r="Q116" s="751"/>
      <c r="R116" s="482" t="s">
        <v>1389</v>
      </c>
      <c r="S116" s="798">
        <v>42523</v>
      </c>
      <c r="T116" s="222">
        <v>100</v>
      </c>
      <c r="U116" s="740">
        <v>12728</v>
      </c>
      <c r="V116" s="732">
        <f t="shared" si="19"/>
        <v>1272800</v>
      </c>
      <c r="W116" s="748"/>
    </row>
    <row r="117" spans="1:23">
      <c r="A117" s="730">
        <f t="shared" si="21"/>
        <v>7</v>
      </c>
      <c r="B117" s="742" t="s">
        <v>1662</v>
      </c>
      <c r="C117" s="731">
        <v>5.3</v>
      </c>
      <c r="D117" s="583">
        <f t="shared" si="22"/>
        <v>2650</v>
      </c>
      <c r="E117" s="583"/>
      <c r="F117" s="583">
        <v>105000</v>
      </c>
      <c r="G117" s="732">
        <f t="shared" si="23"/>
        <v>278250000</v>
      </c>
      <c r="H117" s="583">
        <f t="shared" si="24"/>
        <v>1435954.4854983627</v>
      </c>
      <c r="I117" s="583">
        <f t="shared" si="25"/>
        <v>1107282.9453815636</v>
      </c>
      <c r="J117" s="583">
        <f t="shared" si="25"/>
        <v>1167480.1498011102</v>
      </c>
      <c r="K117" s="583">
        <f t="shared" si="25"/>
        <v>815178.87757793954</v>
      </c>
      <c r="L117" s="583">
        <f t="shared" ref="L117:L125" si="27">ROUND(SUM($V$131:$V$134)/SUM($O$116:$O$125)*O117,0)</f>
        <v>11751172</v>
      </c>
      <c r="M117" s="583"/>
      <c r="N117" s="732">
        <f t="shared" si="20"/>
        <v>294527068</v>
      </c>
      <c r="O117" s="738">
        <v>500</v>
      </c>
      <c r="P117" s="583">
        <f t="shared" si="26"/>
        <v>589054.13600000006</v>
      </c>
      <c r="Q117" s="751"/>
      <c r="R117" s="482" t="s">
        <v>352</v>
      </c>
      <c r="S117" s="798">
        <v>42526</v>
      </c>
      <c r="T117" s="222">
        <v>300</v>
      </c>
      <c r="U117" s="740">
        <v>8500</v>
      </c>
      <c r="V117" s="732">
        <f t="shared" si="19"/>
        <v>2550000</v>
      </c>
      <c r="W117" s="748"/>
    </row>
    <row r="118" spans="1:23">
      <c r="A118" s="730">
        <f t="shared" si="21"/>
        <v>8</v>
      </c>
      <c r="B118" s="742" t="s">
        <v>1663</v>
      </c>
      <c r="C118" s="731">
        <v>5.3</v>
      </c>
      <c r="D118" s="583">
        <f t="shared" si="22"/>
        <v>2968</v>
      </c>
      <c r="E118" s="583"/>
      <c r="F118" s="583">
        <v>105000</v>
      </c>
      <c r="G118" s="732">
        <f t="shared" si="23"/>
        <v>311640000</v>
      </c>
      <c r="H118" s="583">
        <f t="shared" si="24"/>
        <v>1608269.0237581662</v>
      </c>
      <c r="I118" s="583">
        <f t="shared" si="25"/>
        <v>1240156.8988273512</v>
      </c>
      <c r="J118" s="583">
        <f t="shared" si="25"/>
        <v>1307577.7677772434</v>
      </c>
      <c r="K118" s="583">
        <f t="shared" si="25"/>
        <v>913000.34288729227</v>
      </c>
      <c r="L118" s="583">
        <f t="shared" si="27"/>
        <v>13161313</v>
      </c>
      <c r="M118" s="583"/>
      <c r="N118" s="732">
        <f t="shared" si="20"/>
        <v>329870317</v>
      </c>
      <c r="O118" s="738">
        <v>560</v>
      </c>
      <c r="P118" s="583">
        <f t="shared" si="26"/>
        <v>589054.13749999995</v>
      </c>
      <c r="Q118" s="751"/>
      <c r="R118" s="482" t="s">
        <v>356</v>
      </c>
      <c r="S118" s="798">
        <v>42526</v>
      </c>
      <c r="T118" s="222">
        <v>270</v>
      </c>
      <c r="U118" s="740">
        <v>33000</v>
      </c>
      <c r="V118" s="732">
        <f t="shared" si="19"/>
        <v>8910000</v>
      </c>
      <c r="W118" s="748"/>
    </row>
    <row r="119" spans="1:23">
      <c r="A119" s="730">
        <f t="shared" si="21"/>
        <v>9</v>
      </c>
      <c r="B119" s="742" t="s">
        <v>1664</v>
      </c>
      <c r="C119" s="731">
        <v>5.3</v>
      </c>
      <c r="D119" s="583">
        <f>ROUND(C119*O119,0)</f>
        <v>3074</v>
      </c>
      <c r="E119" s="583"/>
      <c r="F119" s="583">
        <v>105000</v>
      </c>
      <c r="G119" s="732">
        <f t="shared" si="23"/>
        <v>322770000</v>
      </c>
      <c r="H119" s="583">
        <f t="shared" si="24"/>
        <v>1665707.2031781008</v>
      </c>
      <c r="I119" s="583">
        <f t="shared" si="25"/>
        <v>1284448.2166426138</v>
      </c>
      <c r="J119" s="583">
        <f t="shared" si="25"/>
        <v>1354276.9737692878</v>
      </c>
      <c r="K119" s="583">
        <f t="shared" si="25"/>
        <v>945607.49799040984</v>
      </c>
      <c r="L119" s="583">
        <f t="shared" si="27"/>
        <v>13631360</v>
      </c>
      <c r="M119" s="583"/>
      <c r="N119" s="732">
        <f t="shared" si="20"/>
        <v>341651400</v>
      </c>
      <c r="O119" s="738">
        <v>580</v>
      </c>
      <c r="P119" s="583">
        <f t="shared" si="26"/>
        <v>589054.13793103443</v>
      </c>
      <c r="Q119" s="751"/>
      <c r="R119" s="739"/>
      <c r="S119" s="798"/>
      <c r="T119" s="222"/>
      <c r="U119" s="740"/>
      <c r="V119" s="732">
        <f t="shared" si="19"/>
        <v>0</v>
      </c>
      <c r="W119" s="748"/>
    </row>
    <row r="120" spans="1:23">
      <c r="A120" s="730">
        <f t="shared" si="21"/>
        <v>10</v>
      </c>
      <c r="B120" s="742" t="s">
        <v>1665</v>
      </c>
      <c r="C120" s="731">
        <v>5.3</v>
      </c>
      <c r="D120" s="583">
        <f t="shared" si="22"/>
        <v>4611</v>
      </c>
      <c r="E120" s="583"/>
      <c r="F120" s="583">
        <v>105000</v>
      </c>
      <c r="G120" s="732">
        <f t="shared" si="23"/>
        <v>484155000</v>
      </c>
      <c r="H120" s="583">
        <f t="shared" si="24"/>
        <v>2498560.8047671509</v>
      </c>
      <c r="I120" s="583">
        <f t="shared" si="25"/>
        <v>1926672.3249639205</v>
      </c>
      <c r="J120" s="583">
        <f t="shared" si="25"/>
        <v>2031415.4606539316</v>
      </c>
      <c r="K120" s="583">
        <f t="shared" si="25"/>
        <v>1418411.2469856148</v>
      </c>
      <c r="L120" s="583">
        <f t="shared" si="27"/>
        <v>20447040</v>
      </c>
      <c r="M120" s="583"/>
      <c r="N120" s="732">
        <f t="shared" si="20"/>
        <v>512477100</v>
      </c>
      <c r="O120" s="738">
        <v>870</v>
      </c>
      <c r="P120" s="583">
        <f t="shared" si="26"/>
        <v>589054.13793103443</v>
      </c>
      <c r="Q120" s="751"/>
      <c r="R120" s="479"/>
      <c r="S120" s="798"/>
      <c r="T120" s="222"/>
      <c r="U120" s="740"/>
      <c r="V120" s="732">
        <f t="shared" si="19"/>
        <v>0</v>
      </c>
      <c r="W120" s="748"/>
    </row>
    <row r="121" spans="1:23">
      <c r="A121" s="730">
        <f t="shared" si="21"/>
        <v>11</v>
      </c>
      <c r="B121" s="742" t="s">
        <v>1666</v>
      </c>
      <c r="C121" s="731">
        <v>5.3</v>
      </c>
      <c r="D121" s="583">
        <f t="shared" si="22"/>
        <v>689</v>
      </c>
      <c r="E121" s="583"/>
      <c r="F121" s="583">
        <v>105000</v>
      </c>
      <c r="G121" s="732">
        <f t="shared" si="23"/>
        <v>72345000</v>
      </c>
      <c r="H121" s="583">
        <f t="shared" si="24"/>
        <v>373348.1662295743</v>
      </c>
      <c r="I121" s="583">
        <f t="shared" si="25"/>
        <v>287893.5657992065</v>
      </c>
      <c r="J121" s="583">
        <f t="shared" si="25"/>
        <v>303544.83894828864</v>
      </c>
      <c r="K121" s="583">
        <f t="shared" si="25"/>
        <v>211946.50817026428</v>
      </c>
      <c r="L121" s="583">
        <f t="shared" si="27"/>
        <v>3055305</v>
      </c>
      <c r="M121" s="583"/>
      <c r="N121" s="732">
        <f t="shared" si="20"/>
        <v>76577038</v>
      </c>
      <c r="O121" s="738">
        <v>130</v>
      </c>
      <c r="P121" s="583">
        <f t="shared" si="26"/>
        <v>589054.13846153847</v>
      </c>
      <c r="Q121" s="751"/>
      <c r="R121" s="479"/>
      <c r="S121" s="735"/>
      <c r="T121" s="222"/>
      <c r="U121" s="222"/>
      <c r="V121" s="732"/>
      <c r="W121" s="748"/>
    </row>
    <row r="122" spans="1:23">
      <c r="A122" s="730">
        <f t="shared" si="21"/>
        <v>12</v>
      </c>
      <c r="B122" s="742" t="s">
        <v>1667</v>
      </c>
      <c r="C122" s="731">
        <v>5.3</v>
      </c>
      <c r="D122" s="583">
        <f t="shared" si="22"/>
        <v>1325</v>
      </c>
      <c r="E122" s="583"/>
      <c r="F122" s="583">
        <v>105000</v>
      </c>
      <c r="G122" s="732">
        <f t="shared" si="23"/>
        <v>139125000</v>
      </c>
      <c r="H122" s="583">
        <f t="shared" si="24"/>
        <v>717977.24274918134</v>
      </c>
      <c r="I122" s="583">
        <f t="shared" si="25"/>
        <v>553641.47269078181</v>
      </c>
      <c r="J122" s="583">
        <f t="shared" si="25"/>
        <v>583740.07490055508</v>
      </c>
      <c r="K122" s="583">
        <f t="shared" si="25"/>
        <v>407589.43878896977</v>
      </c>
      <c r="L122" s="583">
        <f t="shared" si="27"/>
        <v>5875586</v>
      </c>
      <c r="M122" s="583"/>
      <c r="N122" s="732">
        <f t="shared" si="20"/>
        <v>147263534</v>
      </c>
      <c r="O122" s="738">
        <v>250</v>
      </c>
      <c r="P122" s="583">
        <f t="shared" si="26"/>
        <v>589054.13600000006</v>
      </c>
      <c r="Q122" s="751"/>
      <c r="R122" s="785"/>
      <c r="S122" s="786"/>
      <c r="T122" s="787"/>
      <c r="U122" s="803"/>
      <c r="V122" s="756">
        <f>SUM(V111:V121)</f>
        <v>80778589</v>
      </c>
      <c r="W122" s="766">
        <f>SUM(W111:W121)</f>
        <v>0</v>
      </c>
    </row>
    <row r="123" spans="1:23">
      <c r="A123" s="730">
        <f t="shared" si="21"/>
        <v>13</v>
      </c>
      <c r="B123" s="742" t="s">
        <v>1668</v>
      </c>
      <c r="C123" s="731">
        <v>5.3</v>
      </c>
      <c r="D123" s="583">
        <f t="shared" si="22"/>
        <v>3498</v>
      </c>
      <c r="E123" s="583"/>
      <c r="F123" s="583">
        <v>105000</v>
      </c>
      <c r="G123" s="732">
        <f t="shared" si="23"/>
        <v>367290000</v>
      </c>
      <c r="H123" s="583">
        <f t="shared" si="24"/>
        <v>1895459.9208578388</v>
      </c>
      <c r="I123" s="583">
        <f t="shared" si="25"/>
        <v>1461613.4879036639</v>
      </c>
      <c r="J123" s="583">
        <f t="shared" si="25"/>
        <v>1541073.7977374652</v>
      </c>
      <c r="K123" s="583">
        <f t="shared" si="25"/>
        <v>1076036.1184028802</v>
      </c>
      <c r="L123" s="583">
        <f t="shared" si="27"/>
        <v>15511547</v>
      </c>
      <c r="M123" s="583"/>
      <c r="N123" s="732">
        <f t="shared" si="20"/>
        <v>388775730</v>
      </c>
      <c r="O123" s="738">
        <v>660</v>
      </c>
      <c r="P123" s="583">
        <f t="shared" si="26"/>
        <v>589054.13636363635</v>
      </c>
      <c r="Q123" s="751"/>
      <c r="R123" s="788" t="s">
        <v>1611</v>
      </c>
      <c r="S123" s="735">
        <v>42531</v>
      </c>
      <c r="T123" s="222">
        <v>360</v>
      </c>
      <c r="U123" s="222">
        <v>2400</v>
      </c>
      <c r="V123" s="732">
        <f t="shared" ref="V123:V134" si="28">ROUND(T123*U123,0)</f>
        <v>864000</v>
      </c>
      <c r="W123" s="732"/>
    </row>
    <row r="124" spans="1:23">
      <c r="A124" s="730">
        <f t="shared" si="21"/>
        <v>14</v>
      </c>
      <c r="B124" s="742" t="s">
        <v>1669</v>
      </c>
      <c r="C124" s="731">
        <v>5.3</v>
      </c>
      <c r="D124" s="583">
        <f t="shared" si="22"/>
        <v>1696</v>
      </c>
      <c r="E124" s="583"/>
      <c r="F124" s="583">
        <v>105000</v>
      </c>
      <c r="G124" s="732">
        <f t="shared" si="23"/>
        <v>178080000</v>
      </c>
      <c r="H124" s="583">
        <f t="shared" si="24"/>
        <v>919010.87071895215</v>
      </c>
      <c r="I124" s="583">
        <f t="shared" si="25"/>
        <v>708661.08504420065</v>
      </c>
      <c r="J124" s="583">
        <f t="shared" si="25"/>
        <v>747187.29587271041</v>
      </c>
      <c r="K124" s="583">
        <f t="shared" si="25"/>
        <v>521714.48164988129</v>
      </c>
      <c r="L124" s="583">
        <f t="shared" si="27"/>
        <v>7520750</v>
      </c>
      <c r="M124" s="583"/>
      <c r="N124" s="732">
        <f t="shared" si="20"/>
        <v>188497324</v>
      </c>
      <c r="O124" s="738">
        <v>320</v>
      </c>
      <c r="P124" s="583">
        <f t="shared" si="26"/>
        <v>589054.13749999995</v>
      </c>
      <c r="Q124" s="751"/>
      <c r="R124" s="739" t="s">
        <v>387</v>
      </c>
      <c r="S124" s="735">
        <v>42531</v>
      </c>
      <c r="T124" s="740">
        <v>360</v>
      </c>
      <c r="U124" s="740">
        <v>18000</v>
      </c>
      <c r="V124" s="732">
        <f t="shared" si="28"/>
        <v>6480000</v>
      </c>
      <c r="W124" s="748"/>
    </row>
    <row r="125" spans="1:23">
      <c r="A125" s="730">
        <f t="shared" si="21"/>
        <v>15</v>
      </c>
      <c r="B125" s="742" t="s">
        <v>1670</v>
      </c>
      <c r="C125" s="731">
        <v>8.0374999999999996</v>
      </c>
      <c r="D125" s="583">
        <f t="shared" si="22"/>
        <v>16075</v>
      </c>
      <c r="E125" s="583"/>
      <c r="F125" s="583">
        <v>68876.211819595599</v>
      </c>
      <c r="G125" s="732">
        <f t="shared" si="23"/>
        <v>1107185104.9999993</v>
      </c>
      <c r="H125" s="583">
        <f t="shared" si="24"/>
        <v>8710554.0959947854</v>
      </c>
      <c r="I125" s="583">
        <f t="shared" si="25"/>
        <v>6716820.1309466539</v>
      </c>
      <c r="J125" s="583">
        <f t="shared" si="25"/>
        <v>7081978.6445482429</v>
      </c>
      <c r="K125" s="583">
        <f t="shared" si="25"/>
        <v>4944905.8328548595</v>
      </c>
      <c r="L125" s="583">
        <f t="shared" si="27"/>
        <v>47004689</v>
      </c>
      <c r="M125" s="583"/>
      <c r="N125" s="732">
        <f t="shared" si="20"/>
        <v>1181644053</v>
      </c>
      <c r="O125" s="738">
        <v>2000</v>
      </c>
      <c r="P125" s="583">
        <f t="shared" si="26"/>
        <v>590822.02650000004</v>
      </c>
      <c r="Q125" s="751"/>
      <c r="R125" s="739" t="s">
        <v>380</v>
      </c>
      <c r="S125" s="798">
        <v>42534</v>
      </c>
      <c r="T125" s="740">
        <v>140</v>
      </c>
      <c r="U125" s="740">
        <v>5000</v>
      </c>
      <c r="V125" s="732">
        <f t="shared" si="28"/>
        <v>700000</v>
      </c>
      <c r="W125" s="748"/>
    </row>
    <row r="126" spans="1:23">
      <c r="A126" s="730" t="str">
        <f>IF(B126&lt;&gt;"",#REF!+1,"")</f>
        <v/>
      </c>
      <c r="B126" s="743"/>
      <c r="C126" s="744"/>
      <c r="D126" s="746"/>
      <c r="E126" s="746"/>
      <c r="F126" s="746"/>
      <c r="G126" s="747"/>
      <c r="H126" s="792"/>
      <c r="I126" s="746"/>
      <c r="J126" s="748"/>
      <c r="K126" s="746"/>
      <c r="L126" s="749"/>
      <c r="M126" s="746"/>
      <c r="N126" s="732"/>
      <c r="O126" s="750"/>
      <c r="P126" s="746"/>
      <c r="Q126" s="751"/>
      <c r="R126" s="739" t="s">
        <v>380</v>
      </c>
      <c r="S126" s="798">
        <v>42534</v>
      </c>
      <c r="T126" s="740">
        <v>430</v>
      </c>
      <c r="U126" s="740">
        <v>5000</v>
      </c>
      <c r="V126" s="732">
        <f t="shared" si="28"/>
        <v>2150000</v>
      </c>
      <c r="W126" s="748"/>
    </row>
    <row r="127" spans="1:23">
      <c r="A127" s="753"/>
      <c r="B127" s="754" t="s">
        <v>538</v>
      </c>
      <c r="C127" s="755"/>
      <c r="D127" s="756">
        <f>SUM(D111:D126)</f>
        <v>193323</v>
      </c>
      <c r="E127" s="756">
        <f>SUM(E111:E126)</f>
        <v>0</v>
      </c>
      <c r="F127" s="756"/>
      <c r="G127" s="756">
        <f>SUM(G111:G125)</f>
        <v>6053933204.999999</v>
      </c>
      <c r="H127" s="757">
        <v>104755860</v>
      </c>
      <c r="I127" s="757">
        <f>V122</f>
        <v>80778589</v>
      </c>
      <c r="J127" s="757">
        <v>85170100</v>
      </c>
      <c r="K127" s="757">
        <v>59468991</v>
      </c>
      <c r="L127" s="756">
        <f>ROUND(SUM(L111:L126),0)</f>
        <v>189641856</v>
      </c>
      <c r="M127" s="756"/>
      <c r="N127" s="756">
        <f>ROUND(SUM(N111:N126),0)</f>
        <v>6573748602</v>
      </c>
      <c r="O127" s="756">
        <f>ROUND(SUM(O111:O126),0)</f>
        <v>27340</v>
      </c>
      <c r="P127" s="756"/>
      <c r="Q127" s="751"/>
      <c r="R127" s="486" t="s">
        <v>383</v>
      </c>
      <c r="S127" s="798">
        <v>42526</v>
      </c>
      <c r="T127" s="222">
        <v>904</v>
      </c>
      <c r="U127" s="222">
        <v>21347</v>
      </c>
      <c r="V127" s="732">
        <f t="shared" si="28"/>
        <v>19297688</v>
      </c>
      <c r="W127" s="748"/>
    </row>
    <row r="128" spans="1:23">
      <c r="A128" s="758"/>
      <c r="B128" s="759"/>
      <c r="C128" s="716"/>
      <c r="D128" s="760"/>
      <c r="E128" s="760"/>
      <c r="F128" s="760"/>
      <c r="G128" s="760"/>
      <c r="H128" s="714"/>
      <c r="I128" s="714"/>
      <c r="J128" s="714"/>
      <c r="K128" s="714"/>
      <c r="L128" s="760"/>
      <c r="M128" s="760"/>
      <c r="N128" s="760"/>
      <c r="O128" s="760"/>
      <c r="P128" s="760"/>
      <c r="Q128" s="751"/>
      <c r="R128" s="80" t="s">
        <v>1494</v>
      </c>
      <c r="S128" s="798">
        <v>42526</v>
      </c>
      <c r="T128" s="222">
        <v>72</v>
      </c>
      <c r="U128" s="222">
        <v>21347</v>
      </c>
      <c r="V128" s="732">
        <f>ROUND(T128*U128,0)</f>
        <v>1536984</v>
      </c>
      <c r="W128" s="748"/>
    </row>
    <row r="129" spans="1:23">
      <c r="A129" s="758"/>
      <c r="B129" s="759"/>
      <c r="C129" s="716"/>
      <c r="D129" s="760"/>
      <c r="E129" s="760"/>
      <c r="F129" s="760"/>
      <c r="G129" s="760"/>
      <c r="H129" s="714"/>
      <c r="I129" s="714"/>
      <c r="J129" s="714"/>
      <c r="K129" s="714"/>
      <c r="L129" s="760"/>
      <c r="M129" s="760"/>
      <c r="N129" s="760"/>
      <c r="O129" s="760"/>
      <c r="P129" s="760"/>
      <c r="Q129" s="751"/>
      <c r="R129" s="80" t="s">
        <v>1495</v>
      </c>
      <c r="S129" s="798">
        <v>42526</v>
      </c>
      <c r="T129" s="222">
        <v>132</v>
      </c>
      <c r="U129" s="222">
        <v>21347</v>
      </c>
      <c r="V129" s="732">
        <f>ROUND(T129*U129,0)</f>
        <v>2817804</v>
      </c>
      <c r="W129" s="748"/>
    </row>
    <row r="130" spans="1:23">
      <c r="G130" s="768"/>
      <c r="Q130" s="751"/>
      <c r="R130" s="486" t="s">
        <v>383</v>
      </c>
      <c r="S130" s="735">
        <v>42531</v>
      </c>
      <c r="T130" s="740">
        <v>120</v>
      </c>
      <c r="U130" s="740">
        <v>13500</v>
      </c>
      <c r="V130" s="732">
        <f t="shared" si="28"/>
        <v>1620000</v>
      </c>
      <c r="W130" s="748"/>
    </row>
    <row r="131" spans="1:23">
      <c r="R131" s="762" t="s">
        <v>374</v>
      </c>
      <c r="S131" s="735">
        <v>42531</v>
      </c>
      <c r="T131" s="740">
        <v>7828</v>
      </c>
      <c r="U131" s="740">
        <v>5780.8622078968574</v>
      </c>
      <c r="V131" s="732">
        <f t="shared" si="28"/>
        <v>45252589</v>
      </c>
      <c r="W131" s="748"/>
    </row>
    <row r="132" spans="1:23">
      <c r="R132" s="917" t="s">
        <v>367</v>
      </c>
      <c r="S132" s="735">
        <v>42536</v>
      </c>
      <c r="T132" s="740">
        <v>295214</v>
      </c>
      <c r="U132" s="740">
        <v>346.98655890303303</v>
      </c>
      <c r="V132" s="732">
        <f t="shared" si="28"/>
        <v>102435290</v>
      </c>
      <c r="W132" s="748"/>
    </row>
    <row r="133" spans="1:23">
      <c r="R133" s="917" t="s">
        <v>370</v>
      </c>
      <c r="S133" s="735">
        <v>42536</v>
      </c>
      <c r="T133" s="740">
        <v>6600</v>
      </c>
      <c r="U133" s="740">
        <v>545</v>
      </c>
      <c r="V133" s="732">
        <f t="shared" si="28"/>
        <v>3597000</v>
      </c>
      <c r="W133" s="748"/>
    </row>
    <row r="134" spans="1:23" ht="12.75" customHeight="1">
      <c r="A134" s="1105"/>
      <c r="B134" s="1105"/>
      <c r="C134" s="805"/>
      <c r="D134" s="1105"/>
      <c r="E134" s="1105"/>
      <c r="F134" s="1105"/>
      <c r="G134" s="1117"/>
      <c r="H134" s="1105"/>
      <c r="I134" s="1105"/>
      <c r="J134" s="1105"/>
      <c r="K134" s="1105"/>
      <c r="L134" s="1105"/>
      <c r="M134" s="1105"/>
      <c r="N134" s="1105"/>
      <c r="O134" s="774"/>
      <c r="P134" s="1105"/>
      <c r="Q134" s="712"/>
      <c r="R134" s="917" t="s">
        <v>365</v>
      </c>
      <c r="S134" s="735">
        <v>42536</v>
      </c>
      <c r="T134" s="740">
        <v>12300</v>
      </c>
      <c r="U134" s="740">
        <v>235</v>
      </c>
      <c r="V134" s="732">
        <f t="shared" si="28"/>
        <v>2890500</v>
      </c>
      <c r="W134" s="748"/>
    </row>
    <row r="135" spans="1:23" ht="12.75" customHeight="1">
      <c r="A135" s="1105"/>
      <c r="B135" s="1105"/>
      <c r="C135" s="805"/>
      <c r="D135" s="1105"/>
      <c r="E135" s="1105"/>
      <c r="F135" s="1105"/>
      <c r="G135" s="1105"/>
      <c r="H135" s="1105"/>
      <c r="I135" s="1105"/>
      <c r="J135" s="1105"/>
      <c r="K135" s="1105"/>
      <c r="L135" s="1105"/>
      <c r="M135" s="1105"/>
      <c r="N135" s="1105"/>
      <c r="O135" s="774"/>
      <c r="P135" s="1105"/>
      <c r="Q135" s="712"/>
      <c r="R135" s="706"/>
      <c r="S135" s="713"/>
    </row>
    <row r="136" spans="1:23" ht="18" customHeight="1">
      <c r="A136" s="707" t="s">
        <v>521</v>
      </c>
      <c r="B136" s="707"/>
      <c r="C136" s="806"/>
      <c r="D136" s="709"/>
      <c r="E136" s="709"/>
      <c r="F136" s="709"/>
      <c r="G136" s="706"/>
      <c r="H136" s="706"/>
      <c r="I136" s="706"/>
      <c r="J136" s="706"/>
      <c r="K136" s="706"/>
      <c r="L136" s="710"/>
      <c r="M136" s="706"/>
      <c r="N136" s="706"/>
      <c r="O136" s="711"/>
      <c r="P136" s="706"/>
      <c r="Q136" s="712"/>
      <c r="R136" s="706"/>
      <c r="S136" s="713"/>
      <c r="V136" s="768">
        <f>SUM(V123:V134)</f>
        <v>189641855</v>
      </c>
    </row>
    <row r="137" spans="1:23" ht="18.75" customHeight="1">
      <c r="A137" s="714" t="s">
        <v>544</v>
      </c>
      <c r="B137" s="714"/>
      <c r="C137" s="714"/>
      <c r="D137" s="714"/>
      <c r="E137" s="714"/>
      <c r="F137" s="714"/>
      <c r="G137" s="714"/>
      <c r="H137" s="714"/>
      <c r="I137" s="714"/>
      <c r="J137" s="714"/>
      <c r="K137" s="714"/>
      <c r="L137" s="714"/>
      <c r="M137" s="714"/>
      <c r="N137" s="714"/>
      <c r="O137" s="714"/>
      <c r="P137" s="714"/>
      <c r="Q137" s="712"/>
      <c r="R137" s="706"/>
      <c r="S137" s="713"/>
    </row>
    <row r="138" spans="1:23" ht="18.75" customHeight="1">
      <c r="A138" s="715"/>
      <c r="B138" s="715"/>
      <c r="C138" s="716"/>
      <c r="D138" s="715"/>
      <c r="E138" s="715"/>
      <c r="F138" s="715"/>
      <c r="G138" s="715"/>
      <c r="H138" s="715"/>
      <c r="I138" s="715"/>
      <c r="J138" s="715"/>
      <c r="K138" s="715"/>
      <c r="L138" s="714"/>
      <c r="M138" s="715"/>
      <c r="N138" s="715"/>
      <c r="O138" s="717"/>
      <c r="P138" s="715"/>
      <c r="Q138" s="712"/>
      <c r="R138" s="706"/>
      <c r="S138" s="713"/>
    </row>
    <row r="139" spans="1:23" ht="12.75" customHeight="1">
      <c r="A139" s="718"/>
      <c r="B139" s="718"/>
      <c r="C139" s="719"/>
      <c r="D139" s="718"/>
      <c r="E139" s="718"/>
      <c r="F139" s="718"/>
      <c r="G139" s="718"/>
      <c r="H139" s="718"/>
      <c r="I139" s="718"/>
      <c r="J139" s="718"/>
      <c r="K139" s="718"/>
      <c r="L139" s="718"/>
      <c r="M139" s="718"/>
      <c r="N139" s="718"/>
      <c r="O139" s="720"/>
      <c r="P139" s="718"/>
      <c r="Q139" s="712"/>
      <c r="R139" s="706"/>
      <c r="S139" s="713"/>
    </row>
    <row r="140" spans="1:23" s="729" customFormat="1" ht="30.75" customHeight="1">
      <c r="A140" s="723" t="s">
        <v>35</v>
      </c>
      <c r="B140" s="723" t="s">
        <v>523</v>
      </c>
      <c r="C140" s="724" t="s">
        <v>524</v>
      </c>
      <c r="D140" s="725" t="s">
        <v>525</v>
      </c>
      <c r="E140" s="725" t="s">
        <v>526</v>
      </c>
      <c r="F140" s="725" t="s">
        <v>527</v>
      </c>
      <c r="G140" s="725" t="s">
        <v>528</v>
      </c>
      <c r="H140" s="725" t="s">
        <v>529</v>
      </c>
      <c r="I140" s="725" t="s">
        <v>530</v>
      </c>
      <c r="J140" s="725" t="s">
        <v>531</v>
      </c>
      <c r="K140" s="726" t="s">
        <v>532</v>
      </c>
      <c r="L140" s="725" t="s">
        <v>533</v>
      </c>
      <c r="M140" s="726" t="s">
        <v>534</v>
      </c>
      <c r="N140" s="725" t="s">
        <v>535</v>
      </c>
      <c r="O140" s="727" t="s">
        <v>526</v>
      </c>
      <c r="P140" s="725" t="s">
        <v>536</v>
      </c>
      <c r="Q140" s="728"/>
      <c r="R140" s="723" t="s">
        <v>523</v>
      </c>
      <c r="S140" s="725" t="s">
        <v>490</v>
      </c>
      <c r="T140" s="725" t="s">
        <v>330</v>
      </c>
      <c r="U140" s="725" t="s">
        <v>527</v>
      </c>
      <c r="V140" s="725" t="s">
        <v>537</v>
      </c>
      <c r="W140" s="723" t="s">
        <v>537</v>
      </c>
    </row>
    <row r="141" spans="1:23">
      <c r="A141" s="730">
        <f>IF(B141&lt;&gt;"",ROW()-(ROW()-1),"")</f>
        <v>1</v>
      </c>
      <c r="B141" s="742" t="s">
        <v>443</v>
      </c>
      <c r="C141" s="731">
        <v>8</v>
      </c>
      <c r="D141" s="583">
        <f t="shared" ref="D141:D149" si="29">ROUND(C141*O141,0)</f>
        <v>38400</v>
      </c>
      <c r="E141" s="583"/>
      <c r="F141" s="583">
        <v>18500</v>
      </c>
      <c r="G141" s="732">
        <f>D141*F141</f>
        <v>710400000</v>
      </c>
      <c r="H141" s="583">
        <f t="shared" ref="H141:H149" si="30">IF($D$150&lt;&gt;0,H$150/($D$150+$E$150/5)*($D141+$E141/5),0)</f>
        <v>18596705.482362941</v>
      </c>
      <c r="I141" s="583">
        <f t="shared" ref="I141:K143" si="31">IF($D$150&lt;&gt;0,I$150/$D$150*$D141,0)</f>
        <v>3247513.336166596</v>
      </c>
      <c r="J141" s="583">
        <f t="shared" si="31"/>
        <v>13222259.515512113</v>
      </c>
      <c r="K141" s="583">
        <f t="shared" si="31"/>
        <v>12131370.879728006</v>
      </c>
      <c r="L141" s="732">
        <f>V151+V152</f>
        <v>37002000</v>
      </c>
      <c r="M141" s="583"/>
      <c r="N141" s="732">
        <f t="shared" ref="N141:N149" si="32">ROUND(SUM(G141:M141),0)</f>
        <v>794599849</v>
      </c>
      <c r="O141" s="583">
        <v>4800</v>
      </c>
      <c r="P141" s="583">
        <f t="shared" ref="P141:P149" si="33">IF(N141&lt;&gt;0,N141/O141,0)</f>
        <v>165541.63520833335</v>
      </c>
      <c r="Q141" s="751"/>
      <c r="R141" s="474" t="s">
        <v>332</v>
      </c>
      <c r="S141" s="798">
        <v>42552</v>
      </c>
      <c r="T141" s="222">
        <v>10</v>
      </c>
      <c r="U141" s="736">
        <v>35444.444444444445</v>
      </c>
      <c r="V141" s="732">
        <f t="shared" ref="V141:V148" si="34">ROUND(T141*U141,0)</f>
        <v>354444</v>
      </c>
      <c r="W141" s="732"/>
    </row>
    <row r="142" spans="1:23">
      <c r="A142" s="730">
        <f t="shared" ref="A142:A148" si="35">IF(B142&lt;&gt;"",A141+1,"")</f>
        <v>2</v>
      </c>
      <c r="B142" s="479" t="s">
        <v>1771</v>
      </c>
      <c r="C142" s="731">
        <v>9</v>
      </c>
      <c r="D142" s="583">
        <f t="shared" si="29"/>
        <v>20430</v>
      </c>
      <c r="E142" s="583"/>
      <c r="F142" s="1253">
        <v>25000</v>
      </c>
      <c r="G142" s="732">
        <f>D142*F142</f>
        <v>510750000</v>
      </c>
      <c r="H142" s="583">
        <f t="shared" si="30"/>
        <v>9894028.4636634085</v>
      </c>
      <c r="I142" s="583">
        <f t="shared" si="31"/>
        <v>1727778.5796323842</v>
      </c>
      <c r="J142" s="583">
        <f t="shared" si="31"/>
        <v>7034655.2578623043</v>
      </c>
      <c r="K142" s="583">
        <f t="shared" si="31"/>
        <v>6454268.4133552909</v>
      </c>
      <c r="L142" s="583">
        <f>V153</f>
        <v>3813600</v>
      </c>
      <c r="M142" s="583"/>
      <c r="N142" s="732">
        <f t="shared" si="32"/>
        <v>539674331</v>
      </c>
      <c r="O142" s="738">
        <v>2270</v>
      </c>
      <c r="P142" s="583">
        <f t="shared" si="33"/>
        <v>237741.99603524228</v>
      </c>
      <c r="Q142" s="751"/>
      <c r="R142" s="479" t="s">
        <v>338</v>
      </c>
      <c r="S142" s="798">
        <v>42552</v>
      </c>
      <c r="T142" s="222">
        <v>20</v>
      </c>
      <c r="U142" s="740">
        <v>46741.2</v>
      </c>
      <c r="V142" s="732">
        <f t="shared" si="34"/>
        <v>934824</v>
      </c>
      <c r="W142" s="748"/>
    </row>
    <row r="143" spans="1:23">
      <c r="A143" s="730">
        <f t="shared" si="35"/>
        <v>3</v>
      </c>
      <c r="B143" s="742" t="s">
        <v>1658</v>
      </c>
      <c r="C143" s="731">
        <v>1</v>
      </c>
      <c r="D143" s="583">
        <f t="shared" si="29"/>
        <v>900</v>
      </c>
      <c r="E143" s="583"/>
      <c r="F143" s="583">
        <v>11165</v>
      </c>
      <c r="G143" s="732">
        <f>D143*F143</f>
        <v>10048500</v>
      </c>
      <c r="H143" s="583">
        <f t="shared" si="30"/>
        <v>435860.28474288143</v>
      </c>
      <c r="I143" s="583">
        <f t="shared" si="31"/>
        <v>76113.593816404595</v>
      </c>
      <c r="J143" s="583">
        <f t="shared" si="31"/>
        <v>309896.70739481517</v>
      </c>
      <c r="K143" s="583">
        <f t="shared" si="31"/>
        <v>284329.00499362516</v>
      </c>
      <c r="L143" s="583">
        <f>V154</f>
        <v>300000</v>
      </c>
      <c r="M143" s="583"/>
      <c r="N143" s="732">
        <f t="shared" si="32"/>
        <v>11454700</v>
      </c>
      <c r="O143" s="738">
        <v>900</v>
      </c>
      <c r="P143" s="583">
        <f t="shared" si="33"/>
        <v>12727.444444444445</v>
      </c>
      <c r="Q143" s="751"/>
      <c r="R143" s="479" t="s">
        <v>341</v>
      </c>
      <c r="S143" s="798">
        <v>42552</v>
      </c>
      <c r="T143" s="222">
        <v>250</v>
      </c>
      <c r="U143" s="740">
        <v>14523.81</v>
      </c>
      <c r="V143" s="732">
        <f t="shared" si="34"/>
        <v>3630953</v>
      </c>
      <c r="W143" s="748"/>
    </row>
    <row r="144" spans="1:23">
      <c r="A144" s="730">
        <f t="shared" si="35"/>
        <v>4</v>
      </c>
      <c r="B144" s="474" t="s">
        <v>1503</v>
      </c>
      <c r="C144" s="731">
        <v>8.5</v>
      </c>
      <c r="D144" s="583">
        <f t="shared" si="29"/>
        <v>14960</v>
      </c>
      <c r="E144" s="583"/>
      <c r="F144" s="583">
        <v>18500</v>
      </c>
      <c r="G144" s="732">
        <f>(D144+E144)*F144</f>
        <v>276760000</v>
      </c>
      <c r="H144" s="583">
        <f t="shared" si="30"/>
        <v>7244966.510837229</v>
      </c>
      <c r="I144" s="583">
        <f t="shared" ref="I144:K148" si="36">IF($D$150&lt;&gt;0,I$150/$D$150*$D144,0)</f>
        <v>1265177.0705482364</v>
      </c>
      <c r="J144" s="583">
        <f t="shared" si="36"/>
        <v>5151171.9362515938</v>
      </c>
      <c r="K144" s="583">
        <f t="shared" si="36"/>
        <v>4726179.9052273696</v>
      </c>
      <c r="L144" s="732">
        <f>V155+V156</f>
        <v>4896000</v>
      </c>
      <c r="M144" s="583"/>
      <c r="N144" s="732">
        <f t="shared" si="32"/>
        <v>300043495</v>
      </c>
      <c r="O144" s="583">
        <v>1760</v>
      </c>
      <c r="P144" s="583">
        <f t="shared" si="33"/>
        <v>170479.25852272726</v>
      </c>
      <c r="Q144" s="751"/>
      <c r="R144" s="479" t="s">
        <v>346</v>
      </c>
      <c r="S144" s="798">
        <v>42552</v>
      </c>
      <c r="T144" s="762">
        <v>500</v>
      </c>
      <c r="U144" s="740">
        <v>3200</v>
      </c>
      <c r="V144" s="732">
        <f t="shared" si="34"/>
        <v>1600000</v>
      </c>
      <c r="W144" s="748"/>
    </row>
    <row r="145" spans="1:23">
      <c r="A145" s="730">
        <f t="shared" si="35"/>
        <v>5</v>
      </c>
      <c r="B145" s="804" t="s">
        <v>441</v>
      </c>
      <c r="C145" s="731">
        <v>13.5</v>
      </c>
      <c r="D145" s="583">
        <f t="shared" si="29"/>
        <v>22950</v>
      </c>
      <c r="E145" s="583"/>
      <c r="F145" s="583">
        <v>16000</v>
      </c>
      <c r="G145" s="732">
        <f>(D145+E145)*F145</f>
        <v>367200000</v>
      </c>
      <c r="H145" s="583">
        <f t="shared" si="30"/>
        <v>11114437.260943476</v>
      </c>
      <c r="I145" s="583">
        <f t="shared" si="36"/>
        <v>1940896.6423183172</v>
      </c>
      <c r="J145" s="583">
        <f t="shared" si="36"/>
        <v>7902366.0385677861</v>
      </c>
      <c r="K145" s="583">
        <f t="shared" si="36"/>
        <v>7250389.6273374418</v>
      </c>
      <c r="L145" s="732">
        <f>V159</f>
        <v>2592000</v>
      </c>
      <c r="M145" s="583"/>
      <c r="N145" s="732">
        <f t="shared" si="32"/>
        <v>398000090</v>
      </c>
      <c r="O145" s="583">
        <v>1700</v>
      </c>
      <c r="P145" s="583">
        <f t="shared" si="33"/>
        <v>234117.7</v>
      </c>
      <c r="Q145" s="751"/>
      <c r="R145" s="482" t="s">
        <v>349</v>
      </c>
      <c r="S145" s="798">
        <v>42552</v>
      </c>
      <c r="T145" s="222">
        <v>270</v>
      </c>
      <c r="U145" s="740">
        <v>14728</v>
      </c>
      <c r="V145" s="732">
        <f t="shared" si="34"/>
        <v>3976560</v>
      </c>
      <c r="W145" s="748"/>
    </row>
    <row r="146" spans="1:23">
      <c r="A146" s="730">
        <f t="shared" si="35"/>
        <v>6</v>
      </c>
      <c r="B146" s="67" t="s">
        <v>1501</v>
      </c>
      <c r="C146" s="731">
        <v>5</v>
      </c>
      <c r="D146" s="583">
        <f t="shared" si="29"/>
        <v>5450</v>
      </c>
      <c r="E146" s="583"/>
      <c r="F146" s="1271">
        <v>26000</v>
      </c>
      <c r="G146" s="732">
        <f>(D146+E146)*F146</f>
        <v>141700000</v>
      </c>
      <c r="H146" s="583">
        <f t="shared" si="30"/>
        <v>2639376.1687207818</v>
      </c>
      <c r="I146" s="583">
        <f t="shared" si="36"/>
        <v>460910.09588822781</v>
      </c>
      <c r="J146" s="583">
        <f t="shared" si="36"/>
        <v>1876596.7281130473</v>
      </c>
      <c r="K146" s="583">
        <f t="shared" si="36"/>
        <v>1721770.0857947301</v>
      </c>
      <c r="L146" s="732">
        <f>V157</f>
        <v>3029000</v>
      </c>
      <c r="M146" s="583"/>
      <c r="N146" s="732">
        <f t="shared" si="32"/>
        <v>151427653</v>
      </c>
      <c r="O146" s="583">
        <v>1090</v>
      </c>
      <c r="P146" s="583">
        <f t="shared" si="33"/>
        <v>138924.45229357798</v>
      </c>
      <c r="Q146" s="751"/>
      <c r="R146" s="482" t="s">
        <v>1389</v>
      </c>
      <c r="S146" s="798">
        <v>42552</v>
      </c>
      <c r="T146" s="222">
        <v>100</v>
      </c>
      <c r="U146" s="740">
        <v>12728</v>
      </c>
      <c r="V146" s="732">
        <f t="shared" si="34"/>
        <v>1272800</v>
      </c>
      <c r="W146" s="748"/>
    </row>
    <row r="147" spans="1:23" s="707" customFormat="1">
      <c r="A147" s="730">
        <f t="shared" si="35"/>
        <v>7</v>
      </c>
      <c r="B147" s="742" t="s">
        <v>1930</v>
      </c>
      <c r="C147" s="731">
        <v>5</v>
      </c>
      <c r="D147" s="583">
        <f t="shared" si="29"/>
        <v>1950</v>
      </c>
      <c r="E147" s="583"/>
      <c r="F147" s="1271">
        <v>34500</v>
      </c>
      <c r="G147" s="732">
        <f>(D147+E147)*F147</f>
        <v>67275000</v>
      </c>
      <c r="H147" s="583">
        <f t="shared" si="30"/>
        <v>944363.95027624315</v>
      </c>
      <c r="I147" s="583">
        <f t="shared" si="36"/>
        <v>164912.78660220996</v>
      </c>
      <c r="J147" s="583">
        <f t="shared" si="36"/>
        <v>671442.86602209951</v>
      </c>
      <c r="K147" s="583">
        <f t="shared" si="36"/>
        <v>616046.17748618778</v>
      </c>
      <c r="L147" s="732">
        <f>V158</f>
        <v>650000</v>
      </c>
      <c r="M147" s="583"/>
      <c r="N147" s="732">
        <f t="shared" si="32"/>
        <v>70321766</v>
      </c>
      <c r="O147" s="583">
        <v>390</v>
      </c>
      <c r="P147" s="583">
        <f t="shared" si="33"/>
        <v>180312.22051282052</v>
      </c>
      <c r="Q147" s="751"/>
      <c r="R147" s="482" t="s">
        <v>352</v>
      </c>
      <c r="S147" s="798">
        <v>42556</v>
      </c>
      <c r="T147" s="762">
        <v>100</v>
      </c>
      <c r="U147" s="740">
        <v>8500</v>
      </c>
      <c r="V147" s="732">
        <f t="shared" si="34"/>
        <v>850000</v>
      </c>
      <c r="W147" s="748"/>
    </row>
    <row r="148" spans="1:23">
      <c r="A148" s="730">
        <f t="shared" si="35"/>
        <v>8</v>
      </c>
      <c r="B148" s="742" t="s">
        <v>455</v>
      </c>
      <c r="C148" s="731">
        <v>3.2</v>
      </c>
      <c r="D148" s="583">
        <f t="shared" si="29"/>
        <v>83200</v>
      </c>
      <c r="E148" s="583"/>
      <c r="F148" s="583">
        <v>18000</v>
      </c>
      <c r="G148" s="732">
        <f>(D148+E148)*F148</f>
        <v>1497600000</v>
      </c>
      <c r="H148" s="583">
        <f t="shared" si="30"/>
        <v>40292861.878453039</v>
      </c>
      <c r="I148" s="583">
        <f t="shared" si="36"/>
        <v>7036278.8950276244</v>
      </c>
      <c r="J148" s="583">
        <f t="shared" si="36"/>
        <v>28648228.950276244</v>
      </c>
      <c r="K148" s="583">
        <f t="shared" si="36"/>
        <v>26284636.906077348</v>
      </c>
      <c r="L148" s="732">
        <f>V160</f>
        <v>25096265</v>
      </c>
      <c r="M148" s="583"/>
      <c r="N148" s="732">
        <f t="shared" si="32"/>
        <v>1624958272</v>
      </c>
      <c r="O148" s="583">
        <v>26000</v>
      </c>
      <c r="P148" s="583">
        <f t="shared" si="33"/>
        <v>62498.39507692308</v>
      </c>
      <c r="Q148" s="751"/>
      <c r="R148" s="482" t="s">
        <v>356</v>
      </c>
      <c r="S148" s="798">
        <v>42556</v>
      </c>
      <c r="T148" s="762">
        <v>100</v>
      </c>
      <c r="U148" s="740">
        <v>33000</v>
      </c>
      <c r="V148" s="732">
        <f t="shared" si="34"/>
        <v>3300000</v>
      </c>
      <c r="W148" s="748"/>
    </row>
    <row r="149" spans="1:23">
      <c r="A149" s="730" t="str">
        <f>IF(B149&lt;&gt;"",#REF!+1,"")</f>
        <v/>
      </c>
      <c r="B149" s="742"/>
      <c r="C149" s="731"/>
      <c r="D149" s="583">
        <f t="shared" si="29"/>
        <v>0</v>
      </c>
      <c r="E149" s="583"/>
      <c r="F149" s="583"/>
      <c r="G149" s="732">
        <f>D149*F149</f>
        <v>0</v>
      </c>
      <c r="H149" s="583">
        <f t="shared" si="30"/>
        <v>0</v>
      </c>
      <c r="I149" s="583">
        <f>IF($D$150&lt;&gt;0,I$150/$D$150*$D149,0)</f>
        <v>0</v>
      </c>
      <c r="J149" s="583">
        <f>IF($D$150&lt;&gt;0,J$150/$D$150*$D149,0)</f>
        <v>0</v>
      </c>
      <c r="K149" s="583">
        <f>IF($D$150&lt;&gt;0,K$150/$D$150*$D149,0)</f>
        <v>0</v>
      </c>
      <c r="L149" s="583"/>
      <c r="M149" s="583"/>
      <c r="N149" s="732">
        <f t="shared" si="32"/>
        <v>0</v>
      </c>
      <c r="O149" s="738"/>
      <c r="P149" s="583">
        <f t="shared" si="33"/>
        <v>0</v>
      </c>
      <c r="Q149" s="751"/>
      <c r="R149" s="479"/>
      <c r="S149" s="735"/>
      <c r="T149" s="222"/>
      <c r="U149" s="222"/>
      <c r="V149" s="748"/>
      <c r="W149" s="748"/>
    </row>
    <row r="150" spans="1:23">
      <c r="A150" s="753"/>
      <c r="B150" s="754" t="s">
        <v>538</v>
      </c>
      <c r="C150" s="755"/>
      <c r="D150" s="756">
        <f>SUM(D141:D149)</f>
        <v>188240</v>
      </c>
      <c r="E150" s="756"/>
      <c r="F150" s="756"/>
      <c r="G150" s="756">
        <f>SUM(G141:G149)</f>
        <v>3581733500</v>
      </c>
      <c r="H150" s="757">
        <v>91162600</v>
      </c>
      <c r="I150" s="757">
        <f>V150</f>
        <v>15919581</v>
      </c>
      <c r="J150" s="757">
        <v>64816618</v>
      </c>
      <c r="K150" s="757">
        <v>59468991</v>
      </c>
      <c r="L150" s="756">
        <f>ROUND(SUM(L141:L149),0)</f>
        <v>77378865</v>
      </c>
      <c r="M150" s="756">
        <f>ROUND(SUM(M141:M149),0)</f>
        <v>0</v>
      </c>
      <c r="N150" s="756">
        <f>ROUND(SUM(N141:N149),0)</f>
        <v>3890480156</v>
      </c>
      <c r="O150" s="756">
        <f>ROUND(SUM(O141:O149),0)</f>
        <v>38910</v>
      </c>
      <c r="P150" s="756"/>
      <c r="R150" s="785"/>
      <c r="S150" s="786"/>
      <c r="T150" s="787"/>
      <c r="U150" s="803"/>
      <c r="V150" s="756">
        <f>SUM(V141:V149)</f>
        <v>15919581</v>
      </c>
      <c r="W150" s="766">
        <f>SUM(W141:W149)</f>
        <v>0</v>
      </c>
    </row>
    <row r="151" spans="1:23">
      <c r="R151" s="762" t="s">
        <v>394</v>
      </c>
      <c r="S151" s="798">
        <v>42556</v>
      </c>
      <c r="T151" s="222">
        <v>600</v>
      </c>
      <c r="U151" s="222">
        <v>18200</v>
      </c>
      <c r="V151" s="732">
        <f t="shared" ref="V151:V161" si="37">ROUND(T151*U151,0)</f>
        <v>10920000</v>
      </c>
      <c r="W151" s="732"/>
    </row>
    <row r="152" spans="1:23">
      <c r="N152" s="1135"/>
      <c r="R152" s="762" t="s">
        <v>638</v>
      </c>
      <c r="S152" s="798">
        <v>42556</v>
      </c>
      <c r="T152" s="740">
        <v>2268</v>
      </c>
      <c r="U152" s="740">
        <v>11500</v>
      </c>
      <c r="V152" s="732">
        <f t="shared" si="37"/>
        <v>26082000</v>
      </c>
      <c r="W152" s="748"/>
    </row>
    <row r="153" spans="1:23">
      <c r="H153" s="768"/>
      <c r="R153" s="739" t="s">
        <v>380</v>
      </c>
      <c r="S153" s="798">
        <v>42562</v>
      </c>
      <c r="T153" s="740">
        <v>227</v>
      </c>
      <c r="U153" s="740">
        <v>16800</v>
      </c>
      <c r="V153" s="732">
        <f t="shared" si="37"/>
        <v>3813600</v>
      </c>
      <c r="W153" s="748"/>
    </row>
    <row r="154" spans="1:23">
      <c r="R154" s="739" t="s">
        <v>380</v>
      </c>
      <c r="S154" s="798">
        <v>42576</v>
      </c>
      <c r="T154" s="740">
        <v>60</v>
      </c>
      <c r="U154" s="740">
        <v>5000</v>
      </c>
      <c r="V154" s="732">
        <f t="shared" si="37"/>
        <v>300000</v>
      </c>
      <c r="W154" s="748"/>
    </row>
    <row r="155" spans="1:23">
      <c r="R155" s="788" t="s">
        <v>1611</v>
      </c>
      <c r="S155" s="798">
        <v>42578</v>
      </c>
      <c r="T155" s="222">
        <v>240</v>
      </c>
      <c r="U155" s="222">
        <v>2400</v>
      </c>
      <c r="V155" s="732">
        <f t="shared" si="37"/>
        <v>576000</v>
      </c>
      <c r="W155" s="748"/>
    </row>
    <row r="156" spans="1:23">
      <c r="R156" s="739" t="s">
        <v>387</v>
      </c>
      <c r="S156" s="798">
        <v>42578</v>
      </c>
      <c r="T156" s="740">
        <v>240</v>
      </c>
      <c r="U156" s="740">
        <v>18000</v>
      </c>
      <c r="V156" s="732">
        <f t="shared" si="37"/>
        <v>4320000</v>
      </c>
      <c r="W156" s="748"/>
    </row>
    <row r="157" spans="1:23">
      <c r="R157" s="308" t="s">
        <v>1492</v>
      </c>
      <c r="S157" s="798">
        <v>42578</v>
      </c>
      <c r="T157" s="740">
        <v>233</v>
      </c>
      <c r="U157" s="740">
        <v>13000</v>
      </c>
      <c r="V157" s="732">
        <f t="shared" si="37"/>
        <v>3029000</v>
      </c>
      <c r="W157" s="748"/>
    </row>
    <row r="158" spans="1:23">
      <c r="R158" s="308" t="s">
        <v>1492</v>
      </c>
      <c r="S158" s="798">
        <v>42578</v>
      </c>
      <c r="T158" s="740">
        <v>50</v>
      </c>
      <c r="U158" s="740">
        <v>13000</v>
      </c>
      <c r="V158" s="732">
        <f t="shared" si="37"/>
        <v>650000</v>
      </c>
      <c r="W158" s="748"/>
    </row>
    <row r="159" spans="1:23">
      <c r="R159" s="486" t="s">
        <v>383</v>
      </c>
      <c r="S159" s="798">
        <v>42578</v>
      </c>
      <c r="T159" s="740">
        <v>192</v>
      </c>
      <c r="U159" s="740">
        <v>13500</v>
      </c>
      <c r="V159" s="732">
        <f t="shared" si="37"/>
        <v>2592000</v>
      </c>
      <c r="W159" s="748"/>
    </row>
    <row r="160" spans="1:23">
      <c r="R160" s="486" t="s">
        <v>377</v>
      </c>
      <c r="S160" s="798">
        <v>42578</v>
      </c>
      <c r="T160" s="740">
        <v>5619</v>
      </c>
      <c r="U160" s="740">
        <v>4466.322284402353</v>
      </c>
      <c r="V160" s="732">
        <f t="shared" si="37"/>
        <v>25096265</v>
      </c>
      <c r="W160" s="748"/>
    </row>
    <row r="161" spans="1:23">
      <c r="R161" s="739"/>
      <c r="S161" s="798"/>
      <c r="T161" s="740"/>
      <c r="U161" s="740"/>
      <c r="V161" s="732">
        <f t="shared" si="37"/>
        <v>0</v>
      </c>
      <c r="W161" s="748"/>
    </row>
    <row r="162" spans="1:23">
      <c r="R162" s="739"/>
      <c r="S162" s="798"/>
      <c r="T162" s="740"/>
      <c r="U162" s="740"/>
      <c r="V162" s="732"/>
      <c r="W162" s="748"/>
    </row>
    <row r="163" spans="1:23">
      <c r="R163" s="762"/>
      <c r="S163" s="735"/>
      <c r="T163" s="740"/>
      <c r="U163" s="740"/>
      <c r="V163" s="732">
        <f>SUM(V151:V160)</f>
        <v>77378865</v>
      </c>
      <c r="W163" s="748"/>
    </row>
    <row r="164" spans="1:23" ht="16.5" customHeight="1">
      <c r="A164" s="707" t="s">
        <v>521</v>
      </c>
      <c r="B164" s="707"/>
      <c r="C164" s="708"/>
      <c r="D164" s="709"/>
      <c r="E164" s="709"/>
      <c r="F164" s="709"/>
      <c r="G164" s="706"/>
      <c r="H164" s="706"/>
      <c r="I164" s="706"/>
      <c r="J164" s="706"/>
      <c r="K164" s="706"/>
      <c r="L164" s="710"/>
      <c r="M164" s="706"/>
      <c r="N164" s="706"/>
      <c r="O164" s="711"/>
      <c r="P164" s="706"/>
      <c r="R164" s="706"/>
      <c r="S164" s="713"/>
    </row>
    <row r="165" spans="1:23" ht="16.5" customHeight="1">
      <c r="A165" s="714" t="s">
        <v>545</v>
      </c>
      <c r="B165" s="714"/>
      <c r="C165" s="714"/>
      <c r="D165" s="714"/>
      <c r="E165" s="714"/>
      <c r="F165" s="714"/>
      <c r="G165" s="714"/>
      <c r="H165" s="714"/>
      <c r="I165" s="714"/>
      <c r="J165" s="714"/>
      <c r="K165" s="714"/>
      <c r="L165" s="714"/>
      <c r="M165" s="714"/>
      <c r="N165" s="714"/>
      <c r="O165" s="714"/>
      <c r="P165" s="714"/>
      <c r="Q165" s="712"/>
      <c r="R165" s="706"/>
      <c r="S165" s="713"/>
    </row>
    <row r="166" spans="1:23" ht="11.25" customHeight="1">
      <c r="A166" s="715"/>
      <c r="B166" s="715"/>
      <c r="C166" s="716"/>
      <c r="D166" s="715"/>
      <c r="E166" s="715"/>
      <c r="F166" s="715"/>
      <c r="G166" s="715"/>
      <c r="H166" s="715"/>
      <c r="I166" s="715"/>
      <c r="J166" s="715"/>
      <c r="K166" s="715"/>
      <c r="L166" s="714"/>
      <c r="M166" s="715"/>
      <c r="N166" s="715"/>
      <c r="O166" s="717"/>
      <c r="P166" s="715"/>
      <c r="Q166" s="712"/>
      <c r="R166" s="706"/>
      <c r="S166" s="713"/>
    </row>
    <row r="167" spans="1:23" ht="11.25" customHeight="1">
      <c r="A167" s="718"/>
      <c r="B167" s="718"/>
      <c r="C167" s="719"/>
      <c r="D167" s="718"/>
      <c r="E167" s="718"/>
      <c r="F167" s="718"/>
      <c r="G167" s="718"/>
      <c r="H167" s="718"/>
      <c r="I167" s="718"/>
      <c r="J167" s="718"/>
      <c r="K167" s="718"/>
      <c r="L167" s="718"/>
      <c r="M167" s="718"/>
      <c r="N167" s="718"/>
      <c r="O167" s="720"/>
      <c r="P167" s="718"/>
      <c r="Q167" s="712"/>
      <c r="R167" s="706"/>
      <c r="S167" s="713"/>
    </row>
    <row r="168" spans="1:23" ht="28.5" customHeight="1">
      <c r="A168" s="723" t="s">
        <v>35</v>
      </c>
      <c r="B168" s="723" t="s">
        <v>523</v>
      </c>
      <c r="C168" s="724" t="s">
        <v>524</v>
      </c>
      <c r="D168" s="725" t="s">
        <v>525</v>
      </c>
      <c r="E168" s="725" t="s">
        <v>526</v>
      </c>
      <c r="F168" s="725" t="s">
        <v>527</v>
      </c>
      <c r="G168" s="725" t="s">
        <v>528</v>
      </c>
      <c r="H168" s="725" t="s">
        <v>529</v>
      </c>
      <c r="I168" s="725" t="s">
        <v>530</v>
      </c>
      <c r="J168" s="725" t="s">
        <v>531</v>
      </c>
      <c r="K168" s="726" t="s">
        <v>532</v>
      </c>
      <c r="L168" s="725" t="s">
        <v>533</v>
      </c>
      <c r="M168" s="726" t="s">
        <v>534</v>
      </c>
      <c r="N168" s="725" t="s">
        <v>535</v>
      </c>
      <c r="O168" s="727" t="s">
        <v>526</v>
      </c>
      <c r="P168" s="725" t="s">
        <v>536</v>
      </c>
      <c r="Q168" s="712"/>
      <c r="R168" s="723" t="s">
        <v>523</v>
      </c>
      <c r="S168" s="725" t="s">
        <v>490</v>
      </c>
      <c r="T168" s="725" t="s">
        <v>330</v>
      </c>
      <c r="U168" s="725" t="s">
        <v>527</v>
      </c>
      <c r="V168" s="725" t="s">
        <v>537</v>
      </c>
      <c r="W168" s="723" t="s">
        <v>537</v>
      </c>
    </row>
    <row r="169" spans="1:23" s="729" customFormat="1" ht="12" customHeight="1">
      <c r="A169" s="730">
        <f>IF(B169&lt;&gt;"",ROW()-(ROW()-1),"")</f>
        <v>1</v>
      </c>
      <c r="B169" s="742" t="s">
        <v>455</v>
      </c>
      <c r="C169" s="731">
        <v>3.2</v>
      </c>
      <c r="D169" s="583">
        <f t="shared" ref="D169:D174" si="38">ROUND(C169*O169,0)</f>
        <v>83200</v>
      </c>
      <c r="E169" s="583"/>
      <c r="F169" s="1253">
        <v>18000</v>
      </c>
      <c r="G169" s="732">
        <f t="shared" ref="G169:G174" si="39">(D169+E169)*F169</f>
        <v>1497600000</v>
      </c>
      <c r="H169" s="583">
        <f t="shared" ref="H169:H174" si="40">IF($D$176&lt;&gt;0,H$176/($D$176+$E$176/5)*($D169+$E169/5),0)</f>
        <v>43362105.732255161</v>
      </c>
      <c r="I169" s="583">
        <f t="shared" ref="I169:K174" si="41">IF($D$176&lt;&gt;0,I$176/($D$176+$E$176/5)*($D169+$E169/5),0)</f>
        <v>34398436.743935309</v>
      </c>
      <c r="J169" s="583">
        <f t="shared" si="41"/>
        <v>44649893.223120697</v>
      </c>
      <c r="K169" s="583">
        <f t="shared" si="41"/>
        <v>29636538.192273136</v>
      </c>
      <c r="L169" s="732">
        <f t="shared" ref="L169:L174" si="42">V179</f>
        <v>25096265</v>
      </c>
      <c r="M169" s="583"/>
      <c r="N169" s="732">
        <f t="shared" ref="N169:N174" si="43">ROUND(SUM(G169:M169),0)</f>
        <v>1674743239</v>
      </c>
      <c r="O169" s="583">
        <v>26000</v>
      </c>
      <c r="P169" s="583">
        <f t="shared" ref="P169:P174" si="44">IF(N169&lt;&gt;0,N169/O169,0)</f>
        <v>64413.201500000003</v>
      </c>
      <c r="Q169" s="728"/>
      <c r="R169" s="474" t="s">
        <v>332</v>
      </c>
      <c r="S169" s="798">
        <v>42583</v>
      </c>
      <c r="T169" s="222">
        <v>25</v>
      </c>
      <c r="U169" s="736">
        <v>35444.444444444445</v>
      </c>
      <c r="V169" s="732">
        <f t="shared" ref="V169:V176" si="45">ROUND(T169*U169,0)</f>
        <v>886111</v>
      </c>
      <c r="W169" s="732"/>
    </row>
    <row r="170" spans="1:23" s="729" customFormat="1" ht="12" customHeight="1">
      <c r="A170" s="730">
        <f>IF(B170&lt;&gt;"",A169+1,"")</f>
        <v>2</v>
      </c>
      <c r="B170" s="742" t="s">
        <v>1889</v>
      </c>
      <c r="C170" s="731">
        <v>7</v>
      </c>
      <c r="D170" s="583">
        <f t="shared" si="38"/>
        <v>70000</v>
      </c>
      <c r="E170" s="583"/>
      <c r="F170" s="1253">
        <v>19000</v>
      </c>
      <c r="G170" s="732">
        <f t="shared" si="39"/>
        <v>1330000000</v>
      </c>
      <c r="H170" s="583">
        <f t="shared" si="40"/>
        <v>36482540.88050314</v>
      </c>
      <c r="I170" s="583">
        <f t="shared" si="41"/>
        <v>28940992.452830188</v>
      </c>
      <c r="J170" s="583">
        <f t="shared" si="41"/>
        <v>37566015.932914048</v>
      </c>
      <c r="K170" s="583">
        <f t="shared" si="41"/>
        <v>24934587.421383645</v>
      </c>
      <c r="L170" s="732">
        <f t="shared" si="42"/>
        <v>15135000</v>
      </c>
      <c r="M170" s="583"/>
      <c r="N170" s="732">
        <f t="shared" si="43"/>
        <v>1473059137</v>
      </c>
      <c r="O170" s="583">
        <v>10000</v>
      </c>
      <c r="P170" s="583">
        <f t="shared" si="44"/>
        <v>147305.9137</v>
      </c>
      <c r="Q170" s="728"/>
      <c r="R170" s="479" t="s">
        <v>338</v>
      </c>
      <c r="S170" s="798">
        <v>42583</v>
      </c>
      <c r="T170" s="222">
        <v>60</v>
      </c>
      <c r="U170" s="740">
        <v>46741.2</v>
      </c>
      <c r="V170" s="732">
        <f t="shared" si="45"/>
        <v>2804472</v>
      </c>
      <c r="W170" s="732"/>
    </row>
    <row r="171" spans="1:23" s="729" customFormat="1" ht="12" customHeight="1">
      <c r="A171" s="730">
        <f>IF(B171&lt;&gt;"",A170+1,"")</f>
        <v>3</v>
      </c>
      <c r="B171" s="742" t="s">
        <v>1892</v>
      </c>
      <c r="C171" s="731">
        <v>1</v>
      </c>
      <c r="D171" s="583">
        <f t="shared" si="38"/>
        <v>8100</v>
      </c>
      <c r="E171" s="583"/>
      <c r="F171" s="583">
        <v>11165</v>
      </c>
      <c r="G171" s="732">
        <f t="shared" si="39"/>
        <v>90436500</v>
      </c>
      <c r="H171" s="583">
        <f t="shared" si="40"/>
        <v>4221551.1590296496</v>
      </c>
      <c r="I171" s="583">
        <f t="shared" si="41"/>
        <v>3348886.2695417786</v>
      </c>
      <c r="J171" s="583">
        <f t="shared" si="41"/>
        <v>4346924.7008086257</v>
      </c>
      <c r="K171" s="583">
        <f t="shared" si="41"/>
        <v>2885287.9730458222</v>
      </c>
      <c r="L171" s="732">
        <f t="shared" si="42"/>
        <v>2700000</v>
      </c>
      <c r="M171" s="583"/>
      <c r="N171" s="732">
        <f t="shared" si="43"/>
        <v>107939150</v>
      </c>
      <c r="O171" s="583">
        <v>8100</v>
      </c>
      <c r="P171" s="583">
        <f t="shared" si="44"/>
        <v>13325.820987654321</v>
      </c>
      <c r="Q171" s="728"/>
      <c r="R171" s="479" t="s">
        <v>341</v>
      </c>
      <c r="S171" s="798">
        <v>42583</v>
      </c>
      <c r="T171" s="222">
        <v>400</v>
      </c>
      <c r="U171" s="740">
        <v>14523.81</v>
      </c>
      <c r="V171" s="732">
        <f t="shared" si="45"/>
        <v>5809524</v>
      </c>
      <c r="W171" s="732"/>
    </row>
    <row r="172" spans="1:23" s="729" customFormat="1" ht="12" customHeight="1">
      <c r="A172" s="730">
        <f>IF(B172&lt;&gt;"",A171+1,"")</f>
        <v>4</v>
      </c>
      <c r="B172" s="742" t="s">
        <v>1893</v>
      </c>
      <c r="C172" s="731">
        <v>1</v>
      </c>
      <c r="D172" s="583">
        <f t="shared" si="38"/>
        <v>3150</v>
      </c>
      <c r="E172" s="583"/>
      <c r="F172" s="583">
        <v>11165</v>
      </c>
      <c r="G172" s="732">
        <f t="shared" si="39"/>
        <v>35169750</v>
      </c>
      <c r="H172" s="583">
        <f t="shared" si="40"/>
        <v>1641714.3396226414</v>
      </c>
      <c r="I172" s="583">
        <f t="shared" si="41"/>
        <v>1302344.6603773583</v>
      </c>
      <c r="J172" s="583">
        <f t="shared" si="41"/>
        <v>1690470.7169811323</v>
      </c>
      <c r="K172" s="583">
        <f t="shared" si="41"/>
        <v>1122056.4339622641</v>
      </c>
      <c r="L172" s="732">
        <f t="shared" si="42"/>
        <v>100000</v>
      </c>
      <c r="M172" s="583"/>
      <c r="N172" s="732">
        <f t="shared" si="43"/>
        <v>41026336</v>
      </c>
      <c r="O172" s="583">
        <v>3150</v>
      </c>
      <c r="P172" s="583">
        <f t="shared" si="44"/>
        <v>13024.233650793651</v>
      </c>
      <c r="Q172" s="728"/>
      <c r="R172" s="479" t="s">
        <v>346</v>
      </c>
      <c r="S172" s="798">
        <v>42583</v>
      </c>
      <c r="T172" s="222">
        <v>1000</v>
      </c>
      <c r="U172" s="740">
        <v>3200</v>
      </c>
      <c r="V172" s="732">
        <f t="shared" si="45"/>
        <v>3200000</v>
      </c>
      <c r="W172" s="732"/>
    </row>
    <row r="173" spans="1:23" s="729" customFormat="1" ht="12" customHeight="1">
      <c r="A173" s="730">
        <f>IF(B173&lt;&gt;"",A172+1,"")</f>
        <v>5</v>
      </c>
      <c r="B173" s="742" t="s">
        <v>1896</v>
      </c>
      <c r="C173" s="731">
        <v>5</v>
      </c>
      <c r="D173" s="583">
        <f t="shared" si="38"/>
        <v>2500</v>
      </c>
      <c r="E173" s="583"/>
      <c r="F173" s="1271">
        <v>46000</v>
      </c>
      <c r="G173" s="732">
        <f t="shared" si="39"/>
        <v>115000000</v>
      </c>
      <c r="H173" s="583">
        <f t="shared" si="40"/>
        <v>1302947.888589398</v>
      </c>
      <c r="I173" s="583">
        <f t="shared" si="41"/>
        <v>1033606.8733153638</v>
      </c>
      <c r="J173" s="583">
        <f t="shared" si="41"/>
        <v>1341643.4261755017</v>
      </c>
      <c r="K173" s="583">
        <f t="shared" si="41"/>
        <v>890520.97933513019</v>
      </c>
      <c r="L173" s="732">
        <f t="shared" si="42"/>
        <v>1320000</v>
      </c>
      <c r="M173" s="583"/>
      <c r="N173" s="732">
        <f t="shared" si="43"/>
        <v>120888719</v>
      </c>
      <c r="O173" s="583">
        <v>500</v>
      </c>
      <c r="P173" s="583">
        <f t="shared" si="44"/>
        <v>241777.43799999999</v>
      </c>
      <c r="Q173" s="728"/>
      <c r="R173" s="482" t="s">
        <v>349</v>
      </c>
      <c r="S173" s="798">
        <v>42583</v>
      </c>
      <c r="T173" s="222">
        <v>2970</v>
      </c>
      <c r="U173" s="740">
        <v>14728</v>
      </c>
      <c r="V173" s="732">
        <f t="shared" si="45"/>
        <v>43742160</v>
      </c>
      <c r="W173" s="732"/>
    </row>
    <row r="174" spans="1:23" s="729" customFormat="1" ht="12" customHeight="1">
      <c r="A174" s="730" t="str">
        <f>IF(B174&lt;&gt;"",A173+1,"")</f>
        <v/>
      </c>
      <c r="B174" s="742"/>
      <c r="C174" s="731"/>
      <c r="D174" s="583">
        <f t="shared" si="38"/>
        <v>0</v>
      </c>
      <c r="E174" s="583"/>
      <c r="F174" s="583"/>
      <c r="G174" s="732">
        <f t="shared" si="39"/>
        <v>0</v>
      </c>
      <c r="H174" s="583">
        <f t="shared" si="40"/>
        <v>0</v>
      </c>
      <c r="I174" s="583">
        <f t="shared" si="41"/>
        <v>0</v>
      </c>
      <c r="J174" s="583">
        <f t="shared" si="41"/>
        <v>0</v>
      </c>
      <c r="K174" s="583">
        <f t="shared" si="41"/>
        <v>0</v>
      </c>
      <c r="L174" s="732">
        <f t="shared" si="42"/>
        <v>0</v>
      </c>
      <c r="M174" s="583"/>
      <c r="N174" s="732">
        <f t="shared" si="43"/>
        <v>0</v>
      </c>
      <c r="O174" s="583"/>
      <c r="P174" s="583">
        <f t="shared" si="44"/>
        <v>0</v>
      </c>
      <c r="Q174" s="728"/>
      <c r="R174" s="482" t="s">
        <v>1389</v>
      </c>
      <c r="S174" s="798">
        <v>42583</v>
      </c>
      <c r="T174" s="222">
        <v>250</v>
      </c>
      <c r="U174" s="740">
        <v>12728</v>
      </c>
      <c r="V174" s="732">
        <f t="shared" si="45"/>
        <v>3182000</v>
      </c>
      <c r="W174" s="732"/>
    </row>
    <row r="175" spans="1:23" s="729" customFormat="1" ht="12" customHeight="1">
      <c r="A175" s="730" t="str">
        <f>IF(B175&lt;&gt;"",#REF!+1,"")</f>
        <v/>
      </c>
      <c r="B175" s="743"/>
      <c r="C175" s="731">
        <f>IF(ISNA(VLOOKUP(B175,NXT!$Q$79:$S$100,2,0)),0,VLOOKUP(B175,NXT!$Q$79:$S$100,2,0))</f>
        <v>0</v>
      </c>
      <c r="D175" s="746"/>
      <c r="E175" s="746"/>
      <c r="F175" s="746"/>
      <c r="G175" s="747"/>
      <c r="H175" s="792"/>
      <c r="I175" s="746"/>
      <c r="J175" s="748"/>
      <c r="K175" s="746"/>
      <c r="L175" s="749"/>
      <c r="M175" s="746"/>
      <c r="N175" s="780"/>
      <c r="O175" s="750"/>
      <c r="P175" s="746"/>
      <c r="Q175" s="728"/>
      <c r="R175" s="482" t="s">
        <v>352</v>
      </c>
      <c r="S175" s="798">
        <v>42586</v>
      </c>
      <c r="T175" s="222">
        <v>350</v>
      </c>
      <c r="U175" s="222">
        <v>8000</v>
      </c>
      <c r="V175" s="732">
        <f t="shared" si="45"/>
        <v>2800000</v>
      </c>
      <c r="W175" s="732"/>
    </row>
    <row r="176" spans="1:23" ht="12" customHeight="1">
      <c r="A176" s="753"/>
      <c r="B176" s="754" t="s">
        <v>538</v>
      </c>
      <c r="C176" s="755"/>
      <c r="D176" s="756">
        <f>SUM(D169:D175)</f>
        <v>166950</v>
      </c>
      <c r="E176" s="756">
        <f>SUM(E169:E173)</f>
        <v>0</v>
      </c>
      <c r="F176" s="756"/>
      <c r="G176" s="756">
        <f>SUM(G169:G175)</f>
        <v>3068206250</v>
      </c>
      <c r="H176" s="757">
        <v>87010860</v>
      </c>
      <c r="I176" s="757">
        <f>V178</f>
        <v>69024267</v>
      </c>
      <c r="J176" s="757">
        <v>89594948</v>
      </c>
      <c r="K176" s="757">
        <v>59468991</v>
      </c>
      <c r="L176" s="756">
        <f>SUM(L169:L175)</f>
        <v>44351265</v>
      </c>
      <c r="M176" s="756">
        <f>SUM(M169:M175)</f>
        <v>0</v>
      </c>
      <c r="N176" s="756">
        <f>ROUND(SUM(N169:N175),0)</f>
        <v>3417656581</v>
      </c>
      <c r="O176" s="756">
        <f>ROUND(SUM(O169:O175),0)</f>
        <v>47750</v>
      </c>
      <c r="P176" s="756"/>
      <c r="Q176" s="751"/>
      <c r="R176" s="482" t="s">
        <v>356</v>
      </c>
      <c r="S176" s="798">
        <v>42586</v>
      </c>
      <c r="T176" s="222">
        <v>200</v>
      </c>
      <c r="U176" s="740">
        <v>33000</v>
      </c>
      <c r="V176" s="732">
        <f t="shared" si="45"/>
        <v>6600000</v>
      </c>
      <c r="W176" s="748"/>
    </row>
    <row r="177" spans="1:23" ht="12" customHeight="1">
      <c r="Q177" s="751"/>
      <c r="R177" s="739"/>
      <c r="S177" s="735"/>
      <c r="T177" s="222"/>
      <c r="U177" s="222"/>
      <c r="V177" s="732"/>
      <c r="W177" s="748"/>
    </row>
    <row r="178" spans="1:23" ht="12" customHeight="1">
      <c r="N178" s="1135"/>
      <c r="Q178" s="751"/>
      <c r="R178" s="785"/>
      <c r="S178" s="786"/>
      <c r="T178" s="787"/>
      <c r="U178" s="803"/>
      <c r="V178" s="766">
        <f>SUM(V169:V177)</f>
        <v>69024267</v>
      </c>
      <c r="W178" s="766">
        <f>SUM(W169:W177)</f>
        <v>0</v>
      </c>
    </row>
    <row r="179" spans="1:23" ht="12" customHeight="1">
      <c r="N179" s="1135"/>
      <c r="Q179" s="751"/>
      <c r="R179" s="486" t="s">
        <v>377</v>
      </c>
      <c r="S179" s="798">
        <v>42592</v>
      </c>
      <c r="T179" s="740">
        <v>5619</v>
      </c>
      <c r="U179" s="740">
        <v>4466.322284402353</v>
      </c>
      <c r="V179" s="732">
        <f t="shared" ref="V179:V185" si="46">ROUND(T179*U179,0)</f>
        <v>25096265</v>
      </c>
      <c r="W179" s="748"/>
    </row>
    <row r="180" spans="1:23" ht="12" customHeight="1">
      <c r="H180" s="768"/>
      <c r="Q180" s="751"/>
      <c r="R180" s="310" t="s">
        <v>1815</v>
      </c>
      <c r="S180" s="798">
        <v>42597</v>
      </c>
      <c r="T180" s="406">
        <v>1009</v>
      </c>
      <c r="U180" s="406">
        <v>15000</v>
      </c>
      <c r="V180" s="732">
        <f t="shared" si="46"/>
        <v>15135000</v>
      </c>
      <c r="W180" s="732"/>
    </row>
    <row r="181" spans="1:23" ht="12" customHeight="1">
      <c r="Q181" s="751"/>
      <c r="R181" s="739" t="s">
        <v>380</v>
      </c>
      <c r="S181" s="798">
        <v>42604</v>
      </c>
      <c r="T181" s="740">
        <v>540</v>
      </c>
      <c r="U181" s="740">
        <v>5000</v>
      </c>
      <c r="V181" s="732">
        <f t="shared" si="46"/>
        <v>2700000</v>
      </c>
      <c r="W181" s="748"/>
    </row>
    <row r="182" spans="1:23" ht="12" customHeight="1">
      <c r="I182" s="768"/>
      <c r="Q182" s="751"/>
      <c r="R182" s="739" t="s">
        <v>380</v>
      </c>
      <c r="S182" s="798">
        <v>42604</v>
      </c>
      <c r="T182" s="740">
        <v>20</v>
      </c>
      <c r="U182" s="740">
        <v>5000</v>
      </c>
      <c r="V182" s="732">
        <f t="shared" si="46"/>
        <v>100000</v>
      </c>
      <c r="W182" s="748"/>
    </row>
    <row r="183" spans="1:23" ht="12" customHeight="1">
      <c r="G183" s="768"/>
      <c r="H183" s="768"/>
      <c r="I183" s="768"/>
      <c r="J183" s="768"/>
      <c r="K183" s="768"/>
      <c r="L183" s="768"/>
      <c r="M183" s="768"/>
      <c r="N183" s="768"/>
      <c r="Q183" s="751"/>
      <c r="R183" s="310" t="s">
        <v>1813</v>
      </c>
      <c r="S183" s="735">
        <v>42606</v>
      </c>
      <c r="T183" s="406">
        <v>120</v>
      </c>
      <c r="U183" s="406">
        <v>11000</v>
      </c>
      <c r="V183" s="732">
        <f t="shared" si="46"/>
        <v>1320000</v>
      </c>
      <c r="W183" s="748"/>
    </row>
    <row r="184" spans="1:23" ht="12" customHeight="1">
      <c r="G184" s="706"/>
      <c r="H184" s="706"/>
      <c r="I184" s="706"/>
      <c r="J184" s="706"/>
      <c r="K184" s="706"/>
      <c r="L184" s="706"/>
      <c r="M184" s="706"/>
      <c r="N184" s="706"/>
      <c r="Q184" s="751"/>
      <c r="R184" s="308"/>
      <c r="S184" s="735"/>
      <c r="T184" s="740"/>
      <c r="U184" s="740"/>
      <c r="V184" s="732">
        <f t="shared" si="46"/>
        <v>0</v>
      </c>
      <c r="W184" s="748"/>
    </row>
    <row r="185" spans="1:23" ht="12" customHeight="1">
      <c r="Q185" s="751"/>
      <c r="R185" s="486"/>
      <c r="S185" s="735"/>
      <c r="T185" s="740"/>
      <c r="U185" s="740"/>
      <c r="V185" s="732">
        <f t="shared" si="46"/>
        <v>0</v>
      </c>
      <c r="W185" s="748"/>
    </row>
    <row r="186" spans="1:23" s="752" customFormat="1" ht="12" customHeight="1">
      <c r="A186" s="703"/>
      <c r="B186" s="703"/>
      <c r="C186" s="703"/>
      <c r="D186" s="703"/>
      <c r="E186" s="703"/>
      <c r="F186" s="703"/>
      <c r="G186" s="703"/>
      <c r="H186" s="703"/>
      <c r="I186" s="703"/>
      <c r="J186" s="703"/>
      <c r="K186" s="703"/>
      <c r="L186" s="703"/>
      <c r="M186" s="703"/>
      <c r="N186" s="703"/>
      <c r="O186" s="703"/>
      <c r="P186" s="703"/>
      <c r="Q186" s="751"/>
      <c r="R186" s="762"/>
      <c r="S186" s="735"/>
      <c r="T186" s="740"/>
      <c r="U186" s="740"/>
      <c r="V186" s="732">
        <f>SUM(V179:V183)</f>
        <v>44351265</v>
      </c>
      <c r="W186" s="748"/>
    </row>
    <row r="187" spans="1:23" s="707" customFormat="1" ht="12" customHeight="1">
      <c r="A187" s="703"/>
      <c r="B187" s="703"/>
      <c r="C187" s="703"/>
      <c r="D187" s="703"/>
      <c r="E187" s="703"/>
      <c r="F187" s="703"/>
      <c r="G187" s="703"/>
      <c r="H187" s="703"/>
      <c r="I187" s="703"/>
      <c r="J187" s="703"/>
      <c r="K187" s="703"/>
      <c r="L187" s="703"/>
      <c r="M187" s="703"/>
      <c r="N187" s="703"/>
      <c r="O187" s="703"/>
      <c r="P187" s="703"/>
      <c r="Q187" s="751"/>
      <c r="R187" s="706"/>
      <c r="S187" s="713"/>
      <c r="T187" s="706"/>
      <c r="U187" s="706"/>
      <c r="V187" s="703"/>
      <c r="W187" s="703"/>
    </row>
    <row r="188" spans="1:23" ht="12" customHeight="1">
      <c r="R188" s="706"/>
      <c r="S188" s="713"/>
    </row>
    <row r="189" spans="1:23" ht="12" customHeight="1">
      <c r="R189" s="706"/>
      <c r="S189" s="713"/>
    </row>
    <row r="190" spans="1:23" ht="12" customHeight="1">
      <c r="R190" s="706"/>
      <c r="S190" s="713"/>
    </row>
    <row r="191" spans="1:23" ht="12" customHeight="1">
      <c r="R191" s="706"/>
      <c r="S191" s="713"/>
    </row>
    <row r="192" spans="1:23" ht="12" customHeight="1">
      <c r="R192" s="706"/>
      <c r="S192" s="713"/>
    </row>
    <row r="193" spans="1:23" ht="12" customHeight="1">
      <c r="R193" s="706"/>
      <c r="S193" s="713"/>
    </row>
    <row r="194" spans="1:23" ht="12" customHeight="1">
      <c r="R194" s="706"/>
      <c r="S194" s="713"/>
    </row>
    <row r="195" spans="1:23" ht="12" customHeight="1">
      <c r="R195" s="706"/>
      <c r="S195" s="713"/>
    </row>
    <row r="196" spans="1:23">
      <c r="R196" s="706"/>
      <c r="S196" s="713"/>
    </row>
    <row r="197" spans="1:23" ht="20.25" customHeight="1">
      <c r="A197" s="707" t="s">
        <v>521</v>
      </c>
      <c r="B197" s="707"/>
      <c r="C197" s="708"/>
      <c r="D197" s="709"/>
      <c r="E197" s="709"/>
      <c r="F197" s="709"/>
      <c r="G197" s="706"/>
      <c r="H197" s="706"/>
      <c r="I197" s="706"/>
      <c r="J197" s="706"/>
      <c r="K197" s="706"/>
      <c r="L197" s="710"/>
      <c r="M197" s="706"/>
      <c r="N197" s="706"/>
      <c r="O197" s="711"/>
      <c r="P197" s="706"/>
      <c r="R197" s="706"/>
      <c r="S197" s="713"/>
    </row>
    <row r="198" spans="1:23" ht="20.25" customHeight="1">
      <c r="A198" s="714" t="s">
        <v>546</v>
      </c>
      <c r="B198" s="714"/>
      <c r="C198" s="714"/>
      <c r="D198" s="714"/>
      <c r="E198" s="714"/>
      <c r="F198" s="714"/>
      <c r="G198" s="714"/>
      <c r="H198" s="714"/>
      <c r="I198" s="714"/>
      <c r="J198" s="714"/>
      <c r="K198" s="714"/>
      <c r="L198" s="714"/>
      <c r="M198" s="714"/>
      <c r="N198" s="714"/>
      <c r="O198" s="714"/>
      <c r="P198" s="714"/>
      <c r="Q198" s="712"/>
      <c r="R198" s="706"/>
      <c r="S198" s="713"/>
    </row>
    <row r="199" spans="1:23" ht="12" customHeight="1">
      <c r="A199" s="715"/>
      <c r="B199" s="715"/>
      <c r="C199" s="716"/>
      <c r="D199" s="715"/>
      <c r="E199" s="715"/>
      <c r="F199" s="715"/>
      <c r="G199" s="715"/>
      <c r="H199" s="715"/>
      <c r="I199" s="715"/>
      <c r="J199" s="715"/>
      <c r="K199" s="715"/>
      <c r="L199" s="714"/>
      <c r="M199" s="715"/>
      <c r="N199" s="715"/>
      <c r="O199" s="717"/>
      <c r="P199" s="715"/>
      <c r="Q199" s="712"/>
      <c r="R199" s="706"/>
      <c r="S199" s="713"/>
    </row>
    <row r="200" spans="1:23" ht="12" customHeight="1">
      <c r="A200" s="718"/>
      <c r="B200" s="718"/>
      <c r="C200" s="719"/>
      <c r="D200" s="718"/>
      <c r="E200" s="718"/>
      <c r="F200" s="718"/>
      <c r="G200" s="718"/>
      <c r="H200" s="718"/>
      <c r="I200" s="718"/>
      <c r="J200" s="718"/>
      <c r="K200" s="718"/>
      <c r="L200" s="718"/>
      <c r="M200" s="718"/>
      <c r="N200" s="718"/>
      <c r="O200" s="720"/>
      <c r="P200" s="718"/>
      <c r="Q200" s="712"/>
      <c r="R200" s="706"/>
      <c r="S200" s="713"/>
    </row>
    <row r="201" spans="1:23" ht="36.75" customHeight="1">
      <c r="A201" s="723" t="s">
        <v>35</v>
      </c>
      <c r="B201" s="723" t="s">
        <v>523</v>
      </c>
      <c r="C201" s="724" t="s">
        <v>524</v>
      </c>
      <c r="D201" s="725" t="s">
        <v>525</v>
      </c>
      <c r="E201" s="725" t="s">
        <v>526</v>
      </c>
      <c r="F201" s="725" t="s">
        <v>527</v>
      </c>
      <c r="G201" s="725" t="s">
        <v>528</v>
      </c>
      <c r="H201" s="725" t="s">
        <v>529</v>
      </c>
      <c r="I201" s="725" t="s">
        <v>530</v>
      </c>
      <c r="J201" s="725" t="s">
        <v>531</v>
      </c>
      <c r="K201" s="726" t="s">
        <v>532</v>
      </c>
      <c r="L201" s="725" t="s">
        <v>533</v>
      </c>
      <c r="M201" s="726" t="s">
        <v>534</v>
      </c>
      <c r="N201" s="725" t="s">
        <v>535</v>
      </c>
      <c r="O201" s="727" t="s">
        <v>526</v>
      </c>
      <c r="P201" s="725" t="s">
        <v>536</v>
      </c>
      <c r="Q201" s="712"/>
      <c r="R201" s="723" t="s">
        <v>523</v>
      </c>
      <c r="S201" s="725" t="s">
        <v>490</v>
      </c>
      <c r="T201" s="725" t="s">
        <v>330</v>
      </c>
      <c r="U201" s="725" t="s">
        <v>527</v>
      </c>
      <c r="V201" s="725" t="s">
        <v>537</v>
      </c>
      <c r="W201" s="723" t="s">
        <v>537</v>
      </c>
    </row>
    <row r="202" spans="1:23" s="729" customFormat="1" ht="13.5" customHeight="1">
      <c r="A202" s="730">
        <f>IF(B202&lt;&gt;"",ROW()-(ROW()-1),"")</f>
        <v>1</v>
      </c>
      <c r="B202" s="742" t="s">
        <v>435</v>
      </c>
      <c r="C202" s="731">
        <v>5</v>
      </c>
      <c r="D202" s="583">
        <f t="shared" ref="D202:D208" si="47">ROUND(C202*O202,0)</f>
        <v>12565</v>
      </c>
      <c r="E202" s="583"/>
      <c r="F202" s="1137">
        <v>28500</v>
      </c>
      <c r="G202" s="732">
        <f t="shared" ref="G202:G208" si="48">(D202+E202)*F202</f>
        <v>358102500</v>
      </c>
      <c r="H202" s="583">
        <f t="shared" ref="H202:H208" si="49">IF($D$210&lt;&gt;0,H$210/($D$210+$E$210/5)*($D202+$E202/5),0)</f>
        <v>4150159.6001456808</v>
      </c>
      <c r="I202" s="583">
        <f t="shared" ref="I202:K208" si="50">IF($D$210&lt;&gt;0,I$210/$D$210*$D202,0)</f>
        <v>1372797.0965707605</v>
      </c>
      <c r="J202" s="583">
        <f t="shared" si="50"/>
        <v>3327556.9961854741</v>
      </c>
      <c r="K202" s="583">
        <f t="shared" si="50"/>
        <v>2864643.2629147582</v>
      </c>
      <c r="L202" s="732">
        <f>V219+V220</f>
        <v>43082400</v>
      </c>
      <c r="M202" s="583"/>
      <c r="N202" s="732">
        <f t="shared" ref="N202:N208" si="51">ROUND(SUM(G202:L202),0)</f>
        <v>412900057</v>
      </c>
      <c r="O202" s="583">
        <v>2513</v>
      </c>
      <c r="P202" s="583">
        <f t="shared" ref="P202:P208" si="52">IF(N202&lt;&gt;0,N202/O202,0)</f>
        <v>164305.63350577001</v>
      </c>
      <c r="Q202" s="728"/>
      <c r="R202" s="734" t="s">
        <v>332</v>
      </c>
      <c r="S202" s="1139">
        <v>42616</v>
      </c>
      <c r="T202" s="1140">
        <v>20</v>
      </c>
      <c r="U202" s="1140">
        <v>35444.444439999999</v>
      </c>
      <c r="V202" s="732">
        <f t="shared" ref="V202:V214" si="53">ROUND(T202*U202,0)</f>
        <v>708889</v>
      </c>
      <c r="W202" s="732"/>
    </row>
    <row r="203" spans="1:23" ht="13.5" customHeight="1">
      <c r="A203" s="730">
        <f>IF(B203&lt;&gt;"",A202+1,"")</f>
        <v>2</v>
      </c>
      <c r="B203" s="742" t="s">
        <v>431</v>
      </c>
      <c r="C203" s="731">
        <v>4.8</v>
      </c>
      <c r="D203" s="583">
        <f t="shared" si="47"/>
        <v>89640</v>
      </c>
      <c r="E203" s="583"/>
      <c r="F203" s="1137">
        <v>18000</v>
      </c>
      <c r="G203" s="732">
        <f t="shared" si="48"/>
        <v>1613520000</v>
      </c>
      <c r="H203" s="583">
        <f t="shared" si="49"/>
        <v>29607664.668289598</v>
      </c>
      <c r="I203" s="583">
        <f t="shared" si="50"/>
        <v>9793675.4267093483</v>
      </c>
      <c r="J203" s="583">
        <f t="shared" si="50"/>
        <v>23739133.238206599</v>
      </c>
      <c r="K203" s="583">
        <f t="shared" si="50"/>
        <v>20436659.139488969</v>
      </c>
      <c r="L203" s="732">
        <f>V225+V226</f>
        <v>37105000</v>
      </c>
      <c r="M203" s="583"/>
      <c r="N203" s="732">
        <f>ROUND(SUM(G203:L203),0)</f>
        <v>1734202132</v>
      </c>
      <c r="O203" s="583">
        <v>18675</v>
      </c>
      <c r="P203" s="583">
        <f t="shared" si="52"/>
        <v>92862.229290495321</v>
      </c>
      <c r="Q203" s="751"/>
      <c r="R203" s="739" t="s">
        <v>338</v>
      </c>
      <c r="S203" s="1139">
        <v>42616</v>
      </c>
      <c r="T203" s="1140">
        <v>40</v>
      </c>
      <c r="U203" s="1140">
        <v>46741.2</v>
      </c>
      <c r="V203" s="732">
        <f t="shared" si="53"/>
        <v>1869648</v>
      </c>
      <c r="W203" s="748"/>
    </row>
    <row r="204" spans="1:23" ht="13.5" customHeight="1">
      <c r="A204" s="730">
        <f t="shared" ref="A204:A209" si="54">IF(B204&lt;&gt;"",A203+1,"")</f>
        <v>3</v>
      </c>
      <c r="B204" s="67" t="s">
        <v>1501</v>
      </c>
      <c r="C204" s="731">
        <v>5</v>
      </c>
      <c r="D204" s="583">
        <f t="shared" si="47"/>
        <v>7250</v>
      </c>
      <c r="E204" s="583"/>
      <c r="F204" s="1270">
        <v>28000</v>
      </c>
      <c r="G204" s="732">
        <f t="shared" si="48"/>
        <v>203000000</v>
      </c>
      <c r="H204" s="583">
        <f t="shared" si="49"/>
        <v>2394640.4378078938</v>
      </c>
      <c r="I204" s="583">
        <f t="shared" si="50"/>
        <v>792103.37844313669</v>
      </c>
      <c r="J204" s="583">
        <f t="shared" si="50"/>
        <v>1919999.0626617339</v>
      </c>
      <c r="K204" s="583">
        <f t="shared" si="50"/>
        <v>1652898.0227721445</v>
      </c>
      <c r="L204" s="732">
        <f>V221+V222</f>
        <v>2211000</v>
      </c>
      <c r="M204" s="583"/>
      <c r="N204" s="732">
        <f t="shared" si="51"/>
        <v>211970641</v>
      </c>
      <c r="O204" s="738">
        <v>1450</v>
      </c>
      <c r="P204" s="583">
        <f t="shared" si="52"/>
        <v>146186.64896551723</v>
      </c>
      <c r="Q204" s="751"/>
      <c r="R204" s="739" t="s">
        <v>341</v>
      </c>
      <c r="S204" s="1139">
        <v>42616</v>
      </c>
      <c r="T204" s="1140">
        <v>350</v>
      </c>
      <c r="U204" s="1140">
        <v>14523</v>
      </c>
      <c r="V204" s="732">
        <f>ROUND(T204*U204,0)</f>
        <v>5083050</v>
      </c>
      <c r="W204" s="748"/>
    </row>
    <row r="205" spans="1:23">
      <c r="A205" s="730">
        <f t="shared" si="54"/>
        <v>4</v>
      </c>
      <c r="B205" s="474" t="s">
        <v>1503</v>
      </c>
      <c r="C205" s="731">
        <v>8.5</v>
      </c>
      <c r="D205" s="583">
        <f t="shared" si="47"/>
        <v>17000</v>
      </c>
      <c r="E205" s="583"/>
      <c r="F205" s="1254">
        <v>18000</v>
      </c>
      <c r="G205" s="732">
        <f t="shared" si="48"/>
        <v>306000000</v>
      </c>
      <c r="H205" s="583">
        <f t="shared" si="49"/>
        <v>5615018.9576185094</v>
      </c>
      <c r="I205" s="583">
        <f t="shared" si="50"/>
        <v>1857345.8529011481</v>
      </c>
      <c r="J205" s="583">
        <f t="shared" si="50"/>
        <v>4502066.7676206175</v>
      </c>
      <c r="K205" s="583">
        <f t="shared" si="50"/>
        <v>3875760.8809829596</v>
      </c>
      <c r="L205" s="732">
        <f>V217+V218</f>
        <v>15750000</v>
      </c>
      <c r="M205" s="583"/>
      <c r="N205" s="732">
        <f t="shared" si="51"/>
        <v>337600192</v>
      </c>
      <c r="O205" s="738">
        <v>2000</v>
      </c>
      <c r="P205" s="583">
        <f t="shared" si="52"/>
        <v>168800.09599999999</v>
      </c>
      <c r="Q205" s="751"/>
      <c r="R205" s="739" t="s">
        <v>346</v>
      </c>
      <c r="S205" s="1139">
        <v>42616</v>
      </c>
      <c r="T205" s="1140">
        <v>1000</v>
      </c>
      <c r="U205" s="1140">
        <v>3200</v>
      </c>
      <c r="V205" s="732">
        <f>ROUND(T205*U205,0)</f>
        <v>3200000</v>
      </c>
      <c r="W205" s="748"/>
    </row>
    <row r="206" spans="1:23">
      <c r="A206" s="730">
        <f t="shared" si="54"/>
        <v>5</v>
      </c>
      <c r="B206" s="804" t="s">
        <v>441</v>
      </c>
      <c r="C206" s="731">
        <v>13.5</v>
      </c>
      <c r="D206" s="583">
        <f t="shared" si="47"/>
        <v>12690</v>
      </c>
      <c r="E206" s="583"/>
      <c r="F206" s="1270">
        <v>16000</v>
      </c>
      <c r="G206" s="732">
        <f t="shared" si="48"/>
        <v>203040000</v>
      </c>
      <c r="H206" s="583">
        <f t="shared" si="49"/>
        <v>4191446.5042458167</v>
      </c>
      <c r="I206" s="583">
        <f t="shared" si="50"/>
        <v>1386454.0513715041</v>
      </c>
      <c r="J206" s="583">
        <f t="shared" si="50"/>
        <v>3360660.4283003318</v>
      </c>
      <c r="K206" s="583">
        <f t="shared" si="50"/>
        <v>2893141.5046866913</v>
      </c>
      <c r="L206" s="583">
        <f>V227+V228</f>
        <v>1430500</v>
      </c>
      <c r="M206" s="583"/>
      <c r="N206" s="732">
        <f t="shared" si="51"/>
        <v>216302202</v>
      </c>
      <c r="O206" s="738">
        <v>940</v>
      </c>
      <c r="P206" s="583">
        <f t="shared" si="52"/>
        <v>230108.72553191488</v>
      </c>
      <c r="Q206" s="751"/>
      <c r="R206" s="1141" t="s">
        <v>349</v>
      </c>
      <c r="S206" s="1139">
        <v>42616</v>
      </c>
      <c r="T206" s="1140">
        <v>1100</v>
      </c>
      <c r="U206" s="1140">
        <v>14728</v>
      </c>
      <c r="V206" s="732">
        <f>ROUND(T206*U206,0)</f>
        <v>16200800</v>
      </c>
      <c r="W206" s="748"/>
    </row>
    <row r="207" spans="1:23" ht="13.5" customHeight="1">
      <c r="A207" s="730">
        <f t="shared" si="54"/>
        <v>6</v>
      </c>
      <c r="B207" s="742" t="s">
        <v>1930</v>
      </c>
      <c r="C207" s="731">
        <v>5</v>
      </c>
      <c r="D207" s="583">
        <f t="shared" si="47"/>
        <v>4700</v>
      </c>
      <c r="E207" s="583"/>
      <c r="F207" s="1270">
        <v>35000</v>
      </c>
      <c r="G207" s="732">
        <f t="shared" si="48"/>
        <v>164500000</v>
      </c>
      <c r="H207" s="583">
        <f t="shared" si="49"/>
        <v>1552387.5941651172</v>
      </c>
      <c r="I207" s="583">
        <f t="shared" si="50"/>
        <v>513501.50050796452</v>
      </c>
      <c r="J207" s="583">
        <f t="shared" si="50"/>
        <v>1244689.0475186415</v>
      </c>
      <c r="K207" s="583">
        <f t="shared" si="50"/>
        <v>1071533.8906247006</v>
      </c>
      <c r="L207" s="732">
        <f>V223+V224</f>
        <v>1485000</v>
      </c>
      <c r="M207" s="583"/>
      <c r="N207" s="732">
        <f t="shared" si="51"/>
        <v>170367112</v>
      </c>
      <c r="O207" s="738">
        <v>940</v>
      </c>
      <c r="P207" s="583">
        <f t="shared" si="52"/>
        <v>181241.6085106383</v>
      </c>
      <c r="Q207" s="751"/>
      <c r="R207" s="1141" t="s">
        <v>1389</v>
      </c>
      <c r="S207" s="1139">
        <v>42616</v>
      </c>
      <c r="T207" s="1140">
        <v>50</v>
      </c>
      <c r="U207" s="1140">
        <v>12728</v>
      </c>
      <c r="V207" s="732">
        <f t="shared" si="53"/>
        <v>636400</v>
      </c>
      <c r="W207" s="748"/>
    </row>
    <row r="208" spans="1:23">
      <c r="A208" s="730">
        <f t="shared" si="54"/>
        <v>7</v>
      </c>
      <c r="B208" s="742" t="s">
        <v>435</v>
      </c>
      <c r="C208" s="1148">
        <v>5</v>
      </c>
      <c r="D208" s="583">
        <f t="shared" si="47"/>
        <v>117000</v>
      </c>
      <c r="E208" s="583"/>
      <c r="F208" s="1149">
        <v>28500</v>
      </c>
      <c r="G208" s="732">
        <f t="shared" si="48"/>
        <v>3334500000</v>
      </c>
      <c r="H208" s="583">
        <f t="shared" si="49"/>
        <v>38644542.237727389</v>
      </c>
      <c r="I208" s="583">
        <f t="shared" si="50"/>
        <v>12782909.693496138</v>
      </c>
      <c r="J208" s="583">
        <f t="shared" si="50"/>
        <v>30984812.459506605</v>
      </c>
      <c r="K208" s="583">
        <f t="shared" si="50"/>
        <v>26674354.298529781</v>
      </c>
      <c r="L208" s="583">
        <f>V229+V230</f>
        <v>34691000</v>
      </c>
      <c r="M208" s="583"/>
      <c r="N208" s="732">
        <f t="shared" si="51"/>
        <v>3478277619</v>
      </c>
      <c r="O208" s="1149">
        <v>23400</v>
      </c>
      <c r="P208" s="583">
        <f t="shared" si="52"/>
        <v>148644.34269230769</v>
      </c>
      <c r="Q208" s="751"/>
      <c r="R208" s="1141" t="s">
        <v>352</v>
      </c>
      <c r="S208" s="1139">
        <v>42633</v>
      </c>
      <c r="T208" s="1140">
        <v>100</v>
      </c>
      <c r="U208" s="1140">
        <v>8000</v>
      </c>
      <c r="V208" s="732">
        <f t="shared" si="53"/>
        <v>800000</v>
      </c>
      <c r="W208" s="748"/>
    </row>
    <row r="209" spans="1:23">
      <c r="A209" s="730" t="str">
        <f t="shared" si="54"/>
        <v/>
      </c>
      <c r="B209" s="743"/>
      <c r="C209" s="744"/>
      <c r="D209" s="746"/>
      <c r="E209" s="746"/>
      <c r="F209" s="746"/>
      <c r="G209" s="747"/>
      <c r="H209" s="792"/>
      <c r="I209" s="746"/>
      <c r="J209" s="748"/>
      <c r="K209" s="746"/>
      <c r="L209" s="749"/>
      <c r="M209" s="746"/>
      <c r="N209" s="780"/>
      <c r="O209" s="750"/>
      <c r="P209" s="746"/>
      <c r="Q209" s="751"/>
      <c r="R209" s="739"/>
      <c r="S209" s="798"/>
      <c r="T209" s="222"/>
      <c r="U209" s="222"/>
      <c r="V209" s="732">
        <f t="shared" si="53"/>
        <v>0</v>
      </c>
      <c r="W209" s="748"/>
    </row>
    <row r="210" spans="1:23">
      <c r="A210" s="753"/>
      <c r="B210" s="754" t="s">
        <v>538</v>
      </c>
      <c r="C210" s="755"/>
      <c r="D210" s="756">
        <f>SUM(D202:D208)</f>
        <v>260845</v>
      </c>
      <c r="E210" s="756">
        <f>SUM(E202:E208)</f>
        <v>0</v>
      </c>
      <c r="F210" s="756"/>
      <c r="G210" s="756">
        <f>SUM(G202:G208)</f>
        <v>6182662500</v>
      </c>
      <c r="H210" s="757">
        <v>86155860</v>
      </c>
      <c r="I210" s="757">
        <f>V216</f>
        <v>28498787</v>
      </c>
      <c r="J210" s="1138">
        <v>69078918</v>
      </c>
      <c r="K210" s="757">
        <v>59468991</v>
      </c>
      <c r="L210" s="756">
        <f>ROUND(SUM(L202:L209),0)</f>
        <v>135754900</v>
      </c>
      <c r="M210" s="756">
        <f>ROUND(SUM(M202:M209),0)</f>
        <v>0</v>
      </c>
      <c r="N210" s="756">
        <f>ROUND(SUM(N202:N209),0)</f>
        <v>6561619955</v>
      </c>
      <c r="O210" s="756">
        <f>ROUND(SUM(O202:O209),0)</f>
        <v>49918</v>
      </c>
      <c r="P210" s="756"/>
      <c r="Q210" s="751"/>
      <c r="R210" s="739"/>
      <c r="S210" s="798"/>
      <c r="T210" s="222"/>
      <c r="U210" s="222"/>
      <c r="V210" s="732">
        <f t="shared" si="53"/>
        <v>0</v>
      </c>
      <c r="W210" s="748"/>
    </row>
    <row r="211" spans="1:23">
      <c r="Q211" s="751"/>
      <c r="R211" s="739"/>
      <c r="S211" s="798"/>
      <c r="T211" s="222"/>
      <c r="U211" s="222"/>
      <c r="V211" s="732">
        <f t="shared" si="53"/>
        <v>0</v>
      </c>
      <c r="W211" s="748"/>
    </row>
    <row r="212" spans="1:23">
      <c r="Q212" s="751"/>
      <c r="R212" s="739"/>
      <c r="S212" s="798"/>
      <c r="T212" s="762"/>
      <c r="U212" s="740"/>
      <c r="V212" s="732">
        <f t="shared" si="53"/>
        <v>0</v>
      </c>
      <c r="W212" s="748"/>
    </row>
    <row r="213" spans="1:23">
      <c r="Q213" s="751"/>
      <c r="R213" s="801"/>
      <c r="S213" s="798"/>
      <c r="T213" s="762"/>
      <c r="U213" s="740"/>
      <c r="V213" s="732">
        <f t="shared" si="53"/>
        <v>0</v>
      </c>
      <c r="W213" s="748"/>
    </row>
    <row r="214" spans="1:23">
      <c r="H214" s="768"/>
      <c r="Q214" s="751"/>
      <c r="R214" s="479"/>
      <c r="S214" s="798"/>
      <c r="T214" s="222"/>
      <c r="U214" s="222"/>
      <c r="V214" s="732">
        <f t="shared" si="53"/>
        <v>0</v>
      </c>
      <c r="W214" s="748"/>
    </row>
    <row r="215" spans="1:23" s="752" customFormat="1">
      <c r="A215" s="703"/>
      <c r="B215" s="703"/>
      <c r="C215" s="703"/>
      <c r="D215" s="703"/>
      <c r="E215" s="703"/>
      <c r="F215" s="703"/>
      <c r="G215" s="703"/>
      <c r="H215" s="703"/>
      <c r="I215" s="703"/>
      <c r="J215" s="703"/>
      <c r="K215" s="703"/>
      <c r="L215" s="703"/>
      <c r="M215" s="703"/>
      <c r="N215" s="703"/>
      <c r="O215" s="703"/>
      <c r="P215" s="703"/>
      <c r="Q215" s="751"/>
      <c r="R215" s="739"/>
      <c r="S215" s="735"/>
      <c r="T215" s="222"/>
      <c r="U215" s="222"/>
      <c r="V215" s="732"/>
      <c r="W215" s="748"/>
    </row>
    <row r="216" spans="1:23" s="707" customFormat="1">
      <c r="A216" s="703"/>
      <c r="B216" s="703"/>
      <c r="C216" s="703"/>
      <c r="D216" s="703"/>
      <c r="E216" s="703"/>
      <c r="F216" s="703"/>
      <c r="G216" s="703"/>
      <c r="H216" s="703"/>
      <c r="I216" s="703"/>
      <c r="J216" s="703"/>
      <c r="K216" s="703"/>
      <c r="L216" s="703"/>
      <c r="M216" s="703"/>
      <c r="N216" s="703"/>
      <c r="O216" s="703"/>
      <c r="P216" s="703"/>
      <c r="Q216" s="751"/>
      <c r="R216" s="785"/>
      <c r="S216" s="786"/>
      <c r="T216" s="787"/>
      <c r="U216" s="803"/>
      <c r="V216" s="766">
        <f>SUM(V202:V215)</f>
        <v>28498787</v>
      </c>
      <c r="W216" s="766">
        <f>SUM(W202:W215)</f>
        <v>0</v>
      </c>
    </row>
    <row r="217" spans="1:23">
      <c r="R217" s="1142" t="s">
        <v>394</v>
      </c>
      <c r="S217" s="1139">
        <v>42633</v>
      </c>
      <c r="T217" s="1140">
        <v>250</v>
      </c>
      <c r="U217" s="1140">
        <v>18200</v>
      </c>
      <c r="V217" s="732">
        <f t="shared" ref="V217:V228" si="55">ROUND(T217*U217,0)</f>
        <v>4550000</v>
      </c>
      <c r="W217" s="732"/>
    </row>
    <row r="218" spans="1:23">
      <c r="R218" s="1143" t="s">
        <v>638</v>
      </c>
      <c r="S218" s="1139">
        <v>42633</v>
      </c>
      <c r="T218" s="1140">
        <v>800</v>
      </c>
      <c r="U218" s="1140">
        <v>14000</v>
      </c>
      <c r="V218" s="732">
        <f t="shared" si="55"/>
        <v>11200000</v>
      </c>
      <c r="W218" s="748"/>
    </row>
    <row r="219" spans="1:23">
      <c r="R219" s="1143" t="s">
        <v>380</v>
      </c>
      <c r="S219" s="1139">
        <v>42633</v>
      </c>
      <c r="T219" s="1140">
        <v>2353</v>
      </c>
      <c r="U219" s="1140">
        <v>16800</v>
      </c>
      <c r="V219" s="732">
        <f t="shared" si="55"/>
        <v>39530400</v>
      </c>
      <c r="W219" s="748"/>
    </row>
    <row r="220" spans="1:23">
      <c r="R220" s="1143" t="s">
        <v>1823</v>
      </c>
      <c r="S220" s="1139">
        <v>42633</v>
      </c>
      <c r="T220" s="1140">
        <v>96</v>
      </c>
      <c r="U220" s="1140">
        <v>37000</v>
      </c>
      <c r="V220" s="732">
        <f t="shared" si="55"/>
        <v>3552000</v>
      </c>
      <c r="W220" s="748"/>
    </row>
    <row r="221" spans="1:23">
      <c r="R221" s="1143" t="s">
        <v>1492</v>
      </c>
      <c r="S221" s="1139">
        <v>42633</v>
      </c>
      <c r="T221" s="1140">
        <v>153</v>
      </c>
      <c r="U221" s="1140">
        <v>13000</v>
      </c>
      <c r="V221" s="732">
        <f t="shared" si="55"/>
        <v>1989000</v>
      </c>
      <c r="W221" s="748"/>
    </row>
    <row r="222" spans="1:23">
      <c r="R222" s="1143" t="s">
        <v>1823</v>
      </c>
      <c r="S222" s="1139">
        <v>42633</v>
      </c>
      <c r="T222" s="1140">
        <v>6</v>
      </c>
      <c r="U222" s="1140">
        <v>37000</v>
      </c>
      <c r="V222" s="732">
        <f t="shared" si="55"/>
        <v>222000</v>
      </c>
      <c r="W222" s="748"/>
    </row>
    <row r="223" spans="1:23">
      <c r="R223" s="1143" t="s">
        <v>1492</v>
      </c>
      <c r="S223" s="1139">
        <v>42633</v>
      </c>
      <c r="T223" s="1140">
        <v>100</v>
      </c>
      <c r="U223" s="1140">
        <v>13000</v>
      </c>
      <c r="V223" s="732">
        <f t="shared" si="55"/>
        <v>1300000</v>
      </c>
      <c r="W223" s="748"/>
    </row>
    <row r="224" spans="1:23">
      <c r="R224" s="1143" t="s">
        <v>1823</v>
      </c>
      <c r="S224" s="1139">
        <v>42633</v>
      </c>
      <c r="T224" s="1140">
        <v>5</v>
      </c>
      <c r="U224" s="1140">
        <v>37000</v>
      </c>
      <c r="V224" s="732">
        <f t="shared" si="55"/>
        <v>185000</v>
      </c>
      <c r="W224" s="748"/>
    </row>
    <row r="225" spans="1:23">
      <c r="R225" s="1143" t="s">
        <v>1821</v>
      </c>
      <c r="S225" s="1139">
        <v>42633</v>
      </c>
      <c r="T225" s="1140">
        <v>18700</v>
      </c>
      <c r="U225" s="1140">
        <v>1150</v>
      </c>
      <c r="V225" s="732">
        <f t="shared" si="55"/>
        <v>21505000</v>
      </c>
      <c r="W225" s="748"/>
    </row>
    <row r="226" spans="1:23">
      <c r="R226" s="1143" t="s">
        <v>1814</v>
      </c>
      <c r="S226" s="1139">
        <v>42633</v>
      </c>
      <c r="T226" s="1140">
        <v>1560</v>
      </c>
      <c r="U226" s="1140">
        <v>10000</v>
      </c>
      <c r="V226" s="732">
        <f t="shared" si="55"/>
        <v>15600000</v>
      </c>
      <c r="W226" s="748"/>
    </row>
    <row r="227" spans="1:23">
      <c r="R227" s="1143" t="s">
        <v>2004</v>
      </c>
      <c r="S227" s="1139">
        <v>42633</v>
      </c>
      <c r="T227" s="1140">
        <v>95</v>
      </c>
      <c r="U227" s="1140">
        <v>13500</v>
      </c>
      <c r="V227" s="732">
        <f t="shared" si="55"/>
        <v>1282500</v>
      </c>
      <c r="W227" s="748"/>
    </row>
    <row r="228" spans="1:23">
      <c r="R228" s="1143" t="s">
        <v>1823</v>
      </c>
      <c r="S228" s="1139">
        <v>42633</v>
      </c>
      <c r="T228" s="1140">
        <v>4</v>
      </c>
      <c r="U228" s="1140">
        <v>37000</v>
      </c>
      <c r="V228" s="732">
        <f t="shared" si="55"/>
        <v>148000</v>
      </c>
      <c r="W228" s="748"/>
    </row>
    <row r="229" spans="1:23">
      <c r="R229" s="1143" t="s">
        <v>380</v>
      </c>
      <c r="S229" s="1139">
        <v>42643</v>
      </c>
      <c r="T229" s="1144">
        <v>2000</v>
      </c>
      <c r="U229" s="1144"/>
      <c r="V229" s="732">
        <v>31176000</v>
      </c>
      <c r="W229" s="732"/>
    </row>
    <row r="230" spans="1:23">
      <c r="R230" s="1143" t="s">
        <v>1824</v>
      </c>
      <c r="S230" s="1139">
        <v>42643</v>
      </c>
      <c r="T230" s="1144">
        <v>95</v>
      </c>
      <c r="U230" s="1144">
        <v>37000</v>
      </c>
      <c r="V230" s="732">
        <f>ROUND(T230*U230,0)</f>
        <v>3515000</v>
      </c>
      <c r="W230" s="732"/>
    </row>
    <row r="231" spans="1:23" ht="18.75" customHeight="1">
      <c r="R231" s="762"/>
      <c r="S231" s="735"/>
      <c r="T231" s="740"/>
      <c r="U231" s="740"/>
      <c r="V231" s="732">
        <f>SUM(V217:V228)</f>
        <v>101063900</v>
      </c>
      <c r="W231" s="748"/>
    </row>
    <row r="232" spans="1:23" ht="20.25" customHeight="1">
      <c r="A232" s="715"/>
      <c r="B232" s="715"/>
      <c r="C232" s="716"/>
      <c r="D232" s="715"/>
      <c r="E232" s="715"/>
      <c r="F232" s="715"/>
      <c r="G232" s="715"/>
      <c r="H232" s="715"/>
      <c r="I232" s="715"/>
      <c r="J232" s="715"/>
      <c r="K232" s="715"/>
      <c r="L232" s="714"/>
      <c r="M232" s="715"/>
      <c r="N232" s="715"/>
      <c r="O232" s="717"/>
      <c r="P232" s="715"/>
      <c r="R232" s="706"/>
      <c r="S232" s="713"/>
    </row>
    <row r="233" spans="1:23" ht="20.25" customHeight="1">
      <c r="A233" s="722"/>
      <c r="B233" s="722"/>
      <c r="C233" s="805"/>
      <c r="D233" s="722"/>
      <c r="E233" s="722"/>
      <c r="F233" s="722"/>
      <c r="G233" s="722"/>
      <c r="H233" s="722"/>
      <c r="I233" s="722"/>
      <c r="J233" s="722"/>
      <c r="K233" s="722"/>
      <c r="L233" s="722"/>
      <c r="M233" s="722"/>
      <c r="N233" s="722"/>
      <c r="O233" s="774"/>
      <c r="P233" s="722"/>
      <c r="Q233" s="712"/>
      <c r="R233" s="706"/>
      <c r="S233" s="713"/>
    </row>
    <row r="234" spans="1:23" ht="12.75" customHeight="1">
      <c r="A234" s="707" t="s">
        <v>521</v>
      </c>
      <c r="B234" s="707"/>
      <c r="C234" s="708"/>
      <c r="D234" s="709"/>
      <c r="E234" s="709"/>
      <c r="F234" s="709"/>
      <c r="G234" s="706"/>
      <c r="H234" s="706"/>
      <c r="I234" s="706"/>
      <c r="J234" s="706"/>
      <c r="K234" s="706"/>
      <c r="L234" s="710"/>
      <c r="M234" s="706"/>
      <c r="N234" s="706"/>
      <c r="O234" s="711"/>
      <c r="P234" s="706"/>
      <c r="Q234" s="712"/>
      <c r="R234" s="706"/>
      <c r="S234" s="713"/>
    </row>
    <row r="235" spans="1:23" ht="12.75" customHeight="1">
      <c r="A235" s="714" t="s">
        <v>547</v>
      </c>
      <c r="B235" s="714"/>
      <c r="C235" s="714"/>
      <c r="D235" s="714"/>
      <c r="E235" s="714"/>
      <c r="F235" s="714"/>
      <c r="G235" s="714"/>
      <c r="H235" s="714"/>
      <c r="I235" s="714"/>
      <c r="J235" s="714"/>
      <c r="K235" s="714"/>
      <c r="L235" s="714"/>
      <c r="M235" s="714"/>
      <c r="N235" s="714"/>
      <c r="O235" s="714"/>
      <c r="P235" s="714"/>
      <c r="Q235" s="712"/>
      <c r="R235" s="706"/>
      <c r="S235" s="713"/>
    </row>
    <row r="236" spans="1:23" ht="12.75" customHeight="1">
      <c r="A236" s="715"/>
      <c r="B236" s="715"/>
      <c r="C236" s="716"/>
      <c r="D236" s="715"/>
      <c r="E236" s="715"/>
      <c r="F236" s="715"/>
      <c r="G236" s="715"/>
      <c r="H236" s="715"/>
      <c r="I236" s="715"/>
      <c r="J236" s="715"/>
      <c r="K236" s="715"/>
      <c r="L236" s="714"/>
      <c r="M236" s="715"/>
      <c r="N236" s="715"/>
      <c r="O236" s="717"/>
      <c r="P236" s="715"/>
      <c r="Q236" s="712"/>
      <c r="R236" s="706"/>
      <c r="S236" s="713"/>
    </row>
    <row r="237" spans="1:23" s="729" customFormat="1" ht="12.75" customHeight="1">
      <c r="A237" s="718"/>
      <c r="B237" s="718"/>
      <c r="C237" s="719"/>
      <c r="D237" s="718"/>
      <c r="E237" s="718"/>
      <c r="F237" s="718"/>
      <c r="G237" s="718"/>
      <c r="H237" s="718"/>
      <c r="I237" s="718"/>
      <c r="J237" s="718"/>
      <c r="K237" s="718"/>
      <c r="L237" s="718"/>
      <c r="M237" s="718"/>
      <c r="N237" s="718"/>
      <c r="O237" s="720"/>
      <c r="P237" s="718"/>
      <c r="Q237" s="712"/>
      <c r="R237" s="706"/>
      <c r="S237" s="713"/>
      <c r="T237" s="706"/>
      <c r="U237" s="706"/>
      <c r="V237" s="703"/>
      <c r="W237" s="703"/>
    </row>
    <row r="238" spans="1:23" ht="38.25" customHeight="1">
      <c r="A238" s="723" t="s">
        <v>35</v>
      </c>
      <c r="B238" s="723" t="s">
        <v>523</v>
      </c>
      <c r="C238" s="724" t="s">
        <v>524</v>
      </c>
      <c r="D238" s="725" t="s">
        <v>525</v>
      </c>
      <c r="E238" s="725" t="s">
        <v>526</v>
      </c>
      <c r="F238" s="725" t="s">
        <v>527</v>
      </c>
      <c r="G238" s="725" t="s">
        <v>528</v>
      </c>
      <c r="H238" s="725" t="s">
        <v>529</v>
      </c>
      <c r="I238" s="725" t="s">
        <v>530</v>
      </c>
      <c r="J238" s="725" t="s">
        <v>531</v>
      </c>
      <c r="K238" s="726" t="s">
        <v>532</v>
      </c>
      <c r="L238" s="725" t="s">
        <v>533</v>
      </c>
      <c r="M238" s="726" t="s">
        <v>534</v>
      </c>
      <c r="N238" s="725" t="s">
        <v>535</v>
      </c>
      <c r="O238" s="727" t="s">
        <v>526</v>
      </c>
      <c r="P238" s="725" t="s">
        <v>536</v>
      </c>
      <c r="Q238" s="712"/>
      <c r="R238" s="723" t="s">
        <v>523</v>
      </c>
      <c r="S238" s="725" t="s">
        <v>490</v>
      </c>
      <c r="T238" s="725" t="s">
        <v>330</v>
      </c>
      <c r="U238" s="725" t="s">
        <v>527</v>
      </c>
      <c r="V238" s="725" t="s">
        <v>537</v>
      </c>
      <c r="W238" s="723" t="s">
        <v>537</v>
      </c>
    </row>
    <row r="239" spans="1:23" ht="13.5" customHeight="1">
      <c r="A239" s="730">
        <f>IF(B239&lt;&gt;"",ROW()-(ROW()-1),"")</f>
        <v>1</v>
      </c>
      <c r="B239" s="742" t="s">
        <v>431</v>
      </c>
      <c r="C239" s="1148">
        <v>4.8</v>
      </c>
      <c r="D239" s="1252">
        <f>ROUND(C239*O239,0)</f>
        <v>112320</v>
      </c>
      <c r="E239" s="583"/>
      <c r="F239" s="1255">
        <v>18500</v>
      </c>
      <c r="G239" s="732">
        <f>(D239+E239)*F239</f>
        <v>2077920000</v>
      </c>
      <c r="H239" s="583">
        <f>IF($D$244&lt;&gt;0,H$244/($D$244+$E$244/4)*($D239+$E239/4),0)</f>
        <v>30717231.947527751</v>
      </c>
      <c r="I239" s="583">
        <f t="shared" ref="I239:K242" si="56">IF($D$244&lt;&gt;0,I$244/$D$244*$D239,0)</f>
        <v>24927283.997981839</v>
      </c>
      <c r="J239" s="583">
        <f t="shared" si="56"/>
        <v>24952809.242179617</v>
      </c>
      <c r="K239" s="583">
        <f t="shared" si="56"/>
        <v>21063184.501513623</v>
      </c>
      <c r="L239" s="1197">
        <f>((V253/75400)*23400)+V251</f>
        <v>39087241.37931034</v>
      </c>
      <c r="M239" s="583"/>
      <c r="N239" s="732">
        <f>ROUND(SUM(G239:L239),0)</f>
        <v>2218667751</v>
      </c>
      <c r="O239" s="1150">
        <v>23400</v>
      </c>
      <c r="P239" s="583">
        <f>IF(N239&lt;&gt;0,N239/O239,0)</f>
        <v>94814.861153846156</v>
      </c>
      <c r="Q239" s="728"/>
      <c r="R239" s="734" t="s">
        <v>332</v>
      </c>
      <c r="S239" s="1139">
        <v>42644</v>
      </c>
      <c r="T239" s="1140">
        <v>50</v>
      </c>
      <c r="U239" s="1140">
        <v>35444.4444</v>
      </c>
      <c r="V239" s="732">
        <f>ROUND(T239*U239,0)</f>
        <v>1772222</v>
      </c>
      <c r="W239" s="732"/>
    </row>
    <row r="240" spans="1:23" ht="13.5" customHeight="1">
      <c r="A240" s="730">
        <f>IF(B240&lt;&gt;"",A239+1,"")</f>
        <v>2</v>
      </c>
      <c r="B240" s="1154" t="s">
        <v>443</v>
      </c>
      <c r="C240" s="1148">
        <v>8</v>
      </c>
      <c r="D240" s="1252">
        <f>ROUND(C240*O240,0)</f>
        <v>38400</v>
      </c>
      <c r="E240" s="583"/>
      <c r="F240" s="1275">
        <v>18000</v>
      </c>
      <c r="G240" s="732">
        <f>(D240+E240)*F240</f>
        <v>691200000</v>
      </c>
      <c r="H240" s="583">
        <f>IF($D$244&lt;&gt;0,H$244/($D$244+$E$244/4)*($D240+$E240/4),0)</f>
        <v>10501617.759838548</v>
      </c>
      <c r="I240" s="583">
        <f t="shared" si="56"/>
        <v>8522148.3753784057</v>
      </c>
      <c r="J240" s="583">
        <f t="shared" si="56"/>
        <v>8530874.9545913227</v>
      </c>
      <c r="K240" s="583">
        <f t="shared" si="56"/>
        <v>7201088.7184661962</v>
      </c>
      <c r="L240" s="1149">
        <f>V248+V249+V250</f>
        <v>31186400</v>
      </c>
      <c r="M240" s="583"/>
      <c r="N240" s="732">
        <f>ROUND(SUM(G240:L240),0)</f>
        <v>757142130</v>
      </c>
      <c r="O240" s="1150">
        <v>4800</v>
      </c>
      <c r="P240" s="583">
        <f>IF(N240&lt;&gt;0,N240/O240,0)</f>
        <v>157737.94375000001</v>
      </c>
      <c r="Q240" s="751"/>
      <c r="R240" s="739" t="s">
        <v>338</v>
      </c>
      <c r="S240" s="1139">
        <v>42644</v>
      </c>
      <c r="T240" s="1140">
        <v>750</v>
      </c>
      <c r="U240" s="1140"/>
      <c r="V240" s="732">
        <v>36333690</v>
      </c>
      <c r="W240" s="748"/>
    </row>
    <row r="241" spans="1:23" ht="13.5" customHeight="1">
      <c r="A241" s="730">
        <f>IF(B241&lt;&gt;"",A240+1,"")</f>
        <v>3</v>
      </c>
      <c r="B241" s="742" t="s">
        <v>455</v>
      </c>
      <c r="C241" s="731">
        <v>3.2</v>
      </c>
      <c r="D241" s="1252">
        <f>ROUND(C241*O241,0)</f>
        <v>166400</v>
      </c>
      <c r="E241" s="583"/>
      <c r="F241" s="1255">
        <v>18500</v>
      </c>
      <c r="G241" s="732">
        <f>(D241+E241)*F241</f>
        <v>3078400000</v>
      </c>
      <c r="H241" s="583">
        <f>IF($D$244&lt;&gt;0,H$244/($D$244+$E$244/4)*($D241+$E241/4),0)</f>
        <v>45507010.292633705</v>
      </c>
      <c r="I241" s="583">
        <f t="shared" si="56"/>
        <v>36929309.626639761</v>
      </c>
      <c r="J241" s="583">
        <f t="shared" si="56"/>
        <v>36967124.803229064</v>
      </c>
      <c r="K241" s="583">
        <f t="shared" si="56"/>
        <v>31204717.780020185</v>
      </c>
      <c r="L241" s="1197">
        <f>((V253/75400)*52000)+V252</f>
        <v>64082758.620689653</v>
      </c>
      <c r="M241" s="583"/>
      <c r="N241" s="732">
        <f>ROUND(SUM(G241:L241),0)</f>
        <v>3293090921</v>
      </c>
      <c r="O241" s="1150">
        <v>52000</v>
      </c>
      <c r="P241" s="583">
        <f>IF(N241&lt;&gt;0,N241/O241,0)</f>
        <v>63328.671557692309</v>
      </c>
      <c r="Q241" s="751"/>
      <c r="R241" s="739" t="s">
        <v>341</v>
      </c>
      <c r="S241" s="1139">
        <v>42644</v>
      </c>
      <c r="T241" s="1140">
        <v>450</v>
      </c>
      <c r="U241" s="1140">
        <v>14095</v>
      </c>
      <c r="V241" s="732">
        <f>ROUND(T241*U241,0)</f>
        <v>6342750</v>
      </c>
      <c r="W241" s="748"/>
    </row>
    <row r="242" spans="1:23">
      <c r="A242" s="730" t="str">
        <f>IF(B242&lt;&gt;"",A241+1,"")</f>
        <v/>
      </c>
      <c r="B242" s="742"/>
      <c r="C242" s="731">
        <f>IF(ISNA(VLOOKUP(B242,NXT!$Q$79:$S$100,2,0)),0,VLOOKUP(B242,NXT!$Q$79:$S$100,2,0))</f>
        <v>0</v>
      </c>
      <c r="D242" s="583">
        <f>ROUND(C242*O242,0)</f>
        <v>0</v>
      </c>
      <c r="E242" s="583"/>
      <c r="F242" s="583"/>
      <c r="G242" s="732">
        <f>(D242+E242)*F242</f>
        <v>0</v>
      </c>
      <c r="H242" s="583">
        <f>IF($D$244&lt;&gt;0,H$244/($D$244+$E$244/4)*($D242+$E242/4),0)</f>
        <v>0</v>
      </c>
      <c r="I242" s="583">
        <f t="shared" si="56"/>
        <v>0</v>
      </c>
      <c r="J242" s="583">
        <f t="shared" si="56"/>
        <v>0</v>
      </c>
      <c r="K242" s="583">
        <f t="shared" si="56"/>
        <v>0</v>
      </c>
      <c r="L242" s="583"/>
      <c r="M242" s="583"/>
      <c r="N242" s="732">
        <f>ROUND(SUM(G242:L242),0)</f>
        <v>0</v>
      </c>
      <c r="O242" s="738"/>
      <c r="P242" s="583">
        <f>IF(N242&lt;&gt;0,N242/O242,0)</f>
        <v>0</v>
      </c>
      <c r="Q242" s="751"/>
      <c r="R242" s="739" t="s">
        <v>346</v>
      </c>
      <c r="S242" s="1139">
        <v>42644</v>
      </c>
      <c r="T242" s="1140">
        <v>1500</v>
      </c>
      <c r="U242" s="1140">
        <v>3200</v>
      </c>
      <c r="V242" s="732">
        <f>ROUND(T242*U242,0)</f>
        <v>4800000</v>
      </c>
      <c r="W242" s="748"/>
    </row>
    <row r="243" spans="1:23" ht="13.5" customHeight="1">
      <c r="A243" s="730" t="str">
        <f>IF(B243&lt;&gt;"",#REF!+1,"")</f>
        <v/>
      </c>
      <c r="B243" s="743"/>
      <c r="C243" s="744"/>
      <c r="D243" s="746"/>
      <c r="E243" s="746"/>
      <c r="F243" s="746"/>
      <c r="G243" s="747"/>
      <c r="H243" s="792"/>
      <c r="I243" s="746"/>
      <c r="J243" s="748"/>
      <c r="K243" s="746"/>
      <c r="L243" s="749"/>
      <c r="M243" s="746"/>
      <c r="N243" s="780"/>
      <c r="O243" s="750"/>
      <c r="P243" s="746"/>
      <c r="Q243" s="751"/>
      <c r="R243" s="1141" t="s">
        <v>349</v>
      </c>
      <c r="S243" s="1139">
        <v>42644</v>
      </c>
      <c r="T243" s="1140">
        <v>1310</v>
      </c>
      <c r="U243" s="1140">
        <v>14728</v>
      </c>
      <c r="V243" s="732">
        <f>ROUND(T243*U243,0)</f>
        <v>19293680</v>
      </c>
      <c r="W243" s="748"/>
    </row>
    <row r="244" spans="1:23" ht="13.5" customHeight="1">
      <c r="A244" s="753"/>
      <c r="B244" s="754" t="s">
        <v>538</v>
      </c>
      <c r="C244" s="755"/>
      <c r="D244" s="756">
        <f>SUM(D239:D243)</f>
        <v>317120</v>
      </c>
      <c r="E244" s="756">
        <f>SUM(E239:E243)</f>
        <v>0</v>
      </c>
      <c r="F244" s="756"/>
      <c r="G244" s="756">
        <f>SUM(G239:G243)</f>
        <v>5847520000</v>
      </c>
      <c r="H244" s="757">
        <v>86725860</v>
      </c>
      <c r="I244" s="757">
        <f>V247</f>
        <v>70378742</v>
      </c>
      <c r="J244" s="1147">
        <v>70450809</v>
      </c>
      <c r="K244" s="757">
        <v>59468991</v>
      </c>
      <c r="L244" s="756">
        <f>ROUND(SUM(L239:L243),0)</f>
        <v>134356400</v>
      </c>
      <c r="M244" s="756">
        <f>ROUND(SUM(M239:M243),0)</f>
        <v>0</v>
      </c>
      <c r="N244" s="756">
        <f>ROUND(SUM(N239:N243),0)</f>
        <v>6268900802</v>
      </c>
      <c r="O244" s="756">
        <f>ROUND(SUM(O239:O243),0)</f>
        <v>80200</v>
      </c>
      <c r="P244" s="756"/>
      <c r="Q244" s="751"/>
      <c r="R244" s="1141" t="s">
        <v>1389</v>
      </c>
      <c r="S244" s="1139">
        <v>42644</v>
      </c>
      <c r="T244" s="1140">
        <v>50</v>
      </c>
      <c r="U244" s="1144">
        <v>12728</v>
      </c>
      <c r="V244" s="732">
        <f>ROUND(T244*U244,0)</f>
        <v>636400</v>
      </c>
      <c r="W244" s="748"/>
    </row>
    <row r="245" spans="1:23" ht="13.5" customHeight="1">
      <c r="Q245" s="751"/>
      <c r="R245" s="1141" t="s">
        <v>352</v>
      </c>
      <c r="S245" s="1139">
        <v>42653</v>
      </c>
      <c r="T245" s="1140">
        <v>150</v>
      </c>
      <c r="U245" s="1140">
        <v>8000</v>
      </c>
      <c r="V245" s="732">
        <f>ROUND(T245*U245,0)</f>
        <v>1200000</v>
      </c>
      <c r="W245" s="748"/>
    </row>
    <row r="246" spans="1:23">
      <c r="Q246" s="751"/>
      <c r="R246" s="802"/>
      <c r="S246" s="735"/>
      <c r="T246" s="222"/>
      <c r="U246" s="222"/>
      <c r="V246" s="748"/>
      <c r="W246" s="748"/>
    </row>
    <row r="247" spans="1:23">
      <c r="Q247" s="751"/>
      <c r="R247" s="785"/>
      <c r="S247" s="786"/>
      <c r="T247" s="787"/>
      <c r="U247" s="803"/>
      <c r="V247" s="766">
        <f>SUM(V239:V246)</f>
        <v>70378742</v>
      </c>
      <c r="W247" s="766">
        <f>SUM(W239:W246)</f>
        <v>0</v>
      </c>
    </row>
    <row r="248" spans="1:23" s="752" customFormat="1">
      <c r="A248" s="703"/>
      <c r="B248" s="703"/>
      <c r="C248" s="703"/>
      <c r="D248" s="703"/>
      <c r="E248" s="703"/>
      <c r="F248" s="703"/>
      <c r="G248" s="703"/>
      <c r="H248" s="703"/>
      <c r="I248" s="703"/>
      <c r="J248" s="703"/>
      <c r="K248" s="703"/>
      <c r="L248" s="703"/>
      <c r="M248" s="703"/>
      <c r="N248" s="703"/>
      <c r="O248" s="703"/>
      <c r="P248" s="703"/>
      <c r="Q248" s="751"/>
      <c r="R248" s="1143" t="s">
        <v>638</v>
      </c>
      <c r="S248" s="1139">
        <v>42653</v>
      </c>
      <c r="T248" s="1140">
        <v>1600</v>
      </c>
      <c r="U248" s="1144">
        <v>14000</v>
      </c>
      <c r="V248" s="732">
        <f t="shared" ref="V248:V253" si="57">ROUND(T248*U248,0)</f>
        <v>22400000</v>
      </c>
      <c r="W248" s="732"/>
    </row>
    <row r="249" spans="1:23" s="707" customFormat="1">
      <c r="A249" s="703"/>
      <c r="B249" s="703"/>
      <c r="C249" s="703"/>
      <c r="D249" s="703"/>
      <c r="E249" s="703"/>
      <c r="F249" s="703"/>
      <c r="G249" s="703"/>
      <c r="H249" s="703"/>
      <c r="I249" s="703"/>
      <c r="J249" s="703"/>
      <c r="K249" s="703"/>
      <c r="L249" s="703"/>
      <c r="M249" s="703"/>
      <c r="N249" s="703"/>
      <c r="O249" s="703"/>
      <c r="P249" s="703"/>
      <c r="Q249" s="751"/>
      <c r="R249" s="1142" t="s">
        <v>394</v>
      </c>
      <c r="S249" s="1139">
        <v>42653</v>
      </c>
      <c r="T249" s="1144">
        <v>252</v>
      </c>
      <c r="U249" s="1144">
        <v>18200</v>
      </c>
      <c r="V249" s="732">
        <f t="shared" si="57"/>
        <v>4586400</v>
      </c>
      <c r="W249" s="732"/>
    </row>
    <row r="250" spans="1:23">
      <c r="Q250" s="751"/>
      <c r="R250" s="1143" t="s">
        <v>380</v>
      </c>
      <c r="S250" s="1139">
        <v>42653</v>
      </c>
      <c r="T250" s="1144">
        <v>250</v>
      </c>
      <c r="U250" s="1144">
        <v>16800</v>
      </c>
      <c r="V250" s="732">
        <f t="shared" si="57"/>
        <v>4200000</v>
      </c>
      <c r="W250" s="732"/>
    </row>
    <row r="251" spans="1:23">
      <c r="Q251" s="751"/>
      <c r="R251" s="1143" t="s">
        <v>2005</v>
      </c>
      <c r="S251" s="1145">
        <v>42653</v>
      </c>
      <c r="T251" s="1144">
        <v>2000</v>
      </c>
      <c r="U251" s="1144">
        <v>10300</v>
      </c>
      <c r="V251" s="732">
        <f t="shared" si="57"/>
        <v>20600000</v>
      </c>
      <c r="W251" s="732"/>
    </row>
    <row r="252" spans="1:23">
      <c r="Q252" s="751"/>
      <c r="R252" s="1143" t="s">
        <v>1819</v>
      </c>
      <c r="S252" s="1145">
        <v>42653</v>
      </c>
      <c r="T252" s="1144">
        <v>2000</v>
      </c>
      <c r="U252" s="1144">
        <v>11500</v>
      </c>
      <c r="V252" s="732">
        <f t="shared" si="57"/>
        <v>23000000</v>
      </c>
      <c r="W252" s="748"/>
    </row>
    <row r="253" spans="1:23">
      <c r="Q253" s="751"/>
      <c r="R253" s="1146" t="s">
        <v>1821</v>
      </c>
      <c r="S253" s="1145">
        <v>42653</v>
      </c>
      <c r="T253" s="1144">
        <v>51800</v>
      </c>
      <c r="U253" s="1144">
        <v>1150</v>
      </c>
      <c r="V253" s="732">
        <f t="shared" si="57"/>
        <v>59570000</v>
      </c>
      <c r="W253" s="748"/>
    </row>
    <row r="254" spans="1:23">
      <c r="Q254" s="751"/>
      <c r="R254" s="739"/>
      <c r="S254" s="798"/>
      <c r="T254" s="740"/>
      <c r="U254" s="740"/>
      <c r="V254" s="732">
        <f>SUM(V248:V253)</f>
        <v>134356400</v>
      </c>
      <c r="W254" s="748"/>
    </row>
    <row r="255" spans="1:23">
      <c r="R255" s="739"/>
      <c r="S255" s="735"/>
      <c r="T255" s="740"/>
      <c r="U255" s="740"/>
      <c r="V255" s="732"/>
      <c r="W255" s="748"/>
    </row>
    <row r="256" spans="1:23">
      <c r="R256" s="762"/>
      <c r="S256" s="735"/>
      <c r="T256" s="740"/>
      <c r="U256" s="740"/>
      <c r="V256" s="732"/>
      <c r="W256" s="748"/>
    </row>
    <row r="257" spans="1:25">
      <c r="R257" s="762"/>
      <c r="S257" s="735"/>
      <c r="T257" s="740"/>
      <c r="U257" s="740"/>
      <c r="V257" s="732"/>
      <c r="W257" s="748"/>
    </row>
    <row r="258" spans="1:25">
      <c r="R258" s="762"/>
      <c r="S258" s="735"/>
      <c r="T258" s="740"/>
      <c r="U258" s="740"/>
      <c r="V258" s="732"/>
      <c r="W258" s="748"/>
    </row>
    <row r="259" spans="1:25">
      <c r="R259" s="762"/>
      <c r="S259" s="735"/>
      <c r="T259" s="740"/>
      <c r="U259" s="740"/>
      <c r="V259" s="732"/>
      <c r="W259" s="748"/>
    </row>
    <row r="260" spans="1:25">
      <c r="R260" s="712"/>
      <c r="S260" s="789"/>
      <c r="T260" s="722"/>
      <c r="U260" s="722"/>
      <c r="V260" s="760"/>
      <c r="W260" s="790"/>
      <c r="X260" s="706"/>
      <c r="Y260" s="706"/>
    </row>
    <row r="261" spans="1:25">
      <c r="R261" s="706"/>
      <c r="S261" s="713"/>
    </row>
    <row r="262" spans="1:25">
      <c r="R262" s="706"/>
      <c r="S262" s="713"/>
    </row>
    <row r="263" spans="1:25">
      <c r="A263" s="707" t="s">
        <v>521</v>
      </c>
      <c r="B263" s="707"/>
      <c r="C263" s="708"/>
      <c r="D263" s="709"/>
      <c r="E263" s="709"/>
      <c r="F263" s="709"/>
      <c r="G263" s="706"/>
      <c r="H263" s="706"/>
      <c r="I263" s="706"/>
      <c r="J263" s="706"/>
      <c r="K263" s="706"/>
      <c r="L263" s="710"/>
      <c r="M263" s="706"/>
      <c r="N263" s="706"/>
      <c r="O263" s="711"/>
      <c r="P263" s="706"/>
      <c r="R263" s="706"/>
      <c r="S263" s="713"/>
    </row>
    <row r="264" spans="1:25">
      <c r="A264" s="714" t="s">
        <v>548</v>
      </c>
      <c r="B264" s="714"/>
      <c r="C264" s="714"/>
      <c r="D264" s="714"/>
      <c r="E264" s="714"/>
      <c r="F264" s="714"/>
      <c r="G264" s="714"/>
      <c r="H264" s="714"/>
      <c r="I264" s="714"/>
      <c r="J264" s="714"/>
      <c r="K264" s="714"/>
      <c r="L264" s="714"/>
      <c r="M264" s="714"/>
      <c r="N264" s="714"/>
      <c r="O264" s="714"/>
      <c r="P264" s="714"/>
      <c r="R264" s="706"/>
      <c r="S264" s="713"/>
    </row>
    <row r="265" spans="1:25">
      <c r="A265" s="715"/>
      <c r="B265" s="715"/>
      <c r="C265" s="716"/>
      <c r="D265" s="715"/>
      <c r="E265" s="715"/>
      <c r="F265" s="715"/>
      <c r="G265" s="715"/>
      <c r="H265" s="715"/>
      <c r="I265" s="715"/>
      <c r="J265" s="715"/>
      <c r="K265" s="715"/>
      <c r="L265" s="714"/>
      <c r="M265" s="715"/>
      <c r="N265" s="715"/>
      <c r="O265" s="717"/>
      <c r="P265" s="715"/>
      <c r="R265" s="706"/>
      <c r="S265" s="713"/>
    </row>
    <row r="266" spans="1:25">
      <c r="A266" s="718"/>
      <c r="B266" s="718"/>
      <c r="C266" s="719"/>
      <c r="D266" s="718"/>
      <c r="E266" s="718"/>
      <c r="F266" s="718"/>
      <c r="G266" s="718"/>
      <c r="H266" s="718"/>
      <c r="I266" s="718"/>
      <c r="J266" s="718"/>
      <c r="K266" s="718"/>
      <c r="L266" s="718"/>
      <c r="M266" s="718"/>
      <c r="N266" s="718"/>
      <c r="O266" s="720"/>
      <c r="P266" s="718"/>
      <c r="R266" s="706"/>
      <c r="S266" s="713"/>
    </row>
    <row r="267" spans="1:25" ht="31.5" customHeight="1">
      <c r="A267" s="723" t="s">
        <v>35</v>
      </c>
      <c r="B267" s="723" t="s">
        <v>523</v>
      </c>
      <c r="C267" s="724" t="s">
        <v>524</v>
      </c>
      <c r="D267" s="725" t="s">
        <v>525</v>
      </c>
      <c r="E267" s="725" t="s">
        <v>526</v>
      </c>
      <c r="F267" s="725" t="s">
        <v>527</v>
      </c>
      <c r="G267" s="725" t="s">
        <v>528</v>
      </c>
      <c r="H267" s="725" t="s">
        <v>529</v>
      </c>
      <c r="I267" s="725" t="s">
        <v>530</v>
      </c>
      <c r="J267" s="725" t="s">
        <v>531</v>
      </c>
      <c r="K267" s="726" t="s">
        <v>532</v>
      </c>
      <c r="L267" s="725" t="s">
        <v>533</v>
      </c>
      <c r="M267" s="726" t="s">
        <v>534</v>
      </c>
      <c r="N267" s="725" t="s">
        <v>535</v>
      </c>
      <c r="O267" s="727" t="s">
        <v>526</v>
      </c>
      <c r="P267" s="725" t="s">
        <v>536</v>
      </c>
      <c r="R267" s="723" t="s">
        <v>523</v>
      </c>
      <c r="S267" s="725" t="s">
        <v>490</v>
      </c>
      <c r="T267" s="725" t="s">
        <v>330</v>
      </c>
      <c r="U267" s="725" t="s">
        <v>527</v>
      </c>
      <c r="V267" s="725" t="s">
        <v>537</v>
      </c>
      <c r="W267" s="723" t="s">
        <v>537</v>
      </c>
    </row>
    <row r="268" spans="1:25" ht="15" customHeight="1">
      <c r="A268" s="797">
        <f>IF(B268&lt;&gt;"",ROW()-(ROW()-1),"")</f>
        <v>1</v>
      </c>
      <c r="B268" s="477" t="s">
        <v>455</v>
      </c>
      <c r="C268" s="1221">
        <v>3.2</v>
      </c>
      <c r="D268" s="1251">
        <f t="shared" ref="D268:D273" si="58">ROUND(C268*O268,0)</f>
        <v>582400</v>
      </c>
      <c r="E268" s="1215"/>
      <c r="F268" s="1215">
        <v>18000</v>
      </c>
      <c r="G268" s="1216">
        <f t="shared" ref="G268:G273" si="59">(D268+E268)*F268</f>
        <v>10483200000</v>
      </c>
      <c r="H268" s="1215"/>
      <c r="I268" s="1215"/>
      <c r="J268" s="1215"/>
      <c r="K268" s="1215"/>
      <c r="L268" s="1216">
        <f>V289</f>
        <v>63000000</v>
      </c>
      <c r="M268" s="1215">
        <v>1820000000</v>
      </c>
      <c r="N268" s="1216">
        <f t="shared" ref="N268:N273" si="60">ROUND(SUM(G268:M268),0)</f>
        <v>12366200000</v>
      </c>
      <c r="O268" s="1215">
        <v>182000</v>
      </c>
      <c r="P268" s="1215">
        <f t="shared" ref="P268:P273" si="61">IF(N268&lt;&gt;0,N268/O268,0)</f>
        <v>67946.153846153844</v>
      </c>
      <c r="R268" s="734" t="s">
        <v>332</v>
      </c>
      <c r="S268" s="798">
        <v>42675</v>
      </c>
      <c r="T268" s="222">
        <v>100</v>
      </c>
      <c r="U268" s="222">
        <v>35444.46</v>
      </c>
      <c r="V268" s="732">
        <f>ROUND(T268*U268,0)</f>
        <v>3544446</v>
      </c>
      <c r="W268" s="732"/>
    </row>
    <row r="269" spans="1:25" ht="15" customHeight="1">
      <c r="A269" s="799">
        <f>A268+1</f>
        <v>2</v>
      </c>
      <c r="B269" s="479" t="s">
        <v>455</v>
      </c>
      <c r="C269" s="731">
        <v>3.5</v>
      </c>
      <c r="D269" s="1239">
        <f t="shared" si="58"/>
        <v>680362</v>
      </c>
      <c r="E269" s="738"/>
      <c r="F269" s="738">
        <v>18000</v>
      </c>
      <c r="G269" s="748">
        <f t="shared" si="59"/>
        <v>12246516000</v>
      </c>
      <c r="H269" s="738">
        <f t="shared" ref="H269:K273" si="62">IF($D$275&lt;&gt;0,H$275/($D$275+$E$275/4)*($D269+$E269/4),0)</f>
        <v>56196754.056116328</v>
      </c>
      <c r="I269" s="738">
        <f t="shared" si="62"/>
        <v>68350907.360650241</v>
      </c>
      <c r="J269" s="738">
        <f t="shared" si="62"/>
        <v>86399034.255916446</v>
      </c>
      <c r="K269" s="738">
        <f t="shared" si="62"/>
        <v>42926937.63751854</v>
      </c>
      <c r="L269" s="738">
        <f>V290+V291</f>
        <v>74688500</v>
      </c>
      <c r="M269" s="738"/>
      <c r="N269" s="748">
        <f t="shared" si="60"/>
        <v>12575078133</v>
      </c>
      <c r="O269" s="738">
        <v>194389</v>
      </c>
      <c r="P269" s="738">
        <f t="shared" si="61"/>
        <v>64690.276368518797</v>
      </c>
      <c r="R269" s="739" t="s">
        <v>338</v>
      </c>
      <c r="S269" s="798">
        <v>42675</v>
      </c>
      <c r="T269" s="222">
        <v>1030</v>
      </c>
      <c r="U269" s="222"/>
      <c r="V269" s="732">
        <v>50478926</v>
      </c>
      <c r="W269" s="748"/>
    </row>
    <row r="270" spans="1:25" ht="15" customHeight="1">
      <c r="A270" s="799">
        <f>A269+1</f>
        <v>3</v>
      </c>
      <c r="B270" s="479" t="s">
        <v>1889</v>
      </c>
      <c r="C270" s="731">
        <v>8</v>
      </c>
      <c r="D270" s="1239">
        <f t="shared" si="58"/>
        <v>80000</v>
      </c>
      <c r="E270" s="738"/>
      <c r="F270" s="1256">
        <v>19000</v>
      </c>
      <c r="G270" s="748">
        <f t="shared" si="59"/>
        <v>1520000000</v>
      </c>
      <c r="H270" s="738">
        <f t="shared" si="62"/>
        <v>6607865.1137031559</v>
      </c>
      <c r="I270" s="738">
        <f t="shared" si="62"/>
        <v>8037004.6958119636</v>
      </c>
      <c r="J270" s="738">
        <f t="shared" si="62"/>
        <v>10159183.993922817</v>
      </c>
      <c r="K270" s="738">
        <f t="shared" si="62"/>
        <v>5047540.8841197528</v>
      </c>
      <c r="L270" s="738">
        <f>V287+V288</f>
        <v>17980500</v>
      </c>
      <c r="M270" s="738"/>
      <c r="N270" s="748">
        <f t="shared" si="60"/>
        <v>1567832095</v>
      </c>
      <c r="O270" s="738">
        <v>10000</v>
      </c>
      <c r="P270" s="738">
        <f>IF(N270&lt;&gt;0,N270/O270,0)</f>
        <v>156783.2095</v>
      </c>
      <c r="R270" s="739" t="s">
        <v>341</v>
      </c>
      <c r="S270" s="798">
        <v>42675</v>
      </c>
      <c r="T270" s="222">
        <v>1550</v>
      </c>
      <c r="U270" s="222">
        <v>14095.550967741936</v>
      </c>
      <c r="V270" s="732">
        <v>21848009</v>
      </c>
      <c r="W270" s="748"/>
    </row>
    <row r="271" spans="1:25" ht="15" customHeight="1">
      <c r="A271" s="799">
        <f>A270+1</f>
        <v>4</v>
      </c>
      <c r="B271" s="742" t="s">
        <v>442</v>
      </c>
      <c r="C271" s="731">
        <f>IF(ISNA(VLOOKUP(B271,NXT!$Q$79:$S$100,2,0)),0,VLOOKUP(B271,NXT!$Q$79:$S$100,3,0))</f>
        <v>11</v>
      </c>
      <c r="D271" s="1239">
        <f t="shared" si="58"/>
        <v>110000</v>
      </c>
      <c r="E271" s="738"/>
      <c r="F271" s="738">
        <v>16500</v>
      </c>
      <c r="G271" s="748">
        <f t="shared" si="59"/>
        <v>1815000000</v>
      </c>
      <c r="H271" s="738">
        <f t="shared" si="62"/>
        <v>9085814.5313418396</v>
      </c>
      <c r="I271" s="738">
        <f t="shared" si="62"/>
        <v>11050881.45674145</v>
      </c>
      <c r="J271" s="738">
        <f t="shared" si="62"/>
        <v>13968877.991643874</v>
      </c>
      <c r="K271" s="738">
        <f t="shared" si="62"/>
        <v>6940368.7156646596</v>
      </c>
      <c r="L271" s="738">
        <f>V283+V284</f>
        <v>18945000</v>
      </c>
      <c r="M271" s="738"/>
      <c r="N271" s="748">
        <f t="shared" si="60"/>
        <v>1874990943</v>
      </c>
      <c r="O271" s="738">
        <v>10000</v>
      </c>
      <c r="P271" s="738">
        <f t="shared" si="61"/>
        <v>187499.0943</v>
      </c>
      <c r="Q271" s="712"/>
      <c r="R271" s="739" t="s">
        <v>346</v>
      </c>
      <c r="S271" s="798">
        <v>42675</v>
      </c>
      <c r="T271" s="222">
        <v>1500</v>
      </c>
      <c r="U271" s="222">
        <v>3200</v>
      </c>
      <c r="V271" s="732">
        <f t="shared" ref="V271:V278" si="63">ROUND(T271*U271,0)</f>
        <v>4800000</v>
      </c>
      <c r="W271" s="748"/>
    </row>
    <row r="272" spans="1:25" ht="15" customHeight="1">
      <c r="A272" s="799">
        <f>A271+1</f>
        <v>5</v>
      </c>
      <c r="B272" s="742" t="s">
        <v>435</v>
      </c>
      <c r="C272" s="731">
        <f>IF(ISNA(VLOOKUP(B272,NXT!$Q$79:$S$100,2,0)),0,VLOOKUP(B272,NXT!$Q$79:$S$100,3,0))</f>
        <v>5</v>
      </c>
      <c r="D272" s="1239">
        <f t="shared" si="58"/>
        <v>33780</v>
      </c>
      <c r="E272" s="738"/>
      <c r="F272" s="738">
        <v>26000</v>
      </c>
      <c r="G272" s="748">
        <f t="shared" si="59"/>
        <v>878280000</v>
      </c>
      <c r="H272" s="738">
        <f t="shared" si="62"/>
        <v>2790171.0442611575</v>
      </c>
      <c r="I272" s="738">
        <f t="shared" si="62"/>
        <v>3393625.2328066016</v>
      </c>
      <c r="J272" s="738">
        <f t="shared" si="62"/>
        <v>4289715.4414339093</v>
      </c>
      <c r="K272" s="738">
        <f t="shared" si="62"/>
        <v>2131324.1383195654</v>
      </c>
      <c r="L272" s="738">
        <f>V285+V286</f>
        <v>5293000</v>
      </c>
      <c r="M272" s="738"/>
      <c r="N272" s="748">
        <f t="shared" si="60"/>
        <v>896177836</v>
      </c>
      <c r="O272" s="738">
        <v>6756</v>
      </c>
      <c r="P272" s="738">
        <f t="shared" si="61"/>
        <v>132649.1764357608</v>
      </c>
      <c r="Q272" s="712"/>
      <c r="R272" s="1141" t="s">
        <v>349</v>
      </c>
      <c r="S272" s="798">
        <v>42675</v>
      </c>
      <c r="T272" s="222">
        <v>800</v>
      </c>
      <c r="U272" s="222">
        <v>14728</v>
      </c>
      <c r="V272" s="732">
        <f>ROUND(T272*U272,0)</f>
        <v>11782400</v>
      </c>
      <c r="W272" s="748"/>
      <c r="X272" s="1224"/>
    </row>
    <row r="273" spans="1:23" s="729" customFormat="1" ht="15" customHeight="1">
      <c r="A273" s="799">
        <f>A272+1</f>
        <v>6</v>
      </c>
      <c r="B273" s="742" t="s">
        <v>443</v>
      </c>
      <c r="C273" s="731">
        <f>IF(ISNA(VLOOKUP(B273,NXT!$Q$79:$S$100,2,0)),0,VLOOKUP(B273,NXT!$Q$79:$S$100,3,0))</f>
        <v>8</v>
      </c>
      <c r="D273" s="1239">
        <f t="shared" si="58"/>
        <v>38400</v>
      </c>
      <c r="E273" s="738"/>
      <c r="F273" s="1256">
        <v>18000</v>
      </c>
      <c r="G273" s="748">
        <f t="shared" si="59"/>
        <v>691200000</v>
      </c>
      <c r="H273" s="738">
        <f t="shared" si="62"/>
        <v>3171775.2545775147</v>
      </c>
      <c r="I273" s="738">
        <f t="shared" si="62"/>
        <v>3857762.2539897426</v>
      </c>
      <c r="J273" s="738">
        <f t="shared" si="62"/>
        <v>4876408.3170829518</v>
      </c>
      <c r="K273" s="738">
        <f t="shared" si="62"/>
        <v>2422819.6243774812</v>
      </c>
      <c r="L273" s="738">
        <f>V281+V282</f>
        <v>47339600</v>
      </c>
      <c r="M273" s="738"/>
      <c r="N273" s="748">
        <f t="shared" si="60"/>
        <v>752868365</v>
      </c>
      <c r="O273" s="738">
        <v>4800</v>
      </c>
      <c r="P273" s="738">
        <f t="shared" si="61"/>
        <v>156847.57604166667</v>
      </c>
      <c r="Q273" s="712"/>
      <c r="R273" s="1141" t="s">
        <v>352</v>
      </c>
      <c r="S273" s="798">
        <v>42677</v>
      </c>
      <c r="T273" s="222">
        <v>200</v>
      </c>
      <c r="U273" s="740">
        <v>8000</v>
      </c>
      <c r="V273" s="732">
        <f>ROUND(T273*U273,0)</f>
        <v>1600000</v>
      </c>
      <c r="W273" s="748"/>
    </row>
    <row r="274" spans="1:23" s="729" customFormat="1" ht="15" customHeight="1">
      <c r="A274" s="1217" t="str">
        <f>IF(B274&lt;&gt;"",#REF!+1,"")</f>
        <v/>
      </c>
      <c r="B274" s="776"/>
      <c r="C274" s="777"/>
      <c r="D274" s="778"/>
      <c r="E274" s="778"/>
      <c r="F274" s="778"/>
      <c r="G274" s="779"/>
      <c r="H274" s="780"/>
      <c r="I274" s="778"/>
      <c r="J274" s="781"/>
      <c r="K274" s="778"/>
      <c r="L274" s="1222"/>
      <c r="M274" s="778"/>
      <c r="N274" s="780"/>
      <c r="O274" s="783"/>
      <c r="P274" s="778"/>
      <c r="Q274" s="712"/>
      <c r="R274" s="1141" t="s">
        <v>1389</v>
      </c>
      <c r="S274" s="1139">
        <v>42644</v>
      </c>
      <c r="T274" s="1140">
        <v>50</v>
      </c>
      <c r="U274" s="1144">
        <v>12728</v>
      </c>
      <c r="V274" s="732">
        <f t="shared" si="63"/>
        <v>636400</v>
      </c>
      <c r="W274" s="748"/>
    </row>
    <row r="275" spans="1:23" s="729" customFormat="1" ht="15" customHeight="1">
      <c r="A275" s="753"/>
      <c r="B275" s="754" t="s">
        <v>538</v>
      </c>
      <c r="C275" s="755"/>
      <c r="D275" s="756">
        <f>SUM(D269:D274)</f>
        <v>942542</v>
      </c>
      <c r="E275" s="756">
        <f>SUM(E268:E274)</f>
        <v>0</v>
      </c>
      <c r="F275" s="756"/>
      <c r="G275" s="756">
        <f>SUM(G268:G274)</f>
        <v>27634196000</v>
      </c>
      <c r="H275" s="757">
        <v>77852380</v>
      </c>
      <c r="I275" s="757">
        <f>V280</f>
        <v>94690181</v>
      </c>
      <c r="J275" s="757">
        <v>119693220</v>
      </c>
      <c r="K275" s="757">
        <v>59468991</v>
      </c>
      <c r="L275" s="756">
        <f>ROUND(SUM(L268:L274),0)</f>
        <v>227246600</v>
      </c>
      <c r="M275" s="756">
        <f>ROUND(SUM(M268:M274),0)</f>
        <v>1820000000</v>
      </c>
      <c r="N275" s="756">
        <f>ROUND(SUM(N268:N274),0)</f>
        <v>30033147372</v>
      </c>
      <c r="O275" s="756">
        <f>ROUND(SUM(O268:O274),0)</f>
        <v>407945</v>
      </c>
      <c r="P275" s="756"/>
      <c r="Q275" s="712"/>
      <c r="R275" s="1141"/>
      <c r="S275" s="1139"/>
      <c r="T275" s="1140"/>
      <c r="U275" s="1144"/>
      <c r="V275" s="732"/>
      <c r="W275" s="748"/>
    </row>
    <row r="276" spans="1:23" ht="13.5" customHeight="1">
      <c r="Q276" s="728"/>
      <c r="R276" s="739"/>
      <c r="S276" s="800"/>
      <c r="T276" s="762"/>
      <c r="U276" s="740"/>
      <c r="V276" s="732">
        <f t="shared" si="63"/>
        <v>0</v>
      </c>
      <c r="W276" s="748"/>
    </row>
    <row r="277" spans="1:23" ht="13.5" customHeight="1">
      <c r="H277" s="768"/>
      <c r="Q277" s="728"/>
      <c r="R277" s="801"/>
      <c r="S277" s="800"/>
      <c r="T277" s="762"/>
      <c r="U277" s="740"/>
      <c r="V277" s="732">
        <f t="shared" si="63"/>
        <v>0</v>
      </c>
      <c r="W277" s="748"/>
    </row>
    <row r="278" spans="1:23">
      <c r="Q278" s="751"/>
      <c r="R278" s="479"/>
      <c r="S278" s="800"/>
      <c r="T278" s="222"/>
      <c r="U278" s="222"/>
      <c r="V278" s="732">
        <f t="shared" si="63"/>
        <v>0</v>
      </c>
      <c r="W278" s="748"/>
    </row>
    <row r="279" spans="1:23">
      <c r="Q279" s="751"/>
      <c r="R279" s="802"/>
      <c r="S279" s="735"/>
      <c r="T279" s="222"/>
      <c r="U279" s="222"/>
      <c r="V279" s="748"/>
      <c r="W279" s="748"/>
    </row>
    <row r="280" spans="1:23" ht="12" customHeight="1">
      <c r="O280" s="768"/>
      <c r="Q280" s="751"/>
      <c r="R280" s="785"/>
      <c r="S280" s="786"/>
      <c r="T280" s="787"/>
      <c r="U280" s="803"/>
      <c r="V280" s="766">
        <f>SUM(V268:V279)</f>
        <v>94690181</v>
      </c>
      <c r="W280" s="766">
        <f>SUM(W268:W279)</f>
        <v>0</v>
      </c>
    </row>
    <row r="281" spans="1:23" s="752" customFormat="1">
      <c r="A281" s="703"/>
      <c r="B281" s="703"/>
      <c r="C281" s="703"/>
      <c r="D281" s="703"/>
      <c r="E281" s="703"/>
      <c r="F281" s="703"/>
      <c r="G281" s="703"/>
      <c r="H281" s="703"/>
      <c r="I281" s="703"/>
      <c r="J281" s="703"/>
      <c r="K281" s="703"/>
      <c r="L281" s="703"/>
      <c r="M281" s="703"/>
      <c r="N281" s="703"/>
      <c r="O281" s="703"/>
      <c r="P281" s="703"/>
      <c r="Q281" s="751"/>
      <c r="R281" s="762" t="s">
        <v>638</v>
      </c>
      <c r="S281" s="798">
        <v>42703</v>
      </c>
      <c r="T281" s="222">
        <v>2500</v>
      </c>
      <c r="U281" s="222">
        <v>14000</v>
      </c>
      <c r="V281" s="732">
        <f>ROUND(T281*U281,0)</f>
        <v>35000000</v>
      </c>
      <c r="W281" s="732"/>
    </row>
    <row r="282" spans="1:23" s="707" customFormat="1">
      <c r="A282" s="703"/>
      <c r="B282" s="703"/>
      <c r="C282" s="703"/>
      <c r="D282" s="703"/>
      <c r="E282" s="703"/>
      <c r="F282" s="703"/>
      <c r="G282" s="703"/>
      <c r="H282" s="703"/>
      <c r="I282" s="703"/>
      <c r="J282" s="703"/>
      <c r="K282" s="703"/>
      <c r="L282" s="703"/>
      <c r="M282" s="703"/>
      <c r="N282" s="703"/>
      <c r="O282" s="703"/>
      <c r="P282" s="703"/>
      <c r="Q282" s="751"/>
      <c r="R282" s="739" t="s">
        <v>394</v>
      </c>
      <c r="S282" s="798">
        <v>42703</v>
      </c>
      <c r="T282" s="740">
        <v>678</v>
      </c>
      <c r="U282" s="740">
        <v>18200</v>
      </c>
      <c r="V282" s="732">
        <f>ROUND(T282*U282,0)</f>
        <v>12339600</v>
      </c>
      <c r="W282" s="748"/>
    </row>
    <row r="283" spans="1:23">
      <c r="Q283" s="751"/>
      <c r="R283" s="739" t="s">
        <v>380</v>
      </c>
      <c r="S283" s="735">
        <v>42683</v>
      </c>
      <c r="T283" s="740">
        <v>1000</v>
      </c>
      <c r="U283" s="740">
        <f>V283/T283</f>
        <v>15504</v>
      </c>
      <c r="V283" s="732">
        <v>15504000</v>
      </c>
      <c r="W283" s="748"/>
    </row>
    <row r="284" spans="1:23">
      <c r="Q284" s="751"/>
      <c r="R284" s="1143" t="s">
        <v>1824</v>
      </c>
      <c r="S284" s="735">
        <v>42683</v>
      </c>
      <c r="T284" s="740">
        <v>93</v>
      </c>
      <c r="U284" s="740">
        <v>37000</v>
      </c>
      <c r="V284" s="732">
        <f>ROUND(T284*U284,0)</f>
        <v>3441000</v>
      </c>
      <c r="W284" s="748"/>
    </row>
    <row r="285" spans="1:23">
      <c r="R285" s="739" t="s">
        <v>380</v>
      </c>
      <c r="S285" s="735">
        <v>42703</v>
      </c>
      <c r="T285" s="740">
        <v>260</v>
      </c>
      <c r="U285" s="740">
        <v>16800</v>
      </c>
      <c r="V285" s="732">
        <f t="shared" ref="V285:V290" si="64">ROUND(T285*U285,0)</f>
        <v>4368000</v>
      </c>
      <c r="W285" s="748"/>
    </row>
    <row r="286" spans="1:23">
      <c r="R286" s="1143" t="s">
        <v>1824</v>
      </c>
      <c r="S286" s="735">
        <v>42703</v>
      </c>
      <c r="T286" s="740">
        <v>25</v>
      </c>
      <c r="U286" s="740">
        <v>37000</v>
      </c>
      <c r="V286" s="732">
        <f t="shared" si="64"/>
        <v>925000</v>
      </c>
      <c r="W286" s="748"/>
    </row>
    <row r="287" spans="1:23">
      <c r="R287" s="762" t="s">
        <v>2006</v>
      </c>
      <c r="S287" s="735">
        <v>42683</v>
      </c>
      <c r="T287" s="740">
        <v>1077</v>
      </c>
      <c r="U287" s="740">
        <v>13500</v>
      </c>
      <c r="V287" s="732">
        <f t="shared" si="64"/>
        <v>14539500</v>
      </c>
      <c r="W287" s="748"/>
    </row>
    <row r="288" spans="1:23">
      <c r="R288" s="1143" t="s">
        <v>1824</v>
      </c>
      <c r="S288" s="735">
        <v>42683</v>
      </c>
      <c r="T288" s="740">
        <v>93</v>
      </c>
      <c r="U288" s="740">
        <v>37000</v>
      </c>
      <c r="V288" s="732">
        <f t="shared" si="64"/>
        <v>3441000</v>
      </c>
      <c r="W288" s="748"/>
    </row>
    <row r="289" spans="1:23">
      <c r="Q289" s="751"/>
      <c r="R289" s="739" t="s">
        <v>2495</v>
      </c>
      <c r="S289" s="798"/>
      <c r="T289" s="740">
        <v>14000</v>
      </c>
      <c r="U289" s="740">
        <v>4500</v>
      </c>
      <c r="V289" s="732">
        <f t="shared" si="64"/>
        <v>63000000</v>
      </c>
      <c r="W289" s="748"/>
    </row>
    <row r="290" spans="1:23">
      <c r="Q290" s="751"/>
      <c r="R290" s="739" t="s">
        <v>2495</v>
      </c>
      <c r="S290" s="735"/>
      <c r="T290" s="740">
        <v>14953</v>
      </c>
      <c r="U290" s="740">
        <v>4500</v>
      </c>
      <c r="V290" s="732">
        <f t="shared" si="64"/>
        <v>67288500</v>
      </c>
      <c r="W290" s="748"/>
    </row>
    <row r="291" spans="1:23">
      <c r="Q291" s="751"/>
      <c r="R291" s="739" t="s">
        <v>1822</v>
      </c>
      <c r="S291" s="735"/>
      <c r="T291" s="740">
        <v>200</v>
      </c>
      <c r="U291" s="740">
        <v>37000</v>
      </c>
      <c r="V291" s="732">
        <f>ROUND(T291*U291,0)</f>
        <v>7400000</v>
      </c>
      <c r="W291" s="748"/>
    </row>
    <row r="292" spans="1:23">
      <c r="Q292" s="751"/>
      <c r="R292" s="762"/>
      <c r="S292" s="735"/>
      <c r="T292" s="740"/>
      <c r="U292" s="740"/>
      <c r="V292" s="807"/>
      <c r="W292" s="748"/>
    </row>
    <row r="293" spans="1:23">
      <c r="R293" s="762"/>
      <c r="S293" s="735"/>
      <c r="T293" s="740"/>
      <c r="U293" s="740"/>
      <c r="V293" s="732"/>
      <c r="W293" s="748"/>
    </row>
    <row r="294" spans="1:23">
      <c r="R294" s="762"/>
      <c r="S294" s="735"/>
      <c r="T294" s="740"/>
      <c r="U294" s="740"/>
      <c r="V294" s="807">
        <f>SUM(V281:V293)</f>
        <v>227246600</v>
      </c>
      <c r="W294" s="748"/>
    </row>
    <row r="295" spans="1:23">
      <c r="A295" s="714"/>
      <c r="B295" s="714"/>
      <c r="C295" s="714"/>
      <c r="D295" s="714"/>
      <c r="E295" s="714"/>
      <c r="F295" s="714"/>
      <c r="G295" s="714"/>
      <c r="H295" s="714"/>
      <c r="I295" s="714"/>
      <c r="J295" s="714"/>
      <c r="K295" s="714"/>
      <c r="L295" s="714"/>
      <c r="M295" s="714"/>
      <c r="N295" s="714"/>
      <c r="O295" s="714"/>
      <c r="P295" s="714"/>
      <c r="R295" s="706"/>
      <c r="S295" s="713"/>
    </row>
    <row r="296" spans="1:23">
      <c r="A296" s="707" t="s">
        <v>521</v>
      </c>
      <c r="B296" s="707"/>
      <c r="C296" s="708"/>
      <c r="D296" s="709"/>
      <c r="E296" s="709"/>
      <c r="F296" s="709"/>
      <c r="G296" s="706"/>
      <c r="H296" s="706"/>
      <c r="I296" s="706"/>
      <c r="J296" s="706"/>
      <c r="K296" s="706"/>
      <c r="L296" s="710"/>
      <c r="M296" s="706"/>
      <c r="N296" s="706"/>
      <c r="O296" s="711"/>
      <c r="P296" s="706"/>
      <c r="R296" s="706"/>
      <c r="S296" s="713"/>
    </row>
    <row r="297" spans="1:23">
      <c r="A297" s="714" t="s">
        <v>549</v>
      </c>
      <c r="B297" s="714"/>
      <c r="C297" s="714"/>
      <c r="D297" s="714"/>
      <c r="E297" s="714"/>
      <c r="F297" s="714"/>
      <c r="G297" s="714"/>
      <c r="H297" s="714"/>
      <c r="I297" s="714"/>
      <c r="J297" s="714"/>
      <c r="K297" s="714"/>
      <c r="L297" s="714"/>
      <c r="M297" s="714"/>
      <c r="N297" s="714"/>
      <c r="O297" s="714"/>
      <c r="P297" s="714"/>
      <c r="R297" s="706"/>
      <c r="S297" s="713"/>
    </row>
    <row r="298" spans="1:23">
      <c r="A298" s="715"/>
      <c r="B298" s="715"/>
      <c r="C298" s="716"/>
      <c r="D298" s="715"/>
      <c r="E298" s="715"/>
      <c r="F298" s="715"/>
      <c r="G298" s="717"/>
      <c r="H298" s="715"/>
      <c r="I298" s="715"/>
      <c r="J298" s="715"/>
      <c r="K298" s="715"/>
      <c r="L298" s="714"/>
      <c r="M298" s="715"/>
      <c r="N298" s="715"/>
      <c r="O298" s="715"/>
      <c r="P298" s="715"/>
      <c r="R298" s="706"/>
      <c r="S298" s="713"/>
    </row>
    <row r="299" spans="1:23">
      <c r="A299" s="718"/>
      <c r="B299" s="718"/>
      <c r="C299" s="719"/>
      <c r="D299" s="718"/>
      <c r="E299" s="718"/>
      <c r="F299" s="718"/>
      <c r="G299" s="718"/>
      <c r="H299" s="718"/>
      <c r="I299" s="718"/>
      <c r="J299" s="718"/>
      <c r="K299" s="718"/>
      <c r="L299" s="718"/>
      <c r="M299" s="718"/>
      <c r="N299" s="718"/>
      <c r="O299" s="720"/>
      <c r="P299" s="718"/>
      <c r="R299" s="706"/>
      <c r="S299" s="713"/>
    </row>
    <row r="300" spans="1:23" ht="33" customHeight="1">
      <c r="A300" s="723" t="s">
        <v>35</v>
      </c>
      <c r="B300" s="723" t="s">
        <v>523</v>
      </c>
      <c r="C300" s="724" t="s">
        <v>524</v>
      </c>
      <c r="D300" s="725" t="s">
        <v>525</v>
      </c>
      <c r="E300" s="725" t="s">
        <v>526</v>
      </c>
      <c r="F300" s="725" t="s">
        <v>527</v>
      </c>
      <c r="G300" s="725" t="s">
        <v>528</v>
      </c>
      <c r="H300" s="725" t="s">
        <v>529</v>
      </c>
      <c r="I300" s="725" t="s">
        <v>530</v>
      </c>
      <c r="J300" s="725" t="s">
        <v>531</v>
      </c>
      <c r="K300" s="726" t="s">
        <v>532</v>
      </c>
      <c r="L300" s="725" t="s">
        <v>533</v>
      </c>
      <c r="M300" s="726" t="s">
        <v>534</v>
      </c>
      <c r="N300" s="725" t="s">
        <v>535</v>
      </c>
      <c r="O300" s="727" t="s">
        <v>526</v>
      </c>
      <c r="P300" s="725" t="s">
        <v>536</v>
      </c>
      <c r="R300" s="723" t="s">
        <v>523</v>
      </c>
      <c r="S300" s="725" t="s">
        <v>490</v>
      </c>
      <c r="T300" s="725" t="s">
        <v>330</v>
      </c>
      <c r="U300" s="725" t="s">
        <v>527</v>
      </c>
      <c r="V300" s="725" t="s">
        <v>537</v>
      </c>
      <c r="W300" s="723" t="s">
        <v>537</v>
      </c>
    </row>
    <row r="301" spans="1:23" ht="16.5" customHeight="1">
      <c r="A301" s="797">
        <v>1</v>
      </c>
      <c r="B301" s="1214" t="s">
        <v>455</v>
      </c>
      <c r="C301" s="1221">
        <v>3.2</v>
      </c>
      <c r="D301" s="1251">
        <f>ROUND(C301*O301,0)</f>
        <v>416000</v>
      </c>
      <c r="E301" s="1215"/>
      <c r="F301" s="1215">
        <v>17500</v>
      </c>
      <c r="G301" s="1216">
        <f>(D301+E301)*F301</f>
        <v>7280000000</v>
      </c>
      <c r="H301" s="1215"/>
      <c r="I301" s="1215"/>
      <c r="J301" s="1215"/>
      <c r="K301" s="1215"/>
      <c r="L301" s="1216">
        <f>V331+V332+ROUND((V335/SUM($O$301:$O$303)*O301),0)</f>
        <v>54119076</v>
      </c>
      <c r="M301" s="738">
        <v>1300000000</v>
      </c>
      <c r="N301" s="1216">
        <f>ROUND(SUM(G301:M301),0)</f>
        <v>8634119076</v>
      </c>
      <c r="O301" s="1225">
        <v>130000</v>
      </c>
      <c r="P301" s="1215">
        <f t="shared" ref="P301:P316" si="65">IF(N301&lt;&gt;0,N301/O301,0)</f>
        <v>66416.300584615383</v>
      </c>
      <c r="R301" s="1201" t="s">
        <v>332</v>
      </c>
      <c r="S301" s="1202"/>
      <c r="T301" s="1202">
        <v>613</v>
      </c>
      <c r="U301" s="1202">
        <v>28900</v>
      </c>
      <c r="V301" s="748">
        <f t="shared" ref="V301:V308" si="66">ROUND(T301*U301,0)</f>
        <v>17715700</v>
      </c>
      <c r="W301" s="1200"/>
    </row>
    <row r="302" spans="1:23" ht="13.5" customHeight="1">
      <c r="A302" s="799">
        <v>2</v>
      </c>
      <c r="B302" s="79" t="s">
        <v>455</v>
      </c>
      <c r="C302" s="731"/>
      <c r="D302" s="1239">
        <f>ROUND(C302*O302,0)</f>
        <v>0</v>
      </c>
      <c r="E302" s="738">
        <v>488618</v>
      </c>
      <c r="F302" s="738">
        <f>G302/E302</f>
        <v>59005.188101952852</v>
      </c>
      <c r="G302" s="748">
        <v>28830997000</v>
      </c>
      <c r="H302" s="738">
        <f t="shared" ref="H302:H316" si="67">IF($D$318&lt;&gt;0,H$318/($D$318+$E$318/4)*($D302+$E302/4),0)</f>
        <v>5699494.7545738965</v>
      </c>
      <c r="I302" s="738">
        <f t="shared" ref="I302:K316" si="68">IF($D$318&lt;&gt;0,I$318/$D$318*$D302,0)</f>
        <v>0</v>
      </c>
      <c r="J302" s="738">
        <f t="shared" si="68"/>
        <v>0</v>
      </c>
      <c r="K302" s="738">
        <f t="shared" si="68"/>
        <v>0</v>
      </c>
      <c r="L302" s="748">
        <f>V333+ROUND((V335/SUM($O$301:$O$303)*O302),0)</f>
        <v>293618348</v>
      </c>
      <c r="M302" s="738"/>
      <c r="N302" s="748">
        <f>ROUND(SUM(G302:L302),0)</f>
        <v>29130314843</v>
      </c>
      <c r="O302" s="1196">
        <v>488617.5</v>
      </c>
      <c r="P302" s="738">
        <f t="shared" si="65"/>
        <v>59617.829576304575</v>
      </c>
      <c r="R302" s="739" t="s">
        <v>338</v>
      </c>
      <c r="S302" s="735"/>
      <c r="T302" s="740">
        <v>1000</v>
      </c>
      <c r="U302" s="740">
        <v>49027</v>
      </c>
      <c r="V302" s="748">
        <f t="shared" si="66"/>
        <v>49027000</v>
      </c>
      <c r="W302" s="732"/>
    </row>
    <row r="303" spans="1:23" ht="13.5" customHeight="1">
      <c r="A303" s="799">
        <f>A302+1</f>
        <v>3</v>
      </c>
      <c r="B303" s="79" t="s">
        <v>455</v>
      </c>
      <c r="C303" s="731">
        <v>3.5</v>
      </c>
      <c r="D303" s="1239">
        <v>1510927</v>
      </c>
      <c r="E303" s="738"/>
      <c r="F303" s="738">
        <v>17500</v>
      </c>
      <c r="G303" s="748">
        <f>(D303+E303)*F303</f>
        <v>26441222500</v>
      </c>
      <c r="H303" s="738">
        <f t="shared" si="67"/>
        <v>70496956.813249394</v>
      </c>
      <c r="I303" s="738">
        <f t="shared" si="68"/>
        <v>122224122.1984937</v>
      </c>
      <c r="J303" s="738">
        <f t="shared" si="68"/>
        <v>119144658.79010594</v>
      </c>
      <c r="K303" s="738">
        <f t="shared" si="68"/>
        <v>57899538.952591792</v>
      </c>
      <c r="L303" s="748">
        <f>V334+ROUND((V335/SUM($O$301:$O$303)*O303),0)</f>
        <v>258292576</v>
      </c>
      <c r="M303" s="738"/>
      <c r="N303" s="748">
        <f>ROUND(SUM(G303:L303),0)</f>
        <v>27069280353</v>
      </c>
      <c r="O303" s="1196">
        <v>431693.5</v>
      </c>
      <c r="P303" s="738">
        <f t="shared" si="65"/>
        <v>62704.859704860042</v>
      </c>
      <c r="R303" s="739" t="s">
        <v>341</v>
      </c>
      <c r="S303" s="735"/>
      <c r="T303" s="740">
        <v>1000</v>
      </c>
      <c r="U303" s="740">
        <v>15238.094999999999</v>
      </c>
      <c r="V303" s="748">
        <f t="shared" si="66"/>
        <v>15238095</v>
      </c>
      <c r="W303" s="748"/>
    </row>
    <row r="304" spans="1:23" ht="13.5" customHeight="1">
      <c r="A304" s="799">
        <f t="shared" ref="A304:A316" si="69">A303+1</f>
        <v>4</v>
      </c>
      <c r="B304" s="79" t="s">
        <v>431</v>
      </c>
      <c r="C304" s="731">
        <v>4.5</v>
      </c>
      <c r="D304" s="1239">
        <f t="shared" ref="D304:D309" si="70">ROUND(C304*O304,0)</f>
        <v>45</v>
      </c>
      <c r="E304" s="316"/>
      <c r="F304" s="316">
        <v>18000</v>
      </c>
      <c r="G304" s="748">
        <f>(D304+E304)*F304</f>
        <v>810000</v>
      </c>
      <c r="H304" s="738">
        <f t="shared" si="67"/>
        <v>2099.6137183306823</v>
      </c>
      <c r="I304" s="738">
        <f t="shared" si="68"/>
        <v>3640.2059788012371</v>
      </c>
      <c r="J304" s="738">
        <f t="shared" si="68"/>
        <v>3548.4901954593224</v>
      </c>
      <c r="K304" s="738">
        <f t="shared" si="68"/>
        <v>1724.4243122709638</v>
      </c>
      <c r="L304" s="748">
        <f>V318</f>
        <v>10300</v>
      </c>
      <c r="M304" s="1226"/>
      <c r="N304" s="748">
        <f t="shared" ref="N304:N309" si="71">ROUND(SUM(G304:L304),0)</f>
        <v>831313</v>
      </c>
      <c r="O304" s="406">
        <v>10</v>
      </c>
      <c r="P304" s="738">
        <f t="shared" si="65"/>
        <v>83131.3</v>
      </c>
      <c r="R304" s="739" t="s">
        <v>346</v>
      </c>
      <c r="S304" s="798"/>
      <c r="T304" s="222">
        <v>1000</v>
      </c>
      <c r="U304" s="222">
        <v>3200</v>
      </c>
      <c r="V304" s="732">
        <f t="shared" si="66"/>
        <v>3200000</v>
      </c>
      <c r="W304" s="748"/>
    </row>
    <row r="305" spans="1:23" ht="13.5" customHeight="1">
      <c r="A305" s="799">
        <f t="shared" si="69"/>
        <v>5</v>
      </c>
      <c r="B305" s="79" t="s">
        <v>2534</v>
      </c>
      <c r="C305" s="731">
        <v>6</v>
      </c>
      <c r="D305" s="1239">
        <f t="shared" si="70"/>
        <v>660</v>
      </c>
      <c r="E305" s="738"/>
      <c r="F305" s="738">
        <v>35000</v>
      </c>
      <c r="G305" s="748">
        <f t="shared" ref="G305:G316" si="72">(D305+E305)*F305</f>
        <v>23100000</v>
      </c>
      <c r="H305" s="738">
        <f t="shared" si="67"/>
        <v>30794.334535516675</v>
      </c>
      <c r="I305" s="738">
        <f t="shared" si="68"/>
        <v>53389.687689084807</v>
      </c>
      <c r="J305" s="738">
        <f t="shared" si="68"/>
        <v>52044.522866736726</v>
      </c>
      <c r="K305" s="738">
        <f t="shared" si="68"/>
        <v>25291.556579974134</v>
      </c>
      <c r="L305" s="748">
        <f>V319</f>
        <v>113300</v>
      </c>
      <c r="M305" s="738"/>
      <c r="N305" s="748">
        <f t="shared" si="71"/>
        <v>23374820</v>
      </c>
      <c r="O305" s="414">
        <v>110</v>
      </c>
      <c r="P305" s="738">
        <f t="shared" si="65"/>
        <v>212498.36363636365</v>
      </c>
      <c r="Q305" s="712"/>
      <c r="R305" s="1141" t="s">
        <v>349</v>
      </c>
      <c r="S305" s="798"/>
      <c r="T305" s="222">
        <v>300</v>
      </c>
      <c r="U305" s="222">
        <v>14728</v>
      </c>
      <c r="V305" s="732">
        <f t="shared" si="66"/>
        <v>4418400</v>
      </c>
      <c r="W305" s="748"/>
    </row>
    <row r="306" spans="1:23" ht="13.5" customHeight="1">
      <c r="A306" s="799">
        <f t="shared" si="69"/>
        <v>6</v>
      </c>
      <c r="B306" s="79" t="s">
        <v>2536</v>
      </c>
      <c r="C306" s="731">
        <v>6</v>
      </c>
      <c r="D306" s="1239">
        <f t="shared" si="70"/>
        <v>600</v>
      </c>
      <c r="E306" s="738"/>
      <c r="F306" s="738">
        <v>32000</v>
      </c>
      <c r="G306" s="748">
        <f t="shared" si="72"/>
        <v>19200000</v>
      </c>
      <c r="H306" s="738">
        <f t="shared" si="67"/>
        <v>27994.849577742432</v>
      </c>
      <c r="I306" s="738">
        <f t="shared" si="68"/>
        <v>48536.079717349829</v>
      </c>
      <c r="J306" s="738">
        <f t="shared" si="68"/>
        <v>47313.202606124301</v>
      </c>
      <c r="K306" s="738">
        <f t="shared" si="68"/>
        <v>22992.324163612851</v>
      </c>
      <c r="L306" s="748">
        <f>V320</f>
        <v>103000</v>
      </c>
      <c r="M306" s="738"/>
      <c r="N306" s="748">
        <f t="shared" si="71"/>
        <v>19449836</v>
      </c>
      <c r="O306" s="406">
        <v>100</v>
      </c>
      <c r="P306" s="738">
        <f t="shared" si="65"/>
        <v>194498.36</v>
      </c>
      <c r="Q306" s="712"/>
      <c r="R306" s="1141" t="s">
        <v>349</v>
      </c>
      <c r="S306" s="798"/>
      <c r="T306" s="222">
        <v>1000</v>
      </c>
      <c r="U306" s="222">
        <v>14728</v>
      </c>
      <c r="V306" s="732">
        <f t="shared" si="66"/>
        <v>14728000</v>
      </c>
      <c r="W306" s="748"/>
    </row>
    <row r="307" spans="1:23" s="729" customFormat="1" ht="13.5" customHeight="1">
      <c r="A307" s="799">
        <f t="shared" si="69"/>
        <v>7</v>
      </c>
      <c r="B307" s="79" t="s">
        <v>2535</v>
      </c>
      <c r="C307" s="731">
        <v>5</v>
      </c>
      <c r="D307" s="1239">
        <f t="shared" si="70"/>
        <v>500</v>
      </c>
      <c r="E307" s="738"/>
      <c r="F307" s="738">
        <v>26000</v>
      </c>
      <c r="G307" s="748">
        <f t="shared" si="72"/>
        <v>13000000</v>
      </c>
      <c r="H307" s="738">
        <f t="shared" si="67"/>
        <v>23329.041314785361</v>
      </c>
      <c r="I307" s="738">
        <f t="shared" si="68"/>
        <v>40446.733097791519</v>
      </c>
      <c r="J307" s="738">
        <f t="shared" si="68"/>
        <v>39427.668838436912</v>
      </c>
      <c r="K307" s="738">
        <f t="shared" si="68"/>
        <v>19160.270136344043</v>
      </c>
      <c r="L307" s="748">
        <f>V321</f>
        <v>103000</v>
      </c>
      <c r="M307" s="738"/>
      <c r="N307" s="748">
        <f t="shared" si="71"/>
        <v>13225364</v>
      </c>
      <c r="O307" s="406">
        <v>100</v>
      </c>
      <c r="P307" s="738">
        <f t="shared" si="65"/>
        <v>132253.64000000001</v>
      </c>
      <c r="Q307" s="712"/>
      <c r="R307" s="1141" t="s">
        <v>352</v>
      </c>
      <c r="S307" s="798"/>
      <c r="T307" s="222">
        <v>200</v>
      </c>
      <c r="U307" s="222">
        <v>8000</v>
      </c>
      <c r="V307" s="732">
        <f t="shared" si="66"/>
        <v>1600000</v>
      </c>
      <c r="W307" s="748"/>
    </row>
    <row r="308" spans="1:23" ht="13.5" customHeight="1">
      <c r="A308" s="799">
        <f t="shared" si="69"/>
        <v>8</v>
      </c>
      <c r="B308" s="79" t="s">
        <v>2537</v>
      </c>
      <c r="C308" s="731">
        <v>5</v>
      </c>
      <c r="D308" s="1239">
        <f t="shared" si="70"/>
        <v>350</v>
      </c>
      <c r="E308" s="738"/>
      <c r="F308" s="738">
        <v>26000</v>
      </c>
      <c r="G308" s="748">
        <f t="shared" si="72"/>
        <v>9100000</v>
      </c>
      <c r="H308" s="738">
        <f t="shared" si="67"/>
        <v>16330.328920349752</v>
      </c>
      <c r="I308" s="738">
        <f t="shared" si="68"/>
        <v>28312.713168454065</v>
      </c>
      <c r="J308" s="738">
        <f t="shared" si="68"/>
        <v>27599.368186905842</v>
      </c>
      <c r="K308" s="738">
        <f t="shared" si="68"/>
        <v>13412.18909544083</v>
      </c>
      <c r="L308" s="748">
        <f>V322</f>
        <v>72100</v>
      </c>
      <c r="M308" s="738"/>
      <c r="N308" s="748">
        <f t="shared" si="71"/>
        <v>9257755</v>
      </c>
      <c r="O308" s="406">
        <v>70</v>
      </c>
      <c r="P308" s="738">
        <f t="shared" si="65"/>
        <v>132253.64285714287</v>
      </c>
      <c r="Q308" s="712"/>
      <c r="R308" s="739" t="s">
        <v>2567</v>
      </c>
      <c r="S308" s="798"/>
      <c r="T308" s="222">
        <v>370</v>
      </c>
      <c r="U308" s="222">
        <v>53000</v>
      </c>
      <c r="V308" s="732">
        <f t="shared" si="66"/>
        <v>19610000</v>
      </c>
      <c r="W308" s="748"/>
    </row>
    <row r="309" spans="1:23" ht="13.5" customHeight="1">
      <c r="A309" s="799">
        <f t="shared" si="69"/>
        <v>9</v>
      </c>
      <c r="B309" s="79" t="s">
        <v>2538</v>
      </c>
      <c r="C309" s="731">
        <v>10</v>
      </c>
      <c r="D309" s="1239">
        <f t="shared" si="70"/>
        <v>300</v>
      </c>
      <c r="E309" s="738"/>
      <c r="F309" s="738">
        <v>9000</v>
      </c>
      <c r="G309" s="748">
        <f t="shared" si="72"/>
        <v>2700000</v>
      </c>
      <c r="H309" s="738">
        <f t="shared" si="67"/>
        <v>13997.424788871216</v>
      </c>
      <c r="I309" s="738">
        <f t="shared" si="68"/>
        <v>24268.039858674914</v>
      </c>
      <c r="J309" s="738">
        <f t="shared" si="68"/>
        <v>23656.601303062151</v>
      </c>
      <c r="K309" s="738">
        <f t="shared" si="68"/>
        <v>11496.162081806426</v>
      </c>
      <c r="L309" s="748">
        <f t="shared" ref="L309:L314" si="73">V324</f>
        <v>30900</v>
      </c>
      <c r="M309" s="738"/>
      <c r="N309" s="748">
        <f t="shared" si="71"/>
        <v>2804318</v>
      </c>
      <c r="O309" s="414">
        <v>30</v>
      </c>
      <c r="P309" s="738">
        <f t="shared" si="65"/>
        <v>93477.266666666663</v>
      </c>
      <c r="Q309" s="712"/>
      <c r="R309" s="739"/>
      <c r="S309" s="798"/>
      <c r="T309" s="222"/>
      <c r="U309" s="740"/>
      <c r="V309" s="732">
        <f t="shared" ref="V309:V314" si="74">ROUND(T309*U309,0)</f>
        <v>0</v>
      </c>
      <c r="W309" s="748"/>
    </row>
    <row r="310" spans="1:23" ht="13.5" customHeight="1">
      <c r="A310" s="799">
        <f t="shared" si="69"/>
        <v>10</v>
      </c>
      <c r="B310" s="79" t="s">
        <v>2539</v>
      </c>
      <c r="C310" s="731">
        <v>3.5</v>
      </c>
      <c r="D310" s="1239">
        <f t="shared" ref="D310:D316" si="75">ROUND(C310*O310,0)</f>
        <v>175</v>
      </c>
      <c r="E310" s="738"/>
      <c r="F310" s="738">
        <v>151000</v>
      </c>
      <c r="G310" s="748">
        <f t="shared" si="72"/>
        <v>26425000</v>
      </c>
      <c r="H310" s="738">
        <f t="shared" si="67"/>
        <v>8165.1644601748758</v>
      </c>
      <c r="I310" s="738">
        <f t="shared" si="68"/>
        <v>14156.356584227033</v>
      </c>
      <c r="J310" s="738">
        <f t="shared" si="68"/>
        <v>13799.684093452921</v>
      </c>
      <c r="K310" s="738">
        <f t="shared" si="68"/>
        <v>6706.094547720415</v>
      </c>
      <c r="L310" s="748">
        <f t="shared" si="73"/>
        <v>51500</v>
      </c>
      <c r="M310" s="738"/>
      <c r="N310" s="748">
        <f>ROUND(SUM(G310:L310),0)</f>
        <v>26519327</v>
      </c>
      <c r="O310" s="406">
        <v>50</v>
      </c>
      <c r="P310" s="738">
        <f t="shared" si="65"/>
        <v>530386.54</v>
      </c>
      <c r="Q310" s="728"/>
      <c r="R310" s="739"/>
      <c r="S310" s="798"/>
      <c r="T310" s="222"/>
      <c r="U310" s="222"/>
      <c r="V310" s="732">
        <f t="shared" si="74"/>
        <v>0</v>
      </c>
      <c r="W310" s="748"/>
    </row>
    <row r="311" spans="1:23" ht="13.5" customHeight="1">
      <c r="A311" s="799">
        <f t="shared" si="69"/>
        <v>11</v>
      </c>
      <c r="B311" s="79" t="s">
        <v>2540</v>
      </c>
      <c r="C311" s="731">
        <v>3.5</v>
      </c>
      <c r="D311" s="1239">
        <f t="shared" si="75"/>
        <v>11</v>
      </c>
      <c r="E311" s="738"/>
      <c r="F311" s="738">
        <v>105000</v>
      </c>
      <c r="G311" s="748">
        <f t="shared" si="72"/>
        <v>1155000</v>
      </c>
      <c r="H311" s="738">
        <f t="shared" si="67"/>
        <v>513.23890892527788</v>
      </c>
      <c r="I311" s="738">
        <f t="shared" si="68"/>
        <v>889.82812815141347</v>
      </c>
      <c r="J311" s="738">
        <f t="shared" si="68"/>
        <v>867.40871444561208</v>
      </c>
      <c r="K311" s="738">
        <f t="shared" si="68"/>
        <v>421.52594299956894</v>
      </c>
      <c r="L311" s="748">
        <f t="shared" si="73"/>
        <v>10300</v>
      </c>
      <c r="M311" s="738"/>
      <c r="N311" s="748">
        <f t="shared" ref="N311:N316" si="76">ROUND(SUM(G311:L311),0)</f>
        <v>1167992</v>
      </c>
      <c r="O311" s="406">
        <v>3</v>
      </c>
      <c r="P311" s="738">
        <f t="shared" si="65"/>
        <v>389330.66666666669</v>
      </c>
      <c r="Q311" s="751"/>
      <c r="R311" s="739"/>
      <c r="S311" s="735"/>
      <c r="T311" s="762"/>
      <c r="U311" s="740"/>
      <c r="V311" s="732">
        <f t="shared" si="74"/>
        <v>0</v>
      </c>
      <c r="W311" s="748"/>
    </row>
    <row r="312" spans="1:23" ht="13.5" customHeight="1">
      <c r="A312" s="799">
        <f t="shared" si="69"/>
        <v>12</v>
      </c>
      <c r="B312" s="79" t="s">
        <v>2541</v>
      </c>
      <c r="C312" s="731">
        <v>5</v>
      </c>
      <c r="D312" s="1239">
        <f t="shared" si="75"/>
        <v>1115</v>
      </c>
      <c r="E312" s="738"/>
      <c r="F312" s="738">
        <v>26000</v>
      </c>
      <c r="G312" s="748">
        <f t="shared" si="72"/>
        <v>28990000</v>
      </c>
      <c r="H312" s="738">
        <f t="shared" si="67"/>
        <v>52023.762131971351</v>
      </c>
      <c r="I312" s="738">
        <f t="shared" si="68"/>
        <v>90196.214808075092</v>
      </c>
      <c r="J312" s="738">
        <f t="shared" si="68"/>
        <v>87923.701509714316</v>
      </c>
      <c r="K312" s="738">
        <f t="shared" si="68"/>
        <v>42727.402404047214</v>
      </c>
      <c r="L312" s="748">
        <f t="shared" si="73"/>
        <v>226600</v>
      </c>
      <c r="M312" s="738"/>
      <c r="N312" s="748">
        <f t="shared" si="76"/>
        <v>29489471</v>
      </c>
      <c r="O312" s="414">
        <v>223</v>
      </c>
      <c r="P312" s="738">
        <f t="shared" si="65"/>
        <v>132239.7802690583</v>
      </c>
      <c r="Q312" s="751"/>
      <c r="R312" s="801"/>
      <c r="S312" s="735"/>
      <c r="T312" s="762"/>
      <c r="U312" s="740"/>
      <c r="V312" s="732">
        <f>ROUND(T312*U312,0)</f>
        <v>0</v>
      </c>
      <c r="W312" s="748"/>
    </row>
    <row r="313" spans="1:23" ht="13.5" customHeight="1">
      <c r="A313" s="799">
        <f t="shared" si="69"/>
        <v>13</v>
      </c>
      <c r="B313" s="79" t="s">
        <v>435</v>
      </c>
      <c r="C313" s="731">
        <v>5</v>
      </c>
      <c r="D313" s="1239">
        <f t="shared" si="75"/>
        <v>13195</v>
      </c>
      <c r="E313" s="738"/>
      <c r="F313" s="738">
        <v>25000</v>
      </c>
      <c r="G313" s="748">
        <f>(D313+E313)*F313</f>
        <v>329875000</v>
      </c>
      <c r="H313" s="738">
        <f t="shared" si="67"/>
        <v>615653.40029718564</v>
      </c>
      <c r="I313" s="738">
        <f t="shared" si="68"/>
        <v>1067389.2864507183</v>
      </c>
      <c r="J313" s="738">
        <f t="shared" si="68"/>
        <v>1040496.1806463501</v>
      </c>
      <c r="K313" s="738">
        <f t="shared" si="68"/>
        <v>505639.52889811929</v>
      </c>
      <c r="L313" s="748">
        <f t="shared" si="73"/>
        <v>2719200</v>
      </c>
      <c r="M313" s="738"/>
      <c r="N313" s="748">
        <f t="shared" si="76"/>
        <v>335823378</v>
      </c>
      <c r="O313" s="406">
        <v>2639</v>
      </c>
      <c r="P313" s="738">
        <f t="shared" si="65"/>
        <v>127254.02728306176</v>
      </c>
      <c r="Q313" s="751"/>
      <c r="R313" s="801"/>
      <c r="S313" s="735"/>
      <c r="T313" s="762"/>
      <c r="U313" s="740"/>
      <c r="V313" s="732">
        <f t="shared" si="74"/>
        <v>0</v>
      </c>
      <c r="W313" s="748"/>
    </row>
    <row r="314" spans="1:23" ht="13.5" customHeight="1">
      <c r="A314" s="799">
        <f t="shared" si="69"/>
        <v>14</v>
      </c>
      <c r="B314" s="91" t="s">
        <v>2716</v>
      </c>
      <c r="C314" s="731">
        <v>5</v>
      </c>
      <c r="D314" s="1239">
        <f t="shared" si="75"/>
        <v>3440</v>
      </c>
      <c r="E314" s="738"/>
      <c r="F314" s="738">
        <v>17500</v>
      </c>
      <c r="G314" s="748">
        <f>(D314+E314)*F314</f>
        <v>60200000</v>
      </c>
      <c r="H314" s="738">
        <f t="shared" si="67"/>
        <v>160503.8042457233</v>
      </c>
      <c r="I314" s="738">
        <f t="shared" si="68"/>
        <v>278273.52371280565</v>
      </c>
      <c r="J314" s="738">
        <f t="shared" si="68"/>
        <v>271262.36160844599</v>
      </c>
      <c r="K314" s="738">
        <f t="shared" si="68"/>
        <v>131822.65853804702</v>
      </c>
      <c r="L314" s="748">
        <f t="shared" si="73"/>
        <v>721000</v>
      </c>
      <c r="M314" s="738"/>
      <c r="N314" s="748">
        <f t="shared" si="76"/>
        <v>61762862</v>
      </c>
      <c r="O314" s="406">
        <v>688</v>
      </c>
      <c r="P314" s="738">
        <f t="shared" si="65"/>
        <v>89771.601744186046</v>
      </c>
      <c r="Q314" s="751"/>
      <c r="R314" s="479"/>
      <c r="S314" s="735"/>
      <c r="T314" s="222"/>
      <c r="U314" s="222"/>
      <c r="V314" s="732">
        <f t="shared" si="74"/>
        <v>0</v>
      </c>
      <c r="W314" s="748"/>
    </row>
    <row r="315" spans="1:23" ht="13.5" customHeight="1">
      <c r="A315" s="799">
        <f t="shared" si="69"/>
        <v>15</v>
      </c>
      <c r="B315" s="91" t="s">
        <v>2905</v>
      </c>
      <c r="C315" s="731">
        <v>5</v>
      </c>
      <c r="D315" s="1239">
        <f t="shared" si="75"/>
        <v>565</v>
      </c>
      <c r="E315" s="738"/>
      <c r="F315" s="738">
        <v>26000</v>
      </c>
      <c r="G315" s="748">
        <f>(D315+E315)*F315</f>
        <v>14690000</v>
      </c>
      <c r="H315" s="738">
        <f t="shared" si="67"/>
        <v>26361.816685707458</v>
      </c>
      <c r="I315" s="738">
        <f t="shared" si="68"/>
        <v>45704.808400504422</v>
      </c>
      <c r="J315" s="738">
        <f t="shared" si="68"/>
        <v>44553.265787433716</v>
      </c>
      <c r="K315" s="738">
        <f t="shared" si="68"/>
        <v>21651.105254068767</v>
      </c>
      <c r="L315" s="748">
        <f>V323</f>
        <v>113300</v>
      </c>
      <c r="M315" s="738"/>
      <c r="N315" s="748">
        <f t="shared" si="76"/>
        <v>14941571</v>
      </c>
      <c r="O315" s="406">
        <v>113</v>
      </c>
      <c r="P315" s="738">
        <f t="shared" si="65"/>
        <v>132226.29203539822</v>
      </c>
      <c r="Q315" s="751"/>
      <c r="R315" s="474"/>
      <c r="S315" s="735"/>
      <c r="T315" s="222"/>
      <c r="U315" s="222"/>
      <c r="V315" s="732"/>
      <c r="W315" s="748"/>
    </row>
    <row r="316" spans="1:23" ht="13.5" customHeight="1">
      <c r="A316" s="799">
        <f t="shared" si="69"/>
        <v>16</v>
      </c>
      <c r="B316" s="912" t="s">
        <v>444</v>
      </c>
      <c r="C316" s="731">
        <v>8</v>
      </c>
      <c r="D316" s="1239">
        <f t="shared" si="75"/>
        <v>20000</v>
      </c>
      <c r="E316" s="738"/>
      <c r="F316" s="738">
        <v>28000</v>
      </c>
      <c r="G316" s="748">
        <f t="shared" si="72"/>
        <v>560000000</v>
      </c>
      <c r="H316" s="738">
        <f t="shared" si="67"/>
        <v>933161.6525914144</v>
      </c>
      <c r="I316" s="738">
        <f t="shared" si="68"/>
        <v>1617869.3239116608</v>
      </c>
      <c r="J316" s="738">
        <f t="shared" si="68"/>
        <v>1577106.7535374765</v>
      </c>
      <c r="K316" s="738">
        <f t="shared" si="68"/>
        <v>766410.80545376171</v>
      </c>
      <c r="L316" s="748">
        <f>V330</f>
        <v>2575000</v>
      </c>
      <c r="M316" s="738"/>
      <c r="N316" s="748">
        <f t="shared" si="76"/>
        <v>567469549</v>
      </c>
      <c r="O316" s="406">
        <v>2500</v>
      </c>
      <c r="P316" s="738">
        <f t="shared" si="65"/>
        <v>226987.81959999999</v>
      </c>
      <c r="Q316" s="751"/>
      <c r="R316" s="802"/>
      <c r="S316" s="735"/>
      <c r="T316" s="222"/>
      <c r="U316" s="222"/>
      <c r="V316" s="748"/>
      <c r="W316" s="748"/>
    </row>
    <row r="317" spans="1:23" ht="13.5" customHeight="1">
      <c r="A317" s="1217"/>
      <c r="B317" s="1218"/>
      <c r="C317" s="1219"/>
      <c r="D317" s="782"/>
      <c r="E317" s="782"/>
      <c r="F317" s="782"/>
      <c r="G317" s="781"/>
      <c r="H317" s="782"/>
      <c r="I317" s="782"/>
      <c r="J317" s="782"/>
      <c r="K317" s="782"/>
      <c r="L317" s="782"/>
      <c r="M317" s="782"/>
      <c r="N317" s="781"/>
      <c r="O317" s="1220"/>
      <c r="P317" s="782"/>
      <c r="Q317" s="751"/>
      <c r="R317" s="785"/>
      <c r="S317" s="786"/>
      <c r="T317" s="787"/>
      <c r="U317" s="803"/>
      <c r="V317" s="766">
        <f>SUM(V301:V316)</f>
        <v>125537195</v>
      </c>
      <c r="W317" s="766">
        <f>SUM(W302:W316)</f>
        <v>0</v>
      </c>
    </row>
    <row r="318" spans="1:23" ht="13.5" customHeight="1">
      <c r="A318" s="753"/>
      <c r="B318" s="754" t="s">
        <v>538</v>
      </c>
      <c r="C318" s="755"/>
      <c r="D318" s="756">
        <f>SUM(D302:D317)</f>
        <v>1551883</v>
      </c>
      <c r="E318" s="756">
        <f>SUM(E302:E317)</f>
        <v>488618</v>
      </c>
      <c r="F318" s="756"/>
      <c r="G318" s="756">
        <f>SUM(G301:G317)-G302</f>
        <v>34810467500</v>
      </c>
      <c r="H318" s="757">
        <v>78107380</v>
      </c>
      <c r="I318" s="757">
        <f>V317</f>
        <v>125537195</v>
      </c>
      <c r="J318" s="757">
        <v>122374258</v>
      </c>
      <c r="K318" s="757">
        <v>59468995</v>
      </c>
      <c r="L318" s="756">
        <f>ROUND(SUM(L301:L317),0)</f>
        <v>612879500</v>
      </c>
      <c r="M318" s="756">
        <f>ROUND(SUM(M301:M317),0)</f>
        <v>1300000000</v>
      </c>
      <c r="N318" s="756">
        <f>ROUND(SUM(N301:N317),0)</f>
        <v>65939831828</v>
      </c>
      <c r="O318" s="756">
        <f>ROUND(SUM(O302:O317),0)</f>
        <v>926947</v>
      </c>
      <c r="P318" s="756"/>
      <c r="Q318" s="751"/>
      <c r="R318" s="739" t="s">
        <v>2005</v>
      </c>
      <c r="S318" s="798"/>
      <c r="T318" s="740">
        <v>1</v>
      </c>
      <c r="U318" s="740">
        <v>10300</v>
      </c>
      <c r="V318" s="732">
        <f t="shared" ref="V318:V339" si="77">ROUND(T318*U318,0)</f>
        <v>10300</v>
      </c>
      <c r="W318" s="748"/>
    </row>
    <row r="319" spans="1:23">
      <c r="Q319" s="751"/>
      <c r="R319" s="739" t="s">
        <v>2005</v>
      </c>
      <c r="S319" s="735"/>
      <c r="T319" s="740">
        <v>11</v>
      </c>
      <c r="U319" s="740">
        <v>10300</v>
      </c>
      <c r="V319" s="732">
        <f t="shared" si="77"/>
        <v>113300</v>
      </c>
      <c r="W319" s="748"/>
    </row>
    <row r="320" spans="1:23" ht="13.5" customHeight="1">
      <c r="L320" s="711"/>
      <c r="Q320" s="751"/>
      <c r="R320" s="739" t="s">
        <v>2005</v>
      </c>
      <c r="S320" s="735"/>
      <c r="T320" s="740">
        <v>10</v>
      </c>
      <c r="U320" s="740">
        <v>10300</v>
      </c>
      <c r="V320" s="732">
        <f t="shared" si="77"/>
        <v>103000</v>
      </c>
      <c r="W320" s="748"/>
    </row>
    <row r="321" spans="1:23" ht="13.5" customHeight="1">
      <c r="H321" s="768"/>
      <c r="N321" s="768">
        <f>N318+N275+N244+N210+N176+N150+N127+N93+N72+N52+N32+N11</f>
        <v>139193566681</v>
      </c>
      <c r="Q321" s="751"/>
      <c r="R321" s="739" t="s">
        <v>2005</v>
      </c>
      <c r="S321" s="735"/>
      <c r="T321" s="740">
        <v>10</v>
      </c>
      <c r="U321" s="740">
        <v>10300</v>
      </c>
      <c r="V321" s="732">
        <f t="shared" si="77"/>
        <v>103000</v>
      </c>
      <c r="W321" s="748"/>
    </row>
    <row r="322" spans="1:23" ht="13.5" customHeight="1">
      <c r="Q322" s="751"/>
      <c r="R322" s="739" t="s">
        <v>2005</v>
      </c>
      <c r="S322" s="735"/>
      <c r="T322" s="740">
        <v>7</v>
      </c>
      <c r="U322" s="740">
        <v>10300</v>
      </c>
      <c r="V322" s="732">
        <f t="shared" si="77"/>
        <v>72100</v>
      </c>
      <c r="W322" s="748"/>
    </row>
    <row r="323" spans="1:23" ht="13.5" customHeight="1">
      <c r="Q323" s="751"/>
      <c r="R323" s="739" t="s">
        <v>2005</v>
      </c>
      <c r="S323" s="735"/>
      <c r="T323" s="740">
        <v>11</v>
      </c>
      <c r="U323" s="740">
        <v>10300</v>
      </c>
      <c r="V323" s="732">
        <f t="shared" si="77"/>
        <v>113300</v>
      </c>
      <c r="W323" s="748"/>
    </row>
    <row r="324" spans="1:23" ht="13.5" customHeight="1">
      <c r="N324" s="768">
        <f>N321-N29-N49</f>
        <v>136858645058.34912</v>
      </c>
      <c r="Q324" s="751"/>
      <c r="R324" s="739" t="s">
        <v>2005</v>
      </c>
      <c r="S324" s="735"/>
      <c r="T324" s="740">
        <v>3</v>
      </c>
      <c r="U324" s="740">
        <v>10300</v>
      </c>
      <c r="V324" s="732">
        <f t="shared" si="77"/>
        <v>30900</v>
      </c>
      <c r="W324" s="748"/>
    </row>
    <row r="325" spans="1:23">
      <c r="N325" s="768">
        <f>N324+NXT!F79+NXT!F81+NXT!F83+NXT!F84+NXT!F85-NXT!L81+16735017000-1107185105</f>
        <v>158404291478.34912</v>
      </c>
      <c r="Q325" s="751"/>
      <c r="R325" s="739" t="s">
        <v>2005</v>
      </c>
      <c r="S325" s="735"/>
      <c r="T325" s="740">
        <v>5</v>
      </c>
      <c r="U325" s="740">
        <v>10300</v>
      </c>
      <c r="V325" s="732">
        <f t="shared" si="77"/>
        <v>51500</v>
      </c>
      <c r="W325" s="748"/>
    </row>
    <row r="326" spans="1:23">
      <c r="Q326" s="751"/>
      <c r="R326" s="739" t="s">
        <v>2005</v>
      </c>
      <c r="S326" s="735"/>
      <c r="T326" s="740">
        <v>1</v>
      </c>
      <c r="U326" s="740">
        <v>10300</v>
      </c>
      <c r="V326" s="732">
        <f t="shared" si="77"/>
        <v>10300</v>
      </c>
      <c r="W326" s="748"/>
    </row>
    <row r="327" spans="1:23" s="752" customFormat="1">
      <c r="A327" s="703"/>
      <c r="B327" s="703"/>
      <c r="C327" s="703"/>
      <c r="D327" s="703"/>
      <c r="E327" s="703"/>
      <c r="F327" s="703"/>
      <c r="G327" s="703"/>
      <c r="H327" s="703"/>
      <c r="I327" s="703"/>
      <c r="J327" s="703"/>
      <c r="K327" s="703"/>
      <c r="L327" s="703"/>
      <c r="M327" s="703"/>
      <c r="N327" s="768">
        <f>N318-60792471778</f>
        <v>5147360050</v>
      </c>
      <c r="O327" s="703">
        <f>(262378-45)*17500+(45*18000)</f>
        <v>4591637500</v>
      </c>
      <c r="P327" s="703"/>
      <c r="Q327" s="751"/>
      <c r="R327" s="739" t="s">
        <v>2005</v>
      </c>
      <c r="S327" s="735"/>
      <c r="T327" s="740">
        <v>22</v>
      </c>
      <c r="U327" s="740">
        <v>10300</v>
      </c>
      <c r="V327" s="732">
        <f t="shared" si="77"/>
        <v>226600</v>
      </c>
      <c r="W327" s="748"/>
    </row>
    <row r="328" spans="1:23" s="707" customFormat="1">
      <c r="A328" s="703"/>
      <c r="B328" s="703"/>
      <c r="C328" s="703"/>
      <c r="D328" s="703"/>
      <c r="E328" s="703"/>
      <c r="F328" s="703"/>
      <c r="G328" s="703"/>
      <c r="H328" s="703"/>
      <c r="I328" s="703"/>
      <c r="J328" s="703"/>
      <c r="K328" s="703"/>
      <c r="L328" s="703"/>
      <c r="M328" s="703"/>
      <c r="N328" s="703"/>
      <c r="O328" s="703"/>
      <c r="P328" s="703"/>
      <c r="Q328" s="751"/>
      <c r="R328" s="739" t="s">
        <v>2005</v>
      </c>
      <c r="S328" s="735"/>
      <c r="T328" s="740">
        <v>264</v>
      </c>
      <c r="U328" s="740">
        <v>10300</v>
      </c>
      <c r="V328" s="732">
        <f t="shared" ref="V328:V338" si="78">ROUND(T328*U328,0)</f>
        <v>2719200</v>
      </c>
      <c r="W328" s="748"/>
    </row>
    <row r="329" spans="1:23" s="707" customFormat="1">
      <c r="A329" s="703"/>
      <c r="B329" s="703"/>
      <c r="C329" s="703"/>
      <c r="D329" s="703"/>
      <c r="E329" s="703"/>
      <c r="F329" s="703"/>
      <c r="G329" s="703"/>
      <c r="H329" s="703"/>
      <c r="I329" s="703"/>
      <c r="J329" s="703"/>
      <c r="K329" s="703"/>
      <c r="L329" s="703"/>
      <c r="M329" s="703"/>
      <c r="N329" s="703"/>
      <c r="O329" s="703"/>
      <c r="P329" s="703"/>
      <c r="Q329" s="751"/>
      <c r="R329" s="739" t="s">
        <v>2005</v>
      </c>
      <c r="S329" s="735"/>
      <c r="T329" s="740">
        <v>70</v>
      </c>
      <c r="U329" s="740">
        <v>10300</v>
      </c>
      <c r="V329" s="732">
        <f>ROUND(T329*U329,0)</f>
        <v>721000</v>
      </c>
      <c r="W329" s="748"/>
    </row>
    <row r="330" spans="1:23" s="707" customFormat="1">
      <c r="A330" s="703"/>
      <c r="B330" s="703"/>
      <c r="C330" s="703"/>
      <c r="D330" s="703"/>
      <c r="E330" s="703"/>
      <c r="F330" s="703"/>
      <c r="G330" s="703"/>
      <c r="H330" s="703"/>
      <c r="I330" s="703"/>
      <c r="J330" s="703"/>
      <c r="K330" s="703"/>
      <c r="L330" s="703"/>
      <c r="M330" s="703"/>
      <c r="N330" s="703"/>
      <c r="O330" s="703"/>
      <c r="P330" s="703"/>
      <c r="Q330" s="751"/>
      <c r="R330" s="739" t="s">
        <v>2005</v>
      </c>
      <c r="S330" s="735"/>
      <c r="T330" s="740">
        <v>250</v>
      </c>
      <c r="U330" s="740">
        <v>10300</v>
      </c>
      <c r="V330" s="732">
        <f>ROUND(T330*U330,0)</f>
        <v>2575000</v>
      </c>
      <c r="W330" s="748"/>
    </row>
    <row r="331" spans="1:23">
      <c r="Q331" s="751"/>
      <c r="R331" s="739" t="s">
        <v>2495</v>
      </c>
      <c r="S331" s="798"/>
      <c r="T331" s="222">
        <v>2000</v>
      </c>
      <c r="U331" s="222">
        <v>7500</v>
      </c>
      <c r="V331" s="732">
        <f t="shared" si="78"/>
        <v>15000000</v>
      </c>
      <c r="W331" s="748"/>
    </row>
    <row r="332" spans="1:23">
      <c r="Q332" s="751"/>
      <c r="R332" s="739" t="s">
        <v>2495</v>
      </c>
      <c r="S332" s="798"/>
      <c r="T332" s="222">
        <v>8000</v>
      </c>
      <c r="U332" s="222">
        <v>4500</v>
      </c>
      <c r="V332" s="732">
        <f t="shared" si="78"/>
        <v>36000000</v>
      </c>
      <c r="W332" s="748"/>
    </row>
    <row r="333" spans="1:23">
      <c r="Q333" s="751"/>
      <c r="R333" s="739" t="s">
        <v>2495</v>
      </c>
      <c r="S333" s="798"/>
      <c r="T333" s="740">
        <f>37586</f>
        <v>37586</v>
      </c>
      <c r="U333" s="222">
        <v>7500</v>
      </c>
      <c r="V333" s="732">
        <f t="shared" si="78"/>
        <v>281895000</v>
      </c>
      <c r="W333" s="748"/>
    </row>
    <row r="334" spans="1:23">
      <c r="Q334" s="751"/>
      <c r="R334" s="739" t="s">
        <v>2495</v>
      </c>
      <c r="S334" s="798"/>
      <c r="T334" s="740">
        <f>31119+1939</f>
        <v>33058</v>
      </c>
      <c r="U334" s="222">
        <v>7500</v>
      </c>
      <c r="V334" s="732">
        <f t="shared" si="78"/>
        <v>247935000</v>
      </c>
      <c r="W334" s="748"/>
    </row>
    <row r="335" spans="1:23">
      <c r="Q335" s="751"/>
      <c r="R335" s="739" t="s">
        <v>2593</v>
      </c>
      <c r="S335" s="798"/>
      <c r="T335" s="740">
        <v>84000</v>
      </c>
      <c r="U335" s="222">
        <v>300</v>
      </c>
      <c r="V335" s="732">
        <f t="shared" si="78"/>
        <v>25200000</v>
      </c>
      <c r="W335" s="748"/>
    </row>
    <row r="336" spans="1:23">
      <c r="G336" s="706"/>
      <c r="N336" s="706"/>
      <c r="Q336" s="751"/>
      <c r="R336" s="739"/>
      <c r="S336" s="735"/>
      <c r="T336" s="740"/>
      <c r="U336" s="740"/>
      <c r="V336" s="732">
        <f t="shared" si="78"/>
        <v>0</v>
      </c>
      <c r="W336" s="748"/>
    </row>
    <row r="337" spans="7:23">
      <c r="G337" s="706"/>
      <c r="H337" s="706"/>
      <c r="I337" s="706"/>
      <c r="J337" s="706"/>
      <c r="K337" s="706"/>
      <c r="L337" s="706"/>
      <c r="M337" s="706"/>
      <c r="N337" s="706"/>
      <c r="R337" s="739"/>
      <c r="S337" s="735"/>
      <c r="T337" s="740"/>
      <c r="U337" s="740"/>
      <c r="V337" s="732">
        <f t="shared" si="78"/>
        <v>0</v>
      </c>
      <c r="W337" s="748"/>
    </row>
    <row r="338" spans="7:23">
      <c r="G338" s="768"/>
      <c r="N338" s="768"/>
      <c r="R338" s="739"/>
      <c r="S338" s="735"/>
      <c r="T338" s="740"/>
      <c r="U338" s="740"/>
      <c r="V338" s="732">
        <f t="shared" si="78"/>
        <v>0</v>
      </c>
      <c r="W338" s="748"/>
    </row>
    <row r="339" spans="7:23">
      <c r="R339" s="762"/>
      <c r="S339" s="735"/>
      <c r="T339" s="740"/>
      <c r="U339" s="740"/>
      <c r="V339" s="732">
        <f t="shared" si="77"/>
        <v>0</v>
      </c>
      <c r="W339" s="748"/>
    </row>
    <row r="340" spans="7:23">
      <c r="R340" s="762"/>
      <c r="S340" s="735"/>
      <c r="T340" s="740"/>
      <c r="U340" s="740"/>
      <c r="V340" s="807">
        <f>SUM(V318:V338)</f>
        <v>612879500</v>
      </c>
      <c r="W340" s="748"/>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160"/>
  <sheetViews>
    <sheetView topLeftCell="A63" zoomScale="90" zoomScaleNormal="90" workbookViewId="0">
      <selection activeCell="N70" sqref="N70"/>
    </sheetView>
  </sheetViews>
  <sheetFormatPr defaultRowHeight="12.75"/>
  <cols>
    <col min="1" max="1" width="9.28515625" customWidth="1"/>
    <col min="2" max="2" width="19.42578125" customWidth="1"/>
    <col min="3" max="3" width="8.28515625" hidden="1" customWidth="1"/>
    <col min="4" max="4" width="7.7109375" customWidth="1"/>
    <col min="5" max="5" width="23.7109375" style="1086" customWidth="1"/>
    <col min="6" max="6" width="11.85546875" customWidth="1"/>
    <col min="7" max="7" width="12.42578125" customWidth="1"/>
    <col min="8" max="8" width="8.85546875" customWidth="1"/>
    <col min="9" max="9" width="8" customWidth="1"/>
    <col min="10" max="10" width="14.140625" customWidth="1"/>
    <col min="11" max="11" width="6" customWidth="1"/>
    <col min="12" max="12" width="3.5703125" customWidth="1"/>
    <col min="13" max="13" width="6.42578125" customWidth="1"/>
    <col min="14" max="14" width="15.85546875" bestFit="1" customWidth="1"/>
  </cols>
  <sheetData>
    <row r="1" spans="1:14" ht="15.75">
      <c r="A1" s="1534" t="s">
        <v>496</v>
      </c>
      <c r="B1" s="1534"/>
      <c r="C1" s="1534"/>
      <c r="D1" s="1534"/>
      <c r="E1" s="1534"/>
      <c r="F1" s="1534"/>
      <c r="G1" s="1534"/>
      <c r="H1" s="1534"/>
      <c r="I1" s="1534"/>
      <c r="J1" s="1535" t="s">
        <v>497</v>
      </c>
      <c r="K1" s="1536"/>
      <c r="L1" s="666"/>
      <c r="M1" s="666"/>
      <c r="N1" s="667"/>
    </row>
    <row r="2" spans="1:14" ht="15.75">
      <c r="A2" s="1534"/>
      <c r="B2" s="1534"/>
      <c r="C2" s="1534"/>
      <c r="D2" s="1534"/>
      <c r="E2" s="1534"/>
      <c r="F2" s="1534"/>
      <c r="G2" s="1534"/>
      <c r="H2" s="1534"/>
      <c r="I2" s="1534"/>
      <c r="J2" s="1537"/>
      <c r="K2" s="1538"/>
      <c r="L2" s="666"/>
      <c r="M2" s="666"/>
      <c r="N2" s="667"/>
    </row>
    <row r="3" spans="1:14" ht="15.75">
      <c r="A3" s="1534"/>
      <c r="B3" s="1534"/>
      <c r="C3" s="1534"/>
      <c r="D3" s="1534"/>
      <c r="E3" s="1534"/>
      <c r="F3" s="1534"/>
      <c r="G3" s="1534"/>
      <c r="H3" s="1534"/>
      <c r="I3" s="1534"/>
      <c r="J3" s="1537"/>
      <c r="K3" s="1538"/>
      <c r="L3" s="666"/>
      <c r="M3" s="666"/>
      <c r="N3" s="667"/>
    </row>
    <row r="4" spans="1:14" ht="22.5" customHeight="1">
      <c r="A4" s="1541" t="str">
        <f>"( " &amp; IF(OR($M$11=1,$M$11=4,$M$11=6,$M$11=9,$M$11=11),"Ngày  30  tháng  "&amp;$M$11&amp;"  năm 2016",IF(OR($M$11=3,$M$11=5,$M$11=7,$M$11=8,$M$11=10,$M$11=12),"Ngày  31  tháng  "&amp;$M$11&amp;"  năm 2016","Ngày  29  tháng  "&amp;$M$11&amp;"  năm 2016")) &amp; " ) "</f>
        <v xml:space="preserve">( Ngày  30  tháng  11  năm 2016 ) </v>
      </c>
      <c r="B4" s="1541"/>
      <c r="C4" s="1541"/>
      <c r="D4" s="1541"/>
      <c r="E4" s="1541"/>
      <c r="F4" s="1541"/>
      <c r="G4" s="1541"/>
      <c r="H4" s="1541"/>
      <c r="I4" s="1541"/>
      <c r="J4" s="1539"/>
      <c r="K4" s="1540"/>
      <c r="L4" s="666"/>
      <c r="M4" s="666"/>
      <c r="N4" s="667"/>
    </row>
    <row r="5" spans="1:14" ht="10.5" customHeight="1">
      <c r="A5" s="668"/>
      <c r="B5" s="666"/>
      <c r="C5" s="666"/>
      <c r="D5" s="666"/>
      <c r="E5" s="1079"/>
      <c r="F5" s="669"/>
      <c r="G5" s="666"/>
      <c r="H5" s="670"/>
      <c r="I5" s="670"/>
      <c r="J5" s="666"/>
      <c r="K5" s="666"/>
      <c r="L5" s="666"/>
      <c r="M5" s="667"/>
      <c r="N5" s="667"/>
    </row>
    <row r="6" spans="1:14" ht="15.75">
      <c r="A6" s="668" t="s">
        <v>498</v>
      </c>
      <c r="B6" s="666"/>
      <c r="C6" s="666"/>
      <c r="D6" s="666"/>
      <c r="E6" s="1080"/>
      <c r="F6" s="666"/>
      <c r="G6" s="666" t="s">
        <v>499</v>
      </c>
      <c r="H6" s="670"/>
      <c r="I6" s="670"/>
      <c r="J6" s="666"/>
      <c r="K6" s="666"/>
      <c r="L6" s="666"/>
      <c r="M6" s="667"/>
      <c r="N6" s="667"/>
    </row>
    <row r="7" spans="1:14" ht="15.75">
      <c r="A7" s="668" t="s">
        <v>500</v>
      </c>
      <c r="B7" s="666"/>
      <c r="C7" s="666"/>
      <c r="D7" s="666"/>
      <c r="E7" s="1080"/>
      <c r="F7" s="666"/>
      <c r="G7" s="666"/>
      <c r="H7" s="670"/>
      <c r="I7" s="670"/>
      <c r="J7" s="666"/>
      <c r="K7" s="666"/>
      <c r="L7" s="666"/>
      <c r="M7" s="667"/>
      <c r="N7" s="667"/>
    </row>
    <row r="8" spans="1:14" ht="15.75">
      <c r="A8" s="668" t="s">
        <v>501</v>
      </c>
      <c r="B8" s="666"/>
      <c r="C8" s="666"/>
      <c r="D8" s="666"/>
      <c r="E8" s="1080"/>
      <c r="F8" s="666"/>
      <c r="G8" s="666"/>
      <c r="H8" s="670"/>
      <c r="I8" s="670"/>
      <c r="J8" s="666"/>
      <c r="K8" s="666"/>
      <c r="L8" s="666"/>
      <c r="M8" s="667"/>
      <c r="N8" s="667"/>
    </row>
    <row r="9" spans="1:14" ht="15.75">
      <c r="A9" s="668" t="s">
        <v>502</v>
      </c>
      <c r="B9" s="666"/>
      <c r="C9" s="666"/>
      <c r="D9" s="666"/>
      <c r="E9" s="1080"/>
      <c r="F9" s="666"/>
      <c r="G9" s="666"/>
      <c r="H9" s="670"/>
      <c r="I9" s="670"/>
      <c r="J9" s="666"/>
      <c r="K9" s="666"/>
      <c r="L9" s="666"/>
      <c r="M9" s="667"/>
      <c r="N9" s="667"/>
    </row>
    <row r="10" spans="1:14" ht="6" customHeight="1" thickBot="1">
      <c r="A10" s="668"/>
      <c r="B10" s="666"/>
      <c r="C10" s="666"/>
      <c r="D10" s="666"/>
      <c r="E10" s="1080"/>
      <c r="F10" s="666"/>
      <c r="G10" s="666"/>
      <c r="H10" s="670"/>
      <c r="I10" s="670"/>
      <c r="J10" s="666"/>
      <c r="K10" s="666"/>
      <c r="L10" s="666"/>
      <c r="M10" s="671"/>
      <c r="N10" s="667"/>
    </row>
    <row r="11" spans="1:14" ht="15.75" thickBot="1">
      <c r="A11" s="1542" t="s">
        <v>569</v>
      </c>
      <c r="B11" s="1544" t="s">
        <v>503</v>
      </c>
      <c r="C11" s="1545"/>
      <c r="D11" s="1545"/>
      <c r="E11" s="1545"/>
      <c r="F11" s="1546"/>
      <c r="G11" s="1547" t="s">
        <v>504</v>
      </c>
      <c r="H11" s="1547"/>
      <c r="I11" s="1547"/>
      <c r="J11" s="1547"/>
      <c r="K11" s="1548" t="s">
        <v>149</v>
      </c>
      <c r="L11" s="672"/>
      <c r="M11" s="1078">
        <v>11</v>
      </c>
      <c r="N11" s="674"/>
    </row>
    <row r="12" spans="1:14" ht="27.75" customHeight="1">
      <c r="A12" s="1543"/>
      <c r="B12" s="675" t="s">
        <v>505</v>
      </c>
      <c r="C12" s="675"/>
      <c r="D12" s="675" t="s">
        <v>506</v>
      </c>
      <c r="E12" s="675" t="s">
        <v>507</v>
      </c>
      <c r="F12" s="675" t="s">
        <v>508</v>
      </c>
      <c r="G12" s="675" t="s">
        <v>509</v>
      </c>
      <c r="H12" s="676" t="s">
        <v>459</v>
      </c>
      <c r="I12" s="676" t="s">
        <v>460</v>
      </c>
      <c r="J12" s="675" t="s">
        <v>510</v>
      </c>
      <c r="K12" s="1549"/>
      <c r="L12" s="677"/>
      <c r="M12" s="678"/>
      <c r="N12" s="678"/>
    </row>
    <row r="13" spans="1:14">
      <c r="A13" s="679" t="s">
        <v>169</v>
      </c>
      <c r="B13" s="680">
        <v>2</v>
      </c>
      <c r="C13" s="680"/>
      <c r="D13" s="680"/>
      <c r="E13" s="1081">
        <v>3</v>
      </c>
      <c r="F13" s="680">
        <v>4</v>
      </c>
      <c r="G13" s="680">
        <v>5</v>
      </c>
      <c r="H13" s="681" t="s">
        <v>511</v>
      </c>
      <c r="I13" s="681" t="s">
        <v>512</v>
      </c>
      <c r="J13" s="680">
        <v>8</v>
      </c>
      <c r="K13" s="680">
        <v>9</v>
      </c>
      <c r="L13" s="682"/>
      <c r="M13" s="682"/>
      <c r="N13" s="682"/>
    </row>
    <row r="14" spans="1:14" ht="27" hidden="1" customHeight="1">
      <c r="A14" s="214">
        <f ca="1">IF(ROWS($1:1)&gt;COUNT(Dong13),"",OFFSET(TH!E$1,SMALL(Dong13,ROWS($1:1)),))</f>
        <v>42675</v>
      </c>
      <c r="B14" s="216" t="str">
        <f ca="1">IF(ROWS($1:1)&gt;COUNT(Dong13),"",OFFSET(TH!H$1,SMALL(Dong13,ROWS($1:1)),))</f>
        <v>Nguyễn Thanh Bình</v>
      </c>
      <c r="C14" s="683" t="str">
        <f ca="1">IF(ISNA(VLOOKUP($B14,DSNL,6,0)),"",VLOOKUP($B14,DSNL,6,0))</f>
        <v>Nhiên</v>
      </c>
      <c r="D14" s="683" t="str">
        <f ca="1">IF(ROWS($1:1)&gt;COUNT(Dong13),"",OFFSET(TH!D$1,SMALL(Dong13,ROWS($1:1)),))</f>
        <v>NL/N08</v>
      </c>
      <c r="E14" s="1082" t="str">
        <f t="shared" ref="E14:E148" ca="1" si="0">IF(ISNA(VLOOKUP($B14,DSNL,4,0)),"",VLOOKUP($B14,DSNL,4,0))</f>
        <v>Phan Thiết - Bình Thuận</v>
      </c>
      <c r="F14" s="684">
        <f t="shared" ref="F14:F148" ca="1" si="1">IF(ISNA(VLOOKUP($B14,DSNL,3,0)),"",VLOOKUP($B14,DSNL,3,0))</f>
        <v>260178873</v>
      </c>
      <c r="G14" s="685" t="str">
        <f ca="1">IF(ROWS($1:1)&gt;COUNT(Dong13),"",OFFSET(TH!F$1,SMALL(Dong13,ROWS($1:1)),))</f>
        <v>Cá cơm NL</v>
      </c>
      <c r="H14" s="686">
        <f ca="1">IF(ROWS($1:1)&gt;COUNT(Dong13),"",OFFSET(TH!I$1,SMALL(Dong13,ROWS($1:1)),))</f>
        <v>11450</v>
      </c>
      <c r="I14" s="686">
        <f ca="1">IF(ROWS($1:1)&gt;COUNT(Dong13),"",OFFSET(TH!J$1,SMALL(Dong13,ROWS($1:1)),))</f>
        <v>18000</v>
      </c>
      <c r="J14" s="687">
        <f ca="1">IF(B14&lt;&gt;"",H14*I14,0)</f>
        <v>206100000</v>
      </c>
      <c r="K14" s="687"/>
      <c r="L14" s="688"/>
      <c r="M14" s="667"/>
      <c r="N14" s="667"/>
    </row>
    <row r="15" spans="1:14" ht="27" hidden="1" customHeight="1">
      <c r="A15" s="214">
        <f ca="1">IF(ROWS($1:2)&gt;COUNT(Dong13),"",OFFSET(TH!E$1,SMALL(Dong13,ROWS($1:2)),))</f>
        <v>42675</v>
      </c>
      <c r="B15" s="216" t="str">
        <f ca="1">IF(ROWS($1:2)&gt;COUNT(Dong13),"",OFFSET(TH!H$1,SMALL(Dong13,ROWS($1:2)),))</f>
        <v>Lê Thị Diệu</v>
      </c>
      <c r="C15" s="683" t="str">
        <f t="shared" ref="C15:C105" ca="1" si="2">IF(ISNA(VLOOKUP($B15,DSNL,6,0)),"",VLOOKUP($B15,DSNL,6,0))</f>
        <v>Nhiên</v>
      </c>
      <c r="D15" s="683" t="str">
        <f ca="1">IF(ROWS($1:2)&gt;COUNT(Dong13),"",OFFSET(TH!D$1,SMALL(Dong13,ROWS($1:2)),))</f>
        <v>NL/N06</v>
      </c>
      <c r="E15" s="1082" t="str">
        <f t="shared" ca="1" si="0"/>
        <v>Đức Linh - Bình Thuận</v>
      </c>
      <c r="F15" s="684">
        <f t="shared" ca="1" si="1"/>
        <v>250746332</v>
      </c>
      <c r="G15" s="685" t="str">
        <f ca="1">IF(ROWS($1:2)&gt;COUNT(Dong13),"",OFFSET(TH!F$1,SMALL(Dong13,ROWS($1:2)),))</f>
        <v>Cá cơm NL</v>
      </c>
      <c r="H15" s="686">
        <f ca="1">IF(ROWS($1:2)&gt;COUNT(Dong13),"",OFFSET(TH!I$1,SMALL(Dong13,ROWS($1:2)),))</f>
        <v>11530</v>
      </c>
      <c r="I15" s="686">
        <f ca="1">IF(ROWS($1:2)&gt;COUNT(Dong13),"",OFFSET(TH!J$1,SMALL(Dong13,ROWS($1:2)),))</f>
        <v>18000</v>
      </c>
      <c r="J15" s="687">
        <f t="shared" ref="J15:J28" ca="1" si="3">IF(B15&lt;&gt;"",H15*I15,0)</f>
        <v>207540000</v>
      </c>
      <c r="K15" s="689"/>
      <c r="L15" s="688"/>
      <c r="M15" s="667"/>
      <c r="N15" s="667"/>
    </row>
    <row r="16" spans="1:14" ht="27" hidden="1" customHeight="1">
      <c r="A16" s="214">
        <f ca="1">IF(ROWS($1:3)&gt;COUNT(Dong13),"",OFFSET(TH!E$1,SMALL(Dong13,ROWS($1:3)),))</f>
        <v>42676</v>
      </c>
      <c r="B16" s="216" t="str">
        <f ca="1">IF(ROWS($1:3)&gt;COUNT(Dong13),"",OFFSET(TH!H$1,SMALL(Dong13,ROWS($1:3)),))</f>
        <v>Nguyễn Thanh Bình</v>
      </c>
      <c r="C16" s="683" t="str">
        <f t="shared" ca="1" si="2"/>
        <v>Nhiên</v>
      </c>
      <c r="D16" s="683" t="str">
        <f ca="1">IF(ROWS($1:3)&gt;COUNT(Dong13),"",OFFSET(TH!D$1,SMALL(Dong13,ROWS($1:3)),))</f>
        <v>NL/N12</v>
      </c>
      <c r="E16" s="1082" t="str">
        <f t="shared" ca="1" si="0"/>
        <v>Phan Thiết - Bình Thuận</v>
      </c>
      <c r="F16" s="684">
        <f t="shared" ca="1" si="1"/>
        <v>260178873</v>
      </c>
      <c r="G16" s="685" t="str">
        <f ca="1">IF(ROWS($1:3)&gt;COUNT(Dong13),"",OFFSET(TH!F$1,SMALL(Dong13,ROWS($1:3)),))</f>
        <v>Cá cơm NL</v>
      </c>
      <c r="H16" s="686">
        <f ca="1">IF(ROWS($1:3)&gt;COUNT(Dong13),"",OFFSET(TH!I$1,SMALL(Dong13,ROWS($1:3)),))</f>
        <v>11471</v>
      </c>
      <c r="I16" s="686">
        <f ca="1">IF(ROWS($1:3)&gt;COUNT(Dong13),"",OFFSET(TH!J$1,SMALL(Dong13,ROWS($1:3)),))</f>
        <v>18000</v>
      </c>
      <c r="J16" s="687">
        <f t="shared" ca="1" si="3"/>
        <v>206478000</v>
      </c>
      <c r="K16" s="689"/>
      <c r="L16" s="688"/>
      <c r="M16" s="667"/>
      <c r="N16" s="667"/>
    </row>
    <row r="17" spans="1:14" ht="27" hidden="1" customHeight="1">
      <c r="A17" s="214">
        <f ca="1">IF(ROWS($1:4)&gt;COUNT(Dong13),"",OFFSET(TH!E$1,SMALL(Dong13,ROWS($1:4)),))</f>
        <v>42677</v>
      </c>
      <c r="B17" s="216" t="str">
        <f ca="1">IF(ROWS($1:4)&gt;COUNT(Dong13),"",OFFSET(TH!H$1,SMALL(Dong13,ROWS($1:4)),))</f>
        <v>Lê Thị Diệu</v>
      </c>
      <c r="C17" s="683" t="str">
        <f t="shared" ca="1" si="2"/>
        <v>Nhiên</v>
      </c>
      <c r="D17" s="683" t="str">
        <f ca="1">IF(ROWS($1:4)&gt;COUNT(Dong13),"",OFFSET(TH!D$1,SMALL(Dong13,ROWS($1:4)),))</f>
        <v>NL/N16</v>
      </c>
      <c r="E17" s="1082" t="str">
        <f t="shared" ca="1" si="0"/>
        <v>Đức Linh - Bình Thuận</v>
      </c>
      <c r="F17" s="684">
        <f t="shared" ca="1" si="1"/>
        <v>250746332</v>
      </c>
      <c r="G17" s="685" t="str">
        <f ca="1">IF(ROWS($1:4)&gt;COUNT(Dong13),"",OFFSET(TH!F$1,SMALL(Dong13,ROWS($1:4)),))</f>
        <v>Cá cơm NL</v>
      </c>
      <c r="H17" s="686">
        <f ca="1">IF(ROWS($1:4)&gt;COUNT(Dong13),"",OFFSET(TH!I$1,SMALL(Dong13,ROWS($1:4)),))</f>
        <v>11450</v>
      </c>
      <c r="I17" s="686">
        <f ca="1">IF(ROWS($1:4)&gt;COUNT(Dong13),"",OFFSET(TH!J$1,SMALL(Dong13,ROWS($1:4)),))</f>
        <v>18000</v>
      </c>
      <c r="J17" s="687">
        <f t="shared" ca="1" si="3"/>
        <v>206100000</v>
      </c>
      <c r="K17" s="689"/>
      <c r="L17" s="688"/>
      <c r="M17" s="667"/>
      <c r="N17" s="667"/>
    </row>
    <row r="18" spans="1:14" ht="27" hidden="1" customHeight="1">
      <c r="A18" s="214">
        <f ca="1">IF(ROWS($1:5)&gt;COUNT(Dong13),"",OFFSET(TH!E$1,SMALL(Dong13,ROWS($1:5)),))</f>
        <v>42675</v>
      </c>
      <c r="B18" s="216" t="str">
        <f ca="1">IF(ROWS($1:5)&gt;COUNT(Dong13),"",OFFSET(TH!H$1,SMALL(Dong13,ROWS($1:5)),))</f>
        <v>Nguyễn Văn Nhân</v>
      </c>
      <c r="C18" s="683" t="str">
        <f t="shared" ca="1" si="2"/>
        <v>Nhiên</v>
      </c>
      <c r="D18" s="683" t="str">
        <f ca="1">IF(ROWS($1:5)&gt;COUNT(Dong13),"",OFFSET(TH!D$1,SMALL(Dong13,ROWS($1:5)),))</f>
        <v>NL/N05</v>
      </c>
      <c r="E18" s="1082" t="str">
        <f t="shared" ca="1" si="0"/>
        <v>Thanh Hải - Bình Thuận</v>
      </c>
      <c r="F18" s="684">
        <f t="shared" ca="1" si="1"/>
        <v>261005222</v>
      </c>
      <c r="G18" s="685" t="str">
        <f ca="1">IF(ROWS($1:5)&gt;COUNT(Dong13),"",OFFSET(TH!F$1,SMALL(Dong13,ROWS($1:5)),))</f>
        <v>Cá cơm NL</v>
      </c>
      <c r="H18" s="686">
        <f ca="1">IF(ROWS($1:5)&gt;COUNT(Dong13),"",OFFSET(TH!I$1,SMALL(Dong13,ROWS($1:5)),))</f>
        <v>12280</v>
      </c>
      <c r="I18" s="686">
        <f ca="1">IF(ROWS($1:5)&gt;COUNT(Dong13),"",OFFSET(TH!J$1,SMALL(Dong13,ROWS($1:5)),))</f>
        <v>18000</v>
      </c>
      <c r="J18" s="687">
        <f t="shared" ca="1" si="3"/>
        <v>221040000</v>
      </c>
      <c r="K18" s="689"/>
      <c r="L18" s="688"/>
      <c r="M18" s="667"/>
      <c r="N18" s="667"/>
    </row>
    <row r="19" spans="1:14" ht="27" hidden="1" customHeight="1">
      <c r="A19" s="214">
        <f ca="1">IF(ROWS($1:6)&gt;COUNT(Dong13),"",OFFSET(TH!E$1,SMALL(Dong13,ROWS($1:6)),))</f>
        <v>42679</v>
      </c>
      <c r="B19" s="216" t="str">
        <f ca="1">IF(ROWS($1:6)&gt;COUNT(Dong13),"",OFFSET(TH!H$1,SMALL(Dong13,ROWS($1:6)),))</f>
        <v>Nguyễn Văn Nhân</v>
      </c>
      <c r="C19" s="683" t="str">
        <f t="shared" ca="1" si="2"/>
        <v>Nhiên</v>
      </c>
      <c r="D19" s="683" t="str">
        <f ca="1">IF(ROWS($1:6)&gt;COUNT(Dong13),"",OFFSET(TH!D$1,SMALL(Dong13,ROWS($1:6)),))</f>
        <v>NL/N25</v>
      </c>
      <c r="E19" s="1082" t="str">
        <f t="shared" ca="1" si="0"/>
        <v>Thanh Hải - Bình Thuận</v>
      </c>
      <c r="F19" s="684">
        <f t="shared" ca="1" si="1"/>
        <v>261005222</v>
      </c>
      <c r="G19" s="685" t="str">
        <f ca="1">IF(ROWS($1:6)&gt;COUNT(Dong13),"",OFFSET(TH!F$1,SMALL(Dong13,ROWS($1:6)),))</f>
        <v>Cá cơm NL</v>
      </c>
      <c r="H19" s="686">
        <f ca="1">IF(ROWS($1:6)&gt;COUNT(Dong13),"",OFFSET(TH!I$1,SMALL(Dong13,ROWS($1:6)),))</f>
        <v>11450</v>
      </c>
      <c r="I19" s="686">
        <f ca="1">IF(ROWS($1:6)&gt;COUNT(Dong13),"",OFFSET(TH!J$1,SMALL(Dong13,ROWS($1:6)),))</f>
        <v>18000</v>
      </c>
      <c r="J19" s="687">
        <f t="shared" ca="1" si="3"/>
        <v>206100000</v>
      </c>
      <c r="K19" s="689"/>
      <c r="L19" s="688"/>
      <c r="M19" s="667"/>
      <c r="N19" s="667"/>
    </row>
    <row r="20" spans="1:14" ht="31.5" hidden="1" customHeight="1">
      <c r="A20" s="214">
        <f ca="1">IF(ROWS($1:7)&gt;COUNT(Dong13),"",OFFSET(TH!E$1,SMALL(Dong13,ROWS($1:7)),))</f>
        <v>42675</v>
      </c>
      <c r="B20" s="216" t="str">
        <f ca="1">IF(ROWS($1:7)&gt;COUNT(Dong13),"",OFFSET(TH!H$1,SMALL(Dong13,ROWS($1:7)),))</f>
        <v>Lê Thị Thiện Em</v>
      </c>
      <c r="C20" s="683" t="str">
        <f t="shared" ca="1" si="2"/>
        <v>Nhiên</v>
      </c>
      <c r="D20" s="683" t="str">
        <f ca="1">IF(ROWS($1:7)&gt;COUNT(Dong13),"",OFFSET(TH!D$1,SMALL(Dong13,ROWS($1:7)),))</f>
        <v>NL/N07</v>
      </c>
      <c r="E20" s="1082" t="str">
        <f t="shared" ca="1" si="0"/>
        <v>Đức Linh - Bình Thuận</v>
      </c>
      <c r="F20" s="684">
        <f t="shared" ca="1" si="1"/>
        <v>260682094</v>
      </c>
      <c r="G20" s="685" t="str">
        <f ca="1">IF(ROWS($1:7)&gt;COUNT(Dong13),"",OFFSET(TH!F$1,SMALL(Dong13,ROWS($1:7)),))</f>
        <v>Cá cơm NL</v>
      </c>
      <c r="H20" s="686">
        <f ca="1">IF(ROWS($1:7)&gt;COUNT(Dong13),"",OFFSET(TH!I$1,SMALL(Dong13,ROWS($1:7)),))</f>
        <v>11480</v>
      </c>
      <c r="I20" s="686">
        <f ca="1">IF(ROWS($1:7)&gt;COUNT(Dong13),"",OFFSET(TH!J$1,SMALL(Dong13,ROWS($1:7)),))</f>
        <v>18000</v>
      </c>
      <c r="J20" s="687">
        <f t="shared" ca="1" si="3"/>
        <v>206640000</v>
      </c>
      <c r="K20" s="689"/>
      <c r="L20" s="688"/>
      <c r="M20" s="667"/>
      <c r="N20" s="667"/>
    </row>
    <row r="21" spans="1:14" ht="27" hidden="1" customHeight="1">
      <c r="A21" s="214">
        <f ca="1">IF(ROWS($1:8)&gt;COUNT(Dong13),"",OFFSET(TH!E$1,SMALL(Dong13,ROWS($1:8)),))</f>
        <v>42678</v>
      </c>
      <c r="B21" s="216" t="str">
        <f ca="1">IF(ROWS($1:8)&gt;COUNT(Dong13),"",OFFSET(TH!H$1,SMALL(Dong13,ROWS($1:8)),))</f>
        <v>Nguyễn Thanh Bình</v>
      </c>
      <c r="C21" s="683" t="str">
        <f t="shared" ca="1" si="2"/>
        <v>Nhiên</v>
      </c>
      <c r="D21" s="683" t="str">
        <f ca="1">IF(ROWS($1:8)&gt;COUNT(Dong13),"",OFFSET(TH!D$1,SMALL(Dong13,ROWS($1:8)),))</f>
        <v>NL/N19</v>
      </c>
      <c r="E21" s="1082" t="str">
        <f t="shared" ca="1" si="0"/>
        <v>Phan Thiết - Bình Thuận</v>
      </c>
      <c r="F21" s="684">
        <f t="shared" ca="1" si="1"/>
        <v>260178873</v>
      </c>
      <c r="G21" s="685" t="str">
        <f ca="1">IF(ROWS($1:8)&gt;COUNT(Dong13),"",OFFSET(TH!F$1,SMALL(Dong13,ROWS($1:8)),))</f>
        <v>Cá cơm NL</v>
      </c>
      <c r="H21" s="686">
        <f ca="1">IF(ROWS($1:8)&gt;COUNT(Dong13),"",OFFSET(TH!I$1,SMALL(Dong13,ROWS($1:8)),))</f>
        <v>11860</v>
      </c>
      <c r="I21" s="686">
        <f ca="1">IF(ROWS($1:8)&gt;COUNT(Dong13),"",OFFSET(TH!J$1,SMALL(Dong13,ROWS($1:8)),))</f>
        <v>18000</v>
      </c>
      <c r="J21" s="687">
        <f t="shared" ca="1" si="3"/>
        <v>213480000</v>
      </c>
      <c r="K21" s="689"/>
      <c r="L21" s="688"/>
      <c r="M21" s="667"/>
      <c r="N21" s="667"/>
    </row>
    <row r="22" spans="1:14" ht="30" hidden="1">
      <c r="A22" s="214">
        <f ca="1">IF(ROWS($1:9)&gt;COUNT(Dong13),"",OFFSET(TH!E$1,SMALL(Dong13,ROWS($1:9)),))</f>
        <v>42677</v>
      </c>
      <c r="B22" s="216" t="str">
        <f ca="1">IF(ROWS($1:9)&gt;COUNT(Dong13),"",OFFSET(TH!H$1,SMALL(Dong13,ROWS($1:9)),))</f>
        <v>Nguyễn Thị Hội</v>
      </c>
      <c r="C22" s="683" t="str">
        <f t="shared" ca="1" si="2"/>
        <v>Nhiên</v>
      </c>
      <c r="D22" s="683" t="str">
        <f ca="1">IF(ROWS($1:9)&gt;COUNT(Dong13),"",OFFSET(TH!D$1,SMALL(Dong13,ROWS($1:9)),))</f>
        <v>NL/N13</v>
      </c>
      <c r="E22" s="1082" t="str">
        <f t="shared" ca="1" si="0"/>
        <v>Long Hương - Bình Thuận</v>
      </c>
      <c r="F22" s="684" t="str">
        <f t="shared" ca="1" si="1"/>
        <v>020714486</v>
      </c>
      <c r="G22" s="685" t="str">
        <f ca="1">IF(ROWS($1:9)&gt;COUNT(Dong13),"",OFFSET(TH!F$1,SMALL(Dong13,ROWS($1:9)),))</f>
        <v>Cá cơm NL</v>
      </c>
      <c r="H22" s="686">
        <f ca="1">IF(ROWS($1:9)&gt;COUNT(Dong13),"",OFFSET(TH!I$1,SMALL(Dong13,ROWS($1:9)),))</f>
        <v>12396</v>
      </c>
      <c r="I22" s="686">
        <f ca="1">IF(ROWS($1:9)&gt;COUNT(Dong13),"",OFFSET(TH!J$1,SMALL(Dong13,ROWS($1:9)),))</f>
        <v>18000</v>
      </c>
      <c r="J22" s="687">
        <f t="shared" ca="1" si="3"/>
        <v>223128000</v>
      </c>
      <c r="K22" s="689"/>
      <c r="L22" s="688"/>
      <c r="M22" s="667"/>
      <c r="N22" s="667"/>
    </row>
    <row r="23" spans="1:14" ht="15.75" hidden="1">
      <c r="A23" s="214">
        <f ca="1">IF(ROWS($1:10)&gt;COUNT(Dong13),"",OFFSET(TH!E$1,SMALL(Dong13,ROWS($1:10)),))</f>
        <v>42678</v>
      </c>
      <c r="B23" s="216" t="str">
        <f ca="1">IF(ROWS($1:10)&gt;COUNT(Dong13),"",OFFSET(TH!H$1,SMALL(Dong13,ROWS($1:10)),))</f>
        <v>Lê Thị Diệu</v>
      </c>
      <c r="C23" s="683" t="str">
        <f t="shared" ca="1" si="2"/>
        <v>Nhiên</v>
      </c>
      <c r="D23" s="683" t="str">
        <f ca="1">IF(ROWS($1:10)&gt;COUNT(Dong13),"",OFFSET(TH!D$1,SMALL(Dong13,ROWS($1:10)),))</f>
        <v>NL/N18</v>
      </c>
      <c r="E23" s="1082" t="str">
        <f t="shared" ca="1" si="0"/>
        <v>Đức Linh - Bình Thuận</v>
      </c>
      <c r="F23" s="684">
        <f t="shared" ca="1" si="1"/>
        <v>250746332</v>
      </c>
      <c r="G23" s="685" t="str">
        <f ca="1">IF(ROWS($1:10)&gt;COUNT(Dong13),"",OFFSET(TH!F$1,SMALL(Dong13,ROWS($1:10)),))</f>
        <v>Cá cơm NL</v>
      </c>
      <c r="H23" s="686">
        <f ca="1">IF(ROWS($1:10)&gt;COUNT(Dong13),"",OFFSET(TH!I$1,SMALL(Dong13,ROWS($1:10)),))</f>
        <v>11460</v>
      </c>
      <c r="I23" s="686">
        <f ca="1">IF(ROWS($1:10)&gt;COUNT(Dong13),"",OFFSET(TH!J$1,SMALL(Dong13,ROWS($1:10)),))</f>
        <v>18000</v>
      </c>
      <c r="J23" s="687">
        <f t="shared" ca="1" si="3"/>
        <v>206280000</v>
      </c>
      <c r="K23" s="689"/>
      <c r="L23" s="688"/>
      <c r="M23" s="667"/>
      <c r="N23" s="667"/>
    </row>
    <row r="24" spans="1:14" ht="20.25" hidden="1" customHeight="1">
      <c r="A24" s="214">
        <f ca="1">IF(ROWS($1:11)&gt;COUNT(Dong13),"",OFFSET(TH!E$1,SMALL(Dong13,ROWS($1:11)),))</f>
        <v>42681</v>
      </c>
      <c r="B24" s="216" t="str">
        <f ca="1">IF(ROWS($1:11)&gt;COUNT(Dong13),"",OFFSET(TH!H$1,SMALL(Dong13,ROWS($1:11)),))</f>
        <v>Nguyễn Văn Nhân</v>
      </c>
      <c r="C24" s="683" t="str">
        <f t="shared" ca="1" si="2"/>
        <v>Nhiên</v>
      </c>
      <c r="D24" s="683" t="str">
        <f ca="1">IF(ROWS($1:11)&gt;COUNT(Dong13),"",OFFSET(TH!D$1,SMALL(Dong13,ROWS($1:11)),))</f>
        <v>NL/N35</v>
      </c>
      <c r="E24" s="1082" t="str">
        <f t="shared" ca="1" si="0"/>
        <v>Thanh Hải - Bình Thuận</v>
      </c>
      <c r="F24" s="684">
        <f t="shared" ca="1" si="1"/>
        <v>261005222</v>
      </c>
      <c r="G24" s="685" t="str">
        <f ca="1">IF(ROWS($1:11)&gt;COUNT(Dong13),"",OFFSET(TH!F$1,SMALL(Dong13,ROWS($1:11)),))</f>
        <v>Cá cơm NL</v>
      </c>
      <c r="H24" s="686">
        <f ca="1">IF(ROWS($1:11)&gt;COUNT(Dong13),"",OFFSET(TH!I$1,SMALL(Dong13,ROWS($1:11)),))</f>
        <v>12268</v>
      </c>
      <c r="I24" s="686">
        <f ca="1">IF(ROWS($1:11)&gt;COUNT(Dong13),"",OFFSET(TH!J$1,SMALL(Dong13,ROWS($1:11)),))</f>
        <v>18000</v>
      </c>
      <c r="J24" s="687">
        <f t="shared" ca="1" si="3"/>
        <v>220824000</v>
      </c>
      <c r="K24" s="689"/>
      <c r="L24" s="688"/>
      <c r="M24" s="667"/>
      <c r="N24" s="667"/>
    </row>
    <row r="25" spans="1:14" ht="27" hidden="1" customHeight="1">
      <c r="A25" s="214">
        <f ca="1">IF(ROWS($1:12)&gt;COUNT(Dong13),"",OFFSET(TH!E$1,SMALL(Dong13,ROWS($1:12)),))</f>
        <v>42676</v>
      </c>
      <c r="B25" s="216" t="str">
        <f ca="1">IF(ROWS($1:12)&gt;COUNT(Dong13),"",OFFSET(TH!H$1,SMALL(Dong13,ROWS($1:12)),))</f>
        <v>Trần Thị Thu Hiếu</v>
      </c>
      <c r="C25" s="683" t="str">
        <f t="shared" ca="1" si="2"/>
        <v>Nhiên</v>
      </c>
      <c r="D25" s="683" t="str">
        <f ca="1">IF(ROWS($1:12)&gt;COUNT(Dong13),"",OFFSET(TH!D$1,SMALL(Dong13,ROWS($1:12)),))</f>
        <v>NL/N10</v>
      </c>
      <c r="E25" s="1082" t="str">
        <f t="shared" ca="1" si="0"/>
        <v>Phan Thiết - Bình Thuận</v>
      </c>
      <c r="F25" s="684">
        <f t="shared" ca="1" si="1"/>
        <v>280853616</v>
      </c>
      <c r="G25" s="685" t="str">
        <f ca="1">IF(ROWS($1:12)&gt;COUNT(Dong13),"",OFFSET(TH!F$1,SMALL(Dong13,ROWS($1:12)),))</f>
        <v>Cá cơm NL</v>
      </c>
      <c r="H25" s="686">
        <f ca="1">IF(ROWS($1:12)&gt;COUNT(Dong13),"",OFFSET(TH!I$1,SMALL(Dong13,ROWS($1:12)),))</f>
        <v>12235</v>
      </c>
      <c r="I25" s="686">
        <f ca="1">IF(ROWS($1:12)&gt;COUNT(Dong13),"",OFFSET(TH!J$1,SMALL(Dong13,ROWS($1:12)),))</f>
        <v>18000</v>
      </c>
      <c r="J25" s="687">
        <f t="shared" ca="1" si="3"/>
        <v>220230000</v>
      </c>
      <c r="K25" s="689"/>
      <c r="L25" s="688"/>
      <c r="M25" s="667"/>
      <c r="N25" s="667"/>
    </row>
    <row r="26" spans="1:14" ht="20.25" hidden="1" customHeight="1">
      <c r="A26" s="214">
        <f ca="1">IF(ROWS($1:13)&gt;COUNT(Dong13),"",OFFSET(TH!E$1,SMALL(Dong13,ROWS($1:13)),))</f>
        <v>42677</v>
      </c>
      <c r="B26" s="216" t="str">
        <f ca="1">IF(ROWS($1:13)&gt;COUNT(Dong13),"",OFFSET(TH!H$1,SMALL(Dong13,ROWS($1:13)),))</f>
        <v>Nguyễn Văn Hạnh</v>
      </c>
      <c r="C26" s="683" t="str">
        <f t="shared" ca="1" si="2"/>
        <v>Nhiên</v>
      </c>
      <c r="D26" s="683" t="str">
        <f ca="1">IF(ROWS($1:13)&gt;COUNT(Dong13),"",OFFSET(TH!D$1,SMALL(Dong13,ROWS($1:13)),))</f>
        <v>NL/N14</v>
      </c>
      <c r="E26" s="1082" t="str">
        <f t="shared" ca="1" si="0"/>
        <v>Phan Thiết - Bình Thuận</v>
      </c>
      <c r="F26" s="684">
        <f t="shared" ca="1" si="1"/>
        <v>260850613</v>
      </c>
      <c r="G26" s="685" t="str">
        <f ca="1">IF(ROWS($1:13)&gt;COUNT(Dong13),"",OFFSET(TH!F$1,SMALL(Dong13,ROWS($1:13)),))</f>
        <v>Cá cơm NL</v>
      </c>
      <c r="H26" s="686">
        <f ca="1">IF(ROWS($1:13)&gt;COUNT(Dong13),"",OFFSET(TH!I$1,SMALL(Dong13,ROWS($1:13)),))</f>
        <v>11405</v>
      </c>
      <c r="I26" s="686">
        <f ca="1">IF(ROWS($1:13)&gt;COUNT(Dong13),"",OFFSET(TH!J$1,SMALL(Dong13,ROWS($1:13)),))</f>
        <v>18000</v>
      </c>
      <c r="J26" s="687">
        <f t="shared" ca="1" si="3"/>
        <v>205290000</v>
      </c>
      <c r="K26" s="689"/>
      <c r="L26" s="688"/>
      <c r="M26" s="667"/>
      <c r="N26" s="667"/>
    </row>
    <row r="27" spans="1:14" ht="27" hidden="1" customHeight="1">
      <c r="A27" s="214">
        <f ca="1">IF(ROWS($1:14)&gt;COUNT(Dong13),"",OFFSET(TH!E$1,SMALL(Dong13,ROWS($1:14)),))</f>
        <v>42676</v>
      </c>
      <c r="B27" s="216" t="str">
        <f ca="1">IF(ROWS($1:14)&gt;COUNT(Dong13),"",OFFSET(TH!H$1,SMALL(Dong13,ROWS($1:14)),))</f>
        <v>Trần Văn An</v>
      </c>
      <c r="C27" s="683" t="str">
        <f t="shared" ca="1" si="2"/>
        <v>Nhiên</v>
      </c>
      <c r="D27" s="683" t="str">
        <f ca="1">IF(ROWS($1:14)&gt;COUNT(Dong13),"",OFFSET(TH!D$1,SMALL(Dong13,ROWS($1:14)),))</f>
        <v>NL/N09</v>
      </c>
      <c r="E27" s="1082" t="str">
        <f t="shared" ca="1" si="0"/>
        <v>Hàm Tân - Bình Thuận</v>
      </c>
      <c r="F27" s="684">
        <f t="shared" ca="1" si="1"/>
        <v>260690910</v>
      </c>
      <c r="G27" s="685" t="str">
        <f ca="1">IF(ROWS($1:14)&gt;COUNT(Dong13),"",OFFSET(TH!F$1,SMALL(Dong13,ROWS($1:14)),))</f>
        <v>Cá cơm NL</v>
      </c>
      <c r="H27" s="686">
        <f ca="1">IF(ROWS($1:14)&gt;COUNT(Dong13),"",OFFSET(TH!I$1,SMALL(Dong13,ROWS($1:14)),))</f>
        <v>12268</v>
      </c>
      <c r="I27" s="686">
        <f ca="1">IF(ROWS($1:14)&gt;COUNT(Dong13),"",OFFSET(TH!J$1,SMALL(Dong13,ROWS($1:14)),))</f>
        <v>18000</v>
      </c>
      <c r="J27" s="687">
        <f t="shared" ca="1" si="3"/>
        <v>220824000</v>
      </c>
      <c r="K27" s="689"/>
      <c r="L27" s="688"/>
      <c r="M27" s="667"/>
      <c r="N27" s="667"/>
    </row>
    <row r="28" spans="1:14" ht="27" hidden="1" customHeight="1">
      <c r="A28" s="214">
        <f ca="1">IF(ROWS($1:15)&gt;COUNT(Dong13),"",OFFSET(TH!E$1,SMALL(Dong13,ROWS($1:15)),))</f>
        <v>42676</v>
      </c>
      <c r="B28" s="216" t="str">
        <f ca="1">IF(ROWS($1:15)&gt;COUNT(Dong13),"",OFFSET(TH!H$1,SMALL(Dong13,ROWS($1:15)),))</f>
        <v>Lê Thị Thiện Em</v>
      </c>
      <c r="C28" s="683" t="str">
        <f t="shared" ca="1" si="2"/>
        <v>Nhiên</v>
      </c>
      <c r="D28" s="683" t="str">
        <f ca="1">IF(ROWS($1:15)&gt;COUNT(Dong13),"",OFFSET(TH!D$1,SMALL(Dong13,ROWS($1:15)),))</f>
        <v>NL/N11</v>
      </c>
      <c r="E28" s="1082" t="str">
        <f t="shared" ca="1" si="0"/>
        <v>Đức Linh - Bình Thuận</v>
      </c>
      <c r="F28" s="684">
        <f t="shared" ca="1" si="1"/>
        <v>260682094</v>
      </c>
      <c r="G28" s="685" t="str">
        <f ca="1">IF(ROWS($1:15)&gt;COUNT(Dong13),"",OFFSET(TH!F$1,SMALL(Dong13,ROWS($1:15)),))</f>
        <v>Cá cơm NL</v>
      </c>
      <c r="H28" s="686">
        <f ca="1">IF(ROWS($1:15)&gt;COUNT(Dong13),"",OFFSET(TH!I$1,SMALL(Dong13,ROWS($1:15)),))</f>
        <v>11480</v>
      </c>
      <c r="I28" s="686">
        <f ca="1">IF(ROWS($1:15)&gt;COUNT(Dong13),"",OFFSET(TH!J$1,SMALL(Dong13,ROWS($1:15)),))</f>
        <v>18000</v>
      </c>
      <c r="J28" s="687">
        <f t="shared" ca="1" si="3"/>
        <v>206640000</v>
      </c>
      <c r="K28" s="689"/>
      <c r="L28" s="688"/>
      <c r="M28" s="667"/>
      <c r="N28" s="667"/>
    </row>
    <row r="29" spans="1:14" ht="15.75" hidden="1">
      <c r="A29" s="214">
        <f ca="1">IF(ROWS($1:16)&gt;COUNT(Dong13),"",OFFSET(TH!E$1,SMALL(Dong13,ROWS($1:16)),))</f>
        <v>42679</v>
      </c>
      <c r="B29" s="216" t="str">
        <f ca="1">IF(ROWS($1:16)&gt;COUNT(Dong13),"",OFFSET(TH!H$1,SMALL(Dong13,ROWS($1:16)),))</f>
        <v>Nguyễn Thanh Bình</v>
      </c>
      <c r="C29" s="683" t="str">
        <f t="shared" ca="1" si="2"/>
        <v>Nhiên</v>
      </c>
      <c r="D29" s="683" t="str">
        <f ca="1">IF(ROWS($1:16)&gt;COUNT(Dong13),"",OFFSET(TH!D$1,SMALL(Dong13,ROWS($1:16)),))</f>
        <v>NL/N28</v>
      </c>
      <c r="E29" s="1082" t="str">
        <f t="shared" ca="1" si="0"/>
        <v>Phan Thiết - Bình Thuận</v>
      </c>
      <c r="F29" s="684">
        <f t="shared" ca="1" si="1"/>
        <v>260178873</v>
      </c>
      <c r="G29" s="685" t="str">
        <f ca="1">IF(ROWS($1:16)&gt;COUNT(Dong13),"",OFFSET(TH!F$1,SMALL(Dong13,ROWS($1:16)),))</f>
        <v>Cá cơm NL</v>
      </c>
      <c r="H29" s="686">
        <f ca="1">IF(ROWS($1:16)&gt;COUNT(Dong13),"",OFFSET(TH!I$1,SMALL(Dong13,ROWS($1:16)),))</f>
        <v>12350</v>
      </c>
      <c r="I29" s="686">
        <f ca="1">IF(ROWS($1:16)&gt;COUNT(Dong13),"",OFFSET(TH!J$1,SMALL(Dong13,ROWS($1:16)),))</f>
        <v>18000</v>
      </c>
      <c r="J29" s="687">
        <f t="shared" ref="J29:J92" ca="1" si="4">IF(B29&lt;&gt;"",H29*I29,0)</f>
        <v>222300000</v>
      </c>
      <c r="K29" s="689"/>
      <c r="L29" s="688"/>
      <c r="M29" s="667"/>
      <c r="N29" s="667"/>
    </row>
    <row r="30" spans="1:14" ht="27" hidden="1" customHeight="1">
      <c r="A30" s="214">
        <f ca="1">IF(ROWS($1:17)&gt;COUNT(Dong13),"",OFFSET(TH!E$1,SMALL(Dong13,ROWS($1:17)),))</f>
        <v>42681</v>
      </c>
      <c r="B30" s="216" t="str">
        <f ca="1">IF(ROWS($1:17)&gt;COUNT(Dong13),"",OFFSET(TH!H$1,SMALL(Dong13,ROWS($1:17)),))</f>
        <v>Nguyễn Thị Hội</v>
      </c>
      <c r="C30" s="683" t="str">
        <f t="shared" ca="1" si="2"/>
        <v>Nhiên</v>
      </c>
      <c r="D30" s="683" t="str">
        <f ca="1">IF(ROWS($1:17)&gt;COUNT(Dong13),"",OFFSET(TH!D$1,SMALL(Dong13,ROWS($1:17)),))</f>
        <v>NL/N33</v>
      </c>
      <c r="E30" s="1082" t="str">
        <f t="shared" ca="1" si="0"/>
        <v>Long Hương - Bình Thuận</v>
      </c>
      <c r="F30" s="684" t="str">
        <f t="shared" ca="1" si="1"/>
        <v>020714486</v>
      </c>
      <c r="G30" s="685" t="str">
        <f ca="1">IF(ROWS($1:17)&gt;COUNT(Dong13),"",OFFSET(TH!F$1,SMALL(Dong13,ROWS($1:17)),))</f>
        <v>Cá cơm NL</v>
      </c>
      <c r="H30" s="686">
        <f ca="1">IF(ROWS($1:17)&gt;COUNT(Dong13),"",OFFSET(TH!I$1,SMALL(Dong13,ROWS($1:17)),))</f>
        <v>11480</v>
      </c>
      <c r="I30" s="686">
        <f ca="1">IF(ROWS($1:17)&gt;COUNT(Dong13),"",OFFSET(TH!J$1,SMALL(Dong13,ROWS($1:17)),))</f>
        <v>18000</v>
      </c>
      <c r="J30" s="687">
        <f t="shared" ca="1" si="4"/>
        <v>206640000</v>
      </c>
      <c r="K30" s="689"/>
      <c r="L30" s="688"/>
      <c r="M30" s="667"/>
      <c r="N30" s="667"/>
    </row>
    <row r="31" spans="1:14" ht="15.75" hidden="1">
      <c r="A31" s="214">
        <f ca="1">IF(ROWS($1:18)&gt;COUNT(Dong13),"",OFFSET(TH!E$1,SMALL(Dong13,ROWS($1:18)),))</f>
        <v>42679</v>
      </c>
      <c r="B31" s="216" t="str">
        <f ca="1">IF(ROWS($1:18)&gt;COUNT(Dong13),"",OFFSET(TH!H$1,SMALL(Dong13,ROWS($1:18)),))</f>
        <v>Lê Thị Diệu</v>
      </c>
      <c r="C31" s="683" t="str">
        <f t="shared" ca="1" si="2"/>
        <v>Nhiên</v>
      </c>
      <c r="D31" s="683" t="str">
        <f ca="1">IF(ROWS($1:18)&gt;COUNT(Dong13),"",OFFSET(TH!D$1,SMALL(Dong13,ROWS($1:18)),))</f>
        <v>NL/N27</v>
      </c>
      <c r="E31" s="1082" t="str">
        <f t="shared" ca="1" si="0"/>
        <v>Đức Linh - Bình Thuận</v>
      </c>
      <c r="F31" s="684">
        <f t="shared" ca="1" si="1"/>
        <v>250746332</v>
      </c>
      <c r="G31" s="685" t="str">
        <f ca="1">IF(ROWS($1:18)&gt;COUNT(Dong13),"",OFFSET(TH!F$1,SMALL(Dong13,ROWS($1:18)),))</f>
        <v>Cá cơm NL</v>
      </c>
      <c r="H31" s="686">
        <f ca="1">IF(ROWS($1:18)&gt;COUNT(Dong13),"",OFFSET(TH!I$1,SMALL(Dong13,ROWS($1:18)),))</f>
        <v>12235</v>
      </c>
      <c r="I31" s="686">
        <f ca="1">IF(ROWS($1:18)&gt;COUNT(Dong13),"",OFFSET(TH!J$1,SMALL(Dong13,ROWS($1:18)),))</f>
        <v>18000</v>
      </c>
      <c r="J31" s="687">
        <f t="shared" ca="1" si="4"/>
        <v>220230000</v>
      </c>
      <c r="K31" s="689"/>
      <c r="L31" s="688"/>
      <c r="M31" s="667"/>
      <c r="N31" s="667"/>
    </row>
    <row r="32" spans="1:14" ht="27" hidden="1" customHeight="1">
      <c r="A32" s="214">
        <f ca="1">IF(ROWS($1:19)&gt;COUNT(Dong13),"",OFFSET(TH!E$1,SMALL(Dong13,ROWS($1:19)),))</f>
        <v>42678</v>
      </c>
      <c r="B32" s="216" t="str">
        <f ca="1">IF(ROWS($1:19)&gt;COUNT(Dong13),"",OFFSET(TH!H$1,SMALL(Dong13,ROWS($1:19)),))</f>
        <v>Nguyễn Văn Hạnh</v>
      </c>
      <c r="C32" s="683" t="str">
        <f t="shared" ca="1" si="2"/>
        <v>Nhiên</v>
      </c>
      <c r="D32" s="683" t="str">
        <f ca="1">IF(ROWS($1:19)&gt;COUNT(Dong13),"",OFFSET(TH!D$1,SMALL(Dong13,ROWS($1:19)),))</f>
        <v>NL/N17</v>
      </c>
      <c r="E32" s="1082" t="str">
        <f t="shared" ca="1" si="0"/>
        <v>Phan Thiết - Bình Thuận</v>
      </c>
      <c r="F32" s="684">
        <f t="shared" ca="1" si="1"/>
        <v>260850613</v>
      </c>
      <c r="G32" s="685" t="str">
        <f ca="1">IF(ROWS($1:19)&gt;COUNT(Dong13),"",OFFSET(TH!F$1,SMALL(Dong13,ROWS($1:19)),))</f>
        <v>Cá cơm NL</v>
      </c>
      <c r="H32" s="686">
        <f ca="1">IF(ROWS($1:19)&gt;COUNT(Dong13),"",OFFSET(TH!I$1,SMALL(Dong13,ROWS($1:19)),))</f>
        <v>11520</v>
      </c>
      <c r="I32" s="686">
        <f ca="1">IF(ROWS($1:19)&gt;COUNT(Dong13),"",OFFSET(TH!J$1,SMALL(Dong13,ROWS($1:19)),))</f>
        <v>18000</v>
      </c>
      <c r="J32" s="687">
        <f t="shared" ca="1" si="4"/>
        <v>207360000</v>
      </c>
      <c r="K32" s="689"/>
      <c r="L32" s="688"/>
      <c r="M32" s="667"/>
      <c r="N32" s="667"/>
    </row>
    <row r="33" spans="1:14" ht="27" hidden="1" customHeight="1">
      <c r="A33" s="214">
        <f ca="1">IF(ROWS($1:20)&gt;COUNT(Dong13),"",OFFSET(TH!E$1,SMALL(Dong13,ROWS($1:20)),))</f>
        <v>42684</v>
      </c>
      <c r="B33" s="216" t="str">
        <f ca="1">IF(ROWS($1:20)&gt;COUNT(Dong13),"",OFFSET(TH!H$1,SMALL(Dong13,ROWS($1:20)),))</f>
        <v>Nguyễn Văn Nhân</v>
      </c>
      <c r="C33" s="683" t="str">
        <f t="shared" ca="1" si="2"/>
        <v>Nhiên</v>
      </c>
      <c r="D33" s="683" t="str">
        <f ca="1">IF(ROWS($1:20)&gt;COUNT(Dong13),"",OFFSET(TH!D$1,SMALL(Dong13,ROWS($1:20)),))</f>
        <v>NL/N44</v>
      </c>
      <c r="E33" s="1082" t="str">
        <f t="shared" ca="1" si="0"/>
        <v>Thanh Hải - Bình Thuận</v>
      </c>
      <c r="F33" s="684">
        <f t="shared" ca="1" si="1"/>
        <v>261005222</v>
      </c>
      <c r="G33" s="685" t="str">
        <f ca="1">IF(ROWS($1:20)&gt;COUNT(Dong13),"",OFFSET(TH!F$1,SMALL(Dong13,ROWS($1:20)),))</f>
        <v>Cá cơm NL</v>
      </c>
      <c r="H33" s="686">
        <f ca="1">IF(ROWS($1:20)&gt;COUNT(Dong13),"",OFFSET(TH!I$1,SMALL(Dong13,ROWS($1:20)),))</f>
        <v>11970</v>
      </c>
      <c r="I33" s="686">
        <f ca="1">IF(ROWS($1:20)&gt;COUNT(Dong13),"",OFFSET(TH!J$1,SMALL(Dong13,ROWS($1:20)),))</f>
        <v>18000</v>
      </c>
      <c r="J33" s="687">
        <f t="shared" ca="1" si="4"/>
        <v>215460000</v>
      </c>
      <c r="K33" s="689"/>
      <c r="L33" s="688"/>
      <c r="M33" s="667"/>
      <c r="N33" s="667"/>
    </row>
    <row r="34" spans="1:14" ht="20.25" hidden="1" customHeight="1">
      <c r="A34" s="214">
        <f ca="1">IF(ROWS($1:21)&gt;COUNT(Dong13),"",OFFSET(TH!E$1,SMALL(Dong13,ROWS($1:21)),))</f>
        <v>42678</v>
      </c>
      <c r="B34" s="216" t="str">
        <f ca="1">IF(ROWS($1:21)&gt;COUNT(Dong13),"",OFFSET(TH!H$1,SMALL(Dong13,ROWS($1:21)),))</f>
        <v>Trần Văn An</v>
      </c>
      <c r="C34" s="683" t="str">
        <f t="shared" ca="1" si="2"/>
        <v>Nhiên</v>
      </c>
      <c r="D34" s="683" t="str">
        <f ca="1">IF(ROWS($1:21)&gt;COUNT(Dong13),"",OFFSET(TH!D$1,SMALL(Dong13,ROWS($1:21)),))</f>
        <v>NL/N20</v>
      </c>
      <c r="E34" s="1082" t="str">
        <f t="shared" ca="1" si="0"/>
        <v>Hàm Tân - Bình Thuận</v>
      </c>
      <c r="F34" s="684">
        <f t="shared" ca="1" si="1"/>
        <v>260690910</v>
      </c>
      <c r="G34" s="685" t="str">
        <f ca="1">IF(ROWS($1:21)&gt;COUNT(Dong13),"",OFFSET(TH!F$1,SMALL(Dong13,ROWS($1:21)),))</f>
        <v>Cá cơm NL</v>
      </c>
      <c r="H34" s="686">
        <f ca="1">IF(ROWS($1:21)&gt;COUNT(Dong13),"",OFFSET(TH!I$1,SMALL(Dong13,ROWS($1:21)),))</f>
        <v>12250</v>
      </c>
      <c r="I34" s="686">
        <f ca="1">IF(ROWS($1:21)&gt;COUNT(Dong13),"",OFFSET(TH!J$1,SMALL(Dong13,ROWS($1:21)),))</f>
        <v>18000</v>
      </c>
      <c r="J34" s="687">
        <f t="shared" ca="1" si="4"/>
        <v>220500000</v>
      </c>
      <c r="K34" s="689"/>
      <c r="L34" s="688"/>
      <c r="M34" s="667"/>
      <c r="N34" s="667"/>
    </row>
    <row r="35" spans="1:14" ht="20.25" hidden="1" customHeight="1">
      <c r="A35" s="214">
        <f ca="1">IF(ROWS($1:22)&gt;COUNT(Dong13),"",OFFSET(TH!E$1,SMALL(Dong13,ROWS($1:22)),))</f>
        <v>42679</v>
      </c>
      <c r="B35" s="216" t="str">
        <f ca="1">IF(ROWS($1:22)&gt;COUNT(Dong13),"",OFFSET(TH!H$1,SMALL(Dong13,ROWS($1:22)),))</f>
        <v>Trần Thị Thu Hiếu</v>
      </c>
      <c r="C35" s="683" t="str">
        <f t="shared" ca="1" si="2"/>
        <v>Nhiên</v>
      </c>
      <c r="D35" s="683" t="str">
        <f ca="1">IF(ROWS($1:22)&gt;COUNT(Dong13),"",OFFSET(TH!D$1,SMALL(Dong13,ROWS($1:22)),))</f>
        <v>NL/N26</v>
      </c>
      <c r="E35" s="1082" t="str">
        <f t="shared" ca="1" si="0"/>
        <v>Phan Thiết - Bình Thuận</v>
      </c>
      <c r="F35" s="684">
        <f t="shared" ca="1" si="1"/>
        <v>280853616</v>
      </c>
      <c r="G35" s="685" t="str">
        <f ca="1">IF(ROWS($1:22)&gt;COUNT(Dong13),"",OFFSET(TH!F$1,SMALL(Dong13,ROWS($1:22)),))</f>
        <v>Cá cơm NL</v>
      </c>
      <c r="H35" s="686">
        <f ca="1">IF(ROWS($1:22)&gt;COUNT(Dong13),"",OFFSET(TH!I$1,SMALL(Dong13,ROWS($1:22)),))</f>
        <v>12250</v>
      </c>
      <c r="I35" s="686">
        <f ca="1">IF(ROWS($1:22)&gt;COUNT(Dong13),"",OFFSET(TH!J$1,SMALL(Dong13,ROWS($1:22)),))</f>
        <v>18000</v>
      </c>
      <c r="J35" s="687">
        <f t="shared" ca="1" si="4"/>
        <v>220500000</v>
      </c>
      <c r="K35" s="689"/>
      <c r="L35" s="688"/>
      <c r="M35" s="667"/>
      <c r="N35" s="667"/>
    </row>
    <row r="36" spans="1:14" ht="27" hidden="1" customHeight="1">
      <c r="A36" s="214">
        <f ca="1">IF(ROWS($1:23)&gt;COUNT(Dong13),"",OFFSET(TH!E$1,SMALL(Dong13,ROWS($1:23)),))</f>
        <v>42677</v>
      </c>
      <c r="B36" s="216" t="str">
        <f ca="1">IF(ROWS($1:23)&gt;COUNT(Dong13),"",OFFSET(TH!H$1,SMALL(Dong13,ROWS($1:23)),))</f>
        <v>Lê Thị Thiện Em</v>
      </c>
      <c r="C36" s="683" t="str">
        <f t="shared" ca="1" si="2"/>
        <v>Nhiên</v>
      </c>
      <c r="D36" s="683" t="str">
        <f ca="1">IF(ROWS($1:23)&gt;COUNT(Dong13),"",OFFSET(TH!D$1,SMALL(Dong13,ROWS($1:23)),))</f>
        <v>NL/N15</v>
      </c>
      <c r="E36" s="1082" t="str">
        <f t="shared" ca="1" si="0"/>
        <v>Đức Linh - Bình Thuận</v>
      </c>
      <c r="F36" s="684">
        <f t="shared" ca="1" si="1"/>
        <v>260682094</v>
      </c>
      <c r="G36" s="685" t="str">
        <f ca="1">IF(ROWS($1:23)&gt;COUNT(Dong13),"",OFFSET(TH!F$1,SMALL(Dong13,ROWS($1:23)),))</f>
        <v>Cá cơm NL</v>
      </c>
      <c r="H36" s="686">
        <f ca="1">IF(ROWS($1:23)&gt;COUNT(Dong13),"",OFFSET(TH!I$1,SMALL(Dong13,ROWS($1:23)),))</f>
        <v>12250</v>
      </c>
      <c r="I36" s="686">
        <f ca="1">IF(ROWS($1:23)&gt;COUNT(Dong13),"",OFFSET(TH!J$1,SMALL(Dong13,ROWS($1:23)),))</f>
        <v>18000</v>
      </c>
      <c r="J36" s="687">
        <f t="shared" ca="1" si="4"/>
        <v>220500000</v>
      </c>
      <c r="K36" s="689"/>
      <c r="L36" s="688"/>
      <c r="M36" s="667"/>
      <c r="N36" s="667"/>
    </row>
    <row r="37" spans="1:14" ht="20.25" hidden="1" customHeight="1">
      <c r="A37" s="214">
        <f ca="1">IF(ROWS($1:24)&gt;COUNT(Dong13),"",OFFSET(TH!E$1,SMALL(Dong13,ROWS($1:24)),))</f>
        <v>42683</v>
      </c>
      <c r="B37" s="216" t="str">
        <f ca="1">IF(ROWS($1:24)&gt;COUNT(Dong13),"",OFFSET(TH!H$1,SMALL(Dong13,ROWS($1:24)),))</f>
        <v>Nguyễn Thị Hội</v>
      </c>
      <c r="C37" s="683" t="str">
        <f t="shared" ca="1" si="2"/>
        <v>Nhiên</v>
      </c>
      <c r="D37" s="683" t="str">
        <f ca="1">IF(ROWS($1:24)&gt;COUNT(Dong13),"",OFFSET(TH!D$1,SMALL(Dong13,ROWS($1:24)),))</f>
        <v>NL/N39</v>
      </c>
      <c r="E37" s="1082" t="str">
        <f t="shared" ca="1" si="0"/>
        <v>Long Hương - Bình Thuận</v>
      </c>
      <c r="F37" s="684" t="str">
        <f t="shared" ca="1" si="1"/>
        <v>020714486</v>
      </c>
      <c r="G37" s="685" t="str">
        <f ca="1">IF(ROWS($1:24)&gt;COUNT(Dong13),"",OFFSET(TH!F$1,SMALL(Dong13,ROWS($1:24)),))</f>
        <v>Cá cơm NL</v>
      </c>
      <c r="H37" s="686">
        <f ca="1">IF(ROWS($1:24)&gt;COUNT(Dong13),"",OFFSET(TH!I$1,SMALL(Dong13,ROWS($1:24)),))</f>
        <v>12350</v>
      </c>
      <c r="I37" s="686">
        <f ca="1">IF(ROWS($1:24)&gt;COUNT(Dong13),"",OFFSET(TH!J$1,SMALL(Dong13,ROWS($1:24)),))</f>
        <v>18000</v>
      </c>
      <c r="J37" s="687">
        <f t="shared" ca="1" si="4"/>
        <v>222300000</v>
      </c>
      <c r="K37" s="689"/>
      <c r="L37" s="688"/>
      <c r="M37" s="667"/>
      <c r="N37" s="667"/>
    </row>
    <row r="38" spans="1:14" ht="15.75" hidden="1">
      <c r="A38" s="214">
        <f ca="1">IF(ROWS($1:25)&gt;COUNT(Dong13),"",OFFSET(TH!E$1,SMALL(Dong13,ROWS($1:25)),))</f>
        <v>42683</v>
      </c>
      <c r="B38" s="216" t="str">
        <f ca="1">IF(ROWS($1:25)&gt;COUNT(Dong13),"",OFFSET(TH!H$1,SMALL(Dong13,ROWS($1:25)),))</f>
        <v>Lê Thị Diệu</v>
      </c>
      <c r="C38" s="683" t="str">
        <f t="shared" ca="1" si="2"/>
        <v>Nhiên</v>
      </c>
      <c r="D38" s="683" t="str">
        <f ca="1">IF(ROWS($1:25)&gt;COUNT(Dong13),"",OFFSET(TH!D$1,SMALL(Dong13,ROWS($1:25)),))</f>
        <v>NL/N40</v>
      </c>
      <c r="E38" s="1082" t="str">
        <f t="shared" ca="1" si="0"/>
        <v>Đức Linh - Bình Thuận</v>
      </c>
      <c r="F38" s="684">
        <f t="shared" ca="1" si="1"/>
        <v>250746332</v>
      </c>
      <c r="G38" s="685" t="str">
        <f ca="1">IF(ROWS($1:25)&gt;COUNT(Dong13),"",OFFSET(TH!F$1,SMALL(Dong13,ROWS($1:25)),))</f>
        <v>Cá cơm NL</v>
      </c>
      <c r="H38" s="686">
        <f ca="1">IF(ROWS($1:25)&gt;COUNT(Dong13),"",OFFSET(TH!I$1,SMALL(Dong13,ROWS($1:25)),))</f>
        <v>12930</v>
      </c>
      <c r="I38" s="686">
        <f ca="1">IF(ROWS($1:25)&gt;COUNT(Dong13),"",OFFSET(TH!J$1,SMALL(Dong13,ROWS($1:25)),))</f>
        <v>18000</v>
      </c>
      <c r="J38" s="687">
        <f t="shared" ca="1" si="4"/>
        <v>232740000</v>
      </c>
      <c r="K38" s="689"/>
      <c r="L38" s="688"/>
      <c r="M38" s="667"/>
      <c r="N38" s="667"/>
    </row>
    <row r="39" spans="1:14" ht="27" customHeight="1">
      <c r="A39" s="214">
        <f ca="1">IF(ROWS($1:26)&gt;COUNT(Dong13),"",OFFSET(TH!E$1,SMALL(Dong13,ROWS($1:26)),))</f>
        <v>42681</v>
      </c>
      <c r="B39" s="216" t="str">
        <f ca="1">IF(ROWS($1:26)&gt;COUNT(Dong13),"",OFFSET(TH!H$1,SMALL(Dong13,ROWS($1:26)),))</f>
        <v>Lê Thị Thiện Em</v>
      </c>
      <c r="C39" s="683" t="str">
        <f t="shared" ca="1" si="2"/>
        <v>Nhiên</v>
      </c>
      <c r="D39" s="683" t="str">
        <f ca="1">IF(ROWS($1:26)&gt;COUNT(Dong13),"",OFFSET(TH!D$1,SMALL(Dong13,ROWS($1:26)),))</f>
        <v>NL/N32</v>
      </c>
      <c r="E39" s="1082" t="str">
        <f t="shared" ca="1" si="0"/>
        <v>Đức Linh - Bình Thuận</v>
      </c>
      <c r="F39" s="684">
        <f t="shared" ca="1" si="1"/>
        <v>260682094</v>
      </c>
      <c r="G39" s="685" t="str">
        <f ca="1">IF(ROWS($1:26)&gt;COUNT(Dong13),"",OFFSET(TH!F$1,SMALL(Dong13,ROWS($1:26)),))</f>
        <v>Cá cơm NL</v>
      </c>
      <c r="H39" s="686">
        <f ca="1">IF(ROWS($1:26)&gt;COUNT(Dong13),"",OFFSET(TH!I$1,SMALL(Dong13,ROWS($1:26)),))</f>
        <v>11530</v>
      </c>
      <c r="I39" s="686">
        <f ca="1">IF(ROWS($1:26)&gt;COUNT(Dong13),"",OFFSET(TH!J$1,SMALL(Dong13,ROWS($1:26)),))</f>
        <v>18000</v>
      </c>
      <c r="J39" s="687">
        <f t="shared" ca="1" si="4"/>
        <v>207540000</v>
      </c>
      <c r="K39" s="689"/>
      <c r="L39" s="688"/>
      <c r="M39" s="667"/>
      <c r="N39" s="667"/>
    </row>
    <row r="40" spans="1:14" ht="15.75">
      <c r="A40" s="214">
        <f ca="1">IF(ROWS($1:27)&gt;COUNT(Dong13),"",OFFSET(TH!E$1,SMALL(Dong13,ROWS($1:27)),))</f>
        <v>42682</v>
      </c>
      <c r="B40" s="216" t="str">
        <f ca="1">IF(ROWS($1:27)&gt;COUNT(Dong13),"",OFFSET(TH!H$1,SMALL(Dong13,ROWS($1:27)),))</f>
        <v>Nguyễn Thanh Bình</v>
      </c>
      <c r="C40" s="683" t="str">
        <f t="shared" ca="1" si="2"/>
        <v>Nhiên</v>
      </c>
      <c r="D40" s="683" t="str">
        <f ca="1">IF(ROWS($1:27)&gt;COUNT(Dong13),"",OFFSET(TH!D$1,SMALL(Dong13,ROWS($1:27)),))</f>
        <v>NL/N38</v>
      </c>
      <c r="E40" s="1082" t="str">
        <f t="shared" ca="1" si="0"/>
        <v>Phan Thiết - Bình Thuận</v>
      </c>
      <c r="F40" s="684">
        <f t="shared" ca="1" si="1"/>
        <v>260178873</v>
      </c>
      <c r="G40" s="685" t="str">
        <f ca="1">IF(ROWS($1:27)&gt;COUNT(Dong13),"",OFFSET(TH!F$1,SMALL(Dong13,ROWS($1:27)),))</f>
        <v>Cá cơm NL</v>
      </c>
      <c r="H40" s="686">
        <f ca="1">IF(ROWS($1:27)&gt;COUNT(Dong13),"",OFFSET(TH!I$1,SMALL(Dong13,ROWS($1:27)),))</f>
        <v>11790</v>
      </c>
      <c r="I40" s="686">
        <f ca="1">IF(ROWS($1:27)&gt;COUNT(Dong13),"",OFFSET(TH!J$1,SMALL(Dong13,ROWS($1:27)),))</f>
        <v>18000</v>
      </c>
      <c r="J40" s="687">
        <f t="shared" ca="1" si="4"/>
        <v>212220000</v>
      </c>
      <c r="K40" s="689"/>
      <c r="L40" s="688"/>
      <c r="M40" s="667"/>
      <c r="N40" s="667"/>
    </row>
    <row r="41" spans="1:14" ht="27" customHeight="1">
      <c r="A41" s="214">
        <f ca="1">IF(ROWS($1:28)&gt;COUNT(Dong13),"",OFFSET(TH!E$1,SMALL(Dong13,ROWS($1:28)),))</f>
        <v>42685</v>
      </c>
      <c r="B41" s="216" t="str">
        <f ca="1">IF(ROWS($1:28)&gt;COUNT(Dong13),"",OFFSET(TH!H$1,SMALL(Dong13,ROWS($1:28)),))</f>
        <v>Nguyễn Thị Hội</v>
      </c>
      <c r="C41" s="683" t="str">
        <f t="shared" ca="1" si="2"/>
        <v>Nhiên</v>
      </c>
      <c r="D41" s="683" t="str">
        <f ca="1">IF(ROWS($1:28)&gt;COUNT(Dong13),"",OFFSET(TH!D$1,SMALL(Dong13,ROWS($1:28)),))</f>
        <v>NL/N47</v>
      </c>
      <c r="E41" s="1082" t="str">
        <f t="shared" ca="1" si="0"/>
        <v>Long Hương - Bình Thuận</v>
      </c>
      <c r="F41" s="684" t="str">
        <f t="shared" ca="1" si="1"/>
        <v>020714486</v>
      </c>
      <c r="G41" s="685" t="str">
        <f ca="1">IF(ROWS($1:28)&gt;COUNT(Dong13),"",OFFSET(TH!F$1,SMALL(Dong13,ROWS($1:28)),))</f>
        <v>Cá cơm NL</v>
      </c>
      <c r="H41" s="686">
        <f ca="1">IF(ROWS($1:28)&gt;COUNT(Dong13),"",OFFSET(TH!I$1,SMALL(Dong13,ROWS($1:28)),))</f>
        <v>11603</v>
      </c>
      <c r="I41" s="686">
        <f ca="1">IF(ROWS($1:28)&gt;COUNT(Dong13),"",OFFSET(TH!J$1,SMALL(Dong13,ROWS($1:28)),))</f>
        <v>18000</v>
      </c>
      <c r="J41" s="687">
        <f t="shared" ca="1" si="4"/>
        <v>208854000</v>
      </c>
      <c r="K41" s="689"/>
      <c r="L41" s="688"/>
      <c r="M41" s="667"/>
      <c r="N41" s="667"/>
    </row>
    <row r="42" spans="1:14" ht="27" customHeight="1">
      <c r="A42" s="214">
        <f ca="1">IF(ROWS($1:29)&gt;COUNT(Dong13),"",OFFSET(TH!E$1,SMALL(Dong13,ROWS($1:29)),))</f>
        <v>42685</v>
      </c>
      <c r="B42" s="216" t="str">
        <f ca="1">IF(ROWS($1:29)&gt;COUNT(Dong13),"",OFFSET(TH!H$1,SMALL(Dong13,ROWS($1:29)),))</f>
        <v>Lê Thị Diệu</v>
      </c>
      <c r="C42" s="683" t="str">
        <f t="shared" ca="1" si="2"/>
        <v>Nhiên</v>
      </c>
      <c r="D42" s="683" t="str">
        <f ca="1">IF(ROWS($1:29)&gt;COUNT(Dong13),"",OFFSET(TH!D$1,SMALL(Dong13,ROWS($1:29)),))</f>
        <v>NL/N48</v>
      </c>
      <c r="E42" s="1082" t="str">
        <f t="shared" ca="1" si="0"/>
        <v>Đức Linh - Bình Thuận</v>
      </c>
      <c r="F42" s="684">
        <f t="shared" ca="1" si="1"/>
        <v>250746332</v>
      </c>
      <c r="G42" s="685" t="str">
        <f ca="1">IF(ROWS($1:29)&gt;COUNT(Dong13),"",OFFSET(TH!F$1,SMALL(Dong13,ROWS($1:29)),))</f>
        <v>Cá cơm NL</v>
      </c>
      <c r="H42" s="686">
        <f ca="1">IF(ROWS($1:29)&gt;COUNT(Dong13),"",OFFSET(TH!I$1,SMALL(Dong13,ROWS($1:29)),))</f>
        <v>11790</v>
      </c>
      <c r="I42" s="686">
        <f ca="1">IF(ROWS($1:29)&gt;COUNT(Dong13),"",OFFSET(TH!J$1,SMALL(Dong13,ROWS($1:29)),))</f>
        <v>18000</v>
      </c>
      <c r="J42" s="687">
        <f t="shared" ca="1" si="4"/>
        <v>212220000</v>
      </c>
      <c r="K42" s="689"/>
      <c r="L42" s="688"/>
      <c r="M42" s="667"/>
      <c r="N42" s="667"/>
    </row>
    <row r="43" spans="1:14" ht="29.25" customHeight="1">
      <c r="A43" s="214">
        <f ca="1">IF(ROWS($1:30)&gt;COUNT(Dong13),"",OFFSET(TH!E$1,SMALL(Dong13,ROWS($1:30)),))</f>
        <v>42686</v>
      </c>
      <c r="B43" s="216" t="str">
        <f ca="1">IF(ROWS($1:30)&gt;COUNT(Dong13),"",OFFSET(TH!H$1,SMALL(Dong13,ROWS($1:30)),))</f>
        <v>Nguyễn Văn Nhân</v>
      </c>
      <c r="C43" s="683" t="str">
        <f t="shared" ca="1" si="2"/>
        <v>Nhiên</v>
      </c>
      <c r="D43" s="683" t="str">
        <f ca="1">IF(ROWS($1:30)&gt;COUNT(Dong13),"",OFFSET(TH!D$1,SMALL(Dong13,ROWS($1:30)),))</f>
        <v>NL/N52</v>
      </c>
      <c r="E43" s="1082" t="str">
        <f t="shared" ca="1" si="0"/>
        <v>Thanh Hải - Bình Thuận</v>
      </c>
      <c r="F43" s="684">
        <f t="shared" ca="1" si="1"/>
        <v>261005222</v>
      </c>
      <c r="G43" s="685" t="str">
        <f ca="1">IF(ROWS($1:30)&gt;COUNT(Dong13),"",OFFSET(TH!F$1,SMALL(Dong13,ROWS($1:30)),))</f>
        <v>Cá cơm NL</v>
      </c>
      <c r="H43" s="686">
        <f ca="1">IF(ROWS($1:30)&gt;COUNT(Dong13),"",OFFSET(TH!I$1,SMALL(Dong13,ROWS($1:30)),))</f>
        <v>12500</v>
      </c>
      <c r="I43" s="686">
        <f ca="1">IF(ROWS($1:30)&gt;COUNT(Dong13),"",OFFSET(TH!J$1,SMALL(Dong13,ROWS($1:30)),))</f>
        <v>18000</v>
      </c>
      <c r="J43" s="687">
        <f t="shared" ca="1" si="4"/>
        <v>225000000</v>
      </c>
      <c r="K43" s="689"/>
      <c r="L43" s="688"/>
      <c r="M43" s="667"/>
      <c r="N43" s="667"/>
    </row>
    <row r="44" spans="1:14" ht="27" customHeight="1">
      <c r="A44" s="214">
        <f ca="1">IF(ROWS($1:31)&gt;COUNT(Dong13),"",OFFSET(TH!E$1,SMALL(Dong13,ROWS($1:31)),))</f>
        <v>42681</v>
      </c>
      <c r="B44" s="216" t="str">
        <f ca="1">IF(ROWS($1:31)&gt;COUNT(Dong13),"",OFFSET(TH!H$1,SMALL(Dong13,ROWS($1:31)),))</f>
        <v>Nguyễn Văn Hạnh</v>
      </c>
      <c r="C44" s="683" t="str">
        <f t="shared" ca="1" si="2"/>
        <v>Nhiên</v>
      </c>
      <c r="D44" s="683" t="str">
        <f ca="1">IF(ROWS($1:31)&gt;COUNT(Dong13),"",OFFSET(TH!D$1,SMALL(Dong13,ROWS($1:31)),))</f>
        <v>NL/N34</v>
      </c>
      <c r="E44" s="1082" t="str">
        <f t="shared" ca="1" si="0"/>
        <v>Phan Thiết - Bình Thuận</v>
      </c>
      <c r="F44" s="684">
        <f t="shared" ca="1" si="1"/>
        <v>260850613</v>
      </c>
      <c r="G44" s="685" t="str">
        <f ca="1">IF(ROWS($1:31)&gt;COUNT(Dong13),"",OFFSET(TH!F$1,SMALL(Dong13,ROWS($1:31)),))</f>
        <v>Cá cơm NL</v>
      </c>
      <c r="H44" s="686">
        <f ca="1">IF(ROWS($1:31)&gt;COUNT(Dong13),"",OFFSET(TH!I$1,SMALL(Dong13,ROWS($1:31)),))</f>
        <v>11450</v>
      </c>
      <c r="I44" s="686">
        <f ca="1">IF(ROWS($1:31)&gt;COUNT(Dong13),"",OFFSET(TH!J$1,SMALL(Dong13,ROWS($1:31)),))</f>
        <v>18000</v>
      </c>
      <c r="J44" s="687">
        <f t="shared" ca="1" si="4"/>
        <v>206100000</v>
      </c>
      <c r="K44" s="689"/>
      <c r="L44" s="688"/>
      <c r="M44" s="667"/>
      <c r="N44" s="667"/>
    </row>
    <row r="45" spans="1:14" ht="27" customHeight="1">
      <c r="A45" s="214">
        <f ca="1">IF(ROWS($1:32)&gt;COUNT(Dong13),"",OFFSET(TH!E$1,SMALL(Dong13,ROWS($1:32)),))</f>
        <v>42682</v>
      </c>
      <c r="B45" s="216" t="str">
        <f ca="1">IF(ROWS($1:32)&gt;COUNT(Dong13),"",OFFSET(TH!H$1,SMALL(Dong13,ROWS($1:32)),))</f>
        <v>Trần Văn An</v>
      </c>
      <c r="C45" s="683" t="str">
        <f t="shared" ca="1" si="2"/>
        <v>Nhiên</v>
      </c>
      <c r="D45" s="683" t="str">
        <f ca="1">IF(ROWS($1:32)&gt;COUNT(Dong13),"",OFFSET(TH!D$1,SMALL(Dong13,ROWS($1:32)),))</f>
        <v>NL/N37</v>
      </c>
      <c r="E45" s="1082" t="str">
        <f t="shared" ca="1" si="0"/>
        <v>Hàm Tân - Bình Thuận</v>
      </c>
      <c r="F45" s="684">
        <f t="shared" ca="1" si="1"/>
        <v>260690910</v>
      </c>
      <c r="G45" s="685" t="str">
        <f ca="1">IF(ROWS($1:32)&gt;COUNT(Dong13),"",OFFSET(TH!F$1,SMALL(Dong13,ROWS($1:32)),))</f>
        <v>Cá cơm NL</v>
      </c>
      <c r="H45" s="686">
        <f ca="1">IF(ROWS($1:32)&gt;COUNT(Dong13),"",OFFSET(TH!I$1,SMALL(Dong13,ROWS($1:32)),))</f>
        <v>11480</v>
      </c>
      <c r="I45" s="686">
        <f ca="1">IF(ROWS($1:32)&gt;COUNT(Dong13),"",OFFSET(TH!J$1,SMALL(Dong13,ROWS($1:32)),))</f>
        <v>18000</v>
      </c>
      <c r="J45" s="687">
        <f t="shared" ca="1" si="4"/>
        <v>206640000</v>
      </c>
      <c r="K45" s="689"/>
      <c r="L45" s="688"/>
      <c r="M45" s="667"/>
      <c r="N45" s="667"/>
    </row>
    <row r="46" spans="1:14" ht="27" customHeight="1">
      <c r="A46" s="214">
        <f ca="1">IF(ROWS($1:33)&gt;COUNT(Dong13),"",OFFSET(TH!E$1,SMALL(Dong13,ROWS($1:33)),))</f>
        <v>42682</v>
      </c>
      <c r="B46" s="216" t="str">
        <f ca="1">IF(ROWS($1:33)&gt;COUNT(Dong13),"",OFFSET(TH!H$1,SMALL(Dong13,ROWS($1:33)),))</f>
        <v>Trần Thị Thu Hiếu</v>
      </c>
      <c r="C46" s="683" t="str">
        <f t="shared" ca="1" si="2"/>
        <v>Nhiên</v>
      </c>
      <c r="D46" s="683" t="str">
        <f ca="1">IF(ROWS($1:33)&gt;COUNT(Dong13),"",OFFSET(TH!D$1,SMALL(Dong13,ROWS($1:33)),))</f>
        <v>NL/N36</v>
      </c>
      <c r="E46" s="1082" t="str">
        <f t="shared" ca="1" si="0"/>
        <v>Phan Thiết - Bình Thuận</v>
      </c>
      <c r="F46" s="684">
        <f t="shared" ca="1" si="1"/>
        <v>280853616</v>
      </c>
      <c r="G46" s="685" t="str">
        <f ca="1">IF(ROWS($1:33)&gt;COUNT(Dong13),"",OFFSET(TH!F$1,SMALL(Dong13,ROWS($1:33)),))</f>
        <v>Cá cơm NL</v>
      </c>
      <c r="H46" s="686">
        <f ca="1">IF(ROWS($1:33)&gt;COUNT(Dong13),"",OFFSET(TH!I$1,SMALL(Dong13,ROWS($1:33)),))</f>
        <v>11461</v>
      </c>
      <c r="I46" s="686">
        <f ca="1">IF(ROWS($1:33)&gt;COUNT(Dong13),"",OFFSET(TH!J$1,SMALL(Dong13,ROWS($1:33)),))</f>
        <v>18000</v>
      </c>
      <c r="J46" s="687">
        <f t="shared" ca="1" si="4"/>
        <v>206298000</v>
      </c>
      <c r="K46" s="689"/>
      <c r="L46" s="688"/>
      <c r="M46" s="667"/>
      <c r="N46" s="667"/>
    </row>
    <row r="47" spans="1:14" ht="27" customHeight="1">
      <c r="A47" s="214">
        <f ca="1">IF(ROWS($1:34)&gt;COUNT(Dong13),"",OFFSET(TH!E$1,SMALL(Dong13,ROWS($1:34)),))</f>
        <v>42683</v>
      </c>
      <c r="B47" s="216" t="str">
        <f ca="1">IF(ROWS($1:34)&gt;COUNT(Dong13),"",OFFSET(TH!H$1,SMALL(Dong13,ROWS($1:34)),))</f>
        <v>Lê Thị Thiện Em</v>
      </c>
      <c r="C47" s="683" t="str">
        <f t="shared" ca="1" si="2"/>
        <v>Nhiên</v>
      </c>
      <c r="D47" s="683" t="str">
        <f ca="1">IF(ROWS($1:34)&gt;COUNT(Dong13),"",OFFSET(TH!D$1,SMALL(Dong13,ROWS($1:34)),))</f>
        <v>NL/N41</v>
      </c>
      <c r="E47" s="1082" t="str">
        <f t="shared" ca="1" si="0"/>
        <v>Đức Linh - Bình Thuận</v>
      </c>
      <c r="F47" s="684">
        <f t="shared" ca="1" si="1"/>
        <v>260682094</v>
      </c>
      <c r="G47" s="685" t="str">
        <f ca="1">IF(ROWS($1:34)&gt;COUNT(Dong13),"",OFFSET(TH!F$1,SMALL(Dong13,ROWS($1:34)),))</f>
        <v>Cá cơm NL</v>
      </c>
      <c r="H47" s="686">
        <f ca="1">IF(ROWS($1:34)&gt;COUNT(Dong13),"",OFFSET(TH!I$1,SMALL(Dong13,ROWS($1:34)),))</f>
        <v>12980</v>
      </c>
      <c r="I47" s="686">
        <f ca="1">IF(ROWS($1:34)&gt;COUNT(Dong13),"",OFFSET(TH!J$1,SMALL(Dong13,ROWS($1:34)),))</f>
        <v>18000</v>
      </c>
      <c r="J47" s="687">
        <f t="shared" ca="1" si="4"/>
        <v>233640000</v>
      </c>
      <c r="K47" s="689"/>
      <c r="L47" s="688"/>
      <c r="M47" s="667"/>
      <c r="N47" s="667"/>
    </row>
    <row r="48" spans="1:14" ht="27" customHeight="1">
      <c r="A48" s="214">
        <f ca="1">IF(ROWS($1:35)&gt;COUNT(Dong13),"",OFFSET(TH!E$1,SMALL(Dong13,ROWS($1:35)),))</f>
        <v>42689</v>
      </c>
      <c r="B48" s="216" t="str">
        <f ca="1">IF(ROWS($1:35)&gt;COUNT(Dong13),"",OFFSET(TH!H$1,SMALL(Dong13,ROWS($1:35)),))</f>
        <v>Nguyễn Thị Hội</v>
      </c>
      <c r="C48" s="683" t="str">
        <f t="shared" ca="1" si="2"/>
        <v>Nhiên</v>
      </c>
      <c r="D48" s="683" t="str">
        <f ca="1">IF(ROWS($1:35)&gt;COUNT(Dong13),"",OFFSET(TH!D$1,SMALL(Dong13,ROWS($1:35)),))</f>
        <v>NL/N60</v>
      </c>
      <c r="E48" s="1082" t="str">
        <f t="shared" ca="1" si="0"/>
        <v>Long Hương - Bình Thuận</v>
      </c>
      <c r="F48" s="684" t="str">
        <f t="shared" ca="1" si="1"/>
        <v>020714486</v>
      </c>
      <c r="G48" s="685" t="str">
        <f ca="1">IF(ROWS($1:35)&gt;COUNT(Dong13),"",OFFSET(TH!F$1,SMALL(Dong13,ROWS($1:35)),))</f>
        <v>Cá cơm NL</v>
      </c>
      <c r="H48" s="686">
        <f ca="1">IF(ROWS($1:35)&gt;COUNT(Dong13),"",OFFSET(TH!I$1,SMALL(Dong13,ROWS($1:35)),))</f>
        <v>11980</v>
      </c>
      <c r="I48" s="686">
        <f ca="1">IF(ROWS($1:35)&gt;COUNT(Dong13),"",OFFSET(TH!J$1,SMALL(Dong13,ROWS($1:35)),))</f>
        <v>18000</v>
      </c>
      <c r="J48" s="687">
        <f t="shared" ca="1" si="4"/>
        <v>215640000</v>
      </c>
      <c r="K48" s="689"/>
      <c r="L48" s="688"/>
      <c r="M48" s="667"/>
      <c r="N48" s="667"/>
    </row>
    <row r="49" spans="1:14" ht="27" customHeight="1">
      <c r="A49" s="214">
        <f ca="1">IF(ROWS($1:36)&gt;COUNT(Dong13),"",OFFSET(TH!E$1,SMALL(Dong13,ROWS($1:36)),))</f>
        <v>42689</v>
      </c>
      <c r="B49" s="216" t="str">
        <f ca="1">IF(ROWS($1:36)&gt;COUNT(Dong13),"",OFFSET(TH!H$1,SMALL(Dong13,ROWS($1:36)),))</f>
        <v>Lê Thị Diệu</v>
      </c>
      <c r="C49" s="683" t="str">
        <f t="shared" ca="1" si="2"/>
        <v>Nhiên</v>
      </c>
      <c r="D49" s="683" t="str">
        <f ca="1">IF(ROWS($1:36)&gt;COUNT(Dong13),"",OFFSET(TH!D$1,SMALL(Dong13,ROWS($1:36)),))</f>
        <v>NL/N61</v>
      </c>
      <c r="E49" s="1082" t="str">
        <f t="shared" ca="1" si="0"/>
        <v>Đức Linh - Bình Thuận</v>
      </c>
      <c r="F49" s="684">
        <f t="shared" ca="1" si="1"/>
        <v>250746332</v>
      </c>
      <c r="G49" s="685" t="str">
        <f ca="1">IF(ROWS($1:36)&gt;COUNT(Dong13),"",OFFSET(TH!F$1,SMALL(Dong13,ROWS($1:36)),))</f>
        <v>Cá cơm NL</v>
      </c>
      <c r="H49" s="686">
        <f ca="1">IF(ROWS($1:36)&gt;COUNT(Dong13),"",OFFSET(TH!I$1,SMALL(Dong13,ROWS($1:36)),))</f>
        <v>11498</v>
      </c>
      <c r="I49" s="686">
        <f ca="1">IF(ROWS($1:36)&gt;COUNT(Dong13),"",OFFSET(TH!J$1,SMALL(Dong13,ROWS($1:36)),))</f>
        <v>18000</v>
      </c>
      <c r="J49" s="687">
        <f t="shared" ca="1" si="4"/>
        <v>206964000</v>
      </c>
      <c r="K49" s="689"/>
      <c r="L49" s="688"/>
      <c r="M49" s="667"/>
      <c r="N49" s="667"/>
    </row>
    <row r="50" spans="1:14" ht="27" customHeight="1">
      <c r="A50" s="214">
        <f ca="1">IF(ROWS($1:37)&gt;COUNT(Dong13),"",OFFSET(TH!E$1,SMALL(Dong13,ROWS($1:37)),))</f>
        <v>42685</v>
      </c>
      <c r="B50" s="216" t="str">
        <f ca="1">IF(ROWS($1:37)&gt;COUNT(Dong13),"",OFFSET(TH!H$1,SMALL(Dong13,ROWS($1:37)),))</f>
        <v>Nguyễn Thanh Bình</v>
      </c>
      <c r="C50" s="683" t="str">
        <f t="shared" ca="1" si="2"/>
        <v>Nhiên</v>
      </c>
      <c r="D50" s="683" t="str">
        <f ca="1">IF(ROWS($1:37)&gt;COUNT(Dong13),"",OFFSET(TH!D$1,SMALL(Dong13,ROWS($1:37)),))</f>
        <v>NL/N46</v>
      </c>
      <c r="E50" s="1082" t="str">
        <f t="shared" ca="1" si="0"/>
        <v>Phan Thiết - Bình Thuận</v>
      </c>
      <c r="F50" s="684">
        <f t="shared" ca="1" si="1"/>
        <v>260178873</v>
      </c>
      <c r="G50" s="685" t="str">
        <f ca="1">IF(ROWS($1:37)&gt;COUNT(Dong13),"",OFFSET(TH!F$1,SMALL(Dong13,ROWS($1:37)),))</f>
        <v>Cá cơm NL</v>
      </c>
      <c r="H50" s="686">
        <f ca="1">IF(ROWS($1:37)&gt;COUNT(Dong13),"",OFFSET(TH!I$1,SMALL(Dong13,ROWS($1:37)),))</f>
        <v>11960</v>
      </c>
      <c r="I50" s="686">
        <f ca="1">IF(ROWS($1:37)&gt;COUNT(Dong13),"",OFFSET(TH!J$1,SMALL(Dong13,ROWS($1:37)),))</f>
        <v>18000</v>
      </c>
      <c r="J50" s="687">
        <f t="shared" ca="1" si="4"/>
        <v>215280000</v>
      </c>
      <c r="K50" s="689"/>
      <c r="L50" s="688"/>
      <c r="M50" s="667"/>
      <c r="N50" s="667"/>
    </row>
    <row r="51" spans="1:14" ht="27" customHeight="1">
      <c r="A51" s="214">
        <f ca="1">IF(ROWS($1:38)&gt;COUNT(Dong13),"",OFFSET(TH!E$1,SMALL(Dong13,ROWS($1:38)),))</f>
        <v>42685</v>
      </c>
      <c r="B51" s="216" t="str">
        <f ca="1">IF(ROWS($1:38)&gt;COUNT(Dong13),"",OFFSET(TH!H$1,SMALL(Dong13,ROWS($1:38)),))</f>
        <v>Lê Thị Thiện Em</v>
      </c>
      <c r="C51" s="683" t="str">
        <f t="shared" ca="1" si="2"/>
        <v>Nhiên</v>
      </c>
      <c r="D51" s="683" t="str">
        <f ca="1">IF(ROWS($1:38)&gt;COUNT(Dong13),"",OFFSET(TH!D$1,SMALL(Dong13,ROWS($1:38)),))</f>
        <v>NL/N49</v>
      </c>
      <c r="E51" s="1082" t="str">
        <f t="shared" ca="1" si="0"/>
        <v>Đức Linh - Bình Thuận</v>
      </c>
      <c r="F51" s="684">
        <f t="shared" ca="1" si="1"/>
        <v>260682094</v>
      </c>
      <c r="G51" s="685" t="str">
        <f ca="1">IF(ROWS($1:38)&gt;COUNT(Dong13),"",OFFSET(TH!F$1,SMALL(Dong13,ROWS($1:38)),))</f>
        <v>Cá cơm NL</v>
      </c>
      <c r="H51" s="686">
        <f ca="1">IF(ROWS($1:38)&gt;COUNT(Dong13),"",OFFSET(TH!I$1,SMALL(Dong13,ROWS($1:38)),))</f>
        <v>12396</v>
      </c>
      <c r="I51" s="686">
        <f ca="1">IF(ROWS($1:38)&gt;COUNT(Dong13),"",OFFSET(TH!J$1,SMALL(Dong13,ROWS($1:38)),))</f>
        <v>18000</v>
      </c>
      <c r="J51" s="687">
        <f t="shared" ca="1" si="4"/>
        <v>223128000</v>
      </c>
      <c r="K51" s="689"/>
      <c r="L51" s="688"/>
      <c r="M51" s="667"/>
      <c r="N51" s="667"/>
    </row>
    <row r="52" spans="1:14" ht="27" customHeight="1">
      <c r="A52" s="214">
        <f ca="1">IF(ROWS($1:39)&gt;COUNT(Dong13),"",OFFSET(TH!E$1,SMALL(Dong13,ROWS($1:39)),))</f>
        <v>42684</v>
      </c>
      <c r="B52" s="216" t="str">
        <f ca="1">IF(ROWS($1:39)&gt;COUNT(Dong13),"",OFFSET(TH!H$1,SMALL(Dong13,ROWS($1:39)),))</f>
        <v>Nguyễn Văn Hạnh</v>
      </c>
      <c r="C52" s="683" t="str">
        <f t="shared" ca="1" si="2"/>
        <v>Nhiên</v>
      </c>
      <c r="D52" s="683" t="str">
        <f ca="1">IF(ROWS($1:39)&gt;COUNT(Dong13),"",OFFSET(TH!D$1,SMALL(Dong13,ROWS($1:39)),))</f>
        <v>NL/N43</v>
      </c>
      <c r="E52" s="1082" t="str">
        <f t="shared" ca="1" si="0"/>
        <v>Phan Thiết - Bình Thuận</v>
      </c>
      <c r="F52" s="684">
        <f t="shared" ca="1" si="1"/>
        <v>260850613</v>
      </c>
      <c r="G52" s="685" t="str">
        <f ca="1">IF(ROWS($1:39)&gt;COUNT(Dong13),"",OFFSET(TH!F$1,SMALL(Dong13,ROWS($1:39)),))</f>
        <v>Cá cơm NL</v>
      </c>
      <c r="H52" s="686">
        <f ca="1">IF(ROWS($1:39)&gt;COUNT(Dong13),"",OFFSET(TH!I$1,SMALL(Dong13,ROWS($1:39)),))</f>
        <v>12503</v>
      </c>
      <c r="I52" s="686">
        <f ca="1">IF(ROWS($1:39)&gt;COUNT(Dong13),"",OFFSET(TH!J$1,SMALL(Dong13,ROWS($1:39)),))</f>
        <v>18000</v>
      </c>
      <c r="J52" s="687">
        <f t="shared" ca="1" si="4"/>
        <v>225054000</v>
      </c>
      <c r="K52" s="689"/>
      <c r="L52" s="688"/>
      <c r="M52" s="667"/>
      <c r="N52" s="667"/>
    </row>
    <row r="53" spans="1:14" ht="27" customHeight="1">
      <c r="A53" s="214">
        <f ca="1">IF(ROWS($1:40)&gt;COUNT(Dong13),"",OFFSET(TH!E$1,SMALL(Dong13,ROWS($1:40)),))</f>
        <v>42688</v>
      </c>
      <c r="B53" s="216" t="str">
        <f ca="1">IF(ROWS($1:40)&gt;COUNT(Dong13),"",OFFSET(TH!H$1,SMALL(Dong13,ROWS($1:40)),))</f>
        <v>Nguyễn Văn Nhân</v>
      </c>
      <c r="C53" s="683" t="str">
        <f t="shared" ca="1" si="2"/>
        <v>Nhiên</v>
      </c>
      <c r="D53" s="683" t="str">
        <f ca="1">IF(ROWS($1:40)&gt;COUNT(Dong13),"",OFFSET(TH!D$1,SMALL(Dong13,ROWS($1:40)),))</f>
        <v>NL/N57</v>
      </c>
      <c r="E53" s="1082" t="str">
        <f t="shared" ca="1" si="0"/>
        <v>Thanh Hải - Bình Thuận</v>
      </c>
      <c r="F53" s="684">
        <f t="shared" ca="1" si="1"/>
        <v>261005222</v>
      </c>
      <c r="G53" s="685" t="str">
        <f ca="1">IF(ROWS($1:40)&gt;COUNT(Dong13),"",OFFSET(TH!F$1,SMALL(Dong13,ROWS($1:40)),))</f>
        <v>Cá cơm NL</v>
      </c>
      <c r="H53" s="686">
        <f ca="1">IF(ROWS($1:40)&gt;COUNT(Dong13),"",OFFSET(TH!I$1,SMALL(Dong13,ROWS($1:40)),))</f>
        <v>11930</v>
      </c>
      <c r="I53" s="686">
        <f ca="1">IF(ROWS($1:40)&gt;COUNT(Dong13),"",OFFSET(TH!J$1,SMALL(Dong13,ROWS($1:40)),))</f>
        <v>18000</v>
      </c>
      <c r="J53" s="687">
        <f t="shared" ca="1" si="4"/>
        <v>214740000</v>
      </c>
      <c r="K53" s="689"/>
      <c r="L53" s="688"/>
      <c r="M53" s="667"/>
      <c r="N53" s="667"/>
    </row>
    <row r="54" spans="1:14" ht="27" customHeight="1">
      <c r="A54" s="214">
        <f ca="1">IF(ROWS($1:41)&gt;COUNT(Dong13),"",OFFSET(TH!E$1,SMALL(Dong13,ROWS($1:41)),))</f>
        <v>42691</v>
      </c>
      <c r="B54" s="216" t="str">
        <f ca="1">IF(ROWS($1:41)&gt;COUNT(Dong13),"",OFFSET(TH!H$1,SMALL(Dong13,ROWS($1:41)),))</f>
        <v>Lê Thị Diệu</v>
      </c>
      <c r="C54" s="683" t="str">
        <f t="shared" ca="1" si="2"/>
        <v>Nhiên</v>
      </c>
      <c r="D54" s="683" t="str">
        <f ca="1">IF(ROWS($1:41)&gt;COUNT(Dong13),"",OFFSET(TH!D$1,SMALL(Dong13,ROWS($1:41)),))</f>
        <v>NL/N69</v>
      </c>
      <c r="E54" s="1082" t="str">
        <f t="shared" ca="1" si="0"/>
        <v>Đức Linh - Bình Thuận</v>
      </c>
      <c r="F54" s="684">
        <f t="shared" ca="1" si="1"/>
        <v>250746332</v>
      </c>
      <c r="G54" s="685" t="str">
        <f ca="1">IF(ROWS($1:41)&gt;COUNT(Dong13),"",OFFSET(TH!F$1,SMALL(Dong13,ROWS($1:41)),))</f>
        <v>Cá cơm NL</v>
      </c>
      <c r="H54" s="686">
        <f ca="1">IF(ROWS($1:41)&gt;COUNT(Dong13),"",OFFSET(TH!I$1,SMALL(Dong13,ROWS($1:41)),))</f>
        <v>14530</v>
      </c>
      <c r="I54" s="686">
        <f ca="1">IF(ROWS($1:41)&gt;COUNT(Dong13),"",OFFSET(TH!J$1,SMALL(Dong13,ROWS($1:41)),))</f>
        <v>17500</v>
      </c>
      <c r="J54" s="687">
        <f t="shared" ca="1" si="4"/>
        <v>254275000</v>
      </c>
      <c r="K54" s="689"/>
      <c r="L54" s="688"/>
      <c r="M54" s="667"/>
      <c r="N54" s="667"/>
    </row>
    <row r="55" spans="1:14" ht="27" customHeight="1">
      <c r="A55" s="214">
        <f ca="1">IF(ROWS($1:42)&gt;COUNT(Dong13),"",OFFSET(TH!E$1,SMALL(Dong13,ROWS($1:42)),))</f>
        <v>42684</v>
      </c>
      <c r="B55" s="216" t="str">
        <f ca="1">IF(ROWS($1:42)&gt;COUNT(Dong13),"",OFFSET(TH!H$1,SMALL(Dong13,ROWS($1:42)),))</f>
        <v>Trần Văn An</v>
      </c>
      <c r="C55" s="683" t="str">
        <f t="shared" ca="1" si="2"/>
        <v>Nhiên</v>
      </c>
      <c r="D55" s="683" t="str">
        <f ca="1">IF(ROWS($1:42)&gt;COUNT(Dong13),"",OFFSET(TH!D$1,SMALL(Dong13,ROWS($1:42)),))</f>
        <v>NL/N45</v>
      </c>
      <c r="E55" s="1082" t="str">
        <f t="shared" ca="1" si="0"/>
        <v>Hàm Tân - Bình Thuận</v>
      </c>
      <c r="F55" s="684">
        <f t="shared" ca="1" si="1"/>
        <v>260690910</v>
      </c>
      <c r="G55" s="685" t="str">
        <f ca="1">IF(ROWS($1:42)&gt;COUNT(Dong13),"",OFFSET(TH!F$1,SMALL(Dong13,ROWS($1:42)),))</f>
        <v>Cá cơm NL</v>
      </c>
      <c r="H55" s="686">
        <f ca="1">IF(ROWS($1:42)&gt;COUNT(Dong13),"",OFFSET(TH!I$1,SMALL(Dong13,ROWS($1:42)),))</f>
        <v>11580</v>
      </c>
      <c r="I55" s="686">
        <f ca="1">IF(ROWS($1:42)&gt;COUNT(Dong13),"",OFFSET(TH!J$1,SMALL(Dong13,ROWS($1:42)),))</f>
        <v>18000</v>
      </c>
      <c r="J55" s="687">
        <f t="shared" ca="1" si="4"/>
        <v>208440000</v>
      </c>
      <c r="K55" s="689"/>
      <c r="L55" s="688"/>
      <c r="M55" s="667"/>
      <c r="N55" s="667"/>
    </row>
    <row r="56" spans="1:14" ht="27" customHeight="1">
      <c r="A56" s="214">
        <f ca="1">IF(ROWS($1:43)&gt;COUNT(Dong13),"",OFFSET(TH!E$1,SMALL(Dong13,ROWS($1:43)),))</f>
        <v>42684</v>
      </c>
      <c r="B56" s="216" t="str">
        <f ca="1">IF(ROWS($1:43)&gt;COUNT(Dong13),"",OFFSET(TH!H$1,SMALL(Dong13,ROWS($1:43)),))</f>
        <v>Trần Thị Thu Hiếu</v>
      </c>
      <c r="C56" s="683" t="str">
        <f t="shared" ca="1" si="2"/>
        <v>Nhiên</v>
      </c>
      <c r="D56" s="683" t="str">
        <f ca="1">IF(ROWS($1:43)&gt;COUNT(Dong13),"",OFFSET(TH!D$1,SMALL(Dong13,ROWS($1:43)),))</f>
        <v>NL/N42</v>
      </c>
      <c r="E56" s="1082" t="str">
        <f t="shared" ca="1" si="0"/>
        <v>Phan Thiết - Bình Thuận</v>
      </c>
      <c r="F56" s="684">
        <f t="shared" ca="1" si="1"/>
        <v>280853616</v>
      </c>
      <c r="G56" s="685" t="str">
        <f ca="1">IF(ROWS($1:43)&gt;COUNT(Dong13),"",OFFSET(TH!F$1,SMALL(Dong13,ROWS($1:43)),))</f>
        <v>Cá cơm NL</v>
      </c>
      <c r="H56" s="686">
        <f ca="1">IF(ROWS($1:43)&gt;COUNT(Dong13),"",OFFSET(TH!I$1,SMALL(Dong13,ROWS($1:43)),))</f>
        <v>12500</v>
      </c>
      <c r="I56" s="686">
        <f ca="1">IF(ROWS($1:43)&gt;COUNT(Dong13),"",OFFSET(TH!J$1,SMALL(Dong13,ROWS($1:43)),))</f>
        <v>18000</v>
      </c>
      <c r="J56" s="687">
        <f t="shared" ca="1" si="4"/>
        <v>225000000</v>
      </c>
      <c r="K56" s="689"/>
      <c r="L56" s="688"/>
      <c r="M56" s="667"/>
      <c r="N56" s="667"/>
    </row>
    <row r="57" spans="1:14" ht="27" customHeight="1">
      <c r="A57" s="214">
        <f ca="1">IF(ROWS($1:44)&gt;COUNT(Dong13),"",OFFSET(TH!E$1,SMALL(Dong13,ROWS($1:44)),))</f>
        <v>42689</v>
      </c>
      <c r="B57" s="216" t="str">
        <f ca="1">IF(ROWS($1:44)&gt;COUNT(Dong13),"",OFFSET(TH!H$1,SMALL(Dong13,ROWS($1:44)),))</f>
        <v>Nguyễn Thanh Bình</v>
      </c>
      <c r="C57" s="683" t="str">
        <f t="shared" ca="1" si="2"/>
        <v>Nhiên</v>
      </c>
      <c r="D57" s="683" t="str">
        <f ca="1">IF(ROWS($1:44)&gt;COUNT(Dong13),"",OFFSET(TH!D$1,SMALL(Dong13,ROWS($1:44)),))</f>
        <v>NL/N59</v>
      </c>
      <c r="E57" s="1082" t="str">
        <f t="shared" ca="1" si="0"/>
        <v>Phan Thiết - Bình Thuận</v>
      </c>
      <c r="F57" s="684">
        <f t="shared" ca="1" si="1"/>
        <v>260178873</v>
      </c>
      <c r="G57" s="685" t="str">
        <f ca="1">IF(ROWS($1:44)&gt;COUNT(Dong13),"",OFFSET(TH!F$1,SMALL(Dong13,ROWS($1:44)),))</f>
        <v>Cá cơm NL</v>
      </c>
      <c r="H57" s="686">
        <f ca="1">IF(ROWS($1:44)&gt;COUNT(Dong13),"",OFFSET(TH!I$1,SMALL(Dong13,ROWS($1:44)),))</f>
        <v>12396</v>
      </c>
      <c r="I57" s="686">
        <f ca="1">IF(ROWS($1:44)&gt;COUNT(Dong13),"",OFFSET(TH!J$1,SMALL(Dong13,ROWS($1:44)),))</f>
        <v>18000</v>
      </c>
      <c r="J57" s="687">
        <f t="shared" ca="1" si="4"/>
        <v>223128000</v>
      </c>
      <c r="K57" s="689"/>
      <c r="L57" s="688"/>
      <c r="M57" s="667"/>
      <c r="N57" s="667"/>
    </row>
    <row r="58" spans="1:14" ht="27" customHeight="1">
      <c r="A58" s="214">
        <f ca="1">IF(ROWS($1:45)&gt;COUNT(Dong13),"",OFFSET(TH!E$1,SMALL(Dong13,ROWS($1:45)),))</f>
        <v>42686</v>
      </c>
      <c r="B58" s="216" t="str">
        <f ca="1">IF(ROWS($1:45)&gt;COUNT(Dong13),"",OFFSET(TH!H$1,SMALL(Dong13,ROWS($1:45)),))</f>
        <v>Nguyễn Văn Hạnh</v>
      </c>
      <c r="C58" s="683" t="str">
        <f t="shared" ca="1" si="2"/>
        <v>Nhiên</v>
      </c>
      <c r="D58" s="683" t="str">
        <f ca="1">IF(ROWS($1:45)&gt;COUNT(Dong13),"",OFFSET(TH!D$1,SMALL(Dong13,ROWS($1:45)),))</f>
        <v>NL/N51</v>
      </c>
      <c r="E58" s="1082" t="str">
        <f t="shared" ca="1" si="0"/>
        <v>Phan Thiết - Bình Thuận</v>
      </c>
      <c r="F58" s="684">
        <f t="shared" ca="1" si="1"/>
        <v>260850613</v>
      </c>
      <c r="G58" s="685" t="str">
        <f ca="1">IF(ROWS($1:45)&gt;COUNT(Dong13),"",OFFSET(TH!F$1,SMALL(Dong13,ROWS($1:45)),))</f>
        <v>Cá cơm NL</v>
      </c>
      <c r="H58" s="686">
        <f ca="1">IF(ROWS($1:45)&gt;COUNT(Dong13),"",OFFSET(TH!I$1,SMALL(Dong13,ROWS($1:45)),))</f>
        <v>11546</v>
      </c>
      <c r="I58" s="686">
        <f ca="1">IF(ROWS($1:45)&gt;COUNT(Dong13),"",OFFSET(TH!J$1,SMALL(Dong13,ROWS($1:45)),))</f>
        <v>18000</v>
      </c>
      <c r="J58" s="687">
        <f t="shared" ca="1" si="4"/>
        <v>207828000</v>
      </c>
      <c r="K58" s="689"/>
      <c r="L58" s="688"/>
      <c r="M58" s="667"/>
      <c r="N58" s="667"/>
    </row>
    <row r="59" spans="1:14" ht="27" customHeight="1">
      <c r="A59" s="214">
        <f ca="1">IF(ROWS($1:46)&gt;COUNT(Dong13),"",OFFSET(TH!E$1,SMALL(Dong13,ROWS($1:46)),))</f>
        <v>42691</v>
      </c>
      <c r="B59" s="216" t="str">
        <f ca="1">IF(ROWS($1:46)&gt;COUNT(Dong13),"",OFFSET(TH!H$1,SMALL(Dong13,ROWS($1:46)),))</f>
        <v>Nguyễn Thanh Bình</v>
      </c>
      <c r="C59" s="683" t="str">
        <f t="shared" ca="1" si="2"/>
        <v>Nhiên</v>
      </c>
      <c r="D59" s="683" t="str">
        <f ca="1">IF(ROWS($1:46)&gt;COUNT(Dong13),"",OFFSET(TH!D$1,SMALL(Dong13,ROWS($1:46)),))</f>
        <v>NL/N67</v>
      </c>
      <c r="E59" s="1082" t="str">
        <f t="shared" ca="1" si="0"/>
        <v>Phan Thiết - Bình Thuận</v>
      </c>
      <c r="F59" s="684">
        <f t="shared" ca="1" si="1"/>
        <v>260178873</v>
      </c>
      <c r="G59" s="685" t="str">
        <f ca="1">IF(ROWS($1:46)&gt;COUNT(Dong13),"",OFFSET(TH!F$1,SMALL(Dong13,ROWS($1:46)),))</f>
        <v>Cá cơm NL</v>
      </c>
      <c r="H59" s="686">
        <f ca="1">IF(ROWS($1:46)&gt;COUNT(Dong13),"",OFFSET(TH!I$1,SMALL(Dong13,ROWS($1:46)),))</f>
        <v>14556</v>
      </c>
      <c r="I59" s="686">
        <f ca="1">IF(ROWS($1:46)&gt;COUNT(Dong13),"",OFFSET(TH!J$1,SMALL(Dong13,ROWS($1:46)),))</f>
        <v>17500</v>
      </c>
      <c r="J59" s="687">
        <f t="shared" ca="1" si="4"/>
        <v>254730000</v>
      </c>
      <c r="K59" s="689"/>
      <c r="L59" s="688"/>
      <c r="M59" s="667"/>
      <c r="N59" s="667"/>
    </row>
    <row r="60" spans="1:14" ht="27" customHeight="1">
      <c r="A60" s="214">
        <f ca="1">IF(ROWS($1:47)&gt;COUNT(Dong13),"",OFFSET(TH!E$1,SMALL(Dong13,ROWS($1:47)),))</f>
        <v>42688</v>
      </c>
      <c r="B60" s="216" t="str">
        <f ca="1">IF(ROWS($1:47)&gt;COUNT(Dong13),"",OFFSET(TH!H$1,SMALL(Dong13,ROWS($1:47)),))</f>
        <v>Nguyễn Văn Hạnh</v>
      </c>
      <c r="C60" s="683" t="str">
        <f t="shared" ca="1" si="2"/>
        <v>Nhiên</v>
      </c>
      <c r="D60" s="683" t="str">
        <f ca="1">IF(ROWS($1:47)&gt;COUNT(Dong13),"",OFFSET(TH!D$1,SMALL(Dong13,ROWS($1:47)),))</f>
        <v>NL/N54</v>
      </c>
      <c r="E60" s="1082" t="str">
        <f t="shared" ca="1" si="0"/>
        <v>Phan Thiết - Bình Thuận</v>
      </c>
      <c r="F60" s="684">
        <f t="shared" ca="1" si="1"/>
        <v>260850613</v>
      </c>
      <c r="G60" s="685" t="str">
        <f ca="1">IF(ROWS($1:47)&gt;COUNT(Dong13),"",OFFSET(TH!F$1,SMALL(Dong13,ROWS($1:47)),))</f>
        <v>Cá cơm NL</v>
      </c>
      <c r="H60" s="686">
        <f ca="1">IF(ROWS($1:47)&gt;COUNT(Dong13),"",OFFSET(TH!I$1,SMALL(Dong13,ROWS($1:47)),))</f>
        <v>11930</v>
      </c>
      <c r="I60" s="686">
        <f ca="1">IF(ROWS($1:47)&gt;COUNT(Dong13),"",OFFSET(TH!J$1,SMALL(Dong13,ROWS($1:47)),))</f>
        <v>18000</v>
      </c>
      <c r="J60" s="687">
        <f t="shared" ca="1" si="4"/>
        <v>214740000</v>
      </c>
      <c r="K60" s="689"/>
      <c r="L60" s="688"/>
      <c r="M60" s="667"/>
      <c r="N60" s="667"/>
    </row>
    <row r="61" spans="1:14" ht="27" customHeight="1">
      <c r="A61" s="214">
        <f ca="1">IF(ROWS($1:48)&gt;COUNT(Dong13),"",OFFSET(TH!E$1,SMALL(Dong13,ROWS($1:48)),))</f>
        <v>42686</v>
      </c>
      <c r="B61" s="216" t="str">
        <f ca="1">IF(ROWS($1:48)&gt;COUNT(Dong13),"",OFFSET(TH!H$1,SMALL(Dong13,ROWS($1:48)),))</f>
        <v>Trần Văn An</v>
      </c>
      <c r="C61" s="683" t="str">
        <f t="shared" ca="1" si="2"/>
        <v>Nhiên</v>
      </c>
      <c r="D61" s="683" t="str">
        <f ca="1">IF(ROWS($1:48)&gt;COUNT(Dong13),"",OFFSET(TH!D$1,SMALL(Dong13,ROWS($1:48)),))</f>
        <v>NL/N53</v>
      </c>
      <c r="E61" s="1082" t="str">
        <f t="shared" ca="1" si="0"/>
        <v>Hàm Tân - Bình Thuận</v>
      </c>
      <c r="F61" s="684">
        <f t="shared" ca="1" si="1"/>
        <v>260690910</v>
      </c>
      <c r="G61" s="685" t="str">
        <f ca="1">IF(ROWS($1:48)&gt;COUNT(Dong13),"",OFFSET(TH!F$1,SMALL(Dong13,ROWS($1:48)),))</f>
        <v>Cá cơm NL</v>
      </c>
      <c r="H61" s="686">
        <f ca="1">IF(ROWS($1:48)&gt;COUNT(Dong13),"",OFFSET(TH!I$1,SMALL(Dong13,ROWS($1:48)),))</f>
        <v>11850</v>
      </c>
      <c r="I61" s="686">
        <f ca="1">IF(ROWS($1:48)&gt;COUNT(Dong13),"",OFFSET(TH!J$1,SMALL(Dong13,ROWS($1:48)),))</f>
        <v>18000</v>
      </c>
      <c r="J61" s="687">
        <f t="shared" ca="1" si="4"/>
        <v>213300000</v>
      </c>
      <c r="K61" s="689"/>
      <c r="L61" s="688"/>
      <c r="M61" s="667"/>
      <c r="N61" s="667"/>
    </row>
    <row r="62" spans="1:14" ht="27" customHeight="1">
      <c r="A62" s="214">
        <f ca="1">IF(ROWS($1:49)&gt;COUNT(Dong13),"",OFFSET(TH!E$1,SMALL(Dong13,ROWS($1:49)),))</f>
        <v>42686</v>
      </c>
      <c r="B62" s="216" t="str">
        <f ca="1">IF(ROWS($1:49)&gt;COUNT(Dong13),"",OFFSET(TH!H$1,SMALL(Dong13,ROWS($1:49)),))</f>
        <v>Trần Thị Thu Hiếu</v>
      </c>
      <c r="C62" s="683" t="str">
        <f t="shared" ca="1" si="2"/>
        <v>Nhiên</v>
      </c>
      <c r="D62" s="683" t="str">
        <f ca="1">IF(ROWS($1:49)&gt;COUNT(Dong13),"",OFFSET(TH!D$1,SMALL(Dong13,ROWS($1:49)),))</f>
        <v>NL/N50</v>
      </c>
      <c r="E62" s="1082" t="str">
        <f t="shared" ca="1" si="0"/>
        <v>Phan Thiết - Bình Thuận</v>
      </c>
      <c r="F62" s="684">
        <f t="shared" ca="1" si="1"/>
        <v>280853616</v>
      </c>
      <c r="G62" s="685" t="str">
        <f ca="1">IF(ROWS($1:49)&gt;COUNT(Dong13),"",OFFSET(TH!F$1,SMALL(Dong13,ROWS($1:49)),))</f>
        <v>Cá cơm NL</v>
      </c>
      <c r="H62" s="686">
        <f ca="1">IF(ROWS($1:49)&gt;COUNT(Dong13),"",OFFSET(TH!I$1,SMALL(Dong13,ROWS($1:49)),))</f>
        <v>11626</v>
      </c>
      <c r="I62" s="686">
        <f ca="1">IF(ROWS($1:49)&gt;COUNT(Dong13),"",OFFSET(TH!J$1,SMALL(Dong13,ROWS($1:49)),))</f>
        <v>18000</v>
      </c>
      <c r="J62" s="687">
        <f t="shared" ca="1" si="4"/>
        <v>209268000</v>
      </c>
      <c r="K62" s="689"/>
      <c r="L62" s="688"/>
      <c r="M62" s="667"/>
      <c r="N62" s="667"/>
    </row>
    <row r="63" spans="1:14" ht="27" customHeight="1">
      <c r="A63" s="214">
        <f ca="1">IF(ROWS($1:50)&gt;COUNT(Dong13),"",OFFSET(TH!E$1,SMALL(Dong13,ROWS($1:50)),))</f>
        <v>42693</v>
      </c>
      <c r="B63" s="216" t="str">
        <f ca="1">IF(ROWS($1:50)&gt;COUNT(Dong13),"",OFFSET(TH!H$1,SMALL(Dong13,ROWS($1:50)),))</f>
        <v>Lê Thị Diệu</v>
      </c>
      <c r="C63" s="683" t="str">
        <f t="shared" ca="1" si="2"/>
        <v>Nhiên</v>
      </c>
      <c r="D63" s="683" t="str">
        <f ca="1">IF(ROWS($1:50)&gt;COUNT(Dong13),"",OFFSET(TH!D$1,SMALL(Dong13,ROWS($1:50)),))</f>
        <v>NL/N76</v>
      </c>
      <c r="E63" s="1082" t="str">
        <f t="shared" ca="1" si="0"/>
        <v>Đức Linh - Bình Thuận</v>
      </c>
      <c r="F63" s="684">
        <f t="shared" ca="1" si="1"/>
        <v>250746332</v>
      </c>
      <c r="G63" s="685" t="str">
        <f ca="1">IF(ROWS($1:50)&gt;COUNT(Dong13),"",OFFSET(TH!F$1,SMALL(Dong13,ROWS($1:50)),))</f>
        <v>Cá cơm NL</v>
      </c>
      <c r="H63" s="686">
        <f ca="1">IF(ROWS($1:50)&gt;COUNT(Dong13),"",OFFSET(TH!I$1,SMALL(Dong13,ROWS($1:50)),))</f>
        <v>14520</v>
      </c>
      <c r="I63" s="686">
        <f ca="1">IF(ROWS($1:50)&gt;COUNT(Dong13),"",OFFSET(TH!J$1,SMALL(Dong13,ROWS($1:50)),))</f>
        <v>17500</v>
      </c>
      <c r="J63" s="687">
        <f t="shared" ca="1" si="4"/>
        <v>254100000</v>
      </c>
      <c r="K63" s="689"/>
      <c r="L63" s="688"/>
      <c r="M63" s="667"/>
      <c r="N63" s="667"/>
    </row>
    <row r="64" spans="1:14" ht="27" customHeight="1">
      <c r="A64" s="214">
        <f ca="1">IF(ROWS($1:51)&gt;COUNT(Dong13),"",OFFSET(TH!E$1,SMALL(Dong13,ROWS($1:51)),))</f>
        <v>42691</v>
      </c>
      <c r="B64" s="216" t="str">
        <f ca="1">IF(ROWS($1:51)&gt;COUNT(Dong13),"",OFFSET(TH!H$1,SMALL(Dong13,ROWS($1:51)),))</f>
        <v>Nguyễn Thị Hội</v>
      </c>
      <c r="C64" s="683" t="str">
        <f t="shared" ca="1" si="2"/>
        <v>Nhiên</v>
      </c>
      <c r="D64" s="683" t="str">
        <f ca="1">IF(ROWS($1:51)&gt;COUNT(Dong13),"",OFFSET(TH!D$1,SMALL(Dong13,ROWS($1:51)),))</f>
        <v>NL/N68</v>
      </c>
      <c r="E64" s="1082" t="str">
        <f t="shared" ca="1" si="0"/>
        <v>Long Hương - Bình Thuận</v>
      </c>
      <c r="F64" s="684" t="str">
        <f t="shared" ca="1" si="1"/>
        <v>020714486</v>
      </c>
      <c r="G64" s="685" t="str">
        <f ca="1">IF(ROWS($1:51)&gt;COUNT(Dong13),"",OFFSET(TH!F$1,SMALL(Dong13,ROWS($1:51)),))</f>
        <v>Cá cơm NL</v>
      </c>
      <c r="H64" s="686">
        <f ca="1">IF(ROWS($1:51)&gt;COUNT(Dong13),"",OFFSET(TH!I$1,SMALL(Dong13,ROWS($1:51)),))</f>
        <v>14458</v>
      </c>
      <c r="I64" s="686">
        <f ca="1">IF(ROWS($1:51)&gt;COUNT(Dong13),"",OFFSET(TH!J$1,SMALL(Dong13,ROWS($1:51)),))</f>
        <v>17500</v>
      </c>
      <c r="J64" s="687">
        <f t="shared" ca="1" si="4"/>
        <v>253015000</v>
      </c>
      <c r="K64" s="689"/>
      <c r="L64" s="688"/>
      <c r="M64" s="667"/>
      <c r="N64" s="667"/>
    </row>
    <row r="65" spans="1:14" ht="27" customHeight="1">
      <c r="A65" s="214">
        <f ca="1">IF(ROWS($1:52)&gt;COUNT(Dong13),"",OFFSET(TH!E$1,SMALL(Dong13,ROWS($1:52)),))</f>
        <v>42690</v>
      </c>
      <c r="B65" s="216" t="str">
        <f ca="1">IF(ROWS($1:52)&gt;COUNT(Dong13),"",OFFSET(TH!H$1,SMALL(Dong13,ROWS($1:52)),))</f>
        <v>Nguyễn Văn Nhân</v>
      </c>
      <c r="C65" s="683" t="str">
        <f t="shared" ca="1" si="2"/>
        <v>Nhiên</v>
      </c>
      <c r="D65" s="683" t="str">
        <f ca="1">IF(ROWS($1:52)&gt;COUNT(Dong13),"",OFFSET(TH!D$1,SMALL(Dong13,ROWS($1:52)),))</f>
        <v>NL/N62</v>
      </c>
      <c r="E65" s="1082" t="str">
        <f t="shared" ca="1" si="0"/>
        <v>Thanh Hải - Bình Thuận</v>
      </c>
      <c r="F65" s="684">
        <f t="shared" ca="1" si="1"/>
        <v>261005222</v>
      </c>
      <c r="G65" s="685" t="str">
        <f ca="1">IF(ROWS($1:52)&gt;COUNT(Dong13),"",OFFSET(TH!F$1,SMALL(Dong13,ROWS($1:52)),))</f>
        <v>Cá cơm NL</v>
      </c>
      <c r="H65" s="686">
        <f ca="1">IF(ROWS($1:52)&gt;COUNT(Dong13),"",OFFSET(TH!I$1,SMALL(Dong13,ROWS($1:52)),))</f>
        <v>11919</v>
      </c>
      <c r="I65" s="686">
        <f ca="1">IF(ROWS($1:52)&gt;COUNT(Dong13),"",OFFSET(TH!J$1,SMALL(Dong13,ROWS($1:52)),))</f>
        <v>18000</v>
      </c>
      <c r="J65" s="687">
        <f t="shared" ca="1" si="4"/>
        <v>214542000</v>
      </c>
      <c r="K65" s="689"/>
      <c r="L65" s="688"/>
      <c r="M65" s="667"/>
      <c r="N65" s="667"/>
    </row>
    <row r="66" spans="1:14" ht="27" customHeight="1">
      <c r="A66" s="214">
        <f ca="1">IF(ROWS($1:53)&gt;COUNT(Dong13),"",OFFSET(TH!E$1,SMALL(Dong13,ROWS($1:53)),))</f>
        <v>42688</v>
      </c>
      <c r="B66" s="216" t="str">
        <f ca="1">IF(ROWS($1:53)&gt;COUNT(Dong13),"",OFFSET(TH!H$1,SMALL(Dong13,ROWS($1:53)),))</f>
        <v>Trần Văn An</v>
      </c>
      <c r="C66" s="683" t="str">
        <f t="shared" ca="1" si="2"/>
        <v>Nhiên</v>
      </c>
      <c r="D66" s="683" t="str">
        <f ca="1">IF(ROWS($1:53)&gt;COUNT(Dong13),"",OFFSET(TH!D$1,SMALL(Dong13,ROWS($1:53)),))</f>
        <v>NL/N55</v>
      </c>
      <c r="E66" s="1082" t="str">
        <f t="shared" ca="1" si="0"/>
        <v>Hàm Tân - Bình Thuận</v>
      </c>
      <c r="F66" s="684">
        <f t="shared" ca="1" si="1"/>
        <v>260690910</v>
      </c>
      <c r="G66" s="685" t="str">
        <f ca="1">IF(ROWS($1:53)&gt;COUNT(Dong13),"",OFFSET(TH!F$1,SMALL(Dong13,ROWS($1:53)),))</f>
        <v>Cá cơm NL</v>
      </c>
      <c r="H66" s="686">
        <f ca="1">IF(ROWS($1:53)&gt;COUNT(Dong13),"",OFFSET(TH!I$1,SMALL(Dong13,ROWS($1:53)),))</f>
        <v>11982</v>
      </c>
      <c r="I66" s="686">
        <f ca="1">IF(ROWS($1:53)&gt;COUNT(Dong13),"",OFFSET(TH!J$1,SMALL(Dong13,ROWS($1:53)),))</f>
        <v>18000</v>
      </c>
      <c r="J66" s="687">
        <f t="shared" ca="1" si="4"/>
        <v>215676000</v>
      </c>
      <c r="K66" s="689"/>
      <c r="L66" s="688"/>
      <c r="M66" s="667"/>
      <c r="N66" s="667"/>
    </row>
    <row r="67" spans="1:14" ht="27" customHeight="1">
      <c r="A67" s="214">
        <f ca="1">IF(ROWS($1:54)&gt;COUNT(Dong13),"",OFFSET(TH!E$1,SMALL(Dong13,ROWS($1:54)),))</f>
        <v>42694</v>
      </c>
      <c r="B67" s="216" t="str">
        <f ca="1">IF(ROWS($1:54)&gt;COUNT(Dong13),"",OFFSET(TH!H$1,SMALL(Dong13,ROWS($1:54)),))</f>
        <v>Lê Thị Diệu</v>
      </c>
      <c r="C67" s="683" t="str">
        <f t="shared" ca="1" si="2"/>
        <v>Nhiên</v>
      </c>
      <c r="D67" s="683" t="str">
        <f ca="1">IF(ROWS($1:54)&gt;COUNT(Dong13),"",OFFSET(TH!D$1,SMALL(Dong13,ROWS($1:54)),))</f>
        <v>NL/N80</v>
      </c>
      <c r="E67" s="1082" t="str">
        <f t="shared" ca="1" si="0"/>
        <v>Đức Linh - Bình Thuận</v>
      </c>
      <c r="F67" s="684">
        <f t="shared" ca="1" si="1"/>
        <v>250746332</v>
      </c>
      <c r="G67" s="685" t="str">
        <f ca="1">IF(ROWS($1:54)&gt;COUNT(Dong13),"",OFFSET(TH!F$1,SMALL(Dong13,ROWS($1:54)),))</f>
        <v>Cá cơm NL</v>
      </c>
      <c r="H67" s="686">
        <f ca="1">IF(ROWS($1:54)&gt;COUNT(Dong13),"",OFFSET(TH!I$1,SMALL(Dong13,ROWS($1:54)),))</f>
        <v>14630</v>
      </c>
      <c r="I67" s="686">
        <f ca="1">IF(ROWS($1:54)&gt;COUNT(Dong13),"",OFFSET(TH!J$1,SMALL(Dong13,ROWS($1:54)),))</f>
        <v>17500</v>
      </c>
      <c r="J67" s="687">
        <f t="shared" ca="1" si="4"/>
        <v>256025000</v>
      </c>
      <c r="K67" s="689"/>
      <c r="L67" s="688"/>
      <c r="M67" s="667"/>
      <c r="N67" s="667"/>
    </row>
    <row r="68" spans="1:14" ht="27" customHeight="1">
      <c r="A68" s="214">
        <f ca="1">IF(ROWS($1:55)&gt;COUNT(Dong13),"",OFFSET(TH!E$1,SMALL(Dong13,ROWS($1:55)),))</f>
        <v>42694</v>
      </c>
      <c r="B68" s="216" t="str">
        <f ca="1">IF(ROWS($1:55)&gt;COUNT(Dong13),"",OFFSET(TH!H$1,SMALL(Dong13,ROWS($1:55)),))</f>
        <v>Nguyễn Thanh Bình</v>
      </c>
      <c r="C68" s="683" t="str">
        <f t="shared" ca="1" si="2"/>
        <v>Nhiên</v>
      </c>
      <c r="D68" s="683" t="str">
        <f ca="1">IF(ROWS($1:55)&gt;COUNT(Dong13),"",OFFSET(TH!D$1,SMALL(Dong13,ROWS($1:55)),))</f>
        <v>NL/N78</v>
      </c>
      <c r="E68" s="1082" t="str">
        <f t="shared" ca="1" si="0"/>
        <v>Phan Thiết - Bình Thuận</v>
      </c>
      <c r="F68" s="684">
        <f t="shared" ca="1" si="1"/>
        <v>260178873</v>
      </c>
      <c r="G68" s="685" t="str">
        <f ca="1">IF(ROWS($1:55)&gt;COUNT(Dong13),"",OFFSET(TH!F$1,SMALL(Dong13,ROWS($1:55)),))</f>
        <v>Cá cơm NL</v>
      </c>
      <c r="H68" s="686">
        <f ca="1">IF(ROWS($1:55)&gt;COUNT(Dong13),"",OFFSET(TH!I$1,SMALL(Dong13,ROWS($1:55)),))</f>
        <v>14850</v>
      </c>
      <c r="I68" s="686">
        <f ca="1">IF(ROWS($1:55)&gt;COUNT(Dong13),"",OFFSET(TH!J$1,SMALL(Dong13,ROWS($1:55)),))</f>
        <v>17500</v>
      </c>
      <c r="J68" s="687">
        <f t="shared" ca="1" si="4"/>
        <v>259875000</v>
      </c>
      <c r="K68" s="689"/>
      <c r="L68" s="688"/>
      <c r="M68" s="667"/>
      <c r="N68" s="667"/>
    </row>
    <row r="69" spans="1:14" ht="27" customHeight="1">
      <c r="A69" s="214">
        <f ca="1">IF(ROWS($1:56)&gt;COUNT(Dong13),"",OFFSET(TH!E$1,SMALL(Dong13,ROWS($1:56)),))</f>
        <v>42690</v>
      </c>
      <c r="B69" s="216" t="str">
        <f ca="1">IF(ROWS($1:56)&gt;COUNT(Dong13),"",OFFSET(TH!H$1,SMALL(Dong13,ROWS($1:56)),))</f>
        <v>Nguyễn Văn Hạnh</v>
      </c>
      <c r="C69" s="683" t="str">
        <f t="shared" ca="1" si="2"/>
        <v>Nhiên</v>
      </c>
      <c r="D69" s="683" t="str">
        <f ca="1">IF(ROWS($1:56)&gt;COUNT(Dong13),"",OFFSET(TH!D$1,SMALL(Dong13,ROWS($1:56)),))</f>
        <v>NL/N64</v>
      </c>
      <c r="E69" s="1082" t="str">
        <f t="shared" ca="1" si="0"/>
        <v>Phan Thiết - Bình Thuận</v>
      </c>
      <c r="F69" s="684">
        <f t="shared" ca="1" si="1"/>
        <v>260850613</v>
      </c>
      <c r="G69" s="685" t="str">
        <f ca="1">IF(ROWS($1:56)&gt;COUNT(Dong13),"",OFFSET(TH!F$1,SMALL(Dong13,ROWS($1:56)),))</f>
        <v>Cá cơm NL</v>
      </c>
      <c r="H69" s="686">
        <f ca="1">IF(ROWS($1:56)&gt;COUNT(Dong13),"",OFFSET(TH!I$1,SMALL(Dong13,ROWS($1:56)),))</f>
        <v>11960</v>
      </c>
      <c r="I69" s="686">
        <f ca="1">IF(ROWS($1:56)&gt;COUNT(Dong13),"",OFFSET(TH!J$1,SMALL(Dong13,ROWS($1:56)),))</f>
        <v>18000</v>
      </c>
      <c r="J69" s="687">
        <f t="shared" ca="1" si="4"/>
        <v>215280000</v>
      </c>
      <c r="K69" s="689"/>
      <c r="L69" s="688"/>
      <c r="M69" s="667"/>
      <c r="N69" s="667"/>
    </row>
    <row r="70" spans="1:14" ht="27" customHeight="1">
      <c r="A70" s="214">
        <f ca="1">IF(ROWS($1:57)&gt;COUNT(Dong13),"",OFFSET(TH!E$1,SMALL(Dong13,ROWS($1:57)),))</f>
        <v>42690</v>
      </c>
      <c r="B70" s="216" t="str">
        <f ca="1">IF(ROWS($1:57)&gt;COUNT(Dong13),"",OFFSET(TH!H$1,SMALL(Dong13,ROWS($1:57)),))</f>
        <v>Trần Văn An</v>
      </c>
      <c r="C70" s="683" t="str">
        <f t="shared" ca="1" si="2"/>
        <v>Nhiên</v>
      </c>
      <c r="D70" s="683" t="str">
        <f ca="1">IF(ROWS($1:57)&gt;COUNT(Dong13),"",OFFSET(TH!D$1,SMALL(Dong13,ROWS($1:57)),))</f>
        <v>NL/N65</v>
      </c>
      <c r="E70" s="1082" t="str">
        <f t="shared" ca="1" si="0"/>
        <v>Hàm Tân - Bình Thuận</v>
      </c>
      <c r="F70" s="684">
        <f t="shared" ca="1" si="1"/>
        <v>260690910</v>
      </c>
      <c r="G70" s="685" t="str">
        <f ca="1">IF(ROWS($1:57)&gt;COUNT(Dong13),"",OFFSET(TH!F$1,SMALL(Dong13,ROWS($1:57)),))</f>
        <v>Cá cơm NL</v>
      </c>
      <c r="H70" s="686">
        <f ca="1">IF(ROWS($1:57)&gt;COUNT(Dong13),"",OFFSET(TH!I$1,SMALL(Dong13,ROWS($1:57)),))</f>
        <v>11860</v>
      </c>
      <c r="I70" s="686">
        <f ca="1">IF(ROWS($1:57)&gt;COUNT(Dong13),"",OFFSET(TH!J$1,SMALL(Dong13,ROWS($1:57)),))</f>
        <v>18000</v>
      </c>
      <c r="J70" s="687">
        <f t="shared" ca="1" si="4"/>
        <v>213480000</v>
      </c>
      <c r="K70" s="689"/>
      <c r="L70" s="688"/>
      <c r="M70" s="667"/>
      <c r="N70" s="667"/>
    </row>
    <row r="71" spans="1:14" ht="27" customHeight="1">
      <c r="A71" s="214">
        <f ca="1">IF(ROWS($1:58)&gt;COUNT(Dong13),"",OFFSET(TH!E$1,SMALL(Dong13,ROWS($1:58)),))</f>
        <v>42688</v>
      </c>
      <c r="B71" s="216" t="str">
        <f ca="1">IF(ROWS($1:58)&gt;COUNT(Dong13),"",OFFSET(TH!H$1,SMALL(Dong13,ROWS($1:58)),))</f>
        <v>Trần Thị Thu Hiếu</v>
      </c>
      <c r="C71" s="683" t="str">
        <f t="shared" ca="1" si="2"/>
        <v>Nhiên</v>
      </c>
      <c r="D71" s="683" t="str">
        <f ca="1">IF(ROWS($1:58)&gt;COUNT(Dong13),"",OFFSET(TH!D$1,SMALL(Dong13,ROWS($1:58)),))</f>
        <v>NL/N56</v>
      </c>
      <c r="E71" s="1082" t="str">
        <f t="shared" ca="1" si="0"/>
        <v>Phan Thiết - Bình Thuận</v>
      </c>
      <c r="F71" s="684">
        <f t="shared" ca="1" si="1"/>
        <v>280853616</v>
      </c>
      <c r="G71" s="685" t="str">
        <f ca="1">IF(ROWS($1:58)&gt;COUNT(Dong13),"",OFFSET(TH!F$1,SMALL(Dong13,ROWS($1:58)),))</f>
        <v>Cá cơm NL</v>
      </c>
      <c r="H71" s="686">
        <f ca="1">IF(ROWS($1:58)&gt;COUNT(Dong13),"",OFFSET(TH!I$1,SMALL(Dong13,ROWS($1:58)),))</f>
        <v>11975</v>
      </c>
      <c r="I71" s="686">
        <f ca="1">IF(ROWS($1:58)&gt;COUNT(Dong13),"",OFFSET(TH!J$1,SMALL(Dong13,ROWS($1:58)),))</f>
        <v>18000</v>
      </c>
      <c r="J71" s="687">
        <f t="shared" ca="1" si="4"/>
        <v>215550000</v>
      </c>
      <c r="K71" s="689"/>
      <c r="L71" s="688"/>
      <c r="M71" s="667"/>
      <c r="N71" s="667"/>
    </row>
    <row r="72" spans="1:14" ht="27" customHeight="1">
      <c r="A72" s="214">
        <f ca="1">IF(ROWS($1:59)&gt;COUNT(Dong13),"",OFFSET(TH!E$1,SMALL(Dong13,ROWS($1:59)),))</f>
        <v>42696</v>
      </c>
      <c r="B72" s="216" t="str">
        <f ca="1">IF(ROWS($1:59)&gt;COUNT(Dong13),"",OFFSET(TH!H$1,SMALL(Dong13,ROWS($1:59)),))</f>
        <v>Lê Thị Diệu</v>
      </c>
      <c r="C72" s="683" t="str">
        <f t="shared" ca="1" si="2"/>
        <v>Nhiên</v>
      </c>
      <c r="D72" s="683" t="str">
        <f ca="1">IF(ROWS($1:59)&gt;COUNT(Dong13),"",OFFSET(TH!D$1,SMALL(Dong13,ROWS($1:59)),))</f>
        <v>NL/N87</v>
      </c>
      <c r="E72" s="1082" t="str">
        <f t="shared" ca="1" si="0"/>
        <v>Đức Linh - Bình Thuận</v>
      </c>
      <c r="F72" s="684">
        <f t="shared" ca="1" si="1"/>
        <v>250746332</v>
      </c>
      <c r="G72" s="685" t="str">
        <f ca="1">IF(ROWS($1:59)&gt;COUNT(Dong13),"",OFFSET(TH!F$1,SMALL(Dong13,ROWS($1:59)),))</f>
        <v>Cá cơm NL</v>
      </c>
      <c r="H72" s="686">
        <f ca="1">IF(ROWS($1:59)&gt;COUNT(Dong13),"",OFFSET(TH!I$1,SMALL(Dong13,ROWS($1:59)),))</f>
        <v>14360</v>
      </c>
      <c r="I72" s="686">
        <f ca="1">IF(ROWS($1:59)&gt;COUNT(Dong13),"",OFFSET(TH!J$1,SMALL(Dong13,ROWS($1:59)),))</f>
        <v>17500</v>
      </c>
      <c r="J72" s="687">
        <f t="shared" ca="1" si="4"/>
        <v>251300000</v>
      </c>
      <c r="K72" s="689"/>
      <c r="L72" s="688"/>
      <c r="M72" s="667"/>
      <c r="N72" s="667"/>
    </row>
    <row r="73" spans="1:14" ht="27" customHeight="1">
      <c r="A73" s="214">
        <f ca="1">IF(ROWS($1:60)&gt;COUNT(Dong13),"",OFFSET(TH!E$1,SMALL(Dong13,ROWS($1:60)),))</f>
        <v>42689</v>
      </c>
      <c r="B73" s="216" t="str">
        <f ca="1">IF(ROWS($1:60)&gt;COUNT(Dong13),"",OFFSET(TH!H$1,SMALL(Dong13,ROWS($1:60)),))</f>
        <v>Lê Thị Thiện Em</v>
      </c>
      <c r="C73" s="683" t="str">
        <f t="shared" ca="1" si="2"/>
        <v>Nhiên</v>
      </c>
      <c r="D73" s="683" t="str">
        <f ca="1">IF(ROWS($1:60)&gt;COUNT(Dong13),"",OFFSET(TH!D$1,SMALL(Dong13,ROWS($1:60)),))</f>
        <v>NL/N58</v>
      </c>
      <c r="E73" s="1082" t="str">
        <f t="shared" ca="1" si="0"/>
        <v>Đức Linh - Bình Thuận</v>
      </c>
      <c r="F73" s="684">
        <f t="shared" ca="1" si="1"/>
        <v>260682094</v>
      </c>
      <c r="G73" s="685" t="str">
        <f ca="1">IF(ROWS($1:60)&gt;COUNT(Dong13),"",OFFSET(TH!F$1,SMALL(Dong13,ROWS($1:60)),))</f>
        <v>Cá cơm NL</v>
      </c>
      <c r="H73" s="686">
        <f ca="1">IF(ROWS($1:60)&gt;COUNT(Dong13),"",OFFSET(TH!I$1,SMALL(Dong13,ROWS($1:60)),))</f>
        <v>12980</v>
      </c>
      <c r="I73" s="686">
        <f ca="1">IF(ROWS($1:60)&gt;COUNT(Dong13),"",OFFSET(TH!J$1,SMALL(Dong13,ROWS($1:60)),))</f>
        <v>18000</v>
      </c>
      <c r="J73" s="687">
        <f t="shared" ca="1" si="4"/>
        <v>233640000</v>
      </c>
      <c r="K73" s="689"/>
      <c r="L73" s="688"/>
      <c r="M73" s="667"/>
      <c r="N73" s="667"/>
    </row>
    <row r="74" spans="1:14" ht="27" customHeight="1">
      <c r="A74" s="214">
        <f ca="1">IF(ROWS($1:61)&gt;COUNT(Dong13),"",OFFSET(TH!E$1,SMALL(Dong13,ROWS($1:61)),))</f>
        <v>42696</v>
      </c>
      <c r="B74" s="216" t="str">
        <f ca="1">IF(ROWS($1:61)&gt;COUNT(Dong13),"",OFFSET(TH!H$1,SMALL(Dong13,ROWS($1:61)),))</f>
        <v>Nguyễn Thanh Bình</v>
      </c>
      <c r="C74" s="683" t="str">
        <f t="shared" ca="1" si="2"/>
        <v>Nhiên</v>
      </c>
      <c r="D74" s="683" t="str">
        <f ca="1">IF(ROWS($1:61)&gt;COUNT(Dong13),"",OFFSET(TH!D$1,SMALL(Dong13,ROWS($1:61)),))</f>
        <v>NL/N88</v>
      </c>
      <c r="E74" s="1082" t="str">
        <f t="shared" ca="1" si="0"/>
        <v>Phan Thiết - Bình Thuận</v>
      </c>
      <c r="F74" s="684">
        <f t="shared" ca="1" si="1"/>
        <v>260178873</v>
      </c>
      <c r="G74" s="685" t="str">
        <f ca="1">IF(ROWS($1:61)&gt;COUNT(Dong13),"",OFFSET(TH!F$1,SMALL(Dong13,ROWS($1:61)),))</f>
        <v>Cá cơm NL</v>
      </c>
      <c r="H74" s="686">
        <f ca="1">IF(ROWS($1:61)&gt;COUNT(Dong13),"",OFFSET(TH!I$1,SMALL(Dong13,ROWS($1:61)),))</f>
        <v>14850</v>
      </c>
      <c r="I74" s="686">
        <f ca="1">IF(ROWS($1:61)&gt;COUNT(Dong13),"",OFFSET(TH!J$1,SMALL(Dong13,ROWS($1:61)),))</f>
        <v>17500</v>
      </c>
      <c r="J74" s="687">
        <f t="shared" ca="1" si="4"/>
        <v>259875000</v>
      </c>
      <c r="K74" s="689"/>
      <c r="L74" s="688"/>
      <c r="M74" s="667"/>
      <c r="N74" s="667"/>
    </row>
    <row r="75" spans="1:14" ht="27" customHeight="1">
      <c r="A75" s="214">
        <f ca="1">IF(ROWS($1:62)&gt;COUNT(Dong13),"",OFFSET(TH!E$1,SMALL(Dong13,ROWS($1:62)),))</f>
        <v>42692</v>
      </c>
      <c r="B75" s="216" t="str">
        <f ca="1">IF(ROWS($1:62)&gt;COUNT(Dong13),"",OFFSET(TH!H$1,SMALL(Dong13,ROWS($1:62)),))</f>
        <v>Nguyễn Văn Hạnh</v>
      </c>
      <c r="C75" s="683" t="str">
        <f t="shared" ca="1" si="2"/>
        <v>Nhiên</v>
      </c>
      <c r="D75" s="683" t="str">
        <f ca="1">IF(ROWS($1:62)&gt;COUNT(Dong13),"",OFFSET(TH!D$1,SMALL(Dong13,ROWS($1:62)),))</f>
        <v>NL/N70</v>
      </c>
      <c r="E75" s="1082" t="str">
        <f t="shared" ca="1" si="0"/>
        <v>Phan Thiết - Bình Thuận</v>
      </c>
      <c r="F75" s="684">
        <f t="shared" ca="1" si="1"/>
        <v>260850613</v>
      </c>
      <c r="G75" s="685" t="str">
        <f ca="1">IF(ROWS($1:62)&gt;COUNT(Dong13),"",OFFSET(TH!F$1,SMALL(Dong13,ROWS($1:62)),))</f>
        <v>Cá cơm NL</v>
      </c>
      <c r="H75" s="686">
        <f ca="1">IF(ROWS($1:62)&gt;COUNT(Dong13),"",OFFSET(TH!I$1,SMALL(Dong13,ROWS($1:62)),))</f>
        <v>14480</v>
      </c>
      <c r="I75" s="686">
        <f ca="1">IF(ROWS($1:62)&gt;COUNT(Dong13),"",OFFSET(TH!J$1,SMALL(Dong13,ROWS($1:62)),))</f>
        <v>17500</v>
      </c>
      <c r="J75" s="687">
        <f t="shared" ca="1" si="4"/>
        <v>253400000</v>
      </c>
      <c r="K75" s="689"/>
      <c r="L75" s="688"/>
      <c r="M75" s="667"/>
      <c r="N75" s="667"/>
    </row>
    <row r="76" spans="1:14" ht="27" customHeight="1">
      <c r="A76" s="214">
        <f ca="1">IF(ROWS($1:63)&gt;COUNT(Dong13),"",OFFSET(TH!E$1,SMALL(Dong13,ROWS($1:63)),))</f>
        <v>42695</v>
      </c>
      <c r="B76" s="216" t="str">
        <f ca="1">IF(ROWS($1:63)&gt;COUNT(Dong13),"",OFFSET(TH!H$1,SMALL(Dong13,ROWS($1:63)),))</f>
        <v>Nguyễn Văn Hạnh</v>
      </c>
      <c r="C76" s="683" t="str">
        <f t="shared" ca="1" si="2"/>
        <v>Nhiên</v>
      </c>
      <c r="D76" s="683" t="str">
        <f ca="1">IF(ROWS($1:63)&gt;COUNT(Dong13),"",OFFSET(TH!D$1,SMALL(Dong13,ROWS($1:63)),))</f>
        <v>NL/N82</v>
      </c>
      <c r="E76" s="1082" t="str">
        <f t="shared" ca="1" si="0"/>
        <v>Phan Thiết - Bình Thuận</v>
      </c>
      <c r="F76" s="684">
        <f t="shared" ca="1" si="1"/>
        <v>260850613</v>
      </c>
      <c r="G76" s="685" t="str">
        <f ca="1">IF(ROWS($1:63)&gt;COUNT(Dong13),"",OFFSET(TH!F$1,SMALL(Dong13,ROWS($1:63)),))</f>
        <v>Cá cơm NL</v>
      </c>
      <c r="H76" s="686">
        <f ca="1">IF(ROWS($1:63)&gt;COUNT(Dong13),"",OFFSET(TH!I$1,SMALL(Dong13,ROWS($1:63)),))</f>
        <v>14850</v>
      </c>
      <c r="I76" s="686">
        <f ca="1">IF(ROWS($1:63)&gt;COUNT(Dong13),"",OFFSET(TH!J$1,SMALL(Dong13,ROWS($1:63)),))</f>
        <v>17500</v>
      </c>
      <c r="J76" s="687">
        <f t="shared" ca="1" si="4"/>
        <v>259875000</v>
      </c>
      <c r="K76" s="689"/>
      <c r="L76" s="688"/>
      <c r="M76" s="667"/>
      <c r="N76" s="667"/>
    </row>
    <row r="77" spans="1:14" ht="27" customHeight="1">
      <c r="A77" s="214">
        <f ca="1">IF(ROWS($1:64)&gt;COUNT(Dong13),"",OFFSET(TH!E$1,SMALL(Dong13,ROWS($1:64)),))</f>
        <v>42700</v>
      </c>
      <c r="B77" s="216" t="str">
        <f ca="1">IF(ROWS($1:64)&gt;COUNT(Dong13),"",OFFSET(TH!H$1,SMALL(Dong13,ROWS($1:64)),))</f>
        <v>Lê Thị Kim Liên</v>
      </c>
      <c r="C77" s="683" t="str">
        <f t="shared" ca="1" si="2"/>
        <v>Hai</v>
      </c>
      <c r="D77" s="683" t="str">
        <f ca="1">IF(ROWS($1:64)&gt;COUNT(Dong13),"",OFFSET(TH!D$1,SMALL(Dong13,ROWS($1:64)),))</f>
        <v>NL/N101</v>
      </c>
      <c r="E77" s="1082" t="str">
        <f t="shared" ca="1" si="0"/>
        <v>Châu Thành - Tiền Giang</v>
      </c>
      <c r="F77" s="684">
        <f t="shared" ca="1" si="1"/>
        <v>311704830</v>
      </c>
      <c r="G77" s="685" t="str">
        <f ca="1">IF(ROWS($1:64)&gt;COUNT(Dong13),"",OFFSET(TH!F$1,SMALL(Dong13,ROWS($1:64)),))</f>
        <v>Cá chỉ vàng NL</v>
      </c>
      <c r="H77" s="686">
        <f ca="1">IF(ROWS($1:64)&gt;COUNT(Dong13),"",OFFSET(TH!I$1,SMALL(Dong13,ROWS($1:64)),))</f>
        <v>6500</v>
      </c>
      <c r="I77" s="686">
        <f ca="1">IF(ROWS($1:64)&gt;COUNT(Dong13),"",OFFSET(TH!J$1,SMALL(Dong13,ROWS($1:64)),))</f>
        <v>26000</v>
      </c>
      <c r="J77" s="687">
        <f t="shared" ca="1" si="4"/>
        <v>169000000</v>
      </c>
      <c r="K77" s="689"/>
      <c r="L77" s="688"/>
      <c r="M77" s="667"/>
      <c r="N77" s="667"/>
    </row>
    <row r="78" spans="1:14" ht="27" customHeight="1">
      <c r="A78" s="214">
        <f ca="1">IF(ROWS($1:65)&gt;COUNT(Dong13),"",OFFSET(TH!E$1,SMALL(Dong13,ROWS($1:65)),))</f>
        <v>42704</v>
      </c>
      <c r="B78" s="216" t="str">
        <f ca="1">IF(ROWS($1:65)&gt;COUNT(Dong13),"",OFFSET(TH!H$1,SMALL(Dong13,ROWS($1:65)),))</f>
        <v>Lê Thị Kim Liên</v>
      </c>
      <c r="C78" s="683" t="str">
        <f t="shared" ca="1" si="2"/>
        <v>Hai</v>
      </c>
      <c r="D78" s="683" t="str">
        <f ca="1">IF(ROWS($1:65)&gt;COUNT(Dong13),"",OFFSET(TH!D$1,SMALL(Dong13,ROWS($1:65)),))</f>
        <v>NL/N128</v>
      </c>
      <c r="E78" s="1082" t="str">
        <f t="shared" ca="1" si="0"/>
        <v>Châu Thành - Tiền Giang</v>
      </c>
      <c r="F78" s="684">
        <f t="shared" ca="1" si="1"/>
        <v>311704830</v>
      </c>
      <c r="G78" s="685" t="str">
        <f ca="1">IF(ROWS($1:65)&gt;COUNT(Dong13),"",OFFSET(TH!F$1,SMALL(Dong13,ROWS($1:65)),))</f>
        <v>Cá sặc NL</v>
      </c>
      <c r="H78" s="686">
        <f ca="1">IF(ROWS($1:65)&gt;COUNT(Dong13),"",OFFSET(TH!I$1,SMALL(Dong13,ROWS($1:65)),))</f>
        <v>600</v>
      </c>
      <c r="I78" s="686">
        <f ca="1">IF(ROWS($1:65)&gt;COUNT(Dong13),"",OFFSET(TH!J$1,SMALL(Dong13,ROWS($1:65)),))</f>
        <v>32000</v>
      </c>
      <c r="J78" s="687">
        <f t="shared" ca="1" si="4"/>
        <v>19200000</v>
      </c>
      <c r="K78" s="689"/>
      <c r="L78" s="688"/>
      <c r="M78" s="667"/>
      <c r="N78" s="667"/>
    </row>
    <row r="79" spans="1:14" ht="27" customHeight="1">
      <c r="A79" s="214">
        <f ca="1">IF(ROWS($1:66)&gt;COUNT(Dong13),"",OFFSET(TH!E$1,SMALL(Dong13,ROWS($1:66)),))</f>
        <v>42700</v>
      </c>
      <c r="B79" s="216" t="str">
        <f ca="1">IF(ROWS($1:66)&gt;COUNT(Dong13),"",OFFSET(TH!H$1,SMALL(Dong13,ROWS($1:66)),))</f>
        <v>Lê Thị Kim Thanh</v>
      </c>
      <c r="C79" s="683" t="str">
        <f t="shared" ca="1" si="2"/>
        <v>Hai</v>
      </c>
      <c r="D79" s="683" t="str">
        <f ca="1">IF(ROWS($1:66)&gt;COUNT(Dong13),"",OFFSET(TH!D$1,SMALL(Dong13,ROWS($1:66)),))</f>
        <v>NL/N100</v>
      </c>
      <c r="E79" s="1082" t="str">
        <f t="shared" ca="1" si="0"/>
        <v>Châu Thành - Tiền Giang</v>
      </c>
      <c r="F79" s="684">
        <f t="shared" ca="1" si="1"/>
        <v>311514350</v>
      </c>
      <c r="G79" s="685" t="str">
        <f ca="1">IF(ROWS($1:66)&gt;COUNT(Dong13),"",OFFSET(TH!F$1,SMALL(Dong13,ROWS($1:66)),))</f>
        <v>Cá chỉ vàng NL</v>
      </c>
      <c r="H79" s="686">
        <f ca="1">IF(ROWS($1:66)&gt;COUNT(Dong13),"",OFFSET(TH!I$1,SMALL(Dong13,ROWS($1:66)),))</f>
        <v>6280</v>
      </c>
      <c r="I79" s="686">
        <f ca="1">IF(ROWS($1:66)&gt;COUNT(Dong13),"",OFFSET(TH!J$1,SMALL(Dong13,ROWS($1:66)),))</f>
        <v>26000</v>
      </c>
      <c r="J79" s="687">
        <f t="shared" ca="1" si="4"/>
        <v>163280000</v>
      </c>
      <c r="K79" s="689"/>
      <c r="L79" s="688"/>
      <c r="M79" s="667"/>
      <c r="N79" s="667"/>
    </row>
    <row r="80" spans="1:14" ht="27" customHeight="1">
      <c r="A80" s="214">
        <f ca="1">IF(ROWS($1:67)&gt;COUNT(Dong13),"",OFFSET(TH!E$1,SMALL(Dong13,ROWS($1:67)),))</f>
        <v>42699</v>
      </c>
      <c r="B80" s="216" t="str">
        <f ca="1">IF(ROWS($1:67)&gt;COUNT(Dong13),"",OFFSET(TH!H$1,SMALL(Dong13,ROWS($1:67)),))</f>
        <v>Đỗ Thị Hoàng Mai</v>
      </c>
      <c r="C80" s="683" t="str">
        <f t="shared" ca="1" si="2"/>
        <v>Hai</v>
      </c>
      <c r="D80" s="683" t="str">
        <f ca="1">IF(ROWS($1:67)&gt;COUNT(Dong13),"",OFFSET(TH!D$1,SMALL(Dong13,ROWS($1:67)),))</f>
        <v>NL/N99</v>
      </c>
      <c r="E80" s="1082" t="str">
        <f t="shared" ca="1" si="0"/>
        <v>Gò Công Tây - Tiền Giang</v>
      </c>
      <c r="F80" s="684">
        <f t="shared" ca="1" si="1"/>
        <v>310882191</v>
      </c>
      <c r="G80" s="685" t="str">
        <f ca="1">IF(ROWS($1:67)&gt;COUNT(Dong13),"",OFFSET(TH!F$1,SMALL(Dong13,ROWS($1:67)),))</f>
        <v>Cá chỉ vàng NL</v>
      </c>
      <c r="H80" s="686">
        <f ca="1">IF(ROWS($1:67)&gt;COUNT(Dong13),"",OFFSET(TH!I$1,SMALL(Dong13,ROWS($1:67)),))</f>
        <v>6590</v>
      </c>
      <c r="I80" s="686">
        <f ca="1">IF(ROWS($1:67)&gt;COUNT(Dong13),"",OFFSET(TH!J$1,SMALL(Dong13,ROWS($1:67)),))</f>
        <v>26000</v>
      </c>
      <c r="J80" s="687">
        <f t="shared" ca="1" si="4"/>
        <v>171340000</v>
      </c>
      <c r="K80" s="689"/>
      <c r="L80" s="688"/>
      <c r="M80" s="667"/>
      <c r="N80" s="667"/>
    </row>
    <row r="81" spans="1:14" ht="27" customHeight="1">
      <c r="A81" s="214">
        <f ca="1">IF(ROWS($1:68)&gt;COUNT(Dong13),"",OFFSET(TH!E$1,SMALL(Dong13,ROWS($1:68)),))</f>
        <v>42691</v>
      </c>
      <c r="B81" s="216" t="str">
        <f ca="1">IF(ROWS($1:68)&gt;COUNT(Dong13),"",OFFSET(TH!H$1,SMALL(Dong13,ROWS($1:68)),))</f>
        <v>Lê Thị Thiện Em</v>
      </c>
      <c r="C81" s="683" t="str">
        <f t="shared" ca="1" si="2"/>
        <v>Nhiên</v>
      </c>
      <c r="D81" s="683" t="str">
        <f ca="1">IF(ROWS($1:68)&gt;COUNT(Dong13),"",OFFSET(TH!D$1,SMALL(Dong13,ROWS($1:68)),))</f>
        <v>NL/N66</v>
      </c>
      <c r="E81" s="1082" t="str">
        <f t="shared" ca="1" si="0"/>
        <v>Đức Linh - Bình Thuận</v>
      </c>
      <c r="F81" s="684">
        <f t="shared" ca="1" si="1"/>
        <v>260682094</v>
      </c>
      <c r="G81" s="685" t="str">
        <f ca="1">IF(ROWS($1:68)&gt;COUNT(Dong13),"",OFFSET(TH!F$1,SMALL(Dong13,ROWS($1:68)),))</f>
        <v>Cá cơm NL</v>
      </c>
      <c r="H81" s="686">
        <f ca="1">IF(ROWS($1:68)&gt;COUNT(Dong13),"",OFFSET(TH!I$1,SMALL(Dong13,ROWS($1:68)),))</f>
        <v>14800</v>
      </c>
      <c r="I81" s="686">
        <f ca="1">IF(ROWS($1:68)&gt;COUNT(Dong13),"",OFFSET(TH!J$1,SMALL(Dong13,ROWS($1:68)),))</f>
        <v>17500</v>
      </c>
      <c r="J81" s="687">
        <f t="shared" ca="1" si="4"/>
        <v>259000000</v>
      </c>
      <c r="K81" s="689"/>
      <c r="L81" s="688"/>
      <c r="M81" s="667"/>
      <c r="N81" s="667"/>
    </row>
    <row r="82" spans="1:14" ht="27" customHeight="1">
      <c r="A82" s="214">
        <f ca="1">IF(ROWS($1:69)&gt;COUNT(Dong13),"",OFFSET(TH!E$1,SMALL(Dong13,ROWS($1:69)),))</f>
        <v>42692</v>
      </c>
      <c r="B82" s="216" t="str">
        <f ca="1">IF(ROWS($1:69)&gt;COUNT(Dong13),"",OFFSET(TH!H$1,SMALL(Dong13,ROWS($1:69)),))</f>
        <v>Trần Văn An</v>
      </c>
      <c r="C82" s="683" t="str">
        <f t="shared" ca="1" si="2"/>
        <v>Nhiên</v>
      </c>
      <c r="D82" s="683" t="str">
        <f ca="1">IF(ROWS($1:69)&gt;COUNT(Dong13),"",OFFSET(TH!D$1,SMALL(Dong13,ROWS($1:69)),))</f>
        <v>NL/N72</v>
      </c>
      <c r="E82" s="1082" t="str">
        <f t="shared" ca="1" si="0"/>
        <v>Hàm Tân - Bình Thuận</v>
      </c>
      <c r="F82" s="684">
        <f t="shared" ca="1" si="1"/>
        <v>260690910</v>
      </c>
      <c r="G82" s="685" t="str">
        <f ca="1">IF(ROWS($1:69)&gt;COUNT(Dong13),"",OFFSET(TH!F$1,SMALL(Dong13,ROWS($1:69)),))</f>
        <v>Cá cơm NL</v>
      </c>
      <c r="H82" s="686">
        <f ca="1">IF(ROWS($1:69)&gt;COUNT(Dong13),"",OFFSET(TH!I$1,SMALL(Dong13,ROWS($1:69)),))</f>
        <v>14456</v>
      </c>
      <c r="I82" s="686">
        <f ca="1">IF(ROWS($1:69)&gt;COUNT(Dong13),"",OFFSET(TH!J$1,SMALL(Dong13,ROWS($1:69)),))</f>
        <v>17500</v>
      </c>
      <c r="J82" s="687">
        <f t="shared" ca="1" si="4"/>
        <v>252980000</v>
      </c>
      <c r="K82" s="689"/>
      <c r="L82" s="688"/>
      <c r="M82" s="667"/>
      <c r="N82" s="667"/>
    </row>
    <row r="83" spans="1:14" ht="27" customHeight="1">
      <c r="A83" s="214">
        <f ca="1">IF(ROWS($1:70)&gt;COUNT(Dong13),"",OFFSET(TH!E$1,SMALL(Dong13,ROWS($1:70)),))</f>
        <v>42693</v>
      </c>
      <c r="B83" s="216" t="str">
        <f ca="1">IF(ROWS($1:70)&gt;COUNT(Dong13),"",OFFSET(TH!H$1,SMALL(Dong13,ROWS($1:70)),))</f>
        <v>Nguyễn Thị Hội</v>
      </c>
      <c r="C83" s="683" t="str">
        <f t="shared" ca="1" si="2"/>
        <v>Nhiên</v>
      </c>
      <c r="D83" s="683" t="str">
        <f ca="1">IF(ROWS($1:70)&gt;COUNT(Dong13),"",OFFSET(TH!D$1,SMALL(Dong13,ROWS($1:70)),))</f>
        <v>NL/N75</v>
      </c>
      <c r="E83" s="1082" t="str">
        <f t="shared" ca="1" si="0"/>
        <v>Long Hương - Bình Thuận</v>
      </c>
      <c r="F83" s="684" t="str">
        <f t="shared" ca="1" si="1"/>
        <v>020714486</v>
      </c>
      <c r="G83" s="685" t="str">
        <f ca="1">IF(ROWS($1:70)&gt;COUNT(Dong13),"",OFFSET(TH!F$1,SMALL(Dong13,ROWS($1:70)),))</f>
        <v>Cá cơm NL</v>
      </c>
      <c r="H83" s="686">
        <f ca="1">IF(ROWS($1:70)&gt;COUNT(Dong13),"",OFFSET(TH!I$1,SMALL(Dong13,ROWS($1:70)),))</f>
        <v>14680</v>
      </c>
      <c r="I83" s="686">
        <f ca="1">IF(ROWS($1:70)&gt;COUNT(Dong13),"",OFFSET(TH!J$1,SMALL(Dong13,ROWS($1:70)),))</f>
        <v>17500</v>
      </c>
      <c r="J83" s="687">
        <f t="shared" ca="1" si="4"/>
        <v>256900000</v>
      </c>
      <c r="K83" s="689"/>
      <c r="L83" s="688"/>
      <c r="M83" s="667"/>
      <c r="N83" s="667"/>
    </row>
    <row r="84" spans="1:14" ht="27" customHeight="1">
      <c r="A84" s="214">
        <f ca="1">IF(ROWS($1:71)&gt;COUNT(Dong13),"",OFFSET(TH!E$1,SMALL(Dong13,ROWS($1:71)),))</f>
        <v>42698</v>
      </c>
      <c r="B84" s="216" t="str">
        <f ca="1">IF(ROWS($1:71)&gt;COUNT(Dong13),"",OFFSET(TH!H$1,SMALL(Dong13,ROWS($1:71)),))</f>
        <v>Nguyễn Văn Hạnh</v>
      </c>
      <c r="C84" s="683" t="str">
        <f t="shared" ca="1" si="2"/>
        <v>Nhiên</v>
      </c>
      <c r="D84" s="683" t="str">
        <f ca="1">IF(ROWS($1:71)&gt;COUNT(Dong13),"",OFFSET(TH!D$1,SMALL(Dong13,ROWS($1:71)),))</f>
        <v>NL/N90</v>
      </c>
      <c r="E84" s="1082" t="str">
        <f t="shared" ca="1" si="0"/>
        <v>Phan Thiết - Bình Thuận</v>
      </c>
      <c r="F84" s="684">
        <f t="shared" ca="1" si="1"/>
        <v>260850613</v>
      </c>
      <c r="G84" s="685" t="str">
        <f ca="1">IF(ROWS($1:71)&gt;COUNT(Dong13),"",OFFSET(TH!F$1,SMALL(Dong13,ROWS($1:71)),))</f>
        <v>Cá cơm NL</v>
      </c>
      <c r="H84" s="686">
        <f ca="1">IF(ROWS($1:71)&gt;COUNT(Dong13),"",OFFSET(TH!I$1,SMALL(Dong13,ROWS($1:71)),))</f>
        <v>14630</v>
      </c>
      <c r="I84" s="686">
        <f ca="1">IF(ROWS($1:71)&gt;COUNT(Dong13),"",OFFSET(TH!J$1,SMALL(Dong13,ROWS($1:71)),))</f>
        <v>17500</v>
      </c>
      <c r="J84" s="687">
        <f t="shared" ca="1" si="4"/>
        <v>256025000</v>
      </c>
      <c r="K84" s="689"/>
      <c r="L84" s="688"/>
      <c r="M84" s="667"/>
      <c r="N84" s="667"/>
    </row>
    <row r="85" spans="1:14" ht="27" customHeight="1">
      <c r="A85" s="214">
        <f ca="1">IF(ROWS($1:72)&gt;COUNT(Dong13),"",OFFSET(TH!E$1,SMALL(Dong13,ROWS($1:72)),))</f>
        <v>42692</v>
      </c>
      <c r="B85" s="216" t="str">
        <f ca="1">IF(ROWS($1:72)&gt;COUNT(Dong13),"",OFFSET(TH!H$1,SMALL(Dong13,ROWS($1:72)),))</f>
        <v>Nguyễn Văn Nhân</v>
      </c>
      <c r="C85" s="683" t="str">
        <f t="shared" ca="1" si="2"/>
        <v>Nhiên</v>
      </c>
      <c r="D85" s="683" t="str">
        <f ca="1">IF(ROWS($1:72)&gt;COUNT(Dong13),"",OFFSET(TH!D$1,SMALL(Dong13,ROWS($1:72)),))</f>
        <v>NL/N71</v>
      </c>
      <c r="E85" s="1082" t="str">
        <f t="shared" ca="1" si="0"/>
        <v>Thanh Hải - Bình Thuận</v>
      </c>
      <c r="F85" s="684">
        <f t="shared" ca="1" si="1"/>
        <v>261005222</v>
      </c>
      <c r="G85" s="685" t="str">
        <f ca="1">IF(ROWS($1:72)&gt;COUNT(Dong13),"",OFFSET(TH!F$1,SMALL(Dong13,ROWS($1:72)),))</f>
        <v>Cá cơm NL</v>
      </c>
      <c r="H85" s="686">
        <f ca="1">IF(ROWS($1:72)&gt;COUNT(Dong13),"",OFFSET(TH!I$1,SMALL(Dong13,ROWS($1:72)),))</f>
        <v>14520</v>
      </c>
      <c r="I85" s="686">
        <f ca="1">IF(ROWS($1:72)&gt;COUNT(Dong13),"",OFFSET(TH!J$1,SMALL(Dong13,ROWS($1:72)),))</f>
        <v>17500</v>
      </c>
      <c r="J85" s="687">
        <f t="shared" ca="1" si="4"/>
        <v>254100000</v>
      </c>
      <c r="K85" s="689"/>
      <c r="L85" s="688"/>
      <c r="M85" s="667"/>
      <c r="N85" s="667"/>
    </row>
    <row r="86" spans="1:14" ht="27" customHeight="1">
      <c r="A86" s="214">
        <f ca="1">IF(ROWS($1:73)&gt;COUNT(Dong13),"",OFFSET(TH!E$1,SMALL(Dong13,ROWS($1:73)),))</f>
        <v>42698</v>
      </c>
      <c r="B86" s="216" t="str">
        <f ca="1">IF(ROWS($1:73)&gt;COUNT(Dong13),"",OFFSET(TH!H$1,SMALL(Dong13,ROWS($1:73)),))</f>
        <v>Lê Thị Diệu</v>
      </c>
      <c r="C86" s="683" t="str">
        <f t="shared" ca="1" si="2"/>
        <v>Nhiên</v>
      </c>
      <c r="D86" s="683" t="str">
        <f ca="1">IF(ROWS($1:73)&gt;COUNT(Dong13),"",OFFSET(TH!D$1,SMALL(Dong13,ROWS($1:73)),))</f>
        <v>NL/N92</v>
      </c>
      <c r="E86" s="1082" t="str">
        <f t="shared" ca="1" si="0"/>
        <v>Đức Linh - Bình Thuận</v>
      </c>
      <c r="F86" s="684">
        <f t="shared" ca="1" si="1"/>
        <v>250746332</v>
      </c>
      <c r="G86" s="685" t="str">
        <f ca="1">IF(ROWS($1:73)&gt;COUNT(Dong13),"",OFFSET(TH!F$1,SMALL(Dong13,ROWS($1:73)),))</f>
        <v>Cá cơm NL</v>
      </c>
      <c r="H86" s="686">
        <f ca="1">IF(ROWS($1:73)&gt;COUNT(Dong13),"",OFFSET(TH!I$1,SMALL(Dong13,ROWS($1:73)),))</f>
        <v>14556</v>
      </c>
      <c r="I86" s="686">
        <f ca="1">IF(ROWS($1:73)&gt;COUNT(Dong13),"",OFFSET(TH!J$1,SMALL(Dong13,ROWS($1:73)),))</f>
        <v>17500</v>
      </c>
      <c r="J86" s="687">
        <f t="shared" ca="1" si="4"/>
        <v>254730000</v>
      </c>
      <c r="K86" s="689"/>
      <c r="L86" s="688"/>
      <c r="M86" s="667"/>
      <c r="N86" s="667"/>
    </row>
    <row r="87" spans="1:14" ht="27" customHeight="1">
      <c r="A87" s="214">
        <f ca="1">IF(ROWS($1:74)&gt;COUNT(Dong13),"",OFFSET(TH!E$1,SMALL(Dong13,ROWS($1:74)),))</f>
        <v>42699</v>
      </c>
      <c r="B87" s="216" t="str">
        <f ca="1">IF(ROWS($1:74)&gt;COUNT(Dong13),"",OFFSET(TH!H$1,SMALL(Dong13,ROWS($1:74)),))</f>
        <v>Nguyễn Thanh Bình</v>
      </c>
      <c r="C87" s="683" t="str">
        <f t="shared" ca="1" si="2"/>
        <v>Nhiên</v>
      </c>
      <c r="D87" s="683" t="str">
        <f ca="1">IF(ROWS($1:74)&gt;COUNT(Dong13),"",OFFSET(TH!D$1,SMALL(Dong13,ROWS($1:74)),))</f>
        <v>NL/N95</v>
      </c>
      <c r="E87" s="1082" t="str">
        <f t="shared" ca="1" si="0"/>
        <v>Phan Thiết - Bình Thuận</v>
      </c>
      <c r="F87" s="684">
        <f t="shared" ca="1" si="1"/>
        <v>260178873</v>
      </c>
      <c r="G87" s="685" t="str">
        <f ca="1">IF(ROWS($1:74)&gt;COUNT(Dong13),"",OFFSET(TH!F$1,SMALL(Dong13,ROWS($1:74)),))</f>
        <v>Cá cơm NL</v>
      </c>
      <c r="H87" s="686">
        <f ca="1">IF(ROWS($1:74)&gt;COUNT(Dong13),"",OFFSET(TH!I$1,SMALL(Dong13,ROWS($1:74)),))</f>
        <v>14480</v>
      </c>
      <c r="I87" s="686">
        <f ca="1">IF(ROWS($1:74)&gt;COUNT(Dong13),"",OFFSET(TH!J$1,SMALL(Dong13,ROWS($1:74)),))</f>
        <v>17500</v>
      </c>
      <c r="J87" s="687">
        <f t="shared" ca="1" si="4"/>
        <v>253400000</v>
      </c>
      <c r="K87" s="689"/>
      <c r="L87" s="688"/>
      <c r="M87" s="667"/>
      <c r="N87" s="667"/>
    </row>
    <row r="88" spans="1:14" ht="27" customHeight="1">
      <c r="A88" s="214">
        <f ca="1">IF(ROWS($1:75)&gt;COUNT(Dong13),"",OFFSET(TH!E$1,SMALL(Dong13,ROWS($1:75)),))</f>
        <v>42690</v>
      </c>
      <c r="B88" s="216" t="str">
        <f ca="1">IF(ROWS($1:75)&gt;COUNT(Dong13),"",OFFSET(TH!H$1,SMALL(Dong13,ROWS($1:75)),))</f>
        <v>Trần Thị Thu Hiếu</v>
      </c>
      <c r="C88" s="683" t="str">
        <f t="shared" ca="1" si="2"/>
        <v>Nhiên</v>
      </c>
      <c r="D88" s="683" t="str">
        <f ca="1">IF(ROWS($1:75)&gt;COUNT(Dong13),"",OFFSET(TH!D$1,SMALL(Dong13,ROWS($1:75)),))</f>
        <v>NL/N63</v>
      </c>
      <c r="E88" s="1082" t="str">
        <f t="shared" ca="1" si="0"/>
        <v>Phan Thiết - Bình Thuận</v>
      </c>
      <c r="F88" s="684">
        <f t="shared" ca="1" si="1"/>
        <v>280853616</v>
      </c>
      <c r="G88" s="685" t="str">
        <f ca="1">IF(ROWS($1:75)&gt;COUNT(Dong13),"",OFFSET(TH!F$1,SMALL(Dong13,ROWS($1:75)),))</f>
        <v>Cá cơm NL</v>
      </c>
      <c r="H88" s="686">
        <f ca="1">IF(ROWS($1:75)&gt;COUNT(Dong13),"",OFFSET(TH!I$1,SMALL(Dong13,ROWS($1:75)),))</f>
        <v>11880</v>
      </c>
      <c r="I88" s="686">
        <f ca="1">IF(ROWS($1:75)&gt;COUNT(Dong13),"",OFFSET(TH!J$1,SMALL(Dong13,ROWS($1:75)),))</f>
        <v>18000</v>
      </c>
      <c r="J88" s="687">
        <f t="shared" ca="1" si="4"/>
        <v>213840000</v>
      </c>
      <c r="K88" s="689"/>
      <c r="L88" s="688"/>
      <c r="M88" s="667"/>
      <c r="N88" s="667"/>
    </row>
    <row r="89" spans="1:14" ht="27" customHeight="1">
      <c r="A89" s="214">
        <f ca="1">IF(ROWS($1:76)&gt;COUNT(Dong13),"",OFFSET(TH!E$1,SMALL(Dong13,ROWS($1:76)),))</f>
        <v>42693</v>
      </c>
      <c r="B89" s="216" t="str">
        <f ca="1">IF(ROWS($1:76)&gt;COUNT(Dong13),"",OFFSET(TH!H$1,SMALL(Dong13,ROWS($1:76)),))</f>
        <v>Lê Thị Thiện Em</v>
      </c>
      <c r="C89" s="683" t="str">
        <f t="shared" ca="1" si="2"/>
        <v>Nhiên</v>
      </c>
      <c r="D89" s="683" t="str">
        <f ca="1">IF(ROWS($1:76)&gt;COUNT(Dong13),"",OFFSET(TH!D$1,SMALL(Dong13,ROWS($1:76)),))</f>
        <v>NL/N74</v>
      </c>
      <c r="E89" s="1082" t="str">
        <f t="shared" ca="1" si="0"/>
        <v>Đức Linh - Bình Thuận</v>
      </c>
      <c r="F89" s="684">
        <f t="shared" ca="1" si="1"/>
        <v>260682094</v>
      </c>
      <c r="G89" s="685" t="str">
        <f ca="1">IF(ROWS($1:76)&gt;COUNT(Dong13),"",OFFSET(TH!F$1,SMALL(Dong13,ROWS($1:76)),))</f>
        <v>Cá cơm NL</v>
      </c>
      <c r="H89" s="686">
        <f ca="1">IF(ROWS($1:76)&gt;COUNT(Dong13),"",OFFSET(TH!I$1,SMALL(Dong13,ROWS($1:76)),))</f>
        <v>14530</v>
      </c>
      <c r="I89" s="686">
        <f ca="1">IF(ROWS($1:76)&gt;COUNT(Dong13),"",OFFSET(TH!J$1,SMALL(Dong13,ROWS($1:76)),))</f>
        <v>17500</v>
      </c>
      <c r="J89" s="687">
        <f t="shared" ca="1" si="4"/>
        <v>254275000</v>
      </c>
      <c r="K89" s="689"/>
      <c r="L89" s="688"/>
      <c r="M89" s="667"/>
      <c r="N89" s="667"/>
    </row>
    <row r="90" spans="1:14" ht="27" customHeight="1">
      <c r="A90" s="214">
        <f ca="1">IF(ROWS($1:77)&gt;COUNT(Dong13),"",OFFSET(TH!E$1,SMALL(Dong13,ROWS($1:77)),))</f>
        <v>42695</v>
      </c>
      <c r="B90" s="216" t="str">
        <f ca="1">IF(ROWS($1:77)&gt;COUNT(Dong13),"",OFFSET(TH!H$1,SMALL(Dong13,ROWS($1:77)),))</f>
        <v>Trần Văn An</v>
      </c>
      <c r="C90" s="683" t="str">
        <f t="shared" ca="1" si="2"/>
        <v>Nhiên</v>
      </c>
      <c r="D90" s="683" t="str">
        <f ca="1">IF(ROWS($1:77)&gt;COUNT(Dong13),"",OFFSET(TH!D$1,SMALL(Dong13,ROWS($1:77)),))</f>
        <v>NL/N83</v>
      </c>
      <c r="E90" s="1082" t="str">
        <f t="shared" ca="1" si="0"/>
        <v>Hàm Tân - Bình Thuận</v>
      </c>
      <c r="F90" s="684">
        <f t="shared" ca="1" si="1"/>
        <v>260690910</v>
      </c>
      <c r="G90" s="685" t="str">
        <f ca="1">IF(ROWS($1:77)&gt;COUNT(Dong13),"",OFFSET(TH!F$1,SMALL(Dong13,ROWS($1:77)),))</f>
        <v>Cá cơm NL</v>
      </c>
      <c r="H90" s="686">
        <f ca="1">IF(ROWS($1:77)&gt;COUNT(Dong13),"",OFFSET(TH!I$1,SMALL(Dong13,ROWS($1:77)),))</f>
        <v>14450</v>
      </c>
      <c r="I90" s="686">
        <f ca="1">IF(ROWS($1:77)&gt;COUNT(Dong13),"",OFFSET(TH!J$1,SMALL(Dong13,ROWS($1:77)),))</f>
        <v>17500</v>
      </c>
      <c r="J90" s="687">
        <f t="shared" ca="1" si="4"/>
        <v>252875000</v>
      </c>
      <c r="K90" s="689"/>
      <c r="L90" s="688"/>
      <c r="M90" s="667"/>
      <c r="N90" s="667"/>
    </row>
    <row r="91" spans="1:14" ht="27" customHeight="1">
      <c r="A91" s="214">
        <f ca="1">IF(ROWS($1:78)&gt;COUNT(Dong13),"",OFFSET(TH!E$1,SMALL(Dong13,ROWS($1:78)),))</f>
        <v>42694</v>
      </c>
      <c r="B91" s="216" t="str">
        <f ca="1">IF(ROWS($1:78)&gt;COUNT(Dong13),"",OFFSET(TH!H$1,SMALL(Dong13,ROWS($1:78)),))</f>
        <v>Nguyễn Thị Hội</v>
      </c>
      <c r="C91" s="683" t="str">
        <f t="shared" ca="1" si="2"/>
        <v>Nhiên</v>
      </c>
      <c r="D91" s="683" t="str">
        <f ca="1">IF(ROWS($1:78)&gt;COUNT(Dong13),"",OFFSET(TH!D$1,SMALL(Dong13,ROWS($1:78)),))</f>
        <v>NL/N79</v>
      </c>
      <c r="E91" s="1082" t="str">
        <f t="shared" ca="1" si="0"/>
        <v>Long Hương - Bình Thuận</v>
      </c>
      <c r="F91" s="684" t="str">
        <f t="shared" ca="1" si="1"/>
        <v>020714486</v>
      </c>
      <c r="G91" s="685" t="str">
        <f ca="1">IF(ROWS($1:78)&gt;COUNT(Dong13),"",OFFSET(TH!F$1,SMALL(Dong13,ROWS($1:78)),))</f>
        <v>Cá cơm NL</v>
      </c>
      <c r="H91" s="686">
        <f ca="1">IF(ROWS($1:78)&gt;COUNT(Dong13),"",OFFSET(TH!I$1,SMALL(Dong13,ROWS($1:78)),))</f>
        <v>14450</v>
      </c>
      <c r="I91" s="686">
        <f ca="1">IF(ROWS($1:78)&gt;COUNT(Dong13),"",OFFSET(TH!J$1,SMALL(Dong13,ROWS($1:78)),))</f>
        <v>17500</v>
      </c>
      <c r="J91" s="687">
        <f t="shared" ca="1" si="4"/>
        <v>252875000</v>
      </c>
      <c r="K91" s="689"/>
      <c r="L91" s="688"/>
      <c r="M91" s="667"/>
      <c r="N91" s="667"/>
    </row>
    <row r="92" spans="1:14" ht="27" customHeight="1">
      <c r="A92" s="214">
        <f ca="1">IF(ROWS($1:79)&gt;COUNT(Dong13),"",OFFSET(TH!E$1,SMALL(Dong13,ROWS($1:79)),))</f>
        <v>42699</v>
      </c>
      <c r="B92" s="216" t="str">
        <f ca="1">IF(ROWS($1:79)&gt;COUNT(Dong13),"",OFFSET(TH!H$1,SMALL(Dong13,ROWS($1:79)),))</f>
        <v>Nguyễn Văn Hạnh</v>
      </c>
      <c r="C92" s="683" t="str">
        <f t="shared" ca="1" si="2"/>
        <v>Nhiên</v>
      </c>
      <c r="D92" s="683" t="str">
        <f ca="1">IF(ROWS($1:79)&gt;COUNT(Dong13),"",OFFSET(TH!D$1,SMALL(Dong13,ROWS($1:79)),))</f>
        <v>NL/N96</v>
      </c>
      <c r="E92" s="1082" t="str">
        <f t="shared" ca="1" si="0"/>
        <v>Phan Thiết - Bình Thuận</v>
      </c>
      <c r="F92" s="684">
        <f t="shared" ca="1" si="1"/>
        <v>260850613</v>
      </c>
      <c r="G92" s="685" t="str">
        <f ca="1">IF(ROWS($1:79)&gt;COUNT(Dong13),"",OFFSET(TH!F$1,SMALL(Dong13,ROWS($1:79)),))</f>
        <v>Cá cơm NL</v>
      </c>
      <c r="H92" s="686">
        <f ca="1">IF(ROWS($1:79)&gt;COUNT(Dong13),"",OFFSET(TH!I$1,SMALL(Dong13,ROWS($1:79)),))</f>
        <v>14520</v>
      </c>
      <c r="I92" s="686">
        <f ca="1">IF(ROWS($1:79)&gt;COUNT(Dong13),"",OFFSET(TH!J$1,SMALL(Dong13,ROWS($1:79)),))</f>
        <v>17500</v>
      </c>
      <c r="J92" s="687">
        <f t="shared" ca="1" si="4"/>
        <v>254100000</v>
      </c>
      <c r="K92" s="689"/>
      <c r="L92" s="688"/>
      <c r="M92" s="667"/>
      <c r="N92" s="667"/>
    </row>
    <row r="93" spans="1:14" ht="27" customHeight="1">
      <c r="A93" s="214">
        <f ca="1">IF(ROWS($1:80)&gt;COUNT(Dong13),"",OFFSET(TH!E$1,SMALL(Dong13,ROWS($1:80)),))</f>
        <v>42695</v>
      </c>
      <c r="B93" s="216" t="str">
        <f ca="1">IF(ROWS($1:80)&gt;COUNT(Dong13),"",OFFSET(TH!H$1,SMALL(Dong13,ROWS($1:80)),))</f>
        <v>Nguyễn Văn Nhân</v>
      </c>
      <c r="C93" s="683" t="str">
        <f t="shared" ca="1" si="2"/>
        <v>Nhiên</v>
      </c>
      <c r="D93" s="683" t="str">
        <f ca="1">IF(ROWS($1:80)&gt;COUNT(Dong13),"",OFFSET(TH!D$1,SMALL(Dong13,ROWS($1:80)),))</f>
        <v>NL/N81</v>
      </c>
      <c r="E93" s="1082" t="str">
        <f t="shared" ca="1" si="0"/>
        <v>Thanh Hải - Bình Thuận</v>
      </c>
      <c r="F93" s="684">
        <f t="shared" ca="1" si="1"/>
        <v>261005222</v>
      </c>
      <c r="G93" s="685" t="str">
        <f ca="1">IF(ROWS($1:80)&gt;COUNT(Dong13),"",OFFSET(TH!F$1,SMALL(Dong13,ROWS($1:80)),))</f>
        <v>Cá cơm NL</v>
      </c>
      <c r="H93" s="686">
        <f ca="1">IF(ROWS($1:80)&gt;COUNT(Dong13),"",OFFSET(TH!I$1,SMALL(Dong13,ROWS($1:80)),))</f>
        <v>14800</v>
      </c>
      <c r="I93" s="686">
        <f ca="1">IF(ROWS($1:80)&gt;COUNT(Dong13),"",OFFSET(TH!J$1,SMALL(Dong13,ROWS($1:80)),))</f>
        <v>17500</v>
      </c>
      <c r="J93" s="687">
        <f t="shared" ref="J93:J147" ca="1" si="5">IF(B93&lt;&gt;"",H93*I93,0)</f>
        <v>259000000</v>
      </c>
      <c r="K93" s="689"/>
      <c r="L93" s="688"/>
      <c r="M93" s="667"/>
      <c r="N93" s="667"/>
    </row>
    <row r="94" spans="1:14" ht="27" customHeight="1">
      <c r="A94" s="214">
        <f ca="1">IF(ROWS($1:81)&gt;COUNT(Dong13),"",OFFSET(TH!E$1,SMALL(Dong13,ROWS($1:81)),))</f>
        <v>42702</v>
      </c>
      <c r="B94" s="216" t="str">
        <f ca="1">IF(ROWS($1:81)&gt;COUNT(Dong13),"",OFFSET(TH!H$1,SMALL(Dong13,ROWS($1:81)),))</f>
        <v>Lê Thị Diệu</v>
      </c>
      <c r="C94" s="683" t="str">
        <f t="shared" ca="1" si="2"/>
        <v>Nhiên</v>
      </c>
      <c r="D94" s="683" t="str">
        <f ca="1">IF(ROWS($1:81)&gt;COUNT(Dong13),"",OFFSET(TH!D$1,SMALL(Dong13,ROWS($1:81)),))</f>
        <v>NL/N114</v>
      </c>
      <c r="E94" s="1082" t="str">
        <f t="shared" ca="1" si="0"/>
        <v>Đức Linh - Bình Thuận</v>
      </c>
      <c r="F94" s="684">
        <f t="shared" ca="1" si="1"/>
        <v>250746332</v>
      </c>
      <c r="G94" s="685" t="str">
        <f ca="1">IF(ROWS($1:81)&gt;COUNT(Dong13),"",OFFSET(TH!F$1,SMALL(Dong13,ROWS($1:81)),))</f>
        <v>Cá cơm NL</v>
      </c>
      <c r="H94" s="686">
        <f ca="1">IF(ROWS($1:81)&gt;COUNT(Dong13),"",OFFSET(TH!I$1,SMALL(Dong13,ROWS($1:81)),))</f>
        <v>14520</v>
      </c>
      <c r="I94" s="686">
        <f ca="1">IF(ROWS($1:81)&gt;COUNT(Dong13),"",OFFSET(TH!J$1,SMALL(Dong13,ROWS($1:81)),))</f>
        <v>17500</v>
      </c>
      <c r="J94" s="687">
        <f t="shared" ca="1" si="5"/>
        <v>254100000</v>
      </c>
      <c r="K94" s="689"/>
      <c r="L94" s="688"/>
      <c r="M94" s="667"/>
      <c r="N94" s="667"/>
    </row>
    <row r="95" spans="1:14" ht="27" customHeight="1">
      <c r="A95" s="214">
        <f ca="1">IF(ROWS($1:82)&gt;COUNT(Dong13),"",OFFSET(TH!E$1,SMALL(Dong13,ROWS($1:82)),))</f>
        <v>42700</v>
      </c>
      <c r="B95" s="216" t="str">
        <f ca="1">IF(ROWS($1:82)&gt;COUNT(Dong13),"",OFFSET(TH!H$1,SMALL(Dong13,ROWS($1:82)),))</f>
        <v>Nguyễn Thanh Bình</v>
      </c>
      <c r="C95" s="683" t="str">
        <f t="shared" ca="1" si="2"/>
        <v>Nhiên</v>
      </c>
      <c r="D95" s="683" t="str">
        <f ca="1">IF(ROWS($1:82)&gt;COUNT(Dong13),"",OFFSET(TH!D$1,SMALL(Dong13,ROWS($1:82)),))</f>
        <v>NL/N106</v>
      </c>
      <c r="E95" s="1082" t="str">
        <f t="shared" ca="1" si="0"/>
        <v>Phan Thiết - Bình Thuận</v>
      </c>
      <c r="F95" s="684">
        <f t="shared" ca="1" si="1"/>
        <v>260178873</v>
      </c>
      <c r="G95" s="685" t="str">
        <f ca="1">IF(ROWS($1:82)&gt;COUNT(Dong13),"",OFFSET(TH!F$1,SMALL(Dong13,ROWS($1:82)),))</f>
        <v>Cá cơm NL</v>
      </c>
      <c r="H95" s="686">
        <f ca="1">IF(ROWS($1:82)&gt;COUNT(Dong13),"",OFFSET(TH!I$1,SMALL(Dong13,ROWS($1:82)),))</f>
        <v>14850</v>
      </c>
      <c r="I95" s="686">
        <f ca="1">IF(ROWS($1:82)&gt;COUNT(Dong13),"",OFFSET(TH!J$1,SMALL(Dong13,ROWS($1:82)),))</f>
        <v>17500</v>
      </c>
      <c r="J95" s="687">
        <f t="shared" ca="1" si="5"/>
        <v>259875000</v>
      </c>
      <c r="K95" s="689"/>
      <c r="L95" s="688"/>
      <c r="M95" s="667"/>
      <c r="N95" s="667"/>
    </row>
    <row r="96" spans="1:14" ht="27" customHeight="1">
      <c r="A96" s="214">
        <f ca="1">IF(ROWS($1:83)&gt;COUNT(Dong13),"",OFFSET(TH!E$1,SMALL(Dong13,ROWS($1:83)),))</f>
        <v>42693</v>
      </c>
      <c r="B96" s="216" t="str">
        <f ca="1">IF(ROWS($1:83)&gt;COUNT(Dong13),"",OFFSET(TH!H$1,SMALL(Dong13,ROWS($1:83)),))</f>
        <v>Trần Thị Thu Hiếu</v>
      </c>
      <c r="C96" s="683" t="str">
        <f t="shared" ca="1" si="2"/>
        <v>Nhiên</v>
      </c>
      <c r="D96" s="683" t="str">
        <f ca="1">IF(ROWS($1:83)&gt;COUNT(Dong13),"",OFFSET(TH!D$1,SMALL(Dong13,ROWS($1:83)),))</f>
        <v>NL/N73</v>
      </c>
      <c r="E96" s="1082" t="str">
        <f t="shared" ca="1" si="0"/>
        <v>Phan Thiết - Bình Thuận</v>
      </c>
      <c r="F96" s="684">
        <f t="shared" ca="1" si="1"/>
        <v>280853616</v>
      </c>
      <c r="G96" s="685" t="str">
        <f ca="1">IF(ROWS($1:83)&gt;COUNT(Dong13),"",OFFSET(TH!F$1,SMALL(Dong13,ROWS($1:83)),))</f>
        <v>Cá cơm NL</v>
      </c>
      <c r="H96" s="686">
        <f ca="1">IF(ROWS($1:83)&gt;COUNT(Dong13),"",OFFSET(TH!I$1,SMALL(Dong13,ROWS($1:83)),))</f>
        <v>14458</v>
      </c>
      <c r="I96" s="686">
        <f ca="1">IF(ROWS($1:83)&gt;COUNT(Dong13),"",OFFSET(TH!J$1,SMALL(Dong13,ROWS($1:83)),))</f>
        <v>17500</v>
      </c>
      <c r="J96" s="687">
        <f t="shared" ca="1" si="5"/>
        <v>253015000</v>
      </c>
      <c r="K96" s="689"/>
      <c r="L96" s="688"/>
      <c r="M96" s="667"/>
      <c r="N96" s="667"/>
    </row>
    <row r="97" spans="1:14" ht="27" customHeight="1">
      <c r="A97" s="214">
        <f ca="1">IF(ROWS($1:84)&gt;COUNT(Dong13),"",OFFSET(TH!E$1,SMALL(Dong13,ROWS($1:84)),))</f>
        <v>42696</v>
      </c>
      <c r="B97" s="216" t="str">
        <f ca="1">IF(ROWS($1:84)&gt;COUNT(Dong13),"",OFFSET(TH!H$1,SMALL(Dong13,ROWS($1:84)),))</f>
        <v>Nguyễn Thị Hội</v>
      </c>
      <c r="C97" s="683" t="str">
        <f t="shared" ca="1" si="2"/>
        <v>Nhiên</v>
      </c>
      <c r="D97" s="683" t="str">
        <f ca="1">IF(ROWS($1:84)&gt;COUNT(Dong13),"",OFFSET(TH!D$1,SMALL(Dong13,ROWS($1:84)),))</f>
        <v>NL/N86</v>
      </c>
      <c r="E97" s="1082" t="str">
        <f t="shared" ca="1" si="0"/>
        <v>Long Hương - Bình Thuận</v>
      </c>
      <c r="F97" s="684" t="str">
        <f t="shared" ca="1" si="1"/>
        <v>020714486</v>
      </c>
      <c r="G97" s="685" t="str">
        <f ca="1">IF(ROWS($1:84)&gt;COUNT(Dong13),"",OFFSET(TH!F$1,SMALL(Dong13,ROWS($1:84)),))</f>
        <v>Cá cơm NL</v>
      </c>
      <c r="H97" s="686">
        <f ca="1">IF(ROWS($1:84)&gt;COUNT(Dong13),"",OFFSET(TH!I$1,SMALL(Dong13,ROWS($1:84)),))</f>
        <v>14520</v>
      </c>
      <c r="I97" s="686">
        <f ca="1">IF(ROWS($1:84)&gt;COUNT(Dong13),"",OFFSET(TH!J$1,SMALL(Dong13,ROWS($1:84)),))</f>
        <v>17500</v>
      </c>
      <c r="J97" s="687">
        <f t="shared" ca="1" si="5"/>
        <v>254100000</v>
      </c>
      <c r="K97" s="689"/>
      <c r="L97" s="688"/>
      <c r="M97" s="667"/>
      <c r="N97" s="667"/>
    </row>
    <row r="98" spans="1:14" ht="27" customHeight="1">
      <c r="A98" s="214">
        <f ca="1">IF(ROWS($1:85)&gt;COUNT(Dong13),"",OFFSET(TH!E$1,SMALL(Dong13,ROWS($1:85)),))</f>
        <v>42699</v>
      </c>
      <c r="B98" s="216" t="str">
        <f ca="1">IF(ROWS($1:85)&gt;COUNT(Dong13),"",OFFSET(TH!H$1,SMALL(Dong13,ROWS($1:85)),))</f>
        <v>Trần Văn An</v>
      </c>
      <c r="C98" s="683" t="str">
        <f t="shared" ca="1" si="2"/>
        <v>Nhiên</v>
      </c>
      <c r="D98" s="683" t="str">
        <f ca="1">IF(ROWS($1:85)&gt;COUNT(Dong13),"",OFFSET(TH!D$1,SMALL(Dong13,ROWS($1:85)),))</f>
        <v>NL/N93</v>
      </c>
      <c r="E98" s="1082" t="str">
        <f t="shared" ca="1" si="0"/>
        <v>Hàm Tân - Bình Thuận</v>
      </c>
      <c r="F98" s="684">
        <f t="shared" ca="1" si="1"/>
        <v>260690910</v>
      </c>
      <c r="G98" s="685" t="str">
        <f ca="1">IF(ROWS($1:85)&gt;COUNT(Dong13),"",OFFSET(TH!F$1,SMALL(Dong13,ROWS($1:85)),))</f>
        <v>Cá cơm NL</v>
      </c>
      <c r="H98" s="686">
        <f ca="1">IF(ROWS($1:85)&gt;COUNT(Dong13),"",OFFSET(TH!I$1,SMALL(Dong13,ROWS($1:85)),))</f>
        <v>14458</v>
      </c>
      <c r="I98" s="686">
        <f ca="1">IF(ROWS($1:85)&gt;COUNT(Dong13),"",OFFSET(TH!J$1,SMALL(Dong13,ROWS($1:85)),))</f>
        <v>17500</v>
      </c>
      <c r="J98" s="687">
        <f t="shared" ca="1" si="5"/>
        <v>253015000</v>
      </c>
      <c r="K98" s="689"/>
      <c r="L98" s="688"/>
      <c r="M98" s="667"/>
      <c r="N98" s="667"/>
    </row>
    <row r="99" spans="1:14" ht="27" customHeight="1">
      <c r="A99" s="214">
        <f ca="1">IF(ROWS($1:86)&gt;COUNT(Dong13),"",OFFSET(TH!E$1,SMALL(Dong13,ROWS($1:86)),))</f>
        <v>42703</v>
      </c>
      <c r="B99" s="216" t="str">
        <f ca="1">IF(ROWS($1:86)&gt;COUNT(Dong13),"",OFFSET(TH!H$1,SMALL(Dong13,ROWS($1:86)),))</f>
        <v>Nguyễn Thanh Bình</v>
      </c>
      <c r="C99" s="683" t="str">
        <f t="shared" ca="1" si="2"/>
        <v>Nhiên</v>
      </c>
      <c r="D99" s="683" t="str">
        <f ca="1">IF(ROWS($1:86)&gt;COUNT(Dong13),"",OFFSET(TH!D$1,SMALL(Dong13,ROWS($1:86)),))</f>
        <v>NL/N119</v>
      </c>
      <c r="E99" s="1082" t="str">
        <f t="shared" ca="1" si="0"/>
        <v>Phan Thiết - Bình Thuận</v>
      </c>
      <c r="F99" s="684">
        <f t="shared" ca="1" si="1"/>
        <v>260178873</v>
      </c>
      <c r="G99" s="685" t="str">
        <f ca="1">IF(ROWS($1:86)&gt;COUNT(Dong13),"",OFFSET(TH!F$1,SMALL(Dong13,ROWS($1:86)),))</f>
        <v>Cá cơm NL</v>
      </c>
      <c r="H99" s="686">
        <f ca="1">IF(ROWS($1:86)&gt;COUNT(Dong13),"",OFFSET(TH!I$1,SMALL(Dong13,ROWS($1:86)),))</f>
        <v>14800</v>
      </c>
      <c r="I99" s="686">
        <f ca="1">IF(ROWS($1:86)&gt;COUNT(Dong13),"",OFFSET(TH!J$1,SMALL(Dong13,ROWS($1:86)),))</f>
        <v>17500</v>
      </c>
      <c r="J99" s="687">
        <f t="shared" ca="1" si="5"/>
        <v>259000000</v>
      </c>
      <c r="K99" s="689"/>
      <c r="L99" s="688"/>
      <c r="M99" s="667"/>
      <c r="N99" s="667"/>
    </row>
    <row r="100" spans="1:14" ht="27" customHeight="1">
      <c r="A100" s="214">
        <f ca="1">IF(ROWS($1:87)&gt;COUNT(Dong13),"",OFFSET(TH!E$1,SMALL(Dong13,ROWS($1:87)),))</f>
        <v>42695</v>
      </c>
      <c r="B100" s="216" t="str">
        <f ca="1">IF(ROWS($1:87)&gt;COUNT(Dong13),"",OFFSET(TH!H$1,SMALL(Dong13,ROWS($1:87)),))</f>
        <v>Trần Thị Thu Hiếu</v>
      </c>
      <c r="C100" s="683" t="str">
        <f t="shared" ca="1" si="2"/>
        <v>Nhiên</v>
      </c>
      <c r="D100" s="683" t="str">
        <f ca="1">IF(ROWS($1:87)&gt;COUNT(Dong13),"",OFFSET(TH!D$1,SMALL(Dong13,ROWS($1:87)),))</f>
        <v>NL/N84</v>
      </c>
      <c r="E100" s="1082" t="str">
        <f t="shared" ca="1" si="0"/>
        <v>Phan Thiết - Bình Thuận</v>
      </c>
      <c r="F100" s="684">
        <f t="shared" ca="1" si="1"/>
        <v>280853616</v>
      </c>
      <c r="G100" s="685" t="str">
        <f ca="1">IF(ROWS($1:87)&gt;COUNT(Dong13),"",OFFSET(TH!F$1,SMALL(Dong13,ROWS($1:87)),))</f>
        <v>Cá cơm NL</v>
      </c>
      <c r="H100" s="686">
        <f ca="1">IF(ROWS($1:87)&gt;COUNT(Dong13),"",OFFSET(TH!I$1,SMALL(Dong13,ROWS($1:87)),))</f>
        <v>14630</v>
      </c>
      <c r="I100" s="686">
        <f ca="1">IF(ROWS($1:87)&gt;COUNT(Dong13),"",OFFSET(TH!J$1,SMALL(Dong13,ROWS($1:87)),))</f>
        <v>17500</v>
      </c>
      <c r="J100" s="687">
        <f t="shared" ca="1" si="5"/>
        <v>256025000</v>
      </c>
      <c r="K100" s="689"/>
      <c r="L100" s="688"/>
      <c r="M100" s="667"/>
      <c r="N100" s="667"/>
    </row>
    <row r="101" spans="1:14" ht="27" customHeight="1">
      <c r="A101" s="214">
        <f ca="1">IF(ROWS($1:88)&gt;COUNT(Dong13),"",OFFSET(TH!E$1,SMALL(Dong13,ROWS($1:88)),))</f>
        <v>42698</v>
      </c>
      <c r="B101" s="216" t="str">
        <f ca="1">IF(ROWS($1:88)&gt;COUNT(Dong13),"",OFFSET(TH!H$1,SMALL(Dong13,ROWS($1:88)),))</f>
        <v>Nguyễn Văn Nhân</v>
      </c>
      <c r="C101" s="683" t="str">
        <f t="shared" ca="1" si="2"/>
        <v>Nhiên</v>
      </c>
      <c r="D101" s="683" t="str">
        <f ca="1">IF(ROWS($1:88)&gt;COUNT(Dong13),"",OFFSET(TH!D$1,SMALL(Dong13,ROWS($1:88)),))</f>
        <v>NL/N91</v>
      </c>
      <c r="E101" s="1082" t="str">
        <f t="shared" ca="1" si="0"/>
        <v>Thanh Hải - Bình Thuận</v>
      </c>
      <c r="F101" s="684">
        <f t="shared" ca="1" si="1"/>
        <v>261005222</v>
      </c>
      <c r="G101" s="685" t="str">
        <f ca="1">IF(ROWS($1:88)&gt;COUNT(Dong13),"",OFFSET(TH!F$1,SMALL(Dong13,ROWS($1:88)),))</f>
        <v>Cá cơm NL</v>
      </c>
      <c r="H101" s="686">
        <f ca="1">IF(ROWS($1:88)&gt;COUNT(Dong13),"",OFFSET(TH!I$1,SMALL(Dong13,ROWS($1:88)),))</f>
        <v>14800</v>
      </c>
      <c r="I101" s="686">
        <f ca="1">IF(ROWS($1:88)&gt;COUNT(Dong13),"",OFFSET(TH!J$1,SMALL(Dong13,ROWS($1:88)),))</f>
        <v>17500</v>
      </c>
      <c r="J101" s="687">
        <f t="shared" ca="1" si="5"/>
        <v>259000000</v>
      </c>
      <c r="K101" s="689"/>
      <c r="L101" s="688"/>
      <c r="M101" s="667"/>
      <c r="N101" s="667"/>
    </row>
    <row r="102" spans="1:14" ht="27" customHeight="1">
      <c r="A102" s="214">
        <f ca="1">IF(ROWS($1:89)&gt;COUNT(Dong13),"",OFFSET(TH!E$1,SMALL(Dong13,ROWS($1:89)),))</f>
        <v>42700</v>
      </c>
      <c r="B102" s="216" t="str">
        <f ca="1">IF(ROWS($1:89)&gt;COUNT(Dong13),"",OFFSET(TH!H$1,SMALL(Dong13,ROWS($1:89)),))</f>
        <v>Trần Văn An</v>
      </c>
      <c r="C102" s="683" t="str">
        <f t="shared" ca="1" si="2"/>
        <v>Nhiên</v>
      </c>
      <c r="D102" s="683" t="str">
        <f ca="1">IF(ROWS($1:89)&gt;COUNT(Dong13),"",OFFSET(TH!D$1,SMALL(Dong13,ROWS($1:89)),))</f>
        <v>NL/N108</v>
      </c>
      <c r="E102" s="1082" t="str">
        <f t="shared" ca="1" si="0"/>
        <v>Hàm Tân - Bình Thuận</v>
      </c>
      <c r="F102" s="684">
        <f t="shared" ca="1" si="1"/>
        <v>260690910</v>
      </c>
      <c r="G102" s="685" t="str">
        <f ca="1">IF(ROWS($1:89)&gt;COUNT(Dong13),"",OFFSET(TH!F$1,SMALL(Dong13,ROWS($1:89)),))</f>
        <v>Cá cơm NL</v>
      </c>
      <c r="H102" s="686">
        <f ca="1">IF(ROWS($1:89)&gt;COUNT(Dong13),"",OFFSET(TH!I$1,SMALL(Dong13,ROWS($1:89)),))</f>
        <v>14630</v>
      </c>
      <c r="I102" s="686">
        <f ca="1">IF(ROWS($1:89)&gt;COUNT(Dong13),"",OFFSET(TH!J$1,SMALL(Dong13,ROWS($1:89)),))</f>
        <v>17500</v>
      </c>
      <c r="J102" s="687">
        <f t="shared" ca="1" si="5"/>
        <v>256025000</v>
      </c>
      <c r="K102" s="689"/>
      <c r="L102" s="688"/>
      <c r="M102" s="667"/>
      <c r="N102" s="667"/>
    </row>
    <row r="103" spans="1:14" ht="27" customHeight="1">
      <c r="A103" s="214">
        <f ca="1">IF(ROWS($1:90)&gt;COUNT(Dong13),"",OFFSET(TH!E$1,SMALL(Dong13,ROWS($1:90)),))</f>
        <v>42702</v>
      </c>
      <c r="B103" s="216" t="str">
        <f ca="1">IF(ROWS($1:90)&gt;COUNT(Dong13),"",OFFSET(TH!H$1,SMALL(Dong13,ROWS($1:90)),))</f>
        <v>Nguyễn Văn Nhân</v>
      </c>
      <c r="C103" s="683" t="str">
        <f t="shared" ca="1" si="2"/>
        <v>Nhiên</v>
      </c>
      <c r="D103" s="683" t="str">
        <f ca="1">IF(ROWS($1:90)&gt;COUNT(Dong13),"",OFFSET(TH!D$1,SMALL(Dong13,ROWS($1:90)),))</f>
        <v>NL/N116</v>
      </c>
      <c r="E103" s="1082" t="str">
        <f t="shared" ca="1" si="0"/>
        <v>Thanh Hải - Bình Thuận</v>
      </c>
      <c r="F103" s="684">
        <f t="shared" ca="1" si="1"/>
        <v>261005222</v>
      </c>
      <c r="G103" s="685" t="str">
        <f ca="1">IF(ROWS($1:90)&gt;COUNT(Dong13),"",OFFSET(TH!F$1,SMALL(Dong13,ROWS($1:90)),))</f>
        <v>Cá cơm NL</v>
      </c>
      <c r="H103" s="686">
        <f ca="1">IF(ROWS($1:90)&gt;COUNT(Dong13),"",OFFSET(TH!I$1,SMALL(Dong13,ROWS($1:90)),))</f>
        <v>14850</v>
      </c>
      <c r="I103" s="686">
        <f ca="1">IF(ROWS($1:90)&gt;COUNT(Dong13),"",OFFSET(TH!J$1,SMALL(Dong13,ROWS($1:90)),))</f>
        <v>17500</v>
      </c>
      <c r="J103" s="687">
        <f t="shared" ca="1" si="5"/>
        <v>259875000</v>
      </c>
      <c r="K103" s="689"/>
      <c r="L103" s="688"/>
      <c r="M103" s="667"/>
      <c r="N103" s="667"/>
    </row>
    <row r="104" spans="1:14" ht="27" customHeight="1">
      <c r="A104" s="214">
        <f ca="1">IF(ROWS($1:91)&gt;COUNT(Dong13),"",OFFSET(TH!E$1,SMALL(Dong13,ROWS($1:91)),))</f>
        <v>42699</v>
      </c>
      <c r="B104" s="216" t="str">
        <f ca="1">IF(ROWS($1:91)&gt;COUNT(Dong13),"",OFFSET(TH!H$1,SMALL(Dong13,ROWS($1:91)),))</f>
        <v>Trần Thị Thu Hiếu</v>
      </c>
      <c r="C104" s="683" t="str">
        <f t="shared" ca="1" si="2"/>
        <v>Nhiên</v>
      </c>
      <c r="D104" s="683" t="str">
        <f ca="1">IF(ROWS($1:91)&gt;COUNT(Dong13),"",OFFSET(TH!D$1,SMALL(Dong13,ROWS($1:91)),))</f>
        <v>NL/N94</v>
      </c>
      <c r="E104" s="1082" t="str">
        <f t="shared" ca="1" si="0"/>
        <v>Phan Thiết - Bình Thuận</v>
      </c>
      <c r="F104" s="684">
        <f t="shared" ca="1" si="1"/>
        <v>280853616</v>
      </c>
      <c r="G104" s="685" t="str">
        <f ca="1">IF(ROWS($1:91)&gt;COUNT(Dong13),"",OFFSET(TH!F$1,SMALL(Dong13,ROWS($1:91)),))</f>
        <v>Cá cơm NL</v>
      </c>
      <c r="H104" s="686">
        <f ca="1">IF(ROWS($1:91)&gt;COUNT(Dong13),"",OFFSET(TH!I$1,SMALL(Dong13,ROWS($1:91)),))</f>
        <v>14530</v>
      </c>
      <c r="I104" s="686">
        <f ca="1">IF(ROWS($1:91)&gt;COUNT(Dong13),"",OFFSET(TH!J$1,SMALL(Dong13,ROWS($1:91)),))</f>
        <v>17500</v>
      </c>
      <c r="J104" s="687">
        <f t="shared" ca="1" si="5"/>
        <v>254275000</v>
      </c>
      <c r="K104" s="689"/>
      <c r="L104" s="688"/>
      <c r="M104" s="667"/>
      <c r="N104" s="667"/>
    </row>
    <row r="105" spans="1:14" ht="27" customHeight="1">
      <c r="A105" s="214">
        <f ca="1">IF(ROWS($1:92)&gt;COUNT(Dong13),"",OFFSET(TH!E$1,SMALL(Dong13,ROWS($1:92)),))</f>
        <v>42702</v>
      </c>
      <c r="B105" s="216" t="str">
        <f ca="1">IF(ROWS($1:92)&gt;COUNT(Dong13),"",OFFSET(TH!H$1,SMALL(Dong13,ROWS($1:92)),))</f>
        <v>Trần Văn An</v>
      </c>
      <c r="C105" s="683" t="str">
        <f t="shared" ca="1" si="2"/>
        <v>Nhiên</v>
      </c>
      <c r="D105" s="683" t="str">
        <f ca="1">IF(ROWS($1:92)&gt;COUNT(Dong13),"",OFFSET(TH!D$1,SMALL(Dong13,ROWS($1:92)),))</f>
        <v>NL/N117</v>
      </c>
      <c r="E105" s="1082" t="str">
        <f t="shared" ca="1" si="0"/>
        <v>Hàm Tân - Bình Thuận</v>
      </c>
      <c r="F105" s="684">
        <f t="shared" ca="1" si="1"/>
        <v>260690910</v>
      </c>
      <c r="G105" s="685" t="str">
        <f ca="1">IF(ROWS($1:92)&gt;COUNT(Dong13),"",OFFSET(TH!F$1,SMALL(Dong13,ROWS($1:92)),))</f>
        <v>Cá cơm NL</v>
      </c>
      <c r="H105" s="686">
        <f ca="1">IF(ROWS($1:92)&gt;COUNT(Dong13),"",OFFSET(TH!I$1,SMALL(Dong13,ROWS($1:92)),))</f>
        <v>14450</v>
      </c>
      <c r="I105" s="686">
        <f ca="1">IF(ROWS($1:92)&gt;COUNT(Dong13),"",OFFSET(TH!J$1,SMALL(Dong13,ROWS($1:92)),))</f>
        <v>17500</v>
      </c>
      <c r="J105" s="687">
        <f t="shared" ca="1" si="5"/>
        <v>252875000</v>
      </c>
      <c r="K105" s="689"/>
      <c r="L105" s="688"/>
      <c r="M105" s="667"/>
      <c r="N105" s="667"/>
    </row>
    <row r="106" spans="1:14" ht="27" customHeight="1">
      <c r="A106" s="214">
        <f ca="1">IF(ROWS($1:93)&gt;COUNT(Dong13),"",OFFSET(TH!E$1,SMALL(Dong13,ROWS($1:93)),))</f>
        <v>42704</v>
      </c>
      <c r="B106" s="216" t="str">
        <f ca="1">IF(ROWS($1:93)&gt;COUNT(Dong13),"",OFFSET(TH!H$1,SMALL(Dong13,ROWS($1:93)),))</f>
        <v>Đỗ Thị Hoàng Mai</v>
      </c>
      <c r="C106" s="683" t="str">
        <f t="shared" ref="C106:C147" ca="1" si="6">IF(ISNA(VLOOKUP($B106,DSNL,6,0)),"",VLOOKUP($B106,DSNL,6,0))</f>
        <v>Hai</v>
      </c>
      <c r="D106" s="683" t="str">
        <f ca="1">IF(ROWS($1:93)&gt;COUNT(Dong13),"",OFFSET(TH!D$1,SMALL(Dong13,ROWS($1:93)),))</f>
        <v>NL/N133</v>
      </c>
      <c r="E106" s="1082" t="str">
        <f t="shared" ca="1" si="0"/>
        <v>Gò Công Tây - Tiền Giang</v>
      </c>
      <c r="F106" s="684">
        <f t="shared" ca="1" si="1"/>
        <v>310882191</v>
      </c>
      <c r="G106" s="685" t="str">
        <f ca="1">IF(ROWS($1:93)&gt;COUNT(Dong13),"",OFFSET(TH!F$1,SMALL(Dong13,ROWS($1:93)),))</f>
        <v>Tôm NL</v>
      </c>
      <c r="H106" s="686">
        <f ca="1">IF(ROWS($1:93)&gt;COUNT(Dong13),"",OFFSET(TH!I$1,SMALL(Dong13,ROWS($1:93)),))</f>
        <v>11</v>
      </c>
      <c r="I106" s="686">
        <f ca="1">IF(ROWS($1:93)&gt;COUNT(Dong13),"",OFFSET(TH!J$1,SMALL(Dong13,ROWS($1:93)),))</f>
        <v>105000</v>
      </c>
      <c r="J106" s="687">
        <f t="shared" ca="1" si="5"/>
        <v>1155000</v>
      </c>
      <c r="K106" s="689"/>
      <c r="L106" s="688"/>
      <c r="M106" s="667"/>
      <c r="N106" s="667"/>
    </row>
    <row r="107" spans="1:14" ht="27" customHeight="1">
      <c r="A107" s="214">
        <f ca="1">IF(ROWS($1:94)&gt;COUNT(Dong13),"",OFFSET(TH!E$1,SMALL(Dong13,ROWS($1:94)),))</f>
        <v>42704</v>
      </c>
      <c r="B107" s="216" t="str">
        <f ca="1">IF(ROWS($1:94)&gt;COUNT(Dong13),"",OFFSET(TH!H$1,SMALL(Dong13,ROWS($1:94)),))</f>
        <v>Lê Thị Kim Liên</v>
      </c>
      <c r="C107" s="683" t="str">
        <f t="shared" ca="1" si="6"/>
        <v>Hai</v>
      </c>
      <c r="D107" s="683" t="str">
        <f ca="1">IF(ROWS($1:94)&gt;COUNT(Dong13),"",OFFSET(TH!D$1,SMALL(Dong13,ROWS($1:94)),))</f>
        <v>NL/N129</v>
      </c>
      <c r="E107" s="1082" t="str">
        <f t="shared" ca="1" si="0"/>
        <v>Châu Thành - Tiền Giang</v>
      </c>
      <c r="F107" s="684">
        <f t="shared" ca="1" si="1"/>
        <v>311704830</v>
      </c>
      <c r="G107" s="685" t="str">
        <f ca="1">IF(ROWS($1:94)&gt;COUNT(Dong13),"",OFFSET(TH!F$1,SMALL(Dong13,ROWS($1:94)),))</f>
        <v>Cá lóc NL</v>
      </c>
      <c r="H107" s="686">
        <f ca="1">IF(ROWS($1:94)&gt;COUNT(Dong13),"",OFFSET(TH!I$1,SMALL(Dong13,ROWS($1:94)),))</f>
        <v>660</v>
      </c>
      <c r="I107" s="686">
        <f ca="1">IF(ROWS($1:94)&gt;COUNT(Dong13),"",OFFSET(TH!J$1,SMALL(Dong13,ROWS($1:94)),))</f>
        <v>35000</v>
      </c>
      <c r="J107" s="687">
        <f t="shared" ca="1" si="5"/>
        <v>23100000</v>
      </c>
      <c r="K107" s="689"/>
      <c r="L107" s="688"/>
      <c r="M107" s="667"/>
      <c r="N107" s="667"/>
    </row>
    <row r="108" spans="1:14" ht="27" customHeight="1">
      <c r="A108" s="214">
        <f ca="1">IF(ROWS($1:95)&gt;COUNT(Dong13),"",OFFSET(TH!E$1,SMALL(Dong13,ROWS($1:95)),))</f>
        <v>42704</v>
      </c>
      <c r="B108" s="216" t="str">
        <f ca="1">IF(ROWS($1:95)&gt;COUNT(Dong13),"",OFFSET(TH!H$1,SMALL(Dong13,ROWS($1:95)),))</f>
        <v>Lê Thị Kim Thanh</v>
      </c>
      <c r="C108" s="683" t="str">
        <f t="shared" ca="1" si="6"/>
        <v>Hai</v>
      </c>
      <c r="D108" s="683" t="str">
        <f ca="1">IF(ROWS($1:95)&gt;COUNT(Dong13),"",OFFSET(TH!D$1,SMALL(Dong13,ROWS($1:95)),))</f>
        <v>NL/N130</v>
      </c>
      <c r="E108" s="1082" t="str">
        <f t="shared" ca="1" si="0"/>
        <v>Châu Thành - Tiền Giang</v>
      </c>
      <c r="F108" s="684">
        <f t="shared" ca="1" si="1"/>
        <v>311514350</v>
      </c>
      <c r="G108" s="685" t="str">
        <f ca="1">IF(ROWS($1:95)&gt;COUNT(Dong13),"",OFFSET(TH!F$1,SMALL(Dong13,ROWS($1:95)),))</f>
        <v>Cá chỉ vàng NL</v>
      </c>
      <c r="H108" s="686">
        <f ca="1">IF(ROWS($1:95)&gt;COUNT(Dong13),"",OFFSET(TH!I$1,SMALL(Dong13,ROWS($1:95)),))</f>
        <v>2530</v>
      </c>
      <c r="I108" s="686">
        <f ca="1">IF(ROWS($1:95)&gt;COUNT(Dong13),"",OFFSET(TH!J$1,SMALL(Dong13,ROWS($1:95)),))</f>
        <v>26000</v>
      </c>
      <c r="J108" s="687">
        <f t="shared" ca="1" si="5"/>
        <v>65780000</v>
      </c>
      <c r="K108" s="689"/>
      <c r="L108" s="688"/>
      <c r="M108" s="667"/>
      <c r="N108" s="667"/>
    </row>
    <row r="109" spans="1:14" ht="27" customHeight="1">
      <c r="A109" s="214">
        <f ca="1">IF(ROWS($1:96)&gt;COUNT(Dong13),"",OFFSET(TH!E$1,SMALL(Dong13,ROWS($1:96)),))</f>
        <v>42704</v>
      </c>
      <c r="B109" s="216" t="str">
        <f ca="1">IF(ROWS($1:96)&gt;COUNT(Dong13),"",OFFSET(TH!H$1,SMALL(Dong13,ROWS($1:96)),))</f>
        <v>Nguyễn Thanh Bình</v>
      </c>
      <c r="C109" s="683" t="str">
        <f t="shared" ca="1" si="6"/>
        <v>Nhiên</v>
      </c>
      <c r="D109" s="683" t="str">
        <f ca="1">IF(ROWS($1:96)&gt;COUNT(Dong13),"",OFFSET(TH!D$1,SMALL(Dong13,ROWS($1:96)),))</f>
        <v>NL/N125</v>
      </c>
      <c r="E109" s="1082" t="str">
        <f t="shared" ca="1" si="0"/>
        <v>Phan Thiết - Bình Thuận</v>
      </c>
      <c r="F109" s="684">
        <f t="shared" ca="1" si="1"/>
        <v>260178873</v>
      </c>
      <c r="G109" s="685" t="str">
        <f ca="1">IF(ROWS($1:96)&gt;COUNT(Dong13),"",OFFSET(TH!F$1,SMALL(Dong13,ROWS($1:96)),))</f>
        <v>Cá cơm NL</v>
      </c>
      <c r="H109" s="686">
        <f ca="1">IF(ROWS($1:96)&gt;COUNT(Dong13),"",OFFSET(TH!I$1,SMALL(Dong13,ROWS($1:96)),))</f>
        <v>14800</v>
      </c>
      <c r="I109" s="686">
        <f ca="1">IF(ROWS($1:96)&gt;COUNT(Dong13),"",OFFSET(TH!J$1,SMALL(Dong13,ROWS($1:96)),))</f>
        <v>17500</v>
      </c>
      <c r="J109" s="687">
        <f t="shared" ca="1" si="5"/>
        <v>259000000</v>
      </c>
      <c r="K109" s="689"/>
      <c r="L109" s="688"/>
      <c r="M109" s="667"/>
      <c r="N109" s="667"/>
    </row>
    <row r="110" spans="1:14" ht="27" customHeight="1">
      <c r="A110" s="214">
        <f ca="1">IF(ROWS($1:97)&gt;COUNT(Dong13),"",OFFSET(TH!E$1,SMALL(Dong13,ROWS($1:97)),))</f>
        <v>42700</v>
      </c>
      <c r="B110" s="216" t="str">
        <f ca="1">IF(ROWS($1:97)&gt;COUNT(Dong13),"",OFFSET(TH!H$1,SMALL(Dong13,ROWS($1:97)),))</f>
        <v>Trần Thị Thu Hiếu</v>
      </c>
      <c r="C110" s="683" t="str">
        <f t="shared" ca="1" si="6"/>
        <v>Nhiên</v>
      </c>
      <c r="D110" s="683" t="str">
        <f ca="1">IF(ROWS($1:97)&gt;COUNT(Dong13),"",OFFSET(TH!D$1,SMALL(Dong13,ROWS($1:97)),))</f>
        <v>NL/N109</v>
      </c>
      <c r="E110" s="1082" t="str">
        <f t="shared" ca="1" si="0"/>
        <v>Phan Thiết - Bình Thuận</v>
      </c>
      <c r="F110" s="684">
        <f t="shared" ca="1" si="1"/>
        <v>280853616</v>
      </c>
      <c r="G110" s="685" t="str">
        <f ca="1">IF(ROWS($1:97)&gt;COUNT(Dong13),"",OFFSET(TH!F$1,SMALL(Dong13,ROWS($1:97)),))</f>
        <v>Cá cơm NL</v>
      </c>
      <c r="H110" s="686">
        <f ca="1">IF(ROWS($1:97)&gt;COUNT(Dong13),"",OFFSET(TH!I$1,SMALL(Dong13,ROWS($1:97)),))</f>
        <v>14800</v>
      </c>
      <c r="I110" s="686">
        <f ca="1">IF(ROWS($1:97)&gt;COUNT(Dong13),"",OFFSET(TH!J$1,SMALL(Dong13,ROWS($1:97)),))</f>
        <v>17500</v>
      </c>
      <c r="J110" s="687">
        <f t="shared" ca="1" si="5"/>
        <v>259000000</v>
      </c>
      <c r="K110" s="689"/>
      <c r="L110" s="688"/>
      <c r="M110" s="667"/>
      <c r="N110" s="667"/>
    </row>
    <row r="111" spans="1:14" ht="27" customHeight="1">
      <c r="A111" s="214">
        <f ca="1">IF(ROWS($1:98)&gt;COUNT(Dong13),"",OFFSET(TH!E$1,SMALL(Dong13,ROWS($1:98)),))</f>
        <v>42703</v>
      </c>
      <c r="B111" s="216" t="str">
        <f ca="1">IF(ROWS($1:98)&gt;COUNT(Dong13),"",OFFSET(TH!H$1,SMALL(Dong13,ROWS($1:98)),))</f>
        <v>Trần Văn An</v>
      </c>
      <c r="C111" s="683" t="str">
        <f t="shared" ca="1" si="6"/>
        <v>Nhiên</v>
      </c>
      <c r="D111" s="683" t="str">
        <f ca="1">IF(ROWS($1:98)&gt;COUNT(Dong13),"",OFFSET(TH!D$1,SMALL(Dong13,ROWS($1:98)),))</f>
        <v>NL/N121</v>
      </c>
      <c r="E111" s="1082" t="str">
        <f t="shared" ca="1" si="0"/>
        <v>Hàm Tân - Bình Thuận</v>
      </c>
      <c r="F111" s="684">
        <f t="shared" ca="1" si="1"/>
        <v>260690910</v>
      </c>
      <c r="G111" s="685" t="str">
        <f ca="1">IF(ROWS($1:98)&gt;COUNT(Dong13),"",OFFSET(TH!F$1,SMALL(Dong13,ROWS($1:98)),))</f>
        <v>Cá cơm NL</v>
      </c>
      <c r="H111" s="686">
        <f ca="1">IF(ROWS($1:98)&gt;COUNT(Dong13),"",OFFSET(TH!I$1,SMALL(Dong13,ROWS($1:98)),))</f>
        <v>14830</v>
      </c>
      <c r="I111" s="686">
        <f ca="1">IF(ROWS($1:98)&gt;COUNT(Dong13),"",OFFSET(TH!J$1,SMALL(Dong13,ROWS($1:98)),))</f>
        <v>17500</v>
      </c>
      <c r="J111" s="687">
        <f t="shared" ca="1" si="5"/>
        <v>259525000</v>
      </c>
      <c r="K111" s="689"/>
      <c r="L111" s="688"/>
      <c r="M111" s="667"/>
      <c r="N111" s="667"/>
    </row>
    <row r="112" spans="1:14" ht="27" customHeight="1">
      <c r="A112" s="214">
        <f ca="1">IF(ROWS($1:99)&gt;COUNT(Dong13),"",OFFSET(TH!E$1,SMALL(Dong13,ROWS($1:99)),))</f>
        <v>42703</v>
      </c>
      <c r="B112" s="216" t="str">
        <f ca="1">IF(ROWS($1:99)&gt;COUNT(Dong13),"",OFFSET(TH!H$1,SMALL(Dong13,ROWS($1:99)),))</f>
        <v>Trần Thị Thu Hiếu</v>
      </c>
      <c r="C112" s="683" t="str">
        <f t="shared" ca="1" si="6"/>
        <v>Nhiên</v>
      </c>
      <c r="D112" s="683" t="str">
        <f ca="1">IF(ROWS($1:99)&gt;COUNT(Dong13),"",OFFSET(TH!D$1,SMALL(Dong13,ROWS($1:99)),))</f>
        <v>NL/N122</v>
      </c>
      <c r="E112" s="1082" t="str">
        <f t="shared" ca="1" si="0"/>
        <v>Phan Thiết - Bình Thuận</v>
      </c>
      <c r="F112" s="684">
        <f t="shared" ca="1" si="1"/>
        <v>280853616</v>
      </c>
      <c r="G112" s="685" t="str">
        <f ca="1">IF(ROWS($1:99)&gt;COUNT(Dong13),"",OFFSET(TH!F$1,SMALL(Dong13,ROWS($1:99)),))</f>
        <v>Cá cơm NL</v>
      </c>
      <c r="H112" s="686">
        <f ca="1">IF(ROWS($1:99)&gt;COUNT(Dong13),"",OFFSET(TH!I$1,SMALL(Dong13,ROWS($1:99)),))</f>
        <v>14800</v>
      </c>
      <c r="I112" s="686">
        <f ca="1">IF(ROWS($1:99)&gt;COUNT(Dong13),"",OFFSET(TH!J$1,SMALL(Dong13,ROWS($1:99)),))</f>
        <v>17500</v>
      </c>
      <c r="J112" s="687">
        <f t="shared" ca="1" si="5"/>
        <v>259000000</v>
      </c>
      <c r="K112" s="689"/>
      <c r="L112" s="688"/>
      <c r="M112" s="667"/>
      <c r="N112" s="667"/>
    </row>
    <row r="113" spans="1:14" ht="27" customHeight="1">
      <c r="A113" s="214">
        <f ca="1">IF(ROWS($1:100)&gt;COUNT(Dong13),"",OFFSET(TH!E$1,SMALL(Dong13,ROWS($1:100)),))</f>
        <v>42679</v>
      </c>
      <c r="B113" s="216" t="str">
        <f ca="1">IF(ROWS($1:100)&gt;COUNT(Dong13),"",OFFSET(TH!H$1,SMALL(Dong13,ROWS($1:100)),))</f>
        <v>Nguyễn Thanh Vinh</v>
      </c>
      <c r="C113" s="683" t="str">
        <f t="shared" ca="1" si="6"/>
        <v>Hai</v>
      </c>
      <c r="D113" s="683" t="str">
        <f ca="1">IF(ROWS($1:100)&gt;COUNT(Dong13),"",OFFSET(TH!D$1,SMALL(Dong13,ROWS($1:100)),))</f>
        <v>NL/N24</v>
      </c>
      <c r="E113" s="1082" t="str">
        <f t="shared" ca="1" si="0"/>
        <v>Vũng Tàu</v>
      </c>
      <c r="F113" s="684">
        <f t="shared" ca="1" si="1"/>
        <v>271181056</v>
      </c>
      <c r="G113" s="685" t="str">
        <f ca="1">IF(ROWS($1:100)&gt;COUNT(Dong13),"",OFFSET(TH!F$1,SMALL(Dong13,ROWS($1:100)),))</f>
        <v>Cá bò NL</v>
      </c>
      <c r="H113" s="686">
        <f ca="1">IF(ROWS($1:100)&gt;COUNT(Dong13),"",OFFSET(TH!I$1,SMALL(Dong13,ROWS($1:100)),))</f>
        <v>9980</v>
      </c>
      <c r="I113" s="686">
        <f ca="1">IF(ROWS($1:100)&gt;COUNT(Dong13),"",OFFSET(TH!J$1,SMALL(Dong13,ROWS($1:100)),))</f>
        <v>16500</v>
      </c>
      <c r="J113" s="687">
        <f t="shared" ca="1" si="5"/>
        <v>164670000</v>
      </c>
      <c r="K113" s="689"/>
      <c r="L113" s="688"/>
      <c r="M113" s="667"/>
      <c r="N113" s="667"/>
    </row>
    <row r="114" spans="1:14" ht="27" customHeight="1">
      <c r="A114" s="214">
        <f ca="1">IF(ROWS($1:101)&gt;COUNT(Dong13),"",OFFSET(TH!E$1,SMALL(Dong13,ROWS($1:101)),))</f>
        <v>42694</v>
      </c>
      <c r="B114" s="216" t="str">
        <f ca="1">IF(ROWS($1:101)&gt;COUNT(Dong13),"",OFFSET(TH!H$1,SMALL(Dong13,ROWS($1:101)),))</f>
        <v>Lê Thị Thiện Em</v>
      </c>
      <c r="C114" s="683" t="str">
        <f t="shared" ca="1" si="6"/>
        <v>Nhiên</v>
      </c>
      <c r="D114" s="683" t="str">
        <f ca="1">IF(ROWS($1:101)&gt;COUNT(Dong13),"",OFFSET(TH!D$1,SMALL(Dong13,ROWS($1:101)),))</f>
        <v>NL/N77</v>
      </c>
      <c r="E114" s="1082" t="str">
        <f t="shared" ca="1" si="0"/>
        <v>Đức Linh - Bình Thuận</v>
      </c>
      <c r="F114" s="684">
        <f t="shared" ca="1" si="1"/>
        <v>260682094</v>
      </c>
      <c r="G114" s="685" t="str">
        <f ca="1">IF(ROWS($1:101)&gt;COUNT(Dong13),"",OFFSET(TH!F$1,SMALL(Dong13,ROWS($1:101)),))</f>
        <v>Cá cơm NL</v>
      </c>
      <c r="H114" s="686">
        <f ca="1">IF(ROWS($1:101)&gt;COUNT(Dong13),"",OFFSET(TH!I$1,SMALL(Dong13,ROWS($1:101)),))</f>
        <v>14360</v>
      </c>
      <c r="I114" s="686">
        <f ca="1">IF(ROWS($1:101)&gt;COUNT(Dong13),"",OFFSET(TH!J$1,SMALL(Dong13,ROWS($1:101)),))</f>
        <v>17500</v>
      </c>
      <c r="J114" s="687">
        <f t="shared" ca="1" si="5"/>
        <v>251300000</v>
      </c>
      <c r="K114" s="689"/>
      <c r="L114" s="688"/>
      <c r="M114" s="667"/>
      <c r="N114" s="667"/>
    </row>
    <row r="115" spans="1:14" ht="27" customHeight="1">
      <c r="A115" s="214">
        <f ca="1">IF(ROWS($1:102)&gt;COUNT(Dong13),"",OFFSET(TH!E$1,SMALL(Dong13,ROWS($1:102)),))</f>
        <v>42700</v>
      </c>
      <c r="B115" s="216" t="str">
        <f ca="1">IF(ROWS($1:102)&gt;COUNT(Dong13),"",OFFSET(TH!H$1,SMALL(Dong13,ROWS($1:102)),))</f>
        <v>Nguyễn Văn Hạnh</v>
      </c>
      <c r="C115" s="683" t="str">
        <f t="shared" ca="1" si="6"/>
        <v>Nhiên</v>
      </c>
      <c r="D115" s="683" t="str">
        <f ca="1">IF(ROWS($1:102)&gt;COUNT(Dong13),"",OFFSET(TH!D$1,SMALL(Dong13,ROWS($1:102)),))</f>
        <v>NL/N107</v>
      </c>
      <c r="E115" s="1082" t="str">
        <f t="shared" ca="1" si="0"/>
        <v>Phan Thiết - Bình Thuận</v>
      </c>
      <c r="F115" s="684">
        <f t="shared" ca="1" si="1"/>
        <v>260850613</v>
      </c>
      <c r="G115" s="685" t="str">
        <f ca="1">IF(ROWS($1:102)&gt;COUNT(Dong13),"",OFFSET(TH!F$1,SMALL(Dong13,ROWS($1:102)),))</f>
        <v>Cá cơm NL</v>
      </c>
      <c r="H115" s="686">
        <f ca="1">IF(ROWS($1:102)&gt;COUNT(Dong13),"",OFFSET(TH!I$1,SMALL(Dong13,ROWS($1:102)),))</f>
        <v>14450</v>
      </c>
      <c r="I115" s="686">
        <f ca="1">IF(ROWS($1:102)&gt;COUNT(Dong13),"",OFFSET(TH!J$1,SMALL(Dong13,ROWS($1:102)),))</f>
        <v>17500</v>
      </c>
      <c r="J115" s="687">
        <f t="shared" ca="1" si="5"/>
        <v>252875000</v>
      </c>
      <c r="K115" s="689"/>
      <c r="L115" s="688"/>
      <c r="M115" s="667"/>
      <c r="N115" s="667"/>
    </row>
    <row r="116" spans="1:14" ht="27" customHeight="1">
      <c r="A116" s="214">
        <f ca="1">IF(ROWS($1:103)&gt;COUNT(Dong13),"",OFFSET(TH!E$1,SMALL(Dong13,ROWS($1:103)),))</f>
        <v>42703</v>
      </c>
      <c r="B116" s="216" t="str">
        <f ca="1">IF(ROWS($1:103)&gt;COUNT(Dong13),"",OFFSET(TH!H$1,SMALL(Dong13,ROWS($1:103)),))</f>
        <v>Lê Thị Diệu</v>
      </c>
      <c r="C116" s="683" t="str">
        <f t="shared" ca="1" si="6"/>
        <v>Nhiên</v>
      </c>
      <c r="D116" s="683" t="str">
        <f ca="1">IF(ROWS($1:103)&gt;COUNT(Dong13),"",OFFSET(TH!D$1,SMALL(Dong13,ROWS($1:103)),))</f>
        <v>NL/N118</v>
      </c>
      <c r="E116" s="1082" t="str">
        <f t="shared" ca="1" si="0"/>
        <v>Đức Linh - Bình Thuận</v>
      </c>
      <c r="F116" s="684">
        <f t="shared" ca="1" si="1"/>
        <v>250746332</v>
      </c>
      <c r="G116" s="685" t="str">
        <f ca="1">IF(ROWS($1:103)&gt;COUNT(Dong13),"",OFFSET(TH!F$1,SMALL(Dong13,ROWS($1:103)),))</f>
        <v>Cá cơm NL</v>
      </c>
      <c r="H116" s="686">
        <f ca="1">IF(ROWS($1:103)&gt;COUNT(Dong13),"",OFFSET(TH!I$1,SMALL(Dong13,ROWS($1:103)),))</f>
        <v>14630</v>
      </c>
      <c r="I116" s="686">
        <f ca="1">IF(ROWS($1:103)&gt;COUNT(Dong13),"",OFFSET(TH!J$1,SMALL(Dong13,ROWS($1:103)),))</f>
        <v>17500</v>
      </c>
      <c r="J116" s="687">
        <f t="shared" ca="1" si="5"/>
        <v>256025000</v>
      </c>
      <c r="K116" s="689"/>
      <c r="L116" s="688"/>
      <c r="M116" s="667"/>
      <c r="N116" s="667"/>
    </row>
    <row r="117" spans="1:14" ht="27" customHeight="1">
      <c r="A117" s="214">
        <f ca="1">IF(ROWS($1:104)&gt;COUNT(Dong13),"",OFFSET(TH!E$1,SMALL(Dong13,ROWS($1:104)),))</f>
        <v>42696</v>
      </c>
      <c r="B117" s="216" t="str">
        <f ca="1">IF(ROWS($1:104)&gt;COUNT(Dong13),"",OFFSET(TH!H$1,SMALL(Dong13,ROWS($1:104)),))</f>
        <v>Lê Thị Thiện Em</v>
      </c>
      <c r="C117" s="683" t="str">
        <f t="shared" ca="1" si="6"/>
        <v>Nhiên</v>
      </c>
      <c r="D117" s="683" t="str">
        <f ca="1">IF(ROWS($1:104)&gt;COUNT(Dong13),"",OFFSET(TH!D$1,SMALL(Dong13,ROWS($1:104)),))</f>
        <v>NL/N85</v>
      </c>
      <c r="E117" s="1082" t="str">
        <f t="shared" ca="1" si="0"/>
        <v>Đức Linh - Bình Thuận</v>
      </c>
      <c r="F117" s="684">
        <f t="shared" ca="1" si="1"/>
        <v>260682094</v>
      </c>
      <c r="G117" s="685" t="str">
        <f ca="1">IF(ROWS($1:104)&gt;COUNT(Dong13),"",OFFSET(TH!F$1,SMALL(Dong13,ROWS($1:104)),))</f>
        <v>Cá cơm NL</v>
      </c>
      <c r="H117" s="686">
        <f ca="1">IF(ROWS($1:104)&gt;COUNT(Dong13),"",OFFSET(TH!I$1,SMALL(Dong13,ROWS($1:104)),))</f>
        <v>14800</v>
      </c>
      <c r="I117" s="686">
        <f ca="1">IF(ROWS($1:104)&gt;COUNT(Dong13),"",OFFSET(TH!J$1,SMALL(Dong13,ROWS($1:104)),))</f>
        <v>17500</v>
      </c>
      <c r="J117" s="687">
        <f t="shared" ca="1" si="5"/>
        <v>259000000</v>
      </c>
      <c r="K117" s="689"/>
      <c r="L117" s="688"/>
      <c r="M117" s="667"/>
      <c r="N117" s="667"/>
    </row>
    <row r="118" spans="1:14" ht="27" customHeight="1">
      <c r="A118" s="214">
        <f ca="1">IF(ROWS($1:105)&gt;COUNT(Dong13),"",OFFSET(TH!E$1,SMALL(Dong13,ROWS($1:105)),))</f>
        <v>42703</v>
      </c>
      <c r="B118" s="216" t="str">
        <f ca="1">IF(ROWS($1:105)&gt;COUNT(Dong13),"",OFFSET(TH!H$1,SMALL(Dong13,ROWS($1:105)),))</f>
        <v>Nguyễn Văn Hạnh</v>
      </c>
      <c r="C118" s="683" t="str">
        <f t="shared" ca="1" si="6"/>
        <v>Nhiên</v>
      </c>
      <c r="D118" s="683" t="str">
        <f ca="1">IF(ROWS($1:105)&gt;COUNT(Dong13),"",OFFSET(TH!D$1,SMALL(Dong13,ROWS($1:105)),))</f>
        <v>NL/N120</v>
      </c>
      <c r="E118" s="1082" t="str">
        <f t="shared" ca="1" si="0"/>
        <v>Phan Thiết - Bình Thuận</v>
      </c>
      <c r="F118" s="684">
        <f t="shared" ca="1" si="1"/>
        <v>260850613</v>
      </c>
      <c r="G118" s="685" t="str">
        <f ca="1">IF(ROWS($1:105)&gt;COUNT(Dong13),"",OFFSET(TH!F$1,SMALL(Dong13,ROWS($1:105)),))</f>
        <v>Cá cơm NL</v>
      </c>
      <c r="H118" s="686">
        <f ca="1">IF(ROWS($1:105)&gt;COUNT(Dong13),"",OFFSET(TH!I$1,SMALL(Dong13,ROWS($1:105)),))</f>
        <v>14850</v>
      </c>
      <c r="I118" s="686">
        <f ca="1">IF(ROWS($1:105)&gt;COUNT(Dong13),"",OFFSET(TH!J$1,SMALL(Dong13,ROWS($1:105)),))</f>
        <v>17500</v>
      </c>
      <c r="J118" s="687">
        <f t="shared" ca="1" si="5"/>
        <v>259875000</v>
      </c>
      <c r="K118" s="689"/>
      <c r="L118" s="688"/>
      <c r="M118" s="667"/>
      <c r="N118" s="667"/>
    </row>
    <row r="119" spans="1:14" ht="27" customHeight="1">
      <c r="A119" s="214">
        <f ca="1">IF(ROWS($1:106)&gt;COUNT(Dong13),"",OFFSET(TH!E$1,SMALL(Dong13,ROWS($1:106)),))</f>
        <v>42704</v>
      </c>
      <c r="B119" s="216" t="str">
        <f ca="1">IF(ROWS($1:106)&gt;COUNT(Dong13),"",OFFSET(TH!H$1,SMALL(Dong13,ROWS($1:106)),))</f>
        <v>Lê Thị Diệu</v>
      </c>
      <c r="C119" s="683" t="str">
        <f t="shared" ca="1" si="6"/>
        <v>Nhiên</v>
      </c>
      <c r="D119" s="683" t="str">
        <f ca="1">IF(ROWS($1:106)&gt;COUNT(Dong13),"",OFFSET(TH!D$1,SMALL(Dong13,ROWS($1:106)),))</f>
        <v>NL/N123</v>
      </c>
      <c r="E119" s="1082" t="str">
        <f t="shared" ca="1" si="0"/>
        <v>Đức Linh - Bình Thuận</v>
      </c>
      <c r="F119" s="684">
        <f t="shared" ca="1" si="1"/>
        <v>250746332</v>
      </c>
      <c r="G119" s="685" t="str">
        <f ca="1">IF(ROWS($1:106)&gt;COUNT(Dong13),"",OFFSET(TH!F$1,SMALL(Dong13,ROWS($1:106)),))</f>
        <v>Cá cơm NL</v>
      </c>
      <c r="H119" s="686">
        <f ca="1">IF(ROWS($1:106)&gt;COUNT(Dong13),"",OFFSET(TH!I$1,SMALL(Dong13,ROWS($1:106)),))</f>
        <v>14865</v>
      </c>
      <c r="I119" s="686">
        <f ca="1">IF(ROWS($1:106)&gt;COUNT(Dong13),"",OFFSET(TH!J$1,SMALL(Dong13,ROWS($1:106)),))</f>
        <v>17500</v>
      </c>
      <c r="J119" s="687">
        <f t="shared" ca="1" si="5"/>
        <v>260137500</v>
      </c>
      <c r="K119" s="689"/>
      <c r="L119" s="688"/>
      <c r="M119" s="667"/>
      <c r="N119" s="667"/>
    </row>
    <row r="120" spans="1:14" ht="27" customHeight="1">
      <c r="A120" s="214">
        <f ca="1">IF(ROWS($1:107)&gt;COUNT(Dong13),"",OFFSET(TH!E$1,SMALL(Dong13,ROWS($1:107)),))</f>
        <v>42675</v>
      </c>
      <c r="B120" s="216" t="str">
        <f ca="1">IF(ROWS($1:107)&gt;COUNT(Dong13),"",OFFSET(TH!H$1,SMALL(Dong13,ROWS($1:107)),))</f>
        <v>Nguyễn Thanh Vân</v>
      </c>
      <c r="C120" s="683" t="str">
        <f t="shared" ca="1" si="6"/>
        <v>Hai</v>
      </c>
      <c r="D120" s="683" t="str">
        <f ca="1">IF(ROWS($1:107)&gt;COUNT(Dong13),"",OFFSET(TH!D$1,SMALL(Dong13,ROWS($1:107)),))</f>
        <v>NL/N01</v>
      </c>
      <c r="E120" s="1082" t="str">
        <f t="shared" ca="1" si="0"/>
        <v>Vũng Tàu</v>
      </c>
      <c r="F120" s="684">
        <f t="shared" ca="1" si="1"/>
        <v>270176960</v>
      </c>
      <c r="G120" s="685" t="str">
        <f ca="1">IF(ROWS($1:107)&gt;COUNT(Dong13),"",OFFSET(TH!F$1,SMALL(Dong13,ROWS($1:107)),))</f>
        <v>Cá bò NL</v>
      </c>
      <c r="H120" s="686">
        <f ca="1">IF(ROWS($1:107)&gt;COUNT(Dong13),"",OFFSET(TH!I$1,SMALL(Dong13,ROWS($1:107)),))</f>
        <v>9986</v>
      </c>
      <c r="I120" s="686">
        <f ca="1">IF(ROWS($1:107)&gt;COUNT(Dong13),"",OFFSET(TH!J$1,SMALL(Dong13,ROWS($1:107)),))</f>
        <v>16500</v>
      </c>
      <c r="J120" s="687">
        <f t="shared" ca="1" si="5"/>
        <v>164769000</v>
      </c>
      <c r="K120" s="689"/>
      <c r="L120" s="688"/>
      <c r="M120" s="667"/>
      <c r="N120" s="667"/>
    </row>
    <row r="121" spans="1:14" ht="27" customHeight="1">
      <c r="A121" s="214">
        <f ca="1">IF(ROWS($1:108)&gt;COUNT(Dong13),"",OFFSET(TH!E$1,SMALL(Dong13,ROWS($1:108)),))</f>
        <v>42681</v>
      </c>
      <c r="B121" s="216" t="str">
        <f ca="1">IF(ROWS($1:108)&gt;COUNT(Dong13),"",OFFSET(TH!H$1,SMALL(Dong13,ROWS($1:108)),))</f>
        <v>Nguyễn Thanh Vân</v>
      </c>
      <c r="C121" s="683" t="str">
        <f t="shared" ca="1" si="6"/>
        <v>Hai</v>
      </c>
      <c r="D121" s="683" t="str">
        <f ca="1">IF(ROWS($1:108)&gt;COUNT(Dong13),"",OFFSET(TH!D$1,SMALL(Dong13,ROWS($1:108)),))</f>
        <v>NL/N30</v>
      </c>
      <c r="E121" s="1082" t="str">
        <f t="shared" ca="1" si="0"/>
        <v>Vũng Tàu</v>
      </c>
      <c r="F121" s="684">
        <f t="shared" ca="1" si="1"/>
        <v>270176960</v>
      </c>
      <c r="G121" s="685" t="str">
        <f ca="1">IF(ROWS($1:108)&gt;COUNT(Dong13),"",OFFSET(TH!F$1,SMALL(Dong13,ROWS($1:108)),))</f>
        <v>Cá bò NL</v>
      </c>
      <c r="H121" s="686">
        <f ca="1">IF(ROWS($1:108)&gt;COUNT(Dong13),"",OFFSET(TH!I$1,SMALL(Dong13,ROWS($1:108)),))</f>
        <v>9999</v>
      </c>
      <c r="I121" s="686">
        <f ca="1">IF(ROWS($1:108)&gt;COUNT(Dong13),"",OFFSET(TH!J$1,SMALL(Dong13,ROWS($1:108)),))</f>
        <v>16500</v>
      </c>
      <c r="J121" s="687">
        <f t="shared" ca="1" si="5"/>
        <v>164983500</v>
      </c>
      <c r="K121" s="689"/>
      <c r="L121" s="688"/>
      <c r="M121" s="667"/>
      <c r="N121" s="667"/>
    </row>
    <row r="122" spans="1:14" ht="27" customHeight="1">
      <c r="A122" s="214">
        <f ca="1">IF(ROWS($1:109)&gt;COUNT(Dong13),"",OFFSET(TH!E$1,SMALL(Dong13,ROWS($1:109)),))</f>
        <v>42675</v>
      </c>
      <c r="B122" s="216" t="str">
        <f ca="1">IF(ROWS($1:109)&gt;COUNT(Dong13),"",OFFSET(TH!H$1,SMALL(Dong13,ROWS($1:109)),))</f>
        <v>Nguyễn Văn Đức</v>
      </c>
      <c r="C122" s="683" t="str">
        <f t="shared" ca="1" si="6"/>
        <v>Hai</v>
      </c>
      <c r="D122" s="683" t="str">
        <f ca="1">IF(ROWS($1:109)&gt;COUNT(Dong13),"",OFFSET(TH!D$1,SMALL(Dong13,ROWS($1:109)),))</f>
        <v>NL/N03</v>
      </c>
      <c r="E122" s="1082" t="str">
        <f t="shared" ca="1" si="0"/>
        <v>Vũng Tàu</v>
      </c>
      <c r="F122" s="684">
        <f t="shared" ca="1" si="1"/>
        <v>261183075</v>
      </c>
      <c r="G122" s="685" t="str">
        <f ca="1">IF(ROWS($1:109)&gt;COUNT(Dong13),"",OFFSET(TH!F$1,SMALL(Dong13,ROWS($1:109)),))</f>
        <v>Cá bò NL</v>
      </c>
      <c r="H122" s="686">
        <f ca="1">IF(ROWS($1:109)&gt;COUNT(Dong13),"",OFFSET(TH!I$1,SMALL(Dong13,ROWS($1:109)),))</f>
        <v>9982</v>
      </c>
      <c r="I122" s="686">
        <f ca="1">IF(ROWS($1:109)&gt;COUNT(Dong13),"",OFFSET(TH!J$1,SMALL(Dong13,ROWS($1:109)),))</f>
        <v>16500</v>
      </c>
      <c r="J122" s="687">
        <f t="shared" ca="1" si="5"/>
        <v>164703000</v>
      </c>
      <c r="K122" s="689"/>
      <c r="L122" s="688"/>
      <c r="M122" s="667"/>
      <c r="N122" s="667"/>
    </row>
    <row r="123" spans="1:14" ht="27" customHeight="1">
      <c r="A123" s="214">
        <f ca="1">IF(ROWS($1:110)&gt;COUNT(Dong13),"",OFFSET(TH!E$1,SMALL(Dong13,ROWS($1:110)),))</f>
        <v>42700</v>
      </c>
      <c r="B123" s="216" t="str">
        <f ca="1">IF(ROWS($1:110)&gt;COUNT(Dong13),"",OFFSET(TH!H$1,SMALL(Dong13,ROWS($1:110)),))</f>
        <v>Nguyễn Thành Quang</v>
      </c>
      <c r="C123" s="683" t="str">
        <f t="shared" ca="1" si="6"/>
        <v>Nhiên</v>
      </c>
      <c r="D123" s="683" t="str">
        <f ca="1">IF(ROWS($1:110)&gt;COUNT(Dong13),"",OFFSET(TH!D$1,SMALL(Dong13,ROWS($1:110)),))</f>
        <v>NL/N105</v>
      </c>
      <c r="E123" s="1082" t="str">
        <f t="shared" ca="1" si="0"/>
        <v>681/AT, xã An Thủy, Ba Tri, Bến Tre</v>
      </c>
      <c r="F123" s="684">
        <f t="shared" ca="1" si="1"/>
        <v>320775664</v>
      </c>
      <c r="G123" s="685" t="str">
        <f ca="1">IF(ROWS($1:110)&gt;COUNT(Dong13),"",OFFSET(TH!F$1,SMALL(Dong13,ROWS($1:110)),))</f>
        <v>Ghẹ NL</v>
      </c>
      <c r="H123" s="686">
        <f ca="1">IF(ROWS($1:110)&gt;COUNT(Dong13),"",OFFSET(TH!I$1,SMALL(Dong13,ROWS($1:110)),))</f>
        <v>5030</v>
      </c>
      <c r="I123" s="686">
        <f ca="1">IF(ROWS($1:110)&gt;COUNT(Dong13),"",OFFSET(TH!J$1,SMALL(Dong13,ROWS($1:110)),))</f>
        <v>18000</v>
      </c>
      <c r="J123" s="687">
        <f t="shared" ca="1" si="5"/>
        <v>90540000</v>
      </c>
      <c r="K123" s="689"/>
      <c r="L123" s="688"/>
      <c r="M123" s="667"/>
      <c r="N123" s="667"/>
    </row>
    <row r="124" spans="1:14" ht="27" customHeight="1">
      <c r="A124" s="214">
        <f ca="1">IF(ROWS($1:111)&gt;COUNT(Dong13),"",OFFSET(TH!E$1,SMALL(Dong13,ROWS($1:111)),))</f>
        <v>42704</v>
      </c>
      <c r="B124" s="216" t="str">
        <f ca="1">IF(ROWS($1:111)&gt;COUNT(Dong13),"",OFFSET(TH!H$1,SMALL(Dong13,ROWS($1:111)),))</f>
        <v>Nguyễn Thanh Vân</v>
      </c>
      <c r="C124" s="683" t="str">
        <f t="shared" ca="1" si="6"/>
        <v>Hai</v>
      </c>
      <c r="D124" s="683" t="str">
        <f ca="1">IF(ROWS($1:111)&gt;COUNT(Dong13),"",OFFSET(TH!D$1,SMALL(Dong13,ROWS($1:111)),))</f>
        <v>NL/N131</v>
      </c>
      <c r="E124" s="1082" t="str">
        <f t="shared" ca="1" si="0"/>
        <v>Vũng Tàu</v>
      </c>
      <c r="F124" s="684">
        <f t="shared" ca="1" si="1"/>
        <v>270176960</v>
      </c>
      <c r="G124" s="685" t="str">
        <f ca="1">IF(ROWS($1:111)&gt;COUNT(Dong13),"",OFFSET(TH!F$1,SMALL(Dong13,ROWS($1:111)),))</f>
        <v>Ruốc NL</v>
      </c>
      <c r="H124" s="686">
        <f ca="1">IF(ROWS($1:111)&gt;COUNT(Dong13),"",OFFSET(TH!I$1,SMALL(Dong13,ROWS($1:111)),))</f>
        <v>300</v>
      </c>
      <c r="I124" s="686">
        <f ca="1">IF(ROWS($1:111)&gt;COUNT(Dong13),"",OFFSET(TH!J$1,SMALL(Dong13,ROWS($1:111)),))</f>
        <v>9000</v>
      </c>
      <c r="J124" s="687">
        <f t="shared" ca="1" si="5"/>
        <v>2700000</v>
      </c>
      <c r="K124" s="689"/>
      <c r="L124" s="688"/>
      <c r="M124" s="667"/>
      <c r="N124" s="667"/>
    </row>
    <row r="125" spans="1:14" ht="27" customHeight="1">
      <c r="A125" s="214">
        <f ca="1">IF(ROWS($1:112)&gt;COUNT(Dong13),"",OFFSET(TH!E$1,SMALL(Dong13,ROWS($1:112)),))</f>
        <v>42679</v>
      </c>
      <c r="B125" s="216" t="str">
        <f ca="1">IF(ROWS($1:112)&gt;COUNT(Dong13),"",OFFSET(TH!H$1,SMALL(Dong13,ROWS($1:112)),))</f>
        <v>Nguyễn Văn Đức</v>
      </c>
      <c r="C125" s="683" t="str">
        <f t="shared" ca="1" si="6"/>
        <v>Hai</v>
      </c>
      <c r="D125" s="683" t="str">
        <f ca="1">IF(ROWS($1:112)&gt;COUNT(Dong13),"",OFFSET(TH!D$1,SMALL(Dong13,ROWS($1:112)),))</f>
        <v>NL/N21</v>
      </c>
      <c r="E125" s="1082" t="str">
        <f t="shared" ca="1" si="0"/>
        <v>Vũng Tàu</v>
      </c>
      <c r="F125" s="684">
        <f t="shared" ca="1" si="1"/>
        <v>261183075</v>
      </c>
      <c r="G125" s="685" t="str">
        <f ca="1">IF(ROWS($1:112)&gt;COUNT(Dong13),"",OFFSET(TH!F$1,SMALL(Dong13,ROWS($1:112)),))</f>
        <v>Cá bò NL</v>
      </c>
      <c r="H125" s="686">
        <f ca="1">IF(ROWS($1:112)&gt;COUNT(Dong13),"",OFFSET(TH!I$1,SMALL(Dong13,ROWS($1:112)),))</f>
        <v>9985</v>
      </c>
      <c r="I125" s="686">
        <f ca="1">IF(ROWS($1:112)&gt;COUNT(Dong13),"",OFFSET(TH!J$1,SMALL(Dong13,ROWS($1:112)),))</f>
        <v>16500</v>
      </c>
      <c r="J125" s="687">
        <f t="shared" ca="1" si="5"/>
        <v>164752500</v>
      </c>
      <c r="K125" s="689"/>
      <c r="L125" s="688"/>
      <c r="M125" s="667"/>
      <c r="N125" s="667"/>
    </row>
    <row r="126" spans="1:14" ht="27" customHeight="1">
      <c r="A126" s="214">
        <f ca="1">IF(ROWS($1:113)&gt;COUNT(Dong13),"",OFFSET(TH!E$1,SMALL(Dong13,ROWS($1:113)),))</f>
        <v>42675</v>
      </c>
      <c r="B126" s="216" t="str">
        <f ca="1">IF(ROWS($1:113)&gt;COUNT(Dong13),"",OFFSET(TH!H$1,SMALL(Dong13,ROWS($1:113)),))</f>
        <v>Nguyễn Văn Tư</v>
      </c>
      <c r="C126" s="683" t="str">
        <f t="shared" ca="1" si="6"/>
        <v>Hai</v>
      </c>
      <c r="D126" s="683" t="str">
        <f ca="1">IF(ROWS($1:113)&gt;COUNT(Dong13),"",OFFSET(TH!D$1,SMALL(Dong13,ROWS($1:113)),))</f>
        <v>NL/N02</v>
      </c>
      <c r="E126" s="1082" t="str">
        <f t="shared" ca="1" si="0"/>
        <v>Vũng Tàu</v>
      </c>
      <c r="F126" s="684">
        <f t="shared" ca="1" si="1"/>
        <v>260456563</v>
      </c>
      <c r="G126" s="685" t="str">
        <f ca="1">IF(ROWS($1:113)&gt;COUNT(Dong13),"",OFFSET(TH!F$1,SMALL(Dong13,ROWS($1:113)),))</f>
        <v>Cá bò NL</v>
      </c>
      <c r="H126" s="686">
        <f ca="1">IF(ROWS($1:113)&gt;COUNT(Dong13),"",OFFSET(TH!I$1,SMALL(Dong13,ROWS($1:113)),))</f>
        <v>10560</v>
      </c>
      <c r="I126" s="686">
        <f ca="1">IF(ROWS($1:113)&gt;COUNT(Dong13),"",OFFSET(TH!J$1,SMALL(Dong13,ROWS($1:113)),))</f>
        <v>16500</v>
      </c>
      <c r="J126" s="687">
        <f t="shared" ca="1" si="5"/>
        <v>174240000</v>
      </c>
      <c r="K126" s="689"/>
      <c r="L126" s="688"/>
      <c r="M126" s="667"/>
      <c r="N126" s="667"/>
    </row>
    <row r="127" spans="1:14" ht="27" customHeight="1">
      <c r="A127" s="214">
        <f ca="1">IF(ROWS($1:114)&gt;COUNT(Dong13),"",OFFSET(TH!E$1,SMALL(Dong13,ROWS($1:114)),))</f>
        <v>42698</v>
      </c>
      <c r="B127" s="216" t="str">
        <f ca="1">IF(ROWS($1:114)&gt;COUNT(Dong13),"",OFFSET(TH!H$1,SMALL(Dong13,ROWS($1:114)),))</f>
        <v>Lê Thị Thiện Em</v>
      </c>
      <c r="C127" s="683" t="str">
        <f t="shared" ca="1" si="6"/>
        <v>Nhiên</v>
      </c>
      <c r="D127" s="683" t="str">
        <f ca="1">IF(ROWS($1:114)&gt;COUNT(Dong13),"",OFFSET(TH!D$1,SMALL(Dong13,ROWS($1:114)),))</f>
        <v>NL/N89</v>
      </c>
      <c r="E127" s="1082" t="str">
        <f t="shared" ca="1" si="0"/>
        <v>Đức Linh - Bình Thuận</v>
      </c>
      <c r="F127" s="684">
        <f t="shared" ca="1" si="1"/>
        <v>260682094</v>
      </c>
      <c r="G127" s="685" t="str">
        <f ca="1">IF(ROWS($1:114)&gt;COUNT(Dong13),"",OFFSET(TH!F$1,SMALL(Dong13,ROWS($1:114)),))</f>
        <v>Cá cơm NL</v>
      </c>
      <c r="H127" s="686">
        <f ca="1">IF(ROWS($1:114)&gt;COUNT(Dong13),"",OFFSET(TH!I$1,SMALL(Dong13,ROWS($1:114)),))</f>
        <v>14450</v>
      </c>
      <c r="I127" s="686">
        <f ca="1">IF(ROWS($1:114)&gt;COUNT(Dong13),"",OFFSET(TH!J$1,SMALL(Dong13,ROWS($1:114)),))</f>
        <v>17500</v>
      </c>
      <c r="J127" s="687">
        <f t="shared" ca="1" si="5"/>
        <v>252875000</v>
      </c>
      <c r="K127" s="689"/>
      <c r="L127" s="688"/>
      <c r="M127" s="667"/>
      <c r="N127" s="667"/>
    </row>
    <row r="128" spans="1:14" ht="27" customHeight="1">
      <c r="A128" s="214">
        <f ca="1">IF(ROWS($1:115)&gt;COUNT(Dong13),"",OFFSET(TH!E$1,SMALL(Dong13,ROWS($1:115)),))</f>
        <v>42704</v>
      </c>
      <c r="B128" s="216" t="str">
        <f ca="1">IF(ROWS($1:115)&gt;COUNT(Dong13),"",OFFSET(TH!H$1,SMALL(Dong13,ROWS($1:115)),))</f>
        <v>Nguyễn Văn Hạnh</v>
      </c>
      <c r="C128" s="683" t="str">
        <f t="shared" ca="1" si="6"/>
        <v>Nhiên</v>
      </c>
      <c r="D128" s="683" t="str">
        <f ca="1">IF(ROWS($1:115)&gt;COUNT(Dong13),"",OFFSET(TH!D$1,SMALL(Dong13,ROWS($1:115)),))</f>
        <v>NL/N126</v>
      </c>
      <c r="E128" s="1082" t="str">
        <f t="shared" ca="1" si="0"/>
        <v>Phan Thiết - Bình Thuận</v>
      </c>
      <c r="F128" s="684">
        <f t="shared" ca="1" si="1"/>
        <v>260850613</v>
      </c>
      <c r="G128" s="685" t="str">
        <f ca="1">IF(ROWS($1:115)&gt;COUNT(Dong13),"",OFFSET(TH!F$1,SMALL(Dong13,ROWS($1:115)),))</f>
        <v>Cá cơm NL</v>
      </c>
      <c r="H128" s="686">
        <f ca="1">IF(ROWS($1:115)&gt;COUNT(Dong13),"",OFFSET(TH!I$1,SMALL(Dong13,ROWS($1:115)),))</f>
        <v>14850</v>
      </c>
      <c r="I128" s="686">
        <f ca="1">IF(ROWS($1:115)&gt;COUNT(Dong13),"",OFFSET(TH!J$1,SMALL(Dong13,ROWS($1:115)),))</f>
        <v>17500</v>
      </c>
      <c r="J128" s="687">
        <f t="shared" ca="1" si="5"/>
        <v>259875000</v>
      </c>
      <c r="K128" s="689"/>
      <c r="L128" s="688"/>
      <c r="M128" s="667"/>
      <c r="N128" s="667"/>
    </row>
    <row r="129" spans="1:14" ht="27" customHeight="1">
      <c r="A129" s="214">
        <f ca="1">IF(ROWS($1:116)&gt;COUNT(Dong13),"",OFFSET(TH!E$1,SMALL(Dong13,ROWS($1:116)),))</f>
        <v>42702</v>
      </c>
      <c r="B129" s="216" t="str">
        <f ca="1">IF(ROWS($1:116)&gt;COUNT(Dong13),"",OFFSET(TH!H$1,SMALL(Dong13,ROWS($1:116)),))</f>
        <v>Nguyễn Thị Hội</v>
      </c>
      <c r="C129" s="683" t="str">
        <f t="shared" ca="1" si="6"/>
        <v>Nhiên</v>
      </c>
      <c r="D129" s="683" t="str">
        <f ca="1">IF(ROWS($1:116)&gt;COUNT(Dong13),"",OFFSET(TH!D$1,SMALL(Dong13,ROWS($1:116)),))</f>
        <v>NL/N115</v>
      </c>
      <c r="E129" s="1082" t="str">
        <f t="shared" ca="1" si="0"/>
        <v>Long Hương - Bình Thuận</v>
      </c>
      <c r="F129" s="684" t="str">
        <f t="shared" ca="1" si="1"/>
        <v>020714486</v>
      </c>
      <c r="G129" s="685" t="str">
        <f ca="1">IF(ROWS($1:116)&gt;COUNT(Dong13),"",OFFSET(TH!F$1,SMALL(Dong13,ROWS($1:116)),))</f>
        <v>Cá cơm NL</v>
      </c>
      <c r="H129" s="686">
        <f ca="1">IF(ROWS($1:116)&gt;COUNT(Dong13),"",OFFSET(TH!I$1,SMALL(Dong13,ROWS($1:116)),))</f>
        <v>14360</v>
      </c>
      <c r="I129" s="686">
        <f ca="1">IF(ROWS($1:116)&gt;COUNT(Dong13),"",OFFSET(TH!J$1,SMALL(Dong13,ROWS($1:116)),))</f>
        <v>17500</v>
      </c>
      <c r="J129" s="687">
        <f t="shared" ca="1" si="5"/>
        <v>251300000</v>
      </c>
      <c r="K129" s="689"/>
      <c r="L129" s="688"/>
      <c r="M129" s="667"/>
      <c r="N129" s="667"/>
    </row>
    <row r="130" spans="1:14" ht="27" customHeight="1">
      <c r="A130" s="214">
        <f ca="1">IF(ROWS($1:117)&gt;COUNT(Dong13),"",OFFSET(TH!E$1,SMALL(Dong13,ROWS($1:117)),))</f>
        <v>42704</v>
      </c>
      <c r="B130" s="216" t="str">
        <f ca="1">IF(ROWS($1:117)&gt;COUNT(Dong13),"",OFFSET(TH!H$1,SMALL(Dong13,ROWS($1:117)),))</f>
        <v>Nguyễn Văn Hạnh</v>
      </c>
      <c r="C130" s="683" t="str">
        <f t="shared" ca="1" si="6"/>
        <v>Nhiên</v>
      </c>
      <c r="D130" s="683" t="str">
        <f ca="1">IF(ROWS($1:117)&gt;COUNT(Dong13),"",OFFSET(TH!D$1,SMALL(Dong13,ROWS($1:117)),))</f>
        <v>NL/N127</v>
      </c>
      <c r="E130" s="1082" t="str">
        <f t="shared" ca="1" si="0"/>
        <v>Phan Thiết - Bình Thuận</v>
      </c>
      <c r="F130" s="684">
        <f t="shared" ca="1" si="1"/>
        <v>260850613</v>
      </c>
      <c r="G130" s="685" t="str">
        <f ca="1">IF(ROWS($1:117)&gt;COUNT(Dong13),"",OFFSET(TH!F$1,SMALL(Dong13,ROWS($1:117)),))</f>
        <v>Cá cơm NL</v>
      </c>
      <c r="H130" s="686">
        <f ca="1">IF(ROWS($1:117)&gt;COUNT(Dong13),"",OFFSET(TH!I$1,SMALL(Dong13,ROWS($1:117)),))</f>
        <v>45</v>
      </c>
      <c r="I130" s="686">
        <f ca="1">IF(ROWS($1:117)&gt;COUNT(Dong13),"",OFFSET(TH!J$1,SMALL(Dong13,ROWS($1:117)),))</f>
        <v>18000</v>
      </c>
      <c r="J130" s="687">
        <f t="shared" ca="1" si="5"/>
        <v>810000</v>
      </c>
      <c r="K130" s="689"/>
      <c r="L130" s="688"/>
      <c r="M130" s="667"/>
      <c r="N130" s="667"/>
    </row>
    <row r="131" spans="1:14" ht="27" customHeight="1">
      <c r="A131" s="214">
        <f ca="1">IF(ROWS($1:118)&gt;COUNT(Dong13),"",OFFSET(TH!E$1,SMALL(Dong13,ROWS($1:118)),))</f>
        <v>42699</v>
      </c>
      <c r="B131" s="216" t="str">
        <f ca="1">IF(ROWS($1:118)&gt;COUNT(Dong13),"",OFFSET(TH!H$1,SMALL(Dong13,ROWS($1:118)),))</f>
        <v>Nguyễn Thị Mộng Tuyền</v>
      </c>
      <c r="C131" s="683" t="str">
        <f t="shared" ca="1" si="6"/>
        <v>Hai</v>
      </c>
      <c r="D131" s="683" t="str">
        <f ca="1">IF(ROWS($1:118)&gt;COUNT(Dong13),"",OFFSET(TH!D$1,SMALL(Dong13,ROWS($1:118)),))</f>
        <v>NL/N97</v>
      </c>
      <c r="E131" s="1082" t="str">
        <f t="shared" ca="1" si="0"/>
        <v>Gò Công Đông - Tiền Giang</v>
      </c>
      <c r="F131" s="684">
        <f t="shared" ca="1" si="1"/>
        <v>311318331</v>
      </c>
      <c r="G131" s="685" t="str">
        <f ca="1">IF(ROWS($1:118)&gt;COUNT(Dong13),"",OFFSET(TH!F$1,SMALL(Dong13,ROWS($1:118)),))</f>
        <v>Cá chỉ vàng NL</v>
      </c>
      <c r="H131" s="686">
        <f ca="1">IF(ROWS($1:118)&gt;COUNT(Dong13),"",OFFSET(TH!I$1,SMALL(Dong13,ROWS($1:118)),))</f>
        <v>7450</v>
      </c>
      <c r="I131" s="686">
        <f ca="1">IF(ROWS($1:118)&gt;COUNT(Dong13),"",OFFSET(TH!J$1,SMALL(Dong13,ROWS($1:118)),))</f>
        <v>26000</v>
      </c>
      <c r="J131" s="687">
        <f t="shared" ca="1" si="5"/>
        <v>193700000</v>
      </c>
      <c r="K131" s="689"/>
      <c r="L131" s="688"/>
      <c r="M131" s="667"/>
      <c r="N131" s="667"/>
    </row>
    <row r="132" spans="1:14" ht="27" customHeight="1">
      <c r="A132" s="214">
        <f ca="1">IF(ROWS($1:119)&gt;COUNT(Dong13),"",OFFSET(TH!E$1,SMALL(Dong13,ROWS($1:119)),))</f>
        <v>42675</v>
      </c>
      <c r="B132" s="216" t="str">
        <f ca="1">IF(ROWS($1:119)&gt;COUNT(Dong13),"",OFFSET(TH!H$1,SMALL(Dong13,ROWS($1:119)),))</f>
        <v>Võ Văn Bá</v>
      </c>
      <c r="C132" s="683" t="str">
        <f t="shared" ca="1" si="6"/>
        <v>Hai</v>
      </c>
      <c r="D132" s="683" t="str">
        <f ca="1">IF(ROWS($1:119)&gt;COUNT(Dong13),"",OFFSET(TH!D$1,SMALL(Dong13,ROWS($1:119)),))</f>
        <v>NL/N04</v>
      </c>
      <c r="E132" s="1082" t="str">
        <f t="shared" ca="1" si="0"/>
        <v>Vũng Tàu</v>
      </c>
      <c r="F132" s="684">
        <f t="shared" ca="1" si="1"/>
        <v>270176684</v>
      </c>
      <c r="G132" s="685" t="str">
        <f ca="1">IF(ROWS($1:119)&gt;COUNT(Dong13),"",OFFSET(TH!F$1,SMALL(Dong13,ROWS($1:119)),))</f>
        <v>Cá bò NL</v>
      </c>
      <c r="H132" s="686">
        <f ca="1">IF(ROWS($1:119)&gt;COUNT(Dong13),"",OFFSET(TH!I$1,SMALL(Dong13,ROWS($1:119)),))</f>
        <v>9935</v>
      </c>
      <c r="I132" s="686">
        <f ca="1">IF(ROWS($1:119)&gt;COUNT(Dong13),"",OFFSET(TH!J$1,SMALL(Dong13,ROWS($1:119)),))</f>
        <v>16500</v>
      </c>
      <c r="J132" s="687">
        <f t="shared" ca="1" si="5"/>
        <v>163927500</v>
      </c>
      <c r="K132" s="689"/>
      <c r="L132" s="688"/>
      <c r="M132" s="667"/>
      <c r="N132" s="667"/>
    </row>
    <row r="133" spans="1:14" ht="27" customHeight="1">
      <c r="A133" s="214">
        <f ca="1">IF(ROWS($1:120)&gt;COUNT(Dong13),"",OFFSET(TH!E$1,SMALL(Dong13,ROWS($1:120)),))</f>
        <v>42699</v>
      </c>
      <c r="B133" s="216" t="str">
        <f ca="1">IF(ROWS($1:120)&gt;COUNT(Dong13),"",OFFSET(TH!H$1,SMALL(Dong13,ROWS($1:120)),))</f>
        <v>Trương Quốc Tuấn</v>
      </c>
      <c r="C133" s="683" t="str">
        <f t="shared" ca="1" si="6"/>
        <v>Hai</v>
      </c>
      <c r="D133" s="683" t="str">
        <f ca="1">IF(ROWS($1:120)&gt;COUNT(Dong13),"",OFFSET(TH!D$1,SMALL(Dong13,ROWS($1:120)),))</f>
        <v>NL/N98</v>
      </c>
      <c r="E133" s="1082" t="str">
        <f t="shared" ca="1" si="0"/>
        <v>Rạch Giá - Kiên Giang</v>
      </c>
      <c r="F133" s="684">
        <f t="shared" ca="1" si="1"/>
        <v>370004125</v>
      </c>
      <c r="G133" s="685" t="str">
        <f ca="1">IF(ROWS($1:120)&gt;COUNT(Dong13),"",OFFSET(TH!F$1,SMALL(Dong13,ROWS($1:120)),))</f>
        <v>Cá chỉ vàng NL</v>
      </c>
      <c r="H133" s="686">
        <f ca="1">IF(ROWS($1:120)&gt;COUNT(Dong13),"",OFFSET(TH!I$1,SMALL(Dong13,ROWS($1:120)),))</f>
        <v>6960</v>
      </c>
      <c r="I133" s="686">
        <f ca="1">IF(ROWS($1:120)&gt;COUNT(Dong13),"",OFFSET(TH!J$1,SMALL(Dong13,ROWS($1:120)),))</f>
        <v>26000</v>
      </c>
      <c r="J133" s="687">
        <f t="shared" ca="1" si="5"/>
        <v>180960000</v>
      </c>
      <c r="K133" s="689"/>
      <c r="L133" s="688"/>
      <c r="M133" s="667"/>
      <c r="N133" s="667"/>
    </row>
    <row r="134" spans="1:14" ht="27" customHeight="1">
      <c r="A134" s="214">
        <f ca="1">IF(ROWS($1:121)&gt;COUNT(Dong13),"",OFFSET(TH!E$1,SMALL(Dong13,ROWS($1:121)),))</f>
        <v>42704</v>
      </c>
      <c r="B134" s="216" t="str">
        <f ca="1">IF(ROWS($1:121)&gt;COUNT(Dong13),"",OFFSET(TH!H$1,SMALL(Dong13,ROWS($1:121)),))</f>
        <v>Lê Thị Thiện Em</v>
      </c>
      <c r="C134" s="683" t="str">
        <f t="shared" ca="1" si="6"/>
        <v>Nhiên</v>
      </c>
      <c r="D134" s="683" t="str">
        <f ca="1">IF(ROWS($1:121)&gt;COUNT(Dong13),"",OFFSET(TH!D$1,SMALL(Dong13,ROWS($1:121)),))</f>
        <v>NL/N124</v>
      </c>
      <c r="E134" s="1082" t="str">
        <f t="shared" ca="1" si="0"/>
        <v>Đức Linh - Bình Thuận</v>
      </c>
      <c r="F134" s="684">
        <f t="shared" ca="1" si="1"/>
        <v>260682094</v>
      </c>
      <c r="G134" s="685" t="str">
        <f ca="1">IF(ROWS($1:121)&gt;COUNT(Dong13),"",OFFSET(TH!F$1,SMALL(Dong13,ROWS($1:121)),))</f>
        <v>Cá cơm NL</v>
      </c>
      <c r="H134" s="686">
        <f ca="1">IF(ROWS($1:121)&gt;COUNT(Dong13),"",OFFSET(TH!I$1,SMALL(Dong13,ROWS($1:121)),))</f>
        <v>14730</v>
      </c>
      <c r="I134" s="686">
        <f ca="1">IF(ROWS($1:121)&gt;COUNT(Dong13),"",OFFSET(TH!J$1,SMALL(Dong13,ROWS($1:121)),))</f>
        <v>17500</v>
      </c>
      <c r="J134" s="687">
        <f t="shared" ca="1" si="5"/>
        <v>257775000</v>
      </c>
      <c r="K134" s="689"/>
      <c r="L134" s="688"/>
      <c r="M134" s="667"/>
      <c r="N134" s="667"/>
    </row>
    <row r="135" spans="1:14" ht="27" customHeight="1">
      <c r="A135" s="214">
        <f ca="1">IF(ROWS($1:122)&gt;COUNT(Dong13),"",OFFSET(TH!E$1,SMALL(Dong13,ROWS($1:122)),))</f>
        <v>42700</v>
      </c>
      <c r="B135" s="216" t="str">
        <f ca="1">IF(ROWS($1:122)&gt;COUNT(Dong13),"",OFFSET(TH!H$1,SMALL(Dong13,ROWS($1:122)),))</f>
        <v>Nguyễn Văn Phong</v>
      </c>
      <c r="C135" s="683" t="str">
        <f t="shared" ca="1" si="6"/>
        <v>Nhiên</v>
      </c>
      <c r="D135" s="683" t="str">
        <f ca="1">IF(ROWS($1:122)&gt;COUNT(Dong13),"",OFFSET(TH!D$1,SMALL(Dong13,ROWS($1:122)),))</f>
        <v>NL/N102</v>
      </c>
      <c r="E135" s="1082" t="str">
        <f t="shared" ca="1" si="0"/>
        <v>001/AT, xã An Thủy, Ba Tri, Bến Tre</v>
      </c>
      <c r="F135" s="684">
        <f t="shared" ca="1" si="1"/>
        <v>320892558</v>
      </c>
      <c r="G135" s="685" t="str">
        <f ca="1">IF(ROWS($1:122)&gt;COUNT(Dong13),"",OFFSET(TH!F$1,SMALL(Dong13,ROWS($1:122)),))</f>
        <v>Ghẹ NL</v>
      </c>
      <c r="H135" s="686">
        <f ca="1">IF(ROWS($1:122)&gt;COUNT(Dong13),"",OFFSET(TH!I$1,SMALL(Dong13,ROWS($1:122)),))</f>
        <v>4150</v>
      </c>
      <c r="I135" s="686">
        <f ca="1">IF(ROWS($1:122)&gt;COUNT(Dong13),"",OFFSET(TH!J$1,SMALL(Dong13,ROWS($1:122)),))</f>
        <v>18000</v>
      </c>
      <c r="J135" s="687">
        <f t="shared" ca="1" si="5"/>
        <v>74700000</v>
      </c>
      <c r="K135" s="689"/>
      <c r="L135" s="688"/>
      <c r="M135" s="667"/>
      <c r="N135" s="667"/>
    </row>
    <row r="136" spans="1:14" ht="27" customHeight="1">
      <c r="A136" s="214">
        <f ca="1">IF(ROWS($1:123)&gt;COUNT(Dong13),"",OFFSET(TH!E$1,SMALL(Dong13,ROWS($1:123)),))</f>
        <v>42700</v>
      </c>
      <c r="B136" s="216" t="str">
        <f ca="1">IF(ROWS($1:123)&gt;COUNT(Dong13),"",OFFSET(TH!H$1,SMALL(Dong13,ROWS($1:123)),))</f>
        <v>Nguyễn Thanh Hoàng</v>
      </c>
      <c r="C136" s="683" t="str">
        <f t="shared" ca="1" si="6"/>
        <v>Nhiên</v>
      </c>
      <c r="D136" s="683" t="str">
        <f ca="1">IF(ROWS($1:123)&gt;COUNT(Dong13),"",OFFSET(TH!D$1,SMALL(Dong13,ROWS($1:123)),))</f>
        <v>NL/N104</v>
      </c>
      <c r="E136" s="1082" t="str">
        <f t="shared" ca="1" si="0"/>
        <v>788/AT, xã An Thủy, Ba Tri, Bến Tre</v>
      </c>
      <c r="F136" s="684">
        <f t="shared" ca="1" si="1"/>
        <v>321413712</v>
      </c>
      <c r="G136" s="685" t="str">
        <f ca="1">IF(ROWS($1:123)&gt;COUNT(Dong13),"",OFFSET(TH!F$1,SMALL(Dong13,ROWS($1:123)),))</f>
        <v>Ghẹ NL</v>
      </c>
      <c r="H136" s="686">
        <f ca="1">IF(ROWS($1:123)&gt;COUNT(Dong13),"",OFFSET(TH!I$1,SMALL(Dong13,ROWS($1:123)),))</f>
        <v>4850</v>
      </c>
      <c r="I136" s="686">
        <f ca="1">IF(ROWS($1:123)&gt;COUNT(Dong13),"",OFFSET(TH!J$1,SMALL(Dong13,ROWS($1:123)),))</f>
        <v>18000</v>
      </c>
      <c r="J136" s="687">
        <f t="shared" ca="1" si="5"/>
        <v>87300000</v>
      </c>
      <c r="K136" s="689"/>
      <c r="L136" s="688"/>
      <c r="M136" s="667"/>
      <c r="N136" s="667"/>
    </row>
    <row r="137" spans="1:14" ht="27" customHeight="1">
      <c r="A137" s="214">
        <f ca="1">IF(ROWS($1:124)&gt;COUNT(Dong13),"",OFFSET(TH!E$1,SMALL(Dong13,ROWS($1:124)),))</f>
        <v>42704</v>
      </c>
      <c r="B137" s="216" t="str">
        <f ca="1">IF(ROWS($1:124)&gt;COUNT(Dong13),"",OFFSET(TH!H$1,SMALL(Dong13,ROWS($1:124)),))</f>
        <v>Nguyễn Thanh Vân</v>
      </c>
      <c r="C137" s="683" t="str">
        <f t="shared" ca="1" si="6"/>
        <v>Hai</v>
      </c>
      <c r="D137" s="683" t="str">
        <f ca="1">IF(ROWS($1:124)&gt;COUNT(Dong13),"",OFFSET(TH!D$1,SMALL(Dong13,ROWS($1:124)),))</f>
        <v>NL/N132</v>
      </c>
      <c r="E137" s="1082" t="str">
        <f t="shared" ca="1" si="0"/>
        <v>Vũng Tàu</v>
      </c>
      <c r="F137" s="684">
        <f t="shared" ca="1" si="1"/>
        <v>270176960</v>
      </c>
      <c r="G137" s="685" t="str">
        <f ca="1">IF(ROWS($1:124)&gt;COUNT(Dong13),"",OFFSET(TH!F$1,SMALL(Dong13,ROWS($1:124)),))</f>
        <v>Mực NL</v>
      </c>
      <c r="H137" s="686">
        <f ca="1">IF(ROWS($1:124)&gt;COUNT(Dong13),"",OFFSET(TH!I$1,SMALL(Dong13,ROWS($1:124)),))</f>
        <v>175</v>
      </c>
      <c r="I137" s="686">
        <f ca="1">IF(ROWS($1:124)&gt;COUNT(Dong13),"",OFFSET(TH!J$1,SMALL(Dong13,ROWS($1:124)),))</f>
        <v>151000</v>
      </c>
      <c r="J137" s="687">
        <f t="shared" ca="1" si="5"/>
        <v>26425000</v>
      </c>
      <c r="K137" s="689"/>
      <c r="L137" s="688"/>
      <c r="M137" s="667"/>
      <c r="N137" s="667"/>
    </row>
    <row r="138" spans="1:14" ht="27" customHeight="1">
      <c r="A138" s="214">
        <f ca="1">IF(ROWS($1:125)&gt;COUNT(Dong13),"",OFFSET(TH!E$1,SMALL(Dong13,ROWS($1:125)),))</f>
        <v>42679</v>
      </c>
      <c r="B138" s="216" t="str">
        <f ca="1">IF(ROWS($1:125)&gt;COUNT(Dong13),"",OFFSET(TH!H$1,SMALL(Dong13,ROWS($1:125)),))</f>
        <v>Nguyễn Văn Tư</v>
      </c>
      <c r="C138" s="683" t="str">
        <f t="shared" ca="1" si="6"/>
        <v>Hai</v>
      </c>
      <c r="D138" s="683" t="str">
        <f ca="1">IF(ROWS($1:125)&gt;COUNT(Dong13),"",OFFSET(TH!D$1,SMALL(Dong13,ROWS($1:125)),))</f>
        <v>NL/N23</v>
      </c>
      <c r="E138" s="1082" t="str">
        <f t="shared" ca="1" si="0"/>
        <v>Vũng Tàu</v>
      </c>
      <c r="F138" s="684">
        <f t="shared" ca="1" si="1"/>
        <v>260456563</v>
      </c>
      <c r="G138" s="685" t="str">
        <f ca="1">IF(ROWS($1:125)&gt;COUNT(Dong13),"",OFFSET(TH!F$1,SMALL(Dong13,ROWS($1:125)),))</f>
        <v>Cá bò NL</v>
      </c>
      <c r="H138" s="686">
        <f ca="1">IF(ROWS($1:125)&gt;COUNT(Dong13),"",OFFSET(TH!I$1,SMALL(Dong13,ROWS($1:125)),))</f>
        <v>9969</v>
      </c>
      <c r="I138" s="686">
        <f ca="1">IF(ROWS($1:125)&gt;COUNT(Dong13),"",OFFSET(TH!J$1,SMALL(Dong13,ROWS($1:125)),))</f>
        <v>16500</v>
      </c>
      <c r="J138" s="687">
        <f t="shared" ca="1" si="5"/>
        <v>164488500</v>
      </c>
      <c r="K138" s="689"/>
      <c r="L138" s="688"/>
      <c r="M138" s="667"/>
      <c r="N138" s="667"/>
    </row>
    <row r="139" spans="1:14" ht="27" customHeight="1">
      <c r="A139" s="214">
        <f ca="1">IF(ROWS($1:126)&gt;COUNT(Dong13),"",OFFSET(TH!E$1,SMALL(Dong13,ROWS($1:126)),))</f>
        <v>42681</v>
      </c>
      <c r="B139" s="216" t="str">
        <f ca="1">IF(ROWS($1:126)&gt;COUNT(Dong13),"",OFFSET(TH!H$1,SMALL(Dong13,ROWS($1:126)),))</f>
        <v>Nguyễn Văn Đức</v>
      </c>
      <c r="C139" s="683" t="str">
        <f t="shared" ca="1" si="6"/>
        <v>Hai</v>
      </c>
      <c r="D139" s="683" t="str">
        <f ca="1">IF(ROWS($1:126)&gt;COUNT(Dong13),"",OFFSET(TH!D$1,SMALL(Dong13,ROWS($1:126)),))</f>
        <v>NL/N29</v>
      </c>
      <c r="E139" s="1082" t="str">
        <f t="shared" ca="1" si="0"/>
        <v>Vũng Tàu</v>
      </c>
      <c r="F139" s="684">
        <f t="shared" ca="1" si="1"/>
        <v>261183075</v>
      </c>
      <c r="G139" s="685" t="str">
        <f ca="1">IF(ROWS($1:126)&gt;COUNT(Dong13),"",OFFSET(TH!F$1,SMALL(Dong13,ROWS($1:126)),))</f>
        <v>Cá bò NL</v>
      </c>
      <c r="H139" s="686">
        <f ca="1">IF(ROWS($1:126)&gt;COUNT(Dong13),"",OFFSET(TH!I$1,SMALL(Dong13,ROWS($1:126)),))</f>
        <v>9968</v>
      </c>
      <c r="I139" s="686">
        <f ca="1">IF(ROWS($1:126)&gt;COUNT(Dong13),"",OFFSET(TH!J$1,SMALL(Dong13,ROWS($1:126)),))</f>
        <v>16500</v>
      </c>
      <c r="J139" s="687">
        <f t="shared" ca="1" si="5"/>
        <v>164472000</v>
      </c>
      <c r="K139" s="689"/>
      <c r="L139" s="688"/>
      <c r="M139" s="667"/>
      <c r="N139" s="667"/>
    </row>
    <row r="140" spans="1:14" ht="27" customHeight="1">
      <c r="A140" s="214">
        <f ca="1">IF(ROWS($1:127)&gt;COUNT(Dong13),"",OFFSET(TH!E$1,SMALL(Dong13,ROWS($1:127)),))</f>
        <v>42681</v>
      </c>
      <c r="B140" s="216" t="str">
        <f ca="1">IF(ROWS($1:127)&gt;COUNT(Dong13),"",OFFSET(TH!H$1,SMALL(Dong13,ROWS($1:127)),))</f>
        <v>Võ Văn Bá</v>
      </c>
      <c r="C140" s="683" t="str">
        <f t="shared" ca="1" si="6"/>
        <v>Hai</v>
      </c>
      <c r="D140" s="683" t="str">
        <f ca="1">IF(ROWS($1:127)&gt;COUNT(Dong13),"",OFFSET(TH!D$1,SMALL(Dong13,ROWS($1:127)),))</f>
        <v>NL/N31</v>
      </c>
      <c r="E140" s="1082" t="str">
        <f t="shared" ca="1" si="0"/>
        <v>Vũng Tàu</v>
      </c>
      <c r="F140" s="684">
        <f t="shared" ca="1" si="1"/>
        <v>270176684</v>
      </c>
      <c r="G140" s="685" t="str">
        <f ca="1">IF(ROWS($1:127)&gt;COUNT(Dong13),"",OFFSET(TH!F$1,SMALL(Dong13,ROWS($1:127)),))</f>
        <v>Cá bò NL</v>
      </c>
      <c r="H140" s="686">
        <f ca="1">IF(ROWS($1:127)&gt;COUNT(Dong13),"",OFFSET(TH!I$1,SMALL(Dong13,ROWS($1:127)),))</f>
        <v>9680</v>
      </c>
      <c r="I140" s="686">
        <f ca="1">IF(ROWS($1:127)&gt;COUNT(Dong13),"",OFFSET(TH!J$1,SMALL(Dong13,ROWS($1:127)),))</f>
        <v>16500</v>
      </c>
      <c r="J140" s="687">
        <f t="shared" ca="1" si="5"/>
        <v>159720000</v>
      </c>
      <c r="K140" s="689"/>
      <c r="L140" s="688"/>
      <c r="M140" s="667"/>
      <c r="N140" s="667"/>
    </row>
    <row r="141" spans="1:14" ht="27" customHeight="1">
      <c r="A141" s="214">
        <f ca="1">IF(ROWS($1:128)&gt;COUNT(Dong13),"",OFFSET(TH!E$1,SMALL(Dong13,ROWS($1:128)),))</f>
        <v>42679</v>
      </c>
      <c r="B141" s="216" t="str">
        <f ca="1">IF(ROWS($1:128)&gt;COUNT(Dong13),"",OFFSET(TH!H$1,SMALL(Dong13,ROWS($1:128)),))</f>
        <v>Võ Thị Bảy</v>
      </c>
      <c r="C141" s="683" t="str">
        <f t="shared" ca="1" si="6"/>
        <v>Hai</v>
      </c>
      <c r="D141" s="683" t="str">
        <f ca="1">IF(ROWS($1:128)&gt;COUNT(Dong13),"",OFFSET(TH!D$1,SMALL(Dong13,ROWS($1:128)),))</f>
        <v>NL/N22</v>
      </c>
      <c r="E141" s="1082" t="str">
        <f t="shared" ca="1" si="0"/>
        <v>Vũng Tàu</v>
      </c>
      <c r="F141" s="684">
        <f t="shared" ca="1" si="1"/>
        <v>270106056</v>
      </c>
      <c r="G141" s="685" t="str">
        <f ca="1">IF(ROWS($1:128)&gt;COUNT(Dong13),"",OFFSET(TH!F$1,SMALL(Dong13,ROWS($1:128)),))</f>
        <v>Cá bò NL</v>
      </c>
      <c r="H141" s="686">
        <f ca="1">IF(ROWS($1:128)&gt;COUNT(Dong13),"",OFFSET(TH!I$1,SMALL(Dong13,ROWS($1:128)),))</f>
        <v>9956</v>
      </c>
      <c r="I141" s="686">
        <f ca="1">IF(ROWS($1:128)&gt;COUNT(Dong13),"",OFFSET(TH!J$1,SMALL(Dong13,ROWS($1:128)),))</f>
        <v>16500</v>
      </c>
      <c r="J141" s="687">
        <f t="shared" ca="1" si="5"/>
        <v>164274000</v>
      </c>
      <c r="K141" s="689"/>
      <c r="L141" s="688"/>
      <c r="M141" s="667"/>
      <c r="N141" s="667"/>
    </row>
    <row r="142" spans="1:14" ht="27" customHeight="1">
      <c r="A142" s="214">
        <f ca="1">IF(ROWS($1:129)&gt;COUNT(Dong13),"",OFFSET(TH!E$1,SMALL(Dong13,ROWS($1:129)),))</f>
        <v>42702</v>
      </c>
      <c r="B142" s="216" t="str">
        <f ca="1">IF(ROWS($1:129)&gt;COUNT(Dong13),"",OFFSET(TH!H$1,SMALL(Dong13,ROWS($1:129)),))</f>
        <v>Nguyễn Văn Phong</v>
      </c>
      <c r="C142" s="683" t="str">
        <f t="shared" ca="1" si="6"/>
        <v>Nhiên</v>
      </c>
      <c r="D142" s="683" t="str">
        <f ca="1">IF(ROWS($1:129)&gt;COUNT(Dong13),"",OFFSET(TH!D$1,SMALL(Dong13,ROWS($1:129)),))</f>
        <v>NL/N112</v>
      </c>
      <c r="E142" s="1082" t="str">
        <f t="shared" ca="1" si="0"/>
        <v>001/AT, xã An Thủy, Ba Tri, Bến Tre</v>
      </c>
      <c r="F142" s="684">
        <f t="shared" ca="1" si="1"/>
        <v>320892558</v>
      </c>
      <c r="G142" s="685" t="str">
        <f ca="1">IF(ROWS($1:129)&gt;COUNT(Dong13),"",OFFSET(TH!F$1,SMALL(Dong13,ROWS($1:129)),))</f>
        <v>Ghẹ NL</v>
      </c>
      <c r="H142" s="686">
        <f ca="1">IF(ROWS($1:129)&gt;COUNT(Dong13),"",OFFSET(TH!I$1,SMALL(Dong13,ROWS($1:129)),))</f>
        <v>5140</v>
      </c>
      <c r="I142" s="686">
        <f ca="1">IF(ROWS($1:129)&gt;COUNT(Dong13),"",OFFSET(TH!J$1,SMALL(Dong13,ROWS($1:129)),))</f>
        <v>18000</v>
      </c>
      <c r="J142" s="687">
        <f t="shared" ca="1" si="5"/>
        <v>92520000</v>
      </c>
      <c r="K142" s="689"/>
      <c r="L142" s="688"/>
      <c r="M142" s="667"/>
      <c r="N142" s="667"/>
    </row>
    <row r="143" spans="1:14" ht="27" customHeight="1">
      <c r="A143" s="214">
        <f ca="1">IF(ROWS($1:130)&gt;COUNT(Dong13),"",OFFSET(TH!E$1,SMALL(Dong13,ROWS($1:130)),))</f>
        <v>42700</v>
      </c>
      <c r="B143" s="216" t="str">
        <f ca="1">IF(ROWS($1:130)&gt;COUNT(Dong13),"",OFFSET(TH!H$1,SMALL(Dong13,ROWS($1:130)),))</f>
        <v>Nguyễn Văn Tha</v>
      </c>
      <c r="C143" s="683" t="str">
        <f t="shared" ca="1" si="6"/>
        <v>Nhiên</v>
      </c>
      <c r="D143" s="683" t="str">
        <f ca="1">IF(ROWS($1:130)&gt;COUNT(Dong13),"",OFFSET(TH!D$1,SMALL(Dong13,ROWS($1:130)),))</f>
        <v>NL/N103</v>
      </c>
      <c r="E143" s="1082" t="str">
        <f t="shared" ca="1" si="0"/>
        <v>xã An Thủy, Ba Tri, Bến Tre</v>
      </c>
      <c r="F143" s="684">
        <f t="shared" ca="1" si="1"/>
        <v>320807672</v>
      </c>
      <c r="G143" s="685" t="str">
        <f ca="1">IF(ROWS($1:130)&gt;COUNT(Dong13),"",OFFSET(TH!F$1,SMALL(Dong13,ROWS($1:130)),))</f>
        <v>Ghẹ NL</v>
      </c>
      <c r="H143" s="686">
        <f ca="1">IF(ROWS($1:130)&gt;COUNT(Dong13),"",OFFSET(TH!I$1,SMALL(Dong13,ROWS($1:130)),))</f>
        <v>4670</v>
      </c>
      <c r="I143" s="686">
        <f ca="1">IF(ROWS($1:130)&gt;COUNT(Dong13),"",OFFSET(TH!J$1,SMALL(Dong13,ROWS($1:130)),))</f>
        <v>18000</v>
      </c>
      <c r="J143" s="687">
        <f t="shared" ca="1" si="5"/>
        <v>84060000</v>
      </c>
      <c r="K143" s="689"/>
      <c r="L143" s="688"/>
      <c r="M143" s="667"/>
      <c r="N143" s="667"/>
    </row>
    <row r="144" spans="1:14" ht="27" customHeight="1">
      <c r="A144" s="214">
        <f ca="1">IF(ROWS($1:131)&gt;COUNT(Dong13),"",OFFSET(TH!E$1,SMALL(Dong13,ROWS($1:131)),))</f>
        <v>42702</v>
      </c>
      <c r="B144" s="216" t="str">
        <f ca="1">IF(ROWS($1:131)&gt;COUNT(Dong13),"",OFFSET(TH!H$1,SMALL(Dong13,ROWS($1:131)),))</f>
        <v>Nguyễn Thanh Hoàng</v>
      </c>
      <c r="C144" s="683" t="str">
        <f t="shared" ca="1" si="6"/>
        <v>Nhiên</v>
      </c>
      <c r="D144" s="683" t="str">
        <f ca="1">IF(ROWS($1:131)&gt;COUNT(Dong13),"",OFFSET(TH!D$1,SMALL(Dong13,ROWS($1:131)),))</f>
        <v>NL/N111</v>
      </c>
      <c r="E144" s="1082" t="str">
        <f t="shared" ca="1" si="0"/>
        <v>788/AT, xã An Thủy, Ba Tri, Bến Tre</v>
      </c>
      <c r="F144" s="684">
        <f t="shared" ca="1" si="1"/>
        <v>321413712</v>
      </c>
      <c r="G144" s="685" t="str">
        <f ca="1">IF(ROWS($1:131)&gt;COUNT(Dong13),"",OFFSET(TH!F$1,SMALL(Dong13,ROWS($1:131)),))</f>
        <v>Ghẹ NL</v>
      </c>
      <c r="H144" s="686">
        <f ca="1">IF(ROWS($1:131)&gt;COUNT(Dong13),"",OFFSET(TH!I$1,SMALL(Dong13,ROWS($1:131)),))</f>
        <v>5200</v>
      </c>
      <c r="I144" s="686">
        <f ca="1">IF(ROWS($1:131)&gt;COUNT(Dong13),"",OFFSET(TH!J$1,SMALL(Dong13,ROWS($1:131)),))</f>
        <v>18000</v>
      </c>
      <c r="J144" s="687">
        <f t="shared" ca="1" si="5"/>
        <v>93600000</v>
      </c>
      <c r="K144" s="689"/>
      <c r="L144" s="688"/>
      <c r="M144" s="667"/>
      <c r="N144" s="667"/>
    </row>
    <row r="145" spans="1:14" ht="27" customHeight="1">
      <c r="A145" s="214">
        <f ca="1">IF(ROWS($1:132)&gt;COUNT(Dong13),"",OFFSET(TH!E$1,SMALL(Dong13,ROWS($1:132)),))</f>
        <v>42702</v>
      </c>
      <c r="B145" s="216" t="str">
        <f ca="1">IF(ROWS($1:132)&gt;COUNT(Dong13),"",OFFSET(TH!H$1,SMALL(Dong13,ROWS($1:132)),))</f>
        <v>Nguyễn Thành Quang</v>
      </c>
      <c r="C145" s="683" t="str">
        <f t="shared" ca="1" si="6"/>
        <v>Nhiên</v>
      </c>
      <c r="D145" s="683" t="str">
        <f ca="1">IF(ROWS($1:132)&gt;COUNT(Dong13),"",OFFSET(TH!D$1,SMALL(Dong13,ROWS($1:132)),))</f>
        <v>NL/N113</v>
      </c>
      <c r="E145" s="1082" t="str">
        <f t="shared" ca="1" si="0"/>
        <v>681/AT, xã An Thủy, Ba Tri, Bến Tre</v>
      </c>
      <c r="F145" s="684">
        <f t="shared" ca="1" si="1"/>
        <v>320775664</v>
      </c>
      <c r="G145" s="685" t="str">
        <f ca="1">IF(ROWS($1:132)&gt;COUNT(Dong13),"",OFFSET(TH!F$1,SMALL(Dong13,ROWS($1:132)),))</f>
        <v>Ghẹ NL</v>
      </c>
      <c r="H145" s="686">
        <f ca="1">IF(ROWS($1:132)&gt;COUNT(Dong13),"",OFFSET(TH!I$1,SMALL(Dong13,ROWS($1:132)),))</f>
        <v>4240</v>
      </c>
      <c r="I145" s="686">
        <f ca="1">IF(ROWS($1:132)&gt;COUNT(Dong13),"",OFFSET(TH!J$1,SMALL(Dong13,ROWS($1:132)),))</f>
        <v>18000</v>
      </c>
      <c r="J145" s="687">
        <f t="shared" ca="1" si="5"/>
        <v>76320000</v>
      </c>
      <c r="K145" s="689"/>
      <c r="L145" s="688"/>
      <c r="M145" s="667"/>
      <c r="N145" s="667"/>
    </row>
    <row r="146" spans="1:14" ht="27" customHeight="1">
      <c r="A146" s="214">
        <f ca="1">IF(ROWS($1:133)&gt;COUNT(Dong13),"",OFFSET(TH!E$1,SMALL(Dong13,ROWS($1:133)),))</f>
        <v>42702</v>
      </c>
      <c r="B146" s="216" t="str">
        <f ca="1">IF(ROWS($1:133)&gt;COUNT(Dong13),"",OFFSET(TH!H$1,SMALL(Dong13,ROWS($1:133)),))</f>
        <v>Nguyễn Thị Hồng Hoa</v>
      </c>
      <c r="C146" s="683" t="str">
        <f t="shared" ca="1" si="6"/>
        <v>Nhiên</v>
      </c>
      <c r="D146" s="683" t="str">
        <f ca="1">IF(ROWS($1:133)&gt;COUNT(Dong13),"",OFFSET(TH!D$1,SMALL(Dong13,ROWS($1:133)),))</f>
        <v>NL/N110</v>
      </c>
      <c r="E146" s="1082" t="str">
        <f t="shared" ca="1" si="0"/>
        <v>681/AT, xã An Thủy, Ba Tri, Bến Tre</v>
      </c>
      <c r="F146" s="684">
        <f t="shared" ca="1" si="1"/>
        <v>320744085</v>
      </c>
      <c r="G146" s="685" t="str">
        <f ca="1">IF(ROWS($1:133)&gt;COUNT(Dong13),"",OFFSET(TH!F$1,SMALL(Dong13,ROWS($1:133)),))</f>
        <v>Ghẹ NL</v>
      </c>
      <c r="H146" s="686">
        <f ca="1">IF(ROWS($1:133)&gt;COUNT(Dong13),"",OFFSET(TH!I$1,SMALL(Dong13,ROWS($1:133)),))</f>
        <v>5120</v>
      </c>
      <c r="I146" s="686">
        <f ca="1">IF(ROWS($1:133)&gt;COUNT(Dong13),"",OFFSET(TH!J$1,SMALL(Dong13,ROWS($1:133)),))</f>
        <v>18000</v>
      </c>
      <c r="J146" s="687">
        <f t="shared" ca="1" si="5"/>
        <v>92160000</v>
      </c>
      <c r="K146" s="689"/>
      <c r="L146" s="688"/>
      <c r="M146" s="667"/>
      <c r="N146" s="667"/>
    </row>
    <row r="147" spans="1:14" ht="27" customHeight="1">
      <c r="A147" s="214" t="str">
        <f ca="1">IF(ROWS($1:134)&gt;COUNT(Dong13),"",OFFSET(TH!E$1,SMALL(Dong13,ROWS($1:134)),))</f>
        <v/>
      </c>
      <c r="B147" s="216" t="str">
        <f ca="1">IF(ROWS($1:134)&gt;COUNT(Dong13),"",OFFSET(TH!H$1,SMALL(Dong13,ROWS($1:134)),))</f>
        <v/>
      </c>
      <c r="C147" s="683" t="str">
        <f t="shared" ca="1" si="6"/>
        <v/>
      </c>
      <c r="D147" s="683" t="str">
        <f ca="1">IF(ROWS($1:134)&gt;COUNT(Dong13),"",OFFSET(TH!D$1,SMALL(Dong13,ROWS($1:134)),))</f>
        <v/>
      </c>
      <c r="E147" s="1082" t="str">
        <f t="shared" ca="1" si="0"/>
        <v/>
      </c>
      <c r="F147" s="684" t="str">
        <f t="shared" ca="1" si="1"/>
        <v/>
      </c>
      <c r="G147" s="685" t="str">
        <f ca="1">IF(ROWS($1:134)&gt;COUNT(Dong13),"",OFFSET(TH!F$1,SMALL(Dong13,ROWS($1:134)),))</f>
        <v/>
      </c>
      <c r="H147" s="686" t="str">
        <f ca="1">IF(ROWS($1:134)&gt;COUNT(Dong13),"",OFFSET(TH!I$1,SMALL(Dong13,ROWS($1:134)),))</f>
        <v/>
      </c>
      <c r="I147" s="686" t="str">
        <f ca="1">IF(ROWS($1:134)&gt;COUNT(Dong13),"",OFFSET(TH!J$1,SMALL(Dong13,ROWS($1:134)),))</f>
        <v/>
      </c>
      <c r="J147" s="687">
        <f t="shared" ca="1" si="5"/>
        <v>0</v>
      </c>
      <c r="K147" s="689"/>
      <c r="L147" s="688"/>
      <c r="M147" s="667"/>
      <c r="N147" s="667"/>
    </row>
    <row r="148" spans="1:14" ht="27" customHeight="1">
      <c r="A148" s="214" t="str">
        <f ca="1">IF(ROWS($1:135)&gt;COUNT(Dong13),"",OFFSET(TH!E$1,SMALL(Dong13,ROWS($1:135)),))</f>
        <v/>
      </c>
      <c r="B148" s="216" t="str">
        <f ca="1">IF(ROWS($1:135)&gt;COUNT(Dong13),"",OFFSET(TH!H$1,SMALL(Dong13,ROWS($1:135)),))</f>
        <v/>
      </c>
      <c r="C148" s="683" t="str">
        <f t="shared" ref="C148" ca="1" si="7">IF(ISNA(VLOOKUP($B148,DSNL,6,0)),"",VLOOKUP($B148,DSNL,6,0))</f>
        <v/>
      </c>
      <c r="D148" s="683" t="str">
        <f ca="1">IF(ROWS($1:135)&gt;COUNT(Dong13),"",OFFSET(TH!D$1,SMALL(Dong13,ROWS($1:135)),))</f>
        <v/>
      </c>
      <c r="E148" s="1082" t="str">
        <f t="shared" ca="1" si="0"/>
        <v/>
      </c>
      <c r="F148" s="684" t="str">
        <f t="shared" ca="1" si="1"/>
        <v/>
      </c>
      <c r="G148" s="685" t="str">
        <f ca="1">IF(ROWS($1:135)&gt;COUNT(Dong13),"",OFFSET(TH!F$1,SMALL(Dong13,ROWS($1:135)),))</f>
        <v/>
      </c>
      <c r="H148" s="686" t="str">
        <f ca="1">IF(ROWS($1:135)&gt;COUNT(Dong13),"",OFFSET(TH!I$1,SMALL(Dong13,ROWS($1:135)),))</f>
        <v/>
      </c>
      <c r="I148" s="686" t="str">
        <f ca="1">IF(ROWS($1:135)&gt;COUNT(Dong13),"",OFFSET(TH!J$1,SMALL(Dong13,ROWS($1:135)),))</f>
        <v/>
      </c>
      <c r="J148" s="687">
        <f t="shared" ref="J148" ca="1" si="8">IF(B148&lt;&gt;"",H148*I148,0)</f>
        <v>0</v>
      </c>
      <c r="K148" s="689"/>
      <c r="L148" s="688"/>
      <c r="M148" s="667"/>
      <c r="N148" s="667"/>
    </row>
    <row r="149" spans="1:14" ht="28.5" customHeight="1">
      <c r="A149" s="668" t="s">
        <v>513</v>
      </c>
      <c r="B149" s="666"/>
      <c r="C149" s="666"/>
      <c r="D149" s="666"/>
      <c r="E149" s="1083">
        <f ca="1">SUM(J14:J148)</f>
        <v>27417376500</v>
      </c>
      <c r="F149" s="690"/>
      <c r="G149" s="666"/>
      <c r="H149" s="670"/>
      <c r="I149" s="670"/>
      <c r="J149" s="691"/>
      <c r="K149" s="666"/>
      <c r="L149" s="666"/>
      <c r="M149" s="667"/>
      <c r="N149" s="692">
        <f ca="1">SUBTOTAL(9,J14:J148)</f>
        <v>27417376500</v>
      </c>
    </row>
    <row r="150" spans="1:14" ht="15.75">
      <c r="A150" s="668"/>
      <c r="B150" s="666"/>
      <c r="C150" s="666"/>
      <c r="D150" s="666"/>
      <c r="E150" s="1084"/>
      <c r="F150" s="670"/>
      <c r="G150" s="666"/>
      <c r="H150" s="670"/>
      <c r="I150" s="670"/>
      <c r="J150" s="694" t="str">
        <f xml:space="preserve"> IF(OR($M$11=1,$M$11=4,$M$11=6,$M$11=9,$M$11=11),"Ngày  30  tháng  "&amp;$M$11&amp;"  năm 2016",IF(OR($M$11=3,$M$11=5,$M$11=7,$M$11=8,$M$11=10,$M$11=12),"Ngày  31  tháng  "&amp;$M$11&amp;"  năm 2016","Ngày  29  tháng  "&amp;$M$11&amp;"  năm 2016"))</f>
        <v>Ngày  30  tháng  11  năm 2016</v>
      </c>
      <c r="K150" s="695"/>
      <c r="L150" s="666"/>
      <c r="M150" s="667"/>
      <c r="N150" s="667"/>
    </row>
    <row r="151" spans="1:14" ht="15.75">
      <c r="A151" s="668"/>
      <c r="B151" s="696" t="s">
        <v>514</v>
      </c>
      <c r="C151" s="696"/>
      <c r="D151" s="696"/>
      <c r="E151" s="1080"/>
      <c r="F151" s="666"/>
      <c r="G151" s="666"/>
      <c r="H151" s="670"/>
      <c r="I151" s="670"/>
      <c r="J151" s="697" t="s">
        <v>515</v>
      </c>
      <c r="K151" s="666"/>
      <c r="L151" s="666"/>
      <c r="M151" s="667"/>
      <c r="N151" s="667"/>
    </row>
    <row r="152" spans="1:14" ht="15.75">
      <c r="A152" s="668"/>
      <c r="B152" s="698" t="s">
        <v>516</v>
      </c>
      <c r="C152" s="698"/>
      <c r="D152" s="698"/>
      <c r="E152" s="1080"/>
      <c r="F152" s="699"/>
      <c r="G152" s="666"/>
      <c r="H152" s="670"/>
      <c r="I152" s="670"/>
      <c r="J152" s="700" t="s">
        <v>517</v>
      </c>
      <c r="K152" s="666"/>
      <c r="L152" s="666"/>
      <c r="M152" s="667"/>
      <c r="N152" s="667"/>
    </row>
    <row r="153" spans="1:14" ht="15.75">
      <c r="A153" s="668"/>
      <c r="B153" s="698"/>
      <c r="C153" s="698"/>
      <c r="D153" s="698"/>
      <c r="E153" s="1080"/>
      <c r="F153" s="699"/>
      <c r="G153" s="666"/>
      <c r="H153" s="670"/>
      <c r="I153" s="700"/>
      <c r="J153" s="666"/>
      <c r="K153" s="666"/>
      <c r="L153" s="666"/>
      <c r="M153" s="667"/>
      <c r="N153" s="667"/>
    </row>
    <row r="154" spans="1:14" ht="15.75">
      <c r="A154" s="668"/>
      <c r="B154" s="698"/>
      <c r="C154" s="698"/>
      <c r="D154" s="698"/>
      <c r="E154" s="1080"/>
      <c r="F154" s="699"/>
      <c r="G154" s="666"/>
      <c r="H154" s="670"/>
      <c r="I154" s="700"/>
      <c r="J154" s="666"/>
      <c r="K154" s="666"/>
      <c r="L154" s="666"/>
      <c r="M154" s="667"/>
      <c r="N154" s="667"/>
    </row>
    <row r="155" spans="1:14" ht="15.75">
      <c r="A155" s="668"/>
      <c r="B155" s="693"/>
      <c r="C155" s="666"/>
      <c r="D155" s="666"/>
      <c r="E155" s="1080"/>
      <c r="F155" s="693"/>
      <c r="G155" s="666"/>
      <c r="H155" s="670"/>
      <c r="I155" s="670"/>
      <c r="J155" s="472"/>
      <c r="K155" s="666"/>
      <c r="L155" s="666"/>
      <c r="M155" s="667"/>
      <c r="N155" s="667"/>
    </row>
    <row r="156" spans="1:14" ht="15.75">
      <c r="A156" s="668"/>
      <c r="B156" s="701"/>
      <c r="C156" s="701"/>
      <c r="D156" s="701"/>
      <c r="E156" s="1085"/>
      <c r="F156" s="666"/>
      <c r="G156" s="666"/>
      <c r="H156" s="1531"/>
      <c r="I156" s="1531"/>
      <c r="J156" s="1531"/>
      <c r="K156" s="666"/>
      <c r="L156" s="666"/>
      <c r="M156" s="667"/>
      <c r="N156" s="667"/>
    </row>
    <row r="157" spans="1:14" ht="15.75">
      <c r="A157" s="668"/>
      <c r="B157" s="1070" t="s">
        <v>223</v>
      </c>
      <c r="C157" s="1076"/>
      <c r="D157" s="666"/>
      <c r="E157" s="1080"/>
      <c r="F157" s="666"/>
      <c r="G157" s="666"/>
      <c r="H157" s="670"/>
      <c r="I157" s="670"/>
      <c r="J157" s="1071" t="s">
        <v>122</v>
      </c>
      <c r="K157" s="1071"/>
      <c r="L157" s="1071"/>
      <c r="M157" s="1071"/>
      <c r="N157" s="667"/>
    </row>
    <row r="158" spans="1:14" ht="15.75">
      <c r="A158" s="702" t="s">
        <v>518</v>
      </c>
      <c r="B158" s="666"/>
      <c r="C158" s="666"/>
      <c r="D158" s="666"/>
      <c r="E158" s="1080"/>
      <c r="F158" s="666"/>
      <c r="G158" s="666"/>
      <c r="H158" s="670"/>
      <c r="I158" s="670"/>
      <c r="J158" s="666"/>
      <c r="K158" s="666"/>
      <c r="L158" s="666"/>
      <c r="M158" s="667"/>
      <c r="N158" s="667"/>
    </row>
    <row r="159" spans="1:14" ht="37.5" customHeight="1">
      <c r="A159" s="1532" t="s">
        <v>519</v>
      </c>
      <c r="B159" s="1533"/>
      <c r="C159" s="1533"/>
      <c r="D159" s="1533"/>
      <c r="E159" s="1533"/>
      <c r="F159" s="1533"/>
      <c r="G159" s="1533"/>
      <c r="H159" s="1533"/>
      <c r="I159" s="1533"/>
      <c r="J159" s="1533"/>
      <c r="K159" s="1533"/>
      <c r="L159" s="666"/>
      <c r="M159" s="667"/>
      <c r="N159" s="667"/>
    </row>
    <row r="160" spans="1:14" ht="45" customHeight="1">
      <c r="A160" s="1532" t="s">
        <v>520</v>
      </c>
      <c r="B160" s="1532"/>
      <c r="C160" s="1532"/>
      <c r="D160" s="1532"/>
      <c r="E160" s="1532"/>
      <c r="F160" s="1532"/>
      <c r="G160" s="1532"/>
      <c r="H160" s="1532"/>
      <c r="I160" s="1532"/>
      <c r="J160" s="1532"/>
      <c r="K160" s="1532"/>
      <c r="L160" s="666"/>
      <c r="M160" s="667"/>
      <c r="N160" s="667"/>
    </row>
  </sheetData>
  <mergeCells count="10">
    <mergeCell ref="H156:J156"/>
    <mergeCell ref="A159:K159"/>
    <mergeCell ref="A160:K16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5" right="0" top="0.3" bottom="0.3" header="0.1" footer="0.1"/>
  <pageSetup scale="80" orientation="portrait" verticalDpi="0"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60" customWidth="1"/>
    <col min="2" max="2" width="15.7109375" style="1060" customWidth="1"/>
    <col min="3" max="3" width="16.85546875" style="1060" customWidth="1"/>
    <col min="4" max="8" width="15.28515625" style="1060" customWidth="1"/>
    <col min="9" max="9" width="10.140625" style="1060" customWidth="1"/>
    <col min="10" max="10" width="5.85546875" style="1060" customWidth="1"/>
    <col min="11" max="16384" width="10.28515625" style="1060"/>
  </cols>
  <sheetData>
    <row r="1" spans="1:10" s="808" customFormat="1" ht="15" customHeight="1">
      <c r="A1" s="1047" t="s">
        <v>310</v>
      </c>
      <c r="B1" s="1047"/>
      <c r="D1" s="809"/>
      <c r="E1" s="809"/>
      <c r="F1" s="1551" t="s">
        <v>550</v>
      </c>
      <c r="G1" s="1551"/>
      <c r="H1" s="1551"/>
      <c r="I1" s="810"/>
      <c r="J1" s="811"/>
    </row>
    <row r="2" spans="1:10" s="808" customFormat="1" ht="29.25" customHeight="1">
      <c r="A2" s="1047" t="s">
        <v>551</v>
      </c>
      <c r="B2" s="1047"/>
      <c r="D2" s="812"/>
      <c r="E2" s="812"/>
      <c r="F2" s="1552" t="s">
        <v>141</v>
      </c>
      <c r="G2" s="1552"/>
      <c r="H2" s="1552"/>
      <c r="I2" s="810"/>
      <c r="J2" s="673">
        <v>1</v>
      </c>
    </row>
    <row r="3" spans="1:10" s="808" customFormat="1" ht="15">
      <c r="A3" s="1048"/>
      <c r="B3" s="1049"/>
      <c r="C3" s="812"/>
      <c r="D3" s="812"/>
      <c r="E3" s="812"/>
      <c r="F3" s="1552"/>
      <c r="G3" s="1552"/>
      <c r="H3" s="1552"/>
      <c r="I3" s="810"/>
    </row>
    <row r="4" spans="1:10" s="1051" customFormat="1" ht="17.25" customHeight="1">
      <c r="A4" s="1553" t="s">
        <v>552</v>
      </c>
      <c r="B4" s="1553"/>
      <c r="C4" s="1553"/>
      <c r="D4" s="1553"/>
      <c r="E4" s="1553"/>
      <c r="F4" s="1553"/>
      <c r="G4" s="1553"/>
      <c r="H4" s="1553"/>
      <c r="I4" s="1050"/>
    </row>
    <row r="5" spans="1:10" s="1052" customFormat="1" ht="17.25" customHeight="1">
      <c r="B5" s="1053"/>
      <c r="C5" s="1054" t="s">
        <v>456</v>
      </c>
      <c r="D5" s="1053" t="str">
        <f>IF($J$2&lt;10,"0"&amp;$J$2&amp;"  năm 2016",$J$2&amp;"  năm 2016")</f>
        <v>01  năm 2016</v>
      </c>
      <c r="E5" s="1053"/>
      <c r="F5" s="1053"/>
      <c r="G5" s="1053"/>
      <c r="H5" s="1053"/>
      <c r="I5" s="1053"/>
    </row>
    <row r="6" spans="1:10" s="1052" customFormat="1" ht="17.25" customHeight="1">
      <c r="B6" s="1055"/>
      <c r="C6" s="1554" t="s">
        <v>553</v>
      </c>
      <c r="D6" s="1554"/>
      <c r="E6" s="1555" t="s">
        <v>442</v>
      </c>
      <c r="F6" s="1555"/>
      <c r="H6" s="1055"/>
      <c r="I6" s="1053"/>
    </row>
    <row r="7" spans="1:10" s="1057" customFormat="1" ht="9.75" customHeight="1">
      <c r="A7" s="1056"/>
      <c r="B7" s="1056"/>
      <c r="C7" s="1056"/>
      <c r="D7" s="1056"/>
      <c r="E7" s="1056"/>
      <c r="F7" s="1056"/>
      <c r="G7" s="1056"/>
      <c r="H7" s="1056"/>
      <c r="I7" s="1055"/>
    </row>
    <row r="8" spans="1:10" s="814" customFormat="1" ht="17.25" customHeight="1">
      <c r="A8" s="1556" t="s">
        <v>554</v>
      </c>
      <c r="B8" s="1557" t="s">
        <v>555</v>
      </c>
      <c r="C8" s="1557" t="s">
        <v>556</v>
      </c>
      <c r="D8" s="1557"/>
      <c r="E8" s="1557"/>
      <c r="F8" s="1557"/>
      <c r="G8" s="1557"/>
      <c r="H8" s="1557"/>
      <c r="I8" s="813"/>
    </row>
    <row r="9" spans="1:10" s="817" customFormat="1" ht="28.5">
      <c r="A9" s="1556"/>
      <c r="B9" s="1557"/>
      <c r="C9" s="815" t="s">
        <v>557</v>
      </c>
      <c r="D9" s="815" t="s">
        <v>558</v>
      </c>
      <c r="E9" s="815" t="s">
        <v>559</v>
      </c>
      <c r="F9" s="815" t="s">
        <v>560</v>
      </c>
      <c r="G9" s="815" t="s">
        <v>561</v>
      </c>
      <c r="H9" s="815" t="s">
        <v>562</v>
      </c>
      <c r="I9" s="816"/>
    </row>
    <row r="10" spans="1:10" s="820" customFormat="1" ht="15">
      <c r="A10" s="818" t="s">
        <v>2</v>
      </c>
      <c r="B10" s="819">
        <v>1</v>
      </c>
      <c r="C10" s="819">
        <v>2</v>
      </c>
      <c r="D10" s="819">
        <v>3</v>
      </c>
      <c r="E10" s="819">
        <v>4</v>
      </c>
      <c r="F10" s="819">
        <v>5</v>
      </c>
      <c r="G10" s="819">
        <v>6</v>
      </c>
      <c r="H10" s="819">
        <v>7</v>
      </c>
      <c r="I10" s="810"/>
    </row>
    <row r="11" spans="1:10" s="1052" customFormat="1" ht="24.75" customHeight="1">
      <c r="A11" s="1058" t="s">
        <v>563</v>
      </c>
      <c r="B11" s="1059">
        <f>ROUND(SUM(C11:H11),0)</f>
        <v>0</v>
      </c>
      <c r="C11" s="1059">
        <v>0</v>
      </c>
      <c r="D11" s="1059">
        <v>0</v>
      </c>
      <c r="E11" s="1059">
        <v>0</v>
      </c>
      <c r="F11" s="1059">
        <v>0</v>
      </c>
      <c r="G11" s="1059">
        <v>0</v>
      </c>
      <c r="H11" s="1059">
        <v>0</v>
      </c>
      <c r="I11" s="1053"/>
    </row>
    <row r="12" spans="1:10" s="1052" customFormat="1" ht="24.75" customHeight="1">
      <c r="A12" s="1058" t="s">
        <v>564</v>
      </c>
      <c r="B12" s="1059">
        <f ca="1">ROUND(SUM(C12:H12),0)</f>
        <v>2096337158</v>
      </c>
      <c r="C12" s="1059">
        <f ca="1">IF(ISNA(VLOOKUP($E6,INDIRECT("DSSP"&amp;$J$2),6,0)),0,VLOOKUP($E6,INDIRECT("DSSP"&amp;$J$2),6,0))</f>
        <v>1914000000</v>
      </c>
      <c r="D12" s="1059">
        <f ca="1">IF(ISNA(VLOOKUP($E6,INDIRECT("DSSP"&amp;$J$2),7,0)),0,VLOOKUP($E6,INDIRECT("DSSP"&amp;$J$2),7,0))</f>
        <v>71576403.830985919</v>
      </c>
      <c r="E12" s="1059">
        <f ca="1">IF(ISNA(VLOOKUP($E6,INDIRECT("DSSP"&amp;$J$2),8,0)),0,VLOOKUP($E6,INDIRECT("DSSP"&amp;$J$2),8,0))</f>
        <v>26072400.045070425</v>
      </c>
      <c r="F12" s="1059">
        <f ca="1">IF(ISNA(VLOOKUP($E6,INDIRECT("DSSP"&amp;$J$2),9,0)),0,VLOOKUP($E6,INDIRECT("DSSP"&amp;$J$2),9,0))</f>
        <v>41135364.507042259</v>
      </c>
      <c r="G12" s="1059">
        <f ca="1">IF(ISNA(VLOOKUP($E6,INDIRECT("DSSP"&amp;$J$2),10,0)),0,VLOOKUP($E6,INDIRECT("DSSP"&amp;$J$2),10,0))</f>
        <v>28327989.273239437</v>
      </c>
      <c r="H12" s="1059">
        <f ca="1">IF(ISNA(VLOOKUP($E6,INDIRECT("DSSP"&amp;$J$2),11,0)),0,VLOOKUP($E6,INDIRECT("DSSP"&amp;$J$2),11,0))</f>
        <v>15225000</v>
      </c>
      <c r="I12" s="1053"/>
    </row>
    <row r="13" spans="1:10" s="1052" customFormat="1" ht="24.75" customHeight="1">
      <c r="A13" s="1058" t="s">
        <v>565</v>
      </c>
      <c r="B13" s="1059">
        <f ca="1">ROUND(IF(ISNA(VLOOKUP($E6,INDIRECT("DSSP"&amp;$J$2),13,0)),0,VLOOKUP($E6,INDIRECT("DSSP"&amp;$J$2),13,0)),0)</f>
        <v>2096337158</v>
      </c>
      <c r="C13" s="1059">
        <f t="shared" ref="C13:H13" ca="1" si="0">C12</f>
        <v>1914000000</v>
      </c>
      <c r="D13" s="1059">
        <f t="shared" ca="1" si="0"/>
        <v>71576403.830985919</v>
      </c>
      <c r="E13" s="1059">
        <f t="shared" ca="1" si="0"/>
        <v>26072400.045070425</v>
      </c>
      <c r="F13" s="1059">
        <f t="shared" ca="1" si="0"/>
        <v>41135364.507042259</v>
      </c>
      <c r="G13" s="1059">
        <f t="shared" ca="1" si="0"/>
        <v>28327989.273239437</v>
      </c>
      <c r="H13" s="1059">
        <f t="shared" ca="1" si="0"/>
        <v>15225000</v>
      </c>
      <c r="I13" s="1053"/>
    </row>
    <row r="14" spans="1:10" s="1052" customFormat="1" ht="24.75" customHeight="1">
      <c r="A14" s="1058" t="s">
        <v>566</v>
      </c>
      <c r="B14" s="1059">
        <f ca="1">B12-B13</f>
        <v>0</v>
      </c>
      <c r="C14" s="1059">
        <f t="shared" ref="C14:H14" ca="1" si="1">C12-C13</f>
        <v>0</v>
      </c>
      <c r="D14" s="1059">
        <f t="shared" ca="1" si="1"/>
        <v>0</v>
      </c>
      <c r="E14" s="1059">
        <f t="shared" ca="1" si="1"/>
        <v>0</v>
      </c>
      <c r="F14" s="1059">
        <f t="shared" ca="1" si="1"/>
        <v>0</v>
      </c>
      <c r="G14" s="1059">
        <f t="shared" ca="1" si="1"/>
        <v>0</v>
      </c>
      <c r="H14" s="1059">
        <f t="shared" ca="1" si="1"/>
        <v>0</v>
      </c>
      <c r="I14" s="1053"/>
    </row>
    <row r="15" spans="1:10" s="1052" customFormat="1" ht="15">
      <c r="B15" s="1053"/>
      <c r="C15" s="1053"/>
      <c r="D15" s="1053"/>
      <c r="E15" s="1053"/>
      <c r="F15" s="1053"/>
      <c r="G15" s="1053"/>
      <c r="H15" s="1053"/>
      <c r="I15" s="1053"/>
    </row>
    <row r="16" spans="1:10" s="1052" customFormat="1" ht="15">
      <c r="B16" s="1053"/>
      <c r="C16" s="1053"/>
      <c r="D16" s="1053"/>
      <c r="E16" s="1550" t="str">
        <f xml:space="preserve"> IF(OR($J$2=1,$J$2=4,$J$2=6,$J$2=9,$J$2=11),"Ngày  30  tháng  "&amp;$J$2&amp;"  năm 2016",IF(OR($J$2=3,$J$2=5,$J$2=7,$J$2=8,$J$2=10,$J$2=12),"Ngày  31  tháng  "&amp;$J$2&amp;"  năm 2016","Ngày  29  tháng  "&amp;$J$2&amp;"  năm 2016"))</f>
        <v>Ngày  30  tháng  1  năm 2016</v>
      </c>
      <c r="F16" s="1550"/>
      <c r="G16" s="1550"/>
      <c r="H16" s="1550"/>
      <c r="I16" s="1053"/>
    </row>
    <row r="17" spans="2:9" s="1052" customFormat="1" ht="15">
      <c r="B17" s="820" t="s">
        <v>567</v>
      </c>
      <c r="C17" s="1053"/>
      <c r="D17" s="1053"/>
      <c r="E17" s="1550" t="s">
        <v>12</v>
      </c>
      <c r="F17" s="1550"/>
      <c r="G17" s="1550"/>
      <c r="H17" s="1550"/>
      <c r="I17" s="1053"/>
    </row>
    <row r="19" spans="2:9" ht="15">
      <c r="E19" s="1061"/>
    </row>
    <row r="26" spans="2:9">
      <c r="B26" s="1031" t="s">
        <v>223</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51" customWidth="1"/>
    <col min="2" max="2" width="9.140625" style="951" customWidth="1"/>
    <col min="3" max="3" width="9" style="952" customWidth="1"/>
    <col min="4" max="4" width="28.140625" style="951" customWidth="1"/>
    <col min="5" max="5" width="9.140625" style="951" customWidth="1"/>
    <col min="6" max="6" width="9.28515625" style="952" customWidth="1"/>
    <col min="7" max="7" width="9" style="951" customWidth="1"/>
    <col min="8" max="8" width="14.5703125" style="951" customWidth="1"/>
    <col min="9" max="9" width="6" style="951" customWidth="1"/>
    <col min="10" max="10" width="14.140625" style="951" customWidth="1"/>
    <col min="11" max="11" width="14.85546875" style="953" customWidth="1"/>
    <col min="12" max="12" width="14.42578125" style="951" customWidth="1"/>
    <col min="13" max="13" width="5.85546875" style="951" customWidth="1"/>
    <col min="14" max="14" width="7.42578125" style="951" customWidth="1"/>
    <col min="15" max="15" width="11.7109375" style="951" customWidth="1"/>
    <col min="16" max="16" width="4.5703125" style="1032" customWidth="1"/>
    <col min="17" max="17" width="12.85546875" style="951" bestFit="1" customWidth="1"/>
    <col min="18" max="16384" width="9.140625" style="951"/>
  </cols>
  <sheetData>
    <row r="1" spans="1:17" ht="15" customHeight="1">
      <c r="A1" s="950" t="s">
        <v>1205</v>
      </c>
      <c r="M1" s="954"/>
      <c r="N1" s="955" t="s">
        <v>1206</v>
      </c>
      <c r="O1" s="954"/>
    </row>
    <row r="2" spans="1:17" ht="15" customHeight="1">
      <c r="A2" s="950" t="s">
        <v>1207</v>
      </c>
      <c r="L2" s="953"/>
      <c r="M2" s="953"/>
      <c r="N2" s="956" t="s">
        <v>313</v>
      </c>
      <c r="O2" s="953"/>
    </row>
    <row r="3" spans="1:17" ht="15" customHeight="1">
      <c r="L3" s="953"/>
      <c r="M3" s="953"/>
      <c r="N3" s="956" t="s">
        <v>231</v>
      </c>
      <c r="O3" s="953"/>
    </row>
    <row r="5" spans="1:17" s="957" customFormat="1" ht="24" customHeight="1">
      <c r="A5" s="1558" t="s">
        <v>1208</v>
      </c>
      <c r="B5" s="1558"/>
      <c r="C5" s="1558"/>
      <c r="D5" s="1558"/>
      <c r="E5" s="1558"/>
      <c r="F5" s="1558"/>
      <c r="G5" s="1558"/>
      <c r="H5" s="1558"/>
      <c r="I5" s="1558"/>
      <c r="J5" s="1558"/>
      <c r="K5" s="1558"/>
      <c r="L5" s="1558"/>
      <c r="M5" s="1558"/>
      <c r="N5" s="1558"/>
      <c r="O5" s="1558"/>
      <c r="P5" s="1033"/>
    </row>
    <row r="6" spans="1:17" s="957" customFormat="1" ht="21" customHeight="1">
      <c r="A6" s="1559" t="s">
        <v>1265</v>
      </c>
      <c r="B6" s="1559"/>
      <c r="C6" s="1559"/>
      <c r="D6" s="1559"/>
      <c r="E6" s="1559"/>
      <c r="F6" s="1559"/>
      <c r="G6" s="1559"/>
      <c r="H6" s="1559"/>
      <c r="I6" s="1559"/>
      <c r="J6" s="1559"/>
      <c r="K6" s="1559"/>
      <c r="L6" s="1559"/>
      <c r="M6" s="1559"/>
      <c r="N6" s="1559"/>
      <c r="O6" s="1559"/>
      <c r="P6" s="1033"/>
    </row>
    <row r="7" spans="1:17" s="957" customFormat="1" ht="21" customHeight="1">
      <c r="A7" s="1560" t="s">
        <v>1273</v>
      </c>
      <c r="B7" s="1560"/>
      <c r="C7" s="1560"/>
      <c r="D7" s="1560"/>
      <c r="E7" s="1560"/>
      <c r="F7" s="1560"/>
      <c r="G7" s="1560"/>
      <c r="H7" s="1560"/>
      <c r="I7" s="1560"/>
      <c r="J7" s="1560"/>
      <c r="K7" s="1560"/>
      <c r="L7" s="1560"/>
      <c r="M7" s="1560"/>
      <c r="N7" s="1560"/>
      <c r="O7" s="1560"/>
      <c r="P7" s="1033"/>
    </row>
    <row r="8" spans="1:17">
      <c r="D8" s="952"/>
    </row>
    <row r="9" spans="1:17" s="958" customFormat="1" ht="24" customHeight="1">
      <c r="A9" s="1561" t="s">
        <v>489</v>
      </c>
      <c r="B9" s="1564" t="s">
        <v>1209</v>
      </c>
      <c r="C9" s="1565"/>
      <c r="D9" s="1565"/>
      <c r="E9" s="1565"/>
      <c r="F9" s="1565"/>
      <c r="G9" s="1565"/>
      <c r="H9" s="1566"/>
      <c r="I9" s="1564" t="s">
        <v>1210</v>
      </c>
      <c r="J9" s="1565"/>
      <c r="K9" s="1565"/>
      <c r="L9" s="1566"/>
      <c r="M9" s="1567" t="s">
        <v>1211</v>
      </c>
      <c r="N9" s="1567"/>
      <c r="O9" s="1567"/>
      <c r="P9" s="1034"/>
    </row>
    <row r="10" spans="1:17" s="958" customFormat="1" ht="24" customHeight="1">
      <c r="A10" s="1562"/>
      <c r="B10" s="1564" t="s">
        <v>1212</v>
      </c>
      <c r="C10" s="1566"/>
      <c r="D10" s="1561" t="s">
        <v>1213</v>
      </c>
      <c r="E10" s="1561" t="s">
        <v>1214</v>
      </c>
      <c r="F10" s="1561" t="s">
        <v>1215</v>
      </c>
      <c r="G10" s="1561" t="s">
        <v>1216</v>
      </c>
      <c r="H10" s="1561" t="s">
        <v>1217</v>
      </c>
      <c r="I10" s="1564" t="s">
        <v>1218</v>
      </c>
      <c r="J10" s="1566"/>
      <c r="K10" s="1568" t="s">
        <v>1219</v>
      </c>
      <c r="L10" s="1561" t="s">
        <v>1220</v>
      </c>
      <c r="M10" s="1567" t="s">
        <v>1212</v>
      </c>
      <c r="N10" s="1567"/>
      <c r="O10" s="1567" t="s">
        <v>1221</v>
      </c>
      <c r="P10" s="1034"/>
    </row>
    <row r="11" spans="1:17" s="958" customFormat="1" ht="55.5" customHeight="1">
      <c r="A11" s="1563"/>
      <c r="B11" s="959" t="s">
        <v>1222</v>
      </c>
      <c r="C11" s="959" t="s">
        <v>490</v>
      </c>
      <c r="D11" s="1563"/>
      <c r="E11" s="1563"/>
      <c r="F11" s="1563"/>
      <c r="G11" s="1563"/>
      <c r="H11" s="1563"/>
      <c r="I11" s="959" t="s">
        <v>1223</v>
      </c>
      <c r="J11" s="959" t="s">
        <v>1224</v>
      </c>
      <c r="K11" s="1569"/>
      <c r="L11" s="1563"/>
      <c r="M11" s="959" t="s">
        <v>16</v>
      </c>
      <c r="N11" s="959" t="s">
        <v>490</v>
      </c>
      <c r="O11" s="1567"/>
      <c r="P11" s="1034"/>
    </row>
    <row r="12" spans="1:17" s="962" customFormat="1" ht="13.5">
      <c r="A12" s="960" t="s">
        <v>2</v>
      </c>
      <c r="B12" s="960" t="s">
        <v>3</v>
      </c>
      <c r="C12" s="960" t="s">
        <v>4</v>
      </c>
      <c r="D12" s="960" t="s">
        <v>5</v>
      </c>
      <c r="E12" s="960" t="s">
        <v>6</v>
      </c>
      <c r="F12" s="960" t="s">
        <v>153</v>
      </c>
      <c r="G12" s="960" t="s">
        <v>1225</v>
      </c>
      <c r="H12" s="960">
        <v>1</v>
      </c>
      <c r="I12" s="960">
        <v>2</v>
      </c>
      <c r="J12" s="960">
        <v>3</v>
      </c>
      <c r="K12" s="961"/>
      <c r="L12" s="960">
        <v>4</v>
      </c>
      <c r="M12" s="960" t="s">
        <v>1226</v>
      </c>
      <c r="N12" s="960" t="s">
        <v>1227</v>
      </c>
      <c r="O12" s="960" t="s">
        <v>1228</v>
      </c>
      <c r="P12" s="1035"/>
    </row>
    <row r="13" spans="1:17" s="962" customFormat="1" ht="21.75" customHeight="1">
      <c r="A13" s="990" t="s">
        <v>1226</v>
      </c>
      <c r="B13" s="991" t="s">
        <v>1268</v>
      </c>
      <c r="C13" s="991"/>
      <c r="D13" s="990"/>
      <c r="E13" s="990"/>
      <c r="F13" s="990"/>
      <c r="G13" s="990"/>
      <c r="H13" s="997"/>
      <c r="I13" s="997"/>
      <c r="J13" s="997"/>
      <c r="K13" s="997"/>
      <c r="L13" s="997"/>
      <c r="M13" s="990"/>
      <c r="N13" s="990"/>
      <c r="O13" s="990"/>
      <c r="P13" s="1035" t="str">
        <f>IF(D13='THE-TS'!$D$11,"x","")</f>
        <v/>
      </c>
    </row>
    <row r="14" spans="1:17" ht="21.75" customHeight="1">
      <c r="A14" s="989">
        <v>1</v>
      </c>
      <c r="B14" s="1002" t="s">
        <v>1275</v>
      </c>
      <c r="C14" s="964">
        <v>40543</v>
      </c>
      <c r="D14" s="329" t="s">
        <v>1229</v>
      </c>
      <c r="E14" s="739" t="s">
        <v>1230</v>
      </c>
      <c r="F14" s="1004" t="s">
        <v>1303</v>
      </c>
      <c r="G14" s="1037" t="str">
        <f>RIGHT(B14,5)</f>
        <v>03/10</v>
      </c>
      <c r="H14" s="410">
        <v>1101349856</v>
      </c>
      <c r="I14" s="410">
        <v>25</v>
      </c>
      <c r="J14" s="8">
        <f>ROUND(H14/I14,0)+10</f>
        <v>44054004</v>
      </c>
      <c r="K14" s="8">
        <v>220269960</v>
      </c>
      <c r="L14" s="8">
        <f>K14+J14</f>
        <v>264323964</v>
      </c>
      <c r="M14" s="739"/>
      <c r="N14" s="739"/>
      <c r="O14" s="220"/>
      <c r="P14" s="1035" t="str">
        <f>IF(D14='THE-TS'!$D$11,"x","")</f>
        <v/>
      </c>
      <c r="Q14" s="1027"/>
    </row>
    <row r="15" spans="1:17" ht="21.75" customHeight="1">
      <c r="A15" s="989">
        <v>2</v>
      </c>
      <c r="B15" s="1002" t="s">
        <v>1276</v>
      </c>
      <c r="C15" s="964">
        <v>40543</v>
      </c>
      <c r="D15" s="329" t="s">
        <v>1231</v>
      </c>
      <c r="E15" s="739" t="s">
        <v>1230</v>
      </c>
      <c r="F15" s="1004" t="s">
        <v>1303</v>
      </c>
      <c r="G15" s="1037" t="str">
        <f t="shared" ref="G15:G33" si="0">RIGHT(B15,5)</f>
        <v>04/10</v>
      </c>
      <c r="H15" s="410">
        <v>1712810212</v>
      </c>
      <c r="I15" s="410">
        <v>5</v>
      </c>
      <c r="J15" s="8"/>
      <c r="K15" s="8">
        <v>1712810212</v>
      </c>
      <c r="L15" s="8">
        <f t="shared" ref="L15:L33" si="1">K15+J15</f>
        <v>1712810212</v>
      </c>
      <c r="M15" s="985"/>
      <c r="N15" s="739"/>
      <c r="O15" s="220"/>
      <c r="P15" s="1035" t="str">
        <f>IF(D15='THE-TS'!$D$11,"x","")</f>
        <v/>
      </c>
      <c r="Q15" s="1027"/>
    </row>
    <row r="16" spans="1:17" ht="21.75" customHeight="1">
      <c r="A16" s="989">
        <v>3</v>
      </c>
      <c r="B16" s="1002" t="s">
        <v>1277</v>
      </c>
      <c r="C16" s="964">
        <v>40543</v>
      </c>
      <c r="D16" s="329" t="s">
        <v>1232</v>
      </c>
      <c r="E16" s="739" t="s">
        <v>1230</v>
      </c>
      <c r="F16" s="1004" t="s">
        <v>1303</v>
      </c>
      <c r="G16" s="1037" t="str">
        <f t="shared" si="0"/>
        <v>05/10</v>
      </c>
      <c r="H16" s="410">
        <v>4567613580</v>
      </c>
      <c r="I16" s="410">
        <v>25</v>
      </c>
      <c r="J16" s="8">
        <f>ROUND(H16/I16,0)-25</f>
        <v>182704518</v>
      </c>
      <c r="K16" s="8">
        <v>913522740</v>
      </c>
      <c r="L16" s="8">
        <f t="shared" si="1"/>
        <v>1096227258</v>
      </c>
      <c r="M16" s="739"/>
      <c r="N16" s="739"/>
      <c r="O16" s="220"/>
      <c r="P16" s="1035" t="str">
        <f>IF(D16='THE-TS'!$D$11,"x","")</f>
        <v/>
      </c>
      <c r="Q16" s="1027"/>
    </row>
    <row r="17" spans="1:17" ht="21.75" customHeight="1">
      <c r="A17" s="989">
        <v>4</v>
      </c>
      <c r="B17" s="1003" t="s">
        <v>1278</v>
      </c>
      <c r="C17" s="964">
        <v>41425</v>
      </c>
      <c r="D17" s="329" t="s">
        <v>1233</v>
      </c>
      <c r="E17" s="739" t="s">
        <v>1230</v>
      </c>
      <c r="F17" s="1004" t="s">
        <v>1293</v>
      </c>
      <c r="G17" s="1037" t="str">
        <f t="shared" si="0"/>
        <v>01/13</v>
      </c>
      <c r="H17" s="410">
        <v>108970000</v>
      </c>
      <c r="I17" s="998">
        <v>5</v>
      </c>
      <c r="J17" s="8">
        <f>ROUND(H17/I17,0)-10</f>
        <v>21793990</v>
      </c>
      <c r="K17" s="8">
        <v>56301177</v>
      </c>
      <c r="L17" s="8">
        <f>K17+J17</f>
        <v>78095167</v>
      </c>
      <c r="M17" s="739"/>
      <c r="N17" s="739"/>
      <c r="O17" s="220"/>
      <c r="P17" s="1035"/>
      <c r="Q17" s="1027"/>
    </row>
    <row r="18" spans="1:17" ht="21.75" customHeight="1">
      <c r="A18" s="989">
        <v>5</v>
      </c>
      <c r="B18" s="1003" t="s">
        <v>2920</v>
      </c>
      <c r="C18" s="964">
        <v>42551</v>
      </c>
      <c r="D18" s="329" t="s">
        <v>2921</v>
      </c>
      <c r="E18" s="739" t="s">
        <v>1230</v>
      </c>
      <c r="F18" s="1004" t="s">
        <v>2922</v>
      </c>
      <c r="G18" s="1037" t="str">
        <f>RIGHT(B18,5)</f>
        <v>01/16</v>
      </c>
      <c r="H18" s="410">
        <v>279617893</v>
      </c>
      <c r="I18" s="998">
        <v>10</v>
      </c>
      <c r="J18" s="8">
        <v>16311044</v>
      </c>
      <c r="K18" s="8"/>
      <c r="L18" s="8">
        <f t="shared" si="1"/>
        <v>16311044</v>
      </c>
      <c r="M18" s="739"/>
      <c r="N18" s="739"/>
      <c r="O18" s="220"/>
      <c r="P18" s="1035" t="str">
        <f>IF(D18='THE-TS'!$D$11,"x","")</f>
        <v>x</v>
      </c>
      <c r="Q18" s="1027"/>
    </row>
    <row r="19" spans="1:17" s="962" customFormat="1" ht="21.75" customHeight="1">
      <c r="A19" s="988" t="s">
        <v>1269</v>
      </c>
      <c r="B19" s="992" t="s">
        <v>1270</v>
      </c>
      <c r="C19" s="988"/>
      <c r="D19" s="988"/>
      <c r="E19" s="988"/>
      <c r="F19" s="988"/>
      <c r="G19" s="1037"/>
      <c r="H19" s="999"/>
      <c r="I19" s="999"/>
      <c r="J19" s="999"/>
      <c r="K19" s="999"/>
      <c r="L19" s="8"/>
      <c r="M19" s="988"/>
      <c r="N19" s="988"/>
      <c r="O19" s="220"/>
      <c r="P19" s="1035" t="str">
        <f>IF(D19='THE-TS'!$D$11,"x","")</f>
        <v/>
      </c>
      <c r="Q19" s="1027"/>
    </row>
    <row r="20" spans="1:17" ht="21.75" customHeight="1">
      <c r="A20" s="989">
        <v>1</v>
      </c>
      <c r="B20" s="1004" t="s">
        <v>1282</v>
      </c>
      <c r="C20" s="964">
        <v>40543</v>
      </c>
      <c r="D20" s="329" t="s">
        <v>1237</v>
      </c>
      <c r="E20" s="739"/>
      <c r="F20" s="1004" t="s">
        <v>1303</v>
      </c>
      <c r="G20" s="1037" t="str">
        <f t="shared" si="0"/>
        <v>02/10</v>
      </c>
      <c r="H20" s="410">
        <v>210000000</v>
      </c>
      <c r="I20" s="410">
        <v>5</v>
      </c>
      <c r="J20" s="8"/>
      <c r="K20" s="8">
        <v>210000000</v>
      </c>
      <c r="L20" s="8">
        <f t="shared" si="1"/>
        <v>210000000</v>
      </c>
      <c r="M20" s="985"/>
      <c r="N20" s="739"/>
      <c r="O20" s="220"/>
      <c r="P20" s="1035" t="str">
        <f>IF(D20='THE-TS'!$D$11,"x","")</f>
        <v/>
      </c>
      <c r="Q20" s="1027"/>
    </row>
    <row r="21" spans="1:17" ht="21.75" customHeight="1">
      <c r="A21" s="989">
        <v>2</v>
      </c>
      <c r="B21" s="1002" t="s">
        <v>1283</v>
      </c>
      <c r="C21" s="964">
        <v>40543</v>
      </c>
      <c r="D21" s="329" t="s">
        <v>1238</v>
      </c>
      <c r="E21" s="739" t="s">
        <v>1230</v>
      </c>
      <c r="F21" s="1004" t="s">
        <v>1303</v>
      </c>
      <c r="G21" s="1037" t="str">
        <f t="shared" si="0"/>
        <v>06/10</v>
      </c>
      <c r="H21" s="410">
        <v>2787898863</v>
      </c>
      <c r="I21" s="410">
        <v>5</v>
      </c>
      <c r="J21" s="8"/>
      <c r="K21" s="8">
        <v>2787898863</v>
      </c>
      <c r="L21" s="8">
        <f t="shared" si="1"/>
        <v>2787898863</v>
      </c>
      <c r="M21" s="985"/>
      <c r="N21" s="739"/>
      <c r="O21" s="220"/>
      <c r="P21" s="1035" t="str">
        <f>IF(D21='THE-TS'!$D$11,"x","")</f>
        <v/>
      </c>
      <c r="Q21" s="1027"/>
    </row>
    <row r="22" spans="1:17" ht="21.75" customHeight="1">
      <c r="A22" s="989">
        <v>3</v>
      </c>
      <c r="B22" s="1002" t="s">
        <v>1284</v>
      </c>
      <c r="C22" s="964">
        <v>41883</v>
      </c>
      <c r="D22" s="329" t="s">
        <v>1239</v>
      </c>
      <c r="E22" s="739"/>
      <c r="F22" s="1004" t="s">
        <v>1294</v>
      </c>
      <c r="G22" s="1037" t="str">
        <f t="shared" si="0"/>
        <v>12/14</v>
      </c>
      <c r="H22" s="410">
        <v>150000000</v>
      </c>
      <c r="I22" s="998">
        <v>3</v>
      </c>
      <c r="J22" s="8">
        <f>ROUND(H22/I22,0)-5</f>
        <v>49999995</v>
      </c>
      <c r="K22" s="8">
        <v>62500005</v>
      </c>
      <c r="L22" s="8">
        <f t="shared" si="1"/>
        <v>112500000</v>
      </c>
      <c r="M22" s="985"/>
      <c r="N22" s="220"/>
      <c r="O22" s="220"/>
      <c r="P22" s="1035" t="str">
        <f>IF(D22='THE-TS'!$D$11,"x","")</f>
        <v/>
      </c>
      <c r="Q22" s="1027"/>
    </row>
    <row r="23" spans="1:17" ht="21.75" customHeight="1">
      <c r="A23" s="989">
        <v>4</v>
      </c>
      <c r="B23" s="1002" t="s">
        <v>1285</v>
      </c>
      <c r="C23" s="964">
        <v>41883</v>
      </c>
      <c r="D23" s="329" t="s">
        <v>1240</v>
      </c>
      <c r="E23" s="739"/>
      <c r="F23" s="1004" t="s">
        <v>1294</v>
      </c>
      <c r="G23" s="1037" t="str">
        <f t="shared" si="0"/>
        <v>13/14</v>
      </c>
      <c r="H23" s="410">
        <v>80000000</v>
      </c>
      <c r="I23" s="998">
        <v>3</v>
      </c>
      <c r="J23" s="8">
        <f>ROUND(H23/I23,0)+4</f>
        <v>26666671</v>
      </c>
      <c r="K23" s="8">
        <v>33333330</v>
      </c>
      <c r="L23" s="8">
        <f t="shared" si="1"/>
        <v>60000001</v>
      </c>
      <c r="M23" s="985"/>
      <c r="N23" s="739"/>
      <c r="O23" s="220"/>
      <c r="P23" s="1035" t="str">
        <f>IF(D23='THE-TS'!$D$11,"x","")</f>
        <v/>
      </c>
      <c r="Q23" s="1027"/>
    </row>
    <row r="24" spans="1:17" ht="21.75" customHeight="1">
      <c r="A24" s="989">
        <v>5</v>
      </c>
      <c r="B24" s="1002" t="s">
        <v>1286</v>
      </c>
      <c r="C24" s="964">
        <v>41890</v>
      </c>
      <c r="D24" s="329" t="s">
        <v>1241</v>
      </c>
      <c r="E24" s="739"/>
      <c r="F24" s="1004" t="s">
        <v>1294</v>
      </c>
      <c r="G24" s="1037" t="str">
        <f t="shared" si="0"/>
        <v>14/14</v>
      </c>
      <c r="H24" s="410">
        <v>50000000</v>
      </c>
      <c r="I24" s="998">
        <v>3</v>
      </c>
      <c r="J24" s="8">
        <f>ROUND(H24/I24,0)-1</f>
        <v>16666666</v>
      </c>
      <c r="K24" s="8">
        <v>20833335</v>
      </c>
      <c r="L24" s="8">
        <f t="shared" si="1"/>
        <v>37500001</v>
      </c>
      <c r="M24" s="985"/>
      <c r="N24" s="739"/>
      <c r="O24" s="220"/>
      <c r="P24" s="1035" t="str">
        <f>IF(D24='THE-TS'!$D$11,"x","")</f>
        <v/>
      </c>
      <c r="Q24" s="1027"/>
    </row>
    <row r="25" spans="1:17" ht="21.75" customHeight="1">
      <c r="A25" s="989">
        <v>6</v>
      </c>
      <c r="B25" s="1002" t="s">
        <v>1287</v>
      </c>
      <c r="C25" s="964">
        <v>41890</v>
      </c>
      <c r="D25" s="329" t="s">
        <v>1242</v>
      </c>
      <c r="E25" s="739"/>
      <c r="F25" s="1004" t="s">
        <v>1294</v>
      </c>
      <c r="G25" s="1037" t="str">
        <f t="shared" si="0"/>
        <v>15/14</v>
      </c>
      <c r="H25" s="410">
        <v>100000000</v>
      </c>
      <c r="I25" s="998">
        <v>5</v>
      </c>
      <c r="J25" s="8">
        <f>ROUND(H25/I25,0)-5</f>
        <v>19999995</v>
      </c>
      <c r="K25" s="8">
        <v>25000005</v>
      </c>
      <c r="L25" s="8">
        <f t="shared" si="1"/>
        <v>45000000</v>
      </c>
      <c r="M25" s="985"/>
      <c r="N25" s="739"/>
      <c r="O25" s="220"/>
      <c r="P25" s="1035" t="str">
        <f>IF(D25='THE-TS'!$D$11,"x","")</f>
        <v/>
      </c>
      <c r="Q25" s="1027"/>
    </row>
    <row r="26" spans="1:17" ht="21.75" customHeight="1">
      <c r="A26" s="989">
        <v>7</v>
      </c>
      <c r="B26" s="1002" t="s">
        <v>1288</v>
      </c>
      <c r="C26" s="964">
        <v>41890</v>
      </c>
      <c r="D26" s="329" t="s">
        <v>1243</v>
      </c>
      <c r="E26" s="739"/>
      <c r="F26" s="1004" t="s">
        <v>1294</v>
      </c>
      <c r="G26" s="1037" t="str">
        <f t="shared" si="0"/>
        <v>16/14</v>
      </c>
      <c r="H26" s="410">
        <v>100000000</v>
      </c>
      <c r="I26" s="998">
        <v>5</v>
      </c>
      <c r="J26" s="8">
        <f>ROUND(H26/I26,0)-5</f>
        <v>19999995</v>
      </c>
      <c r="K26" s="8">
        <v>25000005</v>
      </c>
      <c r="L26" s="8">
        <f t="shared" si="1"/>
        <v>45000000</v>
      </c>
      <c r="M26" s="985"/>
      <c r="N26" s="739"/>
      <c r="O26" s="220"/>
      <c r="P26" s="1035" t="str">
        <f>IF(D26='THE-TS'!$D$11,"x","")</f>
        <v/>
      </c>
      <c r="Q26" s="1027"/>
    </row>
    <row r="27" spans="1:17" ht="21.75" customHeight="1">
      <c r="A27" s="989">
        <v>8</v>
      </c>
      <c r="B27" s="1002" t="s">
        <v>1289</v>
      </c>
      <c r="C27" s="964">
        <v>41890</v>
      </c>
      <c r="D27" s="329" t="s">
        <v>1244</v>
      </c>
      <c r="E27" s="739"/>
      <c r="F27" s="1004" t="s">
        <v>1294</v>
      </c>
      <c r="G27" s="1037" t="str">
        <f t="shared" si="0"/>
        <v>17/14</v>
      </c>
      <c r="H27" s="410">
        <v>110000000</v>
      </c>
      <c r="I27" s="998">
        <v>5</v>
      </c>
      <c r="J27" s="8">
        <f>ROUND(H27/I27,0)+5</f>
        <v>22000005</v>
      </c>
      <c r="K27" s="8">
        <f>27499995</f>
        <v>27499995</v>
      </c>
      <c r="L27" s="8">
        <f t="shared" si="1"/>
        <v>49500000</v>
      </c>
      <c r="M27" s="985"/>
      <c r="N27" s="739"/>
      <c r="O27" s="220"/>
      <c r="P27" s="1035" t="str">
        <f>IF(D27='THE-TS'!$D$11,"x","")</f>
        <v/>
      </c>
      <c r="Q27" s="1027"/>
    </row>
    <row r="28" spans="1:17" ht="21.75" customHeight="1">
      <c r="A28" s="989">
        <v>8</v>
      </c>
      <c r="B28" s="1002" t="s">
        <v>1289</v>
      </c>
      <c r="C28" s="964">
        <v>41890</v>
      </c>
      <c r="D28" s="329" t="s">
        <v>1244</v>
      </c>
      <c r="E28" s="739"/>
      <c r="F28" s="1004" t="s">
        <v>1294</v>
      </c>
      <c r="G28" s="1037" t="str">
        <f>RIGHT(B28,5)</f>
        <v>17/14</v>
      </c>
      <c r="H28" s="410">
        <v>110000000</v>
      </c>
      <c r="I28" s="998">
        <v>5</v>
      </c>
      <c r="J28" s="8">
        <f>ROUND(H28/I28,0)+5</f>
        <v>22000005</v>
      </c>
      <c r="K28" s="8">
        <f>27499995</f>
        <v>27499995</v>
      </c>
      <c r="L28" s="8">
        <f>K28+J28</f>
        <v>49500000</v>
      </c>
      <c r="M28" s="985"/>
      <c r="N28" s="739"/>
      <c r="O28" s="220"/>
      <c r="P28" s="1035" t="str">
        <f>IF(D28='THE-TS'!$D$11,"x","")</f>
        <v/>
      </c>
      <c r="Q28" s="1027"/>
    </row>
    <row r="29" spans="1:17" ht="21.75" customHeight="1">
      <c r="A29" s="989">
        <v>8</v>
      </c>
      <c r="B29" s="1002" t="s">
        <v>1289</v>
      </c>
      <c r="C29" s="964">
        <v>41890</v>
      </c>
      <c r="D29" s="329" t="s">
        <v>1244</v>
      </c>
      <c r="E29" s="739"/>
      <c r="F29" s="1004" t="s">
        <v>1294</v>
      </c>
      <c r="G29" s="1037" t="str">
        <f t="shared" si="0"/>
        <v>17/14</v>
      </c>
      <c r="H29" s="410">
        <v>110000000</v>
      </c>
      <c r="I29" s="998">
        <v>5</v>
      </c>
      <c r="J29" s="8">
        <f>ROUND(H29/I29,0)+5</f>
        <v>22000005</v>
      </c>
      <c r="K29" s="8">
        <f>27499995</f>
        <v>27499995</v>
      </c>
      <c r="L29" s="8">
        <f t="shared" si="1"/>
        <v>49500000</v>
      </c>
      <c r="M29" s="985"/>
      <c r="N29" s="739"/>
      <c r="O29" s="220"/>
      <c r="P29" s="1035" t="str">
        <f>IF(D29='THE-TS'!$D$11,"x","")</f>
        <v/>
      </c>
      <c r="Q29" s="1027"/>
    </row>
    <row r="30" spans="1:17" s="962" customFormat="1" ht="21.75" customHeight="1">
      <c r="A30" s="988" t="s">
        <v>1271</v>
      </c>
      <c r="B30" s="992" t="s">
        <v>1272</v>
      </c>
      <c r="C30" s="988"/>
      <c r="D30" s="988"/>
      <c r="E30" s="988"/>
      <c r="F30" s="988"/>
      <c r="G30" s="1037"/>
      <c r="H30" s="999"/>
      <c r="I30" s="999"/>
      <c r="J30" s="8"/>
      <c r="K30" s="999"/>
      <c r="L30" s="8"/>
      <c r="M30" s="988"/>
      <c r="N30" s="988"/>
      <c r="O30" s="220"/>
      <c r="P30" s="1035" t="str">
        <f>IF(D30='THE-TS'!$D$11,"x","")</f>
        <v/>
      </c>
      <c r="Q30" s="1027"/>
    </row>
    <row r="31" spans="1:17" ht="21.75" customHeight="1">
      <c r="A31" s="989">
        <v>1</v>
      </c>
      <c r="B31" s="1004" t="s">
        <v>1279</v>
      </c>
      <c r="C31" s="964">
        <v>40543</v>
      </c>
      <c r="D31" s="329" t="s">
        <v>1245</v>
      </c>
      <c r="E31" s="739" t="s">
        <v>1230</v>
      </c>
      <c r="F31" s="1004" t="s">
        <v>1303</v>
      </c>
      <c r="G31" s="1037" t="str">
        <f t="shared" si="0"/>
        <v>07/10</v>
      </c>
      <c r="H31" s="410">
        <v>2173860839</v>
      </c>
      <c r="I31" s="410">
        <v>5</v>
      </c>
      <c r="J31" s="8"/>
      <c r="K31" s="8">
        <v>2173860839</v>
      </c>
      <c r="L31" s="8">
        <f t="shared" si="1"/>
        <v>2173860839</v>
      </c>
      <c r="M31" s="739"/>
      <c r="N31" s="739"/>
      <c r="O31" s="220"/>
      <c r="P31" s="1035" t="str">
        <f>IF(D31='THE-TS'!$D$11,"x","")</f>
        <v/>
      </c>
      <c r="Q31" s="1027"/>
    </row>
    <row r="32" spans="1:17" ht="21.75" customHeight="1">
      <c r="A32" s="989">
        <v>2</v>
      </c>
      <c r="B32" s="1004" t="s">
        <v>1280</v>
      </c>
      <c r="C32" s="964">
        <v>40543</v>
      </c>
      <c r="D32" s="329" t="s">
        <v>1246</v>
      </c>
      <c r="E32" s="739" t="s">
        <v>1230</v>
      </c>
      <c r="F32" s="1004" t="s">
        <v>1303</v>
      </c>
      <c r="G32" s="1037" t="str">
        <f t="shared" si="0"/>
        <v>08/10</v>
      </c>
      <c r="H32" s="410">
        <v>1303180703</v>
      </c>
      <c r="I32" s="410">
        <v>10</v>
      </c>
      <c r="J32" s="8">
        <f>ROUND(H32/I32,0)+10</f>
        <v>130318080</v>
      </c>
      <c r="K32" s="8">
        <v>651590340</v>
      </c>
      <c r="L32" s="8">
        <f t="shared" si="1"/>
        <v>781908420</v>
      </c>
      <c r="M32" s="739"/>
      <c r="N32" s="739"/>
      <c r="O32" s="220"/>
      <c r="P32" s="1035" t="str">
        <f>IF(D32='THE-TS'!$D$11,"x","")</f>
        <v/>
      </c>
      <c r="Q32" s="1027"/>
    </row>
    <row r="33" spans="1:17" ht="21.75" customHeight="1">
      <c r="A33" s="989">
        <v>3</v>
      </c>
      <c r="B33" s="1004" t="s">
        <v>1281</v>
      </c>
      <c r="C33" s="964">
        <v>40543</v>
      </c>
      <c r="D33" s="329" t="s">
        <v>1247</v>
      </c>
      <c r="E33" s="739" t="s">
        <v>1230</v>
      </c>
      <c r="F33" s="1004" t="s">
        <v>1303</v>
      </c>
      <c r="G33" s="1037" t="str">
        <f t="shared" si="0"/>
        <v>09/10</v>
      </c>
      <c r="H33" s="410">
        <v>313876943</v>
      </c>
      <c r="I33" s="410">
        <v>10</v>
      </c>
      <c r="J33" s="8">
        <f>ROUND(H33/I33,0)+10</f>
        <v>31387704</v>
      </c>
      <c r="K33" s="8">
        <v>156938460</v>
      </c>
      <c r="L33" s="8">
        <f t="shared" si="1"/>
        <v>188326164</v>
      </c>
      <c r="M33" s="739"/>
      <c r="N33" s="739"/>
      <c r="O33" s="220"/>
      <c r="P33" s="1035" t="str">
        <f>IF(D33='THE-TS'!$D$11,"x","")</f>
        <v/>
      </c>
      <c r="Q33" s="1027"/>
    </row>
    <row r="34" spans="1:17" ht="21.75" customHeight="1">
      <c r="A34" s="967"/>
      <c r="B34" s="993"/>
      <c r="C34" s="994"/>
      <c r="D34" s="995"/>
      <c r="E34" s="968"/>
      <c r="F34" s="994"/>
      <c r="G34" s="993"/>
      <c r="H34" s="1000"/>
      <c r="I34" s="1000"/>
      <c r="J34" s="491"/>
      <c r="K34" s="491"/>
      <c r="L34" s="491"/>
      <c r="M34" s="968"/>
      <c r="N34" s="968"/>
      <c r="O34" s="968"/>
      <c r="P34" s="1035" t="str">
        <f>IF(D34='THE-TS'!$D$11,"x","")</f>
        <v/>
      </c>
    </row>
    <row r="35" spans="1:17" s="974" customFormat="1" ht="21.75" customHeight="1">
      <c r="A35" s="971"/>
      <c r="B35" s="972"/>
      <c r="C35" s="971"/>
      <c r="D35" s="971" t="s">
        <v>1234</v>
      </c>
      <c r="E35" s="971" t="s">
        <v>20</v>
      </c>
      <c r="F35" s="971" t="s">
        <v>20</v>
      </c>
      <c r="G35" s="971" t="s">
        <v>20</v>
      </c>
      <c r="H35" s="1001">
        <f>SUM(H13:H34)</f>
        <v>15369178889</v>
      </c>
      <c r="I35" s="1001"/>
      <c r="J35" s="1001">
        <f>SUM(J13:J34)</f>
        <v>625902677</v>
      </c>
      <c r="K35" s="1001">
        <f>SUM(K13:K34)</f>
        <v>9132359256</v>
      </c>
      <c r="L35" s="1001">
        <f>SUM(L13:L34)</f>
        <v>9758261933</v>
      </c>
      <c r="M35" s="971" t="s">
        <v>20</v>
      </c>
      <c r="N35" s="971" t="s">
        <v>20</v>
      </c>
      <c r="O35" s="971" t="s">
        <v>20</v>
      </c>
      <c r="P35" s="1035" t="str">
        <f>IF(D35='THE-TS'!$D$11,"x","")</f>
        <v/>
      </c>
    </row>
    <row r="36" spans="1:17" ht="6.75" customHeight="1">
      <c r="A36" s="773"/>
      <c r="B36" s="773"/>
      <c r="C36" s="975"/>
      <c r="D36" s="773"/>
      <c r="E36" s="975"/>
      <c r="F36" s="975"/>
      <c r="G36" s="975"/>
      <c r="H36" s="773"/>
      <c r="I36" s="773"/>
      <c r="J36" s="773"/>
      <c r="K36" s="976"/>
      <c r="L36" s="773"/>
      <c r="M36" s="773"/>
      <c r="N36" s="773"/>
      <c r="O36" s="773"/>
      <c r="P36" s="1035" t="str">
        <f>IF(D36='THE-TS'!$D$11,"x","")</f>
        <v/>
      </c>
    </row>
    <row r="37" spans="1:17" ht="13.5" customHeight="1">
      <c r="A37" s="773"/>
      <c r="B37" s="773"/>
      <c r="C37" s="975"/>
      <c r="D37" s="773" t="s">
        <v>1235</v>
      </c>
      <c r="E37" s="773"/>
      <c r="F37" s="975"/>
      <c r="G37" s="773"/>
      <c r="H37" s="953"/>
      <c r="I37" s="953"/>
      <c r="J37" s="1044"/>
      <c r="L37" s="953"/>
      <c r="M37" s="773"/>
      <c r="N37" s="773"/>
      <c r="O37" s="773"/>
      <c r="P37" s="1035" t="str">
        <f>IF(D37='THE-TS'!$D$11,"x","")</f>
        <v/>
      </c>
    </row>
    <row r="38" spans="1:17" ht="13.5" customHeight="1">
      <c r="A38" s="773"/>
      <c r="B38" s="773"/>
      <c r="C38" s="975"/>
      <c r="D38" s="773" t="s">
        <v>1266</v>
      </c>
      <c r="E38" s="773"/>
      <c r="F38" s="975"/>
      <c r="G38" s="773"/>
      <c r="H38" s="986"/>
      <c r="I38" s="773"/>
      <c r="J38" s="996"/>
      <c r="K38" s="976"/>
      <c r="L38" s="773"/>
      <c r="M38" s="773"/>
      <c r="N38" s="773"/>
      <c r="O38" s="773"/>
      <c r="P38" s="1035" t="str">
        <f>IF(D38='THE-TS'!$D$11,"x","")</f>
        <v/>
      </c>
    </row>
    <row r="39" spans="1:17" ht="13.5" customHeight="1">
      <c r="K39" s="977"/>
      <c r="L39" s="956" t="s">
        <v>1267</v>
      </c>
      <c r="P39" s="1035" t="str">
        <f>IF(D39='THE-TS'!$D$11,"x","")</f>
        <v/>
      </c>
    </row>
    <row r="40" spans="1:17" ht="13.5" customHeight="1">
      <c r="B40" s="952"/>
      <c r="D40" s="952" t="s">
        <v>11</v>
      </c>
      <c r="F40" s="952" t="s">
        <v>1236</v>
      </c>
      <c r="I40" s="978"/>
      <c r="K40" s="975"/>
      <c r="L40" s="975" t="s">
        <v>128</v>
      </c>
      <c r="P40" s="1035" t="str">
        <f>IF(D40='THE-TS'!$D$11,"x","")</f>
        <v/>
      </c>
    </row>
    <row r="41" spans="1:17" ht="13.5" customHeight="1">
      <c r="B41" s="952"/>
      <c r="D41" s="952"/>
      <c r="P41" s="1035" t="str">
        <f>IF(D41='THE-TS'!$D$11,"x","")</f>
        <v/>
      </c>
    </row>
    <row r="42" spans="1:17" ht="13.5" customHeight="1">
      <c r="H42" s="979"/>
      <c r="J42" s="979"/>
      <c r="L42" s="979"/>
      <c r="P42" s="1035" t="str">
        <f>IF(D42='THE-TS'!$D$11,"x","")</f>
        <v/>
      </c>
    </row>
    <row r="43" spans="1:17" ht="13.5" customHeight="1">
      <c r="H43" s="980"/>
      <c r="P43" s="1035" t="str">
        <f>IF(D43='THE-TS'!$D$11,"x","")</f>
        <v/>
      </c>
    </row>
    <row r="44" spans="1:17" ht="13.5" customHeight="1">
      <c r="H44" s="980"/>
      <c r="J44" s="979"/>
      <c r="P44" s="1035" t="str">
        <f>IF(D44='THE-TS'!$D$11,"x","")</f>
        <v/>
      </c>
    </row>
    <row r="45" spans="1:17" ht="13.5" customHeight="1">
      <c r="H45" s="980"/>
      <c r="P45" s="1035" t="str">
        <f>IF(D45='THE-TS'!$D$11,"x","")</f>
        <v/>
      </c>
    </row>
    <row r="46" spans="1:17" ht="13.5" customHeight="1">
      <c r="H46" s="980"/>
      <c r="P46" s="1035" t="str">
        <f>IF(D46='THE-TS'!$D$11,"x","")</f>
        <v/>
      </c>
    </row>
    <row r="47" spans="1:17" s="981" customFormat="1" ht="13.5" customHeight="1">
      <c r="C47" s="982"/>
      <c r="D47" s="982" t="s">
        <v>223</v>
      </c>
      <c r="F47" s="982"/>
      <c r="H47" s="983"/>
      <c r="K47" s="984"/>
      <c r="L47" s="981" t="s">
        <v>122</v>
      </c>
      <c r="P47" s="1035" t="str">
        <f>IF(D47='THE-TS'!$D$11,"x","")</f>
        <v/>
      </c>
    </row>
    <row r="48" spans="1:17" ht="13.5">
      <c r="P48" s="1035" t="str">
        <f>IF(D48='THE-TS'!$D$11,"x","")</f>
        <v/>
      </c>
    </row>
    <row r="49" spans="1:16" ht="13.5" customHeight="1">
      <c r="H49" s="980"/>
      <c r="P49" s="1035" t="str">
        <f>IF(D49='THE-TS'!$D$11,"x","")</f>
        <v/>
      </c>
    </row>
    <row r="50" spans="1:16" ht="13.5">
      <c r="P50" s="1035" t="str">
        <f>IF(D50='THE-TS'!$D$11,"x","")</f>
        <v/>
      </c>
    </row>
    <row r="51" spans="1:16" ht="13.5">
      <c r="P51" s="1035" t="str">
        <f>IF(D51='THE-TS'!$D$11,"x","")</f>
        <v/>
      </c>
    </row>
    <row r="52" spans="1:16" ht="13.5">
      <c r="P52" s="1035" t="str">
        <f>IF(D52='THE-TS'!$D$11,"x","")</f>
        <v/>
      </c>
    </row>
    <row r="53" spans="1:16" ht="13.5">
      <c r="A53" s="950" t="s">
        <v>1205</v>
      </c>
      <c r="L53" s="954"/>
      <c r="M53" s="954"/>
      <c r="N53" s="955" t="s">
        <v>1206</v>
      </c>
      <c r="O53" s="954"/>
      <c r="P53" s="1035" t="str">
        <f>IF(D53='THE-TS'!$D$11,"x","")</f>
        <v/>
      </c>
    </row>
    <row r="54" spans="1:16" ht="13.5">
      <c r="A54" s="950" t="s">
        <v>1207</v>
      </c>
      <c r="L54" s="953"/>
      <c r="M54" s="953"/>
      <c r="N54" s="956" t="s">
        <v>313</v>
      </c>
      <c r="O54" s="953"/>
      <c r="P54" s="1035" t="str">
        <f>IF(D54='THE-TS'!$D$11,"x","")</f>
        <v/>
      </c>
    </row>
    <row r="55" spans="1:16" ht="13.5">
      <c r="L55" s="953"/>
      <c r="M55" s="953"/>
      <c r="N55" s="956" t="s">
        <v>231</v>
      </c>
      <c r="O55" s="953"/>
      <c r="P55" s="1035" t="str">
        <f>IF(D55='THE-TS'!$D$11,"x","")</f>
        <v/>
      </c>
    </row>
    <row r="56" spans="1:16" ht="13.5">
      <c r="P56" s="1035" t="str">
        <f>IF(D56='THE-TS'!$D$11,"x","")</f>
        <v/>
      </c>
    </row>
    <row r="57" spans="1:16" s="1046" customFormat="1" ht="28.5" customHeight="1">
      <c r="A57" s="1558" t="s">
        <v>1208</v>
      </c>
      <c r="B57" s="1558"/>
      <c r="C57" s="1558"/>
      <c r="D57" s="1558"/>
      <c r="E57" s="1558"/>
      <c r="F57" s="1558"/>
      <c r="G57" s="1558"/>
      <c r="H57" s="1558"/>
      <c r="I57" s="1558"/>
      <c r="J57" s="1558"/>
      <c r="K57" s="1558"/>
      <c r="L57" s="1558"/>
      <c r="M57" s="1558"/>
      <c r="N57" s="1558"/>
      <c r="O57" s="1558"/>
      <c r="P57" s="1045" t="str">
        <f>IF(D57='THE-TS'!$D$11,"x","")</f>
        <v/>
      </c>
    </row>
    <row r="58" spans="1:16" s="957" customFormat="1" ht="19.5" customHeight="1">
      <c r="A58" s="1559" t="s">
        <v>1265</v>
      </c>
      <c r="B58" s="1559"/>
      <c r="C58" s="1559"/>
      <c r="D58" s="1559"/>
      <c r="E58" s="1559"/>
      <c r="F58" s="1559"/>
      <c r="G58" s="1559"/>
      <c r="H58" s="1559"/>
      <c r="I58" s="1559"/>
      <c r="J58" s="1559"/>
      <c r="K58" s="1559"/>
      <c r="L58" s="1559"/>
      <c r="M58" s="1559"/>
      <c r="N58" s="1559"/>
      <c r="O58" s="1559"/>
      <c r="P58" s="1035" t="str">
        <f>IF(D58='THE-TS'!$D$11,"x","")</f>
        <v/>
      </c>
    </row>
    <row r="59" spans="1:16" s="957" customFormat="1" ht="19.5" customHeight="1">
      <c r="A59" s="1560" t="s">
        <v>1274</v>
      </c>
      <c r="B59" s="1560"/>
      <c r="C59" s="1560"/>
      <c r="D59" s="1560"/>
      <c r="E59" s="1560"/>
      <c r="F59" s="1560"/>
      <c r="G59" s="1560"/>
      <c r="H59" s="1560"/>
      <c r="I59" s="1560"/>
      <c r="J59" s="1560"/>
      <c r="K59" s="1560"/>
      <c r="L59" s="1560"/>
      <c r="M59" s="1560"/>
      <c r="N59" s="1560"/>
      <c r="O59" s="1560"/>
      <c r="P59" s="1035" t="str">
        <f>IF(D59='THE-TS'!$D$11,"x","")</f>
        <v/>
      </c>
    </row>
    <row r="60" spans="1:16" ht="13.5">
      <c r="D60" s="952"/>
      <c r="P60" s="1035" t="str">
        <f>IF(D60='THE-TS'!$D$11,"x","")</f>
        <v/>
      </c>
    </row>
    <row r="61" spans="1:16" s="958" customFormat="1" ht="17.25" customHeight="1">
      <c r="A61" s="1561" t="s">
        <v>489</v>
      </c>
      <c r="B61" s="1564" t="s">
        <v>1209</v>
      </c>
      <c r="C61" s="1565"/>
      <c r="D61" s="1565"/>
      <c r="E61" s="1565"/>
      <c r="F61" s="1565"/>
      <c r="G61" s="1565"/>
      <c r="H61" s="1566"/>
      <c r="I61" s="1564" t="s">
        <v>1210</v>
      </c>
      <c r="J61" s="1565"/>
      <c r="K61" s="1565"/>
      <c r="L61" s="1566"/>
      <c r="M61" s="1567" t="s">
        <v>1211</v>
      </c>
      <c r="N61" s="1567"/>
      <c r="O61" s="1567"/>
      <c r="P61" s="1035" t="str">
        <f>IF(D61='THE-TS'!$D$11,"x","")</f>
        <v/>
      </c>
    </row>
    <row r="62" spans="1:16" s="958" customFormat="1" ht="17.25" customHeight="1">
      <c r="A62" s="1562"/>
      <c r="B62" s="1564" t="s">
        <v>1212</v>
      </c>
      <c r="C62" s="1566"/>
      <c r="D62" s="1561" t="s">
        <v>1213</v>
      </c>
      <c r="E62" s="1561" t="s">
        <v>1214</v>
      </c>
      <c r="F62" s="1561" t="s">
        <v>1215</v>
      </c>
      <c r="G62" s="1561" t="s">
        <v>1216</v>
      </c>
      <c r="H62" s="1561" t="s">
        <v>1217</v>
      </c>
      <c r="I62" s="1564" t="s">
        <v>1218</v>
      </c>
      <c r="J62" s="1566"/>
      <c r="K62" s="1568" t="s">
        <v>1219</v>
      </c>
      <c r="L62" s="1561" t="s">
        <v>1220</v>
      </c>
      <c r="M62" s="1567" t="s">
        <v>1212</v>
      </c>
      <c r="N62" s="1567"/>
      <c r="O62" s="1567" t="s">
        <v>1221</v>
      </c>
      <c r="P62" s="1035" t="str">
        <f>IF(D62='THE-TS'!$D$11,"x","")</f>
        <v/>
      </c>
    </row>
    <row r="63" spans="1:16" s="958" customFormat="1" ht="55.5" customHeight="1">
      <c r="A63" s="1563"/>
      <c r="B63" s="959" t="s">
        <v>1222</v>
      </c>
      <c r="C63" s="959" t="s">
        <v>490</v>
      </c>
      <c r="D63" s="1563"/>
      <c r="E63" s="1563"/>
      <c r="F63" s="1563"/>
      <c r="G63" s="1563"/>
      <c r="H63" s="1563"/>
      <c r="I63" s="959" t="s">
        <v>1223</v>
      </c>
      <c r="J63" s="959" t="s">
        <v>1224</v>
      </c>
      <c r="K63" s="1569"/>
      <c r="L63" s="1563"/>
      <c r="M63" s="959" t="s">
        <v>16</v>
      </c>
      <c r="N63" s="959" t="s">
        <v>490</v>
      </c>
      <c r="O63" s="1567"/>
      <c r="P63" s="1035" t="str">
        <f>IF(D63='THE-TS'!$D$11,"x","")</f>
        <v/>
      </c>
    </row>
    <row r="64" spans="1:16" s="962" customFormat="1" ht="13.5">
      <c r="A64" s="960" t="s">
        <v>2</v>
      </c>
      <c r="B64" s="960" t="s">
        <v>3</v>
      </c>
      <c r="C64" s="960" t="s">
        <v>4</v>
      </c>
      <c r="D64" s="960" t="s">
        <v>5</v>
      </c>
      <c r="E64" s="960" t="s">
        <v>6</v>
      </c>
      <c r="F64" s="960" t="s">
        <v>153</v>
      </c>
      <c r="G64" s="960" t="s">
        <v>1225</v>
      </c>
      <c r="H64" s="960">
        <v>1</v>
      </c>
      <c r="I64" s="960">
        <v>2</v>
      </c>
      <c r="J64" s="960">
        <v>3</v>
      </c>
      <c r="K64" s="961"/>
      <c r="L64" s="960">
        <v>4</v>
      </c>
      <c r="M64" s="960" t="s">
        <v>1226</v>
      </c>
      <c r="N64" s="960" t="s">
        <v>1227</v>
      </c>
      <c r="O64" s="960" t="s">
        <v>1228</v>
      </c>
      <c r="P64" s="1035" t="str">
        <f>IF(D64='THE-TS'!$D$11,"x","")</f>
        <v/>
      </c>
    </row>
    <row r="65" spans="1:17" ht="15.75" customHeight="1">
      <c r="A65" s="963">
        <v>1</v>
      </c>
      <c r="B65" s="1002" t="s">
        <v>1297</v>
      </c>
      <c r="C65" s="964">
        <v>40543</v>
      </c>
      <c r="D65" s="329" t="s">
        <v>1248</v>
      </c>
      <c r="E65" s="734"/>
      <c r="F65" s="1004" t="s">
        <v>1303</v>
      </c>
      <c r="G65" s="1037" t="str">
        <f>RIGHT(B65,5)</f>
        <v>10/10</v>
      </c>
      <c r="H65" s="329">
        <v>5405781300</v>
      </c>
      <c r="I65" s="966">
        <v>45</v>
      </c>
      <c r="J65" s="8">
        <f>ROUND(H65/I65,0)+5</f>
        <v>120128478</v>
      </c>
      <c r="K65" s="965">
        <v>600642360</v>
      </c>
      <c r="L65" s="965">
        <f>K65+J65</f>
        <v>720770838</v>
      </c>
      <c r="M65" s="734"/>
      <c r="N65" s="734"/>
      <c r="O65" s="220"/>
      <c r="P65" s="1035" t="str">
        <f>IF(D65='THE-TS'!$D$11,"x","")</f>
        <v/>
      </c>
      <c r="Q65" s="1027"/>
    </row>
    <row r="66" spans="1:17" ht="15.75" customHeight="1">
      <c r="A66" s="967"/>
      <c r="B66" s="968"/>
      <c r="C66" s="967"/>
      <c r="D66" s="968"/>
      <c r="E66" s="968"/>
      <c r="F66" s="967"/>
      <c r="G66" s="968"/>
      <c r="H66" s="968"/>
      <c r="I66" s="969"/>
      <c r="J66" s="968"/>
      <c r="K66" s="970"/>
      <c r="L66" s="968"/>
      <c r="M66" s="968"/>
      <c r="N66" s="968"/>
      <c r="O66" s="968"/>
      <c r="P66" s="1035" t="str">
        <f>IF(D66='THE-TS'!$D$11,"x","")</f>
        <v/>
      </c>
    </row>
    <row r="67" spans="1:17" s="974" customFormat="1" ht="15.75" customHeight="1">
      <c r="A67" s="971"/>
      <c r="B67" s="972"/>
      <c r="C67" s="971"/>
      <c r="D67" s="971" t="s">
        <v>1234</v>
      </c>
      <c r="E67" s="972"/>
      <c r="F67" s="971"/>
      <c r="G67" s="972"/>
      <c r="H67" s="973">
        <f>SUM(H65:H66)</f>
        <v>5405781300</v>
      </c>
      <c r="I67" s="973"/>
      <c r="J67" s="973">
        <f>SUM(J65:J66)</f>
        <v>120128478</v>
      </c>
      <c r="K67" s="973">
        <f>SUM(K65:K66)</f>
        <v>600642360</v>
      </c>
      <c r="L67" s="973">
        <f>SUM(L65:L66)</f>
        <v>720770838</v>
      </c>
      <c r="M67" s="972"/>
      <c r="N67" s="972"/>
      <c r="O67" s="972"/>
      <c r="P67" s="1035" t="str">
        <f>IF(D67='THE-TS'!$D$11,"x","")</f>
        <v/>
      </c>
    </row>
    <row r="68" spans="1:17" ht="6.75" customHeight="1">
      <c r="A68" s="773"/>
      <c r="B68" s="773"/>
      <c r="C68" s="975"/>
      <c r="D68" s="773"/>
      <c r="E68" s="773"/>
      <c r="F68" s="975"/>
      <c r="G68" s="773"/>
      <c r="H68" s="773"/>
      <c r="I68" s="773"/>
      <c r="J68" s="773"/>
      <c r="K68" s="976"/>
      <c r="L68" s="773"/>
      <c r="M68" s="773"/>
      <c r="N68" s="773"/>
      <c r="O68" s="773"/>
    </row>
    <row r="69" spans="1:17">
      <c r="A69" s="773"/>
      <c r="B69" s="773"/>
      <c r="C69" s="975"/>
      <c r="D69" s="773" t="s">
        <v>1235</v>
      </c>
      <c r="E69" s="773"/>
      <c r="F69" s="975"/>
      <c r="G69" s="773"/>
      <c r="H69" s="773"/>
      <c r="I69" s="773"/>
      <c r="J69" s="773"/>
      <c r="K69" s="976"/>
      <c r="L69" s="773"/>
      <c r="M69" s="773"/>
      <c r="N69" s="773"/>
      <c r="O69" s="773"/>
    </row>
    <row r="70" spans="1:17">
      <c r="A70" s="773"/>
      <c r="B70" s="773"/>
      <c r="C70" s="975"/>
      <c r="D70" s="773" t="s">
        <v>1266</v>
      </c>
      <c r="E70" s="773"/>
      <c r="F70" s="975"/>
      <c r="G70" s="773"/>
      <c r="I70" s="773"/>
      <c r="J70" s="996"/>
      <c r="K70" s="976"/>
      <c r="L70" s="773"/>
      <c r="M70" s="773"/>
      <c r="N70" s="773"/>
      <c r="O70" s="773"/>
    </row>
    <row r="71" spans="1:17">
      <c r="K71" s="956"/>
      <c r="L71" s="956" t="s">
        <v>1267</v>
      </c>
    </row>
    <row r="72" spans="1:17" ht="16.5" customHeight="1">
      <c r="B72" s="952"/>
      <c r="D72" s="952" t="s">
        <v>11</v>
      </c>
      <c r="F72" s="952" t="s">
        <v>1236</v>
      </c>
      <c r="I72" s="978"/>
      <c r="K72" s="975"/>
      <c r="L72" s="975" t="s">
        <v>128</v>
      </c>
    </row>
    <row r="75" spans="1:17">
      <c r="L75" s="979"/>
    </row>
    <row r="76" spans="1:17">
      <c r="D76" s="979"/>
    </row>
    <row r="77" spans="1:17">
      <c r="D77" s="953"/>
      <c r="L77" s="979"/>
    </row>
    <row r="78" spans="1:17">
      <c r="D78" s="986"/>
      <c r="L78" s="979"/>
    </row>
    <row r="79" spans="1:17" s="981" customFormat="1" ht="13.5" customHeight="1">
      <c r="C79" s="982"/>
      <c r="D79" s="982" t="s">
        <v>223</v>
      </c>
      <c r="F79" s="982"/>
      <c r="H79" s="983"/>
      <c r="K79" s="984"/>
      <c r="L79" s="981" t="s">
        <v>122</v>
      </c>
      <c r="P79" s="1036"/>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06" customWidth="1"/>
    <col min="2" max="2" width="10.140625" style="1006" customWidth="1"/>
    <col min="3" max="3" width="11.5703125" style="1006" customWidth="1"/>
    <col min="4" max="4" width="28.7109375" style="1006" customWidth="1"/>
    <col min="5" max="5" width="13.28515625" style="1006" customWidth="1"/>
    <col min="6" max="6" width="9.140625" style="1006"/>
    <col min="7" max="7" width="14" style="1006" customWidth="1"/>
    <col min="8" max="8" width="14.7109375" style="1006" customWidth="1"/>
    <col min="9" max="10" width="9.140625" style="1006"/>
    <col min="11" max="11" width="13.85546875" style="1006" customWidth="1"/>
    <col min="12" max="16384" width="9.140625" style="1006"/>
  </cols>
  <sheetData>
    <row r="2" spans="1:11">
      <c r="A2" s="1023" t="s">
        <v>1205</v>
      </c>
      <c r="B2" s="1005"/>
      <c r="C2" s="1005"/>
      <c r="D2" s="1005"/>
      <c r="E2" s="955"/>
      <c r="F2" s="955"/>
      <c r="G2" s="955" t="s">
        <v>1249</v>
      </c>
      <c r="H2" s="955"/>
    </row>
    <row r="3" spans="1:11">
      <c r="A3" s="1023" t="s">
        <v>1207</v>
      </c>
      <c r="B3" s="1005"/>
      <c r="C3" s="1005"/>
      <c r="D3" s="1005"/>
      <c r="E3" s="956"/>
      <c r="F3" s="956"/>
      <c r="G3" s="956" t="s">
        <v>313</v>
      </c>
      <c r="H3" s="956"/>
    </row>
    <row r="4" spans="1:11">
      <c r="A4" s="952"/>
      <c r="B4" s="952"/>
      <c r="C4" s="956"/>
      <c r="D4" s="956"/>
      <c r="E4" s="956"/>
      <c r="F4" s="956"/>
      <c r="G4" s="956" t="s">
        <v>231</v>
      </c>
      <c r="H4" s="956"/>
    </row>
    <row r="5" spans="1:11">
      <c r="A5" s="952"/>
      <c r="B5" s="952"/>
      <c r="C5" s="956"/>
      <c r="D5" s="956"/>
      <c r="E5" s="956"/>
      <c r="F5" s="956"/>
      <c r="G5" s="956"/>
      <c r="H5" s="956"/>
    </row>
    <row r="6" spans="1:11" ht="23.25" customHeight="1" thickBot="1">
      <c r="A6" s="1581" t="s">
        <v>1250</v>
      </c>
      <c r="B6" s="1581"/>
      <c r="C6" s="1581"/>
      <c r="D6" s="1581"/>
      <c r="E6" s="1581"/>
      <c r="F6" s="1581"/>
      <c r="G6" s="1581"/>
      <c r="H6" s="1581"/>
    </row>
    <row r="7" spans="1:11" ht="17.25" customHeight="1" thickBot="1">
      <c r="A7" s="1582" t="str">
        <f ca="1" xml:space="preserve"> IF(ROWS($1:1)&gt;COUNT(Dong3),"","Số: "&amp;OFFSET('SO-TS'!$B$1,SMALL(Dong3,ROWS($1:1)),))</f>
        <v>Số: SX 01/16</v>
      </c>
      <c r="B7" s="1582"/>
      <c r="C7" s="1582"/>
      <c r="D7" s="1582"/>
      <c r="E7" s="1582"/>
      <c r="F7" s="1582"/>
      <c r="G7" s="1582"/>
      <c r="H7" s="1582"/>
      <c r="J7" s="1024" t="s">
        <v>1290</v>
      </c>
      <c r="K7" s="1025" t="s">
        <v>1333</v>
      </c>
    </row>
    <row r="8" spans="1:11" ht="17.25" customHeight="1">
      <c r="A8" s="1583" t="str">
        <f ca="1" xml:space="preserve"> IF(ROWS($1:1)&gt;COUNT(Dong3),"","Ngày   "&amp;DAY(OFFSET('SO-TS'!$C$1,SMALL(Dong3,ROWS($1:1)),))&amp;"   tháng   "&amp;MONTH(OFFSET('SO-TS'!$C$1,SMALL(Dong3,ROWS($1:1)),))&amp;"  năm   "&amp;YEAR(OFFSET('SO-TS'!$C$1,SMALL(Dong3,ROWS($1:1)),)))</f>
        <v>Ngày   30   tháng   6  năm   2016</v>
      </c>
      <c r="B8" s="1583"/>
      <c r="C8" s="1583"/>
      <c r="D8" s="1583"/>
      <c r="E8" s="1583"/>
      <c r="F8" s="1583"/>
      <c r="G8" s="1583"/>
      <c r="H8" s="1583"/>
    </row>
    <row r="9" spans="1:11" ht="12" customHeight="1">
      <c r="A9" s="952"/>
      <c r="B9" s="952"/>
      <c r="C9" s="952"/>
      <c r="D9" s="952"/>
      <c r="E9" s="952"/>
      <c r="F9" s="952"/>
      <c r="G9" s="956"/>
      <c r="H9" s="956"/>
    </row>
    <row r="10" spans="1:11" ht="15" customHeight="1">
      <c r="A10" s="951" t="str">
        <f ca="1">"Căn cứ vào biên bản giao nhận TSCĐ "&amp;"  "&amp;A7&amp;"  "&amp;A8</f>
        <v>Căn cứ vào biên bản giao nhận TSCĐ   Số: SX 01/16  Ngày   30   tháng   6  năm   2016</v>
      </c>
      <c r="B10" s="951"/>
      <c r="C10" s="951"/>
      <c r="D10" s="951"/>
      <c r="E10" s="951"/>
      <c r="F10" s="951"/>
      <c r="G10" s="951"/>
      <c r="H10" s="951"/>
    </row>
    <row r="11" spans="1:11" ht="15" customHeight="1">
      <c r="A11" s="951" t="s">
        <v>1291</v>
      </c>
      <c r="B11" s="951"/>
      <c r="C11" s="951"/>
      <c r="D11" s="951" t="s">
        <v>2921</v>
      </c>
      <c r="E11" s="951" t="str">
        <f ca="1" xml:space="preserve"> IF(ROWS($1:1)&gt;COUNT(Dong3),"","Số hiệu TSCĐ:   "&amp;OFFSET('SO-TS'!$G$1,SMALL(Dong3,ROWS($1:1)),))</f>
        <v>Số hiệu TSCĐ:   01/16</v>
      </c>
      <c r="F11" s="951"/>
      <c r="H11" s="951"/>
    </row>
    <row r="12" spans="1:11" ht="15" customHeight="1">
      <c r="A12" s="951" t="str">
        <f ca="1" xml:space="preserve"> IF(ROWS($1:1)&gt;COUNT(Dong3),"","Nước sản xuất:   "&amp;OFFSET('SO-TS'!$E$1,SMALL(Dong3,ROWS($1:1)),))</f>
        <v>Nước sản xuất:   Việt Nam</v>
      </c>
      <c r="B12" s="951"/>
      <c r="C12" s="951"/>
      <c r="D12" s="951"/>
      <c r="E12" s="951" t="s">
        <v>1292</v>
      </c>
      <c r="F12" s="951"/>
      <c r="G12" s="951"/>
      <c r="H12" s="951"/>
    </row>
    <row r="13" spans="1:11" ht="15" customHeight="1">
      <c r="A13" s="951" t="str">
        <f ca="1" xml:space="preserve"> IF(ROWS($1:1)&gt;COUNT(Dong3),"","Bộ phận quản lý sử dụng:  "&amp;IF(LEFT(OFFSET('SO-TS'!$B$1,SMALL(Dong3,ROWS($1:1)),),2)="VP","Văn Phòng","Sản Xuất"))</f>
        <v>Bộ phận quản lý sử dụng:  Sản Xuất</v>
      </c>
      <c r="B13" s="951"/>
      <c r="C13" s="951"/>
      <c r="D13" s="951"/>
      <c r="E13" s="951" t="str">
        <f ca="1" xml:space="preserve"> IF(ROWS($1:1)&gt;COUNT(Dong3),"","Tháng, năm đưa vào sử dụng:    "&amp;OFFSET('SO-TS'!$F$1,SMALL(Dong3,ROWS($1:1)),))</f>
        <v>Tháng, năm đưa vào sử dụng:    06/2016</v>
      </c>
      <c r="F13" s="951"/>
      <c r="G13" s="951"/>
      <c r="H13" s="951"/>
    </row>
    <row r="14" spans="1:11" ht="15" customHeight="1">
      <c r="A14" s="951" t="s">
        <v>1251</v>
      </c>
      <c r="B14" s="951"/>
      <c r="C14" s="951"/>
      <c r="D14" s="951"/>
      <c r="E14" s="951"/>
      <c r="F14" s="951"/>
      <c r="G14" s="951"/>
      <c r="H14" s="951"/>
    </row>
    <row r="15" spans="1:11" ht="15" customHeight="1">
      <c r="A15" s="951" t="s">
        <v>1305</v>
      </c>
      <c r="B15" s="951"/>
      <c r="C15" s="951"/>
      <c r="D15" s="951"/>
      <c r="E15" s="951"/>
      <c r="F15" s="951"/>
      <c r="G15" s="951"/>
      <c r="H15" s="951"/>
    </row>
    <row r="16" spans="1:11" ht="15" customHeight="1">
      <c r="A16" s="1026" t="s">
        <v>1304</v>
      </c>
      <c r="B16" s="1026"/>
      <c r="C16" s="1026"/>
      <c r="D16" s="1026"/>
      <c r="E16" s="1026"/>
      <c r="F16" s="1026"/>
      <c r="G16" s="1026"/>
      <c r="H16" s="1026"/>
    </row>
    <row r="17" spans="1:8" s="1020" customFormat="1" ht="18" customHeight="1">
      <c r="A17" s="1571" t="s">
        <v>147</v>
      </c>
      <c r="B17" s="1572"/>
      <c r="C17" s="1575" t="s">
        <v>1252</v>
      </c>
      <c r="D17" s="1576"/>
      <c r="E17" s="1577"/>
      <c r="F17" s="1578" t="s">
        <v>1253</v>
      </c>
      <c r="G17" s="1579"/>
      <c r="H17" s="1580"/>
    </row>
    <row r="18" spans="1:8" s="1020" customFormat="1" ht="28.5" customHeight="1">
      <c r="A18" s="1573"/>
      <c r="B18" s="1574"/>
      <c r="C18" s="987" t="s">
        <v>1254</v>
      </c>
      <c r="D18" s="987" t="s">
        <v>0</v>
      </c>
      <c r="E18" s="987" t="s">
        <v>1255</v>
      </c>
      <c r="F18" s="987" t="s">
        <v>1256</v>
      </c>
      <c r="G18" s="987" t="s">
        <v>1257</v>
      </c>
      <c r="H18" s="987" t="s">
        <v>1258</v>
      </c>
    </row>
    <row r="19" spans="1:8" s="1022" customFormat="1">
      <c r="A19" s="1584" t="s">
        <v>2</v>
      </c>
      <c r="B19" s="1585"/>
      <c r="C19" s="1021" t="s">
        <v>3</v>
      </c>
      <c r="D19" s="1021" t="s">
        <v>4</v>
      </c>
      <c r="E19" s="1021">
        <v>1</v>
      </c>
      <c r="F19" s="1021">
        <v>2</v>
      </c>
      <c r="G19" s="1021">
        <v>3</v>
      </c>
      <c r="H19" s="1021">
        <v>4</v>
      </c>
    </row>
    <row r="20" spans="1:8" ht="17.25" customHeight="1">
      <c r="A20" s="846">
        <f ca="1">IF(B20&lt;&gt;"",ROW()-19,"")</f>
        <v>1</v>
      </c>
      <c r="B20" s="1007" t="str">
        <f ca="1" xml:space="preserve"> IF(ROWS($1:1)&gt;COUNT(Dong3),"",OFFSET('SO-TS'!B$1,SMALL(Dong3,ROWS($1:1)),))</f>
        <v>SX 01/16</v>
      </c>
      <c r="C20" s="1007" t="str">
        <f ca="1" xml:space="preserve"> IF(ROWS($1:1)&gt;COUNT(Dong3),"",OFFSET('SO-TS'!F$1,SMALL(Dong3,ROWS($1:1)),))</f>
        <v>06/2016</v>
      </c>
      <c r="D20" s="1038" t="str">
        <f ca="1" xml:space="preserve"> IF(ROWS($1:1)&gt;COUNT(Dong3),"",OFFSET('SO-TS'!D$1,SMALL(Dong3,ROWS($1:1)),))</f>
        <v>Nhà vòm 2</v>
      </c>
      <c r="E20" s="1039">
        <f ca="1" xml:space="preserve"> IF(ROWS($1:1)&gt;COUNT(Dong3),"",OFFSET('SO-TS'!H$1,SMALL(Dong3,ROWS($1:1)),))</f>
        <v>279617893</v>
      </c>
      <c r="F20" s="1040"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46" t="str">
        <f t="shared" ref="A21:A29" ca="1" si="0">IF(B21&lt;&gt;"",ROW()-19,"")</f>
        <v/>
      </c>
      <c r="B21" s="1007" t="str">
        <f ca="1" xml:space="preserve"> IF(ROWS($1:2)&gt;COUNT(Dong3),"",OFFSET('SO-TS'!B$1,SMALL(Dong3,ROWS($1:2)),))</f>
        <v/>
      </c>
      <c r="C21" s="1007" t="str">
        <f ca="1" xml:space="preserve"> IF(ROWS($1:2)&gt;COUNT(Dong3),"",OFFSET('SO-TS'!F$1,SMALL(Dong3,ROWS($1:2)),))</f>
        <v/>
      </c>
      <c r="D21" s="1038" t="str">
        <f ca="1" xml:space="preserve"> IF(ROWS($1:2)&gt;COUNT(Dong3),"",OFFSET('SO-TS'!D$1,SMALL(Dong3,ROWS($1:2)),))</f>
        <v/>
      </c>
      <c r="E21" s="1039" t="str">
        <f ca="1" xml:space="preserve"> IF(ROWS($1:2)&gt;COUNT(Dong3),"",OFFSET('SO-TS'!H$1,SMALL(Dong3,ROWS($1:2)),))</f>
        <v/>
      </c>
      <c r="F21" s="1040"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42">
        <f ca="1">IF(G21&lt;&gt;0,H20+G21,0)</f>
        <v>0</v>
      </c>
    </row>
    <row r="22" spans="1:8" ht="17.25" customHeight="1">
      <c r="A22" s="846" t="str">
        <f t="shared" ca="1" si="0"/>
        <v/>
      </c>
      <c r="B22" s="1007" t="str">
        <f ca="1" xml:space="preserve"> IF(ROWS($1:3)&gt;COUNT(Dong3),"",OFFSET('SO-TS'!B$1,SMALL(Dong3,ROWS($1:3)),))</f>
        <v/>
      </c>
      <c r="C22" s="1007" t="str">
        <f ca="1" xml:space="preserve"> IF(ROWS($1:3)&gt;COUNT(Dong3),"",OFFSET('SO-TS'!F$1,SMALL(Dong3,ROWS($1:3)),))</f>
        <v/>
      </c>
      <c r="D22" s="1038" t="str">
        <f ca="1" xml:space="preserve"> IF(ROWS($1:3)&gt;COUNT(Dong3),"",OFFSET('SO-TS'!D$1,SMALL(Dong3,ROWS($1:3)),))</f>
        <v/>
      </c>
      <c r="E22" s="1039" t="str">
        <f ca="1" xml:space="preserve"> IF(ROWS($1:3)&gt;COUNT(Dong3),"",OFFSET('SO-TS'!H$1,SMALL(Dong3,ROWS($1:3)),))</f>
        <v/>
      </c>
      <c r="F22" s="1040"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42">
        <f t="shared" ref="H22:H28" ca="1" si="1">IF(G22&lt;&gt;0,H21+G22,0)</f>
        <v>0</v>
      </c>
    </row>
    <row r="23" spans="1:8" ht="17.25" customHeight="1">
      <c r="A23" s="846" t="str">
        <f t="shared" ca="1" si="0"/>
        <v/>
      </c>
      <c r="B23" s="1007" t="str">
        <f ca="1" xml:space="preserve"> IF(ROWS($1:4)&gt;COUNT(Dong3),"",OFFSET('SO-TS'!B$1,SMALL(Dong3,ROWS($1:4)),))</f>
        <v/>
      </c>
      <c r="C23" s="1007" t="str">
        <f ca="1" xml:space="preserve"> IF(ROWS($1:4)&gt;COUNT(Dong3),"",OFFSET('SO-TS'!F$1,SMALL(Dong3,ROWS($1:4)),))</f>
        <v/>
      </c>
      <c r="D23" s="1038" t="str">
        <f ca="1" xml:space="preserve"> IF(ROWS($1:4)&gt;COUNT(Dong3),"",OFFSET('SO-TS'!D$1,SMALL(Dong3,ROWS($1:4)),))</f>
        <v/>
      </c>
      <c r="E23" s="1039" t="str">
        <f ca="1" xml:space="preserve"> IF(ROWS($1:4)&gt;COUNT(Dong3),"",OFFSET('SO-TS'!H$1,SMALL(Dong3,ROWS($1:4)),))</f>
        <v/>
      </c>
      <c r="F23" s="1040"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42">
        <f t="shared" ca="1" si="1"/>
        <v>0</v>
      </c>
    </row>
    <row r="24" spans="1:8" ht="17.25" customHeight="1">
      <c r="A24" s="846" t="str">
        <f t="shared" ca="1" si="0"/>
        <v/>
      </c>
      <c r="B24" s="1007" t="str">
        <f ca="1" xml:space="preserve"> IF(ROWS($1:5)&gt;COUNT(Dong3),"",OFFSET('SO-TS'!B$1,SMALL(Dong3,ROWS($1:5)),))</f>
        <v/>
      </c>
      <c r="C24" s="1007" t="str">
        <f ca="1" xml:space="preserve"> IF(ROWS($1:5)&gt;COUNT(Dong3),"",OFFSET('SO-TS'!F$1,SMALL(Dong3,ROWS($1:5)),))</f>
        <v/>
      </c>
      <c r="D24" s="1038" t="str">
        <f ca="1" xml:space="preserve"> IF(ROWS($1:5)&gt;COUNT(Dong3),"",OFFSET('SO-TS'!D$1,SMALL(Dong3,ROWS($1:5)),))</f>
        <v/>
      </c>
      <c r="E24" s="1039" t="str">
        <f ca="1" xml:space="preserve"> IF(ROWS($1:5)&gt;COUNT(Dong3),"",OFFSET('SO-TS'!H$1,SMALL(Dong3,ROWS($1:5)),))</f>
        <v/>
      </c>
      <c r="F24" s="1040"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42">
        <f t="shared" ca="1" si="1"/>
        <v>0</v>
      </c>
    </row>
    <row r="25" spans="1:8" ht="17.25" customHeight="1">
      <c r="A25" s="846" t="str">
        <f t="shared" ca="1" si="0"/>
        <v/>
      </c>
      <c r="B25" s="1007" t="str">
        <f ca="1" xml:space="preserve"> IF(ROWS($1:6)&gt;COUNT(Dong3),"",OFFSET('SO-TS'!B$1,SMALL(Dong3,ROWS($1:6)),))</f>
        <v/>
      </c>
      <c r="C25" s="1007" t="str">
        <f ca="1" xml:space="preserve"> IF(ROWS($1:6)&gt;COUNT(Dong3),"",OFFSET('SO-TS'!F$1,SMALL(Dong3,ROWS($1:6)),))</f>
        <v/>
      </c>
      <c r="D25" s="1038" t="str">
        <f ca="1" xml:space="preserve"> IF(ROWS($1:6)&gt;COUNT(Dong3),"",OFFSET('SO-TS'!D$1,SMALL(Dong3,ROWS($1:6)),))</f>
        <v/>
      </c>
      <c r="E25" s="1039" t="str">
        <f ca="1" xml:space="preserve"> IF(ROWS($1:6)&gt;COUNT(Dong3),"",OFFSET('SO-TS'!H$1,SMALL(Dong3,ROWS($1:6)),))</f>
        <v/>
      </c>
      <c r="F25" s="1040"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42">
        <f t="shared" ca="1" si="1"/>
        <v>0</v>
      </c>
    </row>
    <row r="26" spans="1:8" ht="17.25" customHeight="1">
      <c r="A26" s="846" t="str">
        <f t="shared" ca="1" si="0"/>
        <v/>
      </c>
      <c r="B26" s="1007" t="str">
        <f ca="1" xml:space="preserve"> IF(ROWS($1:7)&gt;COUNT(Dong3),"",OFFSET('SO-TS'!B$1,SMALL(Dong3,ROWS($1:7)),))</f>
        <v/>
      </c>
      <c r="C26" s="1007" t="str">
        <f ca="1" xml:space="preserve"> IF(ROWS($1:7)&gt;COUNT(Dong3),"",OFFSET('SO-TS'!F$1,SMALL(Dong3,ROWS($1:7)),))</f>
        <v/>
      </c>
      <c r="D26" s="1038" t="str">
        <f ca="1" xml:space="preserve"> IF(ROWS($1:7)&gt;COUNT(Dong3),"",OFFSET('SO-TS'!D$1,SMALL(Dong3,ROWS($1:7)),))</f>
        <v/>
      </c>
      <c r="E26" s="1039" t="str">
        <f ca="1" xml:space="preserve"> IF(ROWS($1:7)&gt;COUNT(Dong3),"",OFFSET('SO-TS'!H$1,SMALL(Dong3,ROWS($1:7)),))</f>
        <v/>
      </c>
      <c r="F26" s="1040"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42">
        <f t="shared" ca="1" si="1"/>
        <v>0</v>
      </c>
    </row>
    <row r="27" spans="1:8" ht="17.25" customHeight="1">
      <c r="A27" s="846" t="str">
        <f t="shared" ca="1" si="0"/>
        <v/>
      </c>
      <c r="B27" s="1007" t="str">
        <f ca="1" xml:space="preserve"> IF(ROWS($1:8)&gt;COUNT(Dong3),"",OFFSET('SO-TS'!B$1,SMALL(Dong3,ROWS($1:8)),))</f>
        <v/>
      </c>
      <c r="C27" s="1007" t="str">
        <f ca="1" xml:space="preserve"> IF(ROWS($1:8)&gt;COUNT(Dong3),"",OFFSET('SO-TS'!F$1,SMALL(Dong3,ROWS($1:8)),))</f>
        <v/>
      </c>
      <c r="D27" s="1038" t="str">
        <f ca="1" xml:space="preserve"> IF(ROWS($1:8)&gt;COUNT(Dong3),"",OFFSET('SO-TS'!D$1,SMALL(Dong3,ROWS($1:8)),))</f>
        <v/>
      </c>
      <c r="E27" s="1039" t="str">
        <f ca="1" xml:space="preserve"> IF(ROWS($1:8)&gt;COUNT(Dong3),"",OFFSET('SO-TS'!H$1,SMALL(Dong3,ROWS($1:8)),))</f>
        <v/>
      </c>
      <c r="F27" s="1040"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42">
        <f t="shared" ca="1" si="1"/>
        <v>0</v>
      </c>
    </row>
    <row r="28" spans="1:8" ht="17.25" customHeight="1">
      <c r="A28" s="846" t="str">
        <f t="shared" ca="1" si="0"/>
        <v/>
      </c>
      <c r="B28" s="1007" t="str">
        <f ca="1" xml:space="preserve"> IF(ROWS($1:9)&gt;COUNT(Dong3),"",OFFSET('SO-TS'!B$1,SMALL(Dong3,ROWS($1:9)),))</f>
        <v/>
      </c>
      <c r="C28" s="1007" t="str">
        <f ca="1" xml:space="preserve"> IF(ROWS($1:9)&gt;COUNT(Dong3),"",OFFSET('SO-TS'!F$1,SMALL(Dong3,ROWS($1:9)),))</f>
        <v/>
      </c>
      <c r="D28" s="1038" t="str">
        <f ca="1" xml:space="preserve"> IF(ROWS($1:9)&gt;COUNT(Dong3),"",OFFSET('SO-TS'!D$1,SMALL(Dong3,ROWS($1:9)),))</f>
        <v/>
      </c>
      <c r="E28" s="1039" t="str">
        <f ca="1" xml:space="preserve"> IF(ROWS($1:9)&gt;COUNT(Dong3),"",OFFSET('SO-TS'!H$1,SMALL(Dong3,ROWS($1:9)),))</f>
        <v/>
      </c>
      <c r="F28" s="1040"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42">
        <f t="shared" ca="1" si="1"/>
        <v>0</v>
      </c>
    </row>
    <row r="29" spans="1:8" ht="17.25" customHeight="1">
      <c r="A29" s="846" t="str">
        <f t="shared" si="0"/>
        <v/>
      </c>
      <c r="B29" s="967"/>
      <c r="C29" s="1008"/>
      <c r="D29" s="1008"/>
      <c r="E29" s="1041"/>
      <c r="F29" s="1009"/>
      <c r="G29" s="1041"/>
      <c r="H29" s="1041"/>
    </row>
    <row r="30" spans="1:8" ht="17.25" customHeight="1">
      <c r="A30" s="971"/>
      <c r="B30" s="971" t="s">
        <v>1259</v>
      </c>
      <c r="C30" s="1010"/>
      <c r="D30" s="1010"/>
      <c r="E30" s="1043">
        <f ca="1">SUM(E20:E29)</f>
        <v>279617893</v>
      </c>
      <c r="F30" s="1010"/>
      <c r="G30" s="1043">
        <f ca="1">SUM(G20:G29)</f>
        <v>16311044</v>
      </c>
      <c r="H30" s="1043"/>
    </row>
    <row r="31" spans="1:8" ht="17.25" customHeight="1">
      <c r="A31" s="1011"/>
      <c r="B31" s="1011"/>
      <c r="C31" s="1012"/>
      <c r="D31" s="1012"/>
      <c r="E31" s="1012"/>
      <c r="F31" s="1012"/>
      <c r="G31" s="1013"/>
      <c r="H31" s="1013"/>
    </row>
    <row r="32" spans="1:8" ht="17.25" customHeight="1">
      <c r="A32" s="1011"/>
      <c r="B32" s="1011"/>
      <c r="C32" s="1012"/>
      <c r="D32" s="1012"/>
      <c r="E32" s="1012"/>
      <c r="F32" s="1012"/>
      <c r="G32" s="1013"/>
      <c r="H32" s="1013"/>
    </row>
    <row r="33" spans="1:8" ht="17.25" customHeight="1">
      <c r="A33" s="1586" t="s">
        <v>1260</v>
      </c>
      <c r="B33" s="1586"/>
      <c r="C33" s="1586"/>
      <c r="D33" s="1586"/>
      <c r="E33" s="1586"/>
      <c r="F33" s="1586"/>
      <c r="G33" s="1586"/>
      <c r="H33" s="1586"/>
    </row>
    <row r="34" spans="1:8" ht="27" customHeight="1">
      <c r="A34" s="971" t="s">
        <v>35</v>
      </c>
      <c r="B34" s="1564" t="s">
        <v>1261</v>
      </c>
      <c r="C34" s="1566"/>
      <c r="D34" s="1010" t="s">
        <v>319</v>
      </c>
      <c r="E34" s="1010" t="s">
        <v>1262</v>
      </c>
      <c r="F34" s="1010" t="s">
        <v>1263</v>
      </c>
      <c r="G34" s="1013"/>
      <c r="H34" s="1013"/>
    </row>
    <row r="35" spans="1:8" ht="17.25" customHeight="1">
      <c r="A35" s="971" t="s">
        <v>2</v>
      </c>
      <c r="B35" s="971" t="s">
        <v>3</v>
      </c>
      <c r="C35" s="1010"/>
      <c r="D35" s="1010" t="s">
        <v>4</v>
      </c>
      <c r="E35" s="1010">
        <v>1</v>
      </c>
      <c r="F35" s="1010">
        <v>2</v>
      </c>
      <c r="G35" s="1013"/>
      <c r="H35" s="1013"/>
    </row>
    <row r="36" spans="1:8" ht="17.25" customHeight="1">
      <c r="A36" s="1014"/>
      <c r="B36" s="1014"/>
      <c r="C36" s="1015"/>
      <c r="D36" s="1015"/>
      <c r="E36" s="1015"/>
      <c r="F36" s="1015"/>
      <c r="G36" s="1013"/>
      <c r="H36" s="1013"/>
    </row>
    <row r="37" spans="1:8" ht="17.25" customHeight="1">
      <c r="A37" s="1016"/>
      <c r="B37" s="1016"/>
      <c r="C37" s="1017"/>
      <c r="D37" s="1017"/>
      <c r="E37" s="1017"/>
      <c r="F37" s="1017"/>
      <c r="G37" s="1013"/>
      <c r="H37" s="1013"/>
    </row>
    <row r="38" spans="1:8" ht="17.25" customHeight="1">
      <c r="A38" s="1016"/>
      <c r="B38" s="1016"/>
      <c r="C38" s="1017"/>
      <c r="D38" s="1017"/>
      <c r="E38" s="1017"/>
      <c r="F38" s="1017"/>
      <c r="G38" s="1013"/>
      <c r="H38" s="1013"/>
    </row>
    <row r="39" spans="1:8" ht="17.25" customHeight="1">
      <c r="A39" s="1016"/>
      <c r="B39" s="1016"/>
      <c r="C39" s="1017"/>
      <c r="D39" s="1017"/>
      <c r="E39" s="1017"/>
      <c r="F39" s="1017"/>
      <c r="G39" s="1013"/>
      <c r="H39" s="1013"/>
    </row>
    <row r="40" spans="1:8" ht="17.25" customHeight="1">
      <c r="A40" s="1018"/>
      <c r="B40" s="1018"/>
      <c r="C40" s="1019"/>
      <c r="D40" s="1019"/>
      <c r="E40" s="1019"/>
      <c r="F40" s="1019"/>
      <c r="G40" s="1013"/>
      <c r="H40" s="1013"/>
    </row>
    <row r="41" spans="1:8">
      <c r="A41" s="1011"/>
      <c r="B41" s="1011"/>
      <c r="C41" s="1012"/>
      <c r="D41" s="1012"/>
      <c r="E41" s="1012"/>
      <c r="F41" s="1012"/>
      <c r="G41" s="1013"/>
      <c r="H41" s="1013"/>
    </row>
    <row r="42" spans="1:8">
      <c r="A42" s="1587" t="str">
        <f ca="1" xml:space="preserve"> IF(ROWS($1:1)&gt;COUNT(Dong3),"","Ghi giảm TSCĐ chứng từ số:  "&amp;OFFSET('SO-TS'!$M$1,SMALL(Dong3,ROWS($1:1)),))</f>
        <v xml:space="preserve">Ghi giảm TSCĐ chứng từ số:  </v>
      </c>
      <c r="B42" s="1587"/>
      <c r="C42" s="1587"/>
      <c r="D42" s="1587"/>
      <c r="E42" s="1587"/>
      <c r="F42" s="1587"/>
      <c r="G42" s="1587"/>
      <c r="H42" s="1587"/>
    </row>
    <row r="43" spans="1:8">
      <c r="A43" s="1587" t="str">
        <f ca="1" xml:space="preserve"> IF(ROWS($1:1)&gt;COUNT(Dong3),"","Lý do giảm:   "&amp;OFFSET('SO-TS'!$O$1,SMALL(Dong3,ROWS($1:1)),))</f>
        <v xml:space="preserve">Lý do giảm:   </v>
      </c>
      <c r="B43" s="1587"/>
      <c r="C43" s="1587"/>
      <c r="D43" s="1587"/>
      <c r="E43" s="1587"/>
      <c r="F43" s="1587"/>
      <c r="G43" s="1587"/>
      <c r="H43" s="1587"/>
    </row>
    <row r="44" spans="1:8">
      <c r="A44" s="982"/>
      <c r="B44" s="982"/>
      <c r="C44" s="977"/>
      <c r="D44" s="977"/>
      <c r="E44" s="1570" t="s">
        <v>1306</v>
      </c>
      <c r="F44" s="1570"/>
      <c r="G44" s="1570"/>
      <c r="H44" s="1570"/>
    </row>
    <row r="45" spans="1:8">
      <c r="A45" s="1582" t="s">
        <v>1264</v>
      </c>
      <c r="B45" s="1582"/>
      <c r="C45" s="1582" t="s">
        <v>12</v>
      </c>
      <c r="D45" s="1582"/>
      <c r="E45" s="1588" t="s">
        <v>128</v>
      </c>
      <c r="F45" s="1588"/>
      <c r="G45" s="1588"/>
      <c r="H45" s="1588"/>
    </row>
    <row r="46" spans="1:8">
      <c r="A46" s="952"/>
      <c r="B46" s="952"/>
      <c r="C46" s="956"/>
      <c r="D46" s="956"/>
      <c r="E46" s="956"/>
      <c r="F46" s="956"/>
      <c r="G46" s="956"/>
      <c r="H46" s="956"/>
    </row>
    <row r="47" spans="1:8">
      <c r="A47" s="952"/>
      <c r="B47" s="952"/>
      <c r="C47" s="956"/>
      <c r="D47" s="956"/>
      <c r="E47" s="956"/>
      <c r="F47" s="956"/>
      <c r="G47" s="956"/>
      <c r="H47" s="956"/>
    </row>
    <row r="48" spans="1:8">
      <c r="A48" s="952"/>
      <c r="B48" s="952"/>
      <c r="C48" s="956"/>
      <c r="D48" s="956"/>
      <c r="E48" s="956"/>
      <c r="F48" s="956"/>
      <c r="G48" s="956"/>
      <c r="H48" s="956"/>
    </row>
    <row r="49" spans="1:8">
      <c r="A49" s="952"/>
      <c r="B49" s="952"/>
      <c r="C49" s="956"/>
      <c r="D49" s="956"/>
      <c r="E49" s="956"/>
      <c r="F49" s="956"/>
      <c r="G49" s="956"/>
      <c r="H49" s="956"/>
    </row>
    <row r="50" spans="1:8">
      <c r="A50" s="952"/>
      <c r="B50" s="952"/>
      <c r="C50" s="956"/>
      <c r="D50" s="956"/>
      <c r="E50" s="956"/>
      <c r="F50" s="956"/>
      <c r="G50" s="956"/>
      <c r="H50" s="956"/>
    </row>
    <row r="51" spans="1:8">
      <c r="A51" s="952"/>
      <c r="B51" s="952"/>
      <c r="C51" s="956"/>
      <c r="D51" s="956"/>
      <c r="E51" s="956"/>
      <c r="F51" s="956"/>
      <c r="G51" s="956"/>
      <c r="H51" s="956"/>
    </row>
    <row r="52" spans="1:8">
      <c r="A52" s="952"/>
      <c r="B52" s="952"/>
      <c r="C52" s="956"/>
      <c r="D52" s="956"/>
      <c r="E52" s="956"/>
      <c r="F52" s="956"/>
      <c r="G52" s="956"/>
      <c r="H52" s="956"/>
    </row>
    <row r="53" spans="1:8">
      <c r="A53" s="1589" t="s">
        <v>223</v>
      </c>
      <c r="B53" s="1589"/>
      <c r="C53" s="977"/>
      <c r="D53" s="977"/>
      <c r="E53" s="1570" t="s">
        <v>122</v>
      </c>
      <c r="F53" s="1570"/>
      <c r="G53" s="1570"/>
      <c r="H53" s="1570"/>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8.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391" customWidth="1"/>
    <col min="2" max="2" width="11" style="391" customWidth="1"/>
    <col min="3" max="3" width="22.140625" style="391" customWidth="1"/>
    <col min="4" max="4" width="6.7109375" style="391" customWidth="1"/>
    <col min="5" max="5" width="6.42578125" style="391" customWidth="1"/>
    <col min="6" max="6" width="8.85546875" style="391" customWidth="1"/>
    <col min="7" max="7" width="20.7109375" style="391" customWidth="1"/>
    <col min="8" max="11" width="9.140625" style="391"/>
    <col min="12" max="12" width="10.85546875" style="391" customWidth="1"/>
    <col min="13" max="16384" width="9.140625" style="391"/>
  </cols>
  <sheetData>
    <row r="1" spans="1:12">
      <c r="A1" s="127" t="s">
        <v>135</v>
      </c>
      <c r="D1" s="1592"/>
      <c r="E1" s="1592"/>
      <c r="F1" s="1592"/>
      <c r="G1" s="1592"/>
      <c r="I1" s="1592" t="s">
        <v>248</v>
      </c>
      <c r="J1" s="1592"/>
      <c r="K1" s="1592"/>
      <c r="L1" s="1592"/>
    </row>
    <row r="2" spans="1:12">
      <c r="A2" s="352" t="s">
        <v>136</v>
      </c>
      <c r="D2" s="1592"/>
      <c r="E2" s="1592"/>
      <c r="F2" s="1592"/>
      <c r="G2" s="1592"/>
      <c r="I2" s="1592" t="s">
        <v>230</v>
      </c>
      <c r="J2" s="1592"/>
      <c r="K2" s="1592"/>
      <c r="L2" s="1592"/>
    </row>
    <row r="3" spans="1:12">
      <c r="D3" s="1592"/>
      <c r="E3" s="1592"/>
      <c r="F3" s="1592"/>
      <c r="G3" s="1592"/>
      <c r="I3" s="1592" t="s">
        <v>249</v>
      </c>
      <c r="J3" s="1592"/>
      <c r="K3" s="1592"/>
      <c r="L3" s="1592"/>
    </row>
    <row r="8" spans="1:12" ht="40.5" customHeight="1">
      <c r="H8" s="392"/>
      <c r="I8" s="392"/>
      <c r="J8" s="392"/>
    </row>
    <row r="10" spans="1:12" ht="29.25" customHeight="1">
      <c r="A10" s="1590" t="s">
        <v>110</v>
      </c>
      <c r="B10" s="1590"/>
      <c r="C10" s="1590"/>
      <c r="D10" s="1590"/>
      <c r="E10" s="1590"/>
      <c r="F10" s="1590"/>
      <c r="G10" s="1590"/>
    </row>
    <row r="11" spans="1:12" ht="6" customHeight="1">
      <c r="H11" s="393"/>
      <c r="I11" s="393"/>
    </row>
    <row r="12" spans="1:12" ht="20.25">
      <c r="A12" s="1591" t="s">
        <v>250</v>
      </c>
      <c r="B12" s="1591"/>
      <c r="C12" s="1591"/>
      <c r="D12" s="1591"/>
      <c r="E12" s="1591"/>
      <c r="F12" s="1591"/>
      <c r="G12" s="1591"/>
    </row>
    <row r="13" spans="1:12" ht="64.5" customHeight="1"/>
    <row r="16" spans="1:12" ht="22.5" customHeight="1">
      <c r="B16" s="394" t="s">
        <v>251</v>
      </c>
    </row>
    <row r="17" spans="2:2" ht="22.5" customHeight="1">
      <c r="B17" s="394" t="s">
        <v>252</v>
      </c>
    </row>
    <row r="18" spans="2:2" ht="22.5" customHeight="1">
      <c r="B18" s="394" t="s">
        <v>253</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xl/worksheets/sheet29.xml><?xml version="1.0" encoding="utf-8"?>
<worksheet xmlns="http://schemas.openxmlformats.org/spreadsheetml/2006/main" xmlns:r="http://schemas.openxmlformats.org/officeDocument/2006/relationships">
  <dimension ref="A2:F59"/>
  <sheetViews>
    <sheetView topLeftCell="A34" workbookViewId="0">
      <selection activeCell="E60" sqref="E60"/>
    </sheetView>
  </sheetViews>
  <sheetFormatPr defaultRowHeight="12.75"/>
  <cols>
    <col min="1" max="1" width="21" bestFit="1" customWidth="1"/>
    <col min="2" max="2" width="13.85546875" customWidth="1"/>
    <col min="3" max="3" width="10.140625" customWidth="1"/>
    <col min="4" max="4" width="33.5703125" bestFit="1" customWidth="1"/>
    <col min="5" max="5" width="12.85546875" customWidth="1"/>
  </cols>
  <sheetData>
    <row r="2" spans="1:6" ht="27.75">
      <c r="A2" s="1593" t="s">
        <v>3022</v>
      </c>
      <c r="B2" s="1593"/>
      <c r="C2" s="1593"/>
      <c r="D2" s="1593"/>
      <c r="E2" s="1593"/>
      <c r="F2" s="1593"/>
    </row>
    <row r="3" spans="1:6">
      <c r="A3" s="1456" t="s">
        <v>320</v>
      </c>
      <c r="B3" s="1456" t="s">
        <v>321</v>
      </c>
      <c r="C3" s="1456" t="s">
        <v>322</v>
      </c>
      <c r="D3" s="1456" t="s">
        <v>323</v>
      </c>
      <c r="E3" s="1456" t="s">
        <v>3023</v>
      </c>
      <c r="F3" s="1456" t="s">
        <v>325</v>
      </c>
    </row>
    <row r="4" spans="1:6">
      <c r="A4" s="1457"/>
      <c r="B4" s="1457"/>
      <c r="C4" s="1457"/>
      <c r="D4" s="1457"/>
      <c r="E4" s="1457"/>
      <c r="F4" s="1457"/>
    </row>
    <row r="5" spans="1:6">
      <c r="A5" s="1458"/>
      <c r="B5" s="1458"/>
      <c r="C5" s="1458"/>
      <c r="D5" s="1458"/>
      <c r="E5" s="1288"/>
      <c r="F5" s="1458"/>
    </row>
    <row r="6" spans="1:6">
      <c r="A6" s="471"/>
      <c r="B6" s="471"/>
      <c r="C6" s="471"/>
      <c r="D6" s="471"/>
      <c r="E6" s="471"/>
      <c r="F6" s="471"/>
    </row>
    <row r="7" spans="1:6">
      <c r="A7" s="477" t="s">
        <v>334</v>
      </c>
      <c r="B7" s="474" t="s">
        <v>335</v>
      </c>
      <c r="C7" s="1289">
        <v>330593933</v>
      </c>
      <c r="D7" s="478" t="s">
        <v>336</v>
      </c>
      <c r="E7" s="478"/>
      <c r="F7" s="478" t="s">
        <v>3021</v>
      </c>
    </row>
    <row r="8" spans="1:6">
      <c r="A8" s="479" t="s">
        <v>339</v>
      </c>
      <c r="B8" s="478" t="s">
        <v>335</v>
      </c>
      <c r="C8" s="1289">
        <v>320775664</v>
      </c>
      <c r="D8" s="478" t="s">
        <v>340</v>
      </c>
      <c r="E8" s="478"/>
      <c r="F8" s="478" t="s">
        <v>3021</v>
      </c>
    </row>
    <row r="9" spans="1:6">
      <c r="A9" s="479" t="s">
        <v>342</v>
      </c>
      <c r="B9" s="481" t="s">
        <v>335</v>
      </c>
      <c r="C9" s="1289">
        <v>320892558</v>
      </c>
      <c r="D9" s="478" t="s">
        <v>343</v>
      </c>
      <c r="E9" s="478"/>
      <c r="F9" s="478" t="s">
        <v>3021</v>
      </c>
    </row>
    <row r="10" spans="1:6">
      <c r="A10" s="479" t="s">
        <v>344</v>
      </c>
      <c r="B10" s="481" t="s">
        <v>335</v>
      </c>
      <c r="C10" s="1289">
        <v>320892578</v>
      </c>
      <c r="D10" s="478" t="s">
        <v>345</v>
      </c>
      <c r="E10" s="478"/>
      <c r="F10" s="478" t="s">
        <v>3021</v>
      </c>
    </row>
    <row r="11" spans="1:6">
      <c r="A11" s="1290" t="s">
        <v>347</v>
      </c>
      <c r="B11" s="1291" t="s">
        <v>335</v>
      </c>
      <c r="C11" s="1292">
        <v>321179471</v>
      </c>
      <c r="D11" s="1293" t="s">
        <v>348</v>
      </c>
      <c r="E11" s="1293"/>
      <c r="F11" s="478" t="s">
        <v>3021</v>
      </c>
    </row>
    <row r="12" spans="1:6">
      <c r="A12" s="1290" t="s">
        <v>350</v>
      </c>
      <c r="B12" s="1291" t="s">
        <v>335</v>
      </c>
      <c r="C12" s="1292">
        <v>324478047</v>
      </c>
      <c r="D12" s="1293" t="s">
        <v>351</v>
      </c>
      <c r="E12" s="1293"/>
      <c r="F12" s="478" t="s">
        <v>3021</v>
      </c>
    </row>
    <row r="13" spans="1:6">
      <c r="A13" s="1290" t="s">
        <v>354</v>
      </c>
      <c r="B13" s="1291" t="s">
        <v>335</v>
      </c>
      <c r="C13" s="1292">
        <v>321413712</v>
      </c>
      <c r="D13" s="1293" t="s">
        <v>355</v>
      </c>
      <c r="E13" s="1293"/>
      <c r="F13" s="478" t="s">
        <v>3021</v>
      </c>
    </row>
    <row r="14" spans="1:6">
      <c r="A14" s="1290" t="s">
        <v>357</v>
      </c>
      <c r="B14" s="1294" t="s">
        <v>335</v>
      </c>
      <c r="C14" s="1292">
        <v>320744085</v>
      </c>
      <c r="D14" s="1293" t="s">
        <v>340</v>
      </c>
      <c r="E14" s="1293"/>
      <c r="F14" s="478" t="s">
        <v>3021</v>
      </c>
    </row>
    <row r="15" spans="1:6">
      <c r="A15" s="1290" t="s">
        <v>360</v>
      </c>
      <c r="B15" s="1294" t="s">
        <v>335</v>
      </c>
      <c r="C15" s="1292">
        <v>320807672</v>
      </c>
      <c r="D15" s="1293" t="s">
        <v>361</v>
      </c>
      <c r="E15" s="1293"/>
      <c r="F15" s="478" t="s">
        <v>3021</v>
      </c>
    </row>
    <row r="16" spans="1:6">
      <c r="A16" s="1290" t="s">
        <v>363</v>
      </c>
      <c r="B16" s="1294" t="s">
        <v>335</v>
      </c>
      <c r="C16" s="1292">
        <v>320044169</v>
      </c>
      <c r="D16" s="1293" t="s">
        <v>364</v>
      </c>
      <c r="E16" s="1293"/>
      <c r="F16" s="478" t="s">
        <v>3021</v>
      </c>
    </row>
    <row r="17" spans="1:6">
      <c r="A17" s="1295" t="s">
        <v>366</v>
      </c>
      <c r="B17" s="1294" t="s">
        <v>335</v>
      </c>
      <c r="C17" s="1292">
        <v>320881573</v>
      </c>
      <c r="D17" s="1293" t="s">
        <v>361</v>
      </c>
      <c r="E17" s="1293"/>
      <c r="F17" s="478" t="s">
        <v>3021</v>
      </c>
    </row>
    <row r="18" spans="1:6">
      <c r="A18" s="1290" t="s">
        <v>368</v>
      </c>
      <c r="B18" s="1294" t="s">
        <v>335</v>
      </c>
      <c r="C18" s="1292">
        <v>320876558</v>
      </c>
      <c r="D18" s="1293" t="s">
        <v>369</v>
      </c>
      <c r="E18" s="1293"/>
      <c r="F18" s="478" t="s">
        <v>3021</v>
      </c>
    </row>
    <row r="19" spans="1:6">
      <c r="A19" s="1290" t="s">
        <v>371</v>
      </c>
      <c r="B19" s="1291" t="s">
        <v>372</v>
      </c>
      <c r="C19" s="1292">
        <v>250746332</v>
      </c>
      <c r="D19" s="1293" t="s">
        <v>373</v>
      </c>
      <c r="E19" s="1293"/>
      <c r="F19" s="478" t="s">
        <v>3021</v>
      </c>
    </row>
    <row r="20" spans="1:6">
      <c r="A20" s="1290" t="s">
        <v>376</v>
      </c>
      <c r="B20" s="1291" t="s">
        <v>372</v>
      </c>
      <c r="C20" s="1292">
        <v>260682094</v>
      </c>
      <c r="D20" s="1293" t="s">
        <v>373</v>
      </c>
      <c r="E20" s="1293"/>
      <c r="F20" s="478" t="s">
        <v>3021</v>
      </c>
    </row>
    <row r="21" spans="1:6">
      <c r="A21" s="1290" t="s">
        <v>378</v>
      </c>
      <c r="B21" s="1291" t="s">
        <v>372</v>
      </c>
      <c r="C21" s="1292">
        <v>260690910</v>
      </c>
      <c r="D21" s="1293" t="s">
        <v>379</v>
      </c>
      <c r="E21" s="1293"/>
      <c r="F21" s="478" t="s">
        <v>3021</v>
      </c>
    </row>
    <row r="22" spans="1:6">
      <c r="A22" s="1290" t="s">
        <v>381</v>
      </c>
      <c r="B22" s="1291" t="s">
        <v>372</v>
      </c>
      <c r="C22" s="1292">
        <v>260178873</v>
      </c>
      <c r="D22" s="1293" t="s">
        <v>382</v>
      </c>
      <c r="E22" s="1293"/>
      <c r="F22" s="478" t="s">
        <v>3021</v>
      </c>
    </row>
    <row r="23" spans="1:6">
      <c r="A23" s="1290" t="s">
        <v>384</v>
      </c>
      <c r="B23" s="1291" t="s">
        <v>372</v>
      </c>
      <c r="C23" s="1292">
        <v>260850613</v>
      </c>
      <c r="D23" s="1293" t="s">
        <v>382</v>
      </c>
      <c r="E23" s="1293"/>
      <c r="F23" s="478" t="s">
        <v>3021</v>
      </c>
    </row>
    <row r="24" spans="1:6">
      <c r="A24" s="1290" t="s">
        <v>386</v>
      </c>
      <c r="B24" s="1291" t="s">
        <v>372</v>
      </c>
      <c r="C24" s="1292">
        <v>280853616</v>
      </c>
      <c r="D24" s="1293" t="s">
        <v>382</v>
      </c>
      <c r="E24" s="1293"/>
      <c r="F24" s="478" t="s">
        <v>3021</v>
      </c>
    </row>
    <row r="25" spans="1:6">
      <c r="A25" s="1290" t="s">
        <v>388</v>
      </c>
      <c r="B25" s="1291" t="s">
        <v>372</v>
      </c>
      <c r="C25" s="1292">
        <v>261005222</v>
      </c>
      <c r="D25" s="1293" t="s">
        <v>389</v>
      </c>
      <c r="E25" s="1293"/>
      <c r="F25" s="478" t="s">
        <v>3021</v>
      </c>
    </row>
    <row r="26" spans="1:6">
      <c r="A26" s="1296" t="s">
        <v>1953</v>
      </c>
      <c r="B26" s="1297" t="s">
        <v>372</v>
      </c>
      <c r="C26" s="1298" t="s">
        <v>2992</v>
      </c>
      <c r="D26" s="1297" t="s">
        <v>2991</v>
      </c>
      <c r="E26" s="1293"/>
      <c r="F26" s="478" t="s">
        <v>3021</v>
      </c>
    </row>
    <row r="27" spans="1:6">
      <c r="A27" s="1290" t="s">
        <v>391</v>
      </c>
      <c r="B27" s="1291" t="s">
        <v>392</v>
      </c>
      <c r="C27" s="1292">
        <v>370047763</v>
      </c>
      <c r="D27" s="1293" t="s">
        <v>393</v>
      </c>
      <c r="E27" s="1293"/>
      <c r="F27" s="478" t="s">
        <v>337</v>
      </c>
    </row>
    <row r="28" spans="1:6">
      <c r="A28" s="1290" t="s">
        <v>395</v>
      </c>
      <c r="B28" s="1291" t="s">
        <v>392</v>
      </c>
      <c r="C28" s="1292">
        <v>370054438</v>
      </c>
      <c r="D28" s="1293" t="s">
        <v>393</v>
      </c>
      <c r="E28" s="1293"/>
      <c r="F28" s="478" t="s">
        <v>337</v>
      </c>
    </row>
    <row r="29" spans="1:6">
      <c r="A29" s="1290" t="s">
        <v>396</v>
      </c>
      <c r="B29" s="1291" t="s">
        <v>392</v>
      </c>
      <c r="C29" s="1292">
        <v>370615318</v>
      </c>
      <c r="D29" s="1293" t="s">
        <v>397</v>
      </c>
      <c r="E29" s="1293"/>
      <c r="F29" s="478" t="s">
        <v>337</v>
      </c>
    </row>
    <row r="30" spans="1:6">
      <c r="A30" s="1290" t="s">
        <v>398</v>
      </c>
      <c r="B30" s="1291" t="s">
        <v>392</v>
      </c>
      <c r="C30" s="1292">
        <v>370825748</v>
      </c>
      <c r="D30" s="1293" t="s">
        <v>397</v>
      </c>
      <c r="E30" s="1293"/>
      <c r="F30" s="478" t="s">
        <v>337</v>
      </c>
    </row>
    <row r="31" spans="1:6">
      <c r="A31" s="1290" t="s">
        <v>399</v>
      </c>
      <c r="B31" s="1291" t="s">
        <v>392</v>
      </c>
      <c r="C31" s="1292">
        <v>370698949</v>
      </c>
      <c r="D31" s="1293" t="s">
        <v>400</v>
      </c>
      <c r="E31" s="1293"/>
      <c r="F31" s="478" t="s">
        <v>337</v>
      </c>
    </row>
    <row r="32" spans="1:6">
      <c r="A32" s="1290" t="s">
        <v>402</v>
      </c>
      <c r="B32" s="1291" t="s">
        <v>392</v>
      </c>
      <c r="C32" s="1292">
        <v>370803567</v>
      </c>
      <c r="D32" s="1293" t="s">
        <v>403</v>
      </c>
      <c r="E32" s="1293"/>
      <c r="F32" s="478" t="s">
        <v>337</v>
      </c>
    </row>
    <row r="33" spans="1:6">
      <c r="A33" s="1290" t="s">
        <v>404</v>
      </c>
      <c r="B33" s="1291" t="s">
        <v>392</v>
      </c>
      <c r="C33" s="1292">
        <v>370004125</v>
      </c>
      <c r="D33" s="1293" t="s">
        <v>393</v>
      </c>
      <c r="E33" s="1293"/>
      <c r="F33" s="478" t="s">
        <v>337</v>
      </c>
    </row>
    <row r="34" spans="1:6">
      <c r="A34" s="1290" t="s">
        <v>407</v>
      </c>
      <c r="B34" s="1291" t="s">
        <v>405</v>
      </c>
      <c r="C34" s="1292">
        <v>311704830</v>
      </c>
      <c r="D34" s="1293" t="s">
        <v>408</v>
      </c>
      <c r="E34" s="1293"/>
      <c r="F34" s="478" t="s">
        <v>337</v>
      </c>
    </row>
    <row r="35" spans="1:6">
      <c r="A35" s="1290" t="s">
        <v>409</v>
      </c>
      <c r="B35" s="1291" t="s">
        <v>405</v>
      </c>
      <c r="C35" s="1292">
        <v>311318331</v>
      </c>
      <c r="D35" s="1293" t="s">
        <v>410</v>
      </c>
      <c r="E35" s="1293"/>
      <c r="F35" s="478" t="s">
        <v>337</v>
      </c>
    </row>
    <row r="36" spans="1:6">
      <c r="A36" s="1290" t="s">
        <v>411</v>
      </c>
      <c r="B36" s="1291" t="s">
        <v>405</v>
      </c>
      <c r="C36" s="1292">
        <v>310882191</v>
      </c>
      <c r="D36" s="1293" t="s">
        <v>412</v>
      </c>
      <c r="E36" s="1293"/>
      <c r="F36" s="478" t="s">
        <v>337</v>
      </c>
    </row>
    <row r="37" spans="1:6">
      <c r="A37" s="1290" t="s">
        <v>414</v>
      </c>
      <c r="B37" s="1291" t="s">
        <v>405</v>
      </c>
      <c r="C37" s="1292">
        <v>310882158</v>
      </c>
      <c r="D37" s="1293" t="s">
        <v>415</v>
      </c>
      <c r="E37" s="1293"/>
      <c r="F37" s="478" t="s">
        <v>337</v>
      </c>
    </row>
    <row r="38" spans="1:6">
      <c r="A38" s="1290" t="s">
        <v>416</v>
      </c>
      <c r="B38" s="1291" t="s">
        <v>405</v>
      </c>
      <c r="C38" s="1292">
        <v>310526150</v>
      </c>
      <c r="D38" s="1293" t="s">
        <v>406</v>
      </c>
      <c r="E38" s="1293"/>
      <c r="F38" s="478" t="s">
        <v>337</v>
      </c>
    </row>
    <row r="39" spans="1:6">
      <c r="A39" s="1290" t="s">
        <v>417</v>
      </c>
      <c r="B39" s="1291" t="s">
        <v>405</v>
      </c>
      <c r="C39" s="1292">
        <v>311514350</v>
      </c>
      <c r="D39" s="1293" t="s">
        <v>408</v>
      </c>
      <c r="E39" s="1293"/>
      <c r="F39" s="478" t="s">
        <v>337</v>
      </c>
    </row>
    <row r="40" spans="1:6">
      <c r="A40" s="1290" t="s">
        <v>418</v>
      </c>
      <c r="B40" s="1291" t="s">
        <v>419</v>
      </c>
      <c r="C40" s="1292">
        <v>270106056</v>
      </c>
      <c r="D40" s="1293" t="s">
        <v>419</v>
      </c>
      <c r="E40" s="1293"/>
      <c r="F40" s="478" t="s">
        <v>337</v>
      </c>
    </row>
    <row r="41" spans="1:6">
      <c r="A41" s="1290" t="s">
        <v>421</v>
      </c>
      <c r="B41" s="1291" t="s">
        <v>419</v>
      </c>
      <c r="C41" s="1292">
        <v>270176684</v>
      </c>
      <c r="D41" s="1293" t="s">
        <v>419</v>
      </c>
      <c r="E41" s="1293"/>
      <c r="F41" s="478" t="s">
        <v>337</v>
      </c>
    </row>
    <row r="42" spans="1:6">
      <c r="A42" s="1290" t="s">
        <v>423</v>
      </c>
      <c r="B42" s="1291" t="s">
        <v>419</v>
      </c>
      <c r="C42" s="1292">
        <v>270176960</v>
      </c>
      <c r="D42" s="1293" t="s">
        <v>419</v>
      </c>
      <c r="E42" s="1293"/>
      <c r="F42" s="478" t="s">
        <v>337</v>
      </c>
    </row>
    <row r="43" spans="1:6">
      <c r="A43" s="1290" t="s">
        <v>425</v>
      </c>
      <c r="B43" s="1291" t="s">
        <v>419</v>
      </c>
      <c r="C43" s="1292">
        <v>271181056</v>
      </c>
      <c r="D43" s="1293" t="s">
        <v>419</v>
      </c>
      <c r="E43" s="1293"/>
      <c r="F43" s="478" t="s">
        <v>337</v>
      </c>
    </row>
    <row r="44" spans="1:6">
      <c r="A44" s="1290" t="s">
        <v>427</v>
      </c>
      <c r="B44" s="1291" t="s">
        <v>419</v>
      </c>
      <c r="C44" s="1292">
        <v>270986506</v>
      </c>
      <c r="D44" s="1293" t="s">
        <v>419</v>
      </c>
      <c r="E44" s="1293"/>
      <c r="F44" s="478" t="s">
        <v>337</v>
      </c>
    </row>
    <row r="45" spans="1:6">
      <c r="A45" s="1290" t="s">
        <v>428</v>
      </c>
      <c r="B45" s="1291" t="s">
        <v>419</v>
      </c>
      <c r="C45" s="1292">
        <v>273042454</v>
      </c>
      <c r="D45" s="1293" t="s">
        <v>429</v>
      </c>
      <c r="E45" s="1293"/>
      <c r="F45" s="478" t="s">
        <v>337</v>
      </c>
    </row>
    <row r="46" spans="1:6">
      <c r="A46" s="1290" t="s">
        <v>432</v>
      </c>
      <c r="B46" s="1291" t="s">
        <v>419</v>
      </c>
      <c r="C46" s="1292">
        <v>273249576</v>
      </c>
      <c r="D46" s="1293" t="s">
        <v>419</v>
      </c>
      <c r="E46" s="1293"/>
      <c r="F46" s="478" t="s">
        <v>337</v>
      </c>
    </row>
    <row r="47" spans="1:6">
      <c r="A47" s="1290" t="s">
        <v>434</v>
      </c>
      <c r="B47" s="1291" t="s">
        <v>419</v>
      </c>
      <c r="C47" s="1292">
        <v>271642418</v>
      </c>
      <c r="D47" s="1293" t="s">
        <v>419</v>
      </c>
      <c r="E47" s="1293"/>
      <c r="F47" s="478" t="s">
        <v>337</v>
      </c>
    </row>
    <row r="48" spans="1:6">
      <c r="A48" s="1295" t="s">
        <v>436</v>
      </c>
      <c r="B48" s="1291" t="s">
        <v>419</v>
      </c>
      <c r="C48" s="1292">
        <v>273017840</v>
      </c>
      <c r="D48" s="1293" t="s">
        <v>437</v>
      </c>
      <c r="E48" s="1293"/>
      <c r="F48" s="478" t="s">
        <v>337</v>
      </c>
    </row>
    <row r="49" spans="1:6">
      <c r="A49" s="1290" t="s">
        <v>1949</v>
      </c>
      <c r="B49" s="1293" t="s">
        <v>419</v>
      </c>
      <c r="C49" s="1299">
        <v>260456563</v>
      </c>
      <c r="D49" s="1293" t="s">
        <v>419</v>
      </c>
      <c r="E49" s="1293"/>
      <c r="F49" s="478" t="s">
        <v>337</v>
      </c>
    </row>
    <row r="50" spans="1:6">
      <c r="A50" s="1295" t="s">
        <v>1950</v>
      </c>
      <c r="B50" s="1293" t="s">
        <v>419</v>
      </c>
      <c r="C50" s="1299">
        <v>261183075</v>
      </c>
      <c r="D50" s="1293" t="s">
        <v>419</v>
      </c>
      <c r="E50" s="1293"/>
      <c r="F50" s="478" t="s">
        <v>337</v>
      </c>
    </row>
    <row r="51" spans="1:6">
      <c r="A51" s="1296" t="s">
        <v>1947</v>
      </c>
      <c r="B51" s="1293" t="s">
        <v>419</v>
      </c>
      <c r="C51" s="1300">
        <v>273017843</v>
      </c>
      <c r="D51" s="1297" t="s">
        <v>2201</v>
      </c>
      <c r="E51" s="1293"/>
      <c r="F51" s="478" t="s">
        <v>337</v>
      </c>
    </row>
    <row r="52" spans="1:6">
      <c r="A52" s="1296" t="s">
        <v>1948</v>
      </c>
      <c r="B52" s="1297" t="s">
        <v>419</v>
      </c>
      <c r="C52" s="1300">
        <v>190253143</v>
      </c>
      <c r="D52" s="1297" t="s">
        <v>419</v>
      </c>
      <c r="E52" s="1293"/>
      <c r="F52" s="478" t="s">
        <v>337</v>
      </c>
    </row>
    <row r="53" spans="1:6">
      <c r="A53" s="1301" t="s">
        <v>3014</v>
      </c>
      <c r="B53" s="1297" t="s">
        <v>372</v>
      </c>
      <c r="C53" s="1298"/>
      <c r="D53" s="1297" t="s">
        <v>372</v>
      </c>
      <c r="E53" s="1293"/>
      <c r="F53" s="478"/>
    </row>
    <row r="54" spans="1:6">
      <c r="A54" s="1301" t="s">
        <v>3015</v>
      </c>
      <c r="B54" s="1297" t="s">
        <v>372</v>
      </c>
      <c r="C54" s="1298"/>
      <c r="D54" s="1297" t="s">
        <v>372</v>
      </c>
      <c r="E54" s="1293"/>
      <c r="F54" s="478"/>
    </row>
    <row r="55" spans="1:6">
      <c r="A55" s="1301" t="s">
        <v>3016</v>
      </c>
      <c r="B55" s="1297" t="s">
        <v>372</v>
      </c>
      <c r="C55" s="1298"/>
      <c r="D55" s="1297" t="s">
        <v>372</v>
      </c>
      <c r="E55" s="1293"/>
      <c r="F55" s="478"/>
    </row>
    <row r="56" spans="1:6">
      <c r="A56" s="1301" t="s">
        <v>3017</v>
      </c>
      <c r="B56" s="1297" t="s">
        <v>372</v>
      </c>
      <c r="C56" s="1298"/>
      <c r="D56" s="1297" t="s">
        <v>372</v>
      </c>
      <c r="E56" s="1293"/>
      <c r="F56" s="478"/>
    </row>
    <row r="57" spans="1:6">
      <c r="A57" s="1301" t="s">
        <v>3018</v>
      </c>
      <c r="B57" s="1297" t="s">
        <v>372</v>
      </c>
      <c r="C57" s="1298"/>
      <c r="D57" s="1297" t="s">
        <v>372</v>
      </c>
      <c r="E57" s="1293"/>
      <c r="F57" s="478"/>
    </row>
    <row r="58" spans="1:6">
      <c r="A58" s="1301" t="s">
        <v>3019</v>
      </c>
      <c r="B58" s="1297" t="s">
        <v>372</v>
      </c>
      <c r="C58" s="1298"/>
      <c r="D58" s="1297" t="s">
        <v>372</v>
      </c>
      <c r="E58" s="1293"/>
      <c r="F58" s="478"/>
    </row>
    <row r="59" spans="1:6">
      <c r="A59" s="1301" t="s">
        <v>3020</v>
      </c>
      <c r="B59" s="1297" t="s">
        <v>372</v>
      </c>
      <c r="C59" s="1298"/>
      <c r="D59" s="1297" t="s">
        <v>372</v>
      </c>
      <c r="E59" s="1293"/>
      <c r="F59" s="478"/>
    </row>
  </sheetData>
  <mergeCells count="7">
    <mergeCell ref="A2:F2"/>
    <mergeCell ref="A3:A5"/>
    <mergeCell ref="B3:B5"/>
    <mergeCell ref="C3:C5"/>
    <mergeCell ref="D3:D5"/>
    <mergeCell ref="E3:E4"/>
    <mergeCell ref="F3:F5"/>
  </mergeCells>
  <pageMargins left="0.5" right="0" top="0.3" bottom="0.3"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80</vt:i4>
      </vt:variant>
    </vt:vector>
  </HeadingPairs>
  <TitlesOfParts>
    <vt:vector size="109" baseType="lpstr">
      <vt:lpstr>CĐPS</vt:lpstr>
      <vt:lpstr>TH</vt:lpstr>
      <vt:lpstr>SC-I</vt:lpstr>
      <vt:lpstr>SC-II</vt:lpstr>
      <vt:lpstr>SC-III</vt:lpstr>
      <vt:lpstr>SC-IV</vt:lpstr>
      <vt:lpstr>CTTK (2)</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Sheet1</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'131'!Print_Area</vt:lpstr>
      <vt:lpstr>'152-CT'!Print_Area</vt:lpstr>
      <vt:lpstr>'331'!Print_Area</vt:lpstr>
      <vt:lpstr>'331-CT'!Print_Area</vt:lpstr>
      <vt:lpstr>'341'!Print_Area</vt:lpstr>
      <vt:lpstr>'341-CT'!Print_Area</vt:lpstr>
      <vt:lpstr>'BK-NL'!Print_Area</vt:lpstr>
      <vt:lpstr>BTGT!Print_Area</vt:lpstr>
      <vt:lpstr>CTTK!Print_Area</vt:lpstr>
      <vt:lpstr>'CTTK (2)'!Print_Area</vt:lpstr>
      <vt:lpstr>'IN-NX'!Print_Area</vt:lpstr>
      <vt:lpstr>'IN-TC'!Print_Area</vt:lpstr>
      <vt:lpstr>NXT!Print_Area</vt:lpstr>
      <vt:lpstr>'SC-IV'!Print_Area</vt:lpstr>
      <vt:lpstr>Sheet1!Print_Area</vt:lpstr>
      <vt:lpstr>Sheet2!Print_Area</vt:lpstr>
      <vt:lpstr>'SO-TS'!Print_Area</vt:lpstr>
      <vt:lpstr>'THE-TS'!Print_Area</vt:lpstr>
      <vt:lpstr>TK!Print_Area</vt:lpstr>
      <vt:lpstr>'111'!Print_Titles</vt:lpstr>
      <vt:lpstr>'112'!Print_Titles</vt:lpstr>
      <vt:lpstr>'131-CT'!Print_Titles</vt:lpstr>
      <vt:lpstr>'331'!Print_Titles</vt:lpstr>
      <vt:lpstr>'331-CT'!Print_Titles</vt:lpstr>
      <vt:lpstr>'BK-NL'!Print_Titles</vt:lpstr>
      <vt:lpstr>CTTK!Print_Titles</vt:lpstr>
      <vt:lpstr>'CTTK (2)'!Print_Titles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2018-05-11T06:28:23Z</cp:lastPrinted>
  <dcterms:created xsi:type="dcterms:W3CDTF">1996-10-14T23:33:28Z</dcterms:created>
  <dcterms:modified xsi:type="dcterms:W3CDTF">2018-05-14T08:50:21Z</dcterms:modified>
</cp:coreProperties>
</file>